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CE634FB4-2731-4291-89E4-1F2F39C4E37C}"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Supplier" sheetId="2" r:id="rId6"/>
    <sheet name="Glo" sheetId="37"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s>
  <definedNames>
    <definedName name="_xlnm._FilterDatabase" localSheetId="1" hidden="1">Posting!$A$1:$P$19289</definedName>
    <definedName name="_xlnm._FilterDatabase" localSheetId="5" hidden="1">Supplier!$A$1:$XFC$3701</definedName>
    <definedName name="_xlnm.Print_Area" localSheetId="11">'Main Summary'!$U$4:$W$19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Profit!$N$1:$V$29</definedName>
    <definedName name="_xlnm.Print_Area" localSheetId="14">'Profit Summary'!$A$74:$L$86</definedName>
    <definedName name="_xlnm.Print_Area" localSheetId="10">'Project wise Supplier balance'!$A$1:$E$122</definedName>
    <definedName name="_xlnm.Print_Area" localSheetId="12">Receiving!$F$46:$I$79</definedName>
    <definedName name="_xlnm.Print_Area" localSheetId="5">Supplier!$A$7:$G$158</definedName>
    <definedName name="_xlnm.Print_Titles" localSheetId="6">Glo!$2:$4</definedName>
    <definedName name="project">'Pro Summ'!$A$6:$A$28</definedName>
  </definedNames>
  <calcPr calcId="181029"/>
  <pivotCaches>
    <pivotCache cacheId="18" r:id="rId28"/>
    <pivotCache cacheId="19" r:id="rId29"/>
  </pivotCaches>
</workbook>
</file>

<file path=xl/calcChain.xml><?xml version="1.0" encoding="utf-8"?>
<calcChain xmlns="http://schemas.openxmlformats.org/spreadsheetml/2006/main">
  <c r="G19285" i="1" l="1"/>
  <c r="G19283" i="1"/>
  <c r="G19284" i="1"/>
  <c r="G3702" i="2"/>
  <c r="G3703" i="2"/>
  <c r="G19281" i="1"/>
  <c r="G19282" i="1"/>
  <c r="G19280" i="1" l="1"/>
  <c r="G19279" i="1"/>
  <c r="C17" i="3"/>
  <c r="B17" i="3"/>
  <c r="C16" i="3"/>
  <c r="G19287" i="1"/>
  <c r="G19286" i="1"/>
  <c r="G19262" i="1"/>
  <c r="G19263" i="1"/>
  <c r="G19264" i="1"/>
  <c r="G19258" i="1"/>
  <c r="G19259" i="1"/>
  <c r="G19260" i="1"/>
  <c r="G19261" i="1"/>
  <c r="G19255" i="1"/>
  <c r="G19256" i="1"/>
  <c r="G19257" i="1"/>
  <c r="G19277" i="1"/>
  <c r="G19278" i="1"/>
  <c r="G19275" i="1"/>
  <c r="G19276" i="1"/>
  <c r="G19270" i="1"/>
  <c r="G19271" i="1"/>
  <c r="G19272" i="1"/>
  <c r="G19273" i="1"/>
  <c r="G19274" i="1"/>
  <c r="G19269" i="1"/>
  <c r="G19268" i="1"/>
  <c r="G19222" i="1"/>
  <c r="G19221" i="1"/>
  <c r="G3701" i="2"/>
  <c r="G19220" i="1"/>
  <c r="G19219" i="1" l="1"/>
  <c r="G19218" i="1"/>
  <c r="G19217" i="1"/>
  <c r="G19214" i="1"/>
  <c r="G19215" i="1"/>
  <c r="G19216" i="1"/>
  <c r="G19213" i="1"/>
  <c r="G19209" i="1" l="1"/>
  <c r="G19210" i="1"/>
  <c r="G19211" i="1"/>
  <c r="G19212" i="1"/>
  <c r="G19208" i="1"/>
  <c r="G19200" i="1"/>
  <c r="G19201" i="1"/>
  <c r="G19202" i="1"/>
  <c r="G19203" i="1"/>
  <c r="G19204" i="1"/>
  <c r="G19205" i="1"/>
  <c r="G19206" i="1"/>
  <c r="G19207" i="1"/>
  <c r="G19198" i="1"/>
  <c r="G19199" i="1"/>
  <c r="G19197" i="1"/>
  <c r="G19196" i="1"/>
  <c r="B16" i="3" l="1"/>
  <c r="G19289" i="1"/>
  <c r="G19288" i="1"/>
  <c r="G19187" i="1" l="1"/>
  <c r="G19188" i="1"/>
  <c r="G19189" i="1"/>
  <c r="G19190" i="1"/>
  <c r="G19191" i="1"/>
  <c r="G19192" i="1"/>
  <c r="G19193" i="1"/>
  <c r="G19194" i="1"/>
  <c r="G19195" i="1"/>
  <c r="G19185" i="1"/>
  <c r="G19186" i="1"/>
  <c r="G19183" i="1"/>
  <c r="G19184" i="1"/>
  <c r="G19182" i="1"/>
  <c r="G19173" i="1"/>
  <c r="G19174" i="1"/>
  <c r="G19175" i="1"/>
  <c r="G19176" i="1"/>
  <c r="G19177" i="1"/>
  <c r="G19178" i="1"/>
  <c r="G19179" i="1"/>
  <c r="G19180" i="1"/>
  <c r="G19181" i="1"/>
  <c r="G19172" i="1"/>
  <c r="G19171" i="1"/>
  <c r="G19170" i="1" l="1"/>
  <c r="G19169" i="1"/>
  <c r="G19168" i="1"/>
  <c r="G19167" i="1"/>
  <c r="G19165" i="1"/>
  <c r="G19166" i="1"/>
  <c r="G19163" i="1"/>
  <c r="G19164" i="1"/>
  <c r="G19162" i="1" l="1"/>
  <c r="G19161" i="1"/>
  <c r="G19267" i="1"/>
  <c r="G19224" i="1"/>
  <c r="G19225" i="1"/>
  <c r="G19226" i="1"/>
  <c r="G19227" i="1"/>
  <c r="G19228" i="1"/>
  <c r="G19229" i="1"/>
  <c r="G19230" i="1"/>
  <c r="G19266" i="1"/>
  <c r="G19265" i="1"/>
  <c r="G19250" i="1"/>
  <c r="G19251" i="1"/>
  <c r="G19252" i="1"/>
  <c r="G19253" i="1"/>
  <c r="G19254" i="1"/>
  <c r="G19249" i="1"/>
  <c r="G3700" i="2"/>
  <c r="G3699" i="2"/>
  <c r="G3697" i="2"/>
  <c r="G3695" i="2"/>
  <c r="G19156" i="1"/>
  <c r="G19157" i="1"/>
  <c r="G19158" i="1"/>
  <c r="G19159" i="1"/>
  <c r="G19160" i="1"/>
  <c r="G19154" i="1"/>
  <c r="G19153" i="1"/>
  <c r="G19152" i="1"/>
  <c r="G19151" i="1"/>
  <c r="G19147" i="1"/>
  <c r="G19146" i="1"/>
  <c r="G19133" i="1"/>
  <c r="G19134" i="1"/>
  <c r="G19135" i="1"/>
  <c r="G19136" i="1"/>
  <c r="G19137" i="1"/>
  <c r="G19138" i="1"/>
  <c r="G19139" i="1"/>
  <c r="G19140" i="1"/>
  <c r="G19141" i="1"/>
  <c r="G19142" i="1"/>
  <c r="G19143" i="1"/>
  <c r="G19144" i="1"/>
  <c r="G19145" i="1"/>
  <c r="G19148" i="1"/>
  <c r="G19149" i="1"/>
  <c r="G19150" i="1"/>
  <c r="G19155" i="1"/>
  <c r="G19240" i="1" l="1"/>
  <c r="G19003" i="1"/>
  <c r="G19132" i="1"/>
  <c r="G19130" i="1"/>
  <c r="G19127" i="1"/>
  <c r="G19121" i="1"/>
  <c r="G19126" i="1"/>
  <c r="G19128" i="1"/>
  <c r="G19129" i="1"/>
  <c r="G19125" i="1"/>
  <c r="G19124" i="1"/>
  <c r="G19123" i="1"/>
  <c r="G19122" i="1"/>
  <c r="G19120" i="1"/>
  <c r="G19119" i="1"/>
  <c r="G19118" i="1"/>
  <c r="G19117" i="1"/>
  <c r="G19116" i="1"/>
  <c r="G19115" i="1"/>
  <c r="G19114" i="1"/>
  <c r="G19131" i="1"/>
  <c r="G19100" i="1"/>
  <c r="G19101" i="1"/>
  <c r="G19102" i="1"/>
  <c r="G19103" i="1"/>
  <c r="G19104" i="1"/>
  <c r="G19105" i="1"/>
  <c r="G19106" i="1"/>
  <c r="G19107" i="1"/>
  <c r="G19108" i="1"/>
  <c r="G19109" i="1"/>
  <c r="G19110" i="1"/>
  <c r="G19111" i="1"/>
  <c r="G19112" i="1"/>
  <c r="G19113" i="1"/>
  <c r="G19093" i="1"/>
  <c r="G19096" i="1"/>
  <c r="G19097" i="1"/>
  <c r="G19098" i="1"/>
  <c r="G19099" i="1"/>
  <c r="G19095" i="1"/>
  <c r="G19094" i="1"/>
  <c r="G19248" i="1"/>
  <c r="G19247" i="1" l="1"/>
  <c r="G19246" i="1" l="1"/>
  <c r="G19245" i="1"/>
  <c r="G19087" i="1"/>
  <c r="G19088" i="1"/>
  <c r="G19089" i="1"/>
  <c r="G19090" i="1"/>
  <c r="G19091" i="1"/>
  <c r="G19092" i="1"/>
  <c r="G19086" i="1"/>
  <c r="G19085" i="1"/>
  <c r="G3698" i="2"/>
  <c r="G3693" i="2"/>
  <c r="G3683" i="2"/>
  <c r="G3676" i="2"/>
  <c r="G3696" i="2" l="1"/>
  <c r="G3694" i="2"/>
  <c r="G3692" i="2"/>
  <c r="G18964" i="1"/>
  <c r="G18891" i="1"/>
  <c r="G19053" i="1"/>
  <c r="G19084" i="1"/>
  <c r="G19062" i="1"/>
  <c r="G19077" i="1"/>
  <c r="G19078" i="1"/>
  <c r="G19079" i="1"/>
  <c r="G19080" i="1"/>
  <c r="G19081" i="1"/>
  <c r="G19082" i="1"/>
  <c r="G19083" i="1"/>
  <c r="G19244" i="1"/>
  <c r="G19243" i="1" l="1"/>
  <c r="G19241" i="1"/>
  <c r="G19242" i="1"/>
  <c r="G19074" i="1" l="1"/>
  <c r="G19075" i="1"/>
  <c r="G19076" i="1"/>
  <c r="G19239" i="1" l="1"/>
  <c r="G19238" i="1"/>
  <c r="G19237" i="1"/>
  <c r="G19236" i="1"/>
  <c r="G19023" i="1"/>
  <c r="G19024" i="1"/>
  <c r="G19025" i="1"/>
  <c r="G19022" i="1"/>
  <c r="G19064" i="1"/>
  <c r="G19065" i="1"/>
  <c r="G19223" i="1"/>
  <c r="G19026" i="1" l="1"/>
  <c r="G19027" i="1"/>
  <c r="G19066" i="1"/>
  <c r="G19067" i="1"/>
  <c r="G19021" i="1"/>
  <c r="G19068" i="1"/>
  <c r="G19069" i="1"/>
  <c r="G19070" i="1"/>
  <c r="G19028" i="1"/>
  <c r="G19029" i="1"/>
  <c r="G19030" i="1"/>
  <c r="G19071" i="1"/>
  <c r="G19072" i="1"/>
  <c r="G19073" i="1"/>
  <c r="G19063" i="1" l="1"/>
  <c r="G19061" i="1"/>
  <c r="G19060" i="1"/>
  <c r="G19059" i="1"/>
  <c r="G19018" i="1"/>
  <c r="G19056" i="1"/>
  <c r="G19057" i="1"/>
  <c r="G19058" i="1"/>
  <c r="G19019" i="1"/>
  <c r="G19020" i="1"/>
  <c r="G19033" i="1"/>
  <c r="C15" i="3"/>
  <c r="G19233" i="1"/>
  <c r="G19234" i="1"/>
  <c r="G19235" i="1"/>
  <c r="G3687" i="2" l="1"/>
  <c r="G3689" i="2"/>
  <c r="G19055" i="1"/>
  <c r="G19031" i="1"/>
  <c r="G19054" i="1"/>
  <c r="G19052" i="1"/>
  <c r="G19051" i="1"/>
  <c r="G19050" i="1"/>
  <c r="G19049" i="1"/>
  <c r="G19048" i="1"/>
  <c r="G19047" i="1"/>
  <c r="G19046" i="1"/>
  <c r="G19045" i="1"/>
  <c r="G19044" i="1"/>
  <c r="G19012" i="1"/>
  <c r="G19013" i="1"/>
  <c r="G19011" i="1"/>
  <c r="G19010" i="1"/>
  <c r="G19014" i="1"/>
  <c r="G19015" i="1"/>
  <c r="G19032" i="1"/>
  <c r="G19034" i="1"/>
  <c r="G19035" i="1"/>
  <c r="G19036" i="1"/>
  <c r="G19037" i="1"/>
  <c r="G19038" i="1"/>
  <c r="G19039" i="1"/>
  <c r="G19040" i="1"/>
  <c r="G19041" i="1"/>
  <c r="G19016" i="1"/>
  <c r="G19042" i="1"/>
  <c r="G19043" i="1"/>
  <c r="G19017" i="1"/>
  <c r="G18967" i="1"/>
  <c r="G18968" i="1"/>
  <c r="G18969" i="1"/>
  <c r="G18970" i="1"/>
  <c r="G18971" i="1"/>
  <c r="G18966" i="1"/>
  <c r="G19231" i="1"/>
  <c r="G19232" i="1"/>
  <c r="G18987" i="1"/>
  <c r="G18980" i="1"/>
  <c r="G18979" i="1"/>
  <c r="G18981" i="1"/>
  <c r="G18982" i="1"/>
  <c r="G18983" i="1"/>
  <c r="G18984" i="1"/>
  <c r="G18985" i="1"/>
  <c r="G18986" i="1"/>
  <c r="G18953" i="1"/>
  <c r="G19008" i="1"/>
  <c r="G19009" i="1" l="1"/>
  <c r="G18976" i="1"/>
  <c r="G18977" i="1"/>
  <c r="G18978" i="1"/>
  <c r="G18974" i="1" l="1"/>
  <c r="G18973" i="1"/>
  <c r="G18940" i="1" l="1"/>
  <c r="G18975" i="1"/>
  <c r="G18972" i="1"/>
  <c r="G18965" i="1" l="1"/>
  <c r="G18963" i="1" l="1"/>
  <c r="G3691" i="2"/>
  <c r="G3690" i="2"/>
  <c r="G18962" i="1"/>
  <c r="G18961" i="1"/>
  <c r="G18958" i="1"/>
  <c r="G18957" i="1"/>
  <c r="G18956" i="1" l="1"/>
  <c r="G18955" i="1"/>
  <c r="G18954" i="1"/>
  <c r="G18952" i="1"/>
  <c r="G18951" i="1"/>
  <c r="G18950" i="1"/>
  <c r="G18959" i="1"/>
  <c r="G18960" i="1"/>
  <c r="G18946" i="1"/>
  <c r="G18947" i="1"/>
  <c r="G18948" i="1"/>
  <c r="G18949" i="1"/>
  <c r="G18941" i="1"/>
  <c r="G18942" i="1"/>
  <c r="G18943" i="1"/>
  <c r="G18944" i="1"/>
  <c r="G18945" i="1"/>
  <c r="G18999" i="1"/>
  <c r="G3688" i="2"/>
  <c r="G18996" i="1"/>
  <c r="G19007" i="1"/>
  <c r="G18939" i="1"/>
  <c r="G18938" i="1"/>
  <c r="G18937" i="1"/>
  <c r="G18936" i="1"/>
  <c r="G18925" i="1"/>
  <c r="G18926" i="1"/>
  <c r="G18927" i="1"/>
  <c r="G18928" i="1"/>
  <c r="G18929" i="1"/>
  <c r="G18930" i="1"/>
  <c r="G18931" i="1"/>
  <c r="G18932" i="1"/>
  <c r="G18933" i="1"/>
  <c r="G18934" i="1"/>
  <c r="G18935" i="1"/>
  <c r="G3679" i="2" l="1"/>
  <c r="G3678" i="2"/>
  <c r="G3677" i="2"/>
  <c r="G3686" i="2"/>
  <c r="G3685" i="2"/>
  <c r="G3682" i="2"/>
  <c r="G3681" i="2"/>
  <c r="G18915" i="1"/>
  <c r="G18911" i="1"/>
  <c r="G18912" i="1"/>
  <c r="G18913" i="1"/>
  <c r="G18914" i="1"/>
  <c r="G18924" i="1"/>
  <c r="G18923" i="1"/>
  <c r="G18922" i="1"/>
  <c r="E18921" i="1"/>
  <c r="G18920" i="1"/>
  <c r="G18919" i="1"/>
  <c r="G3684" i="2"/>
  <c r="G18918" i="1"/>
  <c r="G18917" i="1"/>
  <c r="G18921" i="1" l="1"/>
  <c r="B15" i="3"/>
  <c r="G3680" i="2"/>
  <c r="G18916" i="1"/>
  <c r="G18910" i="1"/>
  <c r="G18903" i="1"/>
  <c r="G18904" i="1"/>
  <c r="G18905" i="1"/>
  <c r="G18906" i="1"/>
  <c r="G18907" i="1"/>
  <c r="G18908" i="1"/>
  <c r="G18909" i="1"/>
  <c r="G18902" i="1"/>
  <c r="G18901" i="1"/>
  <c r="G19006" i="1"/>
  <c r="G18897" i="1"/>
  <c r="G18898" i="1"/>
  <c r="G18899" i="1"/>
  <c r="G18900" i="1"/>
  <c r="G18895" i="1"/>
  <c r="G18896" i="1"/>
  <c r="G18894" i="1"/>
  <c r="G18893" i="1"/>
  <c r="G18892" i="1"/>
  <c r="G18890" i="1"/>
  <c r="G18889" i="1"/>
  <c r="G18880" i="1"/>
  <c r="G18881" i="1"/>
  <c r="G18882" i="1"/>
  <c r="G18883" i="1"/>
  <c r="G18884" i="1"/>
  <c r="G18885" i="1"/>
  <c r="G18886" i="1"/>
  <c r="G18887" i="1"/>
  <c r="G18888" i="1"/>
  <c r="G18710" i="1"/>
  <c r="G18711" i="1"/>
  <c r="G18712" i="1"/>
  <c r="G18713" i="1"/>
  <c r="G18714" i="1"/>
  <c r="G18715" i="1"/>
  <c r="G18716" i="1"/>
  <c r="G18877" i="1"/>
  <c r="G18878" i="1"/>
  <c r="G18879" i="1"/>
  <c r="G18876" i="1"/>
  <c r="G18875" i="1"/>
  <c r="G18874" i="1"/>
  <c r="G18873" i="1"/>
  <c r="G18872" i="1"/>
  <c r="G18865" i="1"/>
  <c r="G18866" i="1"/>
  <c r="G18867" i="1"/>
  <c r="G18868" i="1"/>
  <c r="G18869" i="1"/>
  <c r="G18870" i="1"/>
  <c r="G18871" i="1"/>
  <c r="G18995" i="1" l="1"/>
  <c r="G18994" i="1"/>
  <c r="G18993" i="1"/>
  <c r="G18814" i="1"/>
  <c r="G18813" i="1"/>
  <c r="G18864" i="1"/>
  <c r="G18863" i="1"/>
  <c r="G18862" i="1"/>
  <c r="G18852" i="1"/>
  <c r="G18853" i="1"/>
  <c r="G18854" i="1"/>
  <c r="G18855" i="1"/>
  <c r="G18856" i="1"/>
  <c r="G18857" i="1"/>
  <c r="G18858" i="1"/>
  <c r="G18859" i="1"/>
  <c r="G18860" i="1"/>
  <c r="G18861" i="1"/>
  <c r="G18851" i="1"/>
  <c r="G18850" i="1"/>
  <c r="G18849" i="1"/>
  <c r="G18848" i="1"/>
  <c r="G3674" i="2"/>
  <c r="G3663" i="2"/>
  <c r="G3662" i="2"/>
  <c r="G3656" i="2"/>
  <c r="G3655" i="2"/>
  <c r="G3415" i="2"/>
  <c r="G3673" i="2"/>
  <c r="G3289" i="2"/>
  <c r="G3661" i="2"/>
  <c r="G3668" i="2"/>
  <c r="G3606" i="2"/>
  <c r="G18845" i="1" l="1"/>
  <c r="G18683" i="1"/>
  <c r="G18684" i="1"/>
  <c r="G18685" i="1"/>
  <c r="G18686" i="1"/>
  <c r="G18687" i="1"/>
  <c r="G18405" i="1"/>
  <c r="G18379" i="1"/>
  <c r="G18380" i="1"/>
  <c r="G18381" i="1"/>
  <c r="G18382" i="1"/>
  <c r="G18383" i="1"/>
  <c r="G18992" i="1" l="1"/>
  <c r="G19005" i="1"/>
  <c r="G19004" i="1"/>
  <c r="G19002" i="1"/>
  <c r="G19001" i="1"/>
  <c r="G18847" i="1" l="1"/>
  <c r="G18846" i="1"/>
  <c r="G18844" i="1"/>
  <c r="G18843" i="1"/>
  <c r="G18839" i="1"/>
  <c r="G18840" i="1"/>
  <c r="G18841" i="1"/>
  <c r="G18842" i="1"/>
  <c r="G18838" i="1"/>
  <c r="G18837" i="1"/>
  <c r="G18836" i="1"/>
  <c r="G18835" i="1"/>
  <c r="G18823" i="1"/>
  <c r="G19000" i="1" l="1"/>
  <c r="G18759" i="1"/>
  <c r="G18829" i="1"/>
  <c r="G18830" i="1"/>
  <c r="G18831" i="1"/>
  <c r="G18832" i="1"/>
  <c r="G18833" i="1"/>
  <c r="G18834" i="1"/>
  <c r="G18825" i="1"/>
  <c r="G18826" i="1"/>
  <c r="G18827" i="1"/>
  <c r="G18828" i="1"/>
  <c r="G18706" i="1"/>
  <c r="G18707" i="1"/>
  <c r="G18708" i="1"/>
  <c r="G18709" i="1"/>
  <c r="G3675" i="2"/>
  <c r="G3671" i="2"/>
  <c r="G3645" i="2"/>
  <c r="G3622" i="2"/>
  <c r="G3642" i="2"/>
  <c r="M10" i="33"/>
  <c r="E10" i="33"/>
  <c r="G18998" i="1"/>
  <c r="G3660" i="2"/>
  <c r="G7" i="40" l="1"/>
  <c r="G10" i="40" l="1"/>
  <c r="G11" i="40" l="1"/>
  <c r="G14" i="40" l="1"/>
  <c r="G15" i="40" l="1"/>
  <c r="I3" i="40" l="1"/>
  <c r="I4" i="40"/>
  <c r="I5" i="40"/>
  <c r="I6" i="40"/>
  <c r="I8" i="40"/>
  <c r="I9" i="40"/>
  <c r="I12" i="40"/>
  <c r="I16" i="40"/>
  <c r="I17" i="40"/>
  <c r="G17" i="40"/>
  <c r="H3" i="40" l="1"/>
  <c r="J3" i="40" s="1"/>
  <c r="H4" i="40"/>
  <c r="J4" i="40" s="1"/>
  <c r="H5" i="40"/>
  <c r="J5" i="40" s="1"/>
  <c r="H6" i="40"/>
  <c r="J6" i="40" s="1"/>
  <c r="H7" i="40"/>
  <c r="H8" i="40"/>
  <c r="J8" i="40" s="1"/>
  <c r="H9" i="40"/>
  <c r="J9" i="40" s="1"/>
  <c r="H10" i="40"/>
  <c r="H11" i="40"/>
  <c r="H12" i="40"/>
  <c r="J12" i="40" s="1"/>
  <c r="H13" i="40"/>
  <c r="H14" i="40"/>
  <c r="H15" i="40"/>
  <c r="H16" i="40"/>
  <c r="J16" i="40" s="1"/>
  <c r="H17" i="40"/>
  <c r="J17" i="40" s="1"/>
  <c r="H2" i="40"/>
  <c r="I2" i="40" s="1"/>
  <c r="J2" i="40" s="1"/>
  <c r="I7" i="40" l="1"/>
  <c r="J7" i="40" s="1"/>
  <c r="I10" i="40"/>
  <c r="J10" i="40" s="1"/>
  <c r="I11" i="40"/>
  <c r="J11" i="40" s="1"/>
  <c r="I13" i="40"/>
  <c r="J13" i="40" s="1"/>
  <c r="I14" i="40"/>
  <c r="J14" i="40" s="1"/>
  <c r="I15" i="40"/>
  <c r="J15" i="40" s="1"/>
  <c r="D11" i="40"/>
  <c r="E11" i="40" s="1"/>
  <c r="D6" i="40" l="1"/>
  <c r="D4" i="40"/>
  <c r="E3" i="40" l="1"/>
  <c r="E4" i="40"/>
  <c r="E5" i="40"/>
  <c r="E6" i="40"/>
  <c r="E7" i="40"/>
  <c r="E8" i="40"/>
  <c r="E9" i="40"/>
  <c r="E10" i="40"/>
  <c r="E13" i="40"/>
  <c r="E14" i="40"/>
  <c r="E15" i="40"/>
  <c r="E16" i="40"/>
  <c r="E17" i="40"/>
  <c r="E2" i="40"/>
  <c r="B12" i="40"/>
  <c r="G3672" i="2"/>
  <c r="G3667" i="2"/>
  <c r="G3666" i="2"/>
  <c r="G3648" i="2"/>
  <c r="E12" i="40" l="1"/>
  <c r="G3670" i="2"/>
  <c r="G3659" i="2"/>
  <c r="G3658" i="2"/>
  <c r="G3669" i="2"/>
  <c r="G18991" i="1"/>
  <c r="G18997" i="1"/>
  <c r="G18990" i="1"/>
  <c r="G18989" i="1"/>
  <c r="G18988" i="1"/>
  <c r="C14" i="3"/>
  <c r="B14" i="3"/>
  <c r="G18688" i="1"/>
  <c r="G18689" i="1"/>
  <c r="G18690" i="1"/>
  <c r="G18691" i="1"/>
  <c r="G18692" i="1"/>
  <c r="G18693" i="1"/>
  <c r="G18694" i="1"/>
  <c r="G18695" i="1"/>
  <c r="G18696" i="1"/>
  <c r="G18697" i="1"/>
  <c r="G18698" i="1"/>
  <c r="G18699" i="1"/>
  <c r="G18700" i="1"/>
  <c r="G18701" i="1"/>
  <c r="G18702" i="1"/>
  <c r="G18703" i="1"/>
  <c r="G18704" i="1"/>
  <c r="G18705" i="1"/>
  <c r="G18824" i="1"/>
  <c r="G18822" i="1"/>
  <c r="G18821" i="1"/>
  <c r="G18815" i="1"/>
  <c r="G18816" i="1"/>
  <c r="G18817" i="1"/>
  <c r="G18818" i="1"/>
  <c r="G18819" i="1"/>
  <c r="G18820" i="1"/>
  <c r="G18812" i="1"/>
  <c r="G18809" i="1"/>
  <c r="G18810" i="1"/>
  <c r="G18811" i="1"/>
  <c r="G18802" i="1"/>
  <c r="G18803" i="1"/>
  <c r="G18804" i="1"/>
  <c r="G18805" i="1"/>
  <c r="G18806" i="1"/>
  <c r="G18807" i="1"/>
  <c r="G18808" i="1"/>
  <c r="G18801" i="1"/>
  <c r="G18795" i="1"/>
  <c r="G18796" i="1"/>
  <c r="G18797" i="1"/>
  <c r="G18798" i="1"/>
  <c r="G18799" i="1"/>
  <c r="G18800" i="1"/>
  <c r="G18794" i="1"/>
  <c r="G18793" i="1"/>
  <c r="G18758" i="1"/>
  <c r="G18788" i="1"/>
  <c r="G18789" i="1"/>
  <c r="G18790" i="1"/>
  <c r="G18791" i="1"/>
  <c r="G18792" i="1"/>
  <c r="G18757" i="1"/>
  <c r="G18756" i="1"/>
  <c r="G18755" i="1"/>
  <c r="G18754" i="1"/>
  <c r="G18753" i="1"/>
  <c r="G18741" i="1"/>
  <c r="G18742" i="1"/>
  <c r="G18743" i="1"/>
  <c r="G18744" i="1"/>
  <c r="G18745" i="1"/>
  <c r="G18746" i="1"/>
  <c r="G18747" i="1"/>
  <c r="G18748" i="1"/>
  <c r="G18749" i="1"/>
  <c r="G18750" i="1"/>
  <c r="G18751" i="1"/>
  <c r="G18752" i="1"/>
  <c r="G18739" i="1"/>
  <c r="G18740" i="1"/>
  <c r="G18778" i="1"/>
  <c r="G18771" i="1" l="1"/>
  <c r="G18787" i="1" l="1"/>
  <c r="G18738" i="1"/>
  <c r="G18737" i="1"/>
  <c r="G18725" i="1"/>
  <c r="G18736" i="1"/>
  <c r="G18735" i="1"/>
  <c r="G18733" i="1"/>
  <c r="G18734" i="1"/>
  <c r="G18578" i="1"/>
  <c r="G18726" i="1"/>
  <c r="G18727" i="1"/>
  <c r="G18728" i="1"/>
  <c r="G18729" i="1"/>
  <c r="G18730" i="1"/>
  <c r="G18731" i="1"/>
  <c r="G18732" i="1"/>
  <c r="G18724" i="1"/>
  <c r="G3665" i="2"/>
  <c r="G18723" i="1"/>
  <c r="G18721" i="1"/>
  <c r="G18722" i="1"/>
  <c r="G3643" i="2"/>
  <c r="G3633" i="2"/>
  <c r="G3639" i="2"/>
  <c r="G3640" i="2"/>
  <c r="G3641" i="2"/>
  <c r="G3644" i="2"/>
  <c r="G3635" i="2"/>
  <c r="G3634" i="2"/>
  <c r="G3627" i="2"/>
  <c r="G3637" i="2"/>
  <c r="G3636" i="2"/>
  <c r="G3632" i="2"/>
  <c r="G3631" i="2"/>
  <c r="G3630" i="2"/>
  <c r="G3629" i="2"/>
  <c r="G3657" i="2"/>
  <c r="G18770" i="1" l="1"/>
  <c r="G18666" i="1"/>
  <c r="G3664" i="2"/>
  <c r="G18720" i="1"/>
  <c r="G18719" i="1"/>
  <c r="G18681" i="1"/>
  <c r="G18682" i="1"/>
  <c r="G18717" i="1"/>
  <c r="G18718" i="1"/>
  <c r="G18680" i="1"/>
  <c r="G18679" i="1"/>
  <c r="G18678" i="1"/>
  <c r="G18677" i="1"/>
  <c r="G18676" i="1"/>
  <c r="G18675" i="1"/>
  <c r="G18669" i="1"/>
  <c r="G18670" i="1"/>
  <c r="G18671" i="1"/>
  <c r="G3653" i="2"/>
  <c r="G3652" i="2"/>
  <c r="G3651" i="2"/>
  <c r="G3650" i="2"/>
  <c r="G18668" i="1"/>
  <c r="G18634" i="1"/>
  <c r="G18786" i="1" l="1"/>
  <c r="G18656" i="1"/>
  <c r="G18470" i="1"/>
  <c r="G18769" i="1"/>
  <c r="G18768" i="1"/>
  <c r="G18767" i="1"/>
  <c r="G18766" i="1"/>
  <c r="G3654" i="2"/>
  <c r="G18765" i="1"/>
  <c r="G18764" i="1"/>
  <c r="G18763" i="1"/>
  <c r="G18674" i="1"/>
  <c r="G18673" i="1"/>
  <c r="G18672" i="1"/>
  <c r="G3649" i="2"/>
  <c r="G18667" i="1"/>
  <c r="G18663" i="1"/>
  <c r="G18664" i="1"/>
  <c r="G18665" i="1"/>
  <c r="G18657" i="1"/>
  <c r="G18658" i="1"/>
  <c r="G18659" i="1"/>
  <c r="G18660" i="1"/>
  <c r="G18661" i="1"/>
  <c r="G18662" i="1"/>
  <c r="G18654" i="1"/>
  <c r="G18655" i="1"/>
  <c r="G3647" i="2"/>
  <c r="G3646" i="2"/>
  <c r="G18652" i="1"/>
  <c r="G18653" i="1"/>
  <c r="G18646" i="1"/>
  <c r="G18647" i="1"/>
  <c r="G18648" i="1"/>
  <c r="G18649" i="1"/>
  <c r="G18650" i="1"/>
  <c r="G18651" i="1"/>
  <c r="G18643" i="1"/>
  <c r="G18644" i="1"/>
  <c r="G18645" i="1"/>
  <c r="G18635" i="1"/>
  <c r="G18636" i="1"/>
  <c r="G18637" i="1"/>
  <c r="G18638" i="1"/>
  <c r="G18639" i="1"/>
  <c r="G18640" i="1"/>
  <c r="G18641" i="1"/>
  <c r="G18642" i="1"/>
  <c r="G18633" i="1"/>
  <c r="G18629" i="1"/>
  <c r="G18626" i="1"/>
  <c r="G18627" i="1"/>
  <c r="G18628" i="1"/>
  <c r="G18630" i="1"/>
  <c r="G18631" i="1"/>
  <c r="G18632" i="1"/>
  <c r="G18623" i="1"/>
  <c r="G18624" i="1"/>
  <c r="G18625" i="1"/>
  <c r="G18622" i="1"/>
  <c r="G18621" i="1"/>
  <c r="G18619" i="1"/>
  <c r="G18620" i="1"/>
  <c r="G3638" i="2"/>
  <c r="G18617" i="1"/>
  <c r="G18618" i="1"/>
  <c r="G18602" i="1"/>
  <c r="G18406" i="1"/>
  <c r="G18603" i="1"/>
  <c r="G18604" i="1"/>
  <c r="G18605" i="1"/>
  <c r="G18606" i="1"/>
  <c r="G18607" i="1"/>
  <c r="G18608" i="1"/>
  <c r="G18609" i="1"/>
  <c r="G18610" i="1"/>
  <c r="G18611" i="1"/>
  <c r="G18612" i="1"/>
  <c r="G18613" i="1"/>
  <c r="G18614" i="1"/>
  <c r="G18615" i="1"/>
  <c r="G18616" i="1"/>
  <c r="G18601" i="1"/>
  <c r="G18600" i="1"/>
  <c r="G18593" i="1"/>
  <c r="G18594" i="1"/>
  <c r="G18595" i="1"/>
  <c r="G18596" i="1"/>
  <c r="G18597" i="1"/>
  <c r="G18598" i="1"/>
  <c r="G18599" i="1"/>
  <c r="G18785" i="1"/>
  <c r="G18784" i="1"/>
  <c r="G18783" i="1"/>
  <c r="G18782" i="1"/>
  <c r="G18781" i="1"/>
  <c r="G18780" i="1"/>
  <c r="G18779" i="1"/>
  <c r="G18591" i="1" l="1"/>
  <c r="G18592" i="1"/>
  <c r="G18590" i="1"/>
  <c r="G18589" i="1"/>
  <c r="G18588" i="1"/>
  <c r="G18587" i="1"/>
  <c r="G3628" i="2"/>
  <c r="G18586" i="1"/>
  <c r="G18585" i="1"/>
  <c r="G18584" i="1"/>
  <c r="G18583" i="1"/>
  <c r="G18582" i="1"/>
  <c r="G18579" i="1"/>
  <c r="G18580" i="1"/>
  <c r="G18404" i="1"/>
  <c r="G18581" i="1"/>
  <c r="G18577" i="1"/>
  <c r="G18573" i="1"/>
  <c r="G18574" i="1"/>
  <c r="G18575" i="1"/>
  <c r="G18576" i="1"/>
  <c r="G18572" i="1" l="1"/>
  <c r="G18563" i="1"/>
  <c r="G18564" i="1"/>
  <c r="G18565" i="1"/>
  <c r="G18566" i="1"/>
  <c r="G18567" i="1"/>
  <c r="G18568" i="1"/>
  <c r="G18569" i="1"/>
  <c r="G18570" i="1"/>
  <c r="G18571" i="1"/>
  <c r="G3626" i="2"/>
  <c r="G3625" i="2"/>
  <c r="G3617" i="2"/>
  <c r="G3589" i="2"/>
  <c r="G3364" i="2"/>
  <c r="G3510" i="2"/>
  <c r="G3103" i="2"/>
  <c r="G3557" i="2"/>
  <c r="G3439" i="2"/>
  <c r="G3416" i="2"/>
  <c r="G3363" i="2"/>
  <c r="G3362" i="2"/>
  <c r="G3335" i="2"/>
  <c r="G3352" i="2"/>
  <c r="G3536" i="2"/>
  <c r="G3588" i="2"/>
  <c r="G3513" i="2"/>
  <c r="G3524" i="2"/>
  <c r="G3612" i="2"/>
  <c r="G3601" i="2"/>
  <c r="G3600" i="2"/>
  <c r="G3608" i="2"/>
  <c r="G3604" i="2"/>
  <c r="G3603" i="2"/>
  <c r="G3594" i="2"/>
  <c r="G3581" i="2"/>
  <c r="G3578" i="2"/>
  <c r="G3577" i="2"/>
  <c r="G3561" i="2"/>
  <c r="G3560" i="2"/>
  <c r="G3537" i="2"/>
  <c r="G3620" i="2"/>
  <c r="G3616" i="2"/>
  <c r="G3609" i="2" l="1"/>
  <c r="G3610" i="2"/>
  <c r="G3611" i="2"/>
  <c r="G3613" i="2"/>
  <c r="G18562" i="1"/>
  <c r="G18560" i="1"/>
  <c r="G18561" i="1"/>
  <c r="G18559" i="1"/>
  <c r="G3624" i="2"/>
  <c r="G18558" i="1"/>
  <c r="G18551" i="1" l="1"/>
  <c r="G18552" i="1"/>
  <c r="G18553" i="1"/>
  <c r="G18554" i="1"/>
  <c r="G18555" i="1"/>
  <c r="G18556" i="1"/>
  <c r="G18557" i="1"/>
  <c r="G18547" i="1"/>
  <c r="G18548" i="1"/>
  <c r="G18549" i="1"/>
  <c r="G18550" i="1"/>
  <c r="G18546" i="1"/>
  <c r="G18545" i="1"/>
  <c r="G18475" i="1"/>
  <c r="G18498" i="1"/>
  <c r="G18529" i="1"/>
  <c r="G18543" i="1"/>
  <c r="G18536" i="1"/>
  <c r="G18537" i="1"/>
  <c r="G18538" i="1"/>
  <c r="G18539" i="1"/>
  <c r="G18540" i="1"/>
  <c r="G18541" i="1"/>
  <c r="G18542" i="1"/>
  <c r="G18544" i="1"/>
  <c r="G18535" i="1"/>
  <c r="G3623" i="2"/>
  <c r="G18534" i="1"/>
  <c r="G3621" i="2"/>
  <c r="G18523" i="1"/>
  <c r="G18524" i="1"/>
  <c r="G18525" i="1"/>
  <c r="G18526" i="1"/>
  <c r="G18527" i="1"/>
  <c r="G18528" i="1"/>
  <c r="G18530" i="1"/>
  <c r="G18531" i="1"/>
  <c r="G18532" i="1"/>
  <c r="G18533" i="1"/>
  <c r="G18519" i="1"/>
  <c r="G18520" i="1"/>
  <c r="G18522" i="1"/>
  <c r="G18518" i="1"/>
  <c r="G18517" i="1"/>
  <c r="G18516" i="1"/>
  <c r="G18515" i="1"/>
  <c r="G18514" i="1"/>
  <c r="G18521" i="1"/>
  <c r="G18513" i="1"/>
  <c r="G18512" i="1"/>
  <c r="G18511" i="1"/>
  <c r="G18510" i="1"/>
  <c r="G18777" i="1"/>
  <c r="G18487" i="1"/>
  <c r="G18488" i="1"/>
  <c r="G18489" i="1"/>
  <c r="G18490" i="1"/>
  <c r="G18491" i="1"/>
  <c r="G18492" i="1"/>
  <c r="G3619" i="2"/>
  <c r="G3618" i="2"/>
  <c r="G18509" i="1"/>
  <c r="G18508" i="1"/>
  <c r="G18499" i="1"/>
  <c r="G18500" i="1"/>
  <c r="G18501" i="1"/>
  <c r="G18502" i="1"/>
  <c r="G18503" i="1"/>
  <c r="G18504" i="1"/>
  <c r="G18505" i="1"/>
  <c r="G18506" i="1"/>
  <c r="G18507" i="1"/>
  <c r="G18497" i="1"/>
  <c r="G18384" i="1"/>
  <c r="G18385" i="1"/>
  <c r="G18386" i="1"/>
  <c r="G18387" i="1"/>
  <c r="G18388" i="1"/>
  <c r="G18389" i="1"/>
  <c r="G18390" i="1"/>
  <c r="G18391" i="1"/>
  <c r="G18392" i="1"/>
  <c r="G18393" i="1"/>
  <c r="G18394" i="1"/>
  <c r="G18395" i="1"/>
  <c r="G18396" i="1"/>
  <c r="G18397" i="1"/>
  <c r="G18398" i="1"/>
  <c r="G18399" i="1"/>
  <c r="G18400" i="1"/>
  <c r="G18401" i="1"/>
  <c r="G18402" i="1"/>
  <c r="G18403" i="1"/>
  <c r="G18494" i="1"/>
  <c r="G18495" i="1"/>
  <c r="G18496" i="1"/>
  <c r="G18493" i="1"/>
  <c r="G18477" i="1"/>
  <c r="G18478" i="1"/>
  <c r="G18479" i="1"/>
  <c r="G18480" i="1"/>
  <c r="G18481" i="1"/>
  <c r="G18482" i="1"/>
  <c r="G18483" i="1"/>
  <c r="G18484" i="1"/>
  <c r="G18485" i="1"/>
  <c r="G18486" i="1"/>
  <c r="G18762" i="1"/>
  <c r="G18761" i="1"/>
  <c r="G18760" i="1"/>
  <c r="G18456" i="1"/>
  <c r="G18776" i="1" l="1"/>
  <c r="G3587" i="2"/>
  <c r="G3586" i="2"/>
  <c r="G3585" i="2"/>
  <c r="G3576" i="2"/>
  <c r="G3599" i="2"/>
  <c r="G3605" i="2"/>
  <c r="G3614" i="2"/>
  <c r="G3615" i="2"/>
  <c r="G3602" i="2"/>
  <c r="G18772" i="1"/>
  <c r="G18773" i="1"/>
  <c r="G18774" i="1"/>
  <c r="G18775" i="1"/>
  <c r="C13" i="3"/>
  <c r="G18416" i="1" l="1"/>
  <c r="G18417" i="1"/>
  <c r="G18418" i="1"/>
  <c r="G18419" i="1"/>
  <c r="G18420" i="1"/>
  <c r="G18421" i="1"/>
  <c r="G18415" i="1"/>
  <c r="G18414" i="1"/>
  <c r="G3607" i="2"/>
  <c r="G18413" i="1" l="1"/>
  <c r="G18412" i="1"/>
  <c r="G18410" i="1"/>
  <c r="G18411" i="1"/>
  <c r="G18409" i="1"/>
  <c r="G18374" i="1"/>
  <c r="G18375" i="1"/>
  <c r="G18376" i="1"/>
  <c r="G18377" i="1"/>
  <c r="G18378" i="1"/>
  <c r="G18407" i="1"/>
  <c r="G18408" i="1"/>
  <c r="G18373" i="1"/>
  <c r="G18372" i="1"/>
  <c r="G3597" i="2"/>
  <c r="G3598" i="2"/>
  <c r="G3596" i="2"/>
  <c r="G18371" i="1"/>
  <c r="G18370" i="1"/>
  <c r="G18368" i="1"/>
  <c r="G18362" i="1"/>
  <c r="G18363" i="1"/>
  <c r="G18364" i="1"/>
  <c r="G18365" i="1"/>
  <c r="G18366" i="1"/>
  <c r="G18367" i="1"/>
  <c r="G18058" i="1"/>
  <c r="G18057" i="1"/>
  <c r="G18056" i="1"/>
  <c r="G18055" i="1"/>
  <c r="G18361" i="1"/>
  <c r="G18360" i="1"/>
  <c r="G18355" i="1"/>
  <c r="G18356" i="1"/>
  <c r="G18357" i="1"/>
  <c r="G18358" i="1"/>
  <c r="G18359" i="1"/>
  <c r="G18350" i="1"/>
  <c r="G18349" i="1"/>
  <c r="G18346" i="1"/>
  <c r="G18347" i="1"/>
  <c r="G18348" i="1"/>
  <c r="G18351" i="1"/>
  <c r="G18352" i="1"/>
  <c r="G18353" i="1"/>
  <c r="G18354" i="1"/>
  <c r="G18231" i="1"/>
  <c r="G18341" i="1"/>
  <c r="G18342" i="1"/>
  <c r="G18343" i="1"/>
  <c r="G18344" i="1"/>
  <c r="G18345" i="1"/>
  <c r="G3504" i="2"/>
  <c r="G3505" i="2"/>
  <c r="G3506" i="2"/>
  <c r="G3503" i="2"/>
  <c r="G3595" i="2"/>
  <c r="G18340" i="1" l="1"/>
  <c r="G3593" i="2" l="1"/>
  <c r="G18339" i="1"/>
  <c r="G18338" i="1"/>
  <c r="G18337" i="1"/>
  <c r="G18336" i="1"/>
  <c r="G18333" i="1"/>
  <c r="G18334" i="1"/>
  <c r="G18335" i="1"/>
  <c r="G18327" i="1"/>
  <c r="G18328" i="1"/>
  <c r="G18329" i="1"/>
  <c r="G18330" i="1"/>
  <c r="G18331" i="1"/>
  <c r="G18332" i="1"/>
  <c r="G18318" i="1"/>
  <c r="G18319" i="1"/>
  <c r="G18320" i="1"/>
  <c r="G18321" i="1"/>
  <c r="G18322" i="1"/>
  <c r="G18323" i="1"/>
  <c r="G18326" i="1"/>
  <c r="G18325" i="1"/>
  <c r="G18324" i="1"/>
  <c r="G3592" i="2"/>
  <c r="G18369" i="1"/>
  <c r="G18315" i="1"/>
  <c r="G18316" i="1"/>
  <c r="G18317" i="1"/>
  <c r="G18313" i="1"/>
  <c r="G18314" i="1"/>
  <c r="G3591" i="2"/>
  <c r="G3590" i="2"/>
  <c r="G18312" i="1"/>
  <c r="G18309" i="1"/>
  <c r="G18310" i="1"/>
  <c r="G18311" i="1"/>
  <c r="G3580" i="2"/>
  <c r="G3579" i="2"/>
  <c r="G3572" i="2"/>
  <c r="G3575" i="2"/>
  <c r="G3574" i="2"/>
  <c r="G18159" i="1"/>
  <c r="G18160" i="1"/>
  <c r="G18161" i="1"/>
  <c r="G18162" i="1"/>
  <c r="G18163" i="1"/>
  <c r="G18164" i="1"/>
  <c r="G18165" i="1"/>
  <c r="G18166" i="1"/>
  <c r="G18167" i="1"/>
  <c r="G18168" i="1"/>
  <c r="G3526" i="2"/>
  <c r="G3527" i="2"/>
  <c r="G3528" i="2"/>
  <c r="G3529" i="2"/>
  <c r="G3530" i="2"/>
  <c r="G3531" i="2"/>
  <c r="G3532" i="2"/>
  <c r="G3533" i="2"/>
  <c r="G3534" i="2"/>
  <c r="G3535" i="2"/>
  <c r="G18458" i="1" l="1"/>
  <c r="G18460" i="1"/>
  <c r="G18075" i="1"/>
  <c r="G18059" i="1"/>
  <c r="G18290" i="1" l="1"/>
  <c r="G18289" i="1"/>
  <c r="G18287" i="1"/>
  <c r="G18286" i="1"/>
  <c r="G18307" i="1"/>
  <c r="G18308" i="1"/>
  <c r="G18306" i="1"/>
  <c r="G18305" i="1"/>
  <c r="G3584" i="2"/>
  <c r="G3583" i="2"/>
  <c r="G18304" i="1"/>
  <c r="G18303" i="1" l="1"/>
  <c r="F151" i="37"/>
  <c r="G3582" i="2"/>
  <c r="G18302" i="1"/>
  <c r="G18299" i="1"/>
  <c r="G18300" i="1"/>
  <c r="G18301" i="1"/>
  <c r="G18294" i="1"/>
  <c r="G18295" i="1"/>
  <c r="G18296" i="1"/>
  <c r="G18297" i="1"/>
  <c r="G18298" i="1"/>
  <c r="G18476" i="1"/>
  <c r="G18293" i="1" l="1"/>
  <c r="G18292" i="1"/>
  <c r="G18291" i="1"/>
  <c r="G18284" i="1"/>
  <c r="G18285" i="1"/>
  <c r="G18288" i="1"/>
  <c r="G18283" i="1"/>
  <c r="G18282" i="1"/>
  <c r="G18281" i="1"/>
  <c r="G18280" i="1"/>
  <c r="G18279" i="1"/>
  <c r="G18278" i="1"/>
  <c r="G18277" i="1"/>
  <c r="G18276" i="1"/>
  <c r="G18275" i="1"/>
  <c r="G18274" i="1"/>
  <c r="G18273" i="1"/>
  <c r="G18272" i="1"/>
  <c r="G18268" i="1" l="1"/>
  <c r="G18269" i="1"/>
  <c r="G18270" i="1"/>
  <c r="G18271" i="1"/>
  <c r="G2791" i="2" l="1"/>
  <c r="G2792" i="2"/>
  <c r="G2793" i="2"/>
  <c r="G2794" i="2"/>
  <c r="G2795" i="2"/>
  <c r="G2796" i="2"/>
  <c r="G2797" i="2"/>
  <c r="F2789" i="2"/>
  <c r="G2790" i="2"/>
  <c r="G17663" i="1"/>
  <c r="G3394" i="2"/>
  <c r="G18193" i="1" l="1"/>
  <c r="G18194" i="1"/>
  <c r="G18195" i="1"/>
  <c r="G18196" i="1"/>
  <c r="G18197" i="1"/>
  <c r="G18198" i="1"/>
  <c r="G18199" i="1"/>
  <c r="G3548" i="2"/>
  <c r="G3547" i="2"/>
  <c r="G3542" i="2"/>
  <c r="G3543" i="2"/>
  <c r="G3544" i="2"/>
  <c r="G3545" i="2"/>
  <c r="G3546" i="2"/>
  <c r="G3475" i="2"/>
  <c r="G18474" i="1"/>
  <c r="G3571" i="2"/>
  <c r="G3476" i="2"/>
  <c r="G3381" i="2"/>
  <c r="G3380" i="2"/>
  <c r="G3365" i="2"/>
  <c r="G3361" i="2"/>
  <c r="G3366" i="2"/>
  <c r="G3237" i="2"/>
  <c r="G3238" i="2"/>
  <c r="G3239" i="2"/>
  <c r="G3240" i="2"/>
  <c r="G3308" i="2"/>
  <c r="G3214" i="2"/>
  <c r="G3213" i="2"/>
  <c r="G2805" i="2"/>
  <c r="G2804" i="2"/>
  <c r="G3116" i="2"/>
  <c r="G3118" i="2"/>
  <c r="G3119" i="2"/>
  <c r="G3117" i="2"/>
  <c r="G3121" i="2"/>
  <c r="G3122" i="2"/>
  <c r="G3123" i="2"/>
  <c r="G3376" i="2"/>
  <c r="G3570" i="2" l="1"/>
  <c r="G3569" i="2"/>
  <c r="G3424" i="2"/>
  <c r="G3564" i="2"/>
  <c r="G3573" i="2"/>
  <c r="G18455" i="1"/>
  <c r="G3568" i="2"/>
  <c r="G3567" i="2"/>
  <c r="G3566" i="2"/>
  <c r="G3565" i="2"/>
  <c r="G3556" i="2"/>
  <c r="G3552" i="2"/>
  <c r="G3559" i="2"/>
  <c r="G3558" i="2"/>
  <c r="G3555" i="2"/>
  <c r="G3551" i="2"/>
  <c r="G3550" i="2"/>
  <c r="G3539" i="2"/>
  <c r="G3538" i="2"/>
  <c r="G3523" i="2"/>
  <c r="G3522" i="2"/>
  <c r="G3519" i="2"/>
  <c r="G3554" i="2" l="1"/>
  <c r="G3549" i="2"/>
  <c r="G18473" i="1" l="1"/>
  <c r="G18472" i="1"/>
  <c r="G18156" i="1"/>
  <c r="G18155" i="1"/>
  <c r="G18202" i="1" l="1"/>
  <c r="G18201" i="1"/>
  <c r="G17829" i="1"/>
  <c r="G18267" i="1"/>
  <c r="G18266" i="1"/>
  <c r="G18265" i="1"/>
  <c r="G18264" i="1"/>
  <c r="G18263" i="1"/>
  <c r="G18262" i="1"/>
  <c r="G18260" i="1"/>
  <c r="G18261" i="1"/>
  <c r="G18256" i="1"/>
  <c r="G18257" i="1"/>
  <c r="G18258" i="1"/>
  <c r="G18259" i="1"/>
  <c r="G18252" i="1"/>
  <c r="G18253" i="1"/>
  <c r="G18254" i="1"/>
  <c r="G18255" i="1"/>
  <c r="G18251" i="1"/>
  <c r="G18249" i="1"/>
  <c r="G18248" i="1"/>
  <c r="G18242" i="1"/>
  <c r="G18247" i="1"/>
  <c r="G17828" i="1"/>
  <c r="G17795" i="1"/>
  <c r="G17791" i="1"/>
  <c r="G17792" i="1"/>
  <c r="G17793" i="1"/>
  <c r="G17794" i="1"/>
  <c r="G17827" i="1"/>
  <c r="G17819" i="1"/>
  <c r="G17820" i="1"/>
  <c r="G17821" i="1"/>
  <c r="G17822" i="1"/>
  <c r="G17823" i="1"/>
  <c r="G17824" i="1"/>
  <c r="G17825" i="1"/>
  <c r="G17826" i="1"/>
  <c r="G18250" i="1" l="1"/>
  <c r="G17707" i="1"/>
  <c r="G18471" i="1"/>
  <c r="G3540" i="2"/>
  <c r="G18245" i="1"/>
  <c r="G18246" i="1"/>
  <c r="E18244" i="1"/>
  <c r="K10" i="31" s="1"/>
  <c r="G18243" i="1"/>
  <c r="G18241" i="1"/>
  <c r="G18240" i="1"/>
  <c r="G18239" i="1"/>
  <c r="G18238" i="1"/>
  <c r="G18237" i="1"/>
  <c r="G18233" i="1"/>
  <c r="G18234" i="1"/>
  <c r="G18235" i="1"/>
  <c r="G18236" i="1"/>
  <c r="G18216" i="1"/>
  <c r="G18217" i="1"/>
  <c r="G18218" i="1"/>
  <c r="G18219" i="1"/>
  <c r="G18220" i="1"/>
  <c r="G18221" i="1"/>
  <c r="G18222" i="1"/>
  <c r="G18223" i="1"/>
  <c r="G18224" i="1"/>
  <c r="G18225" i="1"/>
  <c r="G18226" i="1"/>
  <c r="G18227" i="1"/>
  <c r="G18228" i="1"/>
  <c r="G18229" i="1"/>
  <c r="G18230" i="1"/>
  <c r="G18232" i="1"/>
  <c r="G17818" i="1"/>
  <c r="G18215" i="1"/>
  <c r="G18214" i="1"/>
  <c r="G18213" i="1"/>
  <c r="G18212" i="1"/>
  <c r="G18244" i="1" l="1"/>
  <c r="B13" i="3"/>
  <c r="K11" i="31"/>
  <c r="K6" i="31"/>
  <c r="K5" i="31"/>
  <c r="G3553" i="2"/>
  <c r="G18211" i="1"/>
  <c r="K7" i="31" l="1"/>
  <c r="K12" i="31"/>
  <c r="G18210" i="1"/>
  <c r="G18203" i="1"/>
  <c r="G18204" i="1"/>
  <c r="G18205" i="1"/>
  <c r="G18206" i="1"/>
  <c r="G18207" i="1"/>
  <c r="G18208" i="1"/>
  <c r="G18209" i="1"/>
  <c r="G18200" i="1"/>
  <c r="G17816" i="1"/>
  <c r="G17817" i="1"/>
  <c r="G3541" i="2"/>
  <c r="G18192" i="1"/>
  <c r="G18190" i="1"/>
  <c r="G18191" i="1"/>
  <c r="G18188" i="1"/>
  <c r="G18189" i="1"/>
  <c r="G17810" i="1"/>
  <c r="G17811" i="1"/>
  <c r="G17812" i="1"/>
  <c r="G17813" i="1"/>
  <c r="G18185" i="1"/>
  <c r="G18186" i="1"/>
  <c r="G18187" i="1"/>
  <c r="G18184" i="1"/>
  <c r="G18183" i="1"/>
  <c r="G18182" i="1"/>
  <c r="G18181" i="1"/>
  <c r="G18180" i="1"/>
  <c r="G18179" i="1"/>
  <c r="G18178" i="1"/>
  <c r="G17814" i="1"/>
  <c r="G17815" i="1"/>
  <c r="G18175" i="1"/>
  <c r="G18176" i="1"/>
  <c r="G18177" i="1"/>
  <c r="G18169" i="1"/>
  <c r="G3525" i="2"/>
  <c r="G18158" i="1"/>
  <c r="G18157" i="1"/>
  <c r="G18154" i="1"/>
  <c r="G18153" i="1"/>
  <c r="G18152" i="1"/>
  <c r="G18469" i="1"/>
  <c r="G18171" i="1"/>
  <c r="G18172" i="1"/>
  <c r="G18173" i="1"/>
  <c r="G18174" i="1"/>
  <c r="G18150" i="1"/>
  <c r="G18151" i="1"/>
  <c r="G18170" i="1"/>
  <c r="G3563" i="2"/>
  <c r="G18454" i="1"/>
  <c r="G3562" i="2"/>
  <c r="G18453" i="1"/>
  <c r="K17" i="31" l="1"/>
  <c r="G18467" i="1"/>
  <c r="G18468" i="1"/>
  <c r="G18466" i="1"/>
  <c r="G18465" i="1" l="1"/>
  <c r="G18464" i="1" l="1"/>
  <c r="G2880" i="2"/>
  <c r="G3120" i="2"/>
  <c r="G3507" i="2"/>
  <c r="G3511" i="2"/>
  <c r="G3520" i="2"/>
  <c r="G3518" i="2"/>
  <c r="G3521" i="2"/>
  <c r="G3499" i="2"/>
  <c r="G3492" i="2"/>
  <c r="G3514" i="2"/>
  <c r="G3517" i="2"/>
  <c r="G3516" i="2"/>
  <c r="G3515" i="2"/>
  <c r="G18118" i="1"/>
  <c r="G18117" i="1"/>
  <c r="G18116" i="1"/>
  <c r="G18115" i="1"/>
  <c r="G3512" i="2" l="1"/>
  <c r="G18452" i="1"/>
  <c r="G18144" i="1"/>
  <c r="G18145" i="1"/>
  <c r="G18146" i="1"/>
  <c r="G18147" i="1"/>
  <c r="G18148" i="1"/>
  <c r="G17809" i="1"/>
  <c r="G18149" i="1"/>
  <c r="G18142" i="1"/>
  <c r="G18141" i="1"/>
  <c r="G18143" i="1"/>
  <c r="G17808" i="1"/>
  <c r="G18140" i="1"/>
  <c r="G18139" i="1"/>
  <c r="G18138" i="1"/>
  <c r="G18135" i="1"/>
  <c r="G18136" i="1"/>
  <c r="G18137" i="1"/>
  <c r="G17804" i="1"/>
  <c r="G17805" i="1"/>
  <c r="G17806" i="1"/>
  <c r="G17807" i="1"/>
  <c r="G18134" i="1"/>
  <c r="G17801" i="1"/>
  <c r="G17802" i="1"/>
  <c r="G17803" i="1"/>
  <c r="G18128" i="1"/>
  <c r="G18129" i="1"/>
  <c r="G18130" i="1"/>
  <c r="G18131" i="1"/>
  <c r="G18132" i="1"/>
  <c r="G18133" i="1"/>
  <c r="G18125" i="1"/>
  <c r="G18126" i="1"/>
  <c r="G18127" i="1"/>
  <c r="G17798" i="1"/>
  <c r="G17799" i="1"/>
  <c r="G17800" i="1"/>
  <c r="G18124" i="1"/>
  <c r="G18123" i="1"/>
  <c r="G18122" i="1"/>
  <c r="G17797" i="1"/>
  <c r="G18119" i="1"/>
  <c r="G18120" i="1"/>
  <c r="G18121" i="1"/>
  <c r="G17796" i="1"/>
  <c r="G18114" i="1"/>
  <c r="G18113" i="1"/>
  <c r="G18112" i="1"/>
  <c r="G3509" i="2"/>
  <c r="G3508" i="2"/>
  <c r="G18111" i="1"/>
  <c r="G18110" i="1"/>
  <c r="G18107" i="1"/>
  <c r="G18108" i="1"/>
  <c r="G18109" i="1"/>
  <c r="G18103" i="1"/>
  <c r="G18104" i="1"/>
  <c r="G18105" i="1"/>
  <c r="G18106" i="1"/>
  <c r="G18463" i="1"/>
  <c r="G18462" i="1"/>
  <c r="G18459" i="1" l="1"/>
  <c r="G18461" i="1"/>
  <c r="G18076" i="1"/>
  <c r="C12" i="3"/>
  <c r="B12" i="3"/>
  <c r="G18102" i="1" l="1"/>
  <c r="G18101" i="1"/>
  <c r="G18100" i="1"/>
  <c r="G18099" i="1"/>
  <c r="G18098" i="1"/>
  <c r="G18093" i="1"/>
  <c r="G18094" i="1"/>
  <c r="G18095" i="1"/>
  <c r="G18096" i="1"/>
  <c r="G18097" i="1"/>
  <c r="G18092" i="1"/>
  <c r="G18091" i="1"/>
  <c r="G18090" i="1"/>
  <c r="G18089" i="1"/>
  <c r="G18088" i="1"/>
  <c r="G18087" i="1"/>
  <c r="G18086" i="1"/>
  <c r="G18078" i="1"/>
  <c r="G18079" i="1"/>
  <c r="G18080" i="1"/>
  <c r="G18081" i="1"/>
  <c r="G18082" i="1"/>
  <c r="G18083" i="1"/>
  <c r="G18084" i="1"/>
  <c r="G18085" i="1"/>
  <c r="G18077" i="1"/>
  <c r="G18014" i="1"/>
  <c r="G18010" i="1"/>
  <c r="G18011" i="1"/>
  <c r="G18012" i="1"/>
  <c r="G18013" i="1"/>
  <c r="G17977" i="1"/>
  <c r="G18451" i="1"/>
  <c r="G18450" i="1"/>
  <c r="G18449" i="1"/>
  <c r="G18448" i="1"/>
  <c r="G18447" i="1"/>
  <c r="G18443" i="1"/>
  <c r="G18444" i="1"/>
  <c r="G18445" i="1"/>
  <c r="G18446" i="1"/>
  <c r="G18441" i="1"/>
  <c r="G18440" i="1"/>
  <c r="G18439" i="1"/>
  <c r="G18438" i="1"/>
  <c r="G18437" i="1"/>
  <c r="G18436" i="1"/>
  <c r="F150" i="37"/>
  <c r="G18433" i="1"/>
  <c r="G18423" i="1"/>
  <c r="G18424" i="1"/>
  <c r="G18425" i="1"/>
  <c r="G18426" i="1"/>
  <c r="G18427" i="1"/>
  <c r="G18428" i="1"/>
  <c r="G18429" i="1"/>
  <c r="G18430" i="1"/>
  <c r="G18431" i="1"/>
  <c r="G18432" i="1"/>
  <c r="G18434" i="1"/>
  <c r="G18435" i="1"/>
  <c r="G18442" i="1"/>
  <c r="G18422" i="1"/>
  <c r="G3502" i="2"/>
  <c r="G3501" i="2"/>
  <c r="G3481" i="2"/>
  <c r="G3482" i="2"/>
  <c r="G3483" i="2"/>
  <c r="G3484" i="2"/>
  <c r="G3485" i="2"/>
  <c r="G3486" i="2"/>
  <c r="G3487" i="2"/>
  <c r="G3488" i="2"/>
  <c r="G3489" i="2"/>
  <c r="G3490" i="2"/>
  <c r="G3491" i="2"/>
  <c r="G3423" i="2"/>
  <c r="G3470" i="2"/>
  <c r="G3454" i="2"/>
  <c r="G3452" i="2"/>
  <c r="G3437" i="2"/>
  <c r="G3425" i="2"/>
  <c r="G3422" i="2"/>
  <c r="G3411" i="2"/>
  <c r="G3410" i="2"/>
  <c r="G3472" i="2"/>
  <c r="G3469" i="2"/>
  <c r="G3478" i="2"/>
  <c r="G3477" i="2"/>
  <c r="G3495" i="2"/>
  <c r="G3494" i="2"/>
  <c r="G3474" i="2"/>
  <c r="G18457" i="1"/>
  <c r="G18070" i="1"/>
  <c r="G18074" i="1"/>
  <c r="G17697" i="1"/>
  <c r="G17689" i="1"/>
  <c r="G17995" i="1"/>
  <c r="G18039" i="1"/>
  <c r="G3496" i="2"/>
  <c r="G3493" i="2"/>
  <c r="G18032" i="1"/>
  <c r="F149" i="37"/>
  <c r="G3500" i="2"/>
  <c r="G18031" i="1"/>
  <c r="G18030" i="1"/>
  <c r="G3498" i="2"/>
  <c r="G18029" i="1"/>
  <c r="G18009" i="1"/>
  <c r="G18008" i="1"/>
  <c r="G18007" i="1"/>
  <c r="G18006" i="1"/>
  <c r="G18005" i="1"/>
  <c r="G17996" i="1"/>
  <c r="G17997" i="1"/>
  <c r="G17998" i="1"/>
  <c r="G17999" i="1"/>
  <c r="G18000" i="1"/>
  <c r="G18001" i="1"/>
  <c r="G18002" i="1"/>
  <c r="G18003" i="1"/>
  <c r="G18004" i="1"/>
  <c r="G17994" i="1"/>
  <c r="G17993" i="1"/>
  <c r="G17992" i="1"/>
  <c r="G17991" i="1"/>
  <c r="G3497" i="2"/>
  <c r="G17990" i="1"/>
  <c r="G17989" i="1"/>
  <c r="G17988" i="1"/>
  <c r="G17987" i="1"/>
  <c r="G17983" i="1"/>
  <c r="G17984" i="1"/>
  <c r="G17985" i="1"/>
  <c r="G17986" i="1"/>
  <c r="G17978" i="1"/>
  <c r="G17979" i="1"/>
  <c r="G17980" i="1"/>
  <c r="G17981" i="1"/>
  <c r="G17982" i="1"/>
  <c r="G3480"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9" i="2"/>
  <c r="G17949" i="1"/>
  <c r="G17948" i="1"/>
  <c r="G17947" i="1"/>
  <c r="G17946" i="1"/>
  <c r="G17945" i="1"/>
  <c r="G18068" i="1"/>
  <c r="G18073" i="1"/>
  <c r="G18072" i="1"/>
  <c r="G18071" i="1" l="1"/>
  <c r="G18069" i="1" l="1"/>
  <c r="G3471" i="2"/>
  <c r="G17933" i="1" l="1"/>
  <c r="G17940" i="1"/>
  <c r="G17936" i="1"/>
  <c r="G17937" i="1"/>
  <c r="G17938" i="1"/>
  <c r="G17939" i="1"/>
  <c r="G17928" i="1"/>
  <c r="G17929" i="1"/>
  <c r="G17930" i="1"/>
  <c r="G17931" i="1"/>
  <c r="G17932" i="1"/>
  <c r="G17934" i="1"/>
  <c r="G17935" i="1"/>
  <c r="G17927" i="1"/>
  <c r="G17926" i="1"/>
  <c r="G3473" i="2"/>
  <c r="G18028" i="1"/>
  <c r="G18067" i="1" l="1"/>
  <c r="G18061" i="1"/>
  <c r="G18062" i="1"/>
  <c r="G18063" i="1"/>
  <c r="G18064" i="1"/>
  <c r="G18065" i="1"/>
  <c r="G18066" i="1"/>
  <c r="G18060" i="1"/>
  <c r="G18027" i="1"/>
  <c r="G17924" i="1"/>
  <c r="G17925" i="1"/>
  <c r="G17920" i="1"/>
  <c r="G17921" i="1"/>
  <c r="G17922" i="1"/>
  <c r="G17923" i="1"/>
  <c r="G17916" i="1"/>
  <c r="G17917" i="1"/>
  <c r="G17918" i="1"/>
  <c r="G17919" i="1"/>
  <c r="G17915" i="1"/>
  <c r="G17914" i="1"/>
  <c r="G17909" i="1"/>
  <c r="G17910" i="1"/>
  <c r="G17911" i="1"/>
  <c r="G17912" i="1"/>
  <c r="G17913" i="1"/>
  <c r="G18054" i="1"/>
  <c r="G3468" i="2"/>
  <c r="G3445"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61" i="2"/>
  <c r="G3462" i="2"/>
  <c r="G3463" i="2"/>
  <c r="G3464" i="2"/>
  <c r="G3465" i="2"/>
  <c r="G3466" i="2"/>
  <c r="G3467" i="2"/>
  <c r="G17886" i="1"/>
  <c r="G17884" i="1"/>
  <c r="G17885" i="1"/>
  <c r="G17880" i="1"/>
  <c r="G17881" i="1"/>
  <c r="G17882" i="1"/>
  <c r="H73" i="5" l="1"/>
  <c r="H72" i="5"/>
  <c r="H71" i="5"/>
  <c r="G73" i="5"/>
  <c r="G72" i="5"/>
  <c r="G71" i="5"/>
  <c r="I70" i="5"/>
  <c r="I71" i="5"/>
  <c r="I72" i="5"/>
  <c r="I73" i="5"/>
  <c r="G3431" i="2"/>
  <c r="G3444" i="2"/>
  <c r="G18053" i="1"/>
  <c r="G18047" i="1"/>
  <c r="G18048" i="1"/>
  <c r="G18049" i="1"/>
  <c r="G18050" i="1"/>
  <c r="G18051" i="1"/>
  <c r="G18052" i="1"/>
  <c r="I74" i="5" l="1"/>
  <c r="I78" i="5" s="1"/>
  <c r="I80" i="5" s="1"/>
  <c r="G18035" i="1"/>
  <c r="C11" i="3"/>
  <c r="B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F148" i="37"/>
  <c r="G3460" i="2"/>
  <c r="G17857" i="1"/>
  <c r="G3456" i="2"/>
  <c r="G3457" i="2"/>
  <c r="G3458" i="2"/>
  <c r="G3459" i="2"/>
  <c r="G17854" i="1"/>
  <c r="G17855" i="1"/>
  <c r="G17856" i="1"/>
  <c r="G17853" i="1"/>
  <c r="G17852" i="1"/>
  <c r="G17851" i="1"/>
  <c r="G3455" i="2"/>
  <c r="G17850" i="1"/>
  <c r="G17849" i="1"/>
  <c r="G17848" i="1"/>
  <c r="G17847" i="1"/>
  <c r="F147" i="37"/>
  <c r="G3438" i="2"/>
  <c r="G3451" i="2"/>
  <c r="G3450" i="2"/>
  <c r="G3436" i="2"/>
  <c r="G3443" i="2"/>
  <c r="G3435" i="2"/>
  <c r="G3350" i="2"/>
  <c r="G3434" i="2"/>
  <c r="G3453" i="2"/>
  <c r="G3442" i="2"/>
  <c r="G3446" i="2"/>
  <c r="G3421" i="2"/>
  <c r="G3360" i="2"/>
  <c r="G3349" i="2"/>
  <c r="G3449" i="2"/>
  <c r="G3441" i="2"/>
  <c r="G3440" i="2"/>
  <c r="G3430" i="2"/>
  <c r="G18046" i="1"/>
  <c r="G18042" i="1"/>
  <c r="G18043" i="1"/>
  <c r="G18044" i="1"/>
  <c r="G18045" i="1"/>
  <c r="G17846" i="1"/>
  <c r="G17843" i="1"/>
  <c r="G17845" i="1"/>
  <c r="G17844" i="1"/>
  <c r="G17842" i="1"/>
  <c r="G17835" i="1"/>
  <c r="G17836" i="1"/>
  <c r="G17837" i="1"/>
  <c r="G17838" i="1"/>
  <c r="G17839" i="1"/>
  <c r="G17840" i="1"/>
  <c r="G17841" i="1"/>
  <c r="G17834" i="1"/>
  <c r="G17833" i="1"/>
  <c r="G17832" i="1"/>
  <c r="G18026" i="1"/>
  <c r="G18025" i="1"/>
  <c r="G18024" i="1"/>
  <c r="G18023" i="1"/>
  <c r="G18022" i="1"/>
  <c r="G18021" i="1"/>
  <c r="G18020" i="1"/>
  <c r="G18041" i="1"/>
  <c r="G18040" i="1"/>
  <c r="G17831" i="1"/>
  <c r="G17830" i="1"/>
  <c r="G17790" i="1"/>
  <c r="G17782" i="1"/>
  <c r="G17621" i="1"/>
  <c r="G17622" i="1"/>
  <c r="G17783" i="1"/>
  <c r="G17784" i="1"/>
  <c r="G17785" i="1"/>
  <c r="G17786" i="1"/>
  <c r="G17787" i="1"/>
  <c r="G17788" i="1"/>
  <c r="G17789" i="1"/>
  <c r="G17619" i="1"/>
  <c r="G17620" i="1"/>
  <c r="G17623" i="1"/>
  <c r="G17781" i="1"/>
  <c r="G17780" i="1"/>
  <c r="G17779" i="1"/>
  <c r="G17778" i="1"/>
  <c r="G18037" i="1"/>
  <c r="G18038" i="1"/>
  <c r="G17777" i="1" l="1"/>
  <c r="G17718" i="1"/>
  <c r="G17436" i="1"/>
  <c r="G17437" i="1"/>
  <c r="G17772" i="1"/>
  <c r="G17773" i="1"/>
  <c r="G17774" i="1"/>
  <c r="G17775" i="1"/>
  <c r="G17776" i="1"/>
  <c r="G17742" i="1"/>
  <c r="G17723" i="1"/>
  <c r="G17722" i="1"/>
  <c r="G17712" i="1"/>
  <c r="G17713" i="1"/>
  <c r="G17714" i="1"/>
  <c r="G18019" i="1" l="1"/>
  <c r="G18017" i="1"/>
  <c r="G18018" i="1"/>
  <c r="G18016" i="1"/>
  <c r="G18015" i="1"/>
  <c r="G17602" i="1"/>
  <c r="G17603" i="1"/>
  <c r="G17604" i="1"/>
  <c r="G17605" i="1"/>
  <c r="G17606" i="1"/>
  <c r="G17607" i="1"/>
  <c r="G17608" i="1"/>
  <c r="G17609" i="1"/>
  <c r="G3448" i="2"/>
  <c r="G3447"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F146" i="37"/>
  <c r="G3433" i="2"/>
  <c r="G17724" i="1"/>
  <c r="F145" i="37"/>
  <c r="G3432"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6" i="1"/>
  <c r="G18034" i="1"/>
  <c r="G18033" i="1"/>
  <c r="G3414" i="2"/>
  <c r="G3417" i="2"/>
  <c r="G3418" i="2"/>
  <c r="G3419" i="2"/>
  <c r="G3420" i="2"/>
  <c r="G17539" i="1"/>
  <c r="G17705" i="1"/>
  <c r="J17"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9" i="2"/>
  <c r="G3428" i="2"/>
  <c r="G3427" i="2"/>
  <c r="G3426" i="2"/>
  <c r="G17678" i="1"/>
  <c r="G17679" i="1"/>
  <c r="G17680" i="1"/>
  <c r="G17681" i="1"/>
  <c r="G17677" i="1"/>
  <c r="G17676" i="1"/>
  <c r="G17675" i="1"/>
  <c r="G17674" i="1"/>
  <c r="G3409" i="2"/>
  <c r="G3355" i="2"/>
  <c r="G3168" i="2"/>
  <c r="G3160" i="2"/>
  <c r="G3004" i="2"/>
  <c r="G2908" i="2"/>
  <c r="G3390" i="2" l="1"/>
  <c r="G3391" i="2"/>
  <c r="G3392" i="2"/>
  <c r="G3393" i="2"/>
  <c r="G3395" i="2"/>
  <c r="G3396" i="2"/>
  <c r="G3397" i="2"/>
  <c r="G3125" i="2"/>
  <c r="G3124" i="2"/>
  <c r="G2823" i="2"/>
  <c r="G2789" i="2"/>
  <c r="G3413" i="2" l="1"/>
  <c r="G3408" i="2"/>
  <c r="G17673" i="1" l="1"/>
  <c r="G17672" i="1"/>
  <c r="G17687" i="1"/>
  <c r="G17704" i="1" l="1"/>
  <c r="G17698" i="1"/>
  <c r="G17696" i="1"/>
  <c r="G17695" i="1"/>
  <c r="G17694" i="1"/>
  <c r="G17693" i="1"/>
  <c r="G17692" i="1"/>
  <c r="J22" i="33"/>
  <c r="M3" i="33"/>
  <c r="G3288" i="2" l="1"/>
  <c r="G3169" i="2"/>
  <c r="G3074" i="2"/>
  <c r="G17691" i="1"/>
  <c r="G3375" i="2" l="1"/>
  <c r="G3354" i="2"/>
  <c r="G3348" i="2"/>
  <c r="G3341" i="2"/>
  <c r="G3334" i="2"/>
  <c r="G3321" i="2"/>
  <c r="G3407" i="2"/>
  <c r="G3406" i="2"/>
  <c r="G3405" i="2"/>
  <c r="G3389" i="2"/>
  <c r="G17567" i="1"/>
  <c r="G3412" i="2"/>
  <c r="G17564" i="1"/>
  <c r="G17565" i="1"/>
  <c r="G17566" i="1"/>
  <c r="G17667" i="1" l="1"/>
  <c r="G17559" i="1"/>
  <c r="G17560" i="1"/>
  <c r="G17561" i="1"/>
  <c r="G3404" i="2"/>
  <c r="G3403" i="2"/>
  <c r="G3402"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1" i="2"/>
  <c r="G3400" i="2"/>
  <c r="G3399"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7" i="2"/>
  <c r="G3388" i="2"/>
  <c r="G17658" i="1" l="1"/>
  <c r="G17657" i="1"/>
  <c r="G3398" i="2"/>
  <c r="G3382" i="2"/>
  <c r="G3379" i="2"/>
  <c r="G3378" i="2"/>
  <c r="G3369"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8" i="2"/>
  <c r="G3386" i="2"/>
  <c r="G3385" i="2"/>
  <c r="G3359" i="2"/>
  <c r="G17650" i="1"/>
  <c r="G17648" i="1"/>
  <c r="G3377" i="2"/>
  <c r="G3368" i="2"/>
  <c r="G3367" i="2"/>
  <c r="G3357" i="2"/>
  <c r="G3345" i="2"/>
  <c r="G3384" i="2"/>
  <c r="G3383"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70" i="2" l="1"/>
  <c r="G3371" i="2"/>
  <c r="G3372" i="2"/>
  <c r="G3373" i="2"/>
  <c r="G3374" i="2"/>
  <c r="G17646" i="1"/>
  <c r="G17645" i="1"/>
  <c r="G17644" i="1"/>
  <c r="G17643" i="1"/>
  <c r="G17642" i="1"/>
  <c r="G17290" i="1"/>
  <c r="G3347" i="2" l="1"/>
  <c r="G3346"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3" i="2" l="1"/>
  <c r="G3339" i="2"/>
  <c r="G3351" i="2"/>
  <c r="G3344" i="2"/>
  <c r="G3343" i="2"/>
  <c r="G3338" i="2"/>
  <c r="G3337" i="2"/>
  <c r="G3326" i="2"/>
  <c r="G3356" i="2"/>
  <c r="G3342" i="2"/>
  <c r="G3340"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6" i="2"/>
  <c r="G17361" i="1"/>
  <c r="G17683" i="1"/>
  <c r="G17684" i="1"/>
  <c r="G17685" i="1"/>
  <c r="G3325" i="2"/>
  <c r="G3302" i="2"/>
  <c r="G3318" i="2"/>
  <c r="G3320"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31" i="1"/>
  <c r="F3328" i="2"/>
  <c r="G3329" i="2"/>
  <c r="G3333" i="2"/>
  <c r="G3324" i="2"/>
  <c r="G3332" i="2"/>
  <c r="G3319" i="2"/>
  <c r="G3317"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1" i="2"/>
  <c r="G3330" i="2"/>
  <c r="G17634" i="1"/>
  <c r="G17633" i="1"/>
  <c r="G3323" i="2"/>
  <c r="G3327" i="2"/>
  <c r="G3328" i="2"/>
  <c r="G17632" i="1"/>
  <c r="G17630" i="1"/>
  <c r="G17629" i="1"/>
  <c r="G17628" i="1"/>
  <c r="G17627" i="1"/>
  <c r="M20" i="33"/>
  <c r="M7" i="33"/>
  <c r="M6" i="33"/>
  <c r="M12" i="33"/>
  <c r="M32" i="33" l="1"/>
  <c r="C24" i="33" l="1"/>
  <c r="E24" i="33" s="1"/>
  <c r="C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6"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21" i="33" l="1"/>
  <c r="G17314" i="1" l="1"/>
  <c r="G17313" i="1"/>
  <c r="G3316" i="2"/>
  <c r="G3322" i="2"/>
  <c r="G3315" i="2"/>
  <c r="G3314" i="2"/>
  <c r="F3256" i="2"/>
  <c r="G3313" i="2"/>
  <c r="G3311" i="2"/>
  <c r="G3310" i="2"/>
  <c r="G3304" i="2"/>
  <c r="G3303" i="2"/>
  <c r="G3297" i="2"/>
  <c r="G3312" i="2"/>
  <c r="G3309" i="2"/>
  <c r="G3170" i="2"/>
  <c r="G3167" i="2"/>
  <c r="G3296" i="2"/>
  <c r="G3295" i="2"/>
  <c r="G3307" i="2"/>
  <c r="G3306" i="2"/>
  <c r="G3305" i="2"/>
  <c r="G3301" i="2"/>
  <c r="G3300" i="2"/>
  <c r="G3299" i="2"/>
  <c r="G3298" i="2"/>
  <c r="G3294"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3" i="2"/>
  <c r="G3292" i="2"/>
  <c r="G3291" i="2"/>
  <c r="G3290" i="2"/>
  <c r="G3287"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6" i="2" l="1"/>
  <c r="G3281" i="2"/>
  <c r="G3285" i="2"/>
  <c r="G3271" i="2"/>
  <c r="G3280" i="2"/>
  <c r="G17307" i="1"/>
  <c r="G3284" i="2"/>
  <c r="G3283" i="2"/>
  <c r="G3270" i="2" l="1"/>
  <c r="G3269" i="2"/>
  <c r="V20" i="31" l="1"/>
  <c r="G17306" i="1" l="1"/>
  <c r="G17103" i="1"/>
  <c r="G17098" i="1"/>
  <c r="G17099" i="1"/>
  <c r="G17100" i="1"/>
  <c r="G17101" i="1"/>
  <c r="G17102" i="1"/>
  <c r="G3282" i="2"/>
  <c r="G17305" i="1"/>
  <c r="G17304" i="1"/>
  <c r="G17303" i="1"/>
  <c r="G3273" i="2"/>
  <c r="G3274" i="2"/>
  <c r="G3275" i="2"/>
  <c r="G3276" i="2"/>
  <c r="G3277" i="2"/>
  <c r="G3278" i="2"/>
  <c r="G3279"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2" i="2"/>
  <c r="G17082" i="1"/>
  <c r="G17077" i="1"/>
  <c r="G17078" i="1"/>
  <c r="G17079" i="1"/>
  <c r="G17080" i="1"/>
  <c r="G17081" i="1"/>
  <c r="I139" i="28"/>
  <c r="G17324" i="1"/>
  <c r="G17325" i="1"/>
  <c r="G3268" i="2"/>
  <c r="G3267" i="2"/>
  <c r="G3266" i="2"/>
  <c r="G3265" i="2"/>
  <c r="G3264" i="2"/>
  <c r="G3263" i="2"/>
  <c r="G3262" i="2"/>
  <c r="G3261" i="2"/>
  <c r="G3260" i="2"/>
  <c r="G3259" i="2"/>
  <c r="G3258" i="2"/>
  <c r="G3257" i="2"/>
  <c r="G3256" i="2"/>
  <c r="G3255" i="2"/>
  <c r="G2378" i="2"/>
  <c r="G3254" i="2"/>
  <c r="G2957" i="2"/>
  <c r="G17323" i="1"/>
  <c r="G16975" i="1"/>
  <c r="G16974" i="1"/>
  <c r="G17072" i="1"/>
  <c r="G17073" i="1"/>
  <c r="G16846" i="1"/>
  <c r="G17074" i="1"/>
  <c r="G17075" i="1"/>
  <c r="G17076" i="1"/>
  <c r="G17071" i="1"/>
  <c r="G17070" i="1"/>
  <c r="G17069" i="1"/>
  <c r="E30" i="33"/>
  <c r="G3253" i="2"/>
  <c r="G17068" i="1"/>
  <c r="G17064" i="1"/>
  <c r="G17065" i="1"/>
  <c r="G17066" i="1"/>
  <c r="G17067" i="1"/>
  <c r="G3212" i="2"/>
  <c r="G3224" i="2"/>
  <c r="G3252" i="2"/>
  <c r="G3233" i="2"/>
  <c r="G3232" i="2"/>
  <c r="G3226" i="2"/>
  <c r="G3225" i="2"/>
  <c r="G3251" i="2"/>
  <c r="G3250" i="2"/>
  <c r="G3235" i="2"/>
  <c r="G3234" i="2"/>
  <c r="G3231" i="2"/>
  <c r="G3230" i="2"/>
  <c r="G3229" i="2"/>
  <c r="G3215"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8" i="2"/>
  <c r="G3249" i="2"/>
  <c r="G3248" i="2"/>
  <c r="G3247" i="2"/>
  <c r="G3245" i="2"/>
  <c r="G17322" i="1"/>
  <c r="G3241" i="2"/>
  <c r="G3242" i="2"/>
  <c r="G3243" i="2"/>
  <c r="G3244" i="2"/>
  <c r="G3236" i="2"/>
  <c r="G3189" i="2"/>
  <c r="G2956" i="2"/>
  <c r="G295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7" i="2" l="1"/>
  <c r="E51" i="33"/>
  <c r="G16516" i="1"/>
  <c r="G17320" i="1"/>
  <c r="G16959" i="1"/>
  <c r="G3223" i="2"/>
  <c r="G16968" i="1"/>
  <c r="G16965" i="1"/>
  <c r="G16966" i="1"/>
  <c r="G16967" i="1"/>
  <c r="G16964" i="1"/>
  <c r="G16952" i="1"/>
  <c r="G16953" i="1"/>
  <c r="G16954" i="1"/>
  <c r="G16955" i="1"/>
  <c r="G16956" i="1"/>
  <c r="G16957" i="1"/>
  <c r="G16958" i="1"/>
  <c r="G16960" i="1"/>
  <c r="G16961" i="1"/>
  <c r="G16962" i="1"/>
  <c r="G16963" i="1"/>
  <c r="F3205" i="2"/>
  <c r="G3207" i="2"/>
  <c r="G16947" i="1" l="1"/>
  <c r="G16948" i="1"/>
  <c r="G16949" i="1"/>
  <c r="G16950" i="1"/>
  <c r="G3220" i="2"/>
  <c r="G3219" i="2"/>
  <c r="G3211" i="2"/>
  <c r="G3210" i="2"/>
  <c r="G3209" i="2"/>
  <c r="G3208" i="2"/>
  <c r="G3206" i="2"/>
  <c r="G16875" i="1"/>
  <c r="G16876" i="1"/>
  <c r="G16877" i="1"/>
  <c r="G3216" i="2"/>
  <c r="G3205" i="2"/>
  <c r="G3204" i="2"/>
  <c r="G3203" i="2"/>
  <c r="G3217" i="2"/>
  <c r="G3201" i="2"/>
  <c r="G3200" i="2"/>
  <c r="G3186" i="2"/>
  <c r="G3222" i="2"/>
  <c r="G3218" i="2"/>
  <c r="G16951" i="1"/>
  <c r="G16946" i="1"/>
  <c r="G16941" i="1"/>
  <c r="G16942" i="1"/>
  <c r="G16943" i="1"/>
  <c r="G16944" i="1"/>
  <c r="G16945" i="1"/>
  <c r="G3221"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2" i="2"/>
  <c r="G3131" i="2"/>
  <c r="G3152" i="2"/>
  <c r="G3151" i="2"/>
  <c r="G3143" i="2"/>
  <c r="G3142" i="2"/>
  <c r="G16857" i="1"/>
  <c r="G16852" i="1"/>
  <c r="G16853" i="1"/>
  <c r="G16854" i="1"/>
  <c r="G16855" i="1"/>
  <c r="G16856" i="1"/>
  <c r="G3192" i="2"/>
  <c r="G3193" i="2"/>
  <c r="G3194" i="2"/>
  <c r="G3195" i="2"/>
  <c r="G3196" i="2"/>
  <c r="G16773" i="1"/>
  <c r="G16912" i="1"/>
  <c r="G16879" i="1"/>
  <c r="G16880" i="1"/>
  <c r="G16881" i="1"/>
  <c r="G16882" i="1"/>
  <c r="G16878" i="1"/>
  <c r="G3202" i="2"/>
  <c r="G16874" i="1"/>
  <c r="G16873" i="1" l="1"/>
  <c r="G16872" i="1"/>
  <c r="G16866" i="1"/>
  <c r="G16867" i="1"/>
  <c r="G16868" i="1"/>
  <c r="G16869" i="1"/>
  <c r="G16870" i="1"/>
  <c r="G16871" i="1"/>
  <c r="G16865" i="1"/>
  <c r="G16858" i="1" l="1"/>
  <c r="G16859" i="1"/>
  <c r="G16860" i="1"/>
  <c r="G16861" i="1"/>
  <c r="G16862" i="1"/>
  <c r="G3199" i="2"/>
  <c r="G3198" i="2"/>
  <c r="G16929" i="1" l="1"/>
  <c r="G3164" i="2"/>
  <c r="G3165" i="2"/>
  <c r="G3166" i="2"/>
  <c r="G3162" i="2"/>
  <c r="G3159" i="2"/>
  <c r="G3163" i="2"/>
  <c r="G3150" i="2"/>
  <c r="G3146" i="2"/>
  <c r="G3145" i="2"/>
  <c r="G3188" i="2"/>
  <c r="G3180" i="2"/>
  <c r="G3187" i="2"/>
  <c r="G3149" i="2"/>
  <c r="G3073" i="2"/>
  <c r="G16863" i="1" l="1"/>
  <c r="G16864" i="1"/>
  <c r="G3197" i="2"/>
  <c r="G3191"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90" i="2"/>
  <c r="G16775" i="1"/>
  <c r="G16774" i="1"/>
  <c r="G16772" i="1"/>
  <c r="G16757" i="1"/>
  <c r="G3185" i="2"/>
  <c r="G16756" i="1"/>
  <c r="G16755" i="1"/>
  <c r="G16754" i="1"/>
  <c r="G3184" i="2"/>
  <c r="G3183" i="2"/>
  <c r="G3182" i="2"/>
  <c r="G16753" i="1"/>
  <c r="G16752" i="1"/>
  <c r="G3154" i="2"/>
  <c r="G3157" i="2"/>
  <c r="G3156" i="2"/>
  <c r="G3155" i="2"/>
  <c r="G3153" i="2"/>
  <c r="G3148" i="2"/>
  <c r="G3147" i="2"/>
  <c r="G3181"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1" i="2"/>
  <c r="G3172" i="2"/>
  <c r="G3173" i="2"/>
  <c r="G3174" i="2"/>
  <c r="G3175" i="2"/>
  <c r="G3176" i="2"/>
  <c r="G3177" i="2"/>
  <c r="G3178" i="2"/>
  <c r="G3179" i="2"/>
  <c r="G3144" i="2"/>
  <c r="G16734" i="1"/>
  <c r="G16733" i="1" l="1"/>
  <c r="G3161" i="2"/>
  <c r="G16732" i="1"/>
  <c r="G16715" i="1"/>
  <c r="G16731" i="1"/>
  <c r="G3158"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40" i="2"/>
  <c r="G314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9" i="2"/>
  <c r="G3138" i="2"/>
  <c r="G3137" i="2"/>
  <c r="G313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5" i="2" l="1"/>
  <c r="G3110" i="2"/>
  <c r="G3075" i="2"/>
  <c r="G3059" i="2"/>
  <c r="G3028" i="2"/>
  <c r="G3127" i="2"/>
  <c r="G3126" i="2"/>
  <c r="G3115" i="2"/>
  <c r="G3128" i="2"/>
  <c r="G311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4" i="2" l="1"/>
  <c r="G16586" i="1"/>
  <c r="G3130" i="2"/>
  <c r="G3133" i="2"/>
  <c r="G3109" i="2"/>
  <c r="G3105" i="2"/>
  <c r="G3104" i="2"/>
  <c r="G309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3" i="2" l="1"/>
  <c r="G3112" i="2"/>
  <c r="G311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097" i="2"/>
  <c r="G3096" i="2"/>
  <c r="G3089" i="2"/>
  <c r="G3088" i="2"/>
  <c r="G3108" i="2"/>
  <c r="G3072" i="2"/>
  <c r="G3071" i="2"/>
  <c r="G3078" i="2"/>
  <c r="G3107" i="2"/>
  <c r="G3095" i="2"/>
  <c r="G3094" i="2"/>
  <c r="G3058" i="2"/>
  <c r="G3106" i="2"/>
  <c r="G3093" i="2"/>
  <c r="G3092" i="2"/>
  <c r="G3091" i="2"/>
  <c r="G3090" i="2"/>
  <c r="G3077" i="2"/>
  <c r="G3064" i="2"/>
  <c r="G3063" i="2"/>
  <c r="G3062" i="2"/>
  <c r="G3061" i="2"/>
  <c r="G3060" i="2"/>
  <c r="G16442" i="1" l="1"/>
  <c r="G16441" i="1"/>
  <c r="G16440" i="1"/>
  <c r="G16434" i="1"/>
  <c r="G16433" i="1"/>
  <c r="G3102" i="2"/>
  <c r="G16500" i="1"/>
  <c r="G3101" i="2"/>
  <c r="G3100" i="2"/>
  <c r="G3099" i="2"/>
  <c r="G16432" i="1"/>
  <c r="G16430" i="1"/>
  <c r="G16429" i="1"/>
  <c r="G16428" i="1" l="1"/>
  <c r="G16427" i="1"/>
  <c r="G16499" i="1"/>
  <c r="G16498" i="1"/>
  <c r="G16497" i="1"/>
  <c r="G16525" i="1"/>
  <c r="G16524" i="1"/>
  <c r="G16522" i="1"/>
  <c r="G16523" i="1"/>
  <c r="E52" i="33"/>
  <c r="E50" i="33"/>
  <c r="E49" i="33"/>
  <c r="E48" i="33"/>
  <c r="C47" i="33"/>
  <c r="E47" i="33" s="1"/>
  <c r="E46" i="33"/>
  <c r="E45" i="33"/>
  <c r="E43" i="33"/>
  <c r="E42" i="33"/>
  <c r="E34" i="33"/>
  <c r="E33" i="33"/>
  <c r="E32" i="33"/>
  <c r="E28" i="33"/>
  <c r="E26" i="33"/>
  <c r="E13" i="33"/>
  <c r="E12"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7" i="2"/>
  <c r="G3086" i="2"/>
  <c r="G3085" i="2"/>
  <c r="G16366" i="1"/>
  <c r="G16367" i="1"/>
  <c r="G16368" i="1"/>
  <c r="G16369" i="1"/>
  <c r="G16370" i="1"/>
  <c r="G16371" i="1"/>
  <c r="G16372" i="1"/>
  <c r="G16284" i="1"/>
  <c r="G16518" i="1"/>
  <c r="G16517" i="1"/>
  <c r="T9" i="30"/>
  <c r="G16492" i="1" l="1"/>
  <c r="G16487" i="1"/>
  <c r="G16488" i="1"/>
  <c r="G16489" i="1"/>
  <c r="G16490" i="1"/>
  <c r="G16491" i="1"/>
  <c r="G3084" i="2"/>
  <c r="G3079" i="2"/>
  <c r="G3080" i="2"/>
  <c r="G3081" i="2"/>
  <c r="G3082" i="2"/>
  <c r="G3083" i="2"/>
  <c r="G16486" i="1"/>
  <c r="G16485" i="1"/>
  <c r="G307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2" i="2" l="1"/>
  <c r="G3051" i="2"/>
  <c r="G16331" i="1"/>
  <c r="G16332" i="1"/>
  <c r="G16333" i="1"/>
  <c r="G16334" i="1"/>
  <c r="G16335" i="1"/>
  <c r="G3070" i="2"/>
  <c r="G3069" i="2"/>
  <c r="G3068" i="2"/>
  <c r="G3067" i="2"/>
  <c r="G3066" i="2"/>
  <c r="G3065" i="2"/>
  <c r="G16338" i="1"/>
  <c r="G16339" i="1"/>
  <c r="G16340" i="1"/>
  <c r="G16341" i="1"/>
  <c r="G16342" i="1"/>
  <c r="G16343" i="1"/>
  <c r="G16344" i="1"/>
  <c r="G3026" i="2"/>
  <c r="G16482" i="1"/>
  <c r="G16481" i="1"/>
  <c r="G16480" i="1"/>
  <c r="G3048" i="2"/>
  <c r="G3050" i="2"/>
  <c r="G3049" i="2"/>
  <c r="G2975" i="2"/>
  <c r="G2974" i="2"/>
  <c r="G3053" i="2" l="1"/>
  <c r="G3043" i="2"/>
  <c r="G3042" i="2"/>
  <c r="G3025" i="2" l="1"/>
  <c r="G3054" i="2"/>
  <c r="G3055" i="2"/>
  <c r="G3056" i="2"/>
  <c r="G3057" i="2"/>
  <c r="F17" i="32" s="1"/>
  <c r="G17" i="32" s="1"/>
  <c r="H17" i="32" s="1"/>
  <c r="I17" i="32" s="1"/>
  <c r="J17" i="32" s="1"/>
  <c r="K17" i="32" s="1"/>
  <c r="G3027" i="2"/>
  <c r="G3024" i="2"/>
  <c r="G302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40" i="2"/>
  <c r="G3039" i="2"/>
  <c r="G3017" i="2"/>
  <c r="G3005" i="2"/>
  <c r="G16479" i="1"/>
  <c r="G3047" i="2"/>
  <c r="F7" i="32" s="1"/>
  <c r="G7" i="32" s="1"/>
  <c r="H7" i="32" s="1"/>
  <c r="I7" i="32" s="1"/>
  <c r="J7" i="32" s="1"/>
  <c r="K7" i="32" s="1"/>
  <c r="L7" i="32" s="1"/>
  <c r="M7" i="32" s="1"/>
  <c r="N7" i="32" s="1"/>
  <c r="O7" i="32" s="1"/>
  <c r="P7" i="32" s="1"/>
  <c r="Q7" i="32" s="1"/>
  <c r="G3046" i="2"/>
  <c r="G3045" i="2"/>
  <c r="G3044" i="2"/>
  <c r="G3041" i="2"/>
  <c r="G3003" i="2"/>
  <c r="G298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3" i="2"/>
  <c r="G3034" i="2"/>
  <c r="G3035" i="2"/>
  <c r="G3036" i="2"/>
  <c r="G3037" i="2"/>
  <c r="G303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2" i="2"/>
  <c r="G16471" i="1"/>
  <c r="G16470" i="1"/>
  <c r="G3031" i="2"/>
  <c r="G3030" i="2"/>
  <c r="G3029" i="2"/>
  <c r="G16468" i="1"/>
  <c r="G15723" i="1"/>
  <c r="G15724" i="1"/>
  <c r="G15725" i="1"/>
  <c r="G15726" i="1"/>
  <c r="G15727" i="1"/>
  <c r="G15721" i="1"/>
  <c r="G16469" i="1" l="1"/>
  <c r="G16505" i="1"/>
  <c r="G302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1" i="2"/>
  <c r="G3020" i="2"/>
  <c r="G3015" i="2"/>
  <c r="G3014" i="2"/>
  <c r="G3013" i="2"/>
  <c r="G3012" i="2"/>
  <c r="G3011" i="2"/>
  <c r="G3019" i="2"/>
  <c r="G3009" i="2"/>
  <c r="G3016" i="2"/>
  <c r="G3008" i="2"/>
  <c r="G2944" i="2"/>
  <c r="G2899" i="2"/>
  <c r="G3018" i="2" l="1"/>
  <c r="G3010" i="2"/>
  <c r="G2994" i="2"/>
  <c r="G2970" i="2"/>
  <c r="G2954"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6" i="2"/>
  <c r="G3002" i="2"/>
  <c r="G3001" i="2"/>
  <c r="G3000" i="2"/>
  <c r="G2999" i="2"/>
  <c r="G2998" i="2"/>
  <c r="G16073" i="1"/>
  <c r="G2997" i="2"/>
  <c r="G2996" i="2"/>
  <c r="G299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2" i="2"/>
  <c r="G2988" i="2"/>
  <c r="G2976" i="2"/>
  <c r="G2969" i="2"/>
  <c r="G299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7" i="2"/>
  <c r="G2986" i="2"/>
  <c r="G2985" i="2"/>
  <c r="G2984" i="2"/>
  <c r="G2983" i="2"/>
  <c r="G2982" i="2"/>
  <c r="G2981" i="2"/>
  <c r="G2990" i="2"/>
  <c r="G15915" i="1"/>
  <c r="G15916" i="1"/>
  <c r="G15917" i="1"/>
  <c r="G15919" i="1"/>
  <c r="G15920" i="1"/>
  <c r="G15921" i="1"/>
  <c r="G15922" i="1"/>
  <c r="G15923" i="1"/>
  <c r="G15924" i="1"/>
  <c r="G15925" i="1"/>
  <c r="G15926" i="1"/>
  <c r="G15927" i="1"/>
  <c r="G15928" i="1"/>
  <c r="G15929" i="1"/>
  <c r="G15930" i="1"/>
  <c r="G2960" i="2"/>
  <c r="G2959" i="2"/>
  <c r="G2958" i="2"/>
  <c r="G2980" i="2" l="1"/>
  <c r="G2979" i="2"/>
  <c r="G2978" i="2"/>
  <c r="G2977" i="2"/>
  <c r="G2973" i="2"/>
  <c r="G2972" i="2"/>
  <c r="G2971" i="2"/>
  <c r="G2968" i="2"/>
  <c r="G296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6" i="2"/>
  <c r="G2965" i="2"/>
  <c r="G296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3" i="2"/>
  <c r="G2962" i="2"/>
  <c r="G2961" i="2"/>
  <c r="G15800" i="1"/>
  <c r="G15799" i="1"/>
  <c r="G16072" i="1"/>
  <c r="G16071" i="1"/>
  <c r="G2949" i="2" l="1"/>
  <c r="G15621" i="1"/>
  <c r="G2896" i="2"/>
  <c r="F2897" i="2"/>
  <c r="G2929" i="2"/>
  <c r="G2951" i="2"/>
  <c r="G2950" i="2"/>
  <c r="G2938" i="2"/>
  <c r="G2923" i="2"/>
  <c r="G2930" i="2"/>
  <c r="G2888" i="2"/>
  <c r="G2872" i="2"/>
  <c r="G2863" i="2"/>
  <c r="G2859" i="2"/>
  <c r="G2834" i="2"/>
  <c r="G2818" i="2"/>
  <c r="G281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8" i="2"/>
  <c r="G2935" i="2"/>
  <c r="G16070" i="1"/>
  <c r="D109" i="28"/>
  <c r="N79" i="28"/>
  <c r="I79" i="28"/>
  <c r="D79" i="28"/>
  <c r="N139" i="28"/>
  <c r="T28" i="31"/>
  <c r="D139" i="28"/>
  <c r="G16069" i="1"/>
  <c r="G2953" i="2"/>
  <c r="G2952" i="2"/>
  <c r="G2947" i="2"/>
  <c r="G2946" i="2"/>
  <c r="G2945" i="2"/>
  <c r="G2928" i="2"/>
  <c r="G2924" i="2"/>
  <c r="G292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U28" i="31"/>
  <c r="L78" i="23"/>
  <c r="V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3" i="2"/>
  <c r="G2942" i="2"/>
  <c r="G2941" i="2"/>
  <c r="G2940" i="2"/>
  <c r="G2939" i="2"/>
  <c r="G16042" i="1"/>
  <c r="G15543" i="1"/>
  <c r="G15542" i="1"/>
  <c r="G2926" i="2"/>
  <c r="G2925" i="2"/>
  <c r="G15267" i="1"/>
  <c r="G15268" i="1"/>
  <c r="G15269" i="1"/>
  <c r="G15270" i="1"/>
  <c r="G15271" i="1"/>
  <c r="G15286" i="1"/>
  <c r="G15287" i="1"/>
  <c r="G2937" i="2"/>
  <c r="G2936" i="2"/>
  <c r="G2934" i="2"/>
  <c r="G15466" i="1"/>
  <c r="G2933" i="2"/>
  <c r="G2932" i="2"/>
  <c r="G2832" i="2"/>
  <c r="G2831" i="2"/>
  <c r="G2830" i="2"/>
  <c r="G2829" i="2"/>
  <c r="G2828" i="2"/>
  <c r="G2827" i="2"/>
  <c r="G2826" i="2"/>
  <c r="G2651" i="2"/>
  <c r="G2825" i="2"/>
  <c r="C18" i="3"/>
  <c r="G15609" i="1"/>
  <c r="G15608" i="1"/>
  <c r="G15607" i="1"/>
  <c r="G15606" i="1"/>
  <c r="G15605" i="1"/>
  <c r="G15587" i="1"/>
  <c r="G2931" i="2"/>
  <c r="G15634" i="1"/>
  <c r="G15601" i="1"/>
  <c r="G15602" i="1"/>
  <c r="G15603" i="1"/>
  <c r="G15604" i="1"/>
  <c r="G15600" i="1"/>
  <c r="G15599" i="1"/>
  <c r="G15598" i="1"/>
  <c r="G15597" i="1"/>
  <c r="G15596" i="1"/>
  <c r="G15595" i="1"/>
  <c r="G15594" i="1"/>
  <c r="G15593" i="1"/>
  <c r="G15592" i="1"/>
  <c r="C19" i="3" l="1"/>
  <c r="E5" i="31" s="1"/>
  <c r="G15586" i="1"/>
  <c r="G15591" i="1"/>
  <c r="G15590" i="1"/>
  <c r="G15589" i="1"/>
  <c r="G15588" i="1"/>
  <c r="G15566" i="1"/>
  <c r="G15565" i="1"/>
  <c r="G15564" i="1"/>
  <c r="G292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2" i="2"/>
  <c r="G2887" i="2"/>
  <c r="G2868" i="2"/>
  <c r="G2904" i="2"/>
  <c r="G2903" i="2"/>
  <c r="G2891" i="2"/>
  <c r="G2862" i="2"/>
  <c r="G2901" i="2"/>
  <c r="G2900" i="2"/>
  <c r="G2890" i="2"/>
  <c r="G2889" i="2"/>
  <c r="G15633" i="1"/>
  <c r="G15632" i="1"/>
  <c r="G15631" i="1"/>
  <c r="G2911" i="2"/>
  <c r="G2910" i="2"/>
  <c r="G2909" i="2"/>
  <c r="G2907" i="2"/>
  <c r="G2906" i="2"/>
  <c r="G2905" i="2"/>
  <c r="G15647" i="1"/>
  <c r="G15441" i="1"/>
  <c r="G15496" i="1" l="1"/>
  <c r="G15636" i="1"/>
  <c r="G2819" i="2" l="1"/>
  <c r="G289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4" i="2"/>
  <c r="G2915" i="2"/>
  <c r="G2916" i="2"/>
  <c r="G2917" i="2"/>
  <c r="G2918" i="2"/>
  <c r="G2919" i="2"/>
  <c r="G2920" i="2"/>
  <c r="F2921" i="2"/>
  <c r="G2921" i="2" s="1"/>
  <c r="G15622" i="1"/>
  <c r="G15620" i="1"/>
  <c r="G15619" i="1"/>
  <c r="G2897" i="2"/>
  <c r="G2895" i="2"/>
  <c r="G2894" i="2"/>
  <c r="G15618" i="1"/>
  <c r="G15617" i="1"/>
  <c r="G2902" i="2"/>
  <c r="G2893" i="2"/>
  <c r="G2821" i="2"/>
  <c r="G278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3" i="2"/>
  <c r="G291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5" i="2"/>
  <c r="G2846" i="2"/>
  <c r="G2815" i="2"/>
  <c r="F2735" i="2"/>
  <c r="G2845" i="2"/>
  <c r="G2844" i="2"/>
  <c r="G2843" i="2"/>
  <c r="G2842" i="2"/>
  <c r="G2802" i="2"/>
  <c r="G2841" i="2"/>
  <c r="G2840" i="2"/>
  <c r="G15648" i="1"/>
  <c r="G14890" i="1" l="1"/>
  <c r="G15644" i="1"/>
  <c r="G14908" i="1"/>
  <c r="G14889" i="1"/>
  <c r="G14888" i="1"/>
  <c r="G14887" i="1"/>
  <c r="G14891" i="1"/>
  <c r="G15639" i="1"/>
  <c r="G15616" i="1"/>
  <c r="G288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4" i="2"/>
  <c r="G2883" i="2"/>
  <c r="G2882" i="2"/>
  <c r="G2881" i="2"/>
  <c r="G2874" i="2"/>
  <c r="G2873" i="2"/>
  <c r="G2871" i="2"/>
  <c r="G2867" i="2"/>
  <c r="G2866" i="2"/>
  <c r="G2865" i="2"/>
  <c r="G2864" i="2"/>
  <c r="G2861" i="2"/>
  <c r="G2860" i="2"/>
  <c r="G2853" i="2"/>
  <c r="G283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5" i="2"/>
  <c r="G2876" i="2"/>
  <c r="G2877" i="2"/>
  <c r="G2878" i="2"/>
  <c r="G2879" i="2"/>
  <c r="G15387" i="1"/>
  <c r="G15638" i="1"/>
  <c r="G15386" i="1"/>
  <c r="G15385" i="1"/>
  <c r="G15376" i="1"/>
  <c r="G15377" i="1"/>
  <c r="G15378" i="1"/>
  <c r="G15379" i="1"/>
  <c r="G15380" i="1"/>
  <c r="G15381" i="1"/>
  <c r="G15382" i="1"/>
  <c r="G15383" i="1"/>
  <c r="G15384" i="1"/>
  <c r="G287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8" i="2"/>
  <c r="G15244" i="1"/>
  <c r="G2852" i="2"/>
  <c r="G2851" i="2"/>
  <c r="G2822" i="2"/>
  <c r="G2813" i="2"/>
  <c r="G2799" i="2"/>
  <c r="G2850" i="2"/>
  <c r="G2849" i="2"/>
  <c r="G2857" i="2"/>
  <c r="G2838" i="2"/>
  <c r="G2837" i="2"/>
  <c r="G2812" i="2"/>
  <c r="G2803" i="2"/>
  <c r="G2856" i="2"/>
  <c r="G2855" i="2"/>
  <c r="G2854" i="2"/>
  <c r="G2820" i="2" l="1"/>
  <c r="G2817" i="2"/>
  <c r="G2816" i="2"/>
  <c r="G2811" i="2"/>
  <c r="G2810" i="2"/>
  <c r="G15114" i="1"/>
  <c r="G15113" i="1"/>
  <c r="G2848" i="2"/>
  <c r="G15243" i="1"/>
  <c r="G2847" i="2"/>
  <c r="G15242" i="1"/>
  <c r="G15241" i="1"/>
  <c r="G2836" i="2"/>
  <c r="G2835" i="2"/>
  <c r="G15240" i="1"/>
  <c r="G15239" i="1"/>
  <c r="G2833" i="2" l="1"/>
  <c r="G2824"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9" i="2"/>
  <c r="G2808" i="2"/>
  <c r="G2807" i="2"/>
  <c r="G280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1" i="2" l="1"/>
  <c r="G2800" i="2"/>
  <c r="G2787" i="2"/>
  <c r="G2775" i="2"/>
  <c r="G15227" i="1"/>
  <c r="G15226" i="1"/>
  <c r="G15257" i="1"/>
  <c r="G15001" i="1"/>
  <c r="G16" i="3"/>
  <c r="E15224" i="1"/>
  <c r="F17" i="3" s="1"/>
  <c r="G2786" i="2"/>
  <c r="G2785" i="2"/>
  <c r="G2784" i="2"/>
  <c r="G2783" i="2"/>
  <c r="G15007" i="1"/>
  <c r="G15008" i="1"/>
  <c r="G15009" i="1"/>
  <c r="G15010" i="1"/>
  <c r="G15011" i="1"/>
  <c r="G2758" i="2"/>
  <c r="G2776" i="2"/>
  <c r="F2769" i="2"/>
  <c r="G2774" i="2"/>
  <c r="G2773" i="2"/>
  <c r="G2772" i="2"/>
  <c r="E14644" i="1"/>
  <c r="E14654" i="1"/>
  <c r="E14653" i="1"/>
  <c r="G15006" i="1"/>
  <c r="G15005" i="1"/>
  <c r="G15004" i="1"/>
  <c r="G15003" i="1"/>
  <c r="G15000" i="1"/>
  <c r="G14999" i="1"/>
  <c r="G14998" i="1"/>
  <c r="G14997" i="1"/>
  <c r="G14996" i="1"/>
  <c r="G2798" i="2"/>
  <c r="G14987" i="1"/>
  <c r="G14986" i="1"/>
  <c r="G2782" i="2"/>
  <c r="G2781" i="2"/>
  <c r="G2780" i="2"/>
  <c r="G14985" i="1"/>
  <c r="G14984" i="1"/>
  <c r="G2779" i="2"/>
  <c r="G2778" i="2"/>
  <c r="G272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7" i="2"/>
  <c r="G15222" i="1"/>
  <c r="G14879" i="1"/>
  <c r="G15255" i="1"/>
  <c r="G15221" i="1"/>
  <c r="G15220" i="1"/>
  <c r="G15219" i="1"/>
  <c r="G15254" i="1"/>
  <c r="G15253" i="1"/>
  <c r="G2767" i="2"/>
  <c r="G2770" i="2"/>
  <c r="G2763" i="2"/>
  <c r="G2750" i="2"/>
  <c r="G2745" i="2"/>
  <c r="G2724" i="2"/>
  <c r="G2723" i="2"/>
  <c r="G277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9" i="2"/>
  <c r="G2768" i="2"/>
  <c r="G2766" i="2"/>
  <c r="G276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4" i="2"/>
  <c r="G15252" i="1"/>
  <c r="G15249" i="1"/>
  <c r="G15250" i="1"/>
  <c r="G15251" i="1"/>
  <c r="G15248" i="1"/>
  <c r="G15247" i="1"/>
  <c r="G15246" i="1"/>
  <c r="G15245" i="1"/>
  <c r="G14824" i="1"/>
  <c r="G14823" i="1"/>
  <c r="G14822" i="1"/>
  <c r="G14821" i="1"/>
  <c r="G2762" i="2"/>
  <c r="G2761" i="2"/>
  <c r="G14815" i="1"/>
  <c r="G14816" i="1"/>
  <c r="G14817" i="1"/>
  <c r="G14818" i="1"/>
  <c r="G14819" i="1"/>
  <c r="G14820" i="1"/>
  <c r="G14810" i="1"/>
  <c r="G14809" i="1"/>
  <c r="G2760" i="2"/>
  <c r="G2759" i="2"/>
  <c r="G14790" i="1"/>
  <c r="G14789" i="1"/>
  <c r="G14814" i="1"/>
  <c r="G14813" i="1"/>
  <c r="G14812" i="1"/>
  <c r="G14884" i="1"/>
  <c r="G14811" i="1"/>
  <c r="G14808" i="1"/>
  <c r="G14793" i="1"/>
  <c r="G14794" i="1"/>
  <c r="G14795" i="1"/>
  <c r="G14796" i="1"/>
  <c r="G14797" i="1"/>
  <c r="G2757" i="2"/>
  <c r="G2756" i="2"/>
  <c r="G2755" i="2"/>
  <c r="G2754" i="2"/>
  <c r="G2753" i="2"/>
  <c r="G14788" i="1"/>
  <c r="G14791" i="1"/>
  <c r="G14792" i="1"/>
  <c r="G14787" i="1"/>
  <c r="G14786" i="1"/>
  <c r="G14749" i="1"/>
  <c r="G14862" i="1"/>
  <c r="G14883" i="1" l="1"/>
  <c r="G14868" i="1" l="1"/>
  <c r="G14866" i="1"/>
  <c r="G14864" i="1"/>
  <c r="G2752" i="2"/>
  <c r="G14861" i="1"/>
  <c r="G275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6" i="2"/>
  <c r="G2747" i="2"/>
  <c r="G2748" i="2"/>
  <c r="G2749" i="2"/>
  <c r="G14856" i="1"/>
  <c r="G14853" i="1"/>
  <c r="G14854" i="1"/>
  <c r="G14855" i="1"/>
  <c r="G2744" i="2"/>
  <c r="G2743" i="2"/>
  <c r="G2742" i="2"/>
  <c r="G2741" i="2"/>
  <c r="G14852" i="1"/>
  <c r="G14851" i="1"/>
  <c r="G2734" i="2"/>
  <c r="G2721" i="2"/>
  <c r="G2715" i="2"/>
  <c r="G2728" i="2" l="1"/>
  <c r="G2738" i="2"/>
  <c r="G2730" i="2"/>
  <c r="G2729" i="2"/>
  <c r="G2727" i="2"/>
  <c r="G2726" i="2"/>
  <c r="G14876" i="1"/>
  <c r="G14875" i="1"/>
  <c r="G274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9" i="2"/>
  <c r="G2736" i="2"/>
  <c r="G2735" i="2"/>
  <c r="G273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2" i="2"/>
  <c r="G2733" i="2"/>
  <c r="G2731" i="2"/>
  <c r="G14871" i="1"/>
  <c r="G14870" i="1"/>
  <c r="G14869" i="1"/>
  <c r="G14867" i="1"/>
  <c r="G14865" i="1"/>
  <c r="G2720" i="2"/>
  <c r="G2725" i="2"/>
  <c r="G2719" i="2"/>
  <c r="G2718" i="2"/>
  <c r="G2712" i="2"/>
  <c r="G2717"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6" i="2"/>
  <c r="G2699" i="2"/>
  <c r="G14535" i="1"/>
  <c r="G14534" i="1"/>
  <c r="G14533" i="1"/>
  <c r="G14532" i="1"/>
  <c r="G14536" i="1"/>
  <c r="G14537" i="1"/>
  <c r="G14539" i="1"/>
  <c r="G14531" i="1"/>
  <c r="G14635" i="1"/>
  <c r="G14633" i="1"/>
  <c r="G14625" i="1"/>
  <c r="G14530" i="1"/>
  <c r="G14529" i="1"/>
  <c r="G14528" i="1"/>
  <c r="G14527" i="1"/>
  <c r="G14521" i="1"/>
  <c r="G14522" i="1"/>
  <c r="G14523" i="1"/>
  <c r="G14524" i="1"/>
  <c r="G14520" i="1"/>
  <c r="G2714" i="2"/>
  <c r="G2713" i="2"/>
  <c r="G14519" i="1"/>
  <c r="G14518" i="1"/>
  <c r="G14517" i="1"/>
  <c r="G12607" i="1"/>
  <c r="G12606" i="1"/>
  <c r="G2700" i="2"/>
  <c r="G2707" i="2"/>
  <c r="G2711" i="2"/>
  <c r="G271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8" i="2"/>
  <c r="G2709" i="2"/>
  <c r="G14490" i="1" l="1"/>
  <c r="G14489" i="1"/>
  <c r="G14488" i="1"/>
  <c r="G2706" i="2"/>
  <c r="G14487" i="1"/>
  <c r="G14631" i="1"/>
  <c r="G14486" i="1"/>
  <c r="G14485" i="1"/>
  <c r="G14484" i="1"/>
  <c r="G14483" i="1"/>
  <c r="G14482" i="1"/>
  <c r="G14481" i="1"/>
  <c r="G14480" i="1"/>
  <c r="G14479" i="1"/>
  <c r="G14478" i="1"/>
  <c r="G14477" i="1"/>
  <c r="G14476" i="1"/>
  <c r="G14475" i="1"/>
  <c r="G14474" i="1"/>
  <c r="G14473" i="1"/>
  <c r="G14472" i="1"/>
  <c r="G14471" i="1"/>
  <c r="G14470" i="1"/>
  <c r="G2705" i="2"/>
  <c r="G2704" i="2"/>
  <c r="G2703" i="2"/>
  <c r="G2702" i="2"/>
  <c r="G270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4" i="2"/>
  <c r="G2689" i="2"/>
  <c r="G2688" i="2"/>
  <c r="G2668" i="2"/>
  <c r="G2690" i="2"/>
  <c r="G2691" i="2"/>
  <c r="G2692" i="2"/>
  <c r="G2693" i="2"/>
  <c r="G2694" i="2"/>
  <c r="G2695" i="2"/>
  <c r="G2696" i="2"/>
  <c r="G2697" i="2"/>
  <c r="G2698"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7" i="2"/>
  <c r="G14373" i="1"/>
  <c r="G2656" i="2"/>
  <c r="G2649" i="2"/>
  <c r="G2643" i="2"/>
  <c r="G2682" i="2"/>
  <c r="G2655" i="2"/>
  <c r="G2674" i="2"/>
  <c r="G2673" i="2"/>
  <c r="G14324" i="1"/>
  <c r="G14270" i="1" l="1"/>
  <c r="G14269" i="1"/>
  <c r="G14321" i="1"/>
  <c r="G14322" i="1"/>
  <c r="G14323" i="1"/>
  <c r="G14325" i="1"/>
  <c r="G14317" i="1"/>
  <c r="G14310" i="1"/>
  <c r="G14309" i="1"/>
  <c r="G14308" i="1"/>
  <c r="G14301" i="1"/>
  <c r="G14320" i="1"/>
  <c r="G14319" i="1"/>
  <c r="G14318" i="1"/>
  <c r="G2686" i="2"/>
  <c r="G2685" i="2"/>
  <c r="G2684" i="2"/>
  <c r="G14314" i="1"/>
  <c r="G14313" i="1"/>
  <c r="G14316" i="1"/>
  <c r="G2681" i="2"/>
  <c r="G2683" i="2"/>
  <c r="G14315" i="1"/>
  <c r="G2672" i="2"/>
  <c r="G14312" i="1"/>
  <c r="G14311" i="1"/>
  <c r="G14307" i="1"/>
  <c r="G14306" i="1"/>
  <c r="G14305" i="1"/>
  <c r="G14304" i="1"/>
  <c r="G14303" i="1"/>
  <c r="G14302" i="1"/>
  <c r="G14300" i="1"/>
  <c r="G14380" i="1"/>
  <c r="G14377" i="1"/>
  <c r="G14299" i="1"/>
  <c r="G14288" i="1"/>
  <c r="G14298" i="1"/>
  <c r="G14372" i="1"/>
  <c r="G2680" i="2"/>
  <c r="G2679" i="2"/>
  <c r="G14371" i="1"/>
  <c r="G14370" i="1"/>
  <c r="G14297" i="1"/>
  <c r="G14296" i="1"/>
  <c r="G14295" i="1"/>
  <c r="G2678" i="2"/>
  <c r="G14294" i="1"/>
  <c r="G14293" i="1"/>
  <c r="G14292" i="1"/>
  <c r="G14291" i="1"/>
  <c r="G14290" i="1"/>
  <c r="G14289" i="1"/>
  <c r="G14287" i="1"/>
  <c r="G2677" i="2" l="1"/>
  <c r="G2676" i="2"/>
  <c r="G2675" i="2"/>
  <c r="G2671" i="2" l="1"/>
  <c r="G2670" i="2"/>
  <c r="G2581" i="2"/>
  <c r="G2669" i="2"/>
  <c r="G2667" i="2"/>
  <c r="E2666" i="2"/>
  <c r="G2666" i="2" s="1"/>
  <c r="G2665" i="2"/>
  <c r="E2664" i="2"/>
  <c r="G2664" i="2" s="1"/>
  <c r="E2663" i="2"/>
  <c r="G266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2" i="2"/>
  <c r="G2661" i="2"/>
  <c r="G2660" i="2"/>
  <c r="G2659" i="2"/>
  <c r="G14367" i="1"/>
  <c r="G14366" i="1"/>
  <c r="G14365" i="1"/>
  <c r="G2658" i="2"/>
  <c r="G2657" i="2"/>
  <c r="G14364" i="1"/>
  <c r="G14363" i="1"/>
  <c r="G14362" i="1"/>
  <c r="G14361" i="1"/>
  <c r="G2654" i="2"/>
  <c r="G2653" i="2"/>
  <c r="G14360" i="1"/>
  <c r="G14359" i="1"/>
  <c r="G14272" i="1"/>
  <c r="G14271" i="1"/>
  <c r="G14268" i="1"/>
  <c r="G14265" i="1"/>
  <c r="G14264" i="1"/>
  <c r="G14263" i="1"/>
  <c r="G14262" i="1"/>
  <c r="G14259" i="1"/>
  <c r="G14258" i="1"/>
  <c r="G14257" i="1"/>
  <c r="G14256" i="1"/>
  <c r="G14255" i="1"/>
  <c r="G14254" i="1"/>
  <c r="G14253" i="1"/>
  <c r="G14252" i="1"/>
  <c r="G14251" i="1"/>
  <c r="G14250" i="1"/>
  <c r="G14249" i="1"/>
  <c r="G2642" i="2"/>
  <c r="G2641" i="2"/>
  <c r="G2620" i="2"/>
  <c r="G2647" i="2"/>
  <c r="G2646" i="2"/>
  <c r="G2645" i="2"/>
  <c r="G14376" i="1"/>
  <c r="G2633" i="2"/>
  <c r="G265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648" i="2"/>
  <c r="G14375" i="1"/>
  <c r="G14209" i="1"/>
  <c r="G2650" i="2"/>
  <c r="G2640" i="2"/>
  <c r="G2639" i="2"/>
  <c r="G263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7" i="2"/>
  <c r="G2636" i="2"/>
  <c r="G2635" i="2"/>
  <c r="G14192" i="1"/>
  <c r="G14190" i="1"/>
  <c r="G14189" i="1"/>
  <c r="G14188" i="1"/>
  <c r="G2634" i="2"/>
  <c r="G14187" i="1"/>
  <c r="G14175" i="1"/>
  <c r="G2616" i="2"/>
  <c r="G14186" i="1"/>
  <c r="G14207" i="1"/>
  <c r="G14205" i="1"/>
  <c r="G2632" i="2"/>
  <c r="G2631" i="2"/>
  <c r="G14096" i="1"/>
  <c r="G14100" i="1"/>
  <c r="G14099" i="1"/>
  <c r="G14098" i="1"/>
  <c r="G14097" i="1"/>
  <c r="G14203" i="1"/>
  <c r="G14202" i="1"/>
  <c r="G12" i="3"/>
  <c r="G14001" i="1"/>
  <c r="G13998" i="1"/>
  <c r="G14185" i="1"/>
  <c r="G14184" i="1"/>
  <c r="G2618" i="2"/>
  <c r="G2622" i="2"/>
  <c r="G2614" i="2"/>
  <c r="G2548" i="2"/>
  <c r="G2623" i="2"/>
  <c r="G2624" i="2"/>
  <c r="G2621" i="2"/>
  <c r="G2613" i="2"/>
  <c r="G2607" i="2"/>
  <c r="G14095" i="1"/>
  <c r="G14094" i="1"/>
  <c r="G14093" i="1"/>
  <c r="G14092" i="1"/>
  <c r="G14091" i="1"/>
  <c r="G2630" i="2"/>
  <c r="G14183" i="1"/>
  <c r="G2629" i="2"/>
  <c r="G2628" i="2"/>
  <c r="G2627" i="2"/>
  <c r="G2626" i="2"/>
  <c r="G262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9" i="2"/>
  <c r="G14049" i="1"/>
  <c r="G14048" i="1"/>
  <c r="G14047" i="1"/>
  <c r="G2617"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6" i="2"/>
  <c r="G2605" i="2"/>
  <c r="G2604" i="2"/>
  <c r="G2603" i="2"/>
  <c r="G2615" i="2"/>
  <c r="G14174" i="1"/>
  <c r="G2612" i="2"/>
  <c r="G14173" i="1"/>
  <c r="G2611" i="2"/>
  <c r="G2610" i="2"/>
  <c r="G2609" i="2"/>
  <c r="G2608" i="2"/>
  <c r="G14172" i="1"/>
  <c r="G14171" i="1"/>
  <c r="G14199" i="1"/>
  <c r="G2602" i="2"/>
  <c r="G2601" i="2"/>
  <c r="G2594"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600" i="2"/>
  <c r="G13980" i="1"/>
  <c r="G14023" i="1"/>
  <c r="G14022" i="1"/>
  <c r="G13917" i="1"/>
  <c r="G13916" i="1"/>
  <c r="G13915" i="1"/>
  <c r="G13909" i="1"/>
  <c r="G13908" i="1"/>
  <c r="G13907" i="1"/>
  <c r="G13906" i="1"/>
  <c r="G13905" i="1"/>
  <c r="G14021" i="1"/>
  <c r="G13920" i="1"/>
  <c r="G13919" i="1"/>
  <c r="G13918" i="1"/>
  <c r="G13911" i="1"/>
  <c r="G14000" i="1"/>
  <c r="G2596" i="2"/>
  <c r="G2587" i="2"/>
  <c r="G2590" i="2"/>
  <c r="G2595" i="2"/>
  <c r="G2599" i="2"/>
  <c r="G2598" i="2"/>
  <c r="G2597" i="2"/>
  <c r="G13914" i="1"/>
  <c r="G13913" i="1"/>
  <c r="G13912" i="1"/>
  <c r="G13910" i="1"/>
  <c r="G13904" i="1"/>
  <c r="G13903" i="1"/>
  <c r="G13902" i="1"/>
  <c r="G13901" i="1"/>
  <c r="G13900" i="1"/>
  <c r="G2593" i="2"/>
  <c r="G2592" i="2"/>
  <c r="G2591"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9" i="2"/>
  <c r="G13975" i="1"/>
  <c r="G13974" i="1"/>
  <c r="G2588" i="2"/>
  <c r="G2586"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1" i="2"/>
  <c r="G2585" i="2"/>
  <c r="G2580" i="2"/>
  <c r="G2572"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4" i="2"/>
  <c r="G2583" i="2"/>
  <c r="G2582"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4" i="2" l="1"/>
  <c r="G2579" i="2"/>
  <c r="G2578" i="2"/>
  <c r="G13963" i="1"/>
  <c r="G13962" i="1"/>
  <c r="G13961" i="1"/>
  <c r="G13957" i="1"/>
  <c r="G13958" i="1"/>
  <c r="G13959" i="1"/>
  <c r="G13960" i="1"/>
  <c r="G2577" i="2"/>
  <c r="G2576" i="2"/>
  <c r="G2575" i="2"/>
  <c r="G2574" i="2"/>
  <c r="G2573" i="2"/>
  <c r="G13956" i="1"/>
  <c r="E13955" i="1"/>
  <c r="F12" i="3" s="1"/>
  <c r="G13954" i="1"/>
  <c r="G13953" i="1"/>
  <c r="G2553" i="2"/>
  <c r="G2547" i="2"/>
  <c r="G2545" i="2"/>
  <c r="G2544" i="2"/>
  <c r="G2543" i="2"/>
  <c r="G2540" i="2"/>
  <c r="G2552" i="2"/>
  <c r="G2517" i="2"/>
  <c r="G2539" i="2"/>
  <c r="G2538" i="2"/>
  <c r="G2498" i="2"/>
  <c r="G2551" i="2"/>
  <c r="G2568" i="2"/>
  <c r="G2567" i="2"/>
  <c r="G2570" i="2"/>
  <c r="G2569" i="2"/>
  <c r="G13988" i="1"/>
  <c r="G13799" i="1"/>
  <c r="G11" i="3"/>
  <c r="G13714" i="1"/>
  <c r="G13807" i="1"/>
  <c r="G2566" i="2"/>
  <c r="G2565" i="2"/>
  <c r="G2564" i="2"/>
  <c r="G13806" i="1"/>
  <c r="G13805" i="1"/>
  <c r="G13804" i="1"/>
  <c r="G13952" i="1"/>
  <c r="G2563"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2" i="2"/>
  <c r="G2561" i="2"/>
  <c r="G2560" i="2"/>
  <c r="G13795" i="1"/>
  <c r="G13794" i="1"/>
  <c r="G2559" i="2"/>
  <c r="G13793" i="1"/>
  <c r="G2558" i="2"/>
  <c r="G13951" i="1"/>
  <c r="G13785" i="1"/>
  <c r="G13784" i="1"/>
  <c r="G13783" i="1"/>
  <c r="G13782" i="1"/>
  <c r="G13781" i="1"/>
  <c r="G13780" i="1"/>
  <c r="G13779" i="1"/>
  <c r="G13778" i="1"/>
  <c r="G13777" i="1"/>
  <c r="G13776" i="1"/>
  <c r="G13775" i="1"/>
  <c r="G13774" i="1"/>
  <c r="G2537" i="2"/>
  <c r="G2536" i="2"/>
  <c r="G13950" i="1"/>
  <c r="G13949" i="1"/>
  <c r="G13948" i="1"/>
  <c r="G13947" i="1"/>
  <c r="G13946" i="1"/>
  <c r="G13945" i="1"/>
  <c r="G13944" i="1"/>
  <c r="G13943" i="1"/>
  <c r="G13942" i="1"/>
  <c r="G2557" i="2"/>
  <c r="G2556" i="2"/>
  <c r="G2555" i="2"/>
  <c r="G2554"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50" i="2"/>
  <c r="G2533" i="2"/>
  <c r="G2542" i="2"/>
  <c r="G2541" i="2"/>
  <c r="G2485" i="2"/>
  <c r="G2532" i="2"/>
  <c r="G2520" i="2"/>
  <c r="G2516" i="2"/>
  <c r="G2549" i="2"/>
  <c r="G2535" i="2"/>
  <c r="G2534"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6"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1" i="2" l="1"/>
  <c r="G2530" i="2"/>
  <c r="G2515" i="2" l="1"/>
  <c r="G13716" i="1" l="1"/>
  <c r="G2527" i="2" l="1"/>
  <c r="G2526" i="2"/>
  <c r="G2525" i="2"/>
  <c r="G2524" i="2"/>
  <c r="G2523" i="2"/>
  <c r="F2528" i="2"/>
  <c r="G2528" i="2" s="1"/>
  <c r="G2448" i="2"/>
  <c r="G2497" i="2"/>
  <c r="G2522" i="2"/>
  <c r="G2521" i="2"/>
  <c r="G2519" i="2"/>
  <c r="G2518" i="2"/>
  <c r="G2495" i="2"/>
  <c r="G2484" i="2"/>
  <c r="G2529" i="2"/>
  <c r="G13629" i="1"/>
  <c r="G13628" i="1"/>
  <c r="G13627" i="1"/>
  <c r="G13626" i="1"/>
  <c r="G13625" i="1"/>
  <c r="G13620" i="1"/>
  <c r="G13619" i="1"/>
  <c r="G13715" i="1"/>
  <c r="G13713" i="1"/>
  <c r="M22" i="23"/>
  <c r="G13618" i="1"/>
  <c r="G2514" i="2"/>
  <c r="G13707" i="1"/>
  <c r="G13706" i="1"/>
  <c r="G13705" i="1"/>
  <c r="G13704" i="1"/>
  <c r="G2513" i="2"/>
  <c r="G2512" i="2"/>
  <c r="G2511" i="2"/>
  <c r="G2510" i="2"/>
  <c r="G2509" i="2"/>
  <c r="G2508" i="2"/>
  <c r="G2507" i="2"/>
  <c r="G13703" i="1"/>
  <c r="G2506" i="2"/>
  <c r="G2505" i="2"/>
  <c r="G13702" i="1"/>
  <c r="G13701" i="1"/>
  <c r="G13700" i="1"/>
  <c r="G13617" i="1"/>
  <c r="G13605" i="1"/>
  <c r="G13604" i="1"/>
  <c r="G13603" i="1"/>
  <c r="G13602" i="1"/>
  <c r="G13601" i="1"/>
  <c r="G13589" i="1"/>
  <c r="G13588" i="1"/>
  <c r="G13587" i="1"/>
  <c r="G13586" i="1"/>
  <c r="G13585" i="1"/>
  <c r="G13616" i="1"/>
  <c r="G2504" i="2"/>
  <c r="G2503" i="2"/>
  <c r="G13615" i="1"/>
  <c r="G13614" i="1"/>
  <c r="G13613" i="1"/>
  <c r="G13612" i="1"/>
  <c r="G13611" i="1"/>
  <c r="G13610" i="1"/>
  <c r="G13609" i="1"/>
  <c r="G13608" i="1"/>
  <c r="G13607" i="1"/>
  <c r="G13606" i="1"/>
  <c r="G2502" i="2"/>
  <c r="G13600" i="1"/>
  <c r="G2501" i="2"/>
  <c r="G13599" i="1"/>
  <c r="G13598" i="1"/>
  <c r="G13597" i="1"/>
  <c r="G13596" i="1"/>
  <c r="G13595" i="1"/>
  <c r="G13594" i="1"/>
  <c r="G13593" i="1"/>
  <c r="G13592" i="1"/>
  <c r="G13591" i="1"/>
  <c r="G13590" i="1"/>
  <c r="G2500" i="2"/>
  <c r="G2499" i="2"/>
  <c r="G2496" i="2"/>
  <c r="G2494" i="2"/>
  <c r="G2483" i="2"/>
  <c r="G13584" i="1"/>
  <c r="G13583" i="1"/>
  <c r="G13582" i="1"/>
  <c r="G13581" i="1"/>
  <c r="G13712" i="1"/>
  <c r="G13580" i="1"/>
  <c r="G13579" i="1"/>
  <c r="G13578" i="1"/>
  <c r="G13577" i="1"/>
  <c r="G13576" i="1"/>
  <c r="G13565" i="1"/>
  <c r="G13564" i="1"/>
  <c r="G13563" i="1"/>
  <c r="G13562" i="1"/>
  <c r="G2493" i="2"/>
  <c r="G2492" i="2"/>
  <c r="G2491" i="2"/>
  <c r="G2490" i="2"/>
  <c r="G2335" i="2"/>
  <c r="G2334" i="2"/>
  <c r="G13575" i="1"/>
  <c r="G13573" i="1"/>
  <c r="G13572" i="1"/>
  <c r="G13574" i="1"/>
  <c r="G13571" i="1"/>
  <c r="G13492" i="1"/>
  <c r="G2480" i="2"/>
  <c r="G13570" i="1"/>
  <c r="G13561" i="1"/>
  <c r="G13569" i="1"/>
  <c r="G13568" i="1"/>
  <c r="G13567" i="1"/>
  <c r="G13566" i="1"/>
  <c r="G13698" i="1"/>
  <c r="G13699" i="1"/>
  <c r="G2489" i="2"/>
  <c r="G2488" i="2"/>
  <c r="G2487" i="2"/>
  <c r="G2486" i="2"/>
  <c r="G13697" i="1"/>
  <c r="G13711" i="1" l="1"/>
  <c r="G13696" i="1"/>
  <c r="G2482" i="2"/>
  <c r="G2481"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9" i="2"/>
  <c r="G2453" i="2"/>
  <c r="G2476" i="2"/>
  <c r="G13511" i="1" l="1"/>
  <c r="G13491" i="1"/>
  <c r="G13490" i="1"/>
  <c r="G13489" i="1"/>
  <c r="G13488" i="1"/>
  <c r="G13487" i="1"/>
  <c r="G13475" i="1"/>
  <c r="G13474" i="1"/>
  <c r="G13455" i="1" l="1"/>
  <c r="G13454" i="1"/>
  <c r="G13453" i="1"/>
  <c r="G13531" i="1" l="1"/>
  <c r="G13530" i="1"/>
  <c r="G13529" i="1" l="1"/>
  <c r="G13528" i="1"/>
  <c r="G13527" i="1"/>
  <c r="G2478"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6" i="2"/>
  <c r="G13478" i="1"/>
  <c r="G13477" i="1"/>
  <c r="G13476" i="1"/>
  <c r="G13473" i="1"/>
  <c r="G13472" i="1"/>
  <c r="G13437" i="1" l="1"/>
  <c r="G2477" i="2" l="1"/>
  <c r="G13695" i="1"/>
  <c r="G13694" i="1"/>
  <c r="G13693" i="1"/>
  <c r="G13692" i="1"/>
  <c r="G13691" i="1" l="1"/>
  <c r="G13690" i="1"/>
  <c r="G13689" i="1"/>
  <c r="G13688" i="1"/>
  <c r="G13687" i="1"/>
  <c r="G13686" i="1"/>
  <c r="G2475" i="2"/>
  <c r="G2474" i="2"/>
  <c r="G2473" i="2"/>
  <c r="G2472" i="2"/>
  <c r="G2471" i="2"/>
  <c r="G2470" i="2"/>
  <c r="G2469" i="2"/>
  <c r="G2468" i="2"/>
  <c r="G2467" i="2"/>
  <c r="G2465" i="2"/>
  <c r="G2464"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8" i="2"/>
  <c r="G13367" i="1"/>
  <c r="G13366" i="1"/>
  <c r="G13365" i="1"/>
  <c r="G13362" i="1"/>
  <c r="G13683" i="1"/>
  <c r="G13417" i="1"/>
  <c r="G2461" i="2" l="1"/>
  <c r="G2457" i="2"/>
  <c r="G2456" i="2"/>
  <c r="G2455" i="2"/>
  <c r="G2454" i="2"/>
  <c r="G2462" i="2"/>
  <c r="G2463" i="2"/>
  <c r="G2452" i="2"/>
  <c r="G2460" i="2"/>
  <c r="G2459" i="2" l="1"/>
  <c r="G13411" i="1"/>
  <c r="G2445" i="2"/>
  <c r="G2441" i="2"/>
  <c r="G2449" i="2" l="1"/>
  <c r="G2447"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7" i="2"/>
  <c r="G13416" i="1" l="1"/>
  <c r="G2451" i="2"/>
  <c r="G13415" i="1"/>
  <c r="G13414" i="1"/>
  <c r="G2450" i="2" l="1"/>
  <c r="G13413" i="1"/>
  <c r="G13412" i="1"/>
  <c r="G13410" i="1"/>
  <c r="G2446" i="2"/>
  <c r="G2444" i="2"/>
  <c r="G2443" i="2"/>
  <c r="G2442" i="2"/>
  <c r="G13409" i="1"/>
  <c r="G13408" i="1"/>
  <c r="G13407" i="1"/>
  <c r="G13436" i="1" l="1"/>
  <c r="G13435" i="1" l="1"/>
  <c r="G2427" i="2" l="1"/>
  <c r="G13427" i="1" l="1"/>
  <c r="G13426" i="1"/>
  <c r="G13434" i="1" l="1"/>
  <c r="G13433" i="1"/>
  <c r="G13432" i="1"/>
  <c r="G2440" i="2" l="1"/>
  <c r="G2439" i="2"/>
  <c r="G13431" i="1" l="1"/>
  <c r="G2438" i="2"/>
  <c r="G2436" i="2" l="1"/>
  <c r="G13405" i="1"/>
  <c r="G2435" i="2"/>
  <c r="G13404" i="1"/>
  <c r="G13317" i="1"/>
  <c r="G13316" i="1"/>
  <c r="G13315" i="1"/>
  <c r="G13319" i="1"/>
  <c r="G13318" i="1"/>
  <c r="G13314" i="1"/>
  <c r="G13312" i="1"/>
  <c r="G13311" i="1"/>
  <c r="G13313" i="1"/>
  <c r="G13430" i="1" l="1"/>
  <c r="G13429" i="1" l="1"/>
  <c r="G13428" i="1" l="1"/>
  <c r="G13309" i="1" l="1"/>
  <c r="G13308" i="1"/>
  <c r="G2433" i="2" l="1"/>
  <c r="G2432" i="2"/>
  <c r="G2431" i="2"/>
  <c r="G2423" i="2"/>
  <c r="G2426" i="2"/>
  <c r="G2425" i="2"/>
  <c r="G2430"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9" i="2"/>
  <c r="G2428"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5"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2" i="2" l="1"/>
  <c r="G2424" i="2"/>
  <c r="G2421" i="2" l="1"/>
  <c r="G13399" i="1"/>
  <c r="G13398" i="1"/>
  <c r="G2420" i="2"/>
  <c r="G13397" i="1"/>
  <c r="G13424" i="1" l="1"/>
  <c r="G13423" i="1" l="1"/>
  <c r="G13422" i="1"/>
  <c r="G2418" i="2" l="1"/>
  <c r="G2419" i="2" l="1"/>
  <c r="E13161" i="1" l="1"/>
  <c r="G13243" i="1"/>
  <c r="G13242" i="1"/>
  <c r="G13241" i="1"/>
  <c r="G13240" i="1"/>
  <c r="G13239" i="1"/>
  <c r="G13238" i="1"/>
  <c r="G13237" i="1"/>
  <c r="G13236" i="1"/>
  <c r="G13232" i="1"/>
  <c r="G13231" i="1"/>
  <c r="G13230" i="1"/>
  <c r="G13421" i="1" l="1"/>
  <c r="G13419" i="1" l="1"/>
  <c r="G13229" i="1" l="1"/>
  <c r="G2417" i="2" l="1"/>
  <c r="G2336" i="2"/>
  <c r="G2388" i="2"/>
  <c r="G2406" i="2" l="1"/>
  <c r="G2401" i="2"/>
  <c r="G2400" i="2"/>
  <c r="G2323" i="2"/>
  <c r="G2387" i="2" l="1"/>
  <c r="G2332" i="2"/>
  <c r="G2303" i="2"/>
  <c r="G2302" i="2"/>
  <c r="G2298"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416" i="2"/>
  <c r="G13391" i="1"/>
  <c r="G13225" i="1"/>
  <c r="G13224" i="1"/>
  <c r="G13228" i="1"/>
  <c r="G13223" i="1" l="1"/>
  <c r="G13222" i="1"/>
  <c r="G13221" i="1"/>
  <c r="G13220" i="1"/>
  <c r="G13219" i="1"/>
  <c r="G13209" i="1"/>
  <c r="G13208" i="1"/>
  <c r="G13207" i="1"/>
  <c r="G2414" i="2" l="1"/>
  <c r="G13206" i="1" l="1"/>
  <c r="G13205" i="1"/>
  <c r="G13204" i="1"/>
  <c r="G13203" i="1"/>
  <c r="G13202" i="1"/>
  <c r="G13196" i="1"/>
  <c r="G13195" i="1"/>
  <c r="G13194" i="1"/>
  <c r="G13193" i="1"/>
  <c r="G13192" i="1"/>
  <c r="G13191" i="1"/>
  <c r="G13149" i="1"/>
  <c r="G13148" i="1"/>
  <c r="G13142" i="1" l="1"/>
  <c r="G13141" i="1"/>
  <c r="G2408" i="2" l="1"/>
  <c r="G2391" i="2"/>
  <c r="G13418" i="1" l="1"/>
  <c r="G2399" i="2" l="1"/>
  <c r="G13390" i="1" l="1"/>
  <c r="G13389" i="1"/>
  <c r="G13388" i="1"/>
  <c r="G2413" i="2"/>
  <c r="G2412" i="2"/>
  <c r="G2411" i="2"/>
  <c r="G2410" i="2"/>
  <c r="G2409" i="2"/>
  <c r="G2396" i="2"/>
  <c r="G2395" i="2"/>
  <c r="G13387" i="1"/>
  <c r="G2407" i="2" l="1"/>
  <c r="G13140" i="1" l="1"/>
  <c r="G13139" i="1"/>
  <c r="G13138" i="1"/>
  <c r="G13137" i="1"/>
  <c r="G13136" i="1"/>
  <c r="G13135" i="1"/>
  <c r="G13134" i="1"/>
  <c r="G13132" i="1"/>
  <c r="G13131" i="1"/>
  <c r="G13130" i="1"/>
  <c r="G13129" i="1"/>
  <c r="G13128" i="1"/>
  <c r="G13127" i="1"/>
  <c r="G13126" i="1"/>
  <c r="G13122" i="1"/>
  <c r="G13121" i="1"/>
  <c r="G13120" i="1"/>
  <c r="G13119" i="1"/>
  <c r="G13118" i="1"/>
  <c r="G13183" i="1"/>
  <c r="G2405" i="2"/>
  <c r="G2404" i="2"/>
  <c r="G13182" i="1"/>
  <c r="G13181" i="1"/>
  <c r="G13190" i="1" l="1"/>
  <c r="G2398" i="2" l="1"/>
  <c r="G2392" i="2"/>
  <c r="G2389" i="2"/>
  <c r="G2403" i="2" l="1"/>
  <c r="G2402" i="2"/>
  <c r="G2397"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6" i="2" l="1"/>
  <c r="G2356"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4" i="2" l="1"/>
  <c r="G2393" i="2"/>
  <c r="G2386" i="2"/>
  <c r="G2385" i="2"/>
  <c r="G2384" i="2"/>
  <c r="G2383" i="2"/>
  <c r="G2382" i="2"/>
  <c r="G2352" i="2"/>
  <c r="G13051" i="1" l="1"/>
  <c r="G13050" i="1"/>
  <c r="G13049" i="1"/>
  <c r="G13048" i="1"/>
  <c r="G13047" i="1"/>
  <c r="G13046" i="1"/>
  <c r="G13045" i="1"/>
  <c r="G13044" i="1"/>
  <c r="G13043" i="1"/>
  <c r="G13042" i="1"/>
  <c r="G13041" i="1"/>
  <c r="G13040" i="1"/>
  <c r="G13039" i="1"/>
  <c r="G13038" i="1"/>
  <c r="G2381" i="2" l="1"/>
  <c r="G2380" i="2"/>
  <c r="G2368" i="2"/>
  <c r="G2377" i="2"/>
  <c r="G2367" i="2"/>
  <c r="G2343" i="2"/>
  <c r="G2390"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9" i="2"/>
  <c r="G13167" i="1"/>
  <c r="G12904" i="1"/>
  <c r="G12908" i="1"/>
  <c r="G12895" i="1"/>
  <c r="G12896" i="1"/>
  <c r="G12897" i="1"/>
  <c r="G12898" i="1"/>
  <c r="G12899" i="1"/>
  <c r="G12900" i="1"/>
  <c r="G12901" i="1"/>
  <c r="G12902" i="1"/>
  <c r="G12903" i="1"/>
  <c r="G12905" i="1"/>
  <c r="G12906" i="1"/>
  <c r="G12907" i="1"/>
  <c r="G12909" i="1"/>
  <c r="G13166" i="1" l="1"/>
  <c r="G8" i="3"/>
  <c r="G2375" i="2"/>
  <c r="G2374" i="2"/>
  <c r="G2373" i="2"/>
  <c r="G12938" i="1"/>
  <c r="G12937" i="1"/>
  <c r="G12936" i="1"/>
  <c r="G12935" i="1"/>
  <c r="G12934" i="1"/>
  <c r="G12887" i="1" l="1"/>
  <c r="G12886" i="1"/>
  <c r="G12885" i="1"/>
  <c r="G12883" i="1"/>
  <c r="G13185" i="1" l="1"/>
  <c r="G13184" i="1"/>
  <c r="G12835" i="1" l="1"/>
  <c r="G12834" i="1"/>
  <c r="G12833" i="1"/>
  <c r="G12952" i="1" l="1"/>
  <c r="G12951" i="1"/>
  <c r="G12950" i="1" l="1"/>
  <c r="G2363" i="2" l="1"/>
  <c r="G2357" i="2" l="1"/>
  <c r="G2350" i="2"/>
  <c r="G2327" i="2" l="1"/>
  <c r="G2355" i="2" l="1"/>
  <c r="G2354" i="2"/>
  <c r="G2372" i="2" l="1"/>
  <c r="G2371" i="2"/>
  <c r="G2370" i="2"/>
  <c r="G2369" i="2"/>
  <c r="G12949" i="1" l="1"/>
  <c r="G2366" i="2" l="1"/>
  <c r="G2365" i="2"/>
  <c r="G12933" i="1"/>
  <c r="E12932" i="1"/>
  <c r="G12931" i="1"/>
  <c r="G12930" i="1"/>
  <c r="G12929" i="1"/>
  <c r="G12928" i="1"/>
  <c r="G12927" i="1"/>
  <c r="G12926" i="1"/>
  <c r="G12925" i="1"/>
  <c r="G12924" i="1"/>
  <c r="G12882" i="1"/>
  <c r="G12881" i="1"/>
  <c r="G12880" i="1"/>
  <c r="G12876" i="1"/>
  <c r="G12875" i="1"/>
  <c r="G12874" i="1"/>
  <c r="G12873" i="1"/>
  <c r="G12872" i="1"/>
  <c r="G2364" i="2"/>
  <c r="G12871" i="1"/>
  <c r="G12870" i="1"/>
  <c r="G12869" i="1"/>
  <c r="G12866" i="1"/>
  <c r="G12865" i="1"/>
  <c r="G12864" i="1"/>
  <c r="G12932" i="1" l="1"/>
  <c r="G12863" i="1"/>
  <c r="G12862" i="1"/>
  <c r="G12861" i="1"/>
  <c r="G12859" i="1"/>
  <c r="G12854" i="1"/>
  <c r="G12853" i="1" l="1"/>
  <c r="G12852" i="1"/>
  <c r="G12851" i="1"/>
  <c r="G12850" i="1"/>
  <c r="G12948" i="1" l="1"/>
  <c r="G12054" i="1" l="1"/>
  <c r="G2358" i="2" l="1"/>
  <c r="G2353" i="2"/>
  <c r="G2362" i="2"/>
  <c r="G2361" i="2"/>
  <c r="G2360" i="2"/>
  <c r="G2359" i="2"/>
  <c r="G2317" i="2"/>
  <c r="G2316" i="2"/>
  <c r="G206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7" i="2" l="1"/>
  <c r="G2346" i="2"/>
  <c r="G2345" i="2"/>
  <c r="G2349" i="2" l="1"/>
  <c r="G2348" i="2" l="1"/>
  <c r="G12589" i="1"/>
  <c r="F2307" i="2"/>
  <c r="G2307" i="2" s="1"/>
  <c r="G2351" i="2" l="1"/>
  <c r="G2341"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4"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40"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2" i="2" l="1"/>
  <c r="G2337" i="2"/>
  <c r="G2333" i="2"/>
  <c r="G2339" i="2" l="1"/>
  <c r="G2338" i="2"/>
  <c r="G12939" i="1" l="1"/>
  <c r="G2331" i="2" l="1"/>
  <c r="G2330" i="2"/>
  <c r="G2329"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8"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6" i="2" l="1"/>
  <c r="G2325" i="2"/>
  <c r="G2324" i="2"/>
  <c r="G12738" i="1" l="1"/>
  <c r="G12737" i="1"/>
  <c r="G12736" i="1"/>
  <c r="G12735" i="1"/>
  <c r="G12734" i="1"/>
  <c r="G12733" i="1"/>
  <c r="G12587" i="1"/>
  <c r="G2305" i="2"/>
  <c r="G12573" i="1"/>
  <c r="G12572" i="1"/>
  <c r="G12568" i="1"/>
  <c r="G12567" i="1"/>
  <c r="G12559" i="1"/>
  <c r="G12560" i="1"/>
  <c r="G12561" i="1"/>
  <c r="G12562" i="1"/>
  <c r="G12563" i="1"/>
  <c r="G12564" i="1"/>
  <c r="G12565" i="1"/>
  <c r="G12566" i="1"/>
  <c r="G12569" i="1"/>
  <c r="G12570" i="1"/>
  <c r="G12571" i="1"/>
  <c r="G12574" i="1"/>
  <c r="G12575" i="1" l="1"/>
  <c r="G2322" i="2"/>
  <c r="G2318" i="2"/>
  <c r="G2297" i="2"/>
  <c r="G2321" i="2"/>
  <c r="G2320" i="2"/>
  <c r="G2319" i="2"/>
  <c r="G12751" i="1" l="1"/>
  <c r="G12732" i="1" l="1"/>
  <c r="G12731" i="1"/>
  <c r="G12730" i="1"/>
  <c r="G12729" i="1"/>
  <c r="G2312" i="2" l="1"/>
  <c r="G2315" i="2"/>
  <c r="G2313" i="2"/>
  <c r="G12628" i="1"/>
  <c r="G12629" i="1" l="1"/>
  <c r="G12627" i="1"/>
  <c r="G12626" i="1"/>
  <c r="K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6" i="2"/>
  <c r="G2301" i="2"/>
  <c r="G2299" i="2"/>
  <c r="G12436" i="1"/>
  <c r="G2273" i="2"/>
  <c r="G2295" i="2"/>
  <c r="G2266" i="2"/>
  <c r="G12616" i="1" l="1"/>
  <c r="G12615" i="1"/>
  <c r="G2314"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1" i="2"/>
  <c r="G2310" i="2"/>
  <c r="G2309" i="2"/>
  <c r="G2308" i="2"/>
  <c r="G2304"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300" i="2" l="1"/>
  <c r="G12577" i="1"/>
  <c r="G2296"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4" i="2"/>
  <c r="G2293" i="2"/>
  <c r="G2292" i="2"/>
  <c r="G12395" i="1"/>
  <c r="G12394" i="1"/>
  <c r="G12393" i="1"/>
  <c r="G12462" i="1"/>
  <c r="G12461" i="1"/>
  <c r="G12460" i="1"/>
  <c r="G12392" i="1"/>
  <c r="G12391" i="1"/>
  <c r="G12390" i="1"/>
  <c r="G12389" i="1"/>
  <c r="G12388" i="1"/>
  <c r="G12387" i="1"/>
  <c r="G12386" i="1"/>
  <c r="G12385" i="1"/>
  <c r="G2291" i="2"/>
  <c r="G2290"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286" i="2"/>
  <c r="G2285" i="2"/>
  <c r="G2284" i="2"/>
  <c r="G12440" i="1"/>
  <c r="G12441" i="1"/>
  <c r="G12442" i="1"/>
  <c r="G12443" i="1"/>
  <c r="G2281" i="2"/>
  <c r="G2280" i="2"/>
  <c r="G2279" i="2"/>
  <c r="G2278" i="2"/>
  <c r="G2289" i="2" l="1"/>
  <c r="G2288" i="2"/>
  <c r="G2287" i="2"/>
  <c r="G2283" i="2"/>
  <c r="G2282" i="2"/>
  <c r="G2277" i="2" l="1"/>
  <c r="G2276" i="2"/>
  <c r="G12439" i="1"/>
  <c r="G12438" i="1"/>
  <c r="G12366" i="1" l="1"/>
  <c r="G12365" i="1"/>
  <c r="G12161" i="1"/>
  <c r="G2190" i="2"/>
  <c r="G2186" i="2"/>
  <c r="E2185" i="2"/>
  <c r="G12459" i="1" l="1"/>
  <c r="G12458" i="1" l="1"/>
  <c r="G2275" i="2" l="1"/>
  <c r="G12457" i="1" l="1"/>
  <c r="G12430" i="1" l="1"/>
  <c r="G12431" i="1"/>
  <c r="G12432" i="1"/>
  <c r="G12433" i="1"/>
  <c r="G12434" i="1"/>
  <c r="G12435" i="1"/>
  <c r="G12437" i="1"/>
  <c r="G2274" i="2"/>
  <c r="G2272" i="2"/>
  <c r="G2271" i="2"/>
  <c r="G2270" i="2"/>
  <c r="G2269" i="2"/>
  <c r="G2268" i="2"/>
  <c r="G2267" i="2"/>
  <c r="G2265" i="2"/>
  <c r="G2264" i="2"/>
  <c r="G2263" i="2"/>
  <c r="G2262" i="2"/>
  <c r="G2261" i="2"/>
  <c r="G2260" i="2"/>
  <c r="G12456" i="1" l="1"/>
  <c r="G2259"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8" i="2" l="1"/>
  <c r="G2257" i="2"/>
  <c r="G2256" i="2"/>
  <c r="G2255"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4" i="2"/>
  <c r="G12265" i="1"/>
  <c r="G12264" i="1"/>
  <c r="G12263" i="1"/>
  <c r="G12262" i="1"/>
  <c r="G12261" i="1"/>
  <c r="G12260" i="1"/>
  <c r="G12259" i="1"/>
  <c r="G12258" i="1"/>
  <c r="G12350" i="1" l="1"/>
  <c r="G12349" i="1" l="1"/>
  <c r="G12348" i="1"/>
  <c r="G2253" i="2" l="1"/>
  <c r="G2252" i="2"/>
  <c r="G2251" i="2"/>
  <c r="G2250" i="2"/>
  <c r="E12331" i="1"/>
  <c r="G12330" i="1"/>
  <c r="G12329" i="1"/>
  <c r="G12328" i="1"/>
  <c r="F14" i="3" l="1"/>
  <c r="B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9" i="2" l="1"/>
  <c r="G2248" i="2"/>
  <c r="G2247" i="2"/>
  <c r="G2246"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5" i="2" l="1"/>
  <c r="G2244" i="2"/>
  <c r="G2243" i="2"/>
  <c r="G2242" i="2"/>
  <c r="G2241" i="2"/>
  <c r="G12327" i="1"/>
  <c r="G12326" i="1"/>
  <c r="G12325" i="1"/>
  <c r="G2240" i="2"/>
  <c r="G12324" i="1"/>
  <c r="G12323" i="1"/>
  <c r="G12340" i="1" l="1"/>
  <c r="G12339" i="1"/>
  <c r="G12338" i="1" l="1"/>
  <c r="G2239" i="2" l="1"/>
  <c r="G12337" i="1" l="1"/>
  <c r="G12336" i="1" l="1"/>
  <c r="G12322" i="1" l="1"/>
  <c r="G12335" i="1" l="1"/>
  <c r="G12334" i="1" l="1"/>
  <c r="G2238"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7" i="2" l="1"/>
  <c r="G2236" i="2" l="1"/>
  <c r="G2235" i="2"/>
  <c r="G2234"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3" i="2" l="1"/>
  <c r="G12188" i="1" l="1"/>
  <c r="G2232" i="2"/>
  <c r="G2231" i="2"/>
  <c r="G2230" i="2" l="1"/>
  <c r="G12187" i="1"/>
  <c r="G2229" i="2"/>
  <c r="G12186" i="1"/>
  <c r="G12185" i="1"/>
  <c r="E2228" i="2" l="1"/>
  <c r="G2228" i="2" s="1"/>
  <c r="G2227" i="2"/>
  <c r="E2226" i="2"/>
  <c r="G2226" i="2" s="1"/>
  <c r="G2225" i="2" l="1"/>
  <c r="G2224" i="2"/>
  <c r="G12184" i="1"/>
  <c r="G12183" i="1"/>
  <c r="G2223" i="2"/>
  <c r="G2222" i="2"/>
  <c r="G2221" i="2"/>
  <c r="G2220" i="2"/>
  <c r="G2219" i="2"/>
  <c r="G12182" i="1"/>
  <c r="G12181" i="1"/>
  <c r="G12180" i="1"/>
  <c r="G12179" i="1"/>
  <c r="G12178" i="1"/>
  <c r="G2218" i="2" l="1"/>
  <c r="G2217" i="2"/>
  <c r="G2216" i="2"/>
  <c r="G2215" i="2"/>
  <c r="G12195" i="1" l="1"/>
  <c r="G12194" i="1"/>
  <c r="G2214" i="2" l="1"/>
  <c r="G2213" i="2"/>
  <c r="G2212" i="2"/>
  <c r="G2183" i="2" l="1"/>
  <c r="H24" i="16"/>
  <c r="G24" i="16"/>
  <c r="I24" i="16" l="1"/>
  <c r="G2211" i="2"/>
  <c r="G2210" i="2"/>
  <c r="G2209" i="2" l="1"/>
  <c r="G12177" i="1"/>
  <c r="G2208" i="2"/>
  <c r="G12176" i="1" l="1"/>
  <c r="G12193" i="1" l="1"/>
  <c r="H23" i="16" l="1"/>
  <c r="G2182"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7" i="2" l="1"/>
  <c r="G2206" i="2"/>
  <c r="G2205" i="2"/>
  <c r="E2203" i="2"/>
  <c r="G2203" i="2" s="1"/>
  <c r="E2204" i="2"/>
  <c r="G2204"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2" i="2" l="1"/>
  <c r="E2201" i="2"/>
  <c r="G2201" i="2" s="1"/>
  <c r="G2196" i="2"/>
  <c r="G2197" i="2"/>
  <c r="G2198" i="2"/>
  <c r="G2199" i="2"/>
  <c r="G2200" i="2"/>
  <c r="G2195" i="2"/>
  <c r="G12167" i="1" l="1"/>
  <c r="G2191" i="2" l="1"/>
  <c r="G2192" i="2"/>
  <c r="G2193" i="2"/>
  <c r="G2194" i="2"/>
  <c r="G12165" i="1"/>
  <c r="G12164" i="1"/>
  <c r="E12166" i="1"/>
  <c r="G12163" i="1"/>
  <c r="G12162" i="1"/>
  <c r="G2189" i="2"/>
  <c r="G12160" i="1"/>
  <c r="G12166" i="1" l="1"/>
  <c r="J15" i="3"/>
  <c r="G12016" i="1"/>
  <c r="G11924" i="1"/>
  <c r="G12190" i="1" l="1"/>
  <c r="G2188"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7" i="2" l="1"/>
  <c r="G2185" i="2"/>
  <c r="G2184" i="2"/>
  <c r="G12189" i="1" l="1"/>
  <c r="G2181" i="2" l="1"/>
  <c r="G2180" i="2"/>
  <c r="G2179"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8" i="2"/>
  <c r="G12047" i="1"/>
  <c r="G12046" i="1"/>
  <c r="F2176" i="2"/>
  <c r="G2176" i="2" s="1"/>
  <c r="F2175" i="2"/>
  <c r="G2175" i="2" s="1"/>
  <c r="G2177" i="2"/>
  <c r="G12045" i="1"/>
  <c r="G12044" i="1"/>
  <c r="G12043" i="1"/>
  <c r="G12042" i="1"/>
  <c r="G12041" i="1"/>
  <c r="I19" i="16" l="1"/>
  <c r="I9" i="16"/>
  <c r="I11" i="16"/>
  <c r="I15" i="16"/>
  <c r="I12" i="16"/>
  <c r="I13" i="16"/>
  <c r="I14" i="16"/>
  <c r="I18" i="16"/>
  <c r="I22" i="16"/>
  <c r="I17" i="16"/>
  <c r="I20" i="16"/>
  <c r="I21" i="16"/>
  <c r="G12055" i="1"/>
  <c r="G12053" i="1" l="1"/>
  <c r="G12052" i="1"/>
  <c r="G2174" i="2" l="1"/>
  <c r="G2173" i="2"/>
  <c r="G2172" i="2"/>
  <c r="G2171"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70"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169"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168" i="2" l="1"/>
  <c r="G2167" i="2" l="1"/>
  <c r="G11953" i="1" l="1"/>
  <c r="G2166"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5"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4" i="2"/>
  <c r="G11853" i="1"/>
  <c r="G11855" i="1" l="1"/>
  <c r="J12" i="3"/>
  <c r="G11852" i="1" l="1"/>
  <c r="G11851" i="1" l="1"/>
  <c r="G2163" i="2"/>
  <c r="G11850" i="1"/>
  <c r="G2162" i="2" l="1"/>
  <c r="G2161" i="2"/>
  <c r="G2160" i="2"/>
  <c r="G11881" i="1" l="1"/>
  <c r="G11880" i="1" l="1"/>
  <c r="G11879" i="1"/>
  <c r="G11878" i="1"/>
  <c r="G11877" i="1" l="1"/>
  <c r="G2159" i="2" l="1"/>
  <c r="G2156" i="2"/>
  <c r="G2155" i="2"/>
  <c r="G2154" i="2"/>
  <c r="G2158" i="2"/>
  <c r="G2157" i="2"/>
  <c r="G11876" i="1" l="1"/>
  <c r="G11837" i="1" l="1"/>
  <c r="G11875" i="1" l="1"/>
  <c r="G11874" i="1"/>
  <c r="G11772" i="1" l="1"/>
  <c r="G11771" i="1"/>
  <c r="G11770" i="1"/>
  <c r="G11769" i="1"/>
  <c r="G11768" i="1"/>
  <c r="G11767" i="1"/>
  <c r="G11766" i="1"/>
  <c r="G11765" i="1"/>
  <c r="G11764" i="1"/>
  <c r="G11763" i="1"/>
  <c r="G11762" i="1"/>
  <c r="G11849" i="1"/>
  <c r="G2153" i="2" l="1"/>
  <c r="G2152" i="2"/>
  <c r="G11689" i="1" l="1"/>
  <c r="G11690" i="1"/>
  <c r="G11691" i="1"/>
  <c r="G11692" i="1"/>
  <c r="G11693" i="1"/>
  <c r="G11694" i="1"/>
  <c r="G11695" i="1"/>
  <c r="G11696" i="1"/>
  <c r="G11697" i="1"/>
  <c r="G11698" i="1"/>
  <c r="G11699" i="1"/>
  <c r="G11700" i="1"/>
  <c r="G11701" i="1"/>
  <c r="G11702" i="1"/>
  <c r="G11703" i="1"/>
  <c r="G11704" i="1"/>
  <c r="G11688" i="1"/>
  <c r="G11848" i="1" l="1"/>
  <c r="G11847" i="1"/>
  <c r="G2148" i="2"/>
  <c r="G2149" i="2"/>
  <c r="G2150" i="2"/>
  <c r="G2151"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7" i="2" l="1"/>
  <c r="G11841" i="1" l="1"/>
  <c r="G11840" i="1"/>
  <c r="G11839" i="1"/>
  <c r="G11838" i="1" l="1"/>
  <c r="G2146" i="2" l="1"/>
  <c r="G11872" i="1"/>
  <c r="G11871" i="1"/>
  <c r="G11836" i="1" l="1"/>
  <c r="G11835" i="1"/>
  <c r="G11834" i="1"/>
  <c r="G11833" i="1"/>
  <c r="G2145" i="2"/>
  <c r="G2144" i="2"/>
  <c r="G2143" i="2"/>
  <c r="G2142" i="2"/>
  <c r="G11870" i="1" l="1"/>
  <c r="G11832" i="1" l="1"/>
  <c r="K11" i="3" l="1"/>
  <c r="G11869" i="1"/>
  <c r="G11868" i="1"/>
  <c r="G11867" i="1"/>
  <c r="G11866" i="1"/>
  <c r="G11730" i="1" l="1"/>
  <c r="G11719" i="1" l="1"/>
  <c r="G2141" i="2"/>
  <c r="G2140" i="2"/>
  <c r="G11718" i="1"/>
  <c r="E2139" i="2"/>
  <c r="G2139" i="2" s="1"/>
  <c r="G2138" i="2"/>
  <c r="G2137" i="2"/>
  <c r="G11717" i="1"/>
  <c r="G11729" i="1" l="1"/>
  <c r="G11728" i="1"/>
  <c r="G11727" i="1" l="1"/>
  <c r="G2136" i="2" l="1"/>
  <c r="G2135" i="2"/>
  <c r="G2132" i="2" l="1"/>
  <c r="G2133" i="2"/>
  <c r="G2134"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131"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30" i="2" l="1"/>
  <c r="G2129" i="2"/>
  <c r="G2128" i="2"/>
  <c r="G2127" i="2"/>
  <c r="G11711" i="1" l="1"/>
  <c r="G11710" i="1"/>
  <c r="G11709" i="1"/>
  <c r="G2126" i="2"/>
  <c r="G2125" i="2"/>
  <c r="G2124" i="2"/>
  <c r="G2119" i="2"/>
  <c r="E2118" i="2"/>
  <c r="G2118" i="2" s="1"/>
  <c r="G2114" i="2"/>
  <c r="G2115" i="2"/>
  <c r="G2116" i="2"/>
  <c r="G2117" i="2"/>
  <c r="G2120" i="2"/>
  <c r="G2121" i="2"/>
  <c r="G2122" i="2"/>
  <c r="G2123"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3" i="2" l="1"/>
  <c r="G2112" i="2"/>
  <c r="G2111" i="2"/>
  <c r="G2110" i="2"/>
  <c r="G11721" i="1" l="1"/>
  <c r="G11707" i="1" l="1"/>
  <c r="G11706" i="1"/>
  <c r="G11587" i="1" l="1"/>
  <c r="G11720" i="1" l="1"/>
  <c r="G2109" i="2" l="1"/>
  <c r="G2108" i="2" l="1"/>
  <c r="G11548" i="1" l="1"/>
  <c r="G11547" i="1"/>
  <c r="G11546" i="1"/>
  <c r="G11545" i="1"/>
  <c r="G11544" i="1"/>
  <c r="G11543" i="1" l="1"/>
  <c r="G11542" i="1"/>
  <c r="G11541" i="1"/>
  <c r="G11540" i="1"/>
  <c r="G11539" i="1"/>
  <c r="G11538" i="1"/>
  <c r="G11537" i="1"/>
  <c r="G11536" i="1"/>
  <c r="G11582" i="1" l="1"/>
  <c r="G11581" i="1"/>
  <c r="G2107" i="2"/>
  <c r="G2106" i="2"/>
  <c r="G2105" i="2"/>
  <c r="G11586" i="1"/>
  <c r="G11585" i="1"/>
  <c r="G11584" i="1"/>
  <c r="G11583" i="1"/>
  <c r="G11580" i="1"/>
  <c r="G11601" i="1" l="1"/>
  <c r="G11600" i="1"/>
  <c r="G11599" i="1"/>
  <c r="G2104" i="2" l="1"/>
  <c r="G2103" i="2"/>
  <c r="G2102" i="2"/>
  <c r="G2101"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100" i="2" l="1"/>
  <c r="G2099" i="2"/>
  <c r="G2098" i="2"/>
  <c r="G2057" i="2"/>
  <c r="G2097" i="2" l="1"/>
  <c r="G2096" i="2"/>
  <c r="G11598" i="1" l="1"/>
  <c r="G11597" i="1"/>
  <c r="G11596" i="1"/>
  <c r="G2095" i="2" l="1"/>
  <c r="G2094"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3" i="2" l="1"/>
  <c r="G2092" i="2"/>
  <c r="G2091" i="2"/>
  <c r="G2090"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5" i="2"/>
  <c r="G2086" i="2"/>
  <c r="G2087" i="2"/>
  <c r="G2088" i="2"/>
  <c r="G2089" i="2"/>
  <c r="G11562" i="1"/>
  <c r="G11561" i="1"/>
  <c r="G11560" i="1"/>
  <c r="G11295" i="1"/>
  <c r="G2036"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4" i="2" l="1"/>
  <c r="G2083"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2" i="2" l="1"/>
  <c r="G11434" i="1" l="1"/>
  <c r="G11440" i="1" l="1"/>
  <c r="G11446" i="1" l="1"/>
  <c r="G2081" i="2" l="1"/>
  <c r="G2080" i="2"/>
  <c r="G2079" i="2"/>
  <c r="G2078" i="2"/>
  <c r="G2077"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2" i="2" l="1"/>
  <c r="G2076" i="2" l="1"/>
  <c r="G2075" i="2"/>
  <c r="G2074" i="2"/>
  <c r="G2073" i="2"/>
  <c r="G2071" i="2"/>
  <c r="G2070" i="2"/>
  <c r="G2069" i="2"/>
  <c r="G2068" i="2"/>
  <c r="G2067" i="2"/>
  <c r="G2065" i="2" l="1"/>
  <c r="G11433" i="1"/>
  <c r="G11353" i="1"/>
  <c r="G11352" i="1"/>
  <c r="G11351" i="1"/>
  <c r="G11350" i="1"/>
  <c r="G11349" i="1"/>
  <c r="G11348" i="1"/>
  <c r="G11347" i="1"/>
  <c r="G11346" i="1"/>
  <c r="G11425" i="1"/>
  <c r="G11327" i="1"/>
  <c r="G2064" i="2"/>
  <c r="G2063" i="2"/>
  <c r="G2062" i="2"/>
  <c r="G2061" i="2"/>
  <c r="G2060" i="2"/>
  <c r="G11432" i="1"/>
  <c r="G11431" i="1"/>
  <c r="G11430" i="1"/>
  <c r="G11429" i="1"/>
  <c r="G11428" i="1"/>
  <c r="G2059" i="2" l="1"/>
  <c r="G11427" i="1"/>
  <c r="G11426" i="1"/>
  <c r="G11424" i="1"/>
  <c r="G11443" i="1" l="1"/>
  <c r="G11442" i="1" l="1"/>
  <c r="G2058" i="2" l="1"/>
  <c r="G11423" i="1"/>
  <c r="G11422" i="1"/>
  <c r="G11421" i="1"/>
  <c r="G11420" i="1"/>
  <c r="G2046" i="2"/>
  <c r="G2055" i="2"/>
  <c r="G2054" i="2"/>
  <c r="G2053" i="2"/>
  <c r="G2052" i="2"/>
  <c r="G2051" i="2"/>
  <c r="G2050" i="2"/>
  <c r="G2049" i="2"/>
  <c r="G2048" i="2"/>
  <c r="G2047" i="2"/>
  <c r="G2056" i="2"/>
  <c r="G2045" i="2"/>
  <c r="G2044"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G11302" i="1"/>
  <c r="G11296" i="1"/>
  <c r="G2043" i="2" l="1"/>
  <c r="G11441" i="1"/>
  <c r="G11301" i="1"/>
  <c r="G11259" i="1" l="1"/>
  <c r="G11258" i="1"/>
  <c r="G11257" i="1"/>
  <c r="G11256" i="1"/>
  <c r="G11255" i="1"/>
  <c r="G11254" i="1"/>
  <c r="G11253" i="1"/>
  <c r="G11252" i="1"/>
  <c r="G11251" i="1"/>
  <c r="G11250" i="1"/>
  <c r="G11249" i="1"/>
  <c r="G2042" i="2" l="1"/>
  <c r="G2041" i="2"/>
  <c r="G2040" i="2" l="1"/>
  <c r="G2039" i="2"/>
  <c r="G2038" i="2"/>
  <c r="G2037" i="2"/>
  <c r="G11248" i="1" l="1"/>
  <c r="G11247" i="1"/>
  <c r="G11246" i="1"/>
  <c r="G11245" i="1"/>
  <c r="G11244" i="1"/>
  <c r="G11243" i="1"/>
  <c r="G11242" i="1"/>
  <c r="G2035" i="2"/>
  <c r="G11294" i="1"/>
  <c r="G11293" i="1"/>
  <c r="G2034" i="2"/>
  <c r="G2033" i="2" l="1"/>
  <c r="G2032" i="2"/>
  <c r="G2031"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30" i="2" l="1"/>
  <c r="G11153" i="1"/>
  <c r="G2000" i="2"/>
  <c r="F1999" i="2"/>
  <c r="G11299" i="1" l="1"/>
  <c r="G11298" i="1"/>
  <c r="G2029" i="2" l="1"/>
  <c r="G2028" i="2"/>
  <c r="G2027" i="2"/>
  <c r="G2026" i="2"/>
  <c r="G2025" i="2"/>
  <c r="G2024" i="2"/>
  <c r="G11216" i="1" l="1"/>
  <c r="G11215" i="1"/>
  <c r="G11214" i="1"/>
  <c r="G11213" i="1"/>
  <c r="G11212" i="1"/>
  <c r="G11211" i="1"/>
  <c r="G11210" i="1"/>
  <c r="G11209" i="1"/>
  <c r="G11292" i="1" l="1"/>
  <c r="G11291" i="1" l="1"/>
  <c r="G2023" i="2" l="1"/>
  <c r="G2022"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AC5" i="31" s="1"/>
  <c r="J7" i="3"/>
  <c r="G11281" i="1" l="1"/>
  <c r="G2021" i="2"/>
  <c r="G2020" i="2"/>
  <c r="G2019"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8" i="2" l="1"/>
  <c r="G2017" i="2"/>
  <c r="G2016" i="2"/>
  <c r="G2015" i="2"/>
  <c r="G2014" i="2" l="1"/>
  <c r="G2013" i="2"/>
  <c r="G2012" i="2"/>
  <c r="G2011" i="2"/>
  <c r="G2010" i="2"/>
  <c r="G11163" i="1"/>
  <c r="G11162" i="1"/>
  <c r="G11161" i="1"/>
  <c r="G11160" i="1"/>
  <c r="G11159" i="1"/>
  <c r="G2009"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8" i="2" l="1"/>
  <c r="G2007" i="2"/>
  <c r="G2006" i="2" l="1"/>
  <c r="G2005" i="2"/>
  <c r="G2004" i="2"/>
  <c r="G2003" i="2"/>
  <c r="G2002" i="2"/>
  <c r="G11151" i="1"/>
  <c r="G11150" i="1"/>
  <c r="G11149" i="1"/>
  <c r="G11148" i="1"/>
  <c r="G11147" i="1"/>
  <c r="G2001" i="2"/>
  <c r="G1999" i="2"/>
  <c r="G11154" i="1"/>
  <c r="G11152" i="1"/>
  <c r="G1998" i="2"/>
  <c r="G1997" i="2"/>
  <c r="G1996" i="2"/>
  <c r="G11146" i="1"/>
  <c r="G11145" i="1"/>
  <c r="G11144" i="1"/>
  <c r="G11175" i="1" l="1"/>
  <c r="G11174" i="1" l="1"/>
  <c r="G11173" i="1"/>
  <c r="G1995" i="2" l="1"/>
  <c r="G11057" i="1" l="1"/>
  <c r="G11056" i="1"/>
  <c r="G11055" i="1"/>
  <c r="G11054" i="1"/>
  <c r="G11053" i="1"/>
  <c r="G11052" i="1"/>
  <c r="G11051" i="1"/>
  <c r="G1994"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3" i="2" l="1"/>
  <c r="G11172" i="1" l="1"/>
  <c r="G1992" i="2" l="1"/>
  <c r="G1991" i="2" l="1"/>
  <c r="G1990" i="2"/>
  <c r="G11143" i="1" l="1"/>
  <c r="G11142" i="1"/>
  <c r="G11024" i="1"/>
  <c r="G11023" i="1"/>
  <c r="G11022" i="1"/>
  <c r="G11021" i="1"/>
  <c r="G11020" i="1"/>
  <c r="G11019" i="1"/>
  <c r="G11018" i="1"/>
  <c r="G11017" i="1"/>
  <c r="G11016" i="1"/>
  <c r="G11015" i="1"/>
  <c r="G11014" i="1"/>
  <c r="G11013" i="1"/>
  <c r="G11012" i="1"/>
  <c r="G11011" i="1"/>
  <c r="G11010" i="1"/>
  <c r="G11009" i="1"/>
  <c r="G11008" i="1"/>
  <c r="G11007" i="1"/>
  <c r="G1973" i="2" l="1"/>
  <c r="G1958" i="2" l="1"/>
  <c r="G1989" i="2" l="1"/>
  <c r="G1988" i="2" l="1"/>
  <c r="G1987" i="2"/>
  <c r="G1986" i="2"/>
  <c r="G1985" i="2"/>
  <c r="G1984"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3" i="2" l="1"/>
  <c r="G1982" i="2"/>
  <c r="G1981" i="2"/>
  <c r="G1980" i="2"/>
  <c r="G1979" i="2"/>
  <c r="G11141" i="1" l="1"/>
  <c r="G11140" i="1"/>
  <c r="G11139" i="1"/>
  <c r="G11168" i="1" l="1"/>
  <c r="N109" i="28" l="1"/>
  <c r="I109" i="28"/>
  <c r="C62" i="23"/>
  <c r="K63" i="23" l="1"/>
  <c r="AC24" i="31"/>
  <c r="J63" i="23"/>
  <c r="AB24" i="31"/>
  <c r="I63" i="23"/>
  <c r="AA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8" i="2" l="1"/>
  <c r="G1977" i="2"/>
  <c r="G1976"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5" i="2"/>
  <c r="G10958" i="1"/>
  <c r="G10957" i="1"/>
  <c r="G10956" i="1"/>
  <c r="G1974" i="2"/>
  <c r="G1972" i="2"/>
  <c r="G11005" i="1"/>
  <c r="G10955" i="1"/>
  <c r="G10954" i="1"/>
  <c r="G10953" i="1"/>
  <c r="G10952" i="1"/>
  <c r="G10973" i="1" l="1"/>
  <c r="G1971" i="2" l="1"/>
  <c r="G1970" i="2" l="1"/>
  <c r="G10740" i="1" l="1"/>
  <c r="G10739" i="1"/>
  <c r="G10733" i="1"/>
  <c r="G1969" i="2" l="1"/>
  <c r="G10753" i="1" l="1"/>
  <c r="G10754" i="1"/>
  <c r="G10755" i="1"/>
  <c r="G10756" i="1"/>
  <c r="E10752" i="1"/>
  <c r="G10752" i="1" s="1"/>
  <c r="G10751" i="1"/>
  <c r="G10972" i="1" l="1"/>
  <c r="G10501" i="1"/>
  <c r="G10951" i="1" l="1"/>
  <c r="G10950" i="1"/>
  <c r="G10949" i="1"/>
  <c r="G10948" i="1"/>
  <c r="G10971" i="1" l="1"/>
  <c r="G10947" i="1" l="1"/>
  <c r="G10946" i="1"/>
  <c r="G1968" i="2"/>
  <c r="G1967" i="2" l="1"/>
  <c r="G1966" i="2" l="1"/>
  <c r="G1965" i="2"/>
  <c r="G1964" i="2"/>
  <c r="G1963" i="2" l="1"/>
  <c r="G1962" i="2"/>
  <c r="G1961" i="2"/>
  <c r="G1960" i="2"/>
  <c r="G1959" i="2" l="1"/>
  <c r="G10970" i="1" l="1"/>
  <c r="G10969" i="1"/>
  <c r="G1957" i="2" l="1"/>
  <c r="G1956" i="2"/>
  <c r="G10851" i="1" l="1"/>
  <c r="G10850" i="1"/>
  <c r="G10849" i="1"/>
  <c r="G10848" i="1"/>
  <c r="G10847" i="1"/>
  <c r="G10846" i="1"/>
  <c r="G10845" i="1"/>
  <c r="G10844" i="1"/>
  <c r="G10843" i="1"/>
  <c r="G10842" i="1"/>
  <c r="G10841" i="1"/>
  <c r="G10840" i="1"/>
  <c r="G1955" i="2" l="1"/>
  <c r="G1954"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3" i="2" l="1"/>
  <c r="G1952" i="2" l="1"/>
  <c r="G1951" i="2" l="1"/>
  <c r="F1888" i="2"/>
  <c r="G1950" i="2"/>
  <c r="G1938" i="2" l="1"/>
  <c r="G1937" i="2"/>
  <c r="G1936" i="2" l="1"/>
  <c r="G1935" i="2"/>
  <c r="G10765" i="1" l="1"/>
  <c r="G10764" i="1"/>
  <c r="G10763" i="1"/>
  <c r="G10762" i="1"/>
  <c r="G10761" i="1"/>
  <c r="G10760" i="1"/>
  <c r="G10759" i="1"/>
  <c r="G10758" i="1"/>
  <c r="G10757" i="1"/>
  <c r="G10750" i="1"/>
  <c r="G10749" i="1"/>
  <c r="G10748" i="1"/>
  <c r="G10747" i="1"/>
  <c r="G10746" i="1"/>
  <c r="G10745" i="1"/>
  <c r="G10744" i="1"/>
  <c r="G10743" i="1"/>
  <c r="G10742" i="1"/>
  <c r="G10741" i="1"/>
  <c r="G1883" i="2" l="1"/>
  <c r="G1882" i="2"/>
  <c r="G1881" i="2"/>
  <c r="G1947" i="2"/>
  <c r="G1946" i="2"/>
  <c r="G1949" i="2" l="1"/>
  <c r="G1948" i="2"/>
  <c r="G1880" i="2"/>
  <c r="G10801" i="1" l="1"/>
  <c r="G10800" i="1"/>
  <c r="G10799" i="1"/>
  <c r="G10793" i="1"/>
  <c r="G10794" i="1"/>
  <c r="G10795" i="1"/>
  <c r="G10796" i="1"/>
  <c r="G10797" i="1"/>
  <c r="G10798" i="1"/>
  <c r="G1945" i="2"/>
  <c r="G1944" i="2"/>
  <c r="G1943" i="2"/>
  <c r="G1942" i="2"/>
  <c r="G1941" i="2"/>
  <c r="G1940" i="2"/>
  <c r="G1939" i="2"/>
  <c r="G10814" i="1" l="1"/>
  <c r="G10813" i="1"/>
  <c r="G10812" i="1" l="1"/>
  <c r="G10811" i="1" l="1"/>
  <c r="G10810" i="1" l="1"/>
  <c r="G10809" i="1" l="1"/>
  <c r="G10808" i="1"/>
  <c r="G10807" i="1"/>
  <c r="G10806" i="1"/>
  <c r="G1934" i="2" l="1"/>
  <c r="G10792" i="1" l="1"/>
  <c r="G10791" i="1"/>
  <c r="G1933" i="2"/>
  <c r="G10790" i="1"/>
  <c r="G1932" i="2"/>
  <c r="G10789" i="1"/>
  <c r="G1931" i="2"/>
  <c r="G1930" i="2" l="1"/>
  <c r="G1929" i="2" l="1"/>
  <c r="G1928" i="2"/>
  <c r="G1927" i="2"/>
  <c r="G1926" i="2"/>
  <c r="G1925" i="2"/>
  <c r="G1924" i="2" l="1"/>
  <c r="G1923" i="2"/>
  <c r="G1922"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4" i="2" l="1"/>
  <c r="G1921" i="2" l="1"/>
  <c r="G1920"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9" i="2" l="1"/>
  <c r="G10681" i="1" l="1"/>
  <c r="G10680" i="1" l="1"/>
  <c r="G10679" i="1"/>
  <c r="G10678" i="1"/>
  <c r="G10677" i="1"/>
  <c r="G10676" i="1"/>
  <c r="G10603" i="1"/>
  <c r="G10602" i="1" l="1"/>
  <c r="G1918" i="2" l="1"/>
  <c r="G1917" i="2"/>
  <c r="G1916" i="2"/>
  <c r="G1909" i="2"/>
  <c r="G1911" i="2"/>
  <c r="G1910" i="2"/>
  <c r="G1913" i="2"/>
  <c r="G1915" i="2"/>
  <c r="G1914" i="2"/>
  <c r="G1912" i="2"/>
  <c r="G1908" i="2"/>
  <c r="G1907" i="2"/>
  <c r="G1906" i="2"/>
  <c r="G1905" i="2"/>
  <c r="G1904" i="2"/>
  <c r="G1903" i="2"/>
  <c r="G1902" i="2"/>
  <c r="G1901" i="2"/>
  <c r="G1900" i="2"/>
  <c r="G1899" i="2"/>
  <c r="G10655" i="1" l="1"/>
  <c r="G10654" i="1"/>
  <c r="G1898"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7" i="2" l="1"/>
  <c r="G1896"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5" i="2" l="1"/>
  <c r="G10644" i="1" l="1"/>
  <c r="G10670" i="1" l="1"/>
  <c r="G10669" i="1"/>
  <c r="G10649" i="1" l="1"/>
  <c r="G10648" i="1" l="1"/>
  <c r="G10417" i="1" l="1"/>
  <c r="G1801" i="2"/>
  <c r="G1848" i="2"/>
  <c r="G1847" i="2"/>
  <c r="G1846" i="2"/>
  <c r="G1845" i="2"/>
  <c r="G1844" i="2"/>
  <c r="G1843" i="2"/>
  <c r="G1842" i="2"/>
  <c r="G1841" i="2"/>
  <c r="G1840" i="2"/>
  <c r="G1839" i="2"/>
  <c r="G1838" i="2"/>
  <c r="G1837" i="2"/>
  <c r="G1836" i="2"/>
  <c r="G1835"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4" i="2" l="1"/>
  <c r="G10668" i="1" l="1"/>
  <c r="G1893"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2" i="2" l="1"/>
  <c r="G1891" i="2"/>
  <c r="G1890"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6" i="2"/>
  <c r="G10639" i="1" l="1"/>
  <c r="G1889" i="2"/>
  <c r="G1888" i="2"/>
  <c r="G1887" i="2"/>
  <c r="G1886"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5" i="2" l="1"/>
  <c r="G1826" i="2" l="1"/>
  <c r="G10631" i="1" l="1"/>
  <c r="G10630" i="1"/>
  <c r="G1879" i="2"/>
  <c r="G1878" i="2"/>
  <c r="G1877" i="2"/>
  <c r="G10629" i="1"/>
  <c r="G10624" i="1"/>
  <c r="G10623" i="1"/>
  <c r="G10622" i="1"/>
  <c r="G10469" i="1"/>
  <c r="G10468" i="1"/>
  <c r="G10467" i="1"/>
  <c r="G10466" i="1"/>
  <c r="G10465" i="1"/>
  <c r="G10658" i="1" l="1"/>
  <c r="G10657" i="1" l="1"/>
  <c r="G10656" i="1"/>
  <c r="G10500" i="1" l="1"/>
  <c r="G1876" i="2" l="1"/>
  <c r="G1875" i="2"/>
  <c r="G1874"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3" i="2" l="1"/>
  <c r="G1872" i="2"/>
  <c r="G1871" i="2"/>
  <c r="G10464" i="1"/>
  <c r="G10463" i="1"/>
  <c r="G10462" i="1"/>
  <c r="G10461" i="1"/>
  <c r="G1870" i="2"/>
  <c r="G1869" i="2"/>
  <c r="G1868" i="2"/>
  <c r="G10460" i="1"/>
  <c r="G10459" i="1"/>
  <c r="G10458" i="1"/>
  <c r="G1867" i="2"/>
  <c r="G10457" i="1"/>
  <c r="G10456" i="1"/>
  <c r="G10454" i="1"/>
  <c r="G10453" i="1"/>
  <c r="E10455" i="1"/>
  <c r="J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5" i="2" l="1"/>
  <c r="G1824" i="2"/>
  <c r="G1866" i="2" l="1"/>
  <c r="G1865" i="2"/>
  <c r="G1864" i="2" l="1"/>
  <c r="G1863" i="2"/>
  <c r="G1862" i="2"/>
  <c r="G1861" i="2"/>
  <c r="G1860" i="2"/>
  <c r="G1859" i="2"/>
  <c r="G1858" i="2"/>
  <c r="G1857" i="2"/>
  <c r="G1856" i="2"/>
  <c r="G1855" i="2"/>
  <c r="G1854" i="2"/>
  <c r="G1853" i="2"/>
  <c r="G10483" i="1" l="1"/>
  <c r="G10442" i="1" l="1"/>
  <c r="G10441" i="1"/>
  <c r="G10440" i="1"/>
  <c r="G1852" i="2" l="1"/>
  <c r="G1851"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50" i="2" l="1"/>
  <c r="G1849" i="2"/>
  <c r="G1834" i="2" l="1"/>
  <c r="G10437" i="1" l="1"/>
  <c r="G1833" i="2"/>
  <c r="G1832" i="2"/>
  <c r="G1831" i="2"/>
  <c r="G1830" i="2"/>
  <c r="G1829" i="2"/>
  <c r="G10436" i="1" l="1"/>
  <c r="G10435" i="1"/>
  <c r="G1828"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7" i="2" l="1"/>
  <c r="G1823" i="2"/>
  <c r="G1822" i="2"/>
  <c r="G1821" i="2"/>
  <c r="G1820" i="2"/>
  <c r="G1819" i="2"/>
  <c r="G1818" i="2"/>
  <c r="G1817" i="2"/>
  <c r="G1816" i="2"/>
  <c r="G1815" i="2"/>
  <c r="G10480" i="1" l="1"/>
  <c r="G1814" i="2" l="1"/>
  <c r="G1813" i="2"/>
  <c r="G1812" i="2"/>
  <c r="G1811" i="2"/>
  <c r="G10432" i="1"/>
  <c r="G10431" i="1"/>
  <c r="G10430" i="1"/>
  <c r="G10429" i="1"/>
  <c r="G10428" i="1" l="1"/>
  <c r="G10479" i="1" l="1"/>
  <c r="G10478" i="1" l="1"/>
  <c r="G10477" i="1"/>
  <c r="G10427" i="1" l="1"/>
  <c r="G10426" i="1" l="1"/>
  <c r="G10425" i="1"/>
  <c r="G10424" i="1"/>
  <c r="G10423" i="1"/>
  <c r="G10476" i="1" l="1"/>
  <c r="G10475" i="1"/>
  <c r="G1810" i="2" l="1"/>
  <c r="G1809" i="2" l="1"/>
  <c r="G1808" i="2"/>
  <c r="G1807" i="2"/>
  <c r="G1806"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9" i="2"/>
  <c r="G1805" i="2" l="1"/>
  <c r="G1804" i="2"/>
  <c r="G1803" i="2"/>
  <c r="G1802" i="2"/>
  <c r="G10301" i="1"/>
  <c r="G10300" i="1"/>
  <c r="G10299" i="1"/>
  <c r="G10298" i="1" l="1"/>
  <c r="G10297" i="1"/>
  <c r="G10296" i="1"/>
  <c r="G10295" i="1"/>
  <c r="G10294" i="1"/>
  <c r="G10293" i="1"/>
  <c r="G10292" i="1"/>
  <c r="G10291" i="1"/>
  <c r="G10290" i="1"/>
  <c r="G10289" i="1"/>
  <c r="G10288" i="1"/>
  <c r="G10422" i="1" l="1"/>
  <c r="G10421" i="1"/>
  <c r="G10420" i="1"/>
  <c r="G1800"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9" i="2" l="1"/>
  <c r="G1798" i="2" l="1"/>
  <c r="G10419" i="1" l="1"/>
  <c r="G10418" i="1"/>
  <c r="G10416" i="1"/>
  <c r="G10415" i="1" l="1"/>
  <c r="G10414" i="1"/>
  <c r="G10474" i="1" l="1"/>
  <c r="G10473" i="1"/>
  <c r="G10472" i="1"/>
  <c r="G10471" i="1" l="1"/>
  <c r="G1797"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6"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5" i="2" l="1"/>
  <c r="G1794" i="2"/>
  <c r="G10232" i="1" l="1"/>
  <c r="G10231" i="1"/>
  <c r="G10230" i="1"/>
  <c r="G10229" i="1" l="1"/>
  <c r="G10243" i="1"/>
  <c r="G1793"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2" i="2" l="1"/>
  <c r="G1791"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90" i="2" l="1"/>
  <c r="G1782" i="2"/>
  <c r="G1781" i="2"/>
  <c r="G1780" i="2"/>
  <c r="G1779" i="2"/>
  <c r="G10099" i="1" l="1"/>
  <c r="G10098" i="1"/>
  <c r="G10097" i="1"/>
  <c r="G10096" i="1"/>
  <c r="G10095" i="1"/>
  <c r="G10094" i="1"/>
  <c r="G10093" i="1"/>
  <c r="G10092" i="1"/>
  <c r="G10091" i="1"/>
  <c r="G10090" i="1"/>
  <c r="G10089" i="1"/>
  <c r="G10088" i="1"/>
  <c r="G10048" i="1"/>
  <c r="G10047" i="1"/>
  <c r="G10046" i="1"/>
  <c r="G10045" i="1" l="1"/>
  <c r="G10044" i="1"/>
  <c r="G10215" i="1"/>
  <c r="G10214" i="1"/>
  <c r="G1789" i="2" l="1"/>
  <c r="G1788" i="2" l="1"/>
  <c r="G10213" i="1" l="1"/>
  <c r="G1787" i="2"/>
  <c r="G10212" i="1"/>
  <c r="G10211" i="1"/>
  <c r="G10077" i="1" l="1"/>
  <c r="G1786" i="2"/>
  <c r="G1785" i="2"/>
  <c r="G1784" i="2"/>
  <c r="G1783" i="2"/>
  <c r="G10076" i="1" l="1"/>
  <c r="G10043" i="1" l="1"/>
  <c r="G10042" i="1"/>
  <c r="G10041" i="1"/>
  <c r="G10040" i="1"/>
  <c r="G10039" i="1"/>
  <c r="G10038" i="1"/>
  <c r="G10037" i="1"/>
  <c r="G10036" i="1"/>
  <c r="G10035" i="1"/>
  <c r="G10034" i="1" l="1"/>
  <c r="G10033" i="1"/>
  <c r="G10032" i="1"/>
  <c r="G1778" i="2" l="1"/>
  <c r="G1777" i="2" l="1"/>
  <c r="G1776"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5" i="2" l="1"/>
  <c r="G1774"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3"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2" i="2"/>
  <c r="G1771" i="2"/>
  <c r="G1770" i="2"/>
  <c r="G1769" i="2"/>
  <c r="G1700" i="2"/>
  <c r="G1699" i="2"/>
  <c r="G1698" i="2"/>
  <c r="G1701" i="2"/>
  <c r="G1718" i="2"/>
  <c r="G1723" i="2"/>
  <c r="G1734" i="2"/>
  <c r="G1735" i="2"/>
  <c r="G1764"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8" i="2" l="1"/>
  <c r="G1767" i="2"/>
  <c r="G1766" i="2"/>
  <c r="G1765" i="2"/>
  <c r="G10080" i="1" l="1"/>
  <c r="G10079" i="1" l="1"/>
  <c r="G1763" i="2" l="1"/>
  <c r="G1762" i="2" l="1"/>
  <c r="G1760" i="2"/>
  <c r="G1761"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9"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8" i="2" l="1"/>
  <c r="G9953" i="1" l="1"/>
  <c r="G9950" i="1" l="1"/>
  <c r="G9938" i="1" l="1"/>
  <c r="G1757" i="2" l="1"/>
  <c r="G1756" i="2" l="1"/>
  <c r="G9937" i="1"/>
  <c r="G1755" i="2" l="1"/>
  <c r="G1754" i="2"/>
  <c r="G1753" i="2" l="1"/>
  <c r="G9936" i="1"/>
  <c r="G9935" i="1"/>
  <c r="G9949" i="1" l="1"/>
  <c r="G9948" i="1"/>
  <c r="G9934" i="1" l="1"/>
  <c r="G1752" i="2" l="1"/>
  <c r="G9947" i="1" l="1"/>
  <c r="G1751"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50" i="2" l="1"/>
  <c r="G1749" i="2"/>
  <c r="G1739" i="2" l="1"/>
  <c r="G9798" i="1" l="1"/>
  <c r="G9797" i="1"/>
  <c r="G9796" i="1"/>
  <c r="G9795" i="1"/>
  <c r="G9794" i="1"/>
  <c r="G9793" i="1"/>
  <c r="G9792" i="1"/>
  <c r="G9791" i="1"/>
  <c r="G9790" i="1"/>
  <c r="G9789" i="1"/>
  <c r="G9831" i="1" l="1"/>
  <c r="G9830" i="1"/>
  <c r="G1748" i="2"/>
  <c r="G1747" i="2"/>
  <c r="G1746" i="2" l="1"/>
  <c r="G1745" i="2"/>
  <c r="G1744" i="2"/>
  <c r="G1743" i="2"/>
  <c r="G1742" i="2" l="1"/>
  <c r="G1741" i="2"/>
  <c r="G1740" i="2"/>
  <c r="G9829" i="1"/>
  <c r="G9828" i="1"/>
  <c r="G9827" i="1"/>
  <c r="G9835" i="1" l="1"/>
  <c r="G9760" i="1" l="1"/>
  <c r="G1738" i="2"/>
  <c r="G1737" i="2"/>
  <c r="G9825" i="1"/>
  <c r="G9826" i="1"/>
  <c r="G1736" i="2" l="1"/>
  <c r="G1733" i="2"/>
  <c r="G1732"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1" i="2" l="1"/>
  <c r="G1730" i="2"/>
  <c r="G1729" i="2"/>
  <c r="G1728" i="2"/>
  <c r="G1727" i="2"/>
  <c r="G1726" i="2"/>
  <c r="G1725" i="2"/>
  <c r="G1724" i="2" l="1"/>
  <c r="G1722" i="2" l="1"/>
  <c r="G1721" i="2"/>
  <c r="G1720" i="2"/>
  <c r="G9823" i="1" l="1"/>
  <c r="G9833" i="1" l="1"/>
  <c r="G9687" i="1" l="1"/>
  <c r="G9688" i="1"/>
  <c r="G9689" i="1"/>
  <c r="G9690" i="1"/>
  <c r="G9691" i="1"/>
  <c r="G9692" i="1"/>
  <c r="G9693" i="1"/>
  <c r="G9694" i="1"/>
  <c r="G9695" i="1"/>
  <c r="G9696" i="1"/>
  <c r="G9697" i="1"/>
  <c r="G9698" i="1"/>
  <c r="G9699" i="1"/>
  <c r="G9832" i="1" l="1"/>
  <c r="G1719" i="2" l="1"/>
  <c r="G1717" i="2"/>
  <c r="G1716" i="2"/>
  <c r="G1715" i="2"/>
  <c r="G1714" i="2" l="1"/>
  <c r="G1713" i="2"/>
  <c r="G1712" i="2"/>
  <c r="G1711" i="2"/>
  <c r="G9822" i="1" l="1"/>
  <c r="G9821" i="1"/>
  <c r="G9820" i="1"/>
  <c r="G1710" i="2" l="1"/>
  <c r="G9686" i="1" l="1"/>
  <c r="G9685" i="1"/>
  <c r="G9684" i="1"/>
  <c r="G9683" i="1"/>
  <c r="G9682" i="1"/>
  <c r="G9681" i="1"/>
  <c r="G9680" i="1"/>
  <c r="G9679" i="1"/>
  <c r="G9725" i="1"/>
  <c r="G9722" i="1"/>
  <c r="G9724" i="1" l="1"/>
  <c r="G1709" i="2" l="1"/>
  <c r="G9723" i="1" l="1"/>
  <c r="G9675" i="1" l="1"/>
  <c r="G9674" i="1"/>
  <c r="G9678" i="1"/>
  <c r="G9677" i="1"/>
  <c r="G9676" i="1"/>
  <c r="G9673" i="1"/>
  <c r="G9672" i="1"/>
  <c r="G9671" i="1"/>
  <c r="G9670" i="1"/>
  <c r="G9669" i="1"/>
  <c r="G9668" i="1"/>
  <c r="G9667" i="1"/>
  <c r="G9666" i="1"/>
  <c r="G1708" i="2" l="1"/>
  <c r="G1707" i="2"/>
  <c r="G9735" i="1" l="1"/>
  <c r="G9734" i="1" l="1"/>
  <c r="G1706" i="2" l="1"/>
  <c r="G1704" i="2"/>
  <c r="G9721" i="1" l="1"/>
  <c r="G9720" i="1"/>
  <c r="G9719" i="1"/>
  <c r="G9718" i="1"/>
  <c r="G9665" i="1"/>
  <c r="G9663" i="1"/>
  <c r="G9664" i="1"/>
  <c r="G9662" i="1"/>
  <c r="G1705" i="2" l="1"/>
  <c r="G9661" i="1" l="1"/>
  <c r="G9660" i="1"/>
  <c r="G9659" i="1"/>
  <c r="G9658" i="1"/>
  <c r="G9657" i="1"/>
  <c r="G9641" i="1"/>
  <c r="G9640" i="1"/>
  <c r="G1703" i="2" l="1"/>
  <c r="G1702" i="2"/>
  <c r="G9656" i="1" l="1"/>
  <c r="G9655" i="1"/>
  <c r="G9654" i="1"/>
  <c r="G9653" i="1"/>
  <c r="G9652" i="1"/>
  <c r="G9651" i="1"/>
  <c r="G9650" i="1"/>
  <c r="G9649" i="1"/>
  <c r="G9648" i="1"/>
  <c r="G1697" i="2" l="1"/>
  <c r="G9647" i="1" l="1"/>
  <c r="G9646" i="1"/>
  <c r="G9645" i="1"/>
  <c r="G9644" i="1"/>
  <c r="G9643" i="1"/>
  <c r="G9642" i="1"/>
  <c r="G9639" i="1"/>
  <c r="G9638" i="1"/>
  <c r="G9637" i="1"/>
  <c r="G9636" i="1"/>
  <c r="G9635" i="1"/>
  <c r="G9634" i="1"/>
  <c r="G9633" i="1"/>
  <c r="G1696" i="2" l="1"/>
  <c r="G1695" i="2"/>
  <c r="G1694" i="2"/>
  <c r="G1693" i="2"/>
  <c r="G1692" i="2"/>
  <c r="G1691" i="2"/>
  <c r="G1690" i="2"/>
  <c r="G1689" i="2"/>
  <c r="G1688" i="2"/>
  <c r="G9717" i="1"/>
  <c r="G9716" i="1"/>
  <c r="G9710" i="1"/>
  <c r="G9711" i="1"/>
  <c r="G9713" i="1"/>
  <c r="G9714" i="1"/>
  <c r="G9715" i="1"/>
  <c r="G9709" i="1" l="1"/>
  <c r="G9733" i="1" l="1"/>
  <c r="G9732" i="1"/>
  <c r="G9731" i="1"/>
  <c r="G9730" i="1"/>
  <c r="G9729" i="1"/>
  <c r="G9632" i="1" l="1"/>
  <c r="G9631" i="1"/>
  <c r="G9708" i="1"/>
  <c r="G1687" i="2"/>
  <c r="G1686" i="2"/>
  <c r="G9707" i="1"/>
  <c r="G1685" i="2" l="1"/>
  <c r="G1684" i="2"/>
  <c r="G9728" i="1" l="1"/>
  <c r="G9727" i="1"/>
  <c r="G9726" i="1"/>
  <c r="G9630" i="1" l="1"/>
  <c r="G9629" i="1"/>
  <c r="G9628" i="1"/>
  <c r="G9627" i="1"/>
  <c r="G9626" i="1"/>
  <c r="G9625" i="1"/>
  <c r="G9624" i="1"/>
  <c r="G9623" i="1"/>
  <c r="G9622" i="1"/>
  <c r="G9621" i="1"/>
  <c r="G9620" i="1"/>
  <c r="G1683" i="2" l="1"/>
  <c r="G1378" i="2" l="1"/>
  <c r="G1682" i="2"/>
  <c r="G1681" i="2"/>
  <c r="G1580" i="2" l="1"/>
  <c r="G9619" i="1" l="1"/>
  <c r="G9618" i="1"/>
  <c r="G9617" i="1"/>
  <c r="G9616" i="1"/>
  <c r="G9615" i="1"/>
  <c r="G9614" i="1"/>
  <c r="G9602" i="1" l="1"/>
  <c r="G9601" i="1"/>
  <c r="G1680" i="2" l="1"/>
  <c r="G9613" i="1" l="1"/>
  <c r="G9612" i="1"/>
  <c r="G9611" i="1"/>
  <c r="G9610" i="1"/>
  <c r="G9706" i="1" l="1"/>
  <c r="G9705" i="1"/>
  <c r="G1679"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8" i="2" l="1"/>
  <c r="G9258" i="1" l="1"/>
  <c r="G1677" i="2" l="1"/>
  <c r="G1676" i="2"/>
  <c r="G1675" i="2"/>
  <c r="G1674" i="2"/>
  <c r="G1673" i="2"/>
  <c r="G1672" i="2"/>
  <c r="G1671" i="2"/>
  <c r="G1670" i="2"/>
  <c r="G9599" i="1" l="1"/>
  <c r="G9598" i="1" l="1"/>
  <c r="G9592" i="1" l="1"/>
  <c r="G9590" i="1"/>
  <c r="G9589" i="1"/>
  <c r="E9588" i="1"/>
  <c r="G9588" i="1" l="1"/>
  <c r="G1668"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667" i="2" l="1"/>
  <c r="G9597" i="1" l="1"/>
  <c r="G9596" i="1" l="1"/>
  <c r="G9595" i="1" l="1"/>
  <c r="G1666"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5" i="2" l="1"/>
  <c r="G9594" i="1" l="1"/>
  <c r="G9479" i="1" l="1"/>
  <c r="G1664" i="2" l="1"/>
  <c r="G1663" i="2" l="1"/>
  <c r="G9585" i="1" l="1"/>
  <c r="G1662" i="2"/>
  <c r="G9584" i="1"/>
  <c r="G9583" i="1"/>
  <c r="J55" i="23" l="1"/>
  <c r="I55" i="23"/>
  <c r="K55" i="23"/>
  <c r="G1661" i="2" l="1"/>
  <c r="E9439" i="1" l="1"/>
  <c r="G9441" i="1"/>
  <c r="G9455" i="1" l="1"/>
  <c r="G1660" i="2" l="1"/>
  <c r="G7039" i="1" l="1"/>
  <c r="G6809" i="1"/>
  <c r="G6399" i="1"/>
  <c r="G5541" i="1"/>
  <c r="G5311" i="1"/>
  <c r="G9428" i="1" l="1"/>
  <c r="G9429" i="1"/>
  <c r="G9430" i="1"/>
  <c r="G9431" i="1"/>
  <c r="G9432" i="1"/>
  <c r="G9433" i="1"/>
  <c r="G9434" i="1"/>
  <c r="G9435" i="1"/>
  <c r="G9436" i="1"/>
  <c r="G9437" i="1"/>
  <c r="G9438" i="1"/>
  <c r="G9439" i="1"/>
  <c r="G9440" i="1"/>
  <c r="G9442" i="1"/>
  <c r="G9319" i="1" l="1"/>
  <c r="G1659" i="2" l="1"/>
  <c r="G1658" i="2"/>
  <c r="G1657" i="2"/>
  <c r="G1656" i="2"/>
  <c r="G1655"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5" i="2" l="1"/>
  <c r="G1644" i="2"/>
  <c r="G1654" i="2" l="1"/>
  <c r="G1653" i="2"/>
  <c r="G1652" i="2"/>
  <c r="G1651" i="2"/>
  <c r="G1650" i="2"/>
  <c r="G1649" i="2"/>
  <c r="G1648" i="2"/>
  <c r="G1647" i="2"/>
  <c r="G9456" i="1"/>
  <c r="G9454" i="1"/>
  <c r="G9453" i="1"/>
  <c r="G9452" i="1"/>
  <c r="G9451" i="1"/>
  <c r="G9450" i="1"/>
  <c r="G1550" i="2"/>
  <c r="G1549" i="2"/>
  <c r="G1548" i="2"/>
  <c r="G1547" i="2"/>
  <c r="G9068" i="1"/>
  <c r="G9067" i="1"/>
  <c r="G1553" i="2"/>
  <c r="G1552"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6" i="2" l="1"/>
  <c r="G9443" i="1" l="1"/>
  <c r="G9403" i="1"/>
  <c r="G9402" i="1"/>
  <c r="G9401" i="1"/>
  <c r="G9400" i="1"/>
  <c r="G9399" i="1"/>
  <c r="G9397" i="1"/>
  <c r="G9396" i="1"/>
  <c r="G1643" i="2"/>
  <c r="G9345" i="1" l="1"/>
  <c r="G9344" i="1"/>
  <c r="G9343" i="1"/>
  <c r="G9342" i="1"/>
  <c r="G9341" i="1"/>
  <c r="G9340" i="1"/>
  <c r="G9339" i="1"/>
  <c r="G9338" i="1"/>
  <c r="G9337" i="1"/>
  <c r="G9465" i="1" l="1"/>
  <c r="G9464" i="1"/>
  <c r="G9463" i="1"/>
  <c r="G9462" i="1"/>
  <c r="G9461" i="1"/>
  <c r="G9460" i="1"/>
  <c r="G9459" i="1"/>
  <c r="G9458" i="1"/>
  <c r="G9457" i="1"/>
  <c r="G1594" i="2" l="1"/>
  <c r="G1593" i="2"/>
  <c r="G1642" i="2" l="1"/>
  <c r="G1641" i="2"/>
  <c r="G1640" i="2"/>
  <c r="G1639" i="2"/>
  <c r="G1638" i="2"/>
  <c r="G1637" i="2"/>
  <c r="G1636" i="2"/>
  <c r="G1630" i="2"/>
  <c r="G1629" i="2"/>
  <c r="G1628" i="2"/>
  <c r="G1627" i="2"/>
  <c r="G1626" i="2"/>
  <c r="G1625" i="2"/>
  <c r="G1624" i="2"/>
  <c r="G1623" i="2"/>
  <c r="G1622" i="2"/>
  <c r="G1635" i="2"/>
  <c r="G1634" i="2"/>
  <c r="G1633" i="2"/>
  <c r="G1632" i="2"/>
  <c r="G1631" i="2"/>
  <c r="G1610" i="2"/>
  <c r="G1611" i="2"/>
  <c r="G1612" i="2"/>
  <c r="G1613" i="2"/>
  <c r="G1614" i="2"/>
  <c r="G1615" i="2"/>
  <c r="G1616" i="2"/>
  <c r="G1617" i="2"/>
  <c r="G1618" i="2"/>
  <c r="G1619" i="2"/>
  <c r="G1620" i="2"/>
  <c r="G1621" i="2"/>
  <c r="G1609" i="2"/>
  <c r="G1599" i="2"/>
  <c r="G1600" i="2"/>
  <c r="G1601" i="2"/>
  <c r="G1602" i="2"/>
  <c r="G1603" i="2"/>
  <c r="G1604" i="2"/>
  <c r="G1605" i="2"/>
  <c r="G1606" i="2"/>
  <c r="G1607" i="2"/>
  <c r="G1608" i="2"/>
  <c r="G9382" i="1" l="1"/>
  <c r="G9381" i="1"/>
  <c r="G9380" i="1"/>
  <c r="G9379" i="1"/>
  <c r="G9378" i="1"/>
  <c r="G9377" i="1"/>
  <c r="G1598" i="2"/>
  <c r="G1597" i="2"/>
  <c r="G1596" i="2"/>
  <c r="G1595"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2" i="2" l="1"/>
  <c r="G9305" i="1" l="1"/>
  <c r="G9304" i="1"/>
  <c r="G9303" i="1"/>
  <c r="G9302" i="1"/>
  <c r="G9301" i="1"/>
  <c r="G9300" i="1"/>
  <c r="G9299" i="1"/>
  <c r="G9298" i="1"/>
  <c r="G1591" i="2" l="1"/>
  <c r="G1590" i="2"/>
  <c r="G1589" i="2"/>
  <c r="G1588" i="2"/>
  <c r="G9372" i="1"/>
  <c r="G9371" i="1"/>
  <c r="G9370" i="1"/>
  <c r="G9369" i="1"/>
  <c r="G9368" i="1"/>
  <c r="G1587"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584" i="2"/>
  <c r="G1586" i="2" l="1"/>
  <c r="G9384" i="1" l="1"/>
  <c r="G9383" i="1"/>
  <c r="G9251" i="1" l="1"/>
  <c r="G9149" i="1" l="1"/>
  <c r="G9254" i="1" l="1"/>
  <c r="G9253" i="1" l="1"/>
  <c r="G9252" i="1"/>
  <c r="G9215" i="1" l="1"/>
  <c r="G9214" i="1"/>
  <c r="G9213" i="1"/>
  <c r="G9212" i="1"/>
  <c r="G9211" i="1"/>
  <c r="G9210" i="1"/>
  <c r="G9209" i="1"/>
  <c r="G9208" i="1"/>
  <c r="G9207" i="1"/>
  <c r="G9206" i="1"/>
  <c r="G9255" i="1"/>
  <c r="G9250" i="1"/>
  <c r="G9249" i="1"/>
  <c r="G1585" i="2" l="1"/>
  <c r="G9276" i="1" l="1"/>
  <c r="G9275" i="1"/>
  <c r="G9274" i="1"/>
  <c r="J44" i="23" l="1"/>
  <c r="D39" i="28"/>
  <c r="K44" i="23" s="1"/>
  <c r="I44" i="23"/>
  <c r="G4647" i="1" l="1"/>
  <c r="G4646" i="1"/>
  <c r="G4488" i="1" l="1"/>
  <c r="G4487" i="1"/>
  <c r="G4317" i="1" l="1"/>
  <c r="G1583" i="2" l="1"/>
  <c r="G1582" i="2"/>
  <c r="G1581" i="2"/>
  <c r="G9205" i="1" l="1"/>
  <c r="G9204" i="1"/>
  <c r="G9203" i="1"/>
  <c r="G9202" i="1"/>
  <c r="G9201" i="1"/>
  <c r="G9200" i="1"/>
  <c r="G9199" i="1"/>
  <c r="G9198" i="1"/>
  <c r="G9197" i="1"/>
  <c r="G9196" i="1"/>
  <c r="G9195" i="1"/>
  <c r="G9194" i="1"/>
  <c r="G9193" i="1"/>
  <c r="G9192" i="1"/>
  <c r="G9273" i="1" l="1"/>
  <c r="G9272" i="1"/>
  <c r="G9271" i="1"/>
  <c r="G9270" i="1"/>
  <c r="G1579" i="2" l="1"/>
  <c r="G9247" i="1"/>
  <c r="G1576" i="2"/>
  <c r="G1578" i="2"/>
  <c r="G9246" i="1"/>
  <c r="G9245" i="1"/>
  <c r="G9244" i="1"/>
  <c r="G9248" i="1"/>
  <c r="G9269" i="1" l="1"/>
  <c r="G9268" i="1"/>
  <c r="G1577"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5" i="2" l="1"/>
  <c r="G1574" i="2" l="1"/>
  <c r="G1573" i="2"/>
  <c r="G1572" i="2"/>
  <c r="G9178" i="1" l="1"/>
  <c r="G9177" i="1"/>
  <c r="G9176" i="1"/>
  <c r="G9175" i="1"/>
  <c r="G9265" i="1" l="1"/>
  <c r="G9264" i="1"/>
  <c r="G1571"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70" i="2" l="1"/>
  <c r="G1569" i="2"/>
  <c r="G9172" i="1" l="1"/>
  <c r="G9171" i="1" l="1"/>
  <c r="G1568" i="2" l="1"/>
  <c r="G1567" i="2"/>
  <c r="G1566" i="2"/>
  <c r="G9160" i="1" l="1"/>
  <c r="G9159" i="1"/>
  <c r="G9158" i="1"/>
  <c r="G9157" i="1" l="1"/>
  <c r="G9156" i="1"/>
  <c r="G9155" i="1"/>
  <c r="G9154" i="1"/>
  <c r="G9153" i="1"/>
  <c r="G9152" i="1"/>
  <c r="G9151" i="1"/>
  <c r="G1565" i="2"/>
  <c r="G9150" i="1"/>
  <c r="G9148" i="1" l="1"/>
  <c r="G9147" i="1"/>
  <c r="G9145" i="1"/>
  <c r="G9144" i="1"/>
  <c r="G1563" i="2" l="1"/>
  <c r="G1564" i="2"/>
  <c r="G1562" i="2"/>
  <c r="G1561" i="2"/>
  <c r="G9170" i="1" l="1"/>
  <c r="G9169" i="1"/>
  <c r="G9168" i="1"/>
  <c r="G9167" i="1"/>
  <c r="G9166" i="1"/>
  <c r="G9143" i="1" l="1"/>
  <c r="G9142" i="1"/>
  <c r="G9140" i="1"/>
  <c r="G9141" i="1"/>
  <c r="G9139" i="1" l="1"/>
  <c r="G1560" i="2"/>
  <c r="G1559"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4" i="2" l="1"/>
  <c r="G1555" i="2"/>
  <c r="G1556" i="2"/>
  <c r="G1557" i="2"/>
  <c r="G9087" i="1" l="1"/>
  <c r="G9086" i="1"/>
  <c r="G9085" i="1"/>
  <c r="G9084" i="1"/>
  <c r="G9083" i="1"/>
  <c r="G1558" i="2" l="1"/>
  <c r="G9165" i="1" l="1"/>
  <c r="G9040" i="1" l="1"/>
  <c r="G9039" i="1"/>
  <c r="G9038" i="1"/>
  <c r="G9041" i="1"/>
  <c r="G8969" i="1"/>
  <c r="G1551" i="2" l="1"/>
  <c r="G1546" i="2"/>
  <c r="G9066" i="1"/>
  <c r="G9065" i="1"/>
  <c r="G9082" i="1" l="1"/>
  <c r="G9081" i="1"/>
  <c r="G1545"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4" i="2" l="1"/>
  <c r="G1543" i="2"/>
  <c r="G1542"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1" i="2"/>
  <c r="G8978" i="1"/>
  <c r="F1497" i="2" l="1"/>
  <c r="G1540" i="2" l="1"/>
  <c r="G1539"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8" i="2" l="1"/>
  <c r="G1537" i="2" l="1"/>
  <c r="G1536" i="2"/>
  <c r="G1535" i="2"/>
  <c r="G1534" i="2"/>
  <c r="G1533" i="2"/>
  <c r="G1532" i="2"/>
  <c r="G1531" i="2"/>
  <c r="G1530" i="2"/>
  <c r="G1529" i="2"/>
  <c r="G1528" i="2"/>
  <c r="G1527" i="2"/>
  <c r="G1526" i="2"/>
  <c r="G1525" i="2"/>
  <c r="G1524" i="2"/>
  <c r="G1523" i="2"/>
  <c r="G1522" i="2"/>
  <c r="G9007" i="1" l="1"/>
  <c r="G8825" i="1" l="1"/>
  <c r="G8826" i="1" l="1"/>
  <c r="G8824" i="1"/>
  <c r="G8823" i="1"/>
  <c r="G1521" i="2" l="1"/>
  <c r="G1520" i="2"/>
  <c r="G1519" i="2"/>
  <c r="G8822" i="1" l="1"/>
  <c r="G8883" i="1" l="1"/>
  <c r="G8821" i="1" l="1"/>
  <c r="G8820" i="1"/>
  <c r="G8819" i="1"/>
  <c r="G8818" i="1" l="1"/>
  <c r="G8817" i="1"/>
  <c r="E8815" i="1"/>
  <c r="G8815" i="1" s="1"/>
  <c r="E8816" i="1" l="1"/>
  <c r="G8816" i="1" s="1"/>
  <c r="G1506" i="2" l="1"/>
  <c r="G8814" i="1"/>
  <c r="G8813" i="1"/>
  <c r="G8812" i="1"/>
  <c r="G8811" i="1"/>
  <c r="G1505" i="2" l="1"/>
  <c r="G1518"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J8" i="3"/>
  <c r="G8868" i="1"/>
  <c r="G8867" i="1"/>
  <c r="G8866" i="1"/>
  <c r="G8865" i="1"/>
  <c r="G8864" i="1"/>
  <c r="G8863" i="1"/>
  <c r="G8862" i="1"/>
  <c r="G8861" i="1"/>
  <c r="G8860" i="1"/>
  <c r="G8859" i="1"/>
  <c r="G8858" i="1"/>
  <c r="G8857" i="1"/>
  <c r="G8882" i="1" l="1"/>
  <c r="G8881" i="1" l="1"/>
  <c r="G1517" i="2"/>
  <c r="G1516" i="2"/>
  <c r="G1515" i="2"/>
  <c r="G1514" i="2"/>
  <c r="G1513" i="2"/>
  <c r="G1512" i="2"/>
  <c r="G1511" i="2"/>
  <c r="G1510" i="2"/>
  <c r="G1509" i="2"/>
  <c r="G1508" i="2"/>
  <c r="G1507" i="2"/>
  <c r="G1504" i="2" l="1"/>
  <c r="G1503" i="2"/>
  <c r="G8880" i="1"/>
  <c r="G8856" i="1" l="1"/>
  <c r="G8855" i="1"/>
  <c r="G8854" i="1"/>
  <c r="G8853" i="1"/>
  <c r="G8852" i="1"/>
  <c r="G8851" i="1"/>
  <c r="G8850" i="1"/>
  <c r="G1502" i="2"/>
  <c r="G8849" i="1"/>
  <c r="G8848" i="1"/>
  <c r="G8846" i="1"/>
  <c r="G8845" i="1"/>
  <c r="G1499" i="2"/>
  <c r="G1498" i="2"/>
  <c r="G1501" i="2"/>
  <c r="G1500" i="2"/>
  <c r="G8879" i="1" l="1"/>
  <c r="G8847" i="1" l="1"/>
  <c r="G1497" i="2"/>
  <c r="G1496" i="2"/>
  <c r="G1495" i="2"/>
  <c r="G8844" i="1"/>
  <c r="G8843" i="1"/>
  <c r="G8842" i="1"/>
  <c r="E8841" i="1"/>
  <c r="G8841" i="1" s="1"/>
  <c r="G8840" i="1"/>
  <c r="G8839" i="1" l="1"/>
  <c r="G8838" i="1"/>
  <c r="G8837" i="1"/>
  <c r="G8836" i="1"/>
  <c r="G8878" i="1" l="1"/>
  <c r="G8877" i="1"/>
  <c r="G8876" i="1"/>
  <c r="G8875" i="1"/>
  <c r="G8874" i="1"/>
  <c r="G8873" i="1"/>
  <c r="G8872" i="1" l="1"/>
  <c r="G8871" i="1"/>
  <c r="G1494" i="2" l="1"/>
  <c r="G8870" i="1" l="1"/>
  <c r="G8725" i="1" l="1"/>
  <c r="G8726" i="1"/>
  <c r="G8727" i="1"/>
  <c r="G8728" i="1"/>
  <c r="G8729" i="1"/>
  <c r="G8730" i="1"/>
  <c r="G8731" i="1"/>
  <c r="G8732" i="1"/>
  <c r="G8733" i="1"/>
  <c r="G8734" i="1"/>
  <c r="G8735" i="1"/>
  <c r="G8736" i="1"/>
  <c r="G8737" i="1"/>
  <c r="E8739" i="1"/>
  <c r="G8739" i="1" s="1"/>
  <c r="E8738" i="1"/>
  <c r="G8738" i="1" l="1"/>
  <c r="G8835" i="1"/>
  <c r="E1493" i="2"/>
  <c r="G1493" i="2" s="1"/>
  <c r="E1492" i="2"/>
  <c r="G1492" i="2" s="1"/>
  <c r="G1491" i="2" l="1"/>
  <c r="G1490"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9" i="2" l="1"/>
  <c r="G8723" i="1" l="1"/>
  <c r="G8722" i="1"/>
  <c r="G8721" i="1"/>
  <c r="G8720" i="1" l="1"/>
  <c r="G1488" i="2" l="1"/>
  <c r="G8656" i="1" l="1"/>
  <c r="G8655" i="1"/>
  <c r="G8654" i="1"/>
  <c r="G8653" i="1"/>
  <c r="G8652" i="1"/>
  <c r="G8651" i="1"/>
  <c r="G8710" i="1" l="1"/>
  <c r="G8709" i="1"/>
  <c r="G8708" i="1"/>
  <c r="G8707" i="1"/>
  <c r="G8706" i="1"/>
  <c r="G1487" i="2" l="1"/>
  <c r="G1486" i="2"/>
  <c r="G1485" i="2" l="1"/>
  <c r="G1484" i="2"/>
  <c r="G1483" i="2"/>
  <c r="G1482" i="2"/>
  <c r="G1481" i="2"/>
  <c r="G1480" i="2"/>
  <c r="G1479" i="2"/>
  <c r="G1478" i="2"/>
  <c r="G1477" i="2"/>
  <c r="G1476" i="2"/>
  <c r="G1475" i="2"/>
  <c r="G1474" i="2"/>
  <c r="G1473" i="2"/>
  <c r="G1472" i="2"/>
  <c r="G8650" i="1" l="1"/>
  <c r="G8649" i="1"/>
  <c r="E8648" i="1"/>
  <c r="G8648" i="1" s="1"/>
  <c r="G8647" i="1"/>
  <c r="G8646" i="1"/>
  <c r="G8645" i="1"/>
  <c r="G8644" i="1"/>
  <c r="G8643" i="1"/>
  <c r="G1471"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70"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6" i="2" l="1"/>
  <c r="F1457" i="2" s="1"/>
  <c r="G1469" i="2"/>
  <c r="G1468" i="2"/>
  <c r="G8595" i="1" l="1"/>
  <c r="G8594" i="1"/>
  <c r="G8535" i="1"/>
  <c r="G8534" i="1"/>
  <c r="G8533" i="1"/>
  <c r="G8532" i="1"/>
  <c r="G8531" i="1"/>
  <c r="G8530" i="1"/>
  <c r="G8529" i="1"/>
  <c r="G8528" i="1"/>
  <c r="G8527" i="1"/>
  <c r="G8526" i="1"/>
  <c r="G8525" i="1"/>
  <c r="G8524" i="1"/>
  <c r="G1467" i="2" l="1"/>
  <c r="E8675" i="1" l="1"/>
  <c r="F11" i="3" s="1"/>
  <c r="G8677" i="1"/>
  <c r="G8676" i="1"/>
  <c r="G8674" i="1"/>
  <c r="G8673" i="1"/>
  <c r="G8672" i="1"/>
  <c r="G8675" i="1" l="1"/>
  <c r="G8576" i="1" l="1"/>
  <c r="G1466" i="2"/>
  <c r="G1465" i="2"/>
  <c r="G1464" i="2"/>
  <c r="G1463" i="2"/>
  <c r="G8671" i="1"/>
  <c r="G8670" i="1"/>
  <c r="G8669" i="1" l="1"/>
  <c r="G8668" i="1"/>
  <c r="G8667" i="1"/>
  <c r="G8666" i="1"/>
  <c r="G8578" i="1"/>
  <c r="G8577" i="1"/>
  <c r="G8575" i="1"/>
  <c r="G8574" i="1"/>
  <c r="G8573" i="1" l="1"/>
  <c r="G8572" i="1"/>
  <c r="G8571" i="1"/>
  <c r="G8593" i="1" l="1"/>
  <c r="G1462" i="2" l="1"/>
  <c r="G1461" i="2" l="1"/>
  <c r="G1460" i="2"/>
  <c r="G1459"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8" i="2" l="1"/>
  <c r="G8568" i="1"/>
  <c r="G1457" i="2"/>
  <c r="G1456"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5" i="2"/>
  <c r="G1454" i="2"/>
  <c r="G1453" i="2"/>
  <c r="G1452" i="2"/>
  <c r="G1451" i="2"/>
  <c r="G1450" i="2"/>
  <c r="G1449" i="2"/>
  <c r="G1448" i="2"/>
  <c r="G1447" i="2" l="1"/>
  <c r="G1446" i="2" l="1"/>
  <c r="G1445" i="2"/>
  <c r="G8585" i="1" l="1"/>
  <c r="G8550" i="1" l="1"/>
  <c r="G8549" i="1"/>
  <c r="G8449" i="1" l="1"/>
  <c r="G8448" i="1"/>
  <c r="G8447" i="1"/>
  <c r="G8446" i="1" l="1"/>
  <c r="G8450" i="1"/>
  <c r="G8451" i="1"/>
  <c r="G8452" i="1"/>
  <c r="G8453" i="1"/>
  <c r="G8454" i="1"/>
  <c r="G8455" i="1"/>
  <c r="G8456" i="1"/>
  <c r="G8457" i="1"/>
  <c r="G8458" i="1"/>
  <c r="G8459" i="1"/>
  <c r="G1434" i="2" l="1"/>
  <c r="G1435" i="2"/>
  <c r="G1436" i="2"/>
  <c r="G1437" i="2"/>
  <c r="G1438" i="2"/>
  <c r="G1439" i="2"/>
  <c r="G1440" i="2"/>
  <c r="G1441" i="2"/>
  <c r="G1442" i="2"/>
  <c r="G1443" i="2"/>
  <c r="G1444"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3" i="2"/>
  <c r="G8537" i="1"/>
  <c r="G8419" i="1" l="1"/>
  <c r="G1432" i="2"/>
  <c r="G1431" i="2"/>
  <c r="G1430" i="2"/>
  <c r="G1429" i="2"/>
  <c r="G1428" i="2"/>
  <c r="G1427" i="2"/>
  <c r="G8418" i="1"/>
  <c r="G8417" i="1"/>
  <c r="G8416" i="1"/>
  <c r="G8415" i="1"/>
  <c r="G8414" i="1"/>
  <c r="G8413" i="1"/>
  <c r="G8412" i="1"/>
  <c r="E8411" i="1"/>
  <c r="G8411" i="1" s="1"/>
  <c r="G8409" i="1"/>
  <c r="G8408" i="1"/>
  <c r="G8407" i="1"/>
  <c r="G8406" i="1"/>
  <c r="G8405" i="1"/>
  <c r="G8404" i="1"/>
  <c r="G1424" i="2" l="1"/>
  <c r="F1418" i="2"/>
  <c r="G1408" i="2"/>
  <c r="G1426" i="2"/>
  <c r="G1425" i="2"/>
  <c r="G1423" i="2"/>
  <c r="G8584" i="1" l="1"/>
  <c r="G8583" i="1"/>
  <c r="G8582" i="1"/>
  <c r="G8581" i="1"/>
  <c r="G8580" i="1"/>
  <c r="G8579" i="1"/>
  <c r="G8440" i="1" l="1"/>
  <c r="G8352" i="1" l="1"/>
  <c r="G8351" i="1"/>
  <c r="G8350" i="1"/>
  <c r="G8349" i="1"/>
  <c r="G8348" i="1" l="1"/>
  <c r="G8341" i="1"/>
  <c r="G8340" i="1"/>
  <c r="G8339" i="1"/>
  <c r="G8346" i="1"/>
  <c r="G7844" i="1" l="1"/>
  <c r="F1325" i="2" l="1"/>
  <c r="H87" i="19" l="1"/>
  <c r="E8354" i="1" l="1"/>
  <c r="E8353" i="1"/>
  <c r="G8354" i="1" l="1"/>
  <c r="E8355" i="1"/>
  <c r="G8355" i="1" s="1"/>
  <c r="G8353" i="1"/>
  <c r="G1407" i="2"/>
  <c r="G1406"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2" i="2" l="1"/>
  <c r="G1421" i="2"/>
  <c r="G1420" i="2" l="1"/>
  <c r="G1419" i="2"/>
  <c r="G1418" i="2"/>
  <c r="G1417" i="2"/>
  <c r="G1416"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5" i="2" l="1"/>
  <c r="G1414" i="2"/>
  <c r="G1413" i="2"/>
  <c r="G1412" i="2"/>
  <c r="G1411" i="2"/>
  <c r="G1410" i="2"/>
  <c r="G1409" i="2"/>
  <c r="G1405" i="2" l="1"/>
  <c r="G1404"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3"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2"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1" i="2"/>
  <c r="G1400" i="2"/>
  <c r="G1399" i="2"/>
  <c r="G8274" i="1"/>
  <c r="G1398" i="2" l="1"/>
  <c r="G8304" i="1" l="1"/>
  <c r="G8200" i="1" l="1"/>
  <c r="G8199" i="1"/>
  <c r="G8198" i="1"/>
  <c r="G8197" i="1"/>
  <c r="G8196" i="1" l="1"/>
  <c r="G8272" i="1" l="1"/>
  <c r="G8271" i="1"/>
  <c r="G8270" i="1"/>
  <c r="G1397" i="2"/>
  <c r="G1396" i="2"/>
  <c r="G8303" i="1" l="1"/>
  <c r="G8269" i="1" l="1"/>
  <c r="G8268" i="1"/>
  <c r="G8302" i="1" l="1"/>
  <c r="G1395" i="2" l="1"/>
  <c r="G1394"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3" i="2" l="1"/>
  <c r="G1392" i="2"/>
  <c r="G1391" i="2"/>
  <c r="G1390" i="2"/>
  <c r="G1389" i="2"/>
  <c r="G1388" i="2"/>
  <c r="G1387" i="2"/>
  <c r="G1386" i="2"/>
  <c r="G1385" i="2"/>
  <c r="G1384" i="2"/>
  <c r="G1383" i="2"/>
  <c r="G1382" i="2"/>
  <c r="G8054" i="1" l="1"/>
  <c r="G1381" i="2" l="1"/>
  <c r="G1380" i="2"/>
  <c r="G1355"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9" i="2"/>
  <c r="G1377" i="2" l="1"/>
  <c r="G8108" i="1" l="1"/>
  <c r="G8107" i="1"/>
  <c r="G8106" i="1"/>
  <c r="G8105" i="1"/>
  <c r="G8104" i="1"/>
  <c r="G1376" i="2"/>
  <c r="G8103" i="1"/>
  <c r="G8102" i="1"/>
  <c r="G8101" i="1"/>
  <c r="G8099" i="1"/>
  <c r="G8098" i="1"/>
  <c r="G8096" i="1"/>
  <c r="G1375" i="2" l="1"/>
  <c r="G1374" i="2"/>
  <c r="G8141" i="1" l="1"/>
  <c r="G8140" i="1"/>
  <c r="G8139" i="1"/>
  <c r="G1373" i="2" l="1"/>
  <c r="G1372" i="2"/>
  <c r="G1371" i="2"/>
  <c r="G1370" i="2"/>
  <c r="G8134" i="1" l="1"/>
  <c r="G1369" i="2" l="1"/>
  <c r="G1368" i="2"/>
  <c r="G1367" i="2" l="1"/>
  <c r="G8095" i="1" l="1"/>
  <c r="G8094" i="1"/>
  <c r="G8093" i="1"/>
  <c r="G8092" i="1"/>
  <c r="G8090" i="1" l="1"/>
  <c r="G8133" i="1" l="1"/>
  <c r="G1366" i="2" l="1"/>
  <c r="G1365" i="2" l="1"/>
  <c r="G1364" i="2"/>
  <c r="G1363" i="2"/>
  <c r="G1362" i="2"/>
  <c r="G1361" i="2"/>
  <c r="G1360" i="2"/>
  <c r="G1359" i="2" l="1"/>
  <c r="G1358" i="2"/>
  <c r="G1357" i="2"/>
  <c r="G8088" i="1" l="1"/>
  <c r="G8087" i="1"/>
  <c r="G8086" i="1"/>
  <c r="G8085" i="1" l="1"/>
  <c r="G8084" i="1"/>
  <c r="G8083" i="1"/>
  <c r="G8082" i="1"/>
  <c r="G8081" i="1"/>
  <c r="G8080" i="1"/>
  <c r="G1356"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4" i="2" l="1"/>
  <c r="G1349"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1" i="2" l="1"/>
  <c r="G1346" i="2"/>
  <c r="G7967" i="1" l="1"/>
  <c r="G7968" i="1"/>
  <c r="G7969" i="1"/>
  <c r="G7970" i="1"/>
  <c r="G7971" i="1"/>
  <c r="G7972" i="1"/>
  <c r="F1353" i="2"/>
  <c r="G1353" i="2" s="1"/>
  <c r="G1352" i="2"/>
  <c r="G1351" i="2"/>
  <c r="G1350" i="2"/>
  <c r="G7561" i="1"/>
  <c r="F1277" i="2"/>
  <c r="F1279" i="2" s="1"/>
  <c r="G1278" i="2"/>
  <c r="G1348" i="2"/>
  <c r="G1347"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7" i="2"/>
  <c r="F1318" i="2"/>
  <c r="G1345"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4" i="2" l="1"/>
  <c r="G7977" i="1"/>
  <c r="G7976" i="1"/>
  <c r="F1342" i="2" l="1"/>
  <c r="G1342" i="2" s="1"/>
  <c r="G1343" i="2"/>
  <c r="G7975" i="1" l="1"/>
  <c r="G1332" i="2" l="1"/>
  <c r="G1333" i="2"/>
  <c r="G1334" i="2"/>
  <c r="G1335" i="2"/>
  <c r="G1336" i="2"/>
  <c r="G1337" i="2"/>
  <c r="G1338" i="2"/>
  <c r="G1339" i="2"/>
  <c r="G1340" i="2"/>
  <c r="G1341" i="2"/>
  <c r="G1331" i="2"/>
  <c r="G1330" i="2"/>
  <c r="S19" i="3" l="1"/>
  <c r="G7974" i="1"/>
  <c r="G1329"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F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8" i="2"/>
  <c r="G1327" i="2"/>
  <c r="G1326" i="2"/>
  <c r="G7823" i="1" l="1"/>
  <c r="G7822" i="1"/>
  <c r="G1325" i="2"/>
  <c r="E51" i="12" l="1"/>
  <c r="G7821" i="1" l="1"/>
  <c r="G7820" i="1" l="1"/>
  <c r="G7819" i="1"/>
  <c r="G1324" i="2"/>
  <c r="G7818" i="1"/>
  <c r="G7817" i="1"/>
  <c r="F1323" i="2"/>
  <c r="G1323" i="2" s="1"/>
  <c r="G1322" i="2"/>
  <c r="G1321" i="2"/>
  <c r="G1320" i="2"/>
  <c r="G7816" i="1"/>
  <c r="G7815" i="1"/>
  <c r="G7808" i="1"/>
  <c r="G7807" i="1"/>
  <c r="G7806" i="1"/>
  <c r="G7805" i="1"/>
  <c r="G7804" i="1"/>
  <c r="G7846" i="1"/>
  <c r="G7845" i="1"/>
  <c r="G7843" i="1"/>
  <c r="G1319" i="2" l="1"/>
  <c r="G7842" i="1" l="1"/>
  <c r="G7803" i="1" l="1"/>
  <c r="G7802" i="1"/>
  <c r="G7801" i="1"/>
  <c r="G7800" i="1"/>
  <c r="G7799" i="1"/>
  <c r="G7797" i="1"/>
  <c r="G1316" i="2"/>
  <c r="G1318" i="2"/>
  <c r="E7796" i="1"/>
  <c r="G7796" i="1" s="1"/>
  <c r="E7795" i="1"/>
  <c r="G7794" i="1"/>
  <c r="G7793" i="1"/>
  <c r="G7792" i="1"/>
  <c r="G7791" i="1"/>
  <c r="G7790" i="1"/>
  <c r="G7789" i="1"/>
  <c r="G7788" i="1"/>
  <c r="G1315" i="2"/>
  <c r="R19" i="3" l="1"/>
  <c r="G7795" i="1"/>
  <c r="G1314" i="2"/>
  <c r="AP78" i="3" l="1"/>
  <c r="D43" i="23"/>
  <c r="H43" i="23" s="1"/>
  <c r="G7841" i="1"/>
  <c r="G7840" i="1"/>
  <c r="G7839" i="1"/>
  <c r="I43" i="23" l="1"/>
  <c r="I45" i="23" s="1"/>
  <c r="I48" i="23" s="1"/>
  <c r="K43" i="23"/>
  <c r="K45" i="23" s="1"/>
  <c r="J43" i="23"/>
  <c r="J45" i="23" s="1"/>
  <c r="G7838" i="1"/>
  <c r="G1313" i="2" l="1"/>
  <c r="G7787" i="1" l="1"/>
  <c r="G7786" i="1"/>
  <c r="G7785" i="1"/>
  <c r="G7837" i="1" l="1"/>
  <c r="G1312" i="2" l="1"/>
  <c r="G7635" i="1" l="1"/>
  <c r="G7634" i="1"/>
  <c r="G7835" i="1"/>
  <c r="G7834" i="1"/>
  <c r="G7833" i="1"/>
  <c r="G7836" i="1" l="1"/>
  <c r="G7832" i="1" l="1"/>
  <c r="G7831" i="1"/>
  <c r="G1311" i="2" l="1"/>
  <c r="G1310" i="2"/>
  <c r="G1309" i="2"/>
  <c r="G7830" i="1" l="1"/>
  <c r="G7784" i="1" l="1"/>
  <c r="G7783" i="1"/>
  <c r="G7782" i="1"/>
  <c r="G7781" i="1"/>
  <c r="G7780" i="1"/>
  <c r="G7779" i="1"/>
  <c r="G7778" i="1"/>
  <c r="G7777" i="1"/>
  <c r="G7776" i="1"/>
  <c r="G7775" i="1"/>
  <c r="G7774" i="1"/>
  <c r="G1308" i="2" l="1"/>
  <c r="G7829" i="1" l="1"/>
  <c r="G1307" i="2"/>
  <c r="G1306" i="2"/>
  <c r="G1305" i="2"/>
  <c r="G1300" i="2"/>
  <c r="G1301" i="2"/>
  <c r="G1302" i="2"/>
  <c r="G1303" i="2"/>
  <c r="G1304" i="2"/>
  <c r="G7828" i="1" l="1"/>
  <c r="G7827" i="1" l="1"/>
  <c r="G1299"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8" i="2" l="1"/>
  <c r="G7667" i="1" l="1"/>
  <c r="G7666" i="1"/>
  <c r="G7665" i="1"/>
  <c r="G7664" i="1"/>
  <c r="G7663" i="1"/>
  <c r="G7662" i="1"/>
  <c r="G7661" i="1"/>
  <c r="G1296" i="2" l="1"/>
  <c r="G1295" i="2"/>
  <c r="G1294" i="2"/>
  <c r="G1297" i="2"/>
  <c r="G7674" i="1" l="1"/>
  <c r="G7673" i="1"/>
  <c r="D28" i="19" l="1"/>
  <c r="D54" i="19" s="1"/>
  <c r="G7672" i="1" l="1"/>
  <c r="G7671" i="1" l="1"/>
  <c r="G7670" i="1"/>
  <c r="G1293" i="2" l="1"/>
  <c r="G1292" i="2"/>
  <c r="G1291" i="2"/>
  <c r="G7660" i="1"/>
  <c r="G7659" i="1"/>
  <c r="G7658" i="1"/>
  <c r="G1290" i="2" l="1"/>
  <c r="G7669" i="1" l="1"/>
  <c r="G7657" i="1" l="1"/>
  <c r="G7656" i="1"/>
  <c r="G7655" i="1"/>
  <c r="G7654" i="1"/>
  <c r="G7653" i="1"/>
  <c r="G7652" i="1"/>
  <c r="G7651" i="1"/>
  <c r="G7650" i="1"/>
  <c r="G7649" i="1"/>
  <c r="G7648" i="1"/>
  <c r="G7647" i="1" l="1"/>
  <c r="G7646" i="1"/>
  <c r="G7645" i="1"/>
  <c r="G7644" i="1" l="1"/>
  <c r="G7643" i="1"/>
  <c r="G1289" i="2" l="1"/>
  <c r="G1282" i="2"/>
  <c r="G1283" i="2"/>
  <c r="G1284" i="2"/>
  <c r="G1285" i="2"/>
  <c r="G1286" i="2"/>
  <c r="G1287" i="2"/>
  <c r="G1288" i="2"/>
  <c r="G7668" i="1" l="1"/>
  <c r="G7642" i="1" l="1"/>
  <c r="G1281" i="2" l="1"/>
  <c r="G7601" i="1" l="1"/>
  <c r="E7596" i="1" l="1"/>
  <c r="J16" i="3" s="1"/>
  <c r="J1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AC4" i="31" l="1"/>
  <c r="AC6" i="31" s="1"/>
  <c r="AC11" i="31" s="1"/>
  <c r="AC13" i="31" s="1"/>
  <c r="K21" i="3"/>
  <c r="B62" i="23"/>
  <c r="D62" i="23" s="1"/>
  <c r="H62" i="23" s="1"/>
  <c r="F16" i="3"/>
  <c r="G7596" i="1"/>
  <c r="G7493" i="1"/>
  <c r="G7492" i="1"/>
  <c r="G7491" i="1"/>
  <c r="G7490" i="1"/>
  <c r="G7489" i="1"/>
  <c r="G7488" i="1"/>
  <c r="G7487" i="1"/>
  <c r="G7486" i="1"/>
  <c r="G7485" i="1"/>
  <c r="G7484" i="1"/>
  <c r="G7483" i="1"/>
  <c r="G7482" i="1"/>
  <c r="G7641" i="1"/>
  <c r="G7640" i="1"/>
  <c r="G7567" i="1"/>
  <c r="K25" i="3" l="1"/>
  <c r="K62" i="23"/>
  <c r="K64" i="23" s="1"/>
  <c r="L68" i="23" s="1"/>
  <c r="J62" i="23"/>
  <c r="J64" i="23" s="1"/>
  <c r="I62" i="23"/>
  <c r="I64" i="23" s="1"/>
  <c r="AB23" i="31"/>
  <c r="AC23" i="31"/>
  <c r="AC25" i="31" s="1"/>
  <c r="AA23" i="31"/>
  <c r="G7565" i="1"/>
  <c r="G7566" i="1"/>
  <c r="G7564" i="1"/>
  <c r="G7563" i="1"/>
  <c r="G7562" i="1"/>
  <c r="G7560" i="1"/>
  <c r="G7559" i="1"/>
  <c r="G7558" i="1"/>
  <c r="G7557" i="1"/>
  <c r="G7556" i="1"/>
  <c r="G7554" i="1"/>
  <c r="G7553" i="1"/>
  <c r="G7552" i="1"/>
  <c r="G7551" i="1"/>
  <c r="G7550" i="1"/>
  <c r="G7568" i="1" l="1"/>
  <c r="G1280" i="2" l="1"/>
  <c r="G1279" i="2"/>
  <c r="G1277" i="2"/>
  <c r="G1276" i="2"/>
  <c r="G1275" i="2"/>
  <c r="G7586" i="1"/>
  <c r="G7585" i="1"/>
  <c r="G7584" i="1"/>
  <c r="G7583" i="1"/>
  <c r="G7548" i="1" l="1"/>
  <c r="G7547" i="1"/>
  <c r="G7546" i="1"/>
  <c r="F1274" i="2" l="1"/>
  <c r="G1274" i="2" s="1"/>
  <c r="G1273"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2"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1" i="2" l="1"/>
  <c r="G1270"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9" i="2" l="1"/>
  <c r="G1268" i="2"/>
  <c r="G1267"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6" i="2" l="1"/>
  <c r="G7342" i="1" l="1"/>
  <c r="G7341" i="1"/>
  <c r="G1265" i="2"/>
  <c r="G7340" i="1"/>
  <c r="G7339" i="1"/>
  <c r="G7338" i="1"/>
  <c r="G1264" i="2" l="1"/>
  <c r="G1263" i="2"/>
  <c r="G1262" i="2"/>
  <c r="G1261" i="2"/>
  <c r="G1260" i="2"/>
  <c r="G7337" i="1" l="1"/>
  <c r="G1259" i="2"/>
  <c r="G1258" i="2"/>
  <c r="G1257" i="2"/>
  <c r="G7336" i="1"/>
  <c r="G7360" i="1" l="1"/>
  <c r="G7359" i="1"/>
  <c r="G7358" i="1" l="1"/>
  <c r="G1256" i="2" l="1"/>
  <c r="G1255" i="2"/>
  <c r="G1254" i="2"/>
  <c r="G7335" i="1"/>
  <c r="G7334" i="1"/>
  <c r="G7333" i="1"/>
  <c r="G7332" i="1"/>
  <c r="G7331" i="1"/>
  <c r="G7330" i="1"/>
  <c r="G7329" i="1"/>
  <c r="G7328" i="1"/>
  <c r="G7327" i="1"/>
  <c r="G7294" i="1" l="1"/>
  <c r="G1253" i="2" l="1"/>
  <c r="G1252" i="2"/>
  <c r="G1251" i="2"/>
  <c r="G1250" i="2"/>
  <c r="G1249" i="2"/>
  <c r="G1248" i="2"/>
  <c r="G1247" i="2"/>
  <c r="G1246" i="2"/>
  <c r="G1245" i="2"/>
  <c r="G7326" i="1" l="1"/>
  <c r="G7325" i="1"/>
  <c r="G7324" i="1"/>
  <c r="G7323" i="1"/>
  <c r="G7322" i="1"/>
  <c r="G7320" i="1"/>
  <c r="G7319" i="1"/>
  <c r="G7318" i="1"/>
  <c r="G1244" i="2" l="1"/>
  <c r="G7317" i="1"/>
  <c r="G7316" i="1"/>
  <c r="G7315" i="1"/>
  <c r="G1243" i="2"/>
  <c r="G7314" i="1"/>
  <c r="G7313" i="1"/>
  <c r="G1242" i="2"/>
  <c r="G7312" i="1"/>
  <c r="G1241" i="2"/>
  <c r="G7311" i="1"/>
  <c r="G7310" i="1"/>
  <c r="G7309" i="1"/>
  <c r="G7308" i="1" l="1"/>
  <c r="G7307" i="1"/>
  <c r="G7306" i="1"/>
  <c r="G7305" i="1"/>
  <c r="G7304" i="1"/>
  <c r="F1204" i="2"/>
  <c r="G1240" i="2"/>
  <c r="G1239" i="2"/>
  <c r="G7303" i="1" l="1"/>
  <c r="G7302" i="1"/>
  <c r="D124" i="19"/>
  <c r="D125" i="19" s="1"/>
  <c r="D15" i="23" l="1"/>
  <c r="G1238" i="2"/>
  <c r="D16" i="23" l="1"/>
  <c r="J8" i="23" s="1"/>
  <c r="G7356" i="1"/>
  <c r="G7355" i="1" l="1"/>
  <c r="G1237" i="2" l="1"/>
  <c r="G1236" i="2"/>
  <c r="G1235"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80" i="2" l="1"/>
  <c r="G7152" i="1" l="1"/>
  <c r="G7151" i="1"/>
  <c r="G7150" i="1"/>
  <c r="G7148" i="1"/>
  <c r="G7147" i="1"/>
  <c r="G7146" i="1"/>
  <c r="G7145" i="1"/>
  <c r="G1234" i="2"/>
  <c r="G1232" i="2"/>
  <c r="G1231" i="2"/>
  <c r="G1230" i="2"/>
  <c r="G1229" i="2"/>
  <c r="F1233" i="2"/>
  <c r="G1233" i="2" s="1"/>
  <c r="G7144" i="1"/>
  <c r="G7143" i="1"/>
  <c r="G7142" i="1"/>
  <c r="G1228" i="2" l="1"/>
  <c r="G1227" i="2"/>
  <c r="G1226" i="2"/>
  <c r="G1225" i="2"/>
  <c r="J65" i="12" l="1"/>
  <c r="G7141" i="1"/>
  <c r="G7140" i="1"/>
  <c r="G7139" i="1"/>
  <c r="G7138" i="1"/>
  <c r="G7137" i="1"/>
  <c r="G7136" i="1"/>
  <c r="G1224" i="2" l="1"/>
  <c r="G1223" i="2"/>
  <c r="G1222" i="2"/>
  <c r="G1221" i="2"/>
  <c r="G1220" i="2"/>
  <c r="G1219" i="2"/>
  <c r="G1218" i="2"/>
  <c r="E7135" i="1" l="1"/>
  <c r="G7135" i="1" s="1"/>
  <c r="G7134" i="1" l="1"/>
  <c r="G7133" i="1"/>
  <c r="G7132" i="1"/>
  <c r="G7131" i="1"/>
  <c r="G7130" i="1"/>
  <c r="G7129" i="1"/>
  <c r="G7128" i="1"/>
  <c r="G7127" i="1"/>
  <c r="G7126" i="1"/>
  <c r="G7125" i="1"/>
  <c r="G7124" i="1"/>
  <c r="G7123" i="1"/>
  <c r="G1217" i="2" l="1"/>
  <c r="G1216" i="2"/>
  <c r="G1215"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7" i="2" l="1"/>
  <c r="G1208" i="2"/>
  <c r="G1209" i="2"/>
  <c r="G1210" i="2"/>
  <c r="G1211" i="2"/>
  <c r="G1212" i="2"/>
  <c r="G1213" i="2"/>
  <c r="G1214" i="2"/>
  <c r="G1206" i="2" l="1"/>
  <c r="G1205" i="2"/>
  <c r="G1204"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1" i="2" l="1"/>
  <c r="G1061" i="2" s="1"/>
  <c r="G1060" i="2"/>
  <c r="G1059" i="2"/>
  <c r="F1202" i="2"/>
  <c r="G1202" i="2" s="1"/>
  <c r="G1201" i="2"/>
  <c r="G1200" i="2"/>
  <c r="G1199" i="2" l="1"/>
  <c r="G1198" i="2"/>
  <c r="G1197" i="2"/>
  <c r="G1196" i="2"/>
  <c r="G7098" i="1" l="1"/>
  <c r="G7097" i="1"/>
  <c r="G7096" i="1"/>
  <c r="G7095" i="1"/>
  <c r="G7094" i="1"/>
  <c r="G7093" i="1"/>
  <c r="G6948" i="1"/>
  <c r="G6947" i="1"/>
  <c r="G1195" i="2" l="1"/>
  <c r="G1203" i="2"/>
  <c r="G1194" i="2"/>
  <c r="G1193" i="2"/>
  <c r="G6946" i="1" l="1"/>
  <c r="G6945" i="1"/>
  <c r="G6944" i="1"/>
  <c r="G6943" i="1"/>
  <c r="G6942" i="1"/>
  <c r="G6941" i="1"/>
  <c r="G6940" i="1"/>
  <c r="G6939" i="1"/>
  <c r="G6938" i="1"/>
  <c r="G6937" i="1"/>
  <c r="G6936" i="1"/>
  <c r="G6935" i="1"/>
  <c r="G6934" i="1" l="1"/>
  <c r="G1192" i="2"/>
  <c r="G6933" i="1"/>
  <c r="G6932" i="1"/>
  <c r="G6931" i="1"/>
  <c r="G6930" i="1"/>
  <c r="G6965" i="1" l="1"/>
  <c r="G6714" i="1" l="1"/>
  <c r="G6929" i="1" l="1"/>
  <c r="G6928" i="1"/>
  <c r="G6927" i="1"/>
  <c r="G6926" i="1"/>
  <c r="G6924" i="1"/>
  <c r="G6923" i="1"/>
  <c r="G1191" i="2"/>
  <c r="K65" i="12" l="1"/>
  <c r="G1190" i="2"/>
  <c r="G1189" i="2"/>
  <c r="G1188" i="2"/>
  <c r="G1187" i="2" l="1"/>
  <c r="G1186" i="2" l="1"/>
  <c r="G1185" i="2"/>
  <c r="G1184" i="2"/>
  <c r="G6922" i="1" l="1"/>
  <c r="G6964" i="1" l="1"/>
  <c r="G6963" i="1"/>
  <c r="G6920" i="1" l="1"/>
  <c r="G6919" i="1"/>
  <c r="G6918" i="1"/>
  <c r="G6917" i="1"/>
  <c r="G6913" i="1"/>
  <c r="G6914" i="1"/>
  <c r="G6915" i="1"/>
  <c r="G6916" i="1"/>
  <c r="G6912" i="1"/>
  <c r="G6911" i="1"/>
  <c r="G1179" i="2"/>
  <c r="G1178" i="2"/>
  <c r="G1177" i="2"/>
  <c r="G1183" i="2"/>
  <c r="G6962" i="1" l="1"/>
  <c r="G1182" i="2"/>
  <c r="G1181" i="2"/>
  <c r="G1158"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6" i="2"/>
  <c r="G1175" i="2"/>
  <c r="E6632" i="1" l="1"/>
  <c r="G6903" i="1"/>
  <c r="G6902" i="1"/>
  <c r="G6901" i="1"/>
  <c r="G6900" i="1"/>
  <c r="G6632" i="1" l="1"/>
  <c r="G6961" i="1"/>
  <c r="G6960" i="1"/>
  <c r="G6959" i="1"/>
  <c r="G6958" i="1" l="1"/>
  <c r="G6957" i="1"/>
  <c r="G6956" i="1"/>
  <c r="G6955" i="1"/>
  <c r="G1174" i="2" l="1"/>
  <c r="G6953" i="1"/>
  <c r="G6921" i="1" l="1"/>
  <c r="G6899" i="1"/>
  <c r="G6898" i="1"/>
  <c r="G6897" i="1"/>
  <c r="G6896" i="1"/>
  <c r="G6895" i="1"/>
  <c r="G6892" i="1"/>
  <c r="G1173" i="2" l="1"/>
  <c r="G1172" i="2"/>
  <c r="G1171" i="2"/>
  <c r="G1170" i="2"/>
  <c r="G1169" i="2" l="1"/>
  <c r="G1168" i="2"/>
  <c r="G1167" i="2"/>
  <c r="G1166" i="2"/>
  <c r="G6952" i="1" l="1"/>
  <c r="G6951" i="1"/>
  <c r="G1165" i="2"/>
  <c r="G1164" i="2"/>
  <c r="G6950" i="1" l="1"/>
  <c r="G6891" i="1" l="1"/>
  <c r="G6890" i="1"/>
  <c r="G6889" i="1"/>
  <c r="G6888" i="1"/>
  <c r="G6887" i="1"/>
  <c r="G6894" i="1"/>
  <c r="G6893" i="1"/>
  <c r="G6886" i="1"/>
  <c r="G6885" i="1"/>
  <c r="G6884" i="1"/>
  <c r="G6883" i="1"/>
  <c r="G6882" i="1"/>
  <c r="G6881" i="1"/>
  <c r="G6949" i="1" l="1"/>
  <c r="G1163" i="2" l="1"/>
  <c r="G1162" i="2"/>
  <c r="G1161" i="2"/>
  <c r="G1160" i="2"/>
  <c r="G1159" i="2"/>
  <c r="G6880" i="1" l="1"/>
  <c r="G6879" i="1"/>
  <c r="G6878" i="1"/>
  <c r="G6877" i="1"/>
  <c r="G6876" i="1"/>
  <c r="G6875" i="1"/>
  <c r="G6874" i="1"/>
  <c r="G6711" i="1"/>
  <c r="G6710" i="1"/>
  <c r="G6709" i="1"/>
  <c r="G6708" i="1"/>
  <c r="G6707" i="1"/>
  <c r="G6706" i="1"/>
  <c r="G6733" i="1" l="1"/>
  <c r="G6732" i="1"/>
  <c r="G1157" i="2" l="1"/>
  <c r="G1156" i="2"/>
  <c r="G1155" i="2"/>
  <c r="G1154" i="2"/>
  <c r="G1153" i="2"/>
  <c r="G1152" i="2"/>
  <c r="G1151" i="2" l="1"/>
  <c r="G1150" i="2" l="1"/>
  <c r="G6731" i="1" l="1"/>
  <c r="G6730" i="1"/>
  <c r="G6496" i="1" l="1"/>
  <c r="G6495" i="1"/>
  <c r="G1149" i="2"/>
  <c r="G1148" i="2"/>
  <c r="G1147" i="2"/>
  <c r="G1146" i="2"/>
  <c r="G1145" i="2"/>
  <c r="G1144" i="2"/>
  <c r="G1143" i="2"/>
  <c r="G1142" i="2"/>
  <c r="G1141" i="2"/>
  <c r="G1114" i="2"/>
  <c r="G6729" i="1" l="1"/>
  <c r="G1140" i="2"/>
  <c r="G6705" i="1" l="1"/>
  <c r="G6704" i="1"/>
  <c r="G6703" i="1"/>
  <c r="G6702" i="1"/>
  <c r="G6701" i="1" l="1"/>
  <c r="G1139" i="2" l="1"/>
  <c r="G1138"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F9" i="3" s="1"/>
  <c r="G6692" i="1"/>
  <c r="G6691" i="1"/>
  <c r="G1137" i="2"/>
  <c r="G6693" i="1" l="1"/>
  <c r="G1136" i="2"/>
  <c r="G6690" i="1" l="1"/>
  <c r="G6689" i="1"/>
  <c r="G6688" i="1"/>
  <c r="G6684" i="1" l="1"/>
  <c r="G6686" i="1"/>
  <c r="G6687" i="1"/>
  <c r="G6683" i="1"/>
  <c r="G6682" i="1"/>
  <c r="F1132" i="2"/>
  <c r="G1132" i="2" s="1"/>
  <c r="G1134" i="2"/>
  <c r="G1133" i="2"/>
  <c r="G1135" i="2"/>
  <c r="G1131" i="2"/>
  <c r="G6681" i="1" l="1"/>
  <c r="G6662" i="1"/>
  <c r="G6680" i="1"/>
  <c r="G6679" i="1"/>
  <c r="G6678" i="1" l="1"/>
  <c r="G6677" i="1"/>
  <c r="G6676" i="1"/>
  <c r="G6675" i="1"/>
  <c r="G6674" i="1"/>
  <c r="G6673" i="1"/>
  <c r="G6672" i="1"/>
  <c r="G6671" i="1"/>
  <c r="G6670" i="1"/>
  <c r="G6669" i="1"/>
  <c r="G6728" i="1" l="1"/>
  <c r="G1130" i="2" l="1"/>
  <c r="G6721" i="1" l="1"/>
  <c r="G6720" i="1"/>
  <c r="G6719" i="1"/>
  <c r="G6727" i="1" l="1"/>
  <c r="G6726" i="1"/>
  <c r="G6725" i="1"/>
  <c r="G6724" i="1"/>
  <c r="G6723" i="1" l="1"/>
  <c r="G1129" i="2" l="1"/>
  <c r="G1128" i="2"/>
  <c r="G6668" i="1"/>
  <c r="G6718" i="1" l="1"/>
  <c r="G6717" i="1"/>
  <c r="G6716" i="1"/>
  <c r="G6715" i="1"/>
  <c r="G6666" i="1"/>
  <c r="G6665" i="1"/>
  <c r="G6664" i="1"/>
  <c r="G6663" i="1"/>
  <c r="G6661" i="1" l="1"/>
  <c r="G6660" i="1"/>
  <c r="G6659" i="1"/>
  <c r="G6658" i="1"/>
  <c r="G6657" i="1"/>
  <c r="G6656" i="1"/>
  <c r="G6654" i="1"/>
  <c r="G6653" i="1"/>
  <c r="G6652" i="1"/>
  <c r="G6651" i="1"/>
  <c r="G1127" i="2"/>
  <c r="G1126" i="2"/>
  <c r="G1125" i="2"/>
  <c r="G1124" i="2"/>
  <c r="G6650" i="1"/>
  <c r="G6649" i="1"/>
  <c r="G1123" i="2" l="1"/>
  <c r="G1122" i="2"/>
  <c r="G1121" i="2"/>
  <c r="G1120" i="2"/>
  <c r="G1119" i="2"/>
  <c r="G1118" i="2"/>
  <c r="G1117" i="2"/>
  <c r="G1116" i="2"/>
  <c r="G1115" i="2" l="1"/>
  <c r="G1113"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2" i="2"/>
  <c r="G1111" i="2"/>
  <c r="G1110" i="2"/>
  <c r="G1109" i="2"/>
  <c r="G1108" i="2"/>
  <c r="G1107" i="2"/>
  <c r="G1106" i="2"/>
  <c r="G1105"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4" i="2"/>
  <c r="G1103" i="2"/>
  <c r="G1102" i="2"/>
  <c r="G1101" i="2"/>
  <c r="G6456" i="1" l="1"/>
  <c r="G6321" i="1" l="1"/>
  <c r="G1092" i="2" l="1"/>
  <c r="G1093" i="2"/>
  <c r="G1094" i="2"/>
  <c r="G1095" i="2"/>
  <c r="G1096" i="2"/>
  <c r="G1097" i="2"/>
  <c r="G1098" i="2"/>
  <c r="G1099" i="2"/>
  <c r="G1100" i="2"/>
  <c r="G5437" i="1" l="1"/>
  <c r="G6492" i="1" l="1"/>
  <c r="G1089" i="2" l="1"/>
  <c r="G1088" i="2"/>
  <c r="I54" i="12" l="1"/>
  <c r="G1091" i="2" l="1"/>
  <c r="G6452" i="1" l="1"/>
  <c r="G6454" i="1"/>
  <c r="G6449" i="1"/>
  <c r="G6450" i="1"/>
  <c r="G6451" i="1"/>
  <c r="G6448" i="1"/>
  <c r="G6447" i="1"/>
  <c r="G6446" i="1"/>
  <c r="G6491" i="1" l="1"/>
  <c r="G6320" i="1" l="1"/>
  <c r="G6319" i="1"/>
  <c r="G6318" i="1"/>
  <c r="G6317" i="1"/>
  <c r="E6316" i="1"/>
  <c r="G6316" i="1" s="1"/>
  <c r="E6315" i="1"/>
  <c r="G6315" i="1" s="1"/>
  <c r="G1090" i="2" l="1"/>
  <c r="G6327" i="1" l="1"/>
  <c r="G6314" i="1" l="1"/>
  <c r="G6313" i="1" l="1"/>
  <c r="G6312" i="1"/>
  <c r="G6309" i="1"/>
  <c r="G6311" i="1"/>
  <c r="G6308" i="1"/>
  <c r="G6307" i="1"/>
  <c r="G6326" i="1" l="1"/>
  <c r="G1087"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F8" i="3" s="1"/>
  <c r="G6226" i="1"/>
  <c r="G6225" i="1"/>
  <c r="G6228" i="1" l="1"/>
  <c r="G1086" i="2"/>
  <c r="G1085" i="2"/>
  <c r="G6299" i="1" l="1"/>
  <c r="G6298" i="1"/>
  <c r="G1084" i="2" l="1"/>
  <c r="G1083" i="2"/>
  <c r="G1082" i="2"/>
  <c r="G1081" i="2"/>
  <c r="G1080" i="2"/>
  <c r="G1079" i="2"/>
  <c r="G1078" i="2"/>
  <c r="G1077" i="2"/>
  <c r="G1076" i="2"/>
  <c r="G1075" i="2"/>
  <c r="G1074" i="2"/>
  <c r="G1073"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2" i="2"/>
  <c r="G1071" i="2"/>
  <c r="G1070" i="2"/>
  <c r="G1069" i="2"/>
  <c r="G1068" i="2"/>
  <c r="G6293" i="1" l="1"/>
  <c r="G6287" i="1" l="1"/>
  <c r="G6286" i="1"/>
  <c r="G6285" i="1"/>
  <c r="G6284" i="1"/>
  <c r="G6283" i="1"/>
  <c r="G6281" i="1"/>
  <c r="G1067" i="2" l="1"/>
  <c r="G6322" i="1" l="1"/>
  <c r="G6126" i="1" l="1"/>
  <c r="G6125" i="1"/>
  <c r="G6124" i="1"/>
  <c r="G6122" i="1"/>
  <c r="G6121" i="1"/>
  <c r="G6120" i="1"/>
  <c r="G6119" i="1"/>
  <c r="G6118" i="1"/>
  <c r="G6117" i="1"/>
  <c r="G6116" i="1"/>
  <c r="G1065" i="2"/>
  <c r="F1066" i="2"/>
  <c r="G1066" i="2" s="1"/>
  <c r="G6115" i="1"/>
  <c r="G6114" i="1"/>
  <c r="G6113" i="1"/>
  <c r="G6112" i="1"/>
  <c r="G6111" i="1"/>
  <c r="G1064" i="2" l="1"/>
  <c r="G1063"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2" i="2" l="1"/>
  <c r="G1058" i="2"/>
  <c r="G1057" i="2"/>
  <c r="G1056" i="2"/>
  <c r="F1055" i="2"/>
  <c r="G1055" i="2" s="1"/>
  <c r="G1054" i="2"/>
  <c r="G1053" i="2"/>
  <c r="G1052" i="2"/>
  <c r="G1051" i="2"/>
  <c r="G1050" i="2"/>
  <c r="G1049" i="2"/>
  <c r="G1048"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7" i="2" l="1"/>
  <c r="G1046" i="2"/>
  <c r="G1045" i="2" l="1"/>
  <c r="G837" i="2" l="1"/>
  <c r="G1013" i="2"/>
  <c r="G1044" i="2"/>
  <c r="G1043" i="2"/>
  <c r="G6078" i="1"/>
  <c r="G6077" i="1"/>
  <c r="G6074" i="1"/>
  <c r="G6073" i="1"/>
  <c r="G6072" i="1"/>
  <c r="G6076" i="1" l="1"/>
  <c r="G6075" i="1"/>
  <c r="G6069" i="1"/>
  <c r="G6068" i="1"/>
  <c r="G6067" i="1"/>
  <c r="G1042" i="2" l="1"/>
  <c r="G1041" i="2" l="1"/>
  <c r="G1040" i="2"/>
  <c r="G6134" i="1" l="1"/>
  <c r="E5793" i="1" l="1"/>
  <c r="G1039" i="2"/>
  <c r="G1038"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7" i="2" l="1"/>
  <c r="G1036" i="2"/>
  <c r="G1035" i="2"/>
  <c r="G6063" i="1"/>
  <c r="G6062" i="1"/>
  <c r="G6061" i="1"/>
  <c r="G6060" i="1"/>
  <c r="G6059" i="1"/>
  <c r="G6058" i="1"/>
  <c r="G6057" i="1"/>
  <c r="G6055" i="1"/>
  <c r="G6054" i="1"/>
  <c r="G6053" i="1"/>
  <c r="G6051" i="1"/>
  <c r="G1034" i="2" l="1"/>
  <c r="F1033" i="2" l="1"/>
  <c r="G1033" i="2" s="1"/>
  <c r="G1032" i="2"/>
  <c r="G1031" i="2"/>
  <c r="G1030" i="2" l="1"/>
  <c r="G1029" i="2"/>
  <c r="G1028"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7" i="2" l="1"/>
  <c r="G1026" i="2" l="1"/>
  <c r="G1025" i="2"/>
  <c r="G5624" i="1"/>
  <c r="G5901" i="1" l="1"/>
  <c r="G5900" i="1"/>
  <c r="G5899" i="1"/>
  <c r="G5898" i="1"/>
  <c r="G1024" i="2" l="1"/>
  <c r="G1023" i="2"/>
  <c r="G5897" i="1" l="1"/>
  <c r="G5896" i="1"/>
  <c r="G5895" i="1"/>
  <c r="G1022" i="2" l="1"/>
  <c r="G1021" i="2"/>
  <c r="G1020" i="2"/>
  <c r="G1019" i="2"/>
  <c r="G1018" i="2"/>
  <c r="G1017" i="2"/>
  <c r="G5876" i="1" l="1"/>
  <c r="G5875" i="1"/>
  <c r="G5874" i="1"/>
  <c r="G5873" i="1"/>
  <c r="G1016" i="2"/>
  <c r="G1015" i="2"/>
  <c r="G1014" i="2"/>
  <c r="G1012" i="2"/>
  <c r="G5894" i="1" l="1"/>
  <c r="G5893" i="1"/>
  <c r="G5892" i="1"/>
  <c r="G5891" i="1"/>
  <c r="G5872" i="1" l="1"/>
  <c r="G5870" i="1"/>
  <c r="G5869" i="1"/>
  <c r="G5865" i="1"/>
  <c r="G5863" i="1"/>
  <c r="G5862" i="1"/>
  <c r="E5861" i="1"/>
  <c r="G5861" i="1" s="1"/>
  <c r="E5860" i="1"/>
  <c r="G5859" i="1"/>
  <c r="G5856" i="1"/>
  <c r="G5857" i="1"/>
  <c r="G5860" i="1" l="1"/>
  <c r="G5890" i="1" l="1"/>
  <c r="G1011" i="2" l="1"/>
  <c r="G1006" i="2" l="1"/>
  <c r="G1007" i="2"/>
  <c r="G1008" i="2"/>
  <c r="G1009" i="2"/>
  <c r="F1010" i="2"/>
  <c r="G1010" i="2" s="1"/>
  <c r="G1005" i="2"/>
  <c r="G5855" i="1" l="1"/>
  <c r="G5854" i="1"/>
  <c r="G5853" i="1"/>
  <c r="G5852" i="1"/>
  <c r="G5851" i="1"/>
  <c r="G5850" i="1"/>
  <c r="G5849" i="1"/>
  <c r="G5846" i="1"/>
  <c r="G5844" i="1"/>
  <c r="G5842" i="1"/>
  <c r="G5841" i="1"/>
  <c r="G5840" i="1"/>
  <c r="G5839" i="1" l="1"/>
  <c r="G5837" i="1"/>
  <c r="G1004" i="2"/>
  <c r="G1003" i="2" l="1"/>
  <c r="G1002" i="2"/>
  <c r="G1001" i="2"/>
  <c r="G1000" i="2" l="1"/>
  <c r="G999" i="2"/>
  <c r="G998" i="2"/>
  <c r="G997" i="2"/>
  <c r="G996" i="2"/>
  <c r="G995" i="2" l="1"/>
  <c r="G994" i="2"/>
  <c r="G993" i="2"/>
  <c r="G992" i="2"/>
  <c r="G991" i="2"/>
  <c r="G990" i="2"/>
  <c r="G989"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8"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5" i="2"/>
  <c r="G5641" i="1"/>
  <c r="G5640" i="1"/>
  <c r="G5639" i="1"/>
  <c r="G5638" i="1"/>
  <c r="G5637" i="1"/>
  <c r="G5636" i="1"/>
  <c r="G5635" i="1"/>
  <c r="G5633" i="1"/>
  <c r="G5632" i="1"/>
  <c r="G5631" i="1"/>
  <c r="G983" i="2" l="1"/>
  <c r="G982" i="2"/>
  <c r="G981" i="2"/>
  <c r="G980" i="2"/>
  <c r="G987" i="2"/>
  <c r="G986" i="2"/>
  <c r="G985" i="2"/>
  <c r="G979" i="2"/>
  <c r="G978" i="2"/>
  <c r="G977" i="2"/>
  <c r="G984" i="2"/>
  <c r="G5622" i="1" l="1"/>
  <c r="G5621" i="1"/>
  <c r="G5620" i="1"/>
  <c r="G5619" i="1"/>
  <c r="G5618" i="1"/>
  <c r="G5614" i="1" l="1"/>
  <c r="G5613" i="1"/>
  <c r="G5612" i="1"/>
  <c r="G5611" i="1"/>
  <c r="G5630" i="1" l="1"/>
  <c r="G5629" i="1"/>
  <c r="G976" i="2"/>
  <c r="G975" i="2" l="1"/>
  <c r="G974" i="2"/>
  <c r="G973" i="2"/>
  <c r="G972" i="2"/>
  <c r="G971" i="2"/>
  <c r="G970" i="2"/>
  <c r="G969" i="2"/>
  <c r="G968" i="2"/>
  <c r="G967" i="2"/>
  <c r="F959" i="2"/>
  <c r="G966" i="2" l="1"/>
  <c r="G965" i="2" l="1"/>
  <c r="G964" i="2"/>
  <c r="G5610" i="1" l="1"/>
  <c r="G5608" i="1" l="1"/>
  <c r="G5463" i="1"/>
  <c r="G5606" i="1"/>
  <c r="G5462" i="1"/>
  <c r="G5460" i="1"/>
  <c r="G5628" i="1"/>
  <c r="G5627" i="1"/>
  <c r="G5626" i="1"/>
  <c r="G5617" i="1" l="1"/>
  <c r="G5616" i="1"/>
  <c r="G963" i="2" l="1"/>
  <c r="G962" i="2"/>
  <c r="G940" i="2"/>
  <c r="G961" i="2"/>
  <c r="G960" i="2" l="1"/>
  <c r="G959"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8" i="2"/>
  <c r="G957" i="2"/>
  <c r="G956" i="2"/>
  <c r="G955" i="2"/>
  <c r="G954" i="2"/>
  <c r="G5420" i="1" l="1"/>
  <c r="G5625" i="1" l="1"/>
  <c r="G953" i="2"/>
  <c r="G952" i="2"/>
  <c r="G951" i="2"/>
  <c r="G950" i="2"/>
  <c r="G949" i="2"/>
  <c r="G948" i="2" l="1"/>
  <c r="G5473" i="1" l="1"/>
  <c r="G947" i="2" l="1"/>
  <c r="G946" i="2"/>
  <c r="G5471" i="1"/>
  <c r="G5470" i="1"/>
  <c r="G5469" i="1"/>
  <c r="G5468" i="1" l="1"/>
  <c r="V19" i="3" l="1"/>
  <c r="A63" i="12" l="1"/>
  <c r="G5467" i="1"/>
  <c r="M57" i="12" l="1"/>
  <c r="G5466" i="1" l="1"/>
  <c r="G5465" i="1"/>
  <c r="G5464" i="1"/>
  <c r="G5246" i="1" l="1"/>
  <c r="G5245" i="1"/>
  <c r="G5244" i="1"/>
  <c r="G5243" i="1"/>
  <c r="G945" i="2" l="1"/>
  <c r="G5195" i="1"/>
  <c r="G5194" i="1"/>
  <c r="G5192" i="1"/>
  <c r="G5191" i="1"/>
  <c r="G5190" i="1"/>
  <c r="G5187" i="1"/>
  <c r="G5186" i="1"/>
  <c r="G5185" i="1"/>
  <c r="G5184" i="1"/>
  <c r="G5183" i="1"/>
  <c r="G944" i="2" l="1"/>
  <c r="G943" i="2"/>
  <c r="G942" i="2"/>
  <c r="G941"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9" i="2"/>
  <c r="G938" i="2"/>
  <c r="G937"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6" i="2"/>
  <c r="G935" i="2"/>
  <c r="G934" i="2"/>
  <c r="G933" i="2"/>
  <c r="G5215" i="1"/>
  <c r="K54" i="12"/>
  <c r="G5214" i="1" l="1"/>
  <c r="AO55" i="3" l="1"/>
  <c r="G5251" i="1" l="1"/>
  <c r="G5250" i="1"/>
  <c r="G5248" i="1" l="1"/>
  <c r="G932" i="2" l="1"/>
  <c r="G931" i="2"/>
  <c r="G929" i="2"/>
  <c r="G5247" i="1"/>
  <c r="G5064" i="1" l="1"/>
  <c r="G5063" i="1"/>
  <c r="G5062" i="1"/>
  <c r="G5061" i="1"/>
  <c r="G5060" i="1"/>
  <c r="G5059" i="1"/>
  <c r="G5058" i="1"/>
  <c r="G5057" i="1"/>
  <c r="G705" i="2" l="1"/>
  <c r="G928" i="2"/>
  <c r="G927" i="2"/>
  <c r="G926" i="2"/>
  <c r="G925" i="2"/>
  <c r="G924" i="2"/>
  <c r="G923" i="2"/>
  <c r="G922" i="2"/>
  <c r="G921" i="2"/>
  <c r="G920" i="2"/>
  <c r="G919" i="2"/>
  <c r="G5073" i="1" l="1"/>
  <c r="G5072" i="1"/>
  <c r="G5056" i="1" l="1"/>
  <c r="G5055" i="1"/>
  <c r="G5054" i="1"/>
  <c r="G5053" i="1"/>
  <c r="G5052" i="1"/>
  <c r="G5051" i="1"/>
  <c r="G5050" i="1"/>
  <c r="G5049" i="1"/>
  <c r="G5048" i="1"/>
  <c r="G5047" i="1"/>
  <c r="G918" i="2" l="1"/>
  <c r="G917" i="2"/>
  <c r="G916" i="2"/>
  <c r="G915" i="2"/>
  <c r="G914" i="2"/>
  <c r="G913"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2" i="2" l="1"/>
  <c r="G911"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910" i="2"/>
  <c r="G909"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8" i="2" l="1"/>
  <c r="G907" i="2" l="1"/>
  <c r="F906" i="2" l="1"/>
  <c r="G906" i="2" s="1"/>
  <c r="G905" i="2"/>
  <c r="G904" i="2"/>
  <c r="G903" i="2"/>
  <c r="F902" i="2"/>
  <c r="G902" i="2" s="1"/>
  <c r="G898" i="2"/>
  <c r="G899" i="2"/>
  <c r="G900" i="2"/>
  <c r="G901" i="2"/>
  <c r="G897" i="2" l="1"/>
  <c r="G894" i="2"/>
  <c r="G895" i="2"/>
  <c r="G893" i="2"/>
  <c r="G892" i="2"/>
  <c r="G891" i="2"/>
  <c r="F896" i="2"/>
  <c r="G896" i="2" s="1"/>
  <c r="G890" i="2"/>
  <c r="G889" i="2"/>
  <c r="G888" i="2"/>
  <c r="G887" i="2"/>
  <c r="G886" i="2"/>
  <c r="G885" i="2" l="1"/>
  <c r="G4999" i="1" l="1"/>
  <c r="G4998" i="1"/>
  <c r="G4997" i="1"/>
  <c r="G4996" i="1"/>
  <c r="G4995" i="1"/>
  <c r="G4860" i="1"/>
  <c r="G4859" i="1"/>
  <c r="G4858" i="1"/>
  <c r="G884" i="2" l="1"/>
  <c r="G883" i="2"/>
  <c r="G882" i="2" l="1"/>
  <c r="G881" i="2"/>
  <c r="G5065" i="1" l="1"/>
  <c r="G880" i="2" l="1"/>
  <c r="G4857" i="1" l="1"/>
  <c r="G4856" i="1"/>
  <c r="G879" i="2" l="1"/>
  <c r="G878" i="2"/>
  <c r="G877" i="2"/>
  <c r="G4869" i="1" l="1"/>
  <c r="G4868" i="1"/>
  <c r="G4867" i="1"/>
  <c r="G4854" i="1" l="1"/>
  <c r="G4853" i="1"/>
  <c r="G4852" i="1"/>
  <c r="G4851" i="1"/>
  <c r="G4850" i="1"/>
  <c r="G4849" i="1"/>
  <c r="E4848" i="1"/>
  <c r="G4847" i="1"/>
  <c r="G4848" i="1" l="1"/>
  <c r="G876" i="2" l="1"/>
  <c r="G875" i="2"/>
  <c r="G874" i="2"/>
  <c r="G873"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P53" i="3"/>
  <c r="G872" i="2"/>
  <c r="G871" i="2"/>
  <c r="G870"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9" i="2" l="1"/>
  <c r="G4834" i="1" l="1"/>
  <c r="G4855" i="1"/>
  <c r="G868" i="2"/>
  <c r="G4833" i="1"/>
  <c r="G4832" i="1"/>
  <c r="G4831" i="1"/>
  <c r="G4830" i="1" l="1"/>
  <c r="G4829" i="1"/>
  <c r="G4828" i="1"/>
  <c r="G4827" i="1"/>
  <c r="G4826" i="1"/>
  <c r="G4825" i="1"/>
  <c r="G4824" i="1"/>
  <c r="G4823" i="1"/>
  <c r="G4822" i="1"/>
  <c r="G4821" i="1"/>
  <c r="G4820" i="1" l="1"/>
  <c r="G4819" i="1"/>
  <c r="G4818" i="1"/>
  <c r="G4817" i="1"/>
  <c r="G867" i="2" l="1"/>
  <c r="G866" i="2"/>
  <c r="G4863" i="1" l="1"/>
  <c r="G4862" i="1" l="1"/>
  <c r="G4861" i="1"/>
  <c r="G865" i="2" l="1"/>
  <c r="G864" i="2" l="1"/>
  <c r="G862" i="2"/>
  <c r="G863" i="2"/>
  <c r="G861" i="2"/>
  <c r="G860" i="2"/>
  <c r="G859" i="2"/>
  <c r="G858" i="2"/>
  <c r="G857" i="2"/>
  <c r="G856" i="2"/>
  <c r="G855" i="2" l="1"/>
  <c r="G4816" i="1" l="1"/>
  <c r="G4815" i="1"/>
  <c r="G4814" i="1"/>
  <c r="G854" i="2"/>
  <c r="G853" i="2"/>
  <c r="G852" i="2"/>
  <c r="G4813" i="1"/>
  <c r="G4812" i="1"/>
  <c r="G4811" i="1"/>
  <c r="G4673" i="1"/>
  <c r="G4672" i="1"/>
  <c r="G4671" i="1"/>
  <c r="G4670" i="1"/>
  <c r="G4669" i="1"/>
  <c r="G851" i="2" l="1"/>
  <c r="G850" i="2" l="1"/>
  <c r="G849" i="2" l="1"/>
  <c r="G848" i="2"/>
  <c r="G847" i="2"/>
  <c r="G846" i="2"/>
  <c r="G830" i="2"/>
  <c r="G831" i="2"/>
  <c r="G832" i="2"/>
  <c r="G833" i="2"/>
  <c r="G834" i="2"/>
  <c r="G835" i="2"/>
  <c r="G836" i="2"/>
  <c r="G838" i="2"/>
  <c r="G839" i="2"/>
  <c r="G840" i="2"/>
  <c r="G841" i="2"/>
  <c r="G842" i="2"/>
  <c r="G843" i="2"/>
  <c r="G844" i="2"/>
  <c r="G845"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9"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8" i="2" l="1"/>
  <c r="G827" i="2"/>
  <c r="G826" i="2"/>
  <c r="G825" i="2"/>
  <c r="G824" i="2"/>
  <c r="G823" i="2"/>
  <c r="G822" i="2"/>
  <c r="G821" i="2"/>
  <c r="G820" i="2"/>
  <c r="G819" i="2"/>
  <c r="G818" i="2"/>
  <c r="G4644" i="1" l="1"/>
  <c r="G4643" i="1"/>
  <c r="G4642" i="1"/>
  <c r="G4641" i="1"/>
  <c r="G4640" i="1"/>
  <c r="G4639" i="1"/>
  <c r="G4638" i="1"/>
  <c r="G4637" i="1"/>
  <c r="G817" i="2" l="1"/>
  <c r="G4457" i="1" l="1"/>
  <c r="G4456" i="1" l="1"/>
  <c r="G4455" i="1"/>
  <c r="G4454" i="1"/>
  <c r="G4453" i="1"/>
  <c r="G4452" i="1"/>
  <c r="G4451" i="1"/>
  <c r="G4450" i="1"/>
  <c r="G4449" i="1"/>
  <c r="G4448" i="1"/>
  <c r="G4447" i="1"/>
  <c r="G4446" i="1"/>
  <c r="G816" i="2" l="1"/>
  <c r="G815" i="2" l="1"/>
  <c r="G814" i="2"/>
  <c r="G813" i="2"/>
  <c r="G812" i="2"/>
  <c r="G811" i="2"/>
  <c r="G810"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9" i="2" l="1"/>
  <c r="G808" i="2"/>
  <c r="G4510" i="1" l="1"/>
  <c r="G4509" i="1"/>
  <c r="G4508" i="1" l="1"/>
  <c r="G4507" i="1"/>
  <c r="G807" i="2" l="1"/>
  <c r="G806" i="2"/>
  <c r="G805" i="2"/>
  <c r="G804" i="2"/>
  <c r="G803" i="2"/>
  <c r="G802" i="2"/>
  <c r="G801" i="2"/>
  <c r="G800" i="2"/>
  <c r="G799" i="2"/>
  <c r="G798" i="2"/>
  <c r="G797" i="2"/>
  <c r="G796" i="2"/>
  <c r="G795" i="2"/>
  <c r="G794" i="2"/>
  <c r="G793" i="2"/>
  <c r="G792" i="2"/>
  <c r="G791" i="2"/>
  <c r="G790" i="2"/>
  <c r="G789" i="2"/>
  <c r="G788" i="2"/>
  <c r="G4261" i="1" l="1"/>
  <c r="G4517" i="1" l="1"/>
  <c r="G786" i="2" l="1"/>
  <c r="G787" i="2"/>
  <c r="G785"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4" i="2"/>
  <c r="G783" i="2"/>
  <c r="G782" i="2"/>
  <c r="G781" i="2"/>
  <c r="G780" i="2"/>
  <c r="G779" i="2"/>
  <c r="G778" i="2"/>
  <c r="G777" i="2"/>
  <c r="G776"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5" i="2"/>
  <c r="G4496" i="1" l="1"/>
  <c r="G4495" i="1" l="1"/>
  <c r="G4494" i="1" l="1"/>
  <c r="G4493" i="1"/>
  <c r="G4492" i="1" l="1"/>
  <c r="G4410" i="1" l="1"/>
  <c r="G4409" i="1"/>
  <c r="G4408" i="1"/>
  <c r="G4407" i="1"/>
  <c r="G4406" i="1"/>
  <c r="G4405" i="1"/>
  <c r="G4404" i="1"/>
  <c r="G4403" i="1"/>
  <c r="G4402" i="1"/>
  <c r="G4401" i="1"/>
  <c r="G4400" i="1"/>
  <c r="G774" i="2"/>
  <c r="G773" i="2"/>
  <c r="G4275" i="1"/>
  <c r="G4274" i="1"/>
  <c r="G4273" i="1"/>
  <c r="G4272" i="1"/>
  <c r="G4271" i="1"/>
  <c r="G4270" i="1"/>
  <c r="G4269" i="1"/>
  <c r="G4491" i="1" l="1"/>
  <c r="G4490" i="1"/>
  <c r="G4489" i="1"/>
  <c r="G4321" i="1"/>
  <c r="G772"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1" i="2" l="1"/>
  <c r="G770" i="2"/>
  <c r="G4244" i="1" l="1"/>
  <c r="G4243" i="1"/>
  <c r="G4242" i="1"/>
  <c r="G769"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77" i="23" s="1"/>
  <c r="D77" i="23" s="1"/>
  <c r="I77" i="23" s="1"/>
  <c r="B10" i="3"/>
  <c r="B19" i="3" s="1"/>
  <c r="E4" i="31" s="1"/>
  <c r="AO50" i="3"/>
  <c r="G4309" i="1"/>
  <c r="F768" i="2"/>
  <c r="G21" i="3" l="1"/>
  <c r="E6" i="31"/>
  <c r="E11" i="31" s="1"/>
  <c r="E22" i="31" s="1"/>
  <c r="B92" i="23"/>
  <c r="D92" i="23" s="1"/>
  <c r="H92" i="23" s="1"/>
  <c r="C21" i="3"/>
  <c r="G768" i="2"/>
  <c r="L77" i="23"/>
  <c r="L79" i="23" s="1"/>
  <c r="L86" i="23" s="1"/>
  <c r="J77" i="23"/>
  <c r="J79" i="23" s="1"/>
  <c r="K77" i="23"/>
  <c r="K79" i="23" s="1"/>
  <c r="K86" i="23" s="1"/>
  <c r="G767" i="2"/>
  <c r="K27" i="3" l="1"/>
  <c r="K92" i="23"/>
  <c r="K94" i="23" s="1"/>
  <c r="I92" i="23"/>
  <c r="I94" i="23" s="1"/>
  <c r="J92" i="23"/>
  <c r="J94" i="23" s="1"/>
  <c r="E27" i="31"/>
  <c r="E29" i="31" s="1"/>
  <c r="C27" i="31"/>
  <c r="C29" i="31" s="1"/>
  <c r="D27" i="31"/>
  <c r="D29" i="31" s="1"/>
  <c r="J86" i="23"/>
  <c r="N86" i="23" s="1"/>
  <c r="G766" i="2"/>
  <c r="G765" i="2"/>
  <c r="G764" i="2"/>
  <c r="G763" i="2" l="1"/>
  <c r="G762" i="2"/>
  <c r="G761" i="2"/>
  <c r="G760" i="2" l="1"/>
  <c r="G759" i="2" l="1"/>
  <c r="G758" i="2" l="1"/>
  <c r="G757" i="2" l="1"/>
  <c r="E4055" i="1"/>
  <c r="G4055" i="1" l="1"/>
  <c r="AO49" i="3"/>
  <c r="G756" i="2"/>
  <c r="G755" i="2" l="1"/>
  <c r="G754" i="2"/>
  <c r="G753" i="2"/>
  <c r="G752" i="2"/>
  <c r="G751" i="2"/>
  <c r="G750" i="2"/>
  <c r="G749" i="2" l="1"/>
  <c r="G523" i="2" l="1"/>
  <c r="G522" i="2"/>
  <c r="G521" i="2"/>
  <c r="G748" i="2" l="1"/>
  <c r="G747" i="2"/>
  <c r="G746" i="2" l="1"/>
  <c r="G745" i="2" l="1"/>
  <c r="G744" i="2" l="1"/>
  <c r="G738" i="2"/>
  <c r="G739" i="2"/>
  <c r="G740" i="2"/>
  <c r="G741" i="2"/>
  <c r="G742" i="2"/>
  <c r="G743" i="2"/>
  <c r="G737" i="2" l="1"/>
  <c r="G736" i="2"/>
  <c r="G735" i="2"/>
  <c r="G734" i="2"/>
  <c r="G733" i="2"/>
  <c r="G732" i="2"/>
  <c r="G731" i="2"/>
  <c r="G730" i="2"/>
  <c r="G729" i="2"/>
  <c r="G728" i="2" l="1"/>
  <c r="G727" i="2"/>
  <c r="G726" i="2"/>
  <c r="G725" i="2"/>
  <c r="G724" i="2"/>
  <c r="G723" i="2" l="1"/>
  <c r="G722" i="2"/>
  <c r="E717" i="2"/>
  <c r="G717" i="2" s="1"/>
  <c r="G721" i="2"/>
  <c r="AP48" i="3" l="1"/>
  <c r="AP47" i="3"/>
  <c r="AO47" i="3"/>
  <c r="G712" i="2" l="1"/>
  <c r="G711" i="2"/>
  <c r="G710" i="2"/>
  <c r="G709" i="2"/>
  <c r="G708" i="2"/>
  <c r="G720" i="2" l="1"/>
  <c r="G719" i="2"/>
  <c r="G718" i="2"/>
  <c r="G716" i="2"/>
  <c r="G715" i="2"/>
  <c r="G714" i="2"/>
  <c r="G713" i="2"/>
  <c r="G707" i="2"/>
  <c r="G706" i="2"/>
  <c r="G704" i="2" l="1"/>
  <c r="G703" i="2" l="1"/>
  <c r="G702" i="2"/>
  <c r="G701" i="2"/>
  <c r="G700" i="2"/>
  <c r="G699" i="2"/>
  <c r="G698" i="2"/>
  <c r="G697" i="2" l="1"/>
  <c r="G696" i="2"/>
  <c r="G695" i="2" l="1"/>
  <c r="G669" i="2"/>
  <c r="G694" i="2"/>
  <c r="G693" i="2"/>
  <c r="G692" i="2"/>
  <c r="G691" i="2"/>
  <c r="G690" i="2" l="1"/>
  <c r="G689" i="2" l="1"/>
  <c r="G688" i="2" l="1"/>
  <c r="G675" i="2" l="1"/>
  <c r="G674" i="2"/>
  <c r="G673" i="2"/>
  <c r="G687" i="2"/>
  <c r="G686" i="2"/>
  <c r="G685" i="2"/>
  <c r="G683" i="2" l="1"/>
  <c r="G682" i="2"/>
  <c r="G684" i="2"/>
  <c r="G676" i="2" l="1"/>
  <c r="G677" i="2"/>
  <c r="G678" i="2"/>
  <c r="G679" i="2"/>
  <c r="G680" i="2"/>
  <c r="G681" i="2"/>
  <c r="G672" i="2" l="1"/>
  <c r="AP46" i="3" l="1"/>
  <c r="G671" i="2" l="1"/>
  <c r="G670" i="2"/>
  <c r="G668" i="2"/>
  <c r="G667" i="2" l="1"/>
  <c r="G666" i="2" l="1"/>
  <c r="E3536" i="1" l="1"/>
  <c r="AO46" i="3" l="1"/>
  <c r="G3536" i="1"/>
  <c r="AO45" i="3"/>
  <c r="AP45" i="3" l="1"/>
  <c r="G577" i="2" l="1"/>
  <c r="G576" i="2"/>
  <c r="G665" i="2" l="1"/>
  <c r="G664" i="2" l="1"/>
  <c r="G663" i="2" l="1"/>
  <c r="G662" i="2"/>
  <c r="G661" i="2"/>
  <c r="G660" i="2"/>
  <c r="G659" i="2"/>
  <c r="G658" i="2" l="1"/>
  <c r="G298" i="2" l="1"/>
  <c r="G657" i="2"/>
  <c r="G656" i="2"/>
  <c r="G655" i="2"/>
  <c r="G654" i="2"/>
  <c r="G653" i="2"/>
  <c r="G652" i="2"/>
  <c r="G651" i="2" l="1"/>
  <c r="G650" i="2"/>
  <c r="G649" i="2" l="1"/>
  <c r="G648" i="2"/>
  <c r="G647" i="2"/>
  <c r="G646" i="2"/>
  <c r="G645" i="2"/>
  <c r="G644" i="2"/>
  <c r="G643" i="2" l="1"/>
  <c r="G642" i="2" l="1"/>
  <c r="G641" i="2"/>
  <c r="G640" i="2"/>
  <c r="G639" i="2" l="1"/>
  <c r="G638" i="2"/>
  <c r="G637" i="2" l="1"/>
  <c r="G636" i="2"/>
  <c r="G635" i="2"/>
  <c r="G634" i="2"/>
  <c r="G633" i="2"/>
  <c r="G632" i="2"/>
  <c r="G631" i="2"/>
  <c r="G420" i="2" l="1"/>
  <c r="G409" i="2"/>
  <c r="G408" i="2"/>
  <c r="G351" i="2"/>
  <c r="G248" i="2"/>
  <c r="G247" i="2"/>
  <c r="G630" i="2"/>
  <c r="G629" i="2" l="1"/>
  <c r="AI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8" i="2"/>
  <c r="G627" i="2" l="1"/>
  <c r="G626" i="2" l="1"/>
  <c r="G625" i="2"/>
  <c r="Z19" i="3" l="1"/>
  <c r="AO44" i="3" l="1"/>
  <c r="AO56" i="3" s="1"/>
  <c r="A51" i="12"/>
  <c r="G624" i="2"/>
  <c r="G623" i="2" l="1"/>
  <c r="G622" i="2"/>
  <c r="G621" i="2"/>
  <c r="G620" i="2"/>
  <c r="AA19" i="3" l="1"/>
  <c r="G619" i="2"/>
  <c r="G618" i="2"/>
  <c r="G617" i="2"/>
  <c r="G616" i="2"/>
  <c r="D5" i="23" l="1"/>
  <c r="G5" i="23" s="1"/>
  <c r="J5" i="23" s="1"/>
  <c r="B51" i="12"/>
  <c r="C51" i="12" s="1"/>
  <c r="AP44" i="3"/>
  <c r="AP56" i="3" s="1"/>
  <c r="I5" i="23" l="1"/>
  <c r="H5" i="23"/>
  <c r="H51" i="12"/>
  <c r="J51" i="12" s="1"/>
  <c r="J56" i="12" s="1"/>
  <c r="G615" i="2"/>
  <c r="K51" i="12" l="1"/>
  <c r="K56" i="12" s="1"/>
  <c r="I51" i="12"/>
  <c r="G614" i="2"/>
  <c r="G613" i="2"/>
  <c r="I56" i="12" l="1"/>
  <c r="I59" i="12"/>
  <c r="G612" i="2"/>
  <c r="G611" i="2"/>
  <c r="G610" i="2"/>
  <c r="G609" i="2"/>
  <c r="G608" i="2"/>
  <c r="G607" i="2" l="1"/>
  <c r="G606" i="2"/>
  <c r="G605" i="2"/>
  <c r="G604" i="2"/>
  <c r="G603" i="2" l="1"/>
  <c r="G602" i="2" l="1"/>
  <c r="G601" i="2" l="1"/>
  <c r="G600" i="2" l="1"/>
  <c r="G599" i="2" l="1"/>
  <c r="G598" i="2"/>
  <c r="G597" i="2" l="1"/>
  <c r="G596" i="2"/>
  <c r="G595" i="2"/>
  <c r="G594" i="2"/>
  <c r="G593" i="2"/>
  <c r="G592" i="2"/>
  <c r="G591" i="2"/>
  <c r="G590" i="2"/>
  <c r="G589" i="2"/>
  <c r="G588" i="2"/>
  <c r="G587" i="2"/>
  <c r="G586" i="2" l="1"/>
  <c r="G585" i="2" l="1"/>
  <c r="G584" i="2"/>
  <c r="G583" i="2"/>
  <c r="G582"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581" i="2" l="1"/>
  <c r="G580" i="2"/>
  <c r="G579" i="2"/>
  <c r="G3191" i="1"/>
  <c r="G3190" i="1"/>
  <c r="G3189" i="1"/>
  <c r="G3188" i="1"/>
  <c r="G3187" i="1"/>
  <c r="G3186" i="1"/>
  <c r="G3185" i="1"/>
  <c r="G3184" i="1" l="1"/>
  <c r="G3181" i="1" l="1"/>
  <c r="G3180" i="1"/>
  <c r="G3179" i="1"/>
  <c r="G3178" i="1" l="1"/>
  <c r="G578"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5" i="2" l="1"/>
  <c r="G2988" i="1" l="1"/>
  <c r="G2987" i="1"/>
  <c r="G2983" i="1" l="1"/>
  <c r="G2984" i="1"/>
  <c r="G2985" i="1"/>
  <c r="G2986" i="1"/>
  <c r="G574" i="2" l="1"/>
  <c r="G573" i="2" l="1"/>
  <c r="G572" i="2"/>
  <c r="G2982" i="1" l="1"/>
  <c r="G2981" i="1"/>
  <c r="G2980" i="1" l="1"/>
  <c r="G2979" i="1"/>
  <c r="G2978" i="1"/>
  <c r="G2977" i="1"/>
  <c r="G571" i="2" l="1"/>
  <c r="G570" i="2"/>
  <c r="G3183" i="1" l="1"/>
  <c r="G3058" i="1" l="1"/>
  <c r="G3057" i="1"/>
  <c r="G3056" i="1" l="1"/>
  <c r="G3055" i="1"/>
  <c r="G3054" i="1" l="1"/>
  <c r="G3053" i="1"/>
  <c r="AH71" i="3"/>
  <c r="G569" i="2" l="1"/>
  <c r="G3061" i="1" l="1"/>
  <c r="G568" i="2" l="1"/>
  <c r="G567" i="2"/>
  <c r="G3049" i="1" l="1"/>
  <c r="G3050" i="1"/>
  <c r="G3051" i="1"/>
  <c r="G3052" i="1"/>
  <c r="G566" i="2" l="1"/>
  <c r="G565" i="2"/>
  <c r="G564" i="2"/>
  <c r="G563" i="2"/>
  <c r="G562" i="2"/>
  <c r="G561" i="2"/>
  <c r="G2758" i="1"/>
  <c r="G425" i="2"/>
  <c r="G560" i="2"/>
  <c r="G559" i="2"/>
  <c r="G558" i="2" l="1"/>
  <c r="G557" i="2" l="1"/>
  <c r="G556" i="2"/>
  <c r="G555" i="2" l="1"/>
  <c r="G554" i="2" l="1"/>
  <c r="G553" i="2" l="1"/>
  <c r="G552" i="2" l="1"/>
  <c r="G551" i="2"/>
  <c r="G3047" i="1" l="1"/>
  <c r="G3048" i="1"/>
  <c r="G3041" i="1"/>
  <c r="G3042" i="1"/>
  <c r="G3043" i="1"/>
  <c r="G3044" i="1"/>
  <c r="G3045" i="1"/>
  <c r="G3046" i="1"/>
  <c r="G3038" i="1"/>
  <c r="G3039" i="1"/>
  <c r="G3040" i="1"/>
  <c r="G550" i="2"/>
  <c r="G549" i="2"/>
  <c r="G548" i="2"/>
  <c r="G547" i="2"/>
  <c r="G546" i="2" l="1"/>
  <c r="G545" i="2"/>
  <c r="G544" i="2"/>
  <c r="G543" i="2"/>
  <c r="G542" i="2"/>
  <c r="G541" i="2"/>
  <c r="G540" i="2"/>
  <c r="G539" i="2"/>
  <c r="G538" i="2"/>
  <c r="G3036" i="1" l="1"/>
  <c r="G3035" i="1" l="1"/>
  <c r="AH70" i="3" l="1"/>
  <c r="G3037" i="1"/>
  <c r="G537" i="2"/>
  <c r="G536"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5" i="2" l="1"/>
  <c r="G534" i="2"/>
  <c r="G533" i="2" l="1"/>
  <c r="G532" i="2" l="1"/>
  <c r="G531" i="2" l="1"/>
  <c r="G530" i="2"/>
  <c r="G529" i="2" l="1"/>
  <c r="G2901" i="1" l="1"/>
  <c r="G2900" i="1"/>
  <c r="G2899" i="1"/>
  <c r="G2898" i="1"/>
  <c r="G2897" i="1"/>
  <c r="G2896" i="1"/>
  <c r="G2895" i="1"/>
  <c r="G524" i="2" l="1"/>
  <c r="G525" i="2"/>
  <c r="G526" i="2"/>
  <c r="G527" i="2"/>
  <c r="G528" i="2"/>
  <c r="G520" i="2"/>
  <c r="G2835" i="1" l="1"/>
  <c r="G2906" i="1" l="1"/>
  <c r="G2878" i="1" l="1"/>
  <c r="G2834" i="1"/>
  <c r="G2833" i="1"/>
  <c r="G2832" i="1"/>
  <c r="G2831" i="1"/>
  <c r="G2830" i="1"/>
  <c r="G2829" i="1"/>
  <c r="G2828" i="1"/>
  <c r="G519" i="2" l="1"/>
  <c r="G518" i="2" l="1"/>
  <c r="G517" i="2" l="1"/>
  <c r="G516" i="2"/>
  <c r="G515" i="2"/>
  <c r="G514" i="2" l="1"/>
  <c r="G513" i="2"/>
  <c r="G512" i="2"/>
  <c r="G511" i="2"/>
  <c r="G510" i="2"/>
  <c r="G2827" i="1" l="1"/>
  <c r="G2826" i="1"/>
  <c r="G2825" i="1"/>
  <c r="G2824" i="1"/>
  <c r="G2823" i="1"/>
  <c r="G2822" i="1"/>
  <c r="G2821" i="1"/>
  <c r="G2820" i="1"/>
  <c r="G509" i="2" l="1"/>
  <c r="G508" i="2" l="1"/>
  <c r="G507" i="2" l="1"/>
  <c r="G506" i="2"/>
  <c r="G505" i="2"/>
  <c r="G504" i="2"/>
  <c r="G2894" i="1" l="1"/>
  <c r="G2905" i="1"/>
  <c r="G503" i="2" l="1"/>
  <c r="G2903" i="1" l="1"/>
  <c r="G498" i="2"/>
  <c r="G500"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2" i="2"/>
  <c r="G501"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9" i="2" l="1"/>
  <c r="G497" i="2"/>
  <c r="G496" i="2"/>
  <c r="G495" i="2"/>
  <c r="G494" i="2"/>
  <c r="G493" i="2"/>
  <c r="G492" i="2"/>
  <c r="G491" i="2"/>
  <c r="G490" i="2"/>
  <c r="G2893" i="1" l="1"/>
  <c r="G489" i="2"/>
  <c r="G488" i="2"/>
  <c r="G487" i="2"/>
  <c r="G486" i="2"/>
  <c r="G2892" i="1"/>
  <c r="AH69" i="3" l="1"/>
  <c r="AG69" i="3"/>
  <c r="G2749" i="1"/>
  <c r="G2748" i="1"/>
  <c r="G2747" i="1"/>
  <c r="G2746" i="1"/>
  <c r="G2745" i="1"/>
  <c r="G485" i="2"/>
  <c r="G2891" i="1" l="1"/>
  <c r="G2890" i="1"/>
  <c r="G2889" i="1"/>
  <c r="G2888" i="1"/>
  <c r="G2887" i="1" l="1"/>
  <c r="G2886" i="1"/>
  <c r="G484" i="2"/>
  <c r="G483" i="2"/>
  <c r="G482" i="2"/>
  <c r="G481" i="2"/>
  <c r="G480" i="2"/>
  <c r="G479" i="2"/>
  <c r="G478" i="2"/>
  <c r="G2885" i="1" l="1"/>
  <c r="G2882" i="1" l="1"/>
  <c r="G2881" i="1"/>
  <c r="G477" i="2" l="1"/>
  <c r="G2744" i="1" l="1"/>
  <c r="G2719" i="1"/>
  <c r="G2884" i="1" l="1"/>
  <c r="G2883" i="1"/>
  <c r="G476" i="2"/>
  <c r="G475" i="2"/>
  <c r="G474" i="2"/>
  <c r="G384" i="2"/>
  <c r="G473" i="2"/>
  <c r="G472" i="2"/>
  <c r="G471" i="2"/>
  <c r="G470" i="2"/>
  <c r="G469" i="2"/>
  <c r="G468" i="2"/>
  <c r="G467" i="2"/>
  <c r="G466" i="2"/>
  <c r="G465" i="2"/>
  <c r="G464" i="2"/>
  <c r="G463"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2" i="2" l="1"/>
  <c r="G2759" i="1" l="1"/>
  <c r="G2753" i="1"/>
  <c r="G2752" i="1"/>
  <c r="G2761" i="1"/>
  <c r="G461" i="2" l="1"/>
  <c r="G460" i="2"/>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29" i="2"/>
  <c r="G428" i="2"/>
  <c r="G433" i="2"/>
  <c r="G432" i="2"/>
  <c r="G431" i="2"/>
  <c r="G430" i="2"/>
  <c r="G2754" i="1"/>
  <c r="G427" i="2" l="1"/>
  <c r="G426"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4" i="2" l="1"/>
  <c r="G423" i="2"/>
  <c r="G422" i="2"/>
  <c r="G2621" i="1" l="1"/>
  <c r="G2757" i="1" l="1"/>
  <c r="G2756" i="1" l="1"/>
  <c r="G2755" i="1"/>
  <c r="G2751" i="1" l="1"/>
  <c r="G2750" i="1"/>
  <c r="AG68" i="3"/>
  <c r="G2610" i="1" l="1"/>
  <c r="G2609" i="1"/>
  <c r="G2608" i="1"/>
  <c r="G2607" i="1"/>
  <c r="G2606" i="1"/>
  <c r="G2605" i="1"/>
  <c r="G2604" i="1"/>
  <c r="G2603" i="1"/>
  <c r="G2602" i="1"/>
  <c r="G2601" i="1"/>
  <c r="G2600" i="1"/>
  <c r="G2599" i="1" l="1"/>
  <c r="G2598" i="1"/>
  <c r="G421"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9" i="2" l="1"/>
  <c r="G418" i="2"/>
  <c r="AH68" i="3" l="1"/>
  <c r="G415" i="2" l="1"/>
  <c r="G403" i="2"/>
  <c r="G383" i="2"/>
  <c r="G382" i="2"/>
  <c r="G381" i="2"/>
  <c r="G341" i="2"/>
  <c r="G340" i="2"/>
  <c r="G339" i="2"/>
  <c r="G336" i="2"/>
  <c r="G315" i="2"/>
  <c r="G306" i="2"/>
  <c r="G2760" i="1" l="1"/>
  <c r="G417" i="2" l="1"/>
  <c r="G416" i="2"/>
  <c r="G414" i="2"/>
  <c r="G402" i="2"/>
  <c r="G413" i="2"/>
  <c r="G412" i="2"/>
  <c r="G411" i="2"/>
  <c r="G410" i="2"/>
  <c r="G2627" i="1" l="1"/>
  <c r="G2626" i="1"/>
  <c r="G407" i="2" l="1"/>
  <c r="G406" i="2" l="1"/>
  <c r="G405" i="2"/>
  <c r="G404"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1" i="2"/>
  <c r="G400" i="2"/>
  <c r="G399" i="2"/>
  <c r="G398" i="2"/>
  <c r="G2615" i="1"/>
  <c r="G397" i="2" l="1"/>
  <c r="G396" i="2"/>
  <c r="G395" i="2"/>
  <c r="G394" i="2"/>
  <c r="G393" i="2"/>
  <c r="G392" i="2"/>
  <c r="G2630" i="1" l="1"/>
  <c r="G2629" i="1"/>
  <c r="G391" i="2" l="1"/>
  <c r="G2614" i="1" l="1"/>
  <c r="G2613" i="1"/>
  <c r="G2612" i="1"/>
  <c r="G2611" i="1"/>
  <c r="G2628" i="1" l="1"/>
  <c r="G390" i="2" l="1"/>
  <c r="G389" i="2"/>
  <c r="G379" i="2" l="1"/>
  <c r="G388" i="2" l="1"/>
  <c r="G387"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6" i="2" l="1"/>
  <c r="G385" i="2"/>
  <c r="G380" i="2"/>
  <c r="G378" i="2"/>
  <c r="G377" i="2"/>
  <c r="G376" i="2"/>
  <c r="G375" i="2"/>
  <c r="G374" i="2"/>
  <c r="G373" i="2"/>
  <c r="G372" i="2"/>
  <c r="G371" i="2"/>
  <c r="G370" i="2"/>
  <c r="G369" i="2"/>
  <c r="G368" i="2"/>
  <c r="G2478" i="1" l="1"/>
  <c r="G2477" i="1"/>
  <c r="G2476" i="1"/>
  <c r="G2475" i="1" l="1"/>
  <c r="G2474" i="1"/>
  <c r="G2473" i="1"/>
  <c r="G2472" i="1" l="1"/>
  <c r="G2471" i="1"/>
  <c r="AH67" i="3"/>
  <c r="AG67" i="3" l="1"/>
  <c r="G367" i="2" l="1"/>
  <c r="G366" i="2"/>
  <c r="G365" i="2"/>
  <c r="G364" i="2"/>
  <c r="G363" i="2"/>
  <c r="G362"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1" i="2" l="1"/>
  <c r="G360" i="2"/>
  <c r="G359" i="2"/>
  <c r="G358" i="2"/>
  <c r="G357" i="2"/>
  <c r="G356" i="2"/>
  <c r="G355" i="2"/>
  <c r="G354" i="2"/>
  <c r="G353" i="2"/>
  <c r="G352" i="2"/>
  <c r="F177" i="2"/>
  <c r="F176" i="2"/>
  <c r="I37" i="33" s="1"/>
  <c r="I10" i="33" l="1"/>
  <c r="I11" i="33"/>
  <c r="I38" i="33"/>
  <c r="I40" i="33"/>
  <c r="I41" i="33"/>
  <c r="I36" i="33"/>
  <c r="G350" i="2"/>
  <c r="G349" i="2"/>
  <c r="G348" i="2"/>
  <c r="G347" i="2"/>
  <c r="G346" i="2"/>
  <c r="G345" i="2" l="1"/>
  <c r="G344" i="2"/>
  <c r="G343" i="2"/>
  <c r="G342"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8" i="2" l="1"/>
  <c r="G337"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5"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4" i="2"/>
  <c r="G333" i="2"/>
  <c r="G332" i="2"/>
  <c r="G2254" i="1" l="1"/>
  <c r="G2253" i="1"/>
  <c r="G2252" i="1"/>
  <c r="G2251" i="1"/>
  <c r="G2250" i="1"/>
  <c r="G2239" i="1" l="1"/>
  <c r="G2207" i="1"/>
  <c r="G2214" i="1"/>
  <c r="G331" i="2" l="1"/>
  <c r="G330" i="2"/>
  <c r="G329" i="2"/>
  <c r="G328" i="2"/>
  <c r="G327" i="2" l="1"/>
  <c r="G326" i="2"/>
  <c r="G325"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4" i="2" l="1"/>
  <c r="G2346" i="1"/>
  <c r="G2340" i="1" l="1"/>
  <c r="G2339" i="1" l="1"/>
  <c r="G2338" i="1"/>
  <c r="G2337" i="1"/>
  <c r="G2336" i="1"/>
  <c r="G2345" i="1" l="1"/>
  <c r="G2344" i="1"/>
  <c r="G2343" i="1" l="1"/>
  <c r="G2342" i="1"/>
  <c r="G323" i="2"/>
  <c r="G322" i="2"/>
  <c r="G321" i="2"/>
  <c r="G320" i="2"/>
  <c r="G319" i="2"/>
  <c r="G318" i="2"/>
  <c r="G313" i="2"/>
  <c r="G314" i="2"/>
  <c r="G316" i="2"/>
  <c r="G317"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2" i="2" l="1"/>
  <c r="G311" i="2"/>
  <c r="G310" i="2"/>
  <c r="G309" i="2"/>
  <c r="G308" i="2"/>
  <c r="G2148" i="1" l="1"/>
  <c r="G2147" i="1"/>
  <c r="G307" i="2"/>
  <c r="G305" i="2"/>
  <c r="G304" i="2"/>
  <c r="G303" i="2"/>
  <c r="G302" i="2"/>
  <c r="G301" i="2"/>
  <c r="G300" i="2"/>
  <c r="G299"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7" i="2" l="1"/>
  <c r="G296" i="2" l="1"/>
  <c r="G295" i="2"/>
  <c r="G294" i="2" l="1"/>
  <c r="G293" i="2"/>
  <c r="G2146" i="1" l="1"/>
  <c r="G2145" i="1"/>
  <c r="G2144" i="1" l="1"/>
  <c r="G2143" i="1"/>
  <c r="G2142" i="1" l="1"/>
  <c r="G2141" i="1"/>
  <c r="G2140" i="1"/>
  <c r="G2139" i="1"/>
  <c r="G2157" i="1" l="1"/>
  <c r="G2160" i="1"/>
  <c r="G2159" i="1"/>
  <c r="G292" i="2" l="1"/>
  <c r="G516" i="1"/>
  <c r="G515" i="1"/>
  <c r="G514" i="1"/>
  <c r="I39" i="33" l="1"/>
  <c r="I16" i="33"/>
  <c r="I15" i="33"/>
  <c r="I18" i="33"/>
  <c r="I27" i="33"/>
  <c r="I21" i="33"/>
  <c r="I24" i="33"/>
  <c r="I7" i="33"/>
  <c r="I6" i="33"/>
  <c r="I30" i="33"/>
  <c r="I44" i="33"/>
  <c r="I19" i="33"/>
  <c r="I51" i="33"/>
  <c r="I22" i="33"/>
  <c r="I17" i="33"/>
  <c r="I20" i="33"/>
  <c r="I52" i="33"/>
  <c r="I13" i="33"/>
  <c r="I34" i="33"/>
  <c r="I49" i="33"/>
  <c r="I8" i="33"/>
  <c r="I23" i="33"/>
  <c r="I47" i="33"/>
  <c r="I4" i="33"/>
  <c r="I26" i="33"/>
  <c r="I45" i="33"/>
  <c r="I2" i="33"/>
  <c r="I5" i="33"/>
  <c r="I14" i="33"/>
  <c r="I42" i="33"/>
  <c r="I50" i="33"/>
  <c r="I12" i="33"/>
  <c r="I33" i="33"/>
  <c r="I48" i="33"/>
  <c r="I28" i="33"/>
  <c r="I46" i="33"/>
  <c r="I3" i="33"/>
  <c r="I43" i="33"/>
  <c r="I32" i="33"/>
  <c r="G291" i="2"/>
  <c r="J53" i="33" l="1"/>
  <c r="I53" i="33"/>
  <c r="G290" i="2"/>
  <c r="G2158" i="1" l="1"/>
  <c r="G1663" i="1" l="1"/>
  <c r="G1839" i="1"/>
  <c r="G1838" i="1"/>
  <c r="G1837" i="1"/>
  <c r="G1836" i="1"/>
  <c r="G1835" i="1"/>
  <c r="G1834" i="1"/>
  <c r="G1952" i="1"/>
  <c r="G289" i="2" l="1"/>
  <c r="G288" i="2"/>
  <c r="G287" i="2"/>
  <c r="G286" i="2"/>
  <c r="G285" i="2" l="1"/>
  <c r="G284" i="2"/>
  <c r="G283"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2" i="2"/>
  <c r="G281" i="2"/>
  <c r="G280" i="2"/>
  <c r="G279" i="2"/>
  <c r="G278" i="2"/>
  <c r="G277" i="2"/>
  <c r="G276" i="2"/>
  <c r="G1945" i="1"/>
  <c r="G1944" i="1"/>
  <c r="G2134" i="1"/>
  <c r="G2133" i="1"/>
  <c r="G1951" i="1"/>
  <c r="G1954" i="1" l="1"/>
  <c r="G275" i="2"/>
  <c r="G274" i="2"/>
  <c r="G273" i="2"/>
  <c r="G272" i="2"/>
  <c r="G1955" i="1" l="1"/>
  <c r="G1950" i="1" l="1"/>
  <c r="G1949" i="1" l="1"/>
  <c r="G1948" i="1"/>
  <c r="G1947" i="1"/>
  <c r="G271" i="2" l="1"/>
  <c r="G270" i="2"/>
  <c r="G269" i="2"/>
  <c r="G268" i="2"/>
  <c r="G267" i="2"/>
  <c r="G266" i="2" l="1"/>
  <c r="G265" i="2"/>
  <c r="G264" i="2"/>
  <c r="G263" i="2"/>
  <c r="G1946" i="1" l="1"/>
  <c r="G262" i="2" l="1"/>
  <c r="G261" i="2"/>
  <c r="G260" i="2"/>
  <c r="G259" i="2" l="1"/>
  <c r="G258" i="2"/>
  <c r="G257" i="2" l="1"/>
  <c r="G256" i="2"/>
  <c r="G255" i="2"/>
  <c r="G254" i="2"/>
  <c r="G253" i="2"/>
  <c r="G252" i="2"/>
  <c r="G1943" i="1"/>
  <c r="G1942" i="1"/>
  <c r="G1940" i="1" l="1"/>
  <c r="G1941" i="1"/>
  <c r="G1939" i="1" l="1"/>
  <c r="AH63" i="3" l="1"/>
  <c r="AG63" i="3"/>
  <c r="G1953" i="1"/>
  <c r="G251" i="2" l="1"/>
  <c r="G250" i="2"/>
  <c r="G249" i="2"/>
  <c r="G246"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5" i="2" l="1"/>
  <c r="G244" i="2"/>
  <c r="G243"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2" i="2" l="1"/>
  <c r="G1558" i="1"/>
  <c r="G1617" i="1" l="1"/>
  <c r="G241" i="2" l="1"/>
  <c r="G240" i="2" l="1"/>
  <c r="G239" i="2"/>
  <c r="G238" i="2"/>
  <c r="G237" i="2" l="1"/>
  <c r="G236" i="2"/>
  <c r="G235" i="2"/>
  <c r="G234" i="2"/>
  <c r="G233" i="2"/>
  <c r="G232" i="2"/>
  <c r="G231" i="2"/>
  <c r="G230" i="2"/>
  <c r="G229" i="2"/>
  <c r="G228" i="2"/>
  <c r="G227" i="2"/>
  <c r="G226" i="2"/>
  <c r="G225" i="2"/>
  <c r="G224" i="2"/>
  <c r="G223" i="2"/>
  <c r="G222" i="2"/>
  <c r="G221" i="2"/>
  <c r="G220" i="2" l="1"/>
  <c r="G1616" i="1" l="1"/>
  <c r="G219" i="2" l="1"/>
  <c r="G218" i="2"/>
  <c r="G217" i="2"/>
  <c r="G216" i="2" l="1"/>
  <c r="G1615" i="1" l="1"/>
  <c r="G215" i="2" l="1"/>
  <c r="G1460" i="1" l="1"/>
  <c r="G17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4" i="2" l="1"/>
  <c r="G1613" i="1" l="1"/>
  <c r="G1612" i="1" l="1"/>
  <c r="G1571" i="1" l="1"/>
  <c r="G213" i="2" l="1"/>
  <c r="G212" i="2" l="1"/>
  <c r="G211" i="2"/>
  <c r="G210" i="2"/>
  <c r="G209" i="2" l="1"/>
  <c r="G208" i="2"/>
  <c r="G207" i="2"/>
  <c r="G206" i="2"/>
  <c r="G205" i="2"/>
  <c r="G204" i="2"/>
  <c r="G203" i="2"/>
  <c r="G13" i="2"/>
  <c r="G12" i="2"/>
  <c r="G202" i="2" l="1"/>
  <c r="G201" i="2"/>
  <c r="G200" i="2"/>
  <c r="G199" i="2"/>
  <c r="G198" i="2" l="1"/>
  <c r="G197" i="2" l="1"/>
  <c r="G196" i="2" l="1"/>
  <c r="G195" i="2"/>
  <c r="G194" i="2"/>
  <c r="G193" i="2"/>
  <c r="G192" i="2"/>
  <c r="G191" i="2"/>
  <c r="G190" i="2"/>
  <c r="G175" i="2" l="1"/>
  <c r="G176" i="2"/>
  <c r="G177" i="2"/>
  <c r="G189" i="2" l="1"/>
  <c r="G188" i="2"/>
  <c r="G187" i="2"/>
  <c r="G186" i="2"/>
  <c r="G179" i="2" l="1"/>
  <c r="G180" i="2"/>
  <c r="G181" i="2"/>
  <c r="G182" i="2"/>
  <c r="G183" i="2"/>
  <c r="G184" i="2"/>
  <c r="G185" i="2"/>
  <c r="G1505" i="1" l="1"/>
  <c r="G1453" i="1"/>
  <c r="G1452" i="1"/>
  <c r="G1451" i="1"/>
  <c r="G178" i="2" l="1"/>
  <c r="G174" i="2" l="1"/>
  <c r="G1498" i="1" l="1"/>
  <c r="G173" i="2" l="1"/>
  <c r="G172" i="2" l="1"/>
  <c r="G170" i="2"/>
  <c r="AH61" i="3" l="1"/>
  <c r="AH73" i="3" s="1"/>
  <c r="B38" i="12" s="1"/>
  <c r="AG61" i="3"/>
  <c r="AG73" i="3" s="1"/>
  <c r="A38" i="12" s="1"/>
  <c r="G1439" i="1"/>
  <c r="C38" i="12" l="1"/>
  <c r="H38" i="12" s="1"/>
  <c r="G120" i="2"/>
  <c r="G119" i="2"/>
  <c r="G118" i="2"/>
  <c r="G117" i="2"/>
  <c r="G116" i="2"/>
  <c r="G169" i="2" l="1"/>
  <c r="G1393" i="1"/>
  <c r="K38" i="12" l="1"/>
  <c r="K43" i="12" s="1"/>
  <c r="I38" i="12"/>
  <c r="I43" i="12" s="1"/>
  <c r="J38" i="12"/>
  <c r="J43" i="12" s="1"/>
  <c r="G168" i="2"/>
  <c r="G167" i="2"/>
  <c r="G166" i="2"/>
  <c r="G165" i="2"/>
  <c r="G164" i="2"/>
  <c r="G163" i="2"/>
  <c r="G162" i="2"/>
  <c r="G161" i="2"/>
  <c r="G160" i="2"/>
  <c r="G159" i="2"/>
  <c r="G158" i="2"/>
  <c r="G157" i="2" l="1"/>
  <c r="G156" i="2"/>
  <c r="G155"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3" i="2" l="1"/>
  <c r="G154" i="2" l="1"/>
  <c r="G152"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1" i="2" l="1"/>
  <c r="G150" i="2" l="1"/>
  <c r="G149" i="2"/>
  <c r="G1218" i="1" l="1"/>
  <c r="G1217" i="1" l="1"/>
  <c r="G1213" i="1" l="1"/>
  <c r="G148" i="2" l="1"/>
  <c r="G147" i="2"/>
  <c r="G146" i="2"/>
  <c r="G1187" i="1" l="1"/>
  <c r="G1186" i="1" l="1"/>
  <c r="G1185" i="1" l="1"/>
  <c r="G145" i="2" l="1"/>
  <c r="G144" i="2"/>
  <c r="G14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2" i="2" l="1"/>
  <c r="G137" i="2" l="1"/>
  <c r="G136" i="2"/>
  <c r="G141" i="2" l="1"/>
  <c r="G140" i="2"/>
  <c r="G139" i="2"/>
  <c r="G138" i="2"/>
  <c r="G135"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4" i="2" l="1"/>
  <c r="G133" i="2" l="1"/>
  <c r="G132" i="2" l="1"/>
  <c r="G131" i="2"/>
  <c r="G130" i="2"/>
  <c r="G1016" i="1" l="1"/>
  <c r="G1015" i="1"/>
  <c r="G129" i="2" l="1"/>
  <c r="G128" i="2"/>
  <c r="G127" i="2"/>
  <c r="G126" i="2" l="1"/>
  <c r="G125" i="2"/>
  <c r="G124" i="2"/>
  <c r="G123" i="2"/>
  <c r="G122" i="2"/>
  <c r="G985" i="1" l="1"/>
  <c r="G972" i="1"/>
  <c r="G971" i="1"/>
  <c r="G970" i="1"/>
  <c r="G969" i="1"/>
  <c r="G968" i="1"/>
  <c r="G967" i="1"/>
  <c r="G966" i="1"/>
  <c r="G965" i="1"/>
  <c r="G964" i="1"/>
  <c r="G963" i="1"/>
  <c r="G962" i="1"/>
  <c r="G961" i="1"/>
  <c r="G960" i="1"/>
  <c r="G959" i="1"/>
  <c r="G958" i="1"/>
  <c r="G957" i="1"/>
  <c r="G955" i="1"/>
  <c r="G954" i="1"/>
  <c r="G953" i="1"/>
  <c r="G952" i="1"/>
  <c r="G121" i="2" l="1"/>
  <c r="G115" i="2" l="1"/>
  <c r="G114" i="2"/>
  <c r="G113" i="2"/>
  <c r="G112" i="2"/>
  <c r="G111" i="2"/>
  <c r="G110" i="2"/>
  <c r="G109" i="2"/>
  <c r="G108" i="2"/>
  <c r="AG184" i="3" l="1"/>
  <c r="AG183" i="3"/>
  <c r="AG182" i="3"/>
  <c r="AG181" i="3"/>
  <c r="AG180" i="3"/>
  <c r="AG179" i="3"/>
  <c r="AG172" i="3"/>
  <c r="AG178" i="3"/>
  <c r="AG177" i="3"/>
  <c r="AG176" i="3"/>
  <c r="AG175" i="3"/>
  <c r="AG174" i="3"/>
  <c r="AG173" i="3"/>
  <c r="AH172" i="3"/>
  <c r="G100" i="2" l="1"/>
  <c r="G9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7" i="2" l="1"/>
  <c r="G106" i="2"/>
  <c r="G105" i="2"/>
  <c r="G104" i="2"/>
  <c r="G103" i="2"/>
  <c r="G102" i="2"/>
  <c r="G823" i="1"/>
  <c r="G822" i="1"/>
  <c r="G820" i="1" l="1"/>
  <c r="G829" i="1"/>
  <c r="G828" i="1"/>
  <c r="G813" i="1"/>
  <c r="G812" i="1"/>
  <c r="G819" i="1"/>
  <c r="G818" i="1"/>
  <c r="G817" i="1"/>
  <c r="G827" i="1"/>
  <c r="G826" i="1"/>
  <c r="G825" i="1"/>
  <c r="G824" i="1" l="1"/>
  <c r="G811" i="1" l="1"/>
  <c r="G101" i="2" l="1"/>
  <c r="G98" i="2" l="1"/>
  <c r="G768" i="1" l="1"/>
  <c r="G838" i="1" l="1"/>
  <c r="G97" i="2" l="1"/>
  <c r="G96" i="2"/>
  <c r="G95"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4" i="2" l="1"/>
  <c r="G93" i="2"/>
  <c r="G92" i="2"/>
  <c r="G778" i="1" l="1"/>
  <c r="G777" i="1"/>
  <c r="G91" i="2" l="1"/>
  <c r="G90" i="2" l="1"/>
  <c r="G89" i="2"/>
  <c r="G88" i="2"/>
  <c r="G87" i="2"/>
  <c r="G86" i="2"/>
  <c r="G85" i="2"/>
  <c r="G84" i="2"/>
  <c r="G83"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2" i="2" l="1"/>
  <c r="G81" i="2"/>
  <c r="G80" i="2"/>
  <c r="G79" i="2"/>
  <c r="G78" i="2"/>
  <c r="G77" i="2"/>
  <c r="G76" i="2"/>
  <c r="G75" i="2"/>
  <c r="G74" i="2"/>
  <c r="G73" i="2"/>
  <c r="G72" i="2"/>
  <c r="G71" i="2"/>
  <c r="G70"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9" i="2" l="1"/>
  <c r="G68" i="2"/>
  <c r="G67" i="2" l="1"/>
  <c r="G66" i="2"/>
  <c r="G65" i="2"/>
  <c r="G64"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3" i="2" l="1"/>
  <c r="G465" i="1" l="1"/>
  <c r="G464" i="1"/>
  <c r="G463" i="1"/>
  <c r="G462" i="1"/>
  <c r="G459" i="1"/>
  <c r="G458" i="1"/>
  <c r="G457" i="1"/>
  <c r="G461" i="1"/>
  <c r="G470" i="1" l="1"/>
  <c r="G62" i="2" l="1"/>
  <c r="G61" i="2"/>
  <c r="G60" i="2"/>
  <c r="G59" i="2"/>
  <c r="G58" i="2"/>
  <c r="G57"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6"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9" i="2" l="1"/>
  <c r="G48" i="2"/>
  <c r="G47" i="2"/>
  <c r="G46" i="2"/>
  <c r="G45" i="2"/>
  <c r="G43" i="2" l="1"/>
  <c r="G55" i="2"/>
  <c r="G42"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3" i="2"/>
  <c r="G52" i="2"/>
  <c r="G51" i="2"/>
  <c r="G287" i="1"/>
  <c r="G286" i="1"/>
  <c r="G285" i="1"/>
  <c r="G54" i="2" l="1"/>
  <c r="G50"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4" i="2"/>
  <c r="G263" i="1" l="1"/>
  <c r="G262" i="1"/>
  <c r="G261" i="1"/>
  <c r="G260" i="1" l="1"/>
  <c r="G2" i="1" l="1"/>
  <c r="G41" i="2" l="1"/>
  <c r="G40" i="2"/>
  <c r="G37" i="2"/>
  <c r="G9" i="2"/>
  <c r="G5" i="2"/>
  <c r="F193" i="1" l="1"/>
  <c r="AI19" i="3" s="1"/>
  <c r="G203" i="1"/>
  <c r="G194" i="1" l="1"/>
  <c r="G193" i="1" l="1"/>
  <c r="G18" i="2" l="1"/>
  <c r="G16" i="2"/>
  <c r="G15" i="2"/>
  <c r="G34" i="2"/>
  <c r="G33" i="2"/>
  <c r="G14" i="2"/>
  <c r="G17" i="2"/>
  <c r="G11" i="2"/>
  <c r="G39" i="2" l="1"/>
  <c r="G36" i="2"/>
  <c r="G35" i="2"/>
  <c r="G38" i="2"/>
  <c r="G8" i="2"/>
  <c r="G3" i="2"/>
  <c r="G7" i="2"/>
  <c r="G4" i="2"/>
  <c r="G10" i="2"/>
  <c r="G2" i="2"/>
  <c r="G6" i="2"/>
  <c r="G32" i="2"/>
  <c r="G107" i="1" l="1"/>
  <c r="G106" i="1"/>
  <c r="G105" i="1"/>
  <c r="G31" i="2" l="1"/>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H37" i="33" l="1"/>
  <c r="G37" i="33"/>
  <c r="H11" i="33"/>
  <c r="G11" i="33"/>
  <c r="G10" i="33"/>
  <c r="H10" i="33"/>
  <c r="K15" i="40"/>
  <c r="L15" i="40" s="1"/>
  <c r="K8" i="40"/>
  <c r="K4" i="40"/>
  <c r="K10" i="40"/>
  <c r="L10" i="40" s="1"/>
  <c r="K2" i="40"/>
  <c r="L2" i="40" s="1"/>
  <c r="K12" i="40"/>
  <c r="L12" i="40" s="1"/>
  <c r="K5" i="40"/>
  <c r="L5" i="40" s="1"/>
  <c r="K14" i="40"/>
  <c r="L14" i="40" s="1"/>
  <c r="K11" i="40"/>
  <c r="L11" i="40" s="1"/>
  <c r="K7" i="40"/>
  <c r="L7" i="40" s="1"/>
  <c r="K3" i="40"/>
  <c r="L3" i="40" s="1"/>
  <c r="K13" i="40"/>
  <c r="L13" i="40" s="1"/>
  <c r="K6" i="40"/>
  <c r="K16" i="40"/>
  <c r="L16" i="40" s="1"/>
  <c r="K9" i="40"/>
  <c r="K17" i="40"/>
  <c r="L17" i="40" s="1"/>
  <c r="Q5" i="31"/>
  <c r="H36" i="33"/>
  <c r="G36" i="33"/>
  <c r="H38" i="33"/>
  <c r="G41" i="33"/>
  <c r="G38" i="33"/>
  <c r="G40" i="33"/>
  <c r="H41" i="33"/>
  <c r="H40" i="33"/>
  <c r="H16" i="33"/>
  <c r="G15" i="33"/>
  <c r="G16" i="33"/>
  <c r="H15" i="33"/>
  <c r="G39" i="33"/>
  <c r="H39" i="33"/>
  <c r="Q6" i="31"/>
  <c r="Q10" i="31"/>
  <c r="Q11" i="31"/>
  <c r="H27" i="33"/>
  <c r="G27" i="33"/>
  <c r="G18" i="33"/>
  <c r="H18" i="33"/>
  <c r="H7" i="33"/>
  <c r="G6" i="33"/>
  <c r="H6" i="33"/>
  <c r="G7" i="33"/>
  <c r="G24" i="33"/>
  <c r="H24" i="33"/>
  <c r="H5" i="33"/>
  <c r="H21" i="33"/>
  <c r="M21" i="33" s="1"/>
  <c r="G21" i="33"/>
  <c r="H44" i="33"/>
  <c r="M44" i="33" s="1"/>
  <c r="G44" i="33"/>
  <c r="G25" i="3"/>
  <c r="F25" i="3"/>
  <c r="G26" i="3"/>
  <c r="F26" i="3"/>
  <c r="G30" i="33"/>
  <c r="H30" i="33"/>
  <c r="M30" i="33" s="1"/>
  <c r="G51" i="33"/>
  <c r="H51" i="33"/>
  <c r="M51" i="33" s="1"/>
  <c r="H52" i="33"/>
  <c r="M52" i="33" s="1"/>
  <c r="H19" i="33"/>
  <c r="G19" i="33"/>
  <c r="H22" i="33"/>
  <c r="M22" i="33" s="1"/>
  <c r="G22" i="33"/>
  <c r="H20" i="33"/>
  <c r="H17" i="33"/>
  <c r="M17" i="33" s="1"/>
  <c r="G20" i="33"/>
  <c r="G17" i="33"/>
  <c r="H23" i="33"/>
  <c r="G48" i="33"/>
  <c r="G5" i="33"/>
  <c r="G42" i="33"/>
  <c r="G3" i="33"/>
  <c r="G26" i="33"/>
  <c r="G45" i="33"/>
  <c r="G2" i="33"/>
  <c r="H13" i="33"/>
  <c r="H42" i="33"/>
  <c r="M42" i="33" s="1"/>
  <c r="H46" i="33"/>
  <c r="M46" i="33" s="1"/>
  <c r="H48" i="33"/>
  <c r="M48" i="33" s="1"/>
  <c r="H34" i="33"/>
  <c r="M34" i="33" s="1"/>
  <c r="G23" i="33"/>
  <c r="G43" i="33"/>
  <c r="G14" i="33"/>
  <c r="G28" i="33"/>
  <c r="G50" i="33"/>
  <c r="G12" i="33"/>
  <c r="G33" i="33"/>
  <c r="H28" i="33"/>
  <c r="M28" i="33" s="1"/>
  <c r="H49" i="33"/>
  <c r="M49" i="33" s="1"/>
  <c r="H43" i="33"/>
  <c r="M43" i="33" s="1"/>
  <c r="H14" i="33"/>
  <c r="M14" i="33" s="1"/>
  <c r="G32" i="33"/>
  <c r="G52" i="33"/>
  <c r="G13" i="33"/>
  <c r="G46" i="33"/>
  <c r="H26" i="33"/>
  <c r="M26" i="33" s="1"/>
  <c r="H33" i="33"/>
  <c r="H47" i="33"/>
  <c r="M47" i="33" s="1"/>
  <c r="H4" i="33"/>
  <c r="M4" i="33" s="1"/>
  <c r="H32" i="33"/>
  <c r="H3" i="33"/>
  <c r="G47" i="33"/>
  <c r="G4" i="33"/>
  <c r="G34" i="33"/>
  <c r="G49" i="33"/>
  <c r="G8" i="33"/>
  <c r="H2" i="33"/>
  <c r="M2" i="33" s="1"/>
  <c r="H45" i="33"/>
  <c r="M45" i="33" s="1"/>
  <c r="H12" i="33"/>
  <c r="H50" i="33"/>
  <c r="H8" i="33"/>
  <c r="AG185" i="3"/>
  <c r="G45" i="1"/>
  <c r="G10" i="1"/>
  <c r="G11" i="1"/>
  <c r="G12" i="1"/>
  <c r="G13" i="1"/>
  <c r="G14" i="1"/>
  <c r="G15" i="1"/>
  <c r="G16" i="1"/>
  <c r="G17" i="1"/>
  <c r="G18" i="1"/>
  <c r="G19" i="1"/>
  <c r="G20" i="1"/>
  <c r="G23" i="1"/>
  <c r="G24" i="1"/>
  <c r="G25" i="1"/>
  <c r="G26" i="1"/>
  <c r="G27" i="1"/>
  <c r="G28" i="1"/>
  <c r="G29" i="1"/>
  <c r="G30" i="1"/>
  <c r="G31" i="1"/>
  <c r="G32" i="1"/>
  <c r="L18" i="40" l="1"/>
  <c r="Q12" i="31"/>
  <c r="F28" i="3"/>
  <c r="V4" i="31"/>
  <c r="Q7" i="31"/>
  <c r="V5" i="31"/>
  <c r="G28" i="3"/>
  <c r="M50" i="33"/>
  <c r="M53" i="33" s="1"/>
  <c r="AG213" i="3"/>
  <c r="Q17" i="31" l="1"/>
  <c r="G30" i="3"/>
  <c r="V6" i="31"/>
  <c r="V11" i="31" s="1"/>
  <c r="V22" i="31" s="1"/>
  <c r="V27" i="31" s="1"/>
  <c r="V29" i="31" s="1"/>
  <c r="T27" i="31" l="1"/>
  <c r="T29" i="31" s="1"/>
  <c r="U27" i="31"/>
  <c r="U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1"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5"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<sst xmlns="http://schemas.openxmlformats.org/spreadsheetml/2006/main" count="87251" uniqueCount="12990">
  <si>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</si>
  <si>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</si>
  <si>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</si>
  <si>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</si>
  <si>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</si>
  <si>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</si>
  <si>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</si>
  <si>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</si>
  <si>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</si>
  <si>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</si>
  <si>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</si>
  <si>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</si>
  <si>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</si>
  <si>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</si>
  <si>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</si>
  <si>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</si>
  <si>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</si>
  <si>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</si>
  <si>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</si>
  <si>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</si>
  <si>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</si>
  <si>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</si>
  <si>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</si>
  <si>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</si>
  <si>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</si>
  <si>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</si>
  <si>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</si>
  <si>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</si>
  <si>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</si>
  <si>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</si>
  <si>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</si>
  <si>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</si>
  <si>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</si>
  <si>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</si>
  <si>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</si>
  <si>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</si>
  <si>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</si>
  <si>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</si>
  <si>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</si>
  <si>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</si>
  <si>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</si>
  <si>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</si>
  <si>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</si>
  <si>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</si>
  <si>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</si>
  <si>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</si>
  <si>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</si>
  <si>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</si>
  <si>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</si>
  <si>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</si>
  <si>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</si>
  <si>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</si>
  <si>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</si>
  <si>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</si>
  <si>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</si>
  <si>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</si>
  <si>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</si>
  <si>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</si>
  <si>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</si>
  <si>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</si>
  <si>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</si>
  <si>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</si>
  <si>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</si>
  <si>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</si>
  <si>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</si>
  <si>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</si>
  <si>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</si>
  <si>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</si>
  <si>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</si>
  <si>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</si>
  <si>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</si>
  <si>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</si>
  <si>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</si>
  <si>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</si>
  <si>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</si>
  <si>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</si>
  <si>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</si>
  <si>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</si>
  <si>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</si>
  <si>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</si>
  <si>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</si>
  <si>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</si>
  <si>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</si>
  <si>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</si>
  <si>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</si>
  <si>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</si>
  <si>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</si>
  <si>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</si>
  <si>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</si>
  <si>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</si>
  <si>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</si>
  <si>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</si>
  <si>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</si>
  <si>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</si>
  <si>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</si>
  <si>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</si>
  <si>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</si>
  <si>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</si>
  <si>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</si>
  <si>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</si>
  <si>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</si>
  <si>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</si>
  <si>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</si>
  <si>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</si>
  <si>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</si>
  <si>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</si>
  <si>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</si>
  <si>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</si>
  <si>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</si>
  <si>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</si>
  <si>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</si>
  <si>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</si>
  <si>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</si>
  <si>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</si>
  <si>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</si>
  <si>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</si>
  <si>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</si>
  <si>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</si>
  <si>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</si>
  <si>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</si>
  <si>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</si>
  <si>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</si>
  <si>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</si>
  <si>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</si>
  <si>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</si>
  <si>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</si>
  <si>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</si>
  <si>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</si>
  <si>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</si>
  <si>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</si>
  <si>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</si>
  <si>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</si>
  <si>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</si>
  <si>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</si>
  <si>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</si>
  <si>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</si>
  <si>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</si>
  <si>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</si>
  <si>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</si>
  <si>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</si>
  <si>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</si>
  <si>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</si>
  <si>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</si>
  <si>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</si>
  <si>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</si>
  <si>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</si>
  <si>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</si>
  <si>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</si>
  <si>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</si>
  <si>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</si>
  <si>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</si>
  <si>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</si>
  <si>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</si>
  <si>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</si>
  <si>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</si>
  <si>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</si>
  <si>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</si>
  <si>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</si>
  <si>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</si>
  <si>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</si>
  <si>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</si>
  <si>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</si>
  <si>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</si>
  <si>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</si>
  <si>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</si>
  <si>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</si>
  <si>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</si>
  <si>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</si>
  <si>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</si>
  <si>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</si>
  <si>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</si>
  <si>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</si>
  <si>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</si>
  <si>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</si>
  <si>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</si>
  <si>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</si>
  <si>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</si>
  <si>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</si>
  <si>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</si>
  <si>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</si>
  <si>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</si>
  <si>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</si>
  <si>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</si>
  <si>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</si>
  <si>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</si>
  <si>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</si>
  <si>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</si>
  <si>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</si>
  <si>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</si>
  <si>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</si>
  <si>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</si>
  <si>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</si>
  <si>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</si>
  <si>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</si>
  <si>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</si>
  <si>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</si>
  <si>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</si>
  <si>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</si>
  <si>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</si>
  <si>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</si>
  <si>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</si>
  <si>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</si>
  <si>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</si>
  <si>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</si>
  <si>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</si>
  <si>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</si>
  <si>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</si>
  <si>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</si>
  <si>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</si>
  <si>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</si>
  <si>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</si>
  <si>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</si>
  <si>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</si>
  <si>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</si>
  <si>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</si>
  <si>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</si>
  <si>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</si>
  <si>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</si>
  <si>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</si>
  <si>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</si>
  <si>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</si>
  <si>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</si>
  <si>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</si>
  <si>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</si>
  <si>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</si>
  <si>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</si>
  <si>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</si>
  <si>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</si>
  <si>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</si>
  <si>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</si>
  <si>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</si>
  <si>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</si>
  <si>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</si>
  <si>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</si>
  <si>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</si>
  <si>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</si>
  <si>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</si>
  <si>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</si>
  <si>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</si>
  <si>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</si>
  <si>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</si>
  <si>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</si>
  <si>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</si>
  <si>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</si>
  <si>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</si>
  <si>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</si>
  <si>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</si>
  <si>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</si>
  <si>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</si>
  <si>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</si>
  <si>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</si>
  <si>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</si>
  <si>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</si>
  <si>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</si>
  <si>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</si>
  <si>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</si>
  <si>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</si>
  <si>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</si>
  <si>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</si>
  <si>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</si>
  <si>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</si>
  <si>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</si>
  <si>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</si>
  <si>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</si>
  <si>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</si>
  <si>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</si>
  <si>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</si>
  <si>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</si>
  <si>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</si>
  <si>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</si>
  <si>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</si>
  <si>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</si>
  <si>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</si>
  <si>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</si>
  <si>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</si>
  <si>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</si>
  <si>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</si>
  <si>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</si>
  <si>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</si>
  <si>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</si>
  <si>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</si>
  <si>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</si>
  <si>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</si>
  <si>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</si>
  <si>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</si>
  <si>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</si>
  <si>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</si>
  <si>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</si>
  <si>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</si>
  <si>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</si>
  <si>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</si>
  <si>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</si>
  <si>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</si>
  <si>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</si>
  <si>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</si>
  <si>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</si>
  <si>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</si>
  <si>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</si>
  <si>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</si>
  <si>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</si>
  <si>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</si>
  <si>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</si>
  <si>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</si>
  <si>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</si>
  <si>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</si>
  <si>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</si>
  <si>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</si>
  <si>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</si>
  <si>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</si>
  <si>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</si>
  <si>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</si>
  <si>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</si>
  <si>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</si>
  <si>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</si>
  <si>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</si>
  <si>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</si>
  <si>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</si>
  <si>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</si>
  <si>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</si>
  <si>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</si>
  <si>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</si>
  <si>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</si>
  <si>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</si>
  <si>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</si>
  <si>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</si>
  <si>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</si>
  <si>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</si>
  <si>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</si>
  <si>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</si>
  <si>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</si>
  <si>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</si>
  <si>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</si>
  <si>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</si>
  <si>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</si>
  <si>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</si>
  <si>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</si>
  <si>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</si>
  <si>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</si>
  <si>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</si>
  <si>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</si>
  <si>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</si>
  <si>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</si>
  <si>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</si>
  <si>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</si>
  <si>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</si>
  <si>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</si>
  <si>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</si>
  <si>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</si>
  <si>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</si>
  <si>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</si>
  <si>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</si>
  <si>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</si>
  <si>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</si>
  <si>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</si>
  <si>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</si>
  <si>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</si>
  <si>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</si>
  <si>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</si>
  <si>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</si>
  <si>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</si>
  <si>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</si>
  <si>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</si>
  <si>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</si>
  <si>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</si>
  <si>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</si>
  <si>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</si>
  <si>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</si>
  <si>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</si>
  <si>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</si>
  <si>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</si>
  <si>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</si>
  <si>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</si>
  <si>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</si>
  <si>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</si>
  <si>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</si>
  <si>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</si>
  <si>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</si>
  <si>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</si>
  <si>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</si>
  <si>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</si>
  <si>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</si>
  <si>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</si>
  <si>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</si>
  <si>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</si>
  <si>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</si>
  <si>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</si>
  <si>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</si>
  <si>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</si>
  <si>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</si>
  <si>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</si>
  <si>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</si>
  <si>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</si>
  <si>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</si>
  <si>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</si>
  <si>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</si>
  <si>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</si>
  <si>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</si>
  <si>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</si>
  <si>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</si>
  <si>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</si>
  <si>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</si>
  <si>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</si>
  <si>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</si>
  <si>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</si>
  <si>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</si>
  <si>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</si>
  <si>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</si>
  <si>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</si>
  <si>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</si>
  <si>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</si>
  <si>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</si>
  <si>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</si>
  <si>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</si>
  <si>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</si>
  <si>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</si>
  <si>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</si>
  <si>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</si>
  <si>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</si>
  <si>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</si>
  <si>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</si>
  <si>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</si>
  <si>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</si>
  <si>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</si>
  <si>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</si>
  <si>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</si>
  <si>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</si>
  <si>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</si>
  <si>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</si>
  <si>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</si>
  <si>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</si>
  <si>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</si>
  <si>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</si>
  <si>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</si>
  <si>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</si>
  <si>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</si>
  <si>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</si>
  <si>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</si>
  <si>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</si>
  <si>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</si>
  <si>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</si>
  <si>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</si>
  <si>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</si>
  <si>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</si>
  <si>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</si>
  <si>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</si>
  <si>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</si>
  <si>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</si>
  <si>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</si>
  <si>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</si>
  <si>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</si>
  <si>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</si>
  <si>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</si>
  <si>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</si>
  <si>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</si>
  <si>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</si>
  <si>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</si>
  <si>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</si>
  <si>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</si>
  <si>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</si>
  <si>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</si>
  <si>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</si>
  <si>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</si>
  <si>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</si>
  <si>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</si>
  <si>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</si>
  <si>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</si>
  <si>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</si>
  <si>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</si>
  <si>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</si>
  <si>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</si>
  <si>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</si>
  <si>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</si>
  <si>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</si>
  <si>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</si>
  <si>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</si>
  <si>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</si>
  <si>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</si>
  <si>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</si>
  <si>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</si>
  <si>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</si>
  <si>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</si>
  <si>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</si>
  <si>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</si>
  <si>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</si>
  <si>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</si>
  <si>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</si>
  <si>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</si>
  <si>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</si>
  <si>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</si>
  <si>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</si>
  <si>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</si>
  <si>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</si>
  <si>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</si>
  <si>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</si>
  <si>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</si>
  <si>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</si>
  <si>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</si>
  <si>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</si>
  <si>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</si>
  <si>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</si>
  <si>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</si>
  <si>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</si>
  <si>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</si>
  <si>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</si>
  <si>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</si>
  <si>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</si>
  <si>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</si>
  <si>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</si>
  <si>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</si>
  <si>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</si>
  <si>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</si>
  <si>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</si>
  <si>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</si>
  <si>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</si>
  <si>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</si>
  <si>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</si>
  <si>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</si>
  <si>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</si>
  <si>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</si>
  <si>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</si>
  <si>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</si>
  <si>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</si>
  <si>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</si>
  <si>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</si>
  <si>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</si>
  <si>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</si>
  <si>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</si>
  <si>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</si>
  <si>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</si>
  <si>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</si>
  <si>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</si>
  <si>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</si>
  <si>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</si>
  <si>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</si>
  <si>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</si>
  <si>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</si>
  <si>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</si>
  <si>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</si>
  <si>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</si>
  <si>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</si>
  <si>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</si>
  <si>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</si>
  <si>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</si>
  <si>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</si>
  <si>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</si>
  <si>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</si>
  <si>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</si>
  <si>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</si>
  <si>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</si>
  <si>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</si>
  <si>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</si>
  <si>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</si>
  <si>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</si>
  <si>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</si>
  <si>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</si>
  <si>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</si>
  <si>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</si>
  <si>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</si>
  <si>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</si>
  <si>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</si>
  <si>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</si>
  <si>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</si>
  <si>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</si>
  <si>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</si>
  <si>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</si>
  <si>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</si>
  <si>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</si>
  <si>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</si>
  <si>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</si>
  <si>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</si>
  <si>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</si>
  <si>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</si>
  <si>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</si>
  <si>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</si>
  <si>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</si>
  <si>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</si>
  <si>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</si>
  <si>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</si>
  <si>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</si>
  <si>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</si>
  <si>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</si>
  <si>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</si>
  <si>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</si>
  <si>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</si>
  <si>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</si>
  <si>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</si>
  <si>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</si>
  <si>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</si>
  <si>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</si>
  <si>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</si>
  <si>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</si>
  <si>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</si>
  <si>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</si>
  <si>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</si>
  <si>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</si>
  <si>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</si>
  <si>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</si>
  <si>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</si>
  <si>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</si>
  <si>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</si>
  <si>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</si>
  <si>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</si>
  <si>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</si>
  <si>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</si>
  <si>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</si>
  <si>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</si>
  <si>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</si>
  <si>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</si>
  <si>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</si>
  <si>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</si>
  <si>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</si>
  <si>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</si>
  <si>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</si>
  <si>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</si>
  <si>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</si>
  <si>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</si>
  <si>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</si>
  <si>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</si>
  <si>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</si>
  <si>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</si>
  <si>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</si>
  <si>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</si>
  <si>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</si>
  <si>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</si>
  <si>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</si>
  <si>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</si>
  <si>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</si>
  <si>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</si>
  <si>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</si>
  <si>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</si>
  <si>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</si>
  <si>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</si>
  <si>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</si>
  <si>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</si>
  <si>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</si>
  <si>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</si>
  <si>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</si>
  <si>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</si>
  <si>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</si>
  <si>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</si>
  <si>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</si>
  <si>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</si>
  <si>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</si>
  <si>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</si>
  <si>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</si>
  <si>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</si>
  <si>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</si>
  <si>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</si>
  <si>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</si>
  <si>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</si>
  <si>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</si>
  <si>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</si>
  <si>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</si>
  <si>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</si>
  <si>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</si>
  <si>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</si>
  <si>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</si>
  <si>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</si>
  <si>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</si>
  <si>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</si>
  <si>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</si>
  <si>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</si>
  <si>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</si>
  <si>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</si>
  <si>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</si>
  <si>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</si>
  <si>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</si>
  <si>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</si>
  <si>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</si>
  <si>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</si>
  <si>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</si>
  <si>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</si>
  <si>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</si>
  <si>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</si>
  <si>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</si>
  <si>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</si>
  <si>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</si>
  <si>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</si>
  <si>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</si>
  <si>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</si>
  <si>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</si>
  <si>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</si>
  <si>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</si>
  <si>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</si>
  <si>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</si>
  <si>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</si>
  <si>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</si>
  <si>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</si>
  <si>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</si>
  <si>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</si>
  <si>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</si>
  <si>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</si>
  <si>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</si>
  <si>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</si>
  <si>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</si>
  <si>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</si>
  <si>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</si>
  <si>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</si>
  <si>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</si>
  <si>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</si>
  <si>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</si>
  <si>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</si>
  <si>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</si>
  <si>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</si>
  <si>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</si>
  <si>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</si>
  <si>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</si>
  <si>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</si>
  <si>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</si>
  <si>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</si>
  <si>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</si>
  <si>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</si>
  <si>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</si>
  <si>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</si>
  <si>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</si>
  <si>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</si>
  <si>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</si>
  <si>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</si>
  <si>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</si>
  <si>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</si>
  <si>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</si>
  <si>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</si>
  <si>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</si>
  <si>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</si>
  <si>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</si>
  <si>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</si>
  <si>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</si>
  <si>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</si>
  <si>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</si>
  <si>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</si>
  <si>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</si>
  <si>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</si>
  <si>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</si>
  <si>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</si>
  <si>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</si>
  <si>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</si>
  <si>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</si>
  <si>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</si>
  <si>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</si>
  <si>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</si>
  <si>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</si>
  <si>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</si>
  <si>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</si>
  <si>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</si>
  <si>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</si>
  <si>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</si>
  <si>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</si>
  <si>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</si>
  <si>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</si>
  <si>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</si>
  <si>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</si>
  <si>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</si>
  <si>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</si>
  <si>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</si>
  <si>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</si>
  <si>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</si>
  <si>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</si>
  <si>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</si>
  <si>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</si>
  <si>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</si>
  <si>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</si>
  <si>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</si>
  <si>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</si>
  <si>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</si>
  <si>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</si>
  <si>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</si>
  <si>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</si>
  <si>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</si>
  <si>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</si>
  <si>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</si>
  <si>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</si>
  <si>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</si>
  <si>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</si>
  <si>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</si>
  <si>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</si>
  <si>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</si>
  <si>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</si>
  <si>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</si>
  <si>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</si>
  <si>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</si>
  <si>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</si>
  <si>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</si>
  <si>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</si>
  <si>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</si>
  <si>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</si>
  <si>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</si>
  <si>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</si>
  <si>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</si>
  <si>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</si>
  <si>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</si>
  <si>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</si>
  <si>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</si>
  <si>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</si>
  <si>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</si>
  <si>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</si>
  <si>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</si>
  <si>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</si>
  <si>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</si>
  <si>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</si>
  <si>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</si>
  <si>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</si>
  <si>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</si>
  <si>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</si>
  <si>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</si>
  <si>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</si>
  <si>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</si>
  <si>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</si>
  <si>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</si>
  <si>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</si>
  <si>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</si>
  <si>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</si>
  <si>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</si>
  <si>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</si>
  <si>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</si>
  <si>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</si>
  <si>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</si>
  <si>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</si>
  <si>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</si>
  <si>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</si>
  <si>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</si>
  <si>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</si>
  <si>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</si>
  <si>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</si>
  <si>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</si>
  <si>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</si>
  <si>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</si>
  <si>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</si>
  <si>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</si>
  <si>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</si>
  <si>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</si>
  <si>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</si>
  <si>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</si>
  <si>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</si>
  <si>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</si>
  <si>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</si>
  <si>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</si>
  <si>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</si>
  <si>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</si>
  <si>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</si>
  <si>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</si>
  <si>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</si>
  <si>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</si>
  <si>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</si>
  <si>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</si>
  <si>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</si>
  <si>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</si>
  <si>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</si>
  <si>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</si>
  <si>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</si>
  <si>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</si>
  <si>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</si>
  <si>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</si>
  <si>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</si>
  <si>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</si>
  <si>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</si>
  <si>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</si>
  <si>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</si>
  <si>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</si>
  <si>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</si>
  <si>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</si>
  <si>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</si>
  <si>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</si>
  <si>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</si>
  <si>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</si>
  <si>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</si>
  <si>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</si>
  <si>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</si>
  <si>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</si>
  <si>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</si>
  <si>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</si>
  <si>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</si>
  <si>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</si>
  <si>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</si>
  <si>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</si>
  <si>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</si>
  <si>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</si>
  <si>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</si>
  <si>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</si>
  <si>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</si>
  <si>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</si>
  <si>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</si>
  <si>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</si>
  <si>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</si>
  <si>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</si>
  <si>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</si>
  <si>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</si>
  <si>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</si>
  <si>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</si>
  <si>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</si>
  <si>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</si>
  <si>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</si>
  <si>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</si>
  <si>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</si>
  <si>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</si>
  <si>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</si>
  <si>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</si>
  <si>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</si>
  <si>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</si>
  <si>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</si>
  <si>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</si>
  <si>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</si>
  <si>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</si>
  <si>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</si>
  <si>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</si>
  <si>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</si>
  <si>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</si>
  <si>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</si>
  <si>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</si>
  <si>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</si>
  <si>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</si>
  <si>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</si>
  <si>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</si>
  <si>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</si>
  <si>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</si>
  <si>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</si>
  <si>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</si>
  <si>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</si>
  <si>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</si>
  <si>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</si>
  <si>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</si>
  <si>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</si>
  <si>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</si>
  <si>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</si>
  <si>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</si>
  <si>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</si>
  <si>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</si>
  <si>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</si>
  <si>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</si>
  <si>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</si>
  <si>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</si>
  <si>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</si>
  <si>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</si>
  <si>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</si>
  <si>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</si>
  <si>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</si>
  <si>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</si>
  <si>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</si>
  <si>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</si>
  <si>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</si>
  <si>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</si>
  <si>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</si>
  <si>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</si>
  <si>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</si>
  <si>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</si>
  <si>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</si>
  <si>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</si>
  <si>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</si>
  <si>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</si>
  <si>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</si>
  <si>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</si>
  <si>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</si>
  <si>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</si>
  <si>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</si>
  <si>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</si>
  <si>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</si>
  <si>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</si>
  <si>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</si>
  <si>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</si>
  <si>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</si>
  <si>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</si>
  <si>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</si>
  <si>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</si>
  <si>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</si>
  <si>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</si>
  <si>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</si>
  <si>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</si>
  <si>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</si>
  <si>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</si>
  <si>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</si>
  <si>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</si>
  <si>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</si>
  <si>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</si>
  <si>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</si>
  <si>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</si>
  <si>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</si>
  <si>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</si>
  <si>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</si>
  <si>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</si>
  <si>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</si>
  <si>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</si>
  <si>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</si>
  <si>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</si>
  <si>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</si>
  <si>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</si>
  <si>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</si>
  <si>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</si>
  <si>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</si>
  <si>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</si>
  <si>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</si>
  <si>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</si>
  <si>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</si>
  <si>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</si>
  <si>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</si>
  <si>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</si>
  <si>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</si>
  <si>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</si>
  <si>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</si>
  <si>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</si>
  <si>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</si>
  <si>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</si>
  <si>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</si>
  <si>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</si>
  <si>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</si>
  <si>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</si>
  <si>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</si>
  <si>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</si>
  <si>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</si>
  <si>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</si>
  <si>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</si>
  <si>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</si>
  <si>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</si>
  <si>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</si>
  <si>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</si>
  <si>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</si>
  <si>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</si>
  <si>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</si>
  <si>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</si>
  <si>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</si>
  <si>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</si>
  <si>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</si>
  <si>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</si>
  <si>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</si>
  <si>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</si>
  <si>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</si>
  <si>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</si>
  <si>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</si>
  <si>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</si>
  <si>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</si>
  <si>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</si>
  <si>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</si>
  <si>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</si>
  <si>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</si>
  <si>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</si>
  <si>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</si>
  <si>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</si>
  <si>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</si>
  <si>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</si>
  <si>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</si>
  <si>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</si>
  <si>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</si>
  <si>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</si>
  <si>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</si>
  <si>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</si>
  <si>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</si>
  <si>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</si>
  <si>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</si>
  <si>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</si>
  <si>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</si>
  <si>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</si>
  <si>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</si>
  <si>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</si>
  <si>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</si>
  <si>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</si>
  <si>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</si>
  <si>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</si>
  <si>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</si>
  <si>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</si>
  <si>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</si>
  <si>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</si>
  <si>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</si>
  <si>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</si>
  <si>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</si>
  <si>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</si>
  <si>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</si>
  <si>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</si>
  <si>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</si>
  <si>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</si>
  <si>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</si>
  <si>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</si>
  <si>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</si>
  <si>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</si>
  <si>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</si>
  <si>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</si>
  <si>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</si>
  <si>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</si>
  <si>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</si>
  <si>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</si>
  <si>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</si>
  <si>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</si>
  <si>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</si>
  <si>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</si>
  <si>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</si>
  <si>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</si>
  <si>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</si>
  <si>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</si>
  <si>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</si>
  <si>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</si>
  <si>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</si>
  <si>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</si>
  <si>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</si>
  <si>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</si>
  <si>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</si>
  <si>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</si>
  <si>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</si>
  <si>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</si>
  <si>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</si>
  <si>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</si>
  <si>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</si>
  <si>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</si>
  <si>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</si>
  <si>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</si>
  <si>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</si>
  <si>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</si>
  <si>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</si>
  <si>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</si>
  <si>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</si>
  <si>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</si>
  <si>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</si>
  <si>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</si>
  <si>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</si>
  <si>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</si>
  <si>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</si>
  <si>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</si>
  <si>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</si>
  <si>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</si>
  <si>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</si>
  <si>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</si>
  <si>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</si>
  <si>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</si>
  <si>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</si>
  <si>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</si>
  <si>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</si>
  <si>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</si>
  <si>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</si>
  <si>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</si>
  <si>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</si>
  <si>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</si>
  <si>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</si>
  <si>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</si>
  <si>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</si>
  <si>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</si>
  <si>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</si>
  <si>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</si>
  <si>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</si>
  <si>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</si>
  <si>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</si>
  <si>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</si>
  <si>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</si>
  <si>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</si>
  <si>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</si>
  <si>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</si>
  <si>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</si>
  <si>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</si>
  <si>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</si>
  <si>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</si>
  <si>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</si>
  <si>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</si>
  <si>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</si>
  <si>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</si>
  <si>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</si>
  <si>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</si>
  <si>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</si>
  <si>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</si>
  <si>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</si>
  <si>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</si>
  <si>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</si>
  <si>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</si>
  <si>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</si>
  <si>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</si>
  <si>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</si>
  <si>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</si>
  <si>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</si>
  <si>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</si>
  <si>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</si>
  <si>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</si>
  <si>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</si>
  <si>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</si>
  <si>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</si>
  <si>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</si>
  <si>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</si>
  <si>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</si>
  <si>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</si>
  <si>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</si>
  <si>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</si>
  <si>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</si>
  <si>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</si>
  <si>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</si>
  <si>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</si>
  <si>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</si>
  <si>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</si>
  <si>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</si>
  <si>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</si>
  <si>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</si>
  <si>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</si>
  <si>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</si>
  <si>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</si>
  <si>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</si>
  <si>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</si>
  <si>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</si>
  <si>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</si>
  <si>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</si>
  <si>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</si>
  <si>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</si>
  <si>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</si>
  <si>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</si>
  <si>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</si>
  <si>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</si>
  <si>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</si>
  <si>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</si>
  <si>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</si>
  <si>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</si>
  <si>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</si>
  <si>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</si>
  <si>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</si>
  <si>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</si>
  <si>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</si>
  <si>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</si>
  <si>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</si>
  <si>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</si>
  <si>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</si>
  <si>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</si>
  <si>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</si>
  <si>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</si>
  <si>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</si>
  <si>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</si>
  <si>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</si>
  <si>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</si>
  <si>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</si>
  <si>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</si>
  <si>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</si>
  <si>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</si>
  <si>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</si>
  <si>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</si>
  <si>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</si>
  <si>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</si>
  <si>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</si>
  <si>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</si>
  <si>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</si>
  <si>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</si>
  <si>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</si>
  <si>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</si>
  <si>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</si>
  <si>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</si>
  <si>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</si>
  <si>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</si>
  <si>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</si>
  <si>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</si>
  <si>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</si>
  <si>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</si>
  <si>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</si>
  <si>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</si>
  <si>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</si>
  <si>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</si>
  <si>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</si>
  <si>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</si>
  <si>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</si>
  <si>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</si>
  <si>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</si>
  <si>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</si>
  <si>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</si>
  <si>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</si>
  <si>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</si>
  <si>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</si>
  <si>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</si>
  <si>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</si>
  <si>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</si>
  <si>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</si>
  <si>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</si>
  <si>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</si>
  <si>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</si>
  <si>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</si>
  <si>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</si>
  <si>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</si>
  <si>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</si>
  <si>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</si>
  <si>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</si>
  <si>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</si>
  <si>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</si>
  <si>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</si>
  <si>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</si>
  <si>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</si>
  <si>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</si>
  <si>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</si>
  <si>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</si>
  <si>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</si>
  <si>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</si>
  <si>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</si>
  <si>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</si>
  <si>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</si>
  <si>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</si>
  <si>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</si>
  <si>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</si>
  <si>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</si>
  <si>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</si>
  <si>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</si>
  <si>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</si>
  <si>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</si>
  <si>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</si>
  <si>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</si>
  <si>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</si>
  <si>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</si>
  <si>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</si>
  <si>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</si>
  <si>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</si>
  <si>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</si>
  <si>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</si>
  <si>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</si>
  <si>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</si>
  <si>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</si>
  <si>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</si>
  <si>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</si>
  <si>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</si>
  <si>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</si>
  <si>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</si>
  <si>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</si>
  <si>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</si>
  <si>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</si>
  <si>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</si>
  <si>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</si>
  <si>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</si>
  <si>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</si>
  <si>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</si>
  <si>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</si>
  <si>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</si>
  <si>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</si>
  <si>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</si>
  <si>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</si>
  <si>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</si>
  <si>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</si>
  <si>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</si>
  <si>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</si>
  <si>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</si>
  <si>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</si>
  <si>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</si>
  <si>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</si>
  <si>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</si>
  <si>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</si>
  <si>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</si>
  <si>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</si>
  <si>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</si>
  <si>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</si>
  <si>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</si>
  <si>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</si>
  <si>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</si>
  <si>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</si>
  <si>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</si>
  <si>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</si>
  <si>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</si>
  <si>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</si>
  <si>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</si>
  <si>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</si>
  <si>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</si>
  <si>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</si>
  <si>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</si>
  <si>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</si>
  <si>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</si>
  <si>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</si>
  <si>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</si>
  <si>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</si>
  <si>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</si>
  <si>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</si>
  <si>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</si>
  <si>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</si>
  <si>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</si>
  <si>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</si>
  <si>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</si>
  <si>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</si>
  <si>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</si>
  <si>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</si>
  <si>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</si>
  <si>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</si>
  <si>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</si>
  <si>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</si>
  <si>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</si>
  <si>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</si>
  <si>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</si>
  <si>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</si>
  <si>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</si>
  <si>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</si>
  <si>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</si>
  <si>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</si>
  <si>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</si>
  <si>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</si>
  <si>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</si>
  <si>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</si>
  <si>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</si>
  <si>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</si>
  <si>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</si>
  <si>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</si>
  <si>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</si>
  <si>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</si>
  <si>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</si>
  <si>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</si>
  <si>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</si>
  <si>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</si>
  <si>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</si>
  <si>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</si>
  <si>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</si>
  <si>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</si>
  <si>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</si>
  <si>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</si>
  <si>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</si>
  <si>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</si>
  <si>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</si>
  <si>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</si>
  <si>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</si>
  <si>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</si>
  <si>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</si>
  <si>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</si>
  <si>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</si>
  <si>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</si>
  <si>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</si>
  <si>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</si>
  <si>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</si>
  <si>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</si>
  <si>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</si>
  <si>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</si>
  <si>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</si>
  <si>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</si>
  <si>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</si>
  <si>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</si>
  <si>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</si>
  <si>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</si>
  <si>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</si>
  <si>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</si>
  <si>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</si>
  <si>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</si>
  <si>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</si>
  <si>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</si>
  <si>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</si>
  <si>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</si>
  <si>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</si>
  <si>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</si>
  <si>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</si>
  <si>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</si>
  <si>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</si>
  <si>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</si>
  <si>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</si>
  <si>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</si>
  <si>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</si>
  <si>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</si>
  <si>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</si>
  <si>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</si>
  <si>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</si>
  <si>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</si>
  <si>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</si>
  <si>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</si>
  <si>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</si>
  <si>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</si>
  <si>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</si>
  <si>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</si>
  <si>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</si>
  <si>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</si>
  <si>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</si>
  <si>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</si>
  <si>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</si>
  <si>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</si>
  <si>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</si>
  <si>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</si>
  <si>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</si>
  <si>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</si>
  <si>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</si>
  <si>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</si>
  <si>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</si>
  <si>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</si>
  <si>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</si>
  <si>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</si>
  <si>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</si>
  <si>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</si>
  <si>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</si>
  <si>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</si>
  <si>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</si>
  <si>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</si>
  <si>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</si>
  <si>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</si>
  <si>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</si>
  <si>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</si>
  <si>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</si>
  <si>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</si>
  <si>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</si>
  <si>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</si>
  <si>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</si>
  <si>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</si>
  <si>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</si>
  <si>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</si>
  <si>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</si>
  <si>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</si>
  <si>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</si>
  <si>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</si>
  <si>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</si>
  <si>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</si>
  <si>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</si>
  <si>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</si>
  <si>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</si>
  <si>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</si>
  <si>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</si>
  <si>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</si>
  <si>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</si>
  <si>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</si>
  <si>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</si>
  <si>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</si>
  <si>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</si>
  <si>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</si>
  <si>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</si>
  <si>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</si>
  <si>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</si>
  <si>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</si>
  <si>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</si>
  <si>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</si>
  <si>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</si>
  <si>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</si>
  <si>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</si>
  <si>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</si>
  <si>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</si>
  <si>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</si>
  <si>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</si>
  <si>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</si>
  <si>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</si>
  <si>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</si>
  <si>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</si>
  <si>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</si>
  <si>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</si>
  <si>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</si>
  <si>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</si>
  <si>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</si>
  <si>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</si>
  <si>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</si>
  <si>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</si>
  <si>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</si>
  <si>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</si>
  <si>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</si>
  <si>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</si>
  <si>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</si>
  <si>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</si>
  <si>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</si>
  <si>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</si>
  <si>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</si>
  <si>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</si>
  <si>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</si>
  <si>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</si>
  <si>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</si>
  <si>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</si>
  <si>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</si>
  <si>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</si>
  <si>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</si>
  <si>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</si>
  <si>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</si>
  <si>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</si>
  <si>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</si>
  <si>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</si>
  <si>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</si>
  <si>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</si>
  <si>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</si>
  <si>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</si>
  <si>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</si>
  <si>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</si>
  <si>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</si>
  <si>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</si>
  <si>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</si>
  <si>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</si>
  <si>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</si>
  <si>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</si>
  <si>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</si>
  <si>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</si>
  <si>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</si>
  <si>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</si>
  <si>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</si>
  <si>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</si>
  <si>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</si>
  <si>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</si>
  <si>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</si>
  <si>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</si>
  <si>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</si>
  <si>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</si>
  <si>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</si>
  <si>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</si>
  <si>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</si>
  <si>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</si>
  <si>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</si>
  <si>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</si>
  <si>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</si>
  <si>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</si>
  <si>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</si>
  <si>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</si>
  <si>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</si>
  <si>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</si>
  <si>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</si>
  <si>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</si>
  <si>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</si>
  <si>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</si>
  <si>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</si>
  <si>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</si>
  <si>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</si>
  <si>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</si>
  <si>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</si>
  <si>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</si>
  <si>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</si>
  <si>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</si>
  <si>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</si>
  <si>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</si>
  <si>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</si>
  <si>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</si>
  <si>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</si>
  <si>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</si>
  <si>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</si>
  <si>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</si>
  <si>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</si>
  <si>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</si>
  <si>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</si>
  <si>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</si>
  <si>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</si>
  <si>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</si>
  <si>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</si>
  <si>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</si>
  <si>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</si>
  <si>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</si>
  <si>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</si>
  <si>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</si>
  <si>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</si>
  <si>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</si>
  <si>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</si>
  <si>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</si>
  <si>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</si>
  <si>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</si>
  <si>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</si>
  <si>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</si>
  <si>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</si>
  <si>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</si>
  <si>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</si>
  <si>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</si>
  <si>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</si>
  <si>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</si>
  <si>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</si>
  <si>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</si>
  <si>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</si>
  <si>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</si>
  <si>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</si>
  <si>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</si>
  <si>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</si>
  <si>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</si>
  <si>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</si>
  <si>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</si>
  <si>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</si>
  <si>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</si>
  <si>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</si>
  <si>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</si>
  <si>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</si>
  <si>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</si>
  <si>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</si>
  <si>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</si>
  <si>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</si>
  <si>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</si>
  <si>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</si>
  <si>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</si>
  <si>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</si>
  <si>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</si>
  <si>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</si>
  <si>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</si>
  <si>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</si>
  <si>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</si>
  <si>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</si>
  <si>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</si>
  <si>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</si>
  <si>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</si>
  <si>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</si>
  <si>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</si>
  <si>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</si>
  <si>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</si>
  <si>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</si>
  <si>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</si>
  <si>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</si>
  <si>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</si>
  <si>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</si>
  <si>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</si>
  <si>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</si>
  <si>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</si>
  <si>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</si>
  <si>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</si>
  <si>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</si>
  <si>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</si>
  <si>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</si>
  <si>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</si>
  <si>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</si>
  <si>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</si>
  <si>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</si>
  <si>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</si>
  <si>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</si>
  <si>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</si>
  <si>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</si>
  <si>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</si>
  <si>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</si>
  <si>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</si>
  <si>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</si>
  <si>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</si>
  <si>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</si>
  <si>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</si>
  <si>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</si>
  <si>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</si>
  <si>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</si>
  <si>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</si>
  <si>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</si>
  <si>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</si>
  <si>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</si>
  <si>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</si>
  <si>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</si>
  <si>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</si>
  <si>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</si>
  <si>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</si>
  <si>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</si>
  <si>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</si>
  <si>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</si>
  <si>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</si>
  <si>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</si>
  <si>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</si>
  <si>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</si>
  <si>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</si>
  <si>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</si>
  <si>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</si>
  <si>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</si>
  <si>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</si>
  <si>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</si>
  <si>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</si>
  <si>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</si>
  <si>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</si>
  <si>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</si>
  <si>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</si>
  <si>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</si>
  <si>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</si>
  <si>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</si>
  <si>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</si>
  <si>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</si>
  <si>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</si>
  <si>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</si>
  <si>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</si>
  <si>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</si>
  <si>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</si>
  <si>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</si>
  <si>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</si>
  <si>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</si>
  <si>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</si>
  <si>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</si>
  <si>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</si>
  <si>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</si>
  <si>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</si>
  <si>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</si>
  <si>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</si>
  <si>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</si>
  <si>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</si>
  <si>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</si>
  <si>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</si>
  <si>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</si>
  <si>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</si>
  <si>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</si>
  <si>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</si>
  <si>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</si>
  <si>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</si>
  <si>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</si>
  <si>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</si>
  <si>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</si>
  <si>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</si>
  <si>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</si>
  <si>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</si>
  <si>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</si>
  <si>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</si>
  <si>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</si>
  <si>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</si>
  <si>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</si>
  <si>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</si>
  <si>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</si>
  <si>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</si>
  <si>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</si>
  <si>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</si>
  <si>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</si>
  <si>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</si>
  <si>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</si>
  <si>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</si>
  <si>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</si>
  <si>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</si>
  <si>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</si>
  <si>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</si>
  <si>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</si>
  <si>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</si>
  <si>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</si>
  <si>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</si>
  <si>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</si>
  <si>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</si>
  <si>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</si>
  <si>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</si>
  <si>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</si>
  <si>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</si>
  <si>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</si>
  <si>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</si>
  <si>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</si>
  <si>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</si>
  <si>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</si>
  <si>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</si>
  <si>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</si>
  <si>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</si>
  <si>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</si>
  <si>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</si>
  <si>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</si>
  <si>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</si>
  <si>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</si>
  <si>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</si>
  <si>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</si>
  <si>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</si>
  <si>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</si>
  <si>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</si>
  <si>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</si>
  <si>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</si>
  <si>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</si>
  <si>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</si>
  <si>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</si>
  <si>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</si>
  <si>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</si>
  <si>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</si>
  <si>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</si>
  <si>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</si>
  <si>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</si>
  <si>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</si>
  <si>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</si>
  <si>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</si>
  <si>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</si>
  <si>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</si>
  <si>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</si>
  <si>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</si>
  <si>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</si>
  <si>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</si>
  <si>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</si>
  <si>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</si>
  <si>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</si>
  <si>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</si>
  <si>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</si>
  <si>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</si>
  <si>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</si>
  <si>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</si>
  <si>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</si>
  <si>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</si>
  <si>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</si>
  <si>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</si>
  <si>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</si>
  <si>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</si>
  <si>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</si>
  <si>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</si>
  <si>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</si>
  <si>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</si>
  <si>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</si>
  <si>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</si>
  <si>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</si>
  <si>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</si>
  <si>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</si>
  <si>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</si>
  <si>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</si>
  <si>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</si>
  <si>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</si>
  <si>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</si>
  <si>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</si>
  <si>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</si>
  <si>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</si>
  <si>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</si>
  <si>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</si>
  <si>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</si>
  <si>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</si>
  <si>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</si>
  <si>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</si>
  <si>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</si>
  <si>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</si>
  <si>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</si>
  <si>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</si>
  <si>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</si>
  <si>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</si>
  <si>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</si>
  <si>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</si>
  <si>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</si>
  <si>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</si>
  <si>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</si>
  <si>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</si>
  <si>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</si>
  <si>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</si>
  <si>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</si>
  <si>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</si>
  <si>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</si>
  <si>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</si>
  <si>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</si>
  <si>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</si>
  <si>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</si>
  <si>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</si>
  <si>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</si>
  <si>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</si>
  <si>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</si>
  <si>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</si>
  <si>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</si>
  <si>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</si>
  <si>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</si>
  <si>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</si>
  <si>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</si>
  <si>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</si>
  <si>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</si>
  <si>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</si>
  <si>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</si>
  <si>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</si>
  <si>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</si>
  <si>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</si>
  <si>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</si>
  <si>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</si>
  <si>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</si>
  <si>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</si>
  <si>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</si>
  <si>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</si>
  <si>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</si>
  <si>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</si>
  <si>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</si>
  <si>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</si>
  <si>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</si>
  <si>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</si>
  <si>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</si>
  <si>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</si>
  <si>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</si>
  <si>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</si>
  <si>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</si>
  <si>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</si>
  <si>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</si>
  <si>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</si>
  <si>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</si>
  <si>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</si>
  <si>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</si>
  <si>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</si>
  <si>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</si>
  <si>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</si>
  <si>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</si>
  <si>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</si>
  <si>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</si>
  <si>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</si>
  <si>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</si>
  <si>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</si>
  <si>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</si>
  <si>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</si>
  <si>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</si>
  <si>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</si>
  <si>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</si>
  <si>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</si>
  <si>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</si>
  <si>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</si>
  <si>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</si>
  <si>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</si>
  <si>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</si>
  <si>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</si>
  <si>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</si>
  <si>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</si>
  <si>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</si>
  <si>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</si>
  <si>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</si>
  <si>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</si>
  <si>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</si>
  <si>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</si>
  <si>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</si>
  <si>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</si>
  <si>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</si>
  <si>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</si>
  <si>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</si>
  <si>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</si>
  <si>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</si>
  <si>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</si>
  <si>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</si>
  <si>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</si>
  <si>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</si>
  <si>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</si>
  <si>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</si>
  <si>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</si>
  <si>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</si>
  <si>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</si>
  <si>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</si>
  <si>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</si>
  <si>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</si>
  <si>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</si>
  <si>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</si>
  <si>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</si>
  <si>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</si>
  <si>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</si>
  <si>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</si>
  <si>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</si>
  <si>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</si>
  <si>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</si>
  <si>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</si>
  <si>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</si>
  <si>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</si>
  <si>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</si>
  <si>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</si>
  <si>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</si>
  <si>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</si>
  <si>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</si>
  <si>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</si>
  <si>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</si>
  <si>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</si>
  <si>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</si>
  <si>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</si>
  <si>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</si>
  <si>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</si>
  <si>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</si>
  <si>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</si>
  <si>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</si>
  <si>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</si>
  <si>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</si>
  <si>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</si>
  <si>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</si>
  <si>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</si>
  <si>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</si>
  <si>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</si>
  <si>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</si>
  <si>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</si>
  <si>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</si>
  <si>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</si>
  <si>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</si>
  <si>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</si>
  <si>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</si>
  <si>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</si>
  <si>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</si>
  <si>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</si>
  <si>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</si>
  <si>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</si>
  <si>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</si>
  <si>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</si>
  <si>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</si>
  <si>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</si>
  <si>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</si>
  <si>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</si>
  <si>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</si>
  <si>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</si>
  <si>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</si>
  <si>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</si>
  <si>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</si>
  <si>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</si>
  <si>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</si>
  <si>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</si>
  <si>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</si>
  <si>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</si>
  <si>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</si>
  <si>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</si>
  <si>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</si>
  <si>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</si>
  <si>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</si>
  <si>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</si>
  <si>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</si>
  <si>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</si>
  <si>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</si>
  <si>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</si>
  <si>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</si>
  <si>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</si>
  <si>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</si>
  <si>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</si>
  <si>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</si>
  <si>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</si>
  <si>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</si>
  <si>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</si>
  <si>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</si>
  <si>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</si>
  <si>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</si>
  <si>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</si>
  <si>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</si>
  <si>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</si>
  <si>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</si>
  <si>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</si>
  <si>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</si>
  <si>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</si>
  <si>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</si>
  <si>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</si>
  <si>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</si>
  <si>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</si>
  <si>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</si>
  <si>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</si>
  <si>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</si>
  <si>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</si>
  <si>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</si>
  <si>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</si>
  <si>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</si>
  <si>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</si>
  <si>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</si>
  <si>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</si>
  <si>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</si>
  <si>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</si>
  <si>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</si>
  <si>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</si>
  <si>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</si>
  <si>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</si>
  <si>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</si>
  <si>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</si>
  <si>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</si>
  <si>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</si>
  <si>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</si>
  <si>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</si>
  <si>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</si>
  <si>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</si>
  <si>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</si>
  <si>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</si>
  <si>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</si>
  <si>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</si>
  <si>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</si>
  <si>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</si>
  <si>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</si>
  <si>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</si>
  <si>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</si>
  <si>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</si>
  <si>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</si>
  <si>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</si>
  <si>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</si>
  <si>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</si>
  <si>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</si>
  <si>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</si>
  <si>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</si>
  <si>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</si>
  <si>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</si>
  <si>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</si>
  <si>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</si>
  <si>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</si>
  <si>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</si>
  <si>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</si>
  <si>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</si>
  <si>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</si>
  <si>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</si>
  <si>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</si>
  <si>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</si>
  <si>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</si>
  <si>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</si>
  <si>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</si>
  <si>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</si>
  <si>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</si>
  <si>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</si>
  <si>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</si>
  <si>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</si>
  <si>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</si>
  <si>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</si>
  <si>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</si>
  <si>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</si>
  <si>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</si>
  <si>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</si>
  <si>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</si>
  <si>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</si>
  <si>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</si>
  <si>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</si>
  <si>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</si>
  <si>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</si>
  <si>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</si>
  <si>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</si>
  <si>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</si>
  <si>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</si>
  <si>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</si>
  <si>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</si>
  <si>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</si>
  <si>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</si>
  <si>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</si>
  <si>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</si>
  <si>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</si>
  <si>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</si>
  <si>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</si>
  <si>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</si>
  <si>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</si>
  <si>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</si>
  <si>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</si>
  <si>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</si>
  <si>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</si>
  <si>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</si>
  <si>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</si>
  <si>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</si>
  <si>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</si>
  <si>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</si>
  <si>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</si>
  <si>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</si>
  <si>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</si>
  <si>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</si>
  <si>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</si>
  <si>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</si>
  <si>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</si>
  <si>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</si>
  <si>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</si>
  <si>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</si>
  <si>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</si>
  <si>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</si>
  <si>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</si>
  <si>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</si>
  <si>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</si>
  <si>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</si>
  <si>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</si>
  <si>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</si>
  <si>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</si>
  <si>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</si>
  <si>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</si>
  <si>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</si>
  <si>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</si>
  <si>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</si>
  <si>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</si>
  <si>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</si>
  <si>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</si>
  <si>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</si>
  <si>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</si>
  <si>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</si>
  <si>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</si>
  <si>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</si>
  <si>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</si>
  <si>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</si>
  <si>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</si>
  <si>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</si>
  <si>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</si>
  <si>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</si>
  <si>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</si>
  <si>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</si>
  <si>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</si>
  <si>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</si>
  <si>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</si>
  <si>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</si>
  <si>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</si>
  <si>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</si>
  <si>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</si>
  <si>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</si>
  <si>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</si>
  <si>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</si>
  <si>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</si>
  <si>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</si>
  <si>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</si>
  <si>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</si>
  <si>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</si>
  <si>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</si>
  <si>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</si>
  <si>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</si>
  <si>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</si>
  <si>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</si>
  <si>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</si>
  <si>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</si>
  <si>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</si>
  <si>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</si>
  <si>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</si>
  <si>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</si>
  <si>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</si>
  <si>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</si>
  <si>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</si>
  <si>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</si>
  <si>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</si>
  <si>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</si>
  <si>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</si>
  <si>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</si>
  <si>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</si>
  <si>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</si>
  <si>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</si>
  <si>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</si>
  <si>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</si>
  <si>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</si>
  <si>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</si>
  <si>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</si>
  <si>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</si>
  <si>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</si>
  <si>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</si>
  <si>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</si>
  <si>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</si>
  <si>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</si>
  <si>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</si>
  <si>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</si>
  <si>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</si>
  <si>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</si>
  <si>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</si>
  <si>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</si>
  <si>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</si>
  <si>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</si>
  <si>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</si>
  <si>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</si>
  <si>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</si>
  <si>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</si>
  <si>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</si>
  <si>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</si>
  <si>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</si>
  <si>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</si>
  <si>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</si>
  <si>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</si>
  <si>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</si>
  <si>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</si>
  <si>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</si>
  <si>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</si>
  <si>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</si>
  <si>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</si>
  <si>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</si>
  <si>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</si>
  <si>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</si>
  <si>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</si>
  <si>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</si>
  <si>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</si>
  <si>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</si>
  <si>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</si>
  <si>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</si>
  <si>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</si>
  <si>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</si>
  <si>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</si>
  <si>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</si>
  <si>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</si>
  <si>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</si>
  <si>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</si>
  <si>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</si>
  <si>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</si>
  <si>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</si>
  <si>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</si>
  <si>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</si>
  <si>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</si>
  <si>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</si>
  <si>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</si>
  <si>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</si>
  <si>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</si>
  <si>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</si>
  <si>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</si>
  <si>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</si>
  <si>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</si>
  <si>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</si>
  <si>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</si>
  <si>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</si>
  <si>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</si>
  <si>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</si>
  <si>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</si>
  <si>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</si>
  <si>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</si>
  <si>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</si>
  <si>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</si>
  <si>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</si>
  <si>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</si>
  <si>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</si>
  <si>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</si>
  <si>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</si>
  <si>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</si>
  <si>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</si>
  <si>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</si>
  <si>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</si>
  <si>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</si>
  <si>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</si>
  <si>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</si>
  <si>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</si>
  <si>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</si>
  <si>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</si>
  <si>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</si>
  <si>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</si>
  <si>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</si>
  <si>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</si>
  <si>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</si>
  <si>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</si>
  <si>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</si>
  <si>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</si>
  <si>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</si>
  <si>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</si>
  <si>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</si>
  <si>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</si>
  <si>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</si>
  <si>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</si>
  <si>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</si>
  <si>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</si>
  <si>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</si>
  <si>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</si>
  <si>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</si>
  <si>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</si>
  <si>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</si>
  <si>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</si>
  <si>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</si>
  <si>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</si>
  <si>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</si>
  <si>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</si>
  <si>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</si>
  <si>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</si>
  <si>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</si>
  <si>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</si>
  <si>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</si>
  <si>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</si>
  <si>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</si>
  <si>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</si>
  <si>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</si>
  <si>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</si>
  <si>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</si>
  <si>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</si>
  <si>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</si>
  <si>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</si>
  <si>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</si>
  <si>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</si>
  <si>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</si>
  <si>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</si>
  <si>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</si>
  <si>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</si>
  <si>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</si>
  <si>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</si>
  <si>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</si>
  <si>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</si>
  <si>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</si>
  <si>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</si>
  <si>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</si>
  <si>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</si>
  <si>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</si>
  <si>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</si>
  <si>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</si>
  <si>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</si>
  <si>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</si>
  <si>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</si>
  <si>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</si>
  <si>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</si>
  <si>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</si>
  <si>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</si>
  <si>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</si>
  <si>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</si>
  <si>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</si>
  <si>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</si>
  <si>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</si>
  <si>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</si>
  <si>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</si>
  <si>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</si>
  <si>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</si>
  <si>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</si>
  <si>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</si>
  <si>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</si>
  <si>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</si>
  <si>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</si>
  <si>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</si>
  <si>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</si>
  <si>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</si>
  <si>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</si>
  <si>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</si>
  <si>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</si>
  <si>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</si>
  <si>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</si>
  <si>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</si>
  <si>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</si>
  <si>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</si>
  <si>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</si>
  <si>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</si>
  <si>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</si>
  <si>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</si>
  <si>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</si>
  <si>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</si>
  <si>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</si>
  <si>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</si>
  <si>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</si>
  <si>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</si>
  <si>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</si>
  <si>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</si>
  <si>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</si>
  <si>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</si>
  <si>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</si>
  <si>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</si>
  <si>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</si>
  <si>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</si>
  <si>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</si>
  <si>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</si>
  <si>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</si>
  <si>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</si>
  <si>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</si>
  <si>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</si>
  <si>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</si>
  <si>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</si>
  <si>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</si>
  <si>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</si>
  <si>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</si>
  <si>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</si>
  <si>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</si>
  <si>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</si>
  <si>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</si>
  <si>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</si>
  <si>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</si>
  <si>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</si>
  <si>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</si>
  <si>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</si>
  <si>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</si>
  <si>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</si>
  <si>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</si>
  <si>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</si>
  <si>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</si>
  <si>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</si>
  <si>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</si>
  <si>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</si>
  <si>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</si>
  <si>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</si>
  <si>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</si>
  <si>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</si>
  <si>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</si>
  <si>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</si>
  <si>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</si>
  <si>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</si>
  <si>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</si>
  <si>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</si>
  <si>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</si>
  <si>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</si>
  <si>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</si>
  <si>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</si>
  <si>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</si>
  <si>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</si>
  <si>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</si>
  <si>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</si>
  <si>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</si>
  <si>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</si>
  <si>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</si>
  <si>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</si>
  <si>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</si>
  <si>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</si>
  <si>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</si>
  <si>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</si>
  <si>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</si>
  <si>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</si>
  <si>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</si>
  <si>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</si>
  <si>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</si>
  <si>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</si>
  <si>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</si>
  <si>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</si>
  <si>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</si>
  <si>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</si>
  <si>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</si>
  <si>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</si>
  <si>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</si>
  <si>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</si>
  <si>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</si>
  <si>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</si>
  <si>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</si>
  <si>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</si>
  <si>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</si>
  <si>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</si>
  <si>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</si>
  <si>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</si>
  <si>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</si>
  <si>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</si>
  <si>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</si>
  <si>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</si>
  <si>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</si>
  <si>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</si>
  <si>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</si>
  <si>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</si>
  <si>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</si>
  <si>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</si>
  <si>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</si>
  <si>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</si>
  <si>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</si>
  <si>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</si>
  <si>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</si>
  <si>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</si>
  <si>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</si>
  <si>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</si>
  <si>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</si>
  <si>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</si>
  <si>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</si>
  <si>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</si>
  <si>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</si>
  <si>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</si>
  <si>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</si>
  <si>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</si>
  <si>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</si>
  <si>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</si>
  <si>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</si>
  <si>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</si>
  <si>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</si>
  <si>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</si>
  <si>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</si>
  <si>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</si>
  <si>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</si>
  <si>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</si>
  <si>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</si>
  <si>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</si>
  <si>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</si>
  <si>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</si>
  <si>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</si>
  <si>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</si>
  <si>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</si>
  <si>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</si>
  <si>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</si>
  <si>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</si>
  <si>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</si>
  <si>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</si>
  <si>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</si>
  <si>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</si>
  <si>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</si>
  <si>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</si>
  <si>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</si>
  <si>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</si>
  <si>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</si>
  <si>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</si>
  <si>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</si>
  <si>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</si>
  <si>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</si>
  <si>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</si>
  <si>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</si>
  <si>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</si>
  <si>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</si>
  <si>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</si>
  <si>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</si>
  <si>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</si>
  <si>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</si>
  <si>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</si>
  <si>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</si>
  <si>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</si>
  <si>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</si>
  <si>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</si>
  <si>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</si>
  <si>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</si>
  <si>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</si>
  <si>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</si>
  <si>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</si>
  <si>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</si>
  <si>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</si>
  <si>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</si>
  <si>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</si>
  <si>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</si>
  <si>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</si>
  <si>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</si>
  <si>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</si>
  <si>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</si>
  <si>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</si>
  <si>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</si>
  <si>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</si>
  <si>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</si>
  <si>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</si>
  <si>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</si>
  <si>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</si>
  <si>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</si>
  <si>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</si>
  <si>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</si>
  <si>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</si>
  <si>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</si>
  <si>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</si>
  <si>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</si>
  <si>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</si>
  <si>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</si>
  <si>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</si>
  <si>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</si>
  <si>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</si>
  <si>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</si>
  <si>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</si>
  <si>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</si>
  <si>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</si>
  <si>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</si>
  <si>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</si>
  <si>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</si>
  <si>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</si>
  <si>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</si>
  <si>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</si>
  <si>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</si>
  <si>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</si>
  <si>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</si>
  <si>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</si>
  <si>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</si>
  <si>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</si>
  <si>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</si>
  <si>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</si>
  <si>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</si>
  <si>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</si>
  <si>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</si>
  <si>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</si>
  <si>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</si>
  <si>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</si>
  <si>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</si>
  <si>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</si>
  <si>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</si>
  <si>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</si>
  <si>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</si>
  <si>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</si>
  <si>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</si>
  <si>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</si>
  <si>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</si>
  <si>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</si>
  <si>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</si>
  <si>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</si>
  <si>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</si>
  <si>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</si>
  <si>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</si>
  <si>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</si>
  <si>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</si>
  <si>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</si>
  <si>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</si>
  <si>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</si>
  <si>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</si>
  <si>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</si>
  <si>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</si>
  <si>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</si>
  <si>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</si>
  <si>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</si>
  <si>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</si>
  <si>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</si>
  <si>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</si>
  <si>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</si>
  <si>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</si>
  <si>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</si>
  <si>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</si>
  <si>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</si>
  <si>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</si>
  <si>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</si>
  <si>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</si>
  <si>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</si>
  <si>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</si>
  <si>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</si>
  <si>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</si>
  <si>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</si>
  <si>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</si>
  <si>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</si>
  <si>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</si>
  <si>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</si>
  <si>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</si>
  <si>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</si>
  <si>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</si>
  <si>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</si>
  <si>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</si>
  <si>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</si>
  <si>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</si>
  <si>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</si>
  <si>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</si>
  <si>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</si>
  <si>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</si>
  <si>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</si>
  <si>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</si>
  <si>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</si>
  <si>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</si>
  <si>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</si>
  <si>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</si>
  <si>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</si>
  <si>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</si>
  <si>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</si>
  <si>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</si>
  <si>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</si>
  <si>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</si>
  <si>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</si>
  <si>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</si>
  <si>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</si>
  <si>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</si>
  <si>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</si>
  <si>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</si>
  <si>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</si>
  <si>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</si>
  <si>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</si>
  <si>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</si>
  <si>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</si>
  <si>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</si>
  <si>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</si>
  <si>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</si>
  <si>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</si>
  <si>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</si>
  <si>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</si>
  <si>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</si>
  <si>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</si>
  <si>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</si>
  <si>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</si>
  <si>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</si>
  <si>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</si>
  <si>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</si>
  <si>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</si>
  <si>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</si>
  <si>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</si>
  <si>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</si>
  <si>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</si>
  <si>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</si>
  <si>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</si>
  <si>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</si>
  <si>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</si>
  <si>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</si>
  <si>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</si>
  <si>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</si>
  <si>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</si>
  <si>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</si>
  <si>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</si>
  <si>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</si>
  <si>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</si>
  <si>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</si>
  <si>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</si>
  <si>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</si>
  <si>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</si>
  <si>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</si>
  <si>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</si>
  <si>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</si>
  <si>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</si>
  <si>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</si>
  <si>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</si>
  <si>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</si>
  <si>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</si>
  <si>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</si>
  <si>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</si>
  <si>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</si>
  <si>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</si>
  <si>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</si>
  <si>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</si>
  <si>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</si>
  <si>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</si>
  <si>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</si>
  <si>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</si>
  <si>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</si>
  <si>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</si>
  <si>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</si>
  <si>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</si>
  <si>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</si>
  <si>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</si>
  <si>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</si>
  <si>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</si>
  <si>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</si>
  <si>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</si>
  <si>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</si>
  <si>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</si>
  <si>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</si>
  <si>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</si>
  <si>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</si>
  <si>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</si>
  <si>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</si>
  <si>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</si>
  <si>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</si>
  <si>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</si>
  <si>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</si>
  <si>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</si>
  <si>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</si>
  <si>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</si>
  <si>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</si>
  <si>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</si>
  <si>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</si>
  <si>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</si>
  <si>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</si>
  <si>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</si>
  <si>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</si>
  <si>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</si>
  <si>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</si>
  <si>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</si>
  <si>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</si>
  <si>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</si>
  <si>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</si>
  <si>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</si>
  <si>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</si>
  <si>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</si>
  <si>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</si>
  <si>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</si>
  <si>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</si>
  <si>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</si>
  <si>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</si>
  <si>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</si>
  <si>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</si>
  <si>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</si>
  <si>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</si>
  <si>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</si>
  <si>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</si>
  <si>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</si>
  <si>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</si>
  <si>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</si>
  <si>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</si>
  <si>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</si>
  <si>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</si>
  <si>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</si>
  <si>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</si>
  <si>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</si>
  <si>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</si>
  <si>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</si>
  <si>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</si>
  <si>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</si>
  <si>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</si>
  <si>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</si>
  <si>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</si>
  <si>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</si>
  <si>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</si>
  <si>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</si>
  <si>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</si>
  <si>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</si>
  <si>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</si>
  <si>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</si>
  <si>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</si>
  <si>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</si>
  <si>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</si>
  <si>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</si>
  <si>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</si>
  <si>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</si>
  <si>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</si>
  <si>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</si>
  <si>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</si>
  <si>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</si>
  <si>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</si>
  <si>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</si>
  <si>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</si>
  <si>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</si>
  <si>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</si>
  <si>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</si>
  <si>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</si>
  <si>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</si>
  <si>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</si>
  <si>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</si>
  <si>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</si>
  <si>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</si>
  <si>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</si>
  <si>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</si>
  <si>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</si>
  <si>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</si>
  <si>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</si>
  <si>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</si>
  <si>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</si>
  <si>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</si>
  <si>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</si>
  <si>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</si>
  <si>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</si>
  <si>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</si>
  <si>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</si>
  <si>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</si>
  <si>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</si>
  <si>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</si>
  <si>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</si>
  <si>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</si>
  <si>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</si>
  <si>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</si>
  <si>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</si>
  <si>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</si>
  <si>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</si>
  <si>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</si>
  <si>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</si>
  <si>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</si>
  <si>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</si>
  <si>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</si>
  <si>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</si>
  <si>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</si>
  <si>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</si>
  <si>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</si>
  <si>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</si>
  <si>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</si>
  <si>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</si>
  <si>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</si>
  <si>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</si>
  <si>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</si>
  <si>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</si>
  <si>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</si>
  <si>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</si>
  <si>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</si>
  <si>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</si>
  <si>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</si>
  <si>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</si>
  <si>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</si>
  <si>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</si>
  <si>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</si>
  <si>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</si>
  <si>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</si>
  <si>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</si>
  <si>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</si>
  <si>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</si>
  <si>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</si>
  <si>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</si>
  <si>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</si>
  <si>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</si>
  <si>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</si>
  <si>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</si>
  <si>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</si>
  <si>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</si>
  <si>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</si>
  <si>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</si>
  <si>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</si>
  <si>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</si>
  <si>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</si>
  <si>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</si>
  <si>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</si>
  <si>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</si>
  <si>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</si>
  <si>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</si>
  <si>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</si>
  <si>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</si>
  <si>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</si>
  <si>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</si>
  <si>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</si>
  <si>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</si>
  <si>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</si>
  <si>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</si>
  <si>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</si>
  <si>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</si>
  <si>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</si>
  <si>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</si>
  <si>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</si>
  <si>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</si>
  <si>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</si>
  <si>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</si>
  <si>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</si>
  <si>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</si>
  <si>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</si>
  <si>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</si>
  <si>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</si>
  <si>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</si>
  <si>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</si>
  <si>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</si>
  <si>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</si>
  <si>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</si>
  <si>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</si>
  <si>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</si>
  <si>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</si>
  <si>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</si>
  <si>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</si>
  <si>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</si>
  <si>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</si>
  <si>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</si>
  <si>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</si>
  <si>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</si>
  <si>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</si>
  <si>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</si>
  <si>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</si>
  <si>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</si>
  <si>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</si>
  <si>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</si>
  <si>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</si>
  <si>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</si>
  <si>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</si>
  <si>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</si>
  <si>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</si>
  <si>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</si>
  <si>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</si>
  <si>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</si>
  <si>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</si>
  <si>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</si>
  <si>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</si>
  <si>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</si>
  <si>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</si>
  <si>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</si>
  <si>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</si>
  <si>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</si>
  <si>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</si>
  <si>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</si>
  <si>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</si>
  <si>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</si>
  <si>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</si>
  <si>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</si>
  <si>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</si>
  <si>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</si>
  <si>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</si>
  <si>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</si>
  <si>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</si>
  <si>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</si>
  <si>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</si>
  <si>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</si>
  <si>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</si>
  <si>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</si>
  <si>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</si>
  <si>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</si>
  <si>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</si>
  <si>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</si>
  <si>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</si>
  <si>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</si>
  <si>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</si>
  <si>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</si>
  <si>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</si>
  <si>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</si>
  <si>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</si>
  <si>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</si>
  <si>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</si>
  <si>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</si>
  <si>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</si>
  <si>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</si>
  <si>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</si>
  <si>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</si>
  <si>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</si>
  <si>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</si>
  <si>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</si>
  <si>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</si>
  <si>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</si>
  <si>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</si>
  <si>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</si>
  <si>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</si>
  <si>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</si>
  <si>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</si>
  <si>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</si>
  <si>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</si>
  <si>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</si>
  <si>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</si>
  <si>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</si>
  <si>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</si>
  <si>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</si>
  <si>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</si>
  <si>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</si>
  <si>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</si>
  <si>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</si>
  <si>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</si>
  <si>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</si>
  <si>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</si>
  <si>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</si>
  <si>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</si>
  <si>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</si>
  <si>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</si>
  <si>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</si>
  <si>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</si>
  <si>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</si>
  <si>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</si>
  <si>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</si>
  <si>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</si>
  <si>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</si>
  <si>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</si>
  <si>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</si>
  <si>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</si>
  <si>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</si>
  <si>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</si>
  <si>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</si>
  <si>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</si>
  <si>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</si>
  <si>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</si>
  <si>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</si>
  <si>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</si>
  <si>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</si>
  <si>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</si>
  <si>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</si>
  <si>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</si>
  <si>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</si>
  <si>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</si>
  <si>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</si>
  <si>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</si>
  <si>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</si>
  <si>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</si>
  <si>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</si>
  <si>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</si>
  <si>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</si>
  <si>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</si>
  <si>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</si>
  <si>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</si>
  <si>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</si>
  <si>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</si>
  <si>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</si>
  <si>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</si>
  <si>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</si>
  <si>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</si>
  <si>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</si>
  <si>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</si>
  <si>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</si>
  <si>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</si>
  <si>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</si>
  <si>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</si>
  <si>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</si>
  <si>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</si>
  <si>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</si>
  <si>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</si>
  <si>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</si>
  <si>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</si>
  <si>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</si>
  <si>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</si>
  <si>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</si>
  <si>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</si>
  <si>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</si>
  <si>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</si>
  <si>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</si>
  <si>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</si>
  <si>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</si>
  <si>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</si>
  <si>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</si>
  <si>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</si>
  <si>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</si>
  <si>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</si>
  <si>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</si>
  <si>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</si>
  <si>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</si>
  <si>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</si>
  <si>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</si>
  <si>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</si>
  <si>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</si>
  <si>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</si>
  <si>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</si>
  <si>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</si>
  <si>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</si>
  <si>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</si>
  <si>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</si>
  <si>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</si>
  <si>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</si>
  <si>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</si>
  <si>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</si>
  <si>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</si>
  <si>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</si>
  <si>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</si>
  <si>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</si>
  <si>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</si>
  <si>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</si>
  <si>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</si>
  <si>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</si>
  <si>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</si>
  <si>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</si>
  <si>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</si>
  <si>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</si>
  <si>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</si>
  <si>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</si>
  <si>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</si>
  <si>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</si>
  <si>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</si>
  <si>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</si>
  <si>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</si>
  <si>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</si>
  <si>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</si>
  <si>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</si>
  <si>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</si>
  <si>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</si>
  <si>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</si>
  <si>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</si>
  <si>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</si>
  <si>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</si>
  <si>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</si>
  <si>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</si>
  <si>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</si>
  <si>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</si>
  <si>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</si>
  <si>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</si>
  <si>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</si>
  <si>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</si>
  <si>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</si>
  <si>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</si>
  <si>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</si>
  <si>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</si>
  <si>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</si>
  <si>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</si>
  <si>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</si>
  <si>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</si>
  <si>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</si>
  <si>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</si>
  <si>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</si>
  <si>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</si>
  <si>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</si>
  <si>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</si>
  <si>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</si>
  <si>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</si>
  <si>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</si>
  <si>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</si>
  <si>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</si>
  <si>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</si>
  <si>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</si>
  <si>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</si>
  <si>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</si>
  <si>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</si>
  <si>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</si>
  <si>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</si>
  <si>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</si>
  <si>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</si>
  <si>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</si>
  <si>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</si>
  <si>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</si>
  <si>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</si>
  <si>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</si>
  <si>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</si>
  <si>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</si>
  <si>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</si>
  <si>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</si>
  <si>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</si>
  <si>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</si>
  <si>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</si>
  <si>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</si>
  <si>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</si>
  <si>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</si>
  <si>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</si>
  <si>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</si>
  <si>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</si>
  <si>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</si>
  <si>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</si>
  <si>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</si>
  <si>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</si>
  <si>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</si>
  <si>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</si>
  <si>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</si>
  <si>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</si>
  <si>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</si>
  <si>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</si>
  <si>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</si>
  <si>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</si>
  <si>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</si>
  <si>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</si>
  <si>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</si>
  <si>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</si>
  <si>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</si>
  <si>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</si>
  <si>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</si>
  <si>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</si>
  <si>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</si>
  <si>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</si>
  <si>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</si>
  <si>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</si>
  <si>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</si>
  <si>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</si>
  <si>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</si>
  <si>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</si>
  <si>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</si>
  <si>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</si>
  <si>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</si>
  <si>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</si>
  <si>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</si>
  <si>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</si>
  <si>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</si>
  <si>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</si>
  <si>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</si>
  <si>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</si>
  <si>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</si>
  <si>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</si>
  <si>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</si>
  <si>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</si>
  <si>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</si>
  <si>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</si>
  <si>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</si>
  <si>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</si>
  <si>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</si>
  <si>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</si>
  <si>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</si>
  <si>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</si>
  <si>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</si>
  <si>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</si>
  <si>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</si>
  <si>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</si>
  <si>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</si>
  <si>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</si>
  <si>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</si>
  <si>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</si>
  <si>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</si>
  <si>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</si>
  <si>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</si>
  <si>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</si>
  <si>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</si>
  <si>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</si>
  <si>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</si>
  <si>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</si>
  <si>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</si>
  <si>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</si>
  <si>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</si>
  <si>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</si>
  <si>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</si>
  <si>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</si>
  <si>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</si>
  <si>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</si>
  <si>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</si>
  <si>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</si>
  <si>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</si>
  <si>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</si>
  <si>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</si>
  <si>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</si>
  <si>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</si>
  <si>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</si>
  <si>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</si>
  <si>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</si>
  <si>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</si>
  <si>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</si>
  <si>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</si>
  <si>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</si>
  <si>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</si>
  <si>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</si>
  <si>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</si>
  <si>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</si>
  <si>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</si>
  <si>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</si>
  <si>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</si>
  <si>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</si>
  <si>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</si>
  <si>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</si>
  <si>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</si>
  <si>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</si>
  <si>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</si>
  <si>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</si>
  <si>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</si>
  <si>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</si>
  <si>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</si>
  <si>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</si>
  <si>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</si>
  <si>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</si>
  <si>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</si>
  <si>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</si>
  <si>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</si>
  <si>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</si>
  <si>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</si>
  <si>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</si>
  <si>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</si>
  <si>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</si>
  <si>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</si>
  <si>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</si>
  <si>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</si>
  <si>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</si>
  <si>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</si>
  <si>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</si>
  <si>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</si>
  <si>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</si>
  <si>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</si>
  <si>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</si>
  <si>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</si>
  <si>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</si>
  <si>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</si>
  <si>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</si>
  <si>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</si>
  <si>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</si>
  <si>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</si>
  <si>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</si>
  <si>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</si>
  <si>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</si>
  <si>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</si>
  <si>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</si>
  <si>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</si>
  <si>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</si>
  <si>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</si>
  <si>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</si>
  <si>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</si>
  <si>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</si>
  <si>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</si>
  <si>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</si>
  <si>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</si>
  <si>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</si>
  <si>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</si>
  <si>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</si>
  <si>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</si>
  <si>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</si>
  <si>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</si>
  <si>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</si>
  <si>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</si>
  <si>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</si>
  <si>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</si>
  <si>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</si>
  <si>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</si>
  <si>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</si>
  <si>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</si>
  <si>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</si>
  <si>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</si>
  <si>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</si>
  <si>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</si>
  <si>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</si>
  <si>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</si>
  <si>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</si>
  <si>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</si>
  <si>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</si>
  <si>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</si>
  <si>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</si>
  <si>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</si>
  <si>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</si>
  <si>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</si>
  <si>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</si>
  <si>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</si>
  <si>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</si>
  <si>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</si>
  <si>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</si>
  <si>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</si>
  <si>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</si>
  <si>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</si>
  <si>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</si>
  <si>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</si>
  <si>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</si>
  <si>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</si>
  <si>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</si>
  <si>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</si>
  <si>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</si>
  <si>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</si>
  <si>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</si>
  <si>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</si>
  <si>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</si>
  <si>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</si>
  <si>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</si>
  <si>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</si>
  <si>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</si>
  <si>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</si>
  <si>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</si>
  <si>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</si>
  <si>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</si>
  <si>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</si>
  <si>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</si>
  <si>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</si>
  <si>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</si>
  <si>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</si>
  <si>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</si>
  <si>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</si>
  <si>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</si>
  <si>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</si>
  <si>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</si>
  <si>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</si>
  <si>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</si>
  <si>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</si>
  <si>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</si>
  <si>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</si>
  <si>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</si>
  <si>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</si>
  <si>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</si>
  <si>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</si>
  <si>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</si>
  <si>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</si>
  <si>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</si>
  <si>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</si>
  <si>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</si>
  <si>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</si>
  <si>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</si>
  <si>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</si>
  <si>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</si>
  <si>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</si>
  <si>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</si>
  <si>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</si>
  <si>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</si>
  <si>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</si>
  <si>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</si>
  <si>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</si>
  <si>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</si>
  <si>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</si>
  <si>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</si>
  <si>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</si>
  <si>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</si>
  <si>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</si>
  <si>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</si>
  <si>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</si>
  <si>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</si>
  <si>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</si>
  <si>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</si>
  <si>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</si>
  <si>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</si>
  <si>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</si>
  <si>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</si>
  <si>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</si>
  <si>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</si>
  <si>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</si>
  <si>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</si>
  <si>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</si>
  <si>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</si>
  <si>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</si>
  <si>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</si>
  <si>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</si>
  <si>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</si>
  <si>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</si>
  <si>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</si>
  <si>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</si>
  <si>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</si>
  <si>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</si>
  <si>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</si>
  <si>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</si>
  <si>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</si>
  <si>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</si>
  <si>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</si>
  <si>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</si>
  <si>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</si>
  <si>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</si>
  <si>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</si>
  <si>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</si>
  <si>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</si>
  <si>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</si>
  <si>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</si>
  <si>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</si>
  <si>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</si>
  <si>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</si>
  <si>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</si>
  <si>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</si>
  <si>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</si>
  <si>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</si>
  <si>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</si>
  <si>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</si>
  <si>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</si>
  <si>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</si>
  <si>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</si>
  <si>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</si>
  <si>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</si>
  <si>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</si>
  <si>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</si>
  <si>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</si>
  <si>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</si>
  <si>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</si>
  <si>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</si>
  <si>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</si>
  <si>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</si>
  <si>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</si>
  <si>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</si>
  <si>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</si>
  <si>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</si>
  <si>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</si>
  <si>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</si>
  <si>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</si>
  <si>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</si>
  <si>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</si>
  <si>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</si>
  <si>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</si>
  <si>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</si>
  <si>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</si>
  <si>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</si>
  <si>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</si>
  <si>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</si>
  <si>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</si>
  <si>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</si>
  <si>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</si>
  <si>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</si>
  <si>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</si>
  <si>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</si>
  <si>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</si>
  <si>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</si>
  <si>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</si>
  <si>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</si>
  <si>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</si>
  <si>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</si>
  <si>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</si>
  <si>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</si>
  <si>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</si>
  <si>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</si>
  <si>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</si>
  <si>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</si>
  <si>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</si>
  <si>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</si>
  <si>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</si>
  <si>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</si>
  <si>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</si>
  <si>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</si>
  <si>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</si>
  <si>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</si>
  <si>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</si>
  <si>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</si>
  <si>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</si>
  <si>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</si>
  <si>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</si>
  <si>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</si>
  <si>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</si>
  <si>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</si>
  <si>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</si>
  <si>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</si>
  <si>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</si>
  <si>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</si>
  <si>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</si>
  <si>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</si>
  <si>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</si>
  <si>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</si>
  <si>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</si>
  <si>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</si>
  <si>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</si>
  <si>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</si>
  <si>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</si>
  <si>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</si>
  <si>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</si>
  <si>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</si>
  <si>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</si>
  <si>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</si>
  <si>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</si>
  <si>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</si>
  <si>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</si>
  <si>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</si>
  <si>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</si>
  <si>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</si>
  <si>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</si>
  <si>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</si>
  <si>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</si>
  <si>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</si>
  <si>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</si>
  <si>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</si>
  <si>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</si>
  <si>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</si>
  <si>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</si>
  <si>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</si>
  <si>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</si>
  <si>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</si>
  <si>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</si>
  <si>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</si>
  <si>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</si>
  <si>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</si>
  <si>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</si>
  <si>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</si>
  <si>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</si>
  <si>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</si>
  <si>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</si>
  <si>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</si>
  <si>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</si>
  <si>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</si>
  <si>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</si>
  <si>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</si>
  <si>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</si>
  <si>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</si>
  <si>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</si>
  <si>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</si>
  <si>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</si>
  <si>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</si>
  <si>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</si>
  <si>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</si>
  <si>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</si>
  <si>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</si>
  <si>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</si>
  <si>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</si>
  <si>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</si>
  <si>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</si>
  <si>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</si>
  <si>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</si>
  <si>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</si>
  <si>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</si>
  <si>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</si>
  <si>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</si>
  <si>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</si>
  <si>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</si>
  <si>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</si>
  <si>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</si>
  <si>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</si>
  <si>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</si>
  <si>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</si>
  <si>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</si>
  <si>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</si>
  <si>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</si>
  <si>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</si>
  <si>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</si>
  <si>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</si>
  <si>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</si>
  <si>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</si>
  <si>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</si>
  <si>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</si>
  <si>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</si>
  <si>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</si>
  <si>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</si>
  <si>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</si>
  <si>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</si>
  <si>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</si>
  <si>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</si>
  <si>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</si>
  <si>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</si>
  <si>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</si>
  <si>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</si>
  <si>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</si>
  <si>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</si>
  <si>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</si>
  <si>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</si>
  <si>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</si>
  <si>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</si>
  <si>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</si>
  <si>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</si>
  <si>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</si>
  <si>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</si>
  <si>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</si>
  <si>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</si>
  <si>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</si>
  <si>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</si>
  <si>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</si>
  <si>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</si>
  <si>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</si>
  <si>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</si>
  <si>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</si>
  <si>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</si>
  <si>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</si>
  <si>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</si>
  <si>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</si>
  <si>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</si>
  <si>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</si>
  <si>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</si>
  <si>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</si>
  <si>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</si>
  <si>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</si>
  <si>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</si>
  <si>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</si>
  <si>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</si>
  <si>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</si>
  <si>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</si>
  <si>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</si>
  <si>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</si>
  <si>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</si>
  <si>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</si>
  <si>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</si>
  <si>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</si>
  <si>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</si>
  <si>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</si>
  <si>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</si>
  <si>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</si>
  <si>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</si>
  <si>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</si>
  <si>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</si>
  <si>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</si>
  <si>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</si>
  <si>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</si>
  <si>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</si>
  <si>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</si>
  <si>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</si>
  <si>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</si>
  <si>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</si>
  <si>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</si>
  <si>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</si>
  <si>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</si>
  <si>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</si>
  <si>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</si>
  <si>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</si>
  <si>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</si>
  <si>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</si>
  <si>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</si>
  <si>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</si>
  <si>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</si>
  <si>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</si>
  <si>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</si>
  <si>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</si>
  <si>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</si>
  <si>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</si>
  <si>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</si>
  <si>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</si>
  <si>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</si>
  <si>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</si>
  <si>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</si>
  <si>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</si>
  <si>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</si>
  <si>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</si>
  <si>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</si>
  <si>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</si>
  <si>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</si>
  <si>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</si>
  <si>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</si>
  <si>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</si>
  <si>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</si>
  <si>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</si>
  <si>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</si>
  <si>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</si>
  <si>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</si>
  <si>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</si>
  <si>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</si>
  <si>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</si>
  <si>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</si>
  <si>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</si>
  <si>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</si>
  <si>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</si>
  <si>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</si>
  <si>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</si>
  <si>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</si>
  <si>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</si>
  <si>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</si>
  <si>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</si>
  <si>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</si>
  <si>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</si>
  <si>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</si>
  <si>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</si>
  <si>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</si>
  <si>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</si>
  <si>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</si>
  <si>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</si>
  <si>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</si>
  <si>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</si>
  <si>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</si>
  <si>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</si>
  <si>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</si>
  <si>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</si>
  <si>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</si>
  <si>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</si>
  <si>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</si>
  <si>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</si>
  <si>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</si>
  <si>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</si>
  <si>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</si>
  <si>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</si>
  <si>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</si>
  <si>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</si>
  <si>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</si>
  <si>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</si>
  <si>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</si>
  <si>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</si>
  <si>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</si>
  <si>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</si>
  <si>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</si>
  <si>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</si>
  <si>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</si>
  <si>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</si>
  <si>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</si>
  <si>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</si>
  <si>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</si>
  <si>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</si>
  <si>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</si>
  <si>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</si>
  <si>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</si>
  <si>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</si>
  <si>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</si>
  <si>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</si>
  <si>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</si>
  <si>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</si>
  <si>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</si>
  <si>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</si>
  <si>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</si>
  <si>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</si>
  <si>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</si>
  <si>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</si>
  <si>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</si>
  <si>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</si>
  <si>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</si>
  <si>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</si>
  <si>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</si>
  <si>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</si>
  <si>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</si>
  <si>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</si>
  <si>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</si>
  <si>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</si>
  <si>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</si>
  <si>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</si>
  <si>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</si>
  <si>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</si>
  <si>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</si>
  <si>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</si>
  <si>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</si>
  <si>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</si>
  <si>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</si>
  <si>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</si>
  <si>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</si>
  <si>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</si>
  <si>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</si>
  <si>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</si>
  <si>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</si>
  <si>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</si>
  <si>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</si>
  <si>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</si>
  <si>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</si>
  <si>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</si>
  <si>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</si>
  <si>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</si>
  <si>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</si>
  <si>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</si>
  <si>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</si>
  <si>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</si>
  <si>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</si>
  <si>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</si>
  <si>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</si>
  <si>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</si>
  <si>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</si>
  <si>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</si>
  <si>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</si>
  <si>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</si>
  <si>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</si>
  <si>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</si>
  <si>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</si>
  <si>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</si>
  <si>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</si>
  <si>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</si>
  <si>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</si>
  <si>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</si>
  <si>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</si>
  <si>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</si>
  <si>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</si>
  <si>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</si>
  <si>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</si>
  <si>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</si>
  <si>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</si>
  <si>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</si>
  <si>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</si>
  <si>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</si>
  <si>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</si>
  <si>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</si>
  <si>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</si>
  <si>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</si>
  <si>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</si>
  <si>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</si>
  <si>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</si>
  <si>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</si>
  <si>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</si>
  <si>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</si>
  <si>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</si>
  <si>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</si>
  <si>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</si>
  <si>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</si>
  <si>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</si>
  <si>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</si>
  <si>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</si>
  <si>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</si>
  <si>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</si>
  <si>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</si>
  <si>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</si>
  <si>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</si>
  <si>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</si>
  <si>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</si>
  <si>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</si>
  <si>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</si>
  <si>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</si>
  <si>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</si>
  <si>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</si>
  <si>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</si>
  <si>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</si>
  <si>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</si>
  <si>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</si>
  <si>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</si>
  <si>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</si>
  <si>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</si>
  <si>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</si>
  <si>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</si>
  <si>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</si>
  <si>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</si>
  <si>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</si>
  <si>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</si>
  <si>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</si>
  <si>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</si>
  <si>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</si>
  <si>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</si>
  <si>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</si>
  <si>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</si>
  <si>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</si>
  <si>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</si>
  <si>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</si>
  <si>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</si>
  <si>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</si>
  <si>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</si>
  <si>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</si>
  <si>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</si>
  <si>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</si>
  <si>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</si>
  <si>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</si>
  <si>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</si>
  <si>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</si>
  <si>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</si>
  <si>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</si>
  <si>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</si>
  <si>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</si>
  <si>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</si>
  <si>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</si>
  <si>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</si>
  <si>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</si>
  <si>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</si>
  <si>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</si>
  <si>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</si>
  <si>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</si>
  <si>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</si>
  <si>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</si>
  <si>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</si>
  <si>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</si>
  <si>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</si>
  <si>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</si>
  <si>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</si>
  <si>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</si>
  <si>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</si>
  <si>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</si>
  <si>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</si>
  <si>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</si>
  <si>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</si>
  <si>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</si>
  <si>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</si>
  <si>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</si>
  <si>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</si>
  <si>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</si>
  <si>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</si>
  <si>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</si>
  <si>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</si>
  <si>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</si>
  <si>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</si>
  <si>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</si>
  <si>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</si>
  <si>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</si>
  <si>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</si>
  <si>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</si>
  <si>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</si>
  <si>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</si>
  <si>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</si>
  <si>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</si>
  <si>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</si>
  <si>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</si>
  <si>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</si>
  <si>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</si>
  <si>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</si>
  <si>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</si>
  <si>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</si>
  <si>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</si>
  <si>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</si>
  <si>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</si>
  <si>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</si>
  <si>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</si>
  <si>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</si>
  <si>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</si>
  <si>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</si>
  <si>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</si>
  <si>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</si>
  <si>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</si>
  <si>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</si>
  <si>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</si>
  <si>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</si>
  <si>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</si>
  <si>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</si>
  <si>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</si>
  <si>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</si>
  <si>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</si>
  <si>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</si>
  <si>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</si>
  <si>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</si>
  <si>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</si>
  <si>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</si>
  <si>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</si>
  <si>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</si>
  <si>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</si>
  <si>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</si>
  <si>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</si>
  <si>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</si>
  <si>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</si>
  <si>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</si>
  <si>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</si>
  <si>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</si>
  <si>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</si>
  <si>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</si>
  <si>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</si>
  <si>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</si>
  <si>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</si>
  <si>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</si>
  <si>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</si>
  <si>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</si>
  <si>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</si>
  <si>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</si>
  <si>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</si>
  <si>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</si>
  <si>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</si>
  <si>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</si>
  <si>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</si>
  <si>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</si>
  <si>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</si>
  <si>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</si>
  <si>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</si>
  <si>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</si>
  <si>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</si>
  <si>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</si>
  <si>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</si>
  <si>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</si>
  <si>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</si>
  <si>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</si>
  <si>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</si>
  <si>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</si>
  <si>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</si>
  <si>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</si>
  <si>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</si>
  <si>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</si>
  <si>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</si>
  <si>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</si>
  <si>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</si>
  <si>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</si>
  <si>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</si>
  <si>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</si>
  <si>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</si>
  <si>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</si>
  <si>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</si>
  <si>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</si>
  <si>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</si>
  <si>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</si>
  <si>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</si>
  <si>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</si>
  <si>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</si>
  <si>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</si>
  <si>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</si>
  <si>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</si>
  <si>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</si>
  <si>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</si>
  <si>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</si>
  <si>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</si>
  <si>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</si>
  <si>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</si>
  <si>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</si>
  <si>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</si>
  <si>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</si>
  <si>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</si>
  <si>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</si>
  <si>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</si>
  <si>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</si>
  <si>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</si>
  <si>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</si>
  <si>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</si>
  <si>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</si>
  <si>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</si>
  <si>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</si>
  <si>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</si>
  <si>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</si>
  <si>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</si>
  <si>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</si>
  <si>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</si>
  <si>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</si>
  <si>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</si>
  <si>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</si>
  <si>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</si>
  <si>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</si>
  <si>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</si>
  <si>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</si>
  <si>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</si>
  <si>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</si>
  <si>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</si>
  <si>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</si>
  <si>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</si>
  <si>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</si>
  <si>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</si>
  <si>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</si>
  <si>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</si>
  <si>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</si>
  <si>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</si>
  <si>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</si>
  <si>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</si>
  <si>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</si>
  <si>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</si>
  <si>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</si>
  <si>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</si>
  <si>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</si>
  <si>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</si>
  <si>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</si>
  <si>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</si>
  <si>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</si>
  <si>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</si>
  <si>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</si>
  <si>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</si>
  <si>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</si>
  <si>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</si>
  <si>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</si>
  <si>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</si>
  <si>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</si>
  <si>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</si>
  <si>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</si>
  <si>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</si>
  <si>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</si>
  <si>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</si>
  <si>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</si>
  <si>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</si>
  <si>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</si>
  <si>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</si>
  <si>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</si>
  <si>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</si>
  <si>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</si>
  <si>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</si>
  <si>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</si>
  <si>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</si>
  <si>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</si>
  <si>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</si>
  <si>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</si>
  <si>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</si>
  <si>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</si>
  <si>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</si>
  <si>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</si>
  <si>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</si>
  <si>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</si>
  <si>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</si>
  <si>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</si>
  <si>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</si>
  <si>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</si>
  <si>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</si>
  <si>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</si>
  <si>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</si>
  <si>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</si>
  <si>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</si>
  <si>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</si>
  <si>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</si>
  <si>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</si>
  <si>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</si>
  <si>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</si>
  <si>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</si>
  <si>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</si>
  <si>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</si>
  <si>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</si>
  <si>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</si>
  <si>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</si>
  <si>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</si>
  <si>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</si>
  <si>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</si>
  <si>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</si>
  <si>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</si>
  <si>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</si>
  <si>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</si>
  <si>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</si>
  <si>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</si>
  <si>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</si>
  <si>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</si>
  <si>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</si>
  <si>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</si>
  <si>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</si>
  <si>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</si>
  <si>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</si>
  <si>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</si>
  <si>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</si>
  <si>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</si>
  <si>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</si>
  <si>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</si>
  <si>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</si>
  <si>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</si>
  <si>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</si>
  <si>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</si>
  <si>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</si>
  <si>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</si>
  <si>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</si>
  <si>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</si>
  <si>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</si>
  <si>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</si>
  <si>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</si>
  <si>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</si>
  <si>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</si>
  <si>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</si>
  <si>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</si>
  <si>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</si>
  <si>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</si>
  <si>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</si>
  <si>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</si>
  <si>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</si>
  <si>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</si>
  <si>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</si>
  <si>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</si>
  <si>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</si>
  <si>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</si>
  <si>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</si>
  <si>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</si>
  <si>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</si>
  <si>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</si>
  <si>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</si>
  <si>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</si>
  <si>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</si>
  <si>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</si>
  <si>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</si>
  <si>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</si>
  <si>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</si>
  <si>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</si>
  <si>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</si>
  <si>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</si>
  <si>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</si>
  <si>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</si>
  <si>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</si>
  <si>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</si>
  <si>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</si>
  <si>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</si>
  <si>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</si>
  <si>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</si>
  <si>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</si>
  <si>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</si>
  <si>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</si>
  <si>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</si>
  <si>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</si>
  <si>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</si>
  <si>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</si>
  <si>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</si>
  <si>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</si>
  <si>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</si>
  <si>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</si>
  <si>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</si>
  <si>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</si>
  <si>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</si>
  <si>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</si>
  <si>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</si>
  <si>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</si>
  <si>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</si>
  <si>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</si>
  <si>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</si>
  <si>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</si>
  <si>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</si>
  <si>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</si>
  <si>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</si>
  <si>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</si>
  <si>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</si>
  <si>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</si>
  <si>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</si>
  <si>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</si>
  <si>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</si>
  <si>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</si>
  <si>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</si>
  <si>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</si>
  <si>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</si>
  <si>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</si>
  <si>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</si>
  <si>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</si>
  <si>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</si>
  <si>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</si>
  <si>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</si>
  <si>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</si>
  <si>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</si>
  <si>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</si>
  <si>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</si>
  <si>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</si>
  <si>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</si>
  <si>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</si>
  <si>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</si>
  <si>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</si>
  <si>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</si>
  <si>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</si>
  <si>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</si>
  <si>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</si>
  <si>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</si>
  <si>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</si>
  <si>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</si>
  <si>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</si>
  <si>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</si>
  <si>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</si>
  <si>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</si>
  <si>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</si>
  <si>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</si>
  <si>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</si>
  <si>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</si>
  <si>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</si>
  <si>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</si>
  <si>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</si>
  <si>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</si>
  <si>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</si>
  <si>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</si>
  <si>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</si>
  <si>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</si>
  <si>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</si>
  <si>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</si>
  <si>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</si>
  <si>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</si>
  <si>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</si>
  <si>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</si>
  <si>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</si>
  <si>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</si>
  <si>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</si>
  <si>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</si>
  <si>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</si>
  <si>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</si>
  <si>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</si>
  <si>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</si>
  <si>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</si>
  <si>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</si>
  <si>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</si>
  <si>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</si>
  <si>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</si>
  <si>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</si>
  <si>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</si>
  <si>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</si>
  <si>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</si>
  <si>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</si>
  <si>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</si>
  <si>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</si>
  <si>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</si>
  <si>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</si>
  <si>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</si>
  <si>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</si>
  <si>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</si>
  <si>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</si>
  <si>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</si>
  <si>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</si>
  <si>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</si>
  <si>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</si>
  <si>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</si>
  <si>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</si>
  <si>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</si>
  <si>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</si>
  <si>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</si>
  <si>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</si>
  <si>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</si>
  <si>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</si>
  <si>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</si>
  <si>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</si>
  <si>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</si>
  <si>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</si>
  <si>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</si>
  <si>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</si>
  <si>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</si>
  <si>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</si>
  <si>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</si>
  <si>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</si>
  <si>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</si>
  <si>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</si>
  <si>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</si>
  <si>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</si>
  <si>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</si>
  <si>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</si>
  <si>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</si>
  <si>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</si>
  <si>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</si>
  <si>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</si>
  <si>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</si>
  <si>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</si>
  <si>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</si>
  <si>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</si>
  <si>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</si>
  <si>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</si>
  <si>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</si>
  <si>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</si>
  <si>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</si>
  <si>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</si>
  <si>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</si>
  <si>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</si>
  <si>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</si>
  <si>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</si>
  <si>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</si>
  <si>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</si>
  <si>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</si>
  <si>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</si>
  <si>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</si>
  <si>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</si>
  <si>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</si>
  <si>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</si>
  <si>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</si>
  <si>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</si>
  <si>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</si>
  <si>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</si>
  <si>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</si>
  <si>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</si>
  <si>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</si>
  <si>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</si>
  <si>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</si>
  <si>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</si>
  <si>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</si>
  <si>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</si>
  <si>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</si>
  <si>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</si>
  <si>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</si>
  <si>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</si>
  <si>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</si>
  <si>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</si>
  <si>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</si>
  <si>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</si>
  <si>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</si>
  <si>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</si>
  <si>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</si>
  <si>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</si>
  <si>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</si>
  <si>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</si>
  <si>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</si>
  <si>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</si>
  <si>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</si>
  <si>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</si>
  <si>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</si>
  <si>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</si>
  <si>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</si>
  <si>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</si>
  <si>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</si>
  <si>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</si>
  <si>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</si>
  <si>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</si>
  <si>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</si>
  <si>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</si>
  <si>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</si>
  <si>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</si>
  <si>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</si>
  <si>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</si>
  <si>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</si>
  <si>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</si>
  <si>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</si>
  <si>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</si>
  <si>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</si>
  <si>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</si>
  <si>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</si>
  <si>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</si>
  <si>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</si>
  <si>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</si>
  <si>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</si>
  <si>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</si>
  <si>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</si>
  <si>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</si>
  <si>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</si>
  <si>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</si>
  <si>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</si>
  <si>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</si>
  <si>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</si>
  <si>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</si>
  <si>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</si>
  <si>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</si>
  <si>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</si>
  <si>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</si>
  <si>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</si>
  <si>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</si>
  <si>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</si>
  <si>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</si>
  <si>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</si>
  <si>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</si>
  <si>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</si>
  <si>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</si>
  <si>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</si>
  <si>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</si>
  <si>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</si>
  <si>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</si>
  <si>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</si>
  <si>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</si>
  <si>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</si>
  <si>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</si>
  <si>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</si>
  <si>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</si>
  <si>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</si>
  <si>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</si>
  <si>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</si>
  <si>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</si>
  <si>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</si>
  <si>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</si>
  <si>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</si>
  <si>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</si>
  <si>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</si>
  <si>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</si>
  <si>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</si>
  <si>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</si>
  <si>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</si>
  <si>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</si>
  <si>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</si>
  <si>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</si>
  <si>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</si>
  <si>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</si>
  <si>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</si>
  <si>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</si>
  <si>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</si>
  <si>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</si>
  <si>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</si>
  <si>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</si>
  <si>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</si>
  <si>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</si>
  <si>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</si>
  <si>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</si>
  <si>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</si>
  <si>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</si>
  <si>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</si>
  <si>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</si>
  <si>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</si>
  <si>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</si>
  <si>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</si>
  <si>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</si>
  <si>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</si>
  <si>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</si>
  <si>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</si>
  <si>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</si>
  <si>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</si>
  <si>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</si>
  <si>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</si>
  <si>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</si>
  <si>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</si>
  <si>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</si>
  <si>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</si>
  <si>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</si>
  <si>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</si>
  <si>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</si>
  <si>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</si>
  <si>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</si>
  <si>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</si>
  <si>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</si>
  <si>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</si>
  <si>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</si>
  <si>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</si>
  <si>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</si>
  <si>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</si>
  <si>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</si>
  <si>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</si>
  <si>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</si>
  <si>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</si>
  <si>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</si>
  <si>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</si>
  <si>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</si>
  <si>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</si>
  <si>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</si>
  <si>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</si>
  <si>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</si>
  <si>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</si>
  <si>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</si>
  <si>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</si>
  <si>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</si>
  <si>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</si>
  <si>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</si>
  <si>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</si>
  <si>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</si>
  <si>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</si>
  <si>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</si>
  <si>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</si>
  <si>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</si>
  <si>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</si>
  <si>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</si>
  <si>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</si>
  <si>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</si>
  <si>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</si>
  <si>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</si>
  <si>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</si>
  <si>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</si>
  <si>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</si>
  <si>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</si>
  <si>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</si>
  <si>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</si>
  <si>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</si>
  <si>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</si>
  <si>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</si>
  <si>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</si>
  <si>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</si>
  <si>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</si>
  <si>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</si>
  <si>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</si>
  <si>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</si>
  <si>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</si>
  <si>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</si>
  <si>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</si>
  <si>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</si>
  <si>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</si>
  <si>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</si>
  <si>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</si>
  <si>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</si>
  <si>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</si>
  <si>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</si>
  <si>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</si>
  <si>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</si>
  <si>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</si>
  <si>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</si>
  <si>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</si>
  <si>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</si>
  <si>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</si>
  <si>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</si>
  <si>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</si>
  <si>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</si>
  <si>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</si>
  <si>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</si>
  <si>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</si>
  <si>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</si>
  <si>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</si>
  <si>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</si>
  <si>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</si>
  <si>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</si>
  <si>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</si>
  <si>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</si>
  <si>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</si>
  <si>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</si>
  <si>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</si>
  <si>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</si>
  <si>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</si>
  <si>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</si>
  <si>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</si>
  <si>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</si>
  <si>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</si>
  <si>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</si>
  <si>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</si>
  <si>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</si>
  <si>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</si>
  <si>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</si>
  <si>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</si>
  <si>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</si>
  <si>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</si>
  <si>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</si>
  <si>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</si>
  <si>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</si>
  <si>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</si>
  <si>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</si>
  <si>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</si>
  <si>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</si>
  <si>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</si>
  <si>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</si>
  <si>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</si>
  <si>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</si>
  <si>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</si>
  <si>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</si>
  <si>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</si>
  <si>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</si>
  <si>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</si>
  <si>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</si>
  <si>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</si>
  <si>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</si>
  <si>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</si>
  <si>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</si>
  <si>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</si>
  <si>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</si>
  <si>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</si>
  <si>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</si>
  <si>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</si>
  <si>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</si>
  <si>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</si>
  <si>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</si>
  <si>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</si>
  <si>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</si>
  <si>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</si>
  <si>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</si>
  <si>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</si>
  <si>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</si>
  <si>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</si>
  <si>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</si>
  <si>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</si>
  <si>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</si>
  <si>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</si>
  <si>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</si>
  <si>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</si>
  <si>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</si>
  <si>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</si>
  <si>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</si>
  <si>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</si>
  <si>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</si>
  <si>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</si>
  <si>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</si>
  <si>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</si>
  <si>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</si>
  <si>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</si>
  <si>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</si>
  <si>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</si>
  <si>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</si>
  <si>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</si>
  <si>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</si>
  <si>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</si>
  <si>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</si>
  <si>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</si>
  <si>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</si>
  <si>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</si>
  <si>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</si>
  <si>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</si>
  <si>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</si>
  <si>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</si>
  <si>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</si>
  <si>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</si>
  <si>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</si>
  <si>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</si>
  <si>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</si>
  <si>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</si>
  <si>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</si>
  <si>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</si>
  <si>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</si>
  <si>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</si>
  <si>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</si>
  <si>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</si>
  <si>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</si>
  <si>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</si>
  <si>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</si>
  <si>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</si>
  <si>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</si>
  <si>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</si>
  <si>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</si>
  <si>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</si>
  <si>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</si>
  <si>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</si>
  <si>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</si>
  <si>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</si>
  <si>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</si>
  <si>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</si>
  <si>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</si>
  <si>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</si>
  <si>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</si>
  <si>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</si>
  <si>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</si>
  <si>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</si>
  <si>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</si>
  <si>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</si>
  <si>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</si>
  <si>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</si>
  <si>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</si>
  <si>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</si>
  <si>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</si>
  <si>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</si>
  <si>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</si>
  <si>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</si>
  <si>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</si>
  <si>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</si>
  <si>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</si>
  <si>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</si>
  <si>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</si>
  <si>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</si>
  <si>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</si>
  <si>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</si>
  <si>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</si>
  <si>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</si>
  <si>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</si>
  <si>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</si>
  <si>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</si>
  <si>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</si>
  <si>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</si>
  <si>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</si>
  <si>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</si>
  <si>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</si>
  <si>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</si>
  <si>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</si>
  <si>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</si>
  <si>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</si>
  <si>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</si>
  <si>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</si>
  <si>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</si>
  <si>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</si>
  <si>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</si>
  <si>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</si>
  <si>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</si>
  <si>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</si>
  <si>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</si>
  <si>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</si>
  <si>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</si>
  <si>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</si>
  <si>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</si>
  <si>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</si>
  <si>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</si>
  <si>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</si>
  <si>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</si>
  <si>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</si>
  <si>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</si>
  <si>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</si>
  <si>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</si>
  <si>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</si>
  <si>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</si>
  <si>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</si>
  <si>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</si>
  <si>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</si>
  <si>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</si>
  <si>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</si>
  <si>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</si>
  <si>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</si>
  <si>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</si>
  <si>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</si>
  <si>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</si>
  <si>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</si>
  <si>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</si>
  <si>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</si>
  <si>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</si>
  <si>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</si>
  <si>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</si>
  <si>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</si>
  <si>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</si>
  <si>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</si>
  <si>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</si>
  <si>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</si>
  <si>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</si>
  <si>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</si>
  <si>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</si>
  <si>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</si>
  <si>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</si>
  <si>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</si>
  <si>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</si>
  <si>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</si>
  <si>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</si>
  <si>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</si>
  <si>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</si>
  <si>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</si>
  <si>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</si>
  <si>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</si>
  <si>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</si>
  <si>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</si>
  <si>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</si>
  <si>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</si>
  <si>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</si>
  <si>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</si>
  <si>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</si>
  <si>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</si>
  <si>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</si>
  <si>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</si>
  <si>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</si>
  <si>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</si>
  <si>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</si>
  <si>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</si>
  <si>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</si>
  <si>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</si>
  <si>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</si>
  <si>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</si>
  <si>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</si>
  <si>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</si>
  <si>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</si>
  <si>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</si>
  <si>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</si>
  <si>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</si>
  <si>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</si>
  <si>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</si>
  <si>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</si>
  <si>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</si>
  <si>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</si>
  <si>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</si>
  <si>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</si>
  <si>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</si>
  <si>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</si>
  <si>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</si>
  <si>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</si>
  <si>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</si>
  <si>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</si>
  <si>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</si>
  <si>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</si>
  <si>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</si>
  <si>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</si>
  <si>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</si>
  <si>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</si>
  <si>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</si>
  <si>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</si>
  <si>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</si>
  <si>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</si>
  <si>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</si>
  <si>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</si>
  <si>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</si>
  <si>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</si>
  <si>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</si>
  <si>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</si>
  <si>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</si>
  <si>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</si>
  <si>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</si>
  <si>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</si>
  <si>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</si>
  <si>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</si>
  <si>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</si>
  <si>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</si>
  <si>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</si>
  <si>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</si>
  <si>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</si>
  <si>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</si>
  <si>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</si>
  <si>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</si>
  <si>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</si>
  <si>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</si>
  <si>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</si>
  <si>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</si>
  <si>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</si>
  <si>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</si>
  <si>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</si>
  <si>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</si>
  <si>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</si>
  <si>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</si>
  <si>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</si>
  <si>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</si>
  <si>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</si>
  <si>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</si>
  <si>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</si>
  <si>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</si>
  <si>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</si>
  <si>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</si>
  <si>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</si>
  <si>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</si>
  <si>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</si>
  <si>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</si>
  <si>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</si>
  <si>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</si>
  <si>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</si>
  <si>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</si>
  <si>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</si>
  <si>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</si>
  <si>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</si>
  <si>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</si>
  <si>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</si>
  <si>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</si>
  <si>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</si>
  <si>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</si>
  <si>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</si>
  <si>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</si>
  <si>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</si>
  <si>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</si>
  <si>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</si>
  <si>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</si>
  <si>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</si>
  <si>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</si>
  <si>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</si>
  <si>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</si>
  <si>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</si>
  <si>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</si>
  <si>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</si>
  <si>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</si>
  <si>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</si>
  <si>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</si>
  <si>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</si>
  <si>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</si>
  <si>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</si>
  <si>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</si>
  <si>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</si>
  <si>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</si>
  <si>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</si>
  <si>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</si>
  <si>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</si>
  <si>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</si>
  <si>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</si>
  <si>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</si>
  <si>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</si>
  <si>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</si>
  <si>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</si>
  <si>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</si>
  <si>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</si>
  <si>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</si>
  <si>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</si>
  <si>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</si>
  <si>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</si>
  <si>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</si>
  <si>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</si>
  <si>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</si>
  <si>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</si>
  <si>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</si>
  <si>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</si>
  <si>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</si>
  <si>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</si>
  <si>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</si>
  <si>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</si>
  <si>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</si>
  <si>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</si>
  <si>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</si>
  <si>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</si>
  <si>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</si>
  <si>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</si>
  <si>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</si>
  <si>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</si>
  <si>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</si>
  <si>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</si>
  <si>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</si>
  <si>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</si>
  <si>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</si>
  <si>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</si>
  <si>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</si>
  <si>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</si>
  <si>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</si>
  <si>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</si>
  <si>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</si>
  <si>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</si>
  <si>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</si>
  <si>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</si>
  <si>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</si>
  <si>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</si>
  <si>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</si>
  <si>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</si>
  <si>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</si>
  <si>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</si>
  <si>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</si>
  <si>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</si>
  <si>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</si>
  <si>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</si>
  <si>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</si>
  <si>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</si>
  <si>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</si>
  <si>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</si>
  <si>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</si>
  <si>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</si>
  <si>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</si>
  <si>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</si>
  <si>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</si>
  <si>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</si>
  <si>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</si>
  <si>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</si>
  <si>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</si>
  <si>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</si>
  <si>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</si>
  <si>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</si>
  <si>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</si>
  <si>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</si>
  <si>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</si>
  <si>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</si>
  <si>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</si>
  <si>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</si>
  <si>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</si>
  <si>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</si>
  <si>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</si>
  <si>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</si>
  <si>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</si>
  <si>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</si>
  <si>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</si>
  <si>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</si>
  <si>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</si>
  <si>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</si>
  <si>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</si>
  <si>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</si>
  <si>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</si>
  <si>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</si>
  <si>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</si>
  <si>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</si>
  <si>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</si>
  <si>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</si>
  <si>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</si>
  <si>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</si>
  <si>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</si>
  <si>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</si>
  <si>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</si>
  <si>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</si>
  <si>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</si>
  <si>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</si>
  <si>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</si>
  <si>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</si>
  <si>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</si>
  <si>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</si>
  <si>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</si>
  <si>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</si>
  <si>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</si>
  <si>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</si>
  <si>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</si>
  <si>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</si>
  <si>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</si>
  <si>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</si>
  <si>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</si>
  <si>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</si>
  <si>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</si>
  <si>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</si>
  <si>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</si>
  <si>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</si>
  <si>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</si>
  <si>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</si>
  <si>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</si>
  <si>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</si>
  <si>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</si>
  <si>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</si>
  <si>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</si>
  <si>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</si>
  <si>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</si>
  <si>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</si>
  <si>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</si>
  <si>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</si>
  <si>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</si>
  <si>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</si>
  <si>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</si>
  <si>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</si>
  <si>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</si>
  <si>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</si>
  <si>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</si>
  <si>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</si>
  <si>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</si>
  <si>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</si>
  <si>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</si>
  <si>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</si>
  <si>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</si>
  <si>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</si>
  <si>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</si>
  <si>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</si>
  <si>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</si>
  <si>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</si>
  <si>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</si>
  <si>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</si>
  <si>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</si>
  <si>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</si>
  <si>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</si>
  <si>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</si>
  <si>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</si>
  <si>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</si>
  <si>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</si>
  <si>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</si>
  <si>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</si>
  <si>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</si>
  <si>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</si>
  <si>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</si>
  <si>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</si>
  <si>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</si>
  <si>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</si>
  <si>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</si>
  <si>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</si>
  <si>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</si>
  <si>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</si>
  <si>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</si>
  <si>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</si>
  <si>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</si>
  <si>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</si>
  <si>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</si>
  <si>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</si>
  <si>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</si>
  <si>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</si>
  <si>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</si>
  <si>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</si>
  <si>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</si>
  <si>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</si>
  <si>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</si>
  <si>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</si>
  <si>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</si>
  <si>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</si>
  <si>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</si>
  <si>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</si>
  <si>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</si>
  <si>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</si>
  <si>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</si>
  <si>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</si>
  <si>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</si>
  <si>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</si>
  <si>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</si>
  <si>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</si>
  <si>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</si>
  <si>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</si>
  <si>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</si>
  <si>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</si>
  <si>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</si>
  <si>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</si>
  <si>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</si>
  <si>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</si>
  <si>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</si>
  <si>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</si>
  <si>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</si>
  <si>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</si>
  <si>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</si>
  <si>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</si>
  <si>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</si>
  <si>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</si>
  <si>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</si>
  <si>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</si>
  <si>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</si>
  <si>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</si>
  <si>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</si>
  <si>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</si>
  <si>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</si>
  <si>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</si>
  <si>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</si>
  <si>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</si>
  <si>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</si>
  <si>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</si>
  <si>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</si>
  <si>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</si>
  <si>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</si>
  <si>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</si>
  <si>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</si>
  <si>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</si>
  <si>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</si>
  <si>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</si>
  <si>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</si>
  <si>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</si>
  <si>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</si>
  <si>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</si>
  <si>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</si>
  <si>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</si>
  <si>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</si>
  <si>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</si>
  <si>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</si>
  <si>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</si>
  <si>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</si>
  <si>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</si>
  <si>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</si>
  <si>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</si>
  <si>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</si>
  <si>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</si>
  <si>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</si>
  <si>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</si>
  <si>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</si>
  <si>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</si>
  <si>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</si>
  <si>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</si>
  <si>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</si>
  <si>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</si>
  <si>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</si>
  <si>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</si>
  <si>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</si>
  <si>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</si>
  <si>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</si>
  <si>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</si>
  <si>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</si>
  <si>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</si>
  <si>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</si>
  <si>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</si>
  <si>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</si>
  <si>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</si>
  <si>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</si>
  <si>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</si>
  <si>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</si>
  <si>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</si>
  <si>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</si>
  <si>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</si>
  <si>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</si>
  <si>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</si>
  <si>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</si>
  <si>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</si>
  <si>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</si>
  <si>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</si>
  <si>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</si>
  <si>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</si>
  <si>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</si>
  <si>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</si>
  <si>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</si>
  <si>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</si>
  <si>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</si>
  <si>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</si>
  <si>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</si>
  <si>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</si>
  <si>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</si>
  <si>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</si>
  <si>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</si>
  <si>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</si>
  <si>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</si>
  <si>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</si>
  <si>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</si>
  <si>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</si>
  <si>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</si>
  <si>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</si>
  <si>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</si>
  <si>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</si>
  <si>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</si>
  <si>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</si>
  <si>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</si>
  <si>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</si>
  <si>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</si>
  <si>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</si>
  <si>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</si>
  <si>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</si>
  <si>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</si>
  <si>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</si>
  <si>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</si>
  <si>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</si>
  <si>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</si>
  <si>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</si>
  <si>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</si>
  <si>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</si>
  <si>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</si>
  <si>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</si>
  <si>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</si>
  <si>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</si>
  <si>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</si>
  <si>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</si>
  <si>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</si>
  <si>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</si>
  <si>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</si>
  <si>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</si>
  <si>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</si>
  <si>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</si>
  <si>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</si>
  <si>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</si>
  <si>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</si>
  <si>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</si>
  <si>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</si>
  <si>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</si>
  <si>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</si>
  <si>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</si>
  <si>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</si>
  <si>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</si>
  <si>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</si>
  <si>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</si>
  <si>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</si>
  <si>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</si>
  <si>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</si>
  <si>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</si>
  <si>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</si>
  <si>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</si>
  <si>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</si>
  <si>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</si>
  <si>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</si>
  <si>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</si>
  <si>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</si>
  <si>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</si>
  <si>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</si>
  <si>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</si>
  <si>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</si>
  <si>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</si>
  <si>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</si>
  <si>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</si>
  <si>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</si>
  <si>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</si>
  <si>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</si>
  <si>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</si>
  <si>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</si>
  <si>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</si>
  <si>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</si>
  <si>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</si>
  <si>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</si>
  <si>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</si>
  <si>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</si>
  <si>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</si>
  <si>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</si>
  <si>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</si>
  <si>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</si>
  <si>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</si>
  <si>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</si>
  <si>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</si>
  <si>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</si>
  <si>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</si>
  <si>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</si>
  <si>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</si>
  <si>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</si>
  <si>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</si>
  <si>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</si>
  <si>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</si>
  <si>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</si>
  <si>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</si>
  <si>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</si>
  <si>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</si>
  <si>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</si>
  <si>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</si>
  <si>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</si>
  <si>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</si>
  <si>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</si>
  <si>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</si>
  <si>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</si>
  <si>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</si>
  <si>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</si>
  <si>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</si>
  <si>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</si>
  <si>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</si>
  <si>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</si>
  <si>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</si>
  <si>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</si>
  <si>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</si>
  <si>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</si>
  <si>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</si>
  <si>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</si>
  <si>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</si>
  <si>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</si>
  <si>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</si>
  <si>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</si>
  <si>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</si>
  <si>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</si>
  <si>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</si>
  <si>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</si>
  <si>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</si>
  <si>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</si>
  <si>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</si>
  <si>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</si>
  <si>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</si>
  <si>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</si>
  <si>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</si>
  <si>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</si>
  <si>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</si>
  <si>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</si>
  <si>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</si>
  <si>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</si>
  <si>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</si>
  <si>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</si>
  <si>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</si>
  <si>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</si>
  <si>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</si>
  <si>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</si>
  <si>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</si>
  <si>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</si>
  <si>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</si>
  <si>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</si>
  <si>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</si>
  <si>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</si>
  <si>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</si>
  <si>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</si>
  <si>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</si>
  <si>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</si>
  <si>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</si>
  <si>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</si>
  <si>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</si>
  <si>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</si>
  <si>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</si>
  <si>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</si>
  <si>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</si>
  <si>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</si>
  <si>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</si>
  <si>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</si>
  <si>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</si>
  <si>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</si>
  <si>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</si>
  <si>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</si>
  <si>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</si>
  <si>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</si>
  <si>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</si>
  <si>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</si>
  <si>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</si>
  <si>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</si>
  <si>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</si>
  <si>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</si>
  <si>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</si>
  <si>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</si>
  <si>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</si>
  <si>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</si>
  <si>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</si>
  <si>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</si>
  <si>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</si>
  <si>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</si>
  <si>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</si>
  <si>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</si>
  <si>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</si>
  <si>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</si>
  <si>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</si>
  <si>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</si>
  <si>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</si>
  <si>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</si>
  <si>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</si>
  <si>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</si>
  <si>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</si>
  <si>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</si>
  <si>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</si>
  <si>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</si>
  <si>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</si>
  <si>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</si>
  <si>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</si>
  <si>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</si>
  <si>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</si>
  <si>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</si>
  <si>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</si>
  <si>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</si>
  <si>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</si>
  <si>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</si>
  <si>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</si>
  <si>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</si>
  <si>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</si>
  <si>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</si>
  <si>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</si>
  <si>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</si>
  <si>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</si>
  <si>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</si>
  <si>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</si>
  <si>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</si>
  <si>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</si>
  <si>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</si>
  <si>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</si>
  <si>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</si>
  <si>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</si>
  <si>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</si>
  <si>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</si>
  <si>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</si>
  <si>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</si>
  <si>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</si>
  <si>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</si>
  <si>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</si>
  <si>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</si>
  <si>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</si>
  <si>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</si>
  <si>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</si>
  <si>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</si>
  <si>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</si>
  <si>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</si>
  <si>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</si>
  <si>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</si>
  <si>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</si>
  <si>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</si>
  <si>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</si>
  <si>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</si>
  <si>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</si>
  <si>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</si>
  <si>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</si>
  <si>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</si>
  <si>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</si>
  <si>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</si>
  <si>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</si>
  <si>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</si>
  <si>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</si>
  <si>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</si>
  <si>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</si>
  <si>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</si>
  <si>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</si>
  <si>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</si>
  <si>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</si>
  <si>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</si>
  <si>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</si>
  <si>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</si>
  <si>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</si>
  <si>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</si>
  <si>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</si>
  <si>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</si>
  <si>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</si>
  <si>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</si>
  <si>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</si>
  <si>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</si>
  <si>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</si>
  <si>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</si>
  <si>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</si>
  <si>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</si>
  <si>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</si>
  <si>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</si>
  <si>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</si>
  <si>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</si>
  <si>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</si>
  <si>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</si>
  <si>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</si>
  <si>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</si>
  <si>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</si>
  <si>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</si>
  <si>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</si>
  <si>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</si>
  <si>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</si>
  <si>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</si>
  <si>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</si>
  <si>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</si>
  <si>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</si>
  <si>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</si>
  <si>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</si>
  <si>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</si>
  <si>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</si>
  <si>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</si>
  <si>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</si>
  <si>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</si>
  <si>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</si>
  <si>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</si>
  <si>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</si>
  <si>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</si>
  <si>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</si>
  <si>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</si>
  <si>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</si>
  <si>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</si>
  <si>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</si>
  <si>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</si>
  <si>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</si>
  <si>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</si>
  <si>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</si>
  <si>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</si>
  <si>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</si>
  <si>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</si>
  <si>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</si>
  <si>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</si>
  <si>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</si>
  <si>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</si>
  <si>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</si>
  <si>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</si>
  <si>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</si>
  <si>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</si>
  <si>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</si>
  <si>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</si>
  <si>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</si>
  <si>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</si>
  <si>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</si>
  <si>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</si>
  <si>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</si>
  <si>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</si>
  <si>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</si>
  <si>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</si>
  <si>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</si>
  <si>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</si>
  <si>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</si>
  <si>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</si>
  <si>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</si>
  <si>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</si>
  <si>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</si>
  <si>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</si>
  <si>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</si>
  <si>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</si>
  <si>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</si>
  <si>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</si>
  <si>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</si>
  <si>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</si>
  <si>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</si>
  <si>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</si>
  <si>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</si>
  <si>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</si>
  <si>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</si>
  <si>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</si>
  <si>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</si>
  <si>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</si>
  <si>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</si>
  <si>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</si>
  <si>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</si>
  <si>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</si>
  <si>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</si>
  <si>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</si>
  <si>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</si>
  <si>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</si>
  <si>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</si>
  <si>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</si>
  <si>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</si>
  <si>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</si>
  <si>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</si>
  <si>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</si>
  <si>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</si>
  <si>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</si>
  <si>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</si>
  <si>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</si>
  <si>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</si>
  <si>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</si>
  <si>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</si>
  <si>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</si>
  <si>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</si>
  <si>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</si>
  <si>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</si>
  <si>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</si>
  <si>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</si>
  <si>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</si>
  <si>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</si>
  <si>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</si>
  <si>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</si>
  <si>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</si>
  <si>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</si>
  <si>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</si>
  <si>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</si>
  <si>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</si>
  <si>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</si>
  <si>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</si>
  <si>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</si>
  <si>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</si>
  <si>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</si>
  <si>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</si>
  <si>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</si>
  <si>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</si>
  <si>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</si>
  <si>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</si>
  <si>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</si>
  <si>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</si>
  <si>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</si>
  <si>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</si>
  <si>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</si>
  <si>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</si>
  <si>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</si>
  <si>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</si>
  <si>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</si>
  <si>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</si>
  <si>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</si>
  <si>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</si>
  <si>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</si>
  <si>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</si>
  <si>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</si>
  <si>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</si>
  <si>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</si>
  <si>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</si>
  <si>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</si>
  <si>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</si>
  <si>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</si>
  <si>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</si>
  <si>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</si>
  <si>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</si>
  <si>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</si>
  <si>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</si>
  <si>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</si>
  <si>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</si>
  <si>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</si>
  <si>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</si>
  <si>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</si>
  <si>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</si>
  <si>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</si>
  <si>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</si>
  <si>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</si>
  <si>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</si>
  <si>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</si>
  <si>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</si>
  <si>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</si>
  <si>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</si>
  <si>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</si>
  <si>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</si>
  <si>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</si>
  <si>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</si>
  <si>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</si>
  <si>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</si>
  <si>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</si>
  <si>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</si>
  <si>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</si>
  <si>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</si>
  <si>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</si>
  <si>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</si>
  <si>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</si>
  <si>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</si>
  <si>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</si>
  <si>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</si>
  <si>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</si>
  <si>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</si>
  <si>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</si>
  <si>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</si>
  <si>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</si>
  <si>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</si>
  <si>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</si>
  <si>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</si>
  <si>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</si>
  <si>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</si>
  <si>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</si>
  <si>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</si>
  <si>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</si>
  <si>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</si>
  <si>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</si>
  <si>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</si>
  <si>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</si>
  <si>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</si>
  <si>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</si>
  <si>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</si>
  <si>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</si>
  <si>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</si>
  <si>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</si>
  <si>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</si>
  <si>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</si>
  <si>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</si>
  <si>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</si>
  <si>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</si>
  <si>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</si>
  <si>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</si>
  <si>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</si>
  <si>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</si>
  <si>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</si>
  <si>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</si>
  <si>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</si>
  <si>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</si>
  <si>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</si>
  <si>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</si>
  <si>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</si>
  <si>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</si>
  <si>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</si>
  <si>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</si>
  <si>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</si>
  <si>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</si>
  <si>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</si>
  <si>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</si>
  <si>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</si>
  <si>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</si>
  <si>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</si>
  <si>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</si>
  <si>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</si>
  <si>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</si>
  <si>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</si>
  <si>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</si>
  <si>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</si>
  <si>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</si>
  <si>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</si>
  <si>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</si>
  <si>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</si>
  <si>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</si>
  <si>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</si>
  <si>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</si>
  <si>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</si>
  <si>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</si>
  <si>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</si>
  <si>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</si>
  <si>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</si>
  <si>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</si>
  <si>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</si>
  <si>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</si>
  <si>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</si>
  <si>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</si>
  <si>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</si>
  <si>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</si>
  <si>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</si>
  <si>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</si>
  <si>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</si>
  <si>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</si>
  <si>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</si>
  <si>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</si>
  <si>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</si>
  <si>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</si>
  <si>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</si>
  <si>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</si>
  <si>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</si>
  <si>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</si>
  <si>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</si>
  <si>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</si>
  <si>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</si>
  <si>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</si>
  <si>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</si>
  <si>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</si>
  <si>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</si>
  <si>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</si>
  <si>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</si>
  <si>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</si>
  <si>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</si>
  <si>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</si>
  <si>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</si>
  <si>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</si>
  <si>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</si>
  <si>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</si>
  <si>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</si>
  <si>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</si>
  <si>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</si>
  <si>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</si>
  <si>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</si>
  <si>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</si>
  <si>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</si>
  <si>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</si>
  <si>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</si>
  <si>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</si>
  <si>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</si>
  <si>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</si>
  <si>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</si>
  <si>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</si>
  <si>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</si>
  <si>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</si>
  <si>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</si>
  <si>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</si>
  <si>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</si>
  <si>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</si>
  <si>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</si>
  <si>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</si>
  <si>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</si>
  <si>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</si>
  <si>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</si>
  <si>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</si>
  <si>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</si>
  <si>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</si>
  <si>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</si>
  <si>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</si>
  <si>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</si>
  <si>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</si>
  <si>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</si>
  <si>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</si>
  <si>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</si>
  <si>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</si>
  <si>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</si>
  <si>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</si>
  <si>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</si>
  <si>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</si>
  <si>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</si>
  <si>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</si>
  <si>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</si>
  <si>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</si>
  <si>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</si>
  <si>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</si>
  <si>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</si>
  <si>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</si>
  <si>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</si>
  <si>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</si>
  <si>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</si>
  <si>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</si>
  <si>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</si>
  <si>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</si>
  <si>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</si>
  <si>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</si>
  <si>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</si>
  <si>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</si>
  <si>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</si>
  <si>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</si>
  <si>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</si>
  <si>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</si>
  <si>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</si>
  <si>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</si>
  <si>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</si>
  <si>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</si>
  <si>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</si>
  <si>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</si>
  <si>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</si>
  <si>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</si>
  <si>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</si>
  <si>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</si>
  <si>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</si>
  <si>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</si>
  <si>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</si>
  <si>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</si>
  <si>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</si>
  <si>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</si>
  <si>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</si>
  <si>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</si>
  <si>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</si>
  <si>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</si>
  <si>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</si>
  <si>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</si>
  <si>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</si>
  <si>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</si>
  <si>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</si>
  <si>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</si>
  <si>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</si>
  <si>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</si>
  <si>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</si>
  <si>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</si>
  <si>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</si>
  <si>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</si>
  <si>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</si>
  <si>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</si>
  <si>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</si>
  <si>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</si>
  <si>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</si>
  <si>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</si>
  <si>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</si>
  <si>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</si>
  <si>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</si>
  <si>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</si>
  <si>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</si>
  <si>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</si>
  <si>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</si>
  <si>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</si>
  <si>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</si>
  <si>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</si>
  <si>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</si>
  <si>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</si>
  <si>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</si>
  <si>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</si>
  <si>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</si>
  <si>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</si>
  <si>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</si>
  <si>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</si>
  <si>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</si>
  <si>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</si>
  <si>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</si>
  <si>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</si>
  <si>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</si>
  <si>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</si>
  <si>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</si>
  <si>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</si>
  <si>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</si>
  <si>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</si>
  <si>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</si>
  <si>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</si>
  <si>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</si>
  <si>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</si>
  <si>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</si>
  <si>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</si>
  <si>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</si>
  <si>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</si>
  <si>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</si>
  <si>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</si>
  <si>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</si>
  <si>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</si>
  <si>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</si>
  <si>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</si>
  <si>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</si>
  <si>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</si>
  <si>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</si>
  <si>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</si>
  <si>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</si>
  <si>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</si>
  <si>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</si>
  <si>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</si>
  <si>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</si>
  <si>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</si>
  <si>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</si>
  <si>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</si>
  <si>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</si>
  <si>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</si>
  <si>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</si>
  <si>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</si>
  <si>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</si>
  <si>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</si>
  <si>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</si>
  <si>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</si>
  <si>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</si>
  <si>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</si>
  <si>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</si>
  <si>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</si>
  <si>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</si>
  <si>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</si>
  <si>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</si>
  <si>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</si>
  <si>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</si>
  <si>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</si>
  <si>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</si>
  <si>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</si>
  <si>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</si>
  <si>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</si>
  <si>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</si>
  <si>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</si>
  <si>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</si>
  <si>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</si>
  <si>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</si>
  <si>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</si>
  <si>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</si>
  <si>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</si>
  <si>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</si>
  <si>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</si>
  <si>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</si>
  <si>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</si>
  <si>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</si>
  <si>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</si>
  <si>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</si>
  <si>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</si>
  <si>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</si>
  <si>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</si>
  <si>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</si>
  <si>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</si>
  <si>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</si>
  <si>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</si>
  <si>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</si>
  <si>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</si>
  <si>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</si>
  <si>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</si>
  <si>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</si>
  <si>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</si>
  <si>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</si>
  <si>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</si>
  <si>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</si>
  <si>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</si>
  <si>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</si>
  <si>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</si>
  <si>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</si>
  <si>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</si>
  <si>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</si>
  <si>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</si>
  <si>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</si>
  <si>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</si>
  <si>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</si>
  <si>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</si>
  <si>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</si>
  <si>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</si>
  <si>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</si>
  <si>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</si>
  <si>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</si>
  <si>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</si>
  <si>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</si>
  <si>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</si>
  <si>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</si>
  <si>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</si>
  <si>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</si>
  <si>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</si>
  <si>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</si>
  <si>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</si>
  <si>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</si>
  <si>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</si>
  <si>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</si>
  <si>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</si>
  <si>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</si>
  <si>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</si>
  <si>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</si>
  <si>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</si>
  <si>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</si>
  <si>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</si>
  <si>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</si>
  <si>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</si>
  <si>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</si>
  <si>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</si>
  <si>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</si>
  <si>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</si>
  <si>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</si>
  <si>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</si>
  <si>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</si>
  <si>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</si>
  <si>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</si>
  <si>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</si>
  <si>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</si>
  <si>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</si>
  <si>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</si>
  <si>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</si>
  <si>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</si>
  <si>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</si>
  <si>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</si>
  <si>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</si>
  <si>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</si>
  <si>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</si>
  <si>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</si>
  <si>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</si>
  <si>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</si>
  <si>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</si>
  <si>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</si>
  <si>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</si>
  <si>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</si>
  <si>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</si>
  <si>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</si>
  <si>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</si>
  <si>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</si>
  <si>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</si>
  <si>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</si>
  <si>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</si>
  <si>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</si>
  <si>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</si>
  <si>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</si>
  <si>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</si>
  <si>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</si>
  <si>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</si>
  <si>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</si>
  <si>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</si>
  <si>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</si>
  <si>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</si>
  <si>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</si>
  <si>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</si>
  <si>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</si>
  <si>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</si>
  <si>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</si>
  <si>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</si>
  <si>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</si>
  <si>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</si>
  <si>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</si>
  <si>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</si>
  <si>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</si>
  <si>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</si>
  <si>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</si>
  <si>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</si>
  <si>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</si>
  <si>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</si>
  <si>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</si>
  <si>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</si>
  <si>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</si>
  <si>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</si>
  <si>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</si>
  <si>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</si>
  <si>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</si>
  <si>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</si>
  <si>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</si>
  <si>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</si>
  <si>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</si>
  <si>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</si>
  <si>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</si>
  <si>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</si>
  <si>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</si>
  <si>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</si>
  <si>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</si>
  <si>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</si>
  <si>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</si>
  <si>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</si>
  <si>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</si>
  <si>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</si>
  <si>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</si>
  <si>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</si>
  <si>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</si>
  <si>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</si>
  <si>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</si>
  <si>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</si>
  <si>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</si>
  <si>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</si>
  <si>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</si>
  <si>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</si>
  <si>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</si>
  <si>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</si>
  <si>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</si>
  <si>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</si>
  <si>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</si>
  <si>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</si>
  <si>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</si>
  <si>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</si>
  <si>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</si>
  <si>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</si>
  <si>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</si>
  <si>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</si>
  <si>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</si>
  <si>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</si>
  <si>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</si>
  <si>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</si>
  <si>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</si>
  <si>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</si>
  <si>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</si>
  <si>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</si>
  <si>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</si>
  <si>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</si>
  <si>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</si>
  <si>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</si>
  <si>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</si>
  <si>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</si>
  <si>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</si>
  <si>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</si>
  <si>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</si>
  <si>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</si>
  <si>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</si>
  <si>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</si>
  <si>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</si>
  <si>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</si>
  <si>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</si>
  <si>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</si>
  <si>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</si>
  <si>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</si>
  <si>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</si>
  <si>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</si>
  <si>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</si>
  <si>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</si>
  <si>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</si>
  <si>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</si>
  <si>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</si>
  <si>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</si>
  <si>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</si>
  <si>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</si>
  <si>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</si>
  <si>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</si>
  <si>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</si>
  <si>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</si>
  <si>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</si>
  <si>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</si>
  <si>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</si>
  <si>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</si>
  <si>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</si>
  <si>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</si>
  <si>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</si>
  <si>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</si>
  <si>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</si>
  <si>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</si>
  <si>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</si>
  <si>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</si>
  <si>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</si>
  <si>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</si>
  <si>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</si>
  <si>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</si>
  <si>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</si>
  <si>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</si>
  <si>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</si>
  <si>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</si>
  <si>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</si>
  <si>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</si>
  <si>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</si>
  <si>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</si>
  <si>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</si>
  <si>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</si>
  <si>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</si>
  <si>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</si>
  <si>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</si>
  <si>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</si>
  <si>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</si>
  <si>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</si>
  <si>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</si>
  <si>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</si>
  <si>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</si>
  <si>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</si>
  <si>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</si>
  <si>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</si>
  <si>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</si>
  <si>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</si>
  <si>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</si>
  <si>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</si>
  <si>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</si>
  <si>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</si>
  <si>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</si>
  <si>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</si>
  <si>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</si>
  <si>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</si>
  <si>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</si>
  <si>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</si>
  <si>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</si>
  <si>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</si>
  <si>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</si>
  <si>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</si>
  <si>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</si>
  <si>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</si>
  <si>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</si>
  <si>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</si>
  <si>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</si>
  <si>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</si>
  <si>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</si>
  <si>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</si>
  <si>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</si>
  <si>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</si>
  <si>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</si>
  <si>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</si>
  <si>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</si>
  <si>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</si>
  <si>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</si>
  <si>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</si>
  <si>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</si>
  <si>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</si>
  <si>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</si>
  <si>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</si>
  <si>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</si>
  <si>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</si>
  <si>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</si>
  <si>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</si>
  <si>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</si>
  <si>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</si>
  <si>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</si>
  <si>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</si>
  <si>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</si>
  <si>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</si>
  <si>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</si>
  <si>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</si>
  <si>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</si>
  <si>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</si>
  <si>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</si>
  <si>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</si>
  <si>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</si>
  <si>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</si>
  <si>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</si>
  <si>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</si>
  <si>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</si>
  <si>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</si>
  <si>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</si>
  <si>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</si>
  <si>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</si>
  <si>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</si>
  <si>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</si>
  <si>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</si>
  <si>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</si>
  <si>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</si>
  <si>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</si>
  <si>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</si>
  <si>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</si>
  <si>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</si>
  <si>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</si>
  <si>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</si>
  <si>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</si>
  <si>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</si>
  <si>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</si>
  <si>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</si>
  <si>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</si>
  <si>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</si>
  <si>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</si>
  <si>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</si>
  <si>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</si>
  <si>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</si>
  <si>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</si>
  <si>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</si>
  <si>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</si>
  <si>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</si>
  <si>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</si>
  <si>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</si>
  <si>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</si>
  <si>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</si>
  <si>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</si>
  <si>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</si>
  <si>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</si>
  <si>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</si>
  <si>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</si>
  <si>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</si>
  <si>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</si>
  <si>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</si>
  <si>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</si>
  <si>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</si>
  <si>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</si>
  <si>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</si>
  <si>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</si>
  <si>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</si>
  <si>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</si>
  <si>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</si>
  <si>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</si>
  <si>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</si>
  <si>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</si>
  <si>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</si>
  <si>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</si>
  <si>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</si>
  <si>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</si>
  <si>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</si>
  <si>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</si>
  <si>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</si>
  <si>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</si>
  <si>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</si>
  <si>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</si>
  <si>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</si>
  <si>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</si>
  <si>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</si>
  <si>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</si>
  <si>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</si>
  <si>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</si>
  <si>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</si>
  <si>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</si>
  <si>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</si>
  <si>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</si>
  <si>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</si>
  <si>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</si>
  <si>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</si>
  <si>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</si>
  <si>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</si>
  <si>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</si>
  <si>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</si>
  <si>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</si>
  <si>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</si>
  <si>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</si>
  <si>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</si>
  <si>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</si>
  <si>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</si>
  <si>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</si>
  <si>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</si>
  <si>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</si>
  <si>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</si>
  <si>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</si>
  <si>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</si>
  <si>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</si>
  <si>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</si>
  <si>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</si>
  <si>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</si>
  <si>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</si>
  <si>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</si>
  <si>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</si>
  <si>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</si>
  <si>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</si>
  <si>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</si>
  <si>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</si>
  <si>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</si>
  <si>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</si>
  <si>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</si>
  <si>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</si>
  <si>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</si>
  <si>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</si>
  <si>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</si>
  <si>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</si>
  <si>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</si>
  <si>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</si>
  <si>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</si>
  <si>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</si>
  <si>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</si>
  <si>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</si>
  <si>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</si>
  <si>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</si>
  <si>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</si>
  <si>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</si>
  <si>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</si>
  <si>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</si>
  <si>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</si>
  <si>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</si>
  <si>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</si>
  <si>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</si>
  <si>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</si>
  <si>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</si>
  <si>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</si>
  <si>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</si>
  <si>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</si>
  <si>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</si>
  <si>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</si>
  <si>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</si>
  <si>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</si>
  <si>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</si>
  <si>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</si>
  <si>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</si>
  <si>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</si>
  <si>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</si>
  <si>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</si>
  <si>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</si>
  <si>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</si>
  <si>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</si>
  <si>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</si>
  <si>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</si>
  <si>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</si>
  <si>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</si>
  <si>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</si>
  <si>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</si>
  <si>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</si>
  <si>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</si>
  <si>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</si>
  <si>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</si>
  <si>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</si>
  <si>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</si>
  <si>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</si>
  <si>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</si>
  <si>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</si>
  <si>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</si>
  <si>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</si>
  <si>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</si>
  <si>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</si>
  <si>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</si>
  <si>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</si>
  <si>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</si>
  <si>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</si>
  <si>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</si>
  <si>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</si>
  <si>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</si>
  <si>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</si>
  <si>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</si>
  <si>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</si>
  <si>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</si>
  <si>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</si>
  <si>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</si>
  <si>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</si>
  <si>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</si>
  <si>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</si>
  <si>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</si>
  <si>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</si>
  <si>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</si>
  <si>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</si>
  <si>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</si>
  <si>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</si>
  <si>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</si>
  <si>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</si>
  <si>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</si>
  <si>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</si>
  <si>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</si>
  <si>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</si>
  <si>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</si>
  <si>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</si>
  <si>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</si>
  <si>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</si>
  <si>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</si>
  <si>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</si>
  <si>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</si>
  <si>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</si>
  <si>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</si>
  <si>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</si>
  <si>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</si>
  <si>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</si>
  <si>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</si>
  <si>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</si>
  <si>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</si>
  <si>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</si>
  <si>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</si>
  <si>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</si>
  <si>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</si>
  <si>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</si>
  <si>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</si>
  <si>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</si>
  <si>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</si>
  <si>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</si>
  <si>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</si>
  <si>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</si>
  <si>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</si>
  <si>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</si>
  <si>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</si>
  <si>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</si>
  <si>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</si>
  <si>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</si>
  <si>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</si>
  <si>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</si>
  <si>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</si>
  <si>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</si>
  <si>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</si>
  <si>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</si>
  <si>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</si>
  <si>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</si>
  <si>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</si>
  <si>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</si>
  <si>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</si>
  <si>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</si>
  <si>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</si>
  <si>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</si>
  <si>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</si>
  <si>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</si>
  <si>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</si>
  <si>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</si>
  <si>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</si>
  <si>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</si>
  <si>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</si>
  <si>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</si>
  <si>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</si>
  <si>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</si>
  <si>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</si>
  <si>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</si>
  <si>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</si>
  <si>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</si>
  <si>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</si>
  <si>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</si>
  <si>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</si>
  <si>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</si>
  <si>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</si>
  <si>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</si>
  <si>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</si>
  <si>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</si>
  <si>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</si>
  <si>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</si>
  <si>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</si>
  <si>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</si>
  <si>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</si>
  <si>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</si>
  <si>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</si>
  <si>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</si>
  <si>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</si>
  <si>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</si>
  <si>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</si>
  <si>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</si>
  <si>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</si>
  <si>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</si>
  <si>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</si>
  <si>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</si>
  <si>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</si>
  <si>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</si>
  <si>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</si>
  <si>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</si>
  <si>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</si>
  <si>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</si>
  <si>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</si>
  <si>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</si>
  <si>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</si>
  <si>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</si>
  <si>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</si>
  <si>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</si>
  <si>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</si>
  <si>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</si>
  <si>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</si>
  <si>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</si>
  <si>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</si>
  <si>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</si>
  <si>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</si>
  <si>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</si>
  <si>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</si>
  <si>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</si>
  <si>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</si>
  <si>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</si>
  <si>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</si>
  <si>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</si>
  <si>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</si>
  <si>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</si>
  <si>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</si>
  <si>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</si>
  <si>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</si>
  <si>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</si>
  <si>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</si>
  <si>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</si>
  <si>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</si>
  <si>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</si>
  <si>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</si>
  <si>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</si>
  <si>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</si>
  <si>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</si>
  <si>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</si>
  <si>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</si>
  <si>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</si>
  <si>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</si>
  <si>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</si>
  <si>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</si>
  <si>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</si>
  <si>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</si>
  <si>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</si>
  <si>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</si>
  <si>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</si>
  <si>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</si>
  <si>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</si>
  <si>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</si>
  <si>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</si>
  <si>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</si>
  <si>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</si>
  <si>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</si>
  <si>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</si>
  <si>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</si>
  <si>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</si>
  <si>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</si>
  <si>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</si>
  <si>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</si>
  <si>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</si>
  <si>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</si>
  <si>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</si>
  <si>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</si>
  <si>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</si>
  <si>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</si>
  <si>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</si>
  <si>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</si>
  <si>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</si>
  <si>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</si>
  <si>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</si>
  <si>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</si>
  <si>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</si>
  <si>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</si>
  <si>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</si>
  <si>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</si>
  <si>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</si>
  <si>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</si>
  <si>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</si>
  <si>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</si>
  <si>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</si>
  <si>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</si>
  <si>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</si>
  <si>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</si>
  <si>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</si>
  <si>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</si>
  <si>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</si>
  <si>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</si>
  <si>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</si>
  <si>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</si>
  <si>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</si>
  <si>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</si>
  <si>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</si>
  <si>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</si>
  <si>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</si>
  <si>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</si>
  <si>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</si>
  <si>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</si>
  <si>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</si>
  <si>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</si>
  <si>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</si>
  <si>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</si>
  <si>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</si>
  <si>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</si>
  <si>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</si>
  <si>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</si>
  <si>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</si>
  <si>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</si>
  <si>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</si>
  <si>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</si>
  <si>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</si>
  <si>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</si>
  <si>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</si>
  <si>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</si>
  <si>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</si>
  <si>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</si>
  <si>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</si>
  <si>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</si>
  <si>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</si>
  <si>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</si>
  <si>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</si>
  <si>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</si>
  <si>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</si>
  <si>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</si>
  <si>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</si>
  <si>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</si>
  <si>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</si>
  <si>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</si>
  <si>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</si>
  <si>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</si>
  <si>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</si>
  <si>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</si>
  <si>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</si>
  <si>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</si>
  <si>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</si>
  <si>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</si>
  <si>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</si>
  <si>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</si>
  <si>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</si>
  <si>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</si>
  <si>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</si>
  <si>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</si>
  <si>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</si>
  <si>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</si>
  <si>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</si>
  <si>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</si>
  <si>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</si>
  <si>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</si>
  <si>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</si>
  <si>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</si>
  <si>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</si>
  <si>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</si>
  <si>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</si>
  <si>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</si>
  <si>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</si>
  <si>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</si>
  <si>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</si>
  <si>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</si>
  <si>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</si>
  <si>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</si>
  <si>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</si>
  <si>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</si>
  <si>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</si>
  <si>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</si>
  <si>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</si>
  <si>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</si>
  <si>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</si>
  <si>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</si>
  <si>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</si>
  <si>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</si>
  <si>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</si>
  <si>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</si>
  <si>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</si>
  <si>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</si>
  <si>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</si>
  <si>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</si>
  <si>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</si>
  <si>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</si>
  <si>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</si>
  <si>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</si>
  <si>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</si>
  <si>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</si>
  <si>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</si>
  <si>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</si>
  <si>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</si>
  <si>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</si>
  <si>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</si>
  <si>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</si>
  <si>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</si>
  <si>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</si>
  <si>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</si>
  <si>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</si>
  <si>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</si>
  <si>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</si>
  <si>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</si>
  <si>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</si>
  <si>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</si>
  <si>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</si>
  <si>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</si>
  <si>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</si>
  <si>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</si>
  <si>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</si>
  <si>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</si>
  <si>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</si>
  <si>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</si>
  <si>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</si>
  <si>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</si>
  <si>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</si>
  <si>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</si>
  <si>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</si>
  <si>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</si>
  <si>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</si>
  <si>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</si>
  <si>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</si>
  <si>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</si>
  <si>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</si>
  <si>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</si>
  <si>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</si>
  <si>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</si>
  <si>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</si>
  <si>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</si>
  <si>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</si>
  <si>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</si>
  <si>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</si>
  <si>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</si>
  <si>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</si>
  <si>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</si>
  <si>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</si>
  <si>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</si>
  <si>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</si>
  <si>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</si>
  <si>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</si>
  <si>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</si>
  <si>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</si>
  <si>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</si>
  <si>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</si>
  <si>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</si>
  <si>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</si>
  <si>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</si>
  <si>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</si>
  <si>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</si>
  <si>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</si>
  <si>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</si>
  <si>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</si>
  <si>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</si>
  <si>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</si>
  <si>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</si>
  <si>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</si>
  <si>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</si>
  <si>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</si>
  <si>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</si>
  <si>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</si>
  <si>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</si>
  <si>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</si>
  <si>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</si>
  <si>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</si>
  <si>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</si>
  <si>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</si>
  <si>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</si>
  <si>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</si>
  <si>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</si>
  <si>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</si>
  <si>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</si>
  <si>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</si>
  <si>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</si>
  <si>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</si>
  <si>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</si>
  <si>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</si>
  <si>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</si>
  <si>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</si>
  <si>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</si>
  <si>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</si>
  <si>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</si>
  <si>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</si>
  <si>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</si>
  <si>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</si>
  <si>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</si>
  <si>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</si>
  <si>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</si>
  <si>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</si>
  <si>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</si>
  <si>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</si>
  <si>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</si>
  <si>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</si>
  <si>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</si>
  <si>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</si>
  <si>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</si>
  <si>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</si>
  <si>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</si>
  <si>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</si>
  <si>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</si>
  <si>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</si>
  <si>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</si>
  <si>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</si>
  <si>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</si>
  <si>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</si>
  <si>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</si>
  <si>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</si>
  <si>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</si>
  <si>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</si>
  <si>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</si>
  <si>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</si>
  <si>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</si>
  <si>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</si>
  <si>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</si>
  <si>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</si>
  <si>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</si>
  <si>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</si>
  <si>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</si>
  <si>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</si>
  <si>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</si>
  <si>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</si>
  <si>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</si>
  <si>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</si>
  <si>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</si>
  <si>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</si>
  <si>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</si>
  <si>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</si>
  <si>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</si>
  <si>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</si>
  <si>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</si>
  <si>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</si>
  <si>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</si>
  <si>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</si>
  <si>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</si>
  <si>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</si>
  <si>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</si>
  <si>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</si>
  <si>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</si>
  <si>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</si>
  <si>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</si>
  <si>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</si>
  <si>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</si>
  <si>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</si>
  <si>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</si>
  <si>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</si>
  <si>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</si>
  <si>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</si>
  <si>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</si>
  <si>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</si>
  <si>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</si>
  <si>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</si>
  <si>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</si>
  <si>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</si>
  <si>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</si>
  <si>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</si>
  <si>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</si>
  <si>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</si>
  <si>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</si>
  <si>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</si>
  <si>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</si>
  <si>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</si>
  <si>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</si>
  <si>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</si>
  <si>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</si>
  <si>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</si>
  <si>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</si>
  <si>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</si>
  <si>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</si>
  <si>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</si>
  <si>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</si>
  <si>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</si>
  <si>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</si>
  <si>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</si>
  <si>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</si>
  <si>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</si>
  <si>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</si>
  <si>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</si>
  <si>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</si>
  <si>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</si>
  <si>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</si>
  <si>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</si>
  <si>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</si>
  <si>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</si>
  <si>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</si>
  <si>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</si>
  <si>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</si>
  <si>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</si>
  <si>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</si>
  <si>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</si>
  <si>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</si>
  <si>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</si>
  <si>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</si>
  <si>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</si>
  <si>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</si>
  <si>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</si>
  <si>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</si>
  <si>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</si>
  <si>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</si>
  <si>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</si>
  <si>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</si>
  <si>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</si>
  <si>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</si>
  <si>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</si>
  <si>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</si>
  <si>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</si>
  <si>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</si>
  <si>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</si>
  <si>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</si>
  <si>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</si>
  <si>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</si>
  <si>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</si>
  <si>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</si>
  <si>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</si>
  <si>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</si>
  <si>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</si>
  <si>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</si>
  <si>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</si>
  <si>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</si>
  <si>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</si>
  <si>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</si>
  <si>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</si>
  <si>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</si>
  <si>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</si>
  <si>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</si>
  <si>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</si>
  <si>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</si>
  <si>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</si>
  <si>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</si>
  <si>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</si>
  <si>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</si>
  <si>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</si>
  <si>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</si>
  <si>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</si>
  <si>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</si>
  <si>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</si>
  <si>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</si>
  <si>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</si>
  <si>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</si>
  <si>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</si>
  <si>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</si>
  <si>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</si>
  <si>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</si>
  <si>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</si>
  <si>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</si>
  <si>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</si>
  <si>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</si>
  <si>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</si>
  <si>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</si>
  <si>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</si>
  <si>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</si>
  <si>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</si>
  <si>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</si>
  <si>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</si>
  <si>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</si>
  <si>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</si>
  <si>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</si>
  <si>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</si>
  <si>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</si>
  <si>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</si>
  <si>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</si>
  <si>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</si>
  <si>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</si>
  <si>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</si>
  <si>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</si>
  <si>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</si>
  <si>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</si>
  <si>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</si>
  <si>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</si>
  <si>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</si>
  <si>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</si>
  <si>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</si>
  <si>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</si>
  <si>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</si>
  <si>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</si>
  <si>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</si>
  <si>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</si>
  <si>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</si>
  <si>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</si>
  <si>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</si>
  <si>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</si>
  <si>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</si>
  <si>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</si>
  <si>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</si>
  <si>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</si>
  <si>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</si>
  <si>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</si>
  <si>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</si>
  <si>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</si>
  <si>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</si>
  <si>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</si>
  <si>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</si>
  <si>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</si>
  <si>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</si>
  <si>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</si>
  <si>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</si>
  <si>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</si>
  <si>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</si>
  <si>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</si>
  <si>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</si>
  <si>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</si>
  <si>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</si>
  <si>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</si>
  <si>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</si>
  <si>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</si>
  <si>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</si>
  <si>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</si>
  <si>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</si>
  <si>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</si>
  <si>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</si>
  <si>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</si>
  <si>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</si>
  <si>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</si>
  <si>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</si>
  <si>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</si>
  <si>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</si>
  <si>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</si>
  <si>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</si>
  <si>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</si>
  <si>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</si>
  <si>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</si>
  <si>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</si>
  <si>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</si>
  <si>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</si>
  <si>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</si>
  <si>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</si>
  <si>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</si>
  <si>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</si>
  <si>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</si>
  <si>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</si>
  <si>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</si>
  <si>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</si>
  <si>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</si>
  <si>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</si>
  <si>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</si>
  <si>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</si>
  <si>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</si>
  <si>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</si>
  <si>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</si>
  <si>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</si>
  <si>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</si>
  <si>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</si>
  <si>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</si>
  <si>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</si>
  <si>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</si>
  <si>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</si>
  <si>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</si>
  <si>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</si>
  <si>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</si>
  <si>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</si>
  <si>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</si>
  <si>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</si>
  <si>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</si>
  <si>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</si>
  <si>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</si>
  <si>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</si>
  <si>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</si>
  <si>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</si>
  <si>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</si>
  <si>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</si>
  <si>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</si>
  <si>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</si>
  <si>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</si>
  <si>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</si>
  <si>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</si>
  <si>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</si>
  <si>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</si>
  <si>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</si>
  <si>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</si>
  <si>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</si>
  <si>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</si>
  <si>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</si>
  <si>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</si>
  <si>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</si>
  <si>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</si>
  <si>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</si>
  <si>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</si>
  <si>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</si>
  <si>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</si>
  <si>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</si>
  <si>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</si>
  <si>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</si>
  <si>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</si>
  <si>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</si>
  <si>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</si>
  <si>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</si>
  <si>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</si>
  <si>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</si>
  <si>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</si>
  <si>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</si>
  <si>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</si>
  <si>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</si>
  <si>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</si>
  <si>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</si>
  <si>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</si>
  <si>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</si>
  <si>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</si>
  <si>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</si>
  <si>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</si>
  <si>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</si>
  <si>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</si>
  <si>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</si>
  <si>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</si>
  <si>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</si>
  <si>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</si>
  <si>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</si>
  <si>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</si>
  <si>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</si>
  <si>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</si>
  <si>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</si>
  <si>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</si>
  <si>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</si>
  <si>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</si>
  <si>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</si>
  <si>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</si>
  <si>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</si>
  <si>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</si>
  <si>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</si>
  <si>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</si>
  <si>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</si>
  <si>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</si>
  <si>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</si>
  <si>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</si>
  <si>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</si>
  <si>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</si>
  <si>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</si>
  <si>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</si>
  <si>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</si>
  <si>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</si>
  <si>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</si>
  <si>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</si>
  <si>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</si>
  <si>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</si>
  <si>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</si>
  <si>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</si>
  <si>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</si>
  <si>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</si>
  <si>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</si>
  <si>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</si>
  <si>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</si>
  <si>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</si>
  <si>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</si>
  <si>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</si>
  <si>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</si>
  <si>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</si>
  <si>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</si>
  <si>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</si>
  <si>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</si>
  <si>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</si>
  <si>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</si>
  <si>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</si>
  <si>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</si>
  <si>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</si>
  <si>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</si>
  <si>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</si>
  <si>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</si>
  <si>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</si>
  <si>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</si>
  <si>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</si>
  <si>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</si>
  <si>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</si>
  <si>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</si>
  <si>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</si>
  <si>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</si>
  <si>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</si>
  <si>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</si>
  <si>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</si>
  <si>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</si>
  <si>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</si>
  <si>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</si>
  <si>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</si>
  <si>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</si>
  <si>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</si>
  <si>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</si>
  <si>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</si>
  <si>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</si>
  <si>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</si>
  <si>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</si>
  <si>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</si>
  <si>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</si>
  <si>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</si>
  <si>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</si>
  <si>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</si>
  <si>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</si>
  <si>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</si>
  <si>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</si>
  <si>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</si>
  <si>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</si>
  <si>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</si>
  <si>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</si>
  <si>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</si>
  <si>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</si>
  <si>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</si>
  <si>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</si>
  <si>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</si>
  <si>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</si>
  <si>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</si>
  <si>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</si>
  <si>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</si>
  <si>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</si>
  <si>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</si>
  <si>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</si>
  <si>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</si>
  <si>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</si>
  <si>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</si>
  <si>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</si>
  <si>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</si>
  <si>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</si>
  <si>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</si>
  <si>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</si>
  <si>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</si>
  <si>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</si>
  <si>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</si>
  <si>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</si>
  <si>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</si>
  <si>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</si>
  <si>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</si>
  <si>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</si>
  <si>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</si>
  <si>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</si>
  <si>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</si>
  <si>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</si>
  <si>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</si>
  <si>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</si>
  <si>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</si>
  <si>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</si>
  <si>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</si>
  <si>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</si>
  <si>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</si>
  <si>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</si>
  <si>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</si>
  <si>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</si>
  <si>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</si>
  <si>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</si>
  <si>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</si>
  <si>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</si>
  <si>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</si>
  <si>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</si>
  <si>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</si>
  <si>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</si>
  <si>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</si>
  <si>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</si>
  <si>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</si>
  <si>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</si>
  <si>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</si>
  <si>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</si>
  <si>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</si>
  <si>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</si>
  <si>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</si>
  <si>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</si>
  <si>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</si>
  <si>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</si>
  <si>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</si>
  <si>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</si>
  <si>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</si>
  <si>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</si>
  <si>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</si>
  <si>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</si>
  <si>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</si>
  <si>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</si>
  <si>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</si>
  <si>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</si>
  <si>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</si>
  <si>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</si>
  <si>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</si>
  <si>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</si>
  <si>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</si>
  <si>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</si>
  <si>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</si>
  <si>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</si>
  <si>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</si>
  <si>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</si>
  <si>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</si>
  <si>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</si>
  <si>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</si>
  <si>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</si>
  <si>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</si>
  <si>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</si>
  <si>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</si>
  <si>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</si>
  <si>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</si>
  <si>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</si>
  <si>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</si>
  <si>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</si>
  <si>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</si>
  <si>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</si>
  <si>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</si>
  <si>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</si>
  <si>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</si>
  <si>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</si>
  <si>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</si>
  <si>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</si>
  <si>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</si>
  <si>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</si>
  <si>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</si>
  <si>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</si>
  <si>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</si>
  <si>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</si>
  <si>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</si>
  <si>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</si>
  <si>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</si>
  <si>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</si>
  <si>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</si>
  <si>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</si>
  <si>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</si>
  <si>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</si>
  <si>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</si>
  <si>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</si>
  <si>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</si>
  <si>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</si>
  <si>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</si>
  <si>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</si>
  <si>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</si>
  <si>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</si>
  <si>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</si>
  <si>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</si>
  <si>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</si>
  <si>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</si>
  <si>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</si>
  <si>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</si>
  <si>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</si>
  <si>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</si>
  <si>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</si>
  <si>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</si>
  <si>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</si>
  <si>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</si>
  <si>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</si>
  <si>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</si>
  <si>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</si>
  <si>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</si>
  <si>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</si>
  <si>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</si>
  <si>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</si>
  <si>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</si>
  <si>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</si>
  <si>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</si>
  <si>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</si>
  <si>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</si>
  <si>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</si>
  <si>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</si>
  <si>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</si>
  <si>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</si>
  <si>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</si>
  <si>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</si>
  <si>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</si>
  <si>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</si>
  <si>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</si>
  <si>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</si>
  <si>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</si>
  <si>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</si>
  <si>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</si>
  <si>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</si>
  <si>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</si>
  <si>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</si>
  <si>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</si>
  <si>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</si>
  <si>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</si>
  <si>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</si>
  <si>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</si>
  <si>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</si>
  <si>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</si>
  <si>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</si>
  <si>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</si>
  <si>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</si>
  <si>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</si>
  <si>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</si>
  <si>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</si>
  <si>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</si>
  <si>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</si>
  <si>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</si>
  <si>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</si>
  <si>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</si>
  <si>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</si>
  <si>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</si>
  <si>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</si>
  <si>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</si>
  <si>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</si>
  <si>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</si>
  <si>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</si>
  <si>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</si>
  <si>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</si>
  <si>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</si>
  <si>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</si>
  <si>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</si>
  <si>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</si>
  <si>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</si>
  <si>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</si>
  <si>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</si>
  <si>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</si>
  <si>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</si>
  <si>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</si>
  <si>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</si>
  <si>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</si>
  <si>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</si>
  <si>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</si>
  <si>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</si>
  <si>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</si>
  <si>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</si>
  <si>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</si>
  <si>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</si>
  <si>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</si>
  <si>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</si>
  <si>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</si>
  <si>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</si>
  <si>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</si>
  <si>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</si>
  <si>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</si>
  <si>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</si>
  <si>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</si>
  <si>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</si>
  <si>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</si>
  <si>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</si>
  <si>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</si>
  <si>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</si>
  <si>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</si>
  <si>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</si>
  <si>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</si>
  <si>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</si>
  <si>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</si>
  <si>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</si>
  <si>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</si>
  <si>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</si>
  <si>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</si>
  <si>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</si>
  <si>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</si>
  <si>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</si>
  <si>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</si>
  <si>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</si>
  <si>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</si>
  <si>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</si>
  <si>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</si>
  <si>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</si>
  <si>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</si>
  <si>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</si>
  <si>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</si>
  <si>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</si>
  <si>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</si>
  <si>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</si>
  <si>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</si>
  <si>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</si>
  <si>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</si>
  <si>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</si>
  <si>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</si>
  <si>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</si>
  <si>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</si>
  <si>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</si>
  <si>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</si>
  <si>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</si>
  <si>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</si>
  <si>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</si>
  <si>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</si>
  <si>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</si>
  <si>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</si>
  <si>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</si>
  <si>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</si>
  <si>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</si>
  <si>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</si>
  <si>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</si>
  <si>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</si>
  <si>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</si>
  <si>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</si>
  <si>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</si>
  <si>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</si>
  <si>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</si>
  <si>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</si>
  <si>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</si>
  <si>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</si>
  <si>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</si>
  <si>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</si>
  <si>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</si>
  <si>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</si>
  <si>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</si>
  <si>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</si>
  <si>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</si>
  <si>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</si>
  <si>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</si>
  <si>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</si>
  <si>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</si>
  <si>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</si>
  <si>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</si>
  <si>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</si>
  <si>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</si>
  <si>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</si>
  <si>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</si>
  <si>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</si>
  <si>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</si>
  <si>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</si>
  <si>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</si>
  <si>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</si>
  <si>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</si>
  <si>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</si>
  <si>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</si>
  <si>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</si>
  <si>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</si>
  <si>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</si>
  <si>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</si>
  <si>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</si>
  <si>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</si>
  <si>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</si>
  <si>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</si>
  <si>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</si>
  <si>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</si>
  <si>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</si>
  <si>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</si>
  <si>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</si>
  <si>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</si>
  <si>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</si>
  <si>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</si>
  <si>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</si>
  <si>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</si>
  <si>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</si>
  <si>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</si>
  <si>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</si>
  <si>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</si>
  <si>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</si>
  <si>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</si>
  <si>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</si>
  <si>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</si>
  <si>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</si>
  <si>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</si>
  <si>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</si>
  <si>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</si>
  <si>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</si>
  <si>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</si>
  <si>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</si>
  <si>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</si>
  <si>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</si>
  <si>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</si>
  <si>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</si>
  <si>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</si>
  <si>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</si>
  <si>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</si>
  <si>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</si>
  <si>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</si>
  <si>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</si>
  <si>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</si>
  <si>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</si>
  <si>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</si>
  <si>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</si>
  <si>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</si>
  <si>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</si>
  <si>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</si>
  <si>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</si>
  <si>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</si>
  <si>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</si>
  <si>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</si>
  <si>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</si>
  <si>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</si>
  <si>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</si>
  <si>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</si>
  <si>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</si>
  <si>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</si>
  <si>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</si>
  <si>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</si>
  <si>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</si>
  <si>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</si>
  <si>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</si>
  <si>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</si>
  <si>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</si>
  <si>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</si>
  <si>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</si>
  <si>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</si>
  <si>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</si>
  <si>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</si>
  <si>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</si>
  <si>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</si>
  <si>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</si>
  <si>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</si>
  <si>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</si>
  <si>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</si>
  <si>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</si>
  <si>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</si>
  <si>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</si>
  <si>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</si>
  <si>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</si>
  <si>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</si>
  <si>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</si>
  <si>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</si>
  <si>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</si>
  <si>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</si>
  <si>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</si>
  <si>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</si>
  <si>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</si>
  <si>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</si>
  <si>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</si>
  <si>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</si>
  <si>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</si>
  <si>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</si>
  <si>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</si>
  <si>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</si>
  <si>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</si>
  <si>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</si>
  <si>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</si>
  <si>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</si>
  <si>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</si>
  <si>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</si>
  <si>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</si>
  <si>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</si>
  <si>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</si>
  <si>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</si>
  <si>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</si>
  <si>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</si>
  <si>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</si>
  <si>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</si>
  <si>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</si>
  <si>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</si>
  <si>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</si>
  <si>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</si>
  <si>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</si>
  <si>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</si>
  <si>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</si>
  <si>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</si>
  <si>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</si>
  <si>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</si>
  <si>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</si>
  <si>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</si>
  <si>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</si>
  <si>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</si>
  <si>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</si>
  <si>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</si>
  <si>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</si>
  <si>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</si>
  <si>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</si>
  <si>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</si>
  <si>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</si>
  <si>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</si>
  <si>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</si>
  <si>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</si>
  <si>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</si>
  <si>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</si>
  <si>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</si>
  <si>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</si>
  <si>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</si>
  <si>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</si>
  <si>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</si>
  <si>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</si>
  <si>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</si>
  <si>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</si>
  <si>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</si>
  <si>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</si>
  <si>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</si>
  <si>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</si>
  <si>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</si>
  <si>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</si>
  <si>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</si>
  <si>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</si>
  <si>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</si>
  <si>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</si>
  <si>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</si>
  <si>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</si>
  <si>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</si>
  <si>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</si>
  <si>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</si>
  <si>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</si>
  <si>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</si>
  <si>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</si>
  <si>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</si>
  <si>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</si>
  <si>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</si>
  <si>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</si>
  <si>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</si>
  <si>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</si>
  <si>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</si>
  <si>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</si>
  <si>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</si>
  <si>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</si>
  <si>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</si>
  <si>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</si>
  <si>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</si>
  <si>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</si>
  <si>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</si>
  <si>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</si>
  <si>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</si>
  <si>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</si>
  <si>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</si>
  <si>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</si>
  <si>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</si>
  <si>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</si>
  <si>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</si>
  <si>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</si>
  <si>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</si>
  <si>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</si>
  <si>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</si>
  <si>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</si>
  <si>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</si>
  <si>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</si>
  <si>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</si>
  <si>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</si>
  <si>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</si>
  <si>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</si>
  <si>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</si>
  <si>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</si>
  <si>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</si>
  <si>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</si>
  <si>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</si>
  <si>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</si>
  <si>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</si>
  <si>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</si>
  <si>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</si>
  <si>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</si>
  <si>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</si>
  <si>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</si>
  <si>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</si>
  <si>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</si>
  <si>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</si>
  <si>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</si>
  <si>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</si>
  <si>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</si>
  <si>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</si>
  <si>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</si>
  <si>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</si>
  <si>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</si>
  <si>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</si>
  <si>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</si>
  <si>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</si>
  <si>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</si>
  <si>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</si>
  <si>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</si>
  <si>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</si>
  <si>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</si>
  <si>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</si>
  <si>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</si>
  <si>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</si>
  <si>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</si>
  <si>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</si>
  <si>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</si>
  <si>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</si>
  <si>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</si>
  <si>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</si>
  <si>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</si>
  <si>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</si>
  <si>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</si>
  <si>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</si>
  <si>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</si>
  <si>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</si>
  <si>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</si>
  <si>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</si>
  <si>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</si>
  <si>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</si>
  <si>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</si>
  <si>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</si>
  <si>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</si>
  <si>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</si>
  <si>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</si>
  <si>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</si>
  <si>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</si>
  <si>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</si>
  <si>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</si>
  <si>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</si>
  <si>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</si>
  <si>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</si>
  <si>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</si>
  <si>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</si>
  <si>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</si>
  <si>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</si>
  <si>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</si>
  <si>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</si>
  <si>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</si>
  <si>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</si>
  <si>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</si>
  <si>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</si>
  <si>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</si>
  <si>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</si>
  <si>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</si>
  <si>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</si>
  <si>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</si>
  <si>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</si>
  <si>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</si>
  <si>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</si>
  <si>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</si>
  <si>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</si>
  <si>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</si>
  <si>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</si>
  <si>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</si>
  <si>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</si>
  <si>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</si>
  <si>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</si>
  <si>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</si>
  <si>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</si>
  <si>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</si>
  <si>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</si>
  <si>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</si>
  <si>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</si>
  <si>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</si>
  <si>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</si>
  <si>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</si>
  <si>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</si>
  <si>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</si>
  <si>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</si>
  <si>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</si>
  <si>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</si>
  <si>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</si>
  <si>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</si>
  <si>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</si>
  <si>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</si>
  <si>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</si>
  <si>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</si>
  <si>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</si>
  <si>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</si>
  <si>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</si>
  <si>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</si>
  <si>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</si>
  <si>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</si>
  <si>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</si>
  <si>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</si>
  <si>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</si>
  <si>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</si>
  <si>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</si>
  <si>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</si>
  <si>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</si>
  <si>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</si>
  <si>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</si>
  <si>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</si>
  <si>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</si>
  <si>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</si>
  <si>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</si>
  <si>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</si>
  <si>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</si>
  <si>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</si>
  <si>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</si>
  <si>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</si>
  <si>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</si>
  <si>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</si>
  <si>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</si>
  <si>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</si>
  <si>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</si>
  <si>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</si>
  <si>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</si>
  <si>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</si>
  <si>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</si>
  <si>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</si>
  <si>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</si>
  <si>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</si>
  <si>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</si>
  <si>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</si>
  <si>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</si>
  <si>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</si>
  <si>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</si>
  <si>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</si>
  <si>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</si>
  <si>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</si>
  <si>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</si>
  <si>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</si>
  <si>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</si>
  <si>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</si>
  <si>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</si>
  <si>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</si>
  <si>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</si>
  <si>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</si>
  <si>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</si>
  <si>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</si>
  <si>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</si>
  <si>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</si>
  <si>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</si>
  <si>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</si>
  <si>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</si>
  <si>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</si>
  <si>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</si>
  <si>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</si>
  <si>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</si>
  <si>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</si>
  <si>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</si>
  <si>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</si>
  <si>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</si>
  <si>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</si>
  <si>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</si>
  <si>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</si>
  <si>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</si>
  <si>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</si>
  <si>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</si>
  <si>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</si>
  <si>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</si>
  <si>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</si>
  <si>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</si>
  <si>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</si>
  <si>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</si>
  <si>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</si>
  <si>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</si>
  <si>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</si>
  <si>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</si>
  <si>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</si>
  <si>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</si>
  <si>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</si>
  <si>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</si>
  <si>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</si>
  <si>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</si>
  <si>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</si>
  <si>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</si>
  <si>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</si>
  <si>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</si>
  <si>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</si>
  <si>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</si>
  <si>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</si>
  <si>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</si>
  <si>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</si>
  <si>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</si>
  <si>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</si>
  <si>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</si>
  <si>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</si>
  <si>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</si>
  <si>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</si>
  <si>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</si>
  <si>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</si>
  <si>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</si>
  <si>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</si>
  <si>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</si>
  <si>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</si>
  <si>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</si>
  <si>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</si>
  <si>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</si>
  <si>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</si>
  <si>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</si>
  <si>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</si>
  <si>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</si>
  <si>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</si>
  <si>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</si>
  <si>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</si>
  <si>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</si>
  <si>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</si>
  <si>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</si>
  <si>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</si>
  <si>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</si>
  <si>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</si>
  <si>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</si>
  <si>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</si>
  <si>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</si>
  <si>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</si>
  <si>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</si>
  <si>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</si>
  <si>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</si>
  <si>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</si>
  <si>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</si>
  <si>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</si>
  <si>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</si>
  <si>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</si>
  <si>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</si>
  <si>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</si>
  <si>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</si>
  <si>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</si>
  <si>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</si>
  <si>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</si>
  <si>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</si>
  <si>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</si>
  <si>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</si>
  <si>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</si>
  <si>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</si>
  <si>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</si>
  <si>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</si>
  <si>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</si>
  <si>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</si>
  <si>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</si>
  <si>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</si>
  <si>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</si>
  <si>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</si>
  <si>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</si>
  <si>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</si>
  <si>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</si>
  <si>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</si>
  <si>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</si>
  <si>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</si>
  <si>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</si>
  <si>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</si>
  <si>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</si>
  <si>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</si>
  <si>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</si>
  <si>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</si>
  <si>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</si>
  <si>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</si>
  <si>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</si>
  <si>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</si>
  <si>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</si>
  <si>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</si>
  <si>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</si>
  <si>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</si>
  <si>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</si>
  <si>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</si>
  <si>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</si>
  <si>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</si>
  <si>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</si>
  <si>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</si>
  <si>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</si>
  <si>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</si>
  <si>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</si>
  <si>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</si>
  <si>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</si>
  <si>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</si>
  <si>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</si>
  <si>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</si>
  <si>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</si>
  <si>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</si>
  <si>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</si>
  <si>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</si>
  <si>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</si>
  <si>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</si>
  <si>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</si>
  <si>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</si>
  <si>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</si>
  <si>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</si>
  <si>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</si>
  <si>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</si>
  <si>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</si>
  <si>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</si>
  <si>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</si>
  <si>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</si>
  <si>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</si>
  <si>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</si>
  <si>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</si>
  <si>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</si>
  <si>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</si>
  <si>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</si>
  <si>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</si>
  <si>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</si>
  <si>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</si>
  <si>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</si>
  <si>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</si>
  <si>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</si>
  <si>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</si>
  <si>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</si>
  <si>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</si>
  <si>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</si>
  <si>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</si>
  <si>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</si>
  <si>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</si>
  <si>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</si>
  <si>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</si>
  <si>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</si>
  <si>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</si>
  <si>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</si>
  <si>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</si>
  <si>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</si>
  <si>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</si>
  <si>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</si>
  <si>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</si>
  <si>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</si>
  <si>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</si>
  <si>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</si>
  <si>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</si>
  <si>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</si>
  <si>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</si>
  <si>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</si>
  <si>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</si>
  <si>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</si>
  <si>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</si>
  <si>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</si>
  <si>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</si>
  <si>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</si>
  <si>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</si>
  <si>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</si>
  <si>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</si>
  <si>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</si>
  <si>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</si>
  <si>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</si>
  <si>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</si>
  <si>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</si>
  <si>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</si>
  <si>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</si>
  <si>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</si>
  <si>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</si>
  <si>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</si>
  <si>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</si>
  <si>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</si>
  <si>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</si>
  <si>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</si>
  <si>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</si>
  <si>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</si>
  <si>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</si>
  <si>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</si>
  <si>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</si>
  <si>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</si>
  <si>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</si>
  <si>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</si>
  <si>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</si>
  <si>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</si>
  <si>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</si>
  <si>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</si>
  <si>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</si>
  <si>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</si>
  <si>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</si>
  <si>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</si>
  <si>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</si>
  <si>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</si>
  <si>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</si>
  <si>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</si>
  <si>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</si>
  <si>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</si>
  <si>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</si>
  <si>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</si>
  <si>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</si>
  <si>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</si>
  <si>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</si>
  <si>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</si>
  <si>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</si>
  <si>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</si>
  <si>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</si>
  <si>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</si>
  <si>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</si>
  <si>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</si>
  <si>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</si>
  <si>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</si>
  <si>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</si>
  <si>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</si>
  <si>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</si>
  <si>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</si>
  <si>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</si>
  <si>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</si>
  <si>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</si>
  <si>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</si>
  <si>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</si>
  <si>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</si>
  <si>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</si>
  <si>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</si>
  <si>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</si>
  <si>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</si>
  <si>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</si>
  <si>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</si>
  <si>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</si>
  <si>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</si>
  <si>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</si>
  <si>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</si>
  <si>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</si>
  <si>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</si>
  <si>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</si>
  <si>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</si>
  <si>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</si>
  <si>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</si>
  <si>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</si>
  <si>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</si>
  <si>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</si>
  <si>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</si>
  <si>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</si>
  <si>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</si>
  <si>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</si>
  <si>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</si>
  <si>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</si>
  <si>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</si>
  <si>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</si>
  <si>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</si>
  <si>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</si>
  <si>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</si>
  <si>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</si>
  <si>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</si>
  <si>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</si>
  <si>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</si>
  <si>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</si>
  <si>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</si>
  <si>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</si>
  <si>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</si>
  <si>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</si>
  <si>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</si>
  <si>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</si>
  <si>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</si>
  <si>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</si>
  <si>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</si>
  <si>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</si>
  <si>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</si>
  <si>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</si>
  <si>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</si>
  <si>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</si>
  <si>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</si>
  <si>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</si>
  <si>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</si>
  <si>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</si>
  <si>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</si>
  <si>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</si>
  <si>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</si>
  <si>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</si>
  <si>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</si>
  <si>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</si>
  <si>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</si>
  <si>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</si>
  <si>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</si>
  <si>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</si>
  <si>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</si>
  <si>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</si>
  <si>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</si>
  <si>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</si>
  <si>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</si>
  <si>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</si>
  <si>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</si>
  <si>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</si>
  <si>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</si>
  <si>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</si>
  <si>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</si>
  <si>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</si>
  <si>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</si>
  <si>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</si>
  <si>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</si>
  <si>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</si>
  <si>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</si>
  <si>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</si>
  <si>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</si>
  <si>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</si>
  <si>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</si>
  <si>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</si>
  <si>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</si>
  <si>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</si>
  <si>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</si>
  <si>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</si>
  <si>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</si>
  <si>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</si>
  <si>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</si>
  <si>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</si>
  <si>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</si>
  <si>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</si>
  <si>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</si>
  <si>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</si>
  <si>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</si>
  <si>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</si>
  <si>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</si>
  <si>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</si>
  <si>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</si>
  <si>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</si>
  <si>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</si>
  <si>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</si>
  <si>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</si>
  <si>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</si>
  <si>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</si>
  <si>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</si>
  <si>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</si>
  <si>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</si>
  <si>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</si>
  <si>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</si>
  <si>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</si>
  <si>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</si>
  <si>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</si>
  <si>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</si>
  <si>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</si>
  <si>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</si>
  <si>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</si>
  <si>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</si>
  <si>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</si>
  <si>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</si>
  <si>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</si>
  <si>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</si>
  <si>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</si>
  <si>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</si>
  <si>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</si>
  <si>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</si>
  <si>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</si>
  <si>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</si>
  <si>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</si>
  <si>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</si>
  <si>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</si>
  <si>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</si>
  <si>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</si>
  <si>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</si>
  <si>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</si>
  <si>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</si>
  <si>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</si>
  <si>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</si>
  <si>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</si>
  <si>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</si>
  <si>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</si>
  <si>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</si>
  <si>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</si>
  <si>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</si>
  <si>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</si>
  <si>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</si>
  <si>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</si>
  <si>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</si>
  <si>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</si>
  <si>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</si>
  <si>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</si>
  <si>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</si>
  <si>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</si>
  <si>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</si>
  <si>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</si>
  <si>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</si>
  <si>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</si>
  <si>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</si>
  <si>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</si>
  <si>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</si>
  <si>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</si>
  <si>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</si>
  <si>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</si>
  <si>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</si>
  <si>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</si>
  <si>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</si>
  <si>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</si>
  <si>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</si>
  <si>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</si>
  <si>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</si>
  <si>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</si>
  <si>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</si>
  <si>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</si>
  <si>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</si>
  <si>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</si>
  <si>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</si>
  <si>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</si>
  <si>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</si>
  <si>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</si>
  <si>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</si>
  <si>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</si>
  <si>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</si>
  <si>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</si>
  <si>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</si>
  <si>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</si>
  <si>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</si>
  <si>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</si>
  <si>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</si>
  <si>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</si>
  <si>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</si>
  <si>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</si>
  <si>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</si>
  <si>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</si>
  <si>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</si>
  <si>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</si>
  <si>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</si>
  <si>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</si>
  <si>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</si>
  <si>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</si>
  <si>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</si>
  <si>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</si>
  <si>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</si>
  <si>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</si>
  <si>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</si>
  <si>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</si>
  <si>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</si>
  <si>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</si>
  <si>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</si>
  <si>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</si>
  <si>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</si>
  <si>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</si>
  <si>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</si>
  <si>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</si>
  <si>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</si>
  <si>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</si>
  <si>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</si>
  <si>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</si>
  <si>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</si>
  <si>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</si>
  <si>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</si>
  <si>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</si>
  <si>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</si>
  <si>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</si>
  <si>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</si>
  <si>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</si>
  <si>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</si>
  <si>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</si>
  <si>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</si>
  <si>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</si>
  <si>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</si>
  <si>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</si>
  <si>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</si>
  <si>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</si>
  <si>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</si>
  <si>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</si>
  <si>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</si>
  <si>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</si>
  <si>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</si>
  <si>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</si>
  <si>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</si>
  <si>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</si>
  <si>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</si>
  <si>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</si>
  <si>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</si>
  <si>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</si>
  <si>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</si>
  <si>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</si>
  <si>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</si>
  <si>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</si>
  <si>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</si>
  <si>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</si>
  <si>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</si>
  <si>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</si>
  <si>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</si>
  <si>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</si>
  <si>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</si>
  <si>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</si>
  <si>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</si>
  <si>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</si>
  <si>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</si>
  <si>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</si>
  <si>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</si>
  <si>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</si>
  <si>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</si>
  <si>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</si>
  <si>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</si>
  <si>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</si>
  <si>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</si>
  <si>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</si>
  <si>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</si>
  <si>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</si>
  <si>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</si>
  <si>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</si>
  <si>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</si>
  <si>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</si>
  <si>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</si>
  <si>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</si>
  <si>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</si>
  <si>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</si>
  <si>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</si>
  <si>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</si>
  <si>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</si>
  <si>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</si>
  <si>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</si>
  <si>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</si>
  <si>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</si>
  <si>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</si>
  <si>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</si>
  <si>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</si>
  <si>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</si>
  <si>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</si>
  <si>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</si>
  <si>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</si>
  <si>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</si>
  <si>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</si>
  <si>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</si>
  <si>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</si>
  <si>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</si>
  <si>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</si>
  <si>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</si>
  <si>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</si>
  <si>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</si>
  <si>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</si>
  <si>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</si>
  <si>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</si>
  <si>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</si>
  <si>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</si>
  <si>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</si>
  <si>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</si>
  <si>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</si>
  <si>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</si>
  <si>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</si>
  <si>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</si>
  <si>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</si>
  <si>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</si>
  <si>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</si>
  <si>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</si>
  <si>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</si>
  <si>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</si>
  <si>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</si>
  <si>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</si>
  <si>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</si>
  <si>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</si>
  <si>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</si>
  <si>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</si>
  <si>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</si>
  <si>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</si>
  <si>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</si>
  <si>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</si>
  <si>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</si>
  <si>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</si>
  <si>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</si>
  <si>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</si>
  <si>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</si>
  <si>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</si>
  <si>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</si>
  <si>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</si>
  <si>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</si>
  <si>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</si>
  <si>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</si>
  <si>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</si>
  <si>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</si>
  <si>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</si>
  <si>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</si>
  <si>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</si>
  <si>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</si>
  <si>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</si>
  <si>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</si>
  <si>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</si>
  <si>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</si>
  <si>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</si>
  <si>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</si>
  <si>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</si>
  <si>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</si>
  <si>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</si>
  <si>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</si>
  <si>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</si>
  <si>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</si>
  <si>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</si>
  <si>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</si>
  <si>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</si>
  <si>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</si>
  <si>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</si>
  <si>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</si>
  <si>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</si>
  <si>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</si>
  <si>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</si>
  <si>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</si>
  <si>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</si>
  <si>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</si>
  <si>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</si>
  <si>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</si>
  <si>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</si>
  <si>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</si>
  <si>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</si>
  <si>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</si>
  <si>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</si>
  <si>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</si>
  <si>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</si>
  <si>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</si>
  <si>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</si>
  <si>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</si>
  <si>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</si>
  <si>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</si>
  <si>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</si>
  <si>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</si>
  <si>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</si>
  <si>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</si>
  <si>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</si>
  <si>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</si>
  <si>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</si>
  <si>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</si>
  <si>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</si>
  <si>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</si>
  <si>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</si>
  <si>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</si>
  <si>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</si>
  <si>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</si>
  <si>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</si>
  <si>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</si>
  <si>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</si>
  <si>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</si>
  <si>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</si>
  <si>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</si>
  <si>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</si>
  <si>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</si>
  <si>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</si>
  <si>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</si>
  <si>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</si>
  <si>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</si>
  <si>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</si>
  <si>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</si>
  <si>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</si>
  <si>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</si>
  <si>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</si>
  <si>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</si>
  <si>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</si>
  <si>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</si>
  <si>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</si>
  <si>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</si>
  <si>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</si>
  <si>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</si>
  <si>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</si>
  <si>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</si>
  <si>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</si>
  <si>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</si>
  <si>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</si>
  <si>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</si>
  <si>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</si>
  <si>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</si>
  <si>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</si>
  <si>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</si>
  <si>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</si>
  <si>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</si>
  <si>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</si>
  <si>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</si>
  <si>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</si>
  <si>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</si>
  <si>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</si>
  <si>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</si>
  <si>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</si>
  <si>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</si>
  <si>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</si>
  <si>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</si>
  <si>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</si>
  <si>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</si>
  <si>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</si>
  <si>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</si>
  <si>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</si>
  <si>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</si>
  <si>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</si>
  <si>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</si>
  <si>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</si>
  <si>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</si>
  <si>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</si>
  <si>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</si>
  <si>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</si>
  <si>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</si>
  <si>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</si>
  <si>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</si>
  <si>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</si>
  <si>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</si>
  <si>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</si>
  <si>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</si>
  <si>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</si>
  <si>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</si>
  <si>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</si>
  <si>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</si>
  <si>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</si>
  <si>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</si>
  <si>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</si>
  <si>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</si>
  <si>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</si>
  <si>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</si>
  <si>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</si>
  <si>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</si>
  <si>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</si>
  <si>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</si>
  <si>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</si>
  <si>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</si>
  <si>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</si>
  <si>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</si>
  <si>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</si>
  <si>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</si>
  <si>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</si>
  <si>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</si>
  <si>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</si>
  <si>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</si>
  <si>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</si>
  <si>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</si>
  <si>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</si>
  <si>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</si>
  <si>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</si>
  <si>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</si>
  <si>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</si>
  <si>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</si>
  <si>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</si>
  <si>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</si>
  <si>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</si>
  <si>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</si>
  <si>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</si>
  <si>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</si>
  <si>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</si>
  <si>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</si>
  <si>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</si>
  <si>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</si>
  <si>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</si>
  <si>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</si>
  <si>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</si>
  <si>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</si>
  <si>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</si>
  <si>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</si>
  <si>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</si>
  <si>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</si>
  <si>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</si>
  <si>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</si>
  <si>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</si>
  <si>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</si>
  <si>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</si>
  <si>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</si>
  <si>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</si>
  <si>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</si>
  <si>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</si>
  <si>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</si>
  <si>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</si>
  <si>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</si>
  <si>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</si>
  <si>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</si>
  <si>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</si>
  <si>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</si>
  <si>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</si>
  <si>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</si>
  <si>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</si>
  <si>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</si>
  <si>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</si>
  <si>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</si>
  <si>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</si>
  <si>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</si>
  <si>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</si>
  <si>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</si>
  <si>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</si>
  <si>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</si>
  <si>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</si>
  <si>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</si>
  <si>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</si>
  <si>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</si>
  <si>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</si>
  <si>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</si>
  <si>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</si>
  <si>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</si>
  <si>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</si>
  <si>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</si>
  <si>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</si>
  <si>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</si>
  <si>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</si>
  <si>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</si>
  <si>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</si>
  <si>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</si>
  <si>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</si>
  <si>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</si>
  <si>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</si>
  <si>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</si>
  <si>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</si>
  <si>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</si>
  <si>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</si>
  <si>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</si>
  <si>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</si>
  <si>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</si>
  <si>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</si>
  <si>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</si>
  <si>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</si>
  <si>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</si>
  <si>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</si>
  <si>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</si>
  <si>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</si>
  <si>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</si>
  <si>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</si>
  <si>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</si>
  <si>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</si>
  <si>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</si>
  <si>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</si>
  <si>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</si>
  <si>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</si>
  <si>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</si>
  <si>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</si>
  <si>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</si>
  <si>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</si>
  <si>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</si>
  <si>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</si>
  <si>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</si>
  <si>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</si>
  <si>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</si>
  <si>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</si>
  <si>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</si>
  <si>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</si>
  <si>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</si>
  <si>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</si>
  <si>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</si>
  <si>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</si>
  <si>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</si>
  <si>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</si>
  <si>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</si>
  <si>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</si>
  <si>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</si>
  <si>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</si>
  <si>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</si>
  <si>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</si>
  <si>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</si>
  <si>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</si>
  <si>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</si>
  <si>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</si>
  <si>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</si>
  <si>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</si>
  <si>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</si>
  <si>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</si>
  <si>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</si>
  <si>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</si>
  <si>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</si>
  <si>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</si>
  <si>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</si>
  <si>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</si>
  <si>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</si>
  <si>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</si>
  <si>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</si>
  <si>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</si>
  <si>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</si>
  <si>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</si>
  <si>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</si>
  <si>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</si>
  <si>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</si>
  <si>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</si>
  <si>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</si>
  <si>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</si>
  <si>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</si>
  <si>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</si>
  <si>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</si>
  <si>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</si>
  <si>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</si>
  <si>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</si>
  <si>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</si>
  <si>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</si>
  <si>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</si>
  <si>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</si>
  <si>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</si>
  <si>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</si>
  <si>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</si>
  <si>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</si>
  <si>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</si>
  <si>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</si>
  <si>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</si>
  <si>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</si>
  <si>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</si>
  <si>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</si>
  <si>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</si>
  <si>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</si>
  <si>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</si>
  <si>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</si>
  <si>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</si>
  <si>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</si>
  <si>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</si>
  <si>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</si>
  <si>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</si>
  <si>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</si>
  <si>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</si>
  <si>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</si>
  <si>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</si>
  <si>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</si>
  <si>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</si>
  <si>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</si>
  <si>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</si>
  <si>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</si>
  <si>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</si>
  <si>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</si>
  <si>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</si>
  <si>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</si>
  <si>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</si>
  <si>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</si>
  <si>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</si>
  <si>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</si>
  <si>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</si>
  <si>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</si>
  <si>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</si>
  <si>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</si>
  <si>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</si>
  <si>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</si>
  <si>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</si>
  <si>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</si>
  <si>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</si>
  <si>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</si>
  <si>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</si>
  <si>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</si>
  <si>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</si>
  <si>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</si>
  <si>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</si>
  <si>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</si>
  <si>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</si>
  <si>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</si>
  <si>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</si>
  <si>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</si>
  <si>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</si>
  <si>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</si>
  <si>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</si>
  <si>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</si>
  <si>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</si>
  <si>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</si>
  <si>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</si>
  <si>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</si>
  <si>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</si>
  <si>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</si>
  <si>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</si>
  <si>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</si>
  <si>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</si>
  <si>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</si>
  <si>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</si>
  <si>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</si>
  <si>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</si>
  <si>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</si>
  <si>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</si>
  <si>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</si>
  <si>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</si>
  <si>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</si>
  <si>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</si>
  <si>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</si>
  <si>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</si>
  <si>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</si>
  <si>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</si>
  <si>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</si>
  <si>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</si>
  <si>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</si>
  <si>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</si>
  <si>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</si>
  <si>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</si>
  <si>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</si>
  <si>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</si>
  <si>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</si>
  <si>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</si>
  <si>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</si>
  <si>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</si>
  <si>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</si>
  <si>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</si>
  <si>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</si>
  <si>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</si>
  <si>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</si>
  <si>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</si>
  <si>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</si>
  <si>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</si>
  <si>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</si>
  <si>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</si>
  <si>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</si>
  <si>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</si>
  <si>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</si>
  <si>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</si>
  <si>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</si>
  <si>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</si>
  <si>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</si>
  <si>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</si>
  <si>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</si>
  <si>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</si>
  <si>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</si>
  <si>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</si>
  <si>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</si>
  <si>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</si>
  <si>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</si>
  <si>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</si>
  <si>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</si>
  <si>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</si>
  <si>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</si>
  <si>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</si>
  <si>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</si>
  <si>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</si>
  <si>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</si>
  <si>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</si>
  <si>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</si>
  <si>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</si>
  <si>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</si>
  <si>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</si>
  <si>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</si>
  <si>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</si>
  <si>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</si>
  <si>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</si>
  <si>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</si>
  <si>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</si>
  <si>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</si>
  <si>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</si>
  <si>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</si>
  <si>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</si>
  <si>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</si>
  <si>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</si>
  <si>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</si>
  <si>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</si>
  <si>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</si>
  <si>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</si>
  <si>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</si>
  <si>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</si>
  <si>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</si>
  <si>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</si>
  <si>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</si>
  <si>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</si>
  <si>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</si>
  <si>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</si>
  <si>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</si>
  <si>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</si>
  <si>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</si>
  <si>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</si>
  <si>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</si>
  <si>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</si>
  <si>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</si>
  <si>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</si>
  <si>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</si>
  <si>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</si>
  <si>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</si>
  <si>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</si>
  <si>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</si>
  <si>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</si>
  <si>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</si>
  <si>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</si>
  <si>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</si>
  <si>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</si>
  <si>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</si>
  <si>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</si>
  <si>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</si>
  <si>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</si>
  <si>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</si>
  <si>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</si>
  <si>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</si>
  <si>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</si>
  <si>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</si>
  <si>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</si>
  <si>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</si>
  <si>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</si>
  <si>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</si>
  <si>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</si>
  <si>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</si>
  <si>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</si>
  <si>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</si>
  <si>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</si>
  <si>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</si>
  <si>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</si>
  <si>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</si>
  <si>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</si>
  <si>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</si>
  <si>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</si>
  <si>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</si>
  <si>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</si>
  <si>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</si>
  <si>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</si>
  <si>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</si>
  <si>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</si>
  <si>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</si>
  <si>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</si>
  <si>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</si>
  <si>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</si>
  <si>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</si>
  <si>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</si>
  <si>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</si>
  <si>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</si>
  <si>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</si>
  <si>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</si>
  <si>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</si>
  <si>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</si>
  <si>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</si>
  <si>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</si>
  <si>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</si>
  <si>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</si>
  <si>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</si>
  <si>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</si>
  <si>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</si>
  <si>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</si>
  <si>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</si>
  <si>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</si>
  <si>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</si>
  <si>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</si>
  <si>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</si>
  <si>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</si>
  <si>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</si>
  <si>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</si>
  <si>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</si>
  <si>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</si>
  <si>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</si>
  <si>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</si>
  <si>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</si>
  <si>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</si>
  <si>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</si>
  <si>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</si>
  <si>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</si>
  <si>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</si>
  <si>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</si>
  <si>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</si>
  <si>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</si>
  <si>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</si>
  <si>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</si>
  <si>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</si>
  <si>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</si>
  <si>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</si>
  <si>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</si>
  <si>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</si>
  <si>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</si>
  <si>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</si>
  <si>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</si>
  <si>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</si>
  <si>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</si>
  <si>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</si>
  <si>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</si>
  <si>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</si>
  <si>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</si>
  <si>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</si>
  <si>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</si>
  <si>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</si>
  <si>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</si>
  <si>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</si>
  <si>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</si>
  <si>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</si>
  <si>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</si>
  <si>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</si>
  <si>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</si>
  <si>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</si>
  <si>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</si>
  <si>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</si>
  <si>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</si>
  <si>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</si>
  <si>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</si>
  <si>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</si>
  <si>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</si>
  <si>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</si>
  <si>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</si>
  <si>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</si>
  <si>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</si>
  <si>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</si>
  <si>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</si>
  <si>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</si>
  <si>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</si>
  <si>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</si>
  <si>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</si>
  <si>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</si>
  <si>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</si>
  <si>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</si>
  <si>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</si>
  <si>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</si>
  <si>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</si>
  <si>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</si>
  <si>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</si>
  <si>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</si>
  <si>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</si>
  <si>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</si>
  <si>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</si>
  <si>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</si>
  <si>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</si>
  <si>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</si>
  <si>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</si>
  <si>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</si>
  <si>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</si>
  <si>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</si>
  <si>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</si>
  <si>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</si>
  <si>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</si>
  <si>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</si>
  <si>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</si>
  <si>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</si>
  <si>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</si>
  <si>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</si>
  <si>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</si>
  <si>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</si>
  <si>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</si>
  <si>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</si>
  <si>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</si>
  <si>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</si>
  <si>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</si>
  <si>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</si>
  <si>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</si>
  <si>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</si>
  <si>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</si>
  <si>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</si>
  <si>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</si>
  <si>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</si>
  <si>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</si>
  <si>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</si>
  <si>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</si>
  <si>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</si>
  <si>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</si>
  <si>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</si>
  <si>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</si>
  <si>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</si>
  <si>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</si>
  <si>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</si>
  <si>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</si>
  <si>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</si>
  <si>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</si>
  <si>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</si>
  <si>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</si>
  <si>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</si>
  <si>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</si>
  <si>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</si>
  <si>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</si>
  <si>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</si>
  <si>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</si>
  <si>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</si>
  <si>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</si>
  <si>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</si>
  <si>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</si>
  <si>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</si>
  <si>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</si>
  <si>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</si>
  <si>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</si>
  <si>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</si>
  <si>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</si>
  <si>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</si>
  <si>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</si>
  <si>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</si>
  <si>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</si>
  <si>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</si>
  <si>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</si>
  <si>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</si>
  <si>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</si>
  <si>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</si>
  <si>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</si>
  <si>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</si>
  <si>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</si>
  <si>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</si>
  <si>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</si>
  <si>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</si>
  <si>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</si>
  <si>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</si>
  <si>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</si>
  <si>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</si>
  <si>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</si>
  <si>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</si>
  <si>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</si>
  <si>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</si>
  <si>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</si>
  <si>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</si>
  <si>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</si>
  <si>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</si>
  <si>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</si>
  <si>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</si>
  <si>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</si>
  <si>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</si>
  <si>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</si>
  <si>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</si>
  <si>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</si>
  <si>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</si>
  <si>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</si>
  <si>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</si>
  <si>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</si>
  <si>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</si>
  <si>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</si>
  <si>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</si>
  <si>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</si>
  <si>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</si>
  <si>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</si>
  <si>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</si>
  <si>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</si>
  <si>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</si>
  <si>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</si>
  <si>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</si>
  <si>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</si>
  <si>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</si>
  <si>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</si>
  <si>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</si>
  <si>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</si>
  <si>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</si>
  <si>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</si>
  <si>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</si>
  <si>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</si>
  <si>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</si>
  <si>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</si>
  <si>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</si>
  <si>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</si>
  <si>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</si>
  <si>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</si>
  <si>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</si>
  <si>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</si>
  <si>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</si>
  <si>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</si>
  <si>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</si>
  <si>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</si>
  <si>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</si>
  <si>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</si>
  <si>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</si>
  <si>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</si>
  <si>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</si>
  <si>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</si>
  <si>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</si>
  <si>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</si>
  <si>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</si>
  <si>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</si>
  <si>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</si>
  <si>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</si>
  <si>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</si>
  <si>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</si>
  <si>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</si>
  <si>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</si>
  <si>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</si>
  <si>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</si>
  <si>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</si>
  <si>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</si>
  <si>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</si>
  <si>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</si>
  <si>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</si>
  <si>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</si>
  <si>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</si>
  <si>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</si>
  <si>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</si>
  <si>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</si>
  <si>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</si>
  <si>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</si>
  <si>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</si>
  <si>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</si>
  <si>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</si>
  <si>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</si>
  <si>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</si>
  <si>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</si>
  <si>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</si>
  <si>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</si>
  <si>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</si>
  <si>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</si>
  <si>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</si>
  <si>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</si>
  <si>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</si>
  <si>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</si>
  <si>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</si>
  <si>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</si>
  <si>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</si>
  <si>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</si>
  <si>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</si>
  <si>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</si>
  <si>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</si>
  <si>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</si>
  <si>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</si>
  <si>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</si>
  <si>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</si>
  <si>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</si>
  <si>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</si>
  <si>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</si>
  <si>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</si>
  <si>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</si>
  <si>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</si>
  <si>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</si>
  <si>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</si>
  <si>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</si>
  <si>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</si>
  <si>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</si>
  <si>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</si>
  <si>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</si>
  <si>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</si>
  <si>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</si>
  <si>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</si>
  <si>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</si>
  <si>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</si>
  <si>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</si>
  <si>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</si>
  <si>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</si>
  <si>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</si>
  <si>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</si>
  <si>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</si>
  <si>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</si>
  <si>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</si>
  <si>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</si>
  <si>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</si>
  <si>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</si>
  <si>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</si>
  <si>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</si>
  <si>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</si>
  <si>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</si>
  <si>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</si>
  <si>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</si>
  <si>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</si>
  <si>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</si>
  <si>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</si>
  <si>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</si>
  <si>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</si>
  <si>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</si>
  <si>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</si>
  <si>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</si>
  <si>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</si>
  <si>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</si>
  <si>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</si>
  <si>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</si>
  <si>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</si>
  <si>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</si>
  <si>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</si>
  <si>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</si>
  <si>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</si>
  <si>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</si>
  <si>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</si>
  <si>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</si>
  <si>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</si>
  <si>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</si>
  <si>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</si>
  <si>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</si>
  <si>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</si>
  <si>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</si>
  <si>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</si>
  <si>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</si>
  <si>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</si>
  <si>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</si>
  <si>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</si>
  <si>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</si>
  <si>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</si>
  <si>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</si>
  <si>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</si>
  <si>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</si>
  <si>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</si>
  <si>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</si>
  <si>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</si>
  <si>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</si>
  <si>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</si>
  <si>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</si>
  <si>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</si>
  <si>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</si>
  <si>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</si>
  <si>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</si>
  <si>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</si>
  <si>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</si>
  <si>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</si>
  <si>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</si>
  <si>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</si>
  <si>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</si>
  <si>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</si>
  <si>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</si>
  <si>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</si>
  <si>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</si>
  <si>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</si>
  <si>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</si>
  <si>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</si>
  <si>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</si>
  <si>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</si>
  <si>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</si>
  <si>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</si>
  <si>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</si>
  <si>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</si>
  <si>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</si>
  <si>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</si>
  <si>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</si>
  <si>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</si>
  <si>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</si>
  <si>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</si>
  <si>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</si>
  <si>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</si>
  <si>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</si>
  <si>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</si>
  <si>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</si>
  <si>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</si>
  <si>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</si>
  <si>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</si>
  <si>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</si>
  <si>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</si>
  <si>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</si>
  <si>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</si>
  <si>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</si>
  <si>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</si>
  <si>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</si>
  <si>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</si>
  <si>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</si>
  <si>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</si>
  <si>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</si>
  <si>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</si>
  <si>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</si>
  <si>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</si>
  <si>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</si>
  <si>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</si>
  <si>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</si>
  <si>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</si>
  <si>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</si>
  <si>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</si>
  <si>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</si>
  <si>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</si>
  <si>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</si>
  <si>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</si>
  <si>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</si>
  <si>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</si>
  <si>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</si>
  <si>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</si>
  <si>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</si>
  <si>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</si>
  <si>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</si>
  <si>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</si>
  <si>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</si>
  <si>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</si>
  <si>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</si>
  <si>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</si>
  <si>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</si>
  <si>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</si>
  <si>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</si>
  <si>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</si>
  <si>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</si>
  <si>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</si>
  <si>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</si>
  <si>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</si>
  <si>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</si>
  <si>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</si>
  <si>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</si>
  <si>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</si>
  <si>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</si>
  <si>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</si>
  <si>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</si>
  <si>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</si>
  <si>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</si>
  <si>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</si>
  <si>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</si>
  <si>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</si>
  <si>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</si>
  <si>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</si>
  <si>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</si>
  <si>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</si>
  <si>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</si>
  <si>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</si>
  <si>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</si>
  <si>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</si>
  <si>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</si>
  <si>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</si>
  <si>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</si>
  <si>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</si>
  <si>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</si>
  <si>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</si>
  <si>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</si>
  <si>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</si>
  <si>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</si>
  <si>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</si>
  <si>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</si>
  <si>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</si>
  <si>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</si>
  <si>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</si>
  <si>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</si>
  <si>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</si>
  <si>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</si>
  <si>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</si>
  <si>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</si>
  <si>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</si>
  <si>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</si>
  <si>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</si>
  <si>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</si>
  <si>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</si>
  <si>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</si>
  <si>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</si>
  <si>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</si>
  <si>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</si>
  <si>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</si>
  <si>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</si>
  <si>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</si>
  <si>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</si>
  <si>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</si>
  <si>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</si>
  <si>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</si>
  <si>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</si>
  <si>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</si>
  <si>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</si>
  <si>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</si>
  <si>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</si>
  <si>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</si>
  <si>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</si>
  <si>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</si>
  <si>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</si>
  <si>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</si>
  <si>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</si>
  <si>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</si>
  <si>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</si>
  <si>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</si>
  <si>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</si>
  <si>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</si>
  <si>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</si>
  <si>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</si>
  <si>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</si>
  <si>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</si>
  <si>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</si>
  <si>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</si>
  <si>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</si>
  <si>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</si>
  <si>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</si>
  <si>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</si>
  <si>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</si>
  <si>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</si>
  <si>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</si>
  <si>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</si>
  <si>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</si>
  <si>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</si>
  <si>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</si>
  <si>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</si>
  <si>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</si>
  <si>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</si>
  <si>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</si>
  <si>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</si>
  <si>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</si>
  <si>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</si>
  <si>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</si>
  <si>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</si>
  <si>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</si>
  <si>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</si>
  <si>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</si>
  <si>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</si>
  <si>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</si>
  <si>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</si>
  <si>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</si>
  <si>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</si>
  <si>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</si>
  <si>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</si>
  <si>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</si>
  <si>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</si>
  <si>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</si>
  <si>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</si>
  <si>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</si>
  <si>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</si>
  <si>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</si>
  <si>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</si>
  <si>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</si>
  <si>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</si>
  <si>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</si>
  <si>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</si>
  <si>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</si>
  <si>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</si>
  <si>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</si>
  <si>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</si>
  <si>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</si>
  <si>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</si>
  <si>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</si>
  <si>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</si>
  <si>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</si>
  <si>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</si>
  <si>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</si>
  <si>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</si>
  <si>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</si>
  <si>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</si>
  <si>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</si>
  <si>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</si>
  <si>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</si>
  <si>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</si>
  <si>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</si>
  <si>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</si>
  <si>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</si>
  <si>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</si>
  <si>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</si>
  <si>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</si>
  <si>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</si>
  <si>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</si>
  <si>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</si>
  <si>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</si>
  <si>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</si>
  <si>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</si>
  <si>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</si>
  <si>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</si>
  <si>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</si>
  <si>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</si>
  <si>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</si>
  <si>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</si>
  <si>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</si>
  <si>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</si>
  <si>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</si>
  <si>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</si>
  <si>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</si>
  <si>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</si>
  <si>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</si>
  <si>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</si>
  <si>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</si>
  <si>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</si>
  <si>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</si>
  <si>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</si>
  <si>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</si>
  <si>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</si>
  <si>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</si>
  <si>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</si>
  <si>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</si>
  <si>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</si>
  <si>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</si>
  <si>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</si>
  <si>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</si>
  <si>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</si>
  <si>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</si>
  <si>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</si>
  <si>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</si>
  <si>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</si>
  <si>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</si>
  <si>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</si>
  <si>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</si>
  <si>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</si>
  <si>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</si>
  <si>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</si>
  <si>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</si>
  <si>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</si>
  <si>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</si>
  <si>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</si>
  <si>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</si>
  <si>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</si>
  <si>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</si>
  <si>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</si>
  <si>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</si>
  <si>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</si>
  <si>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</si>
  <si>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</si>
  <si>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</si>
  <si>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</si>
  <si>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</si>
  <si>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</si>
  <si>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</si>
  <si>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</si>
  <si>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</si>
  <si>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</si>
  <si>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</si>
  <si>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</si>
  <si>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</si>
  <si>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</si>
  <si>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</si>
  <si>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</si>
  <si>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</si>
  <si>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</si>
  <si>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</si>
  <si>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</si>
  <si>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</si>
  <si>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</si>
  <si>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</si>
  <si>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</si>
  <si>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</si>
  <si>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</si>
  <si>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</si>
  <si>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</si>
  <si>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</si>
  <si>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</si>
  <si>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</si>
  <si>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</si>
  <si>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</si>
  <si>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</si>
  <si>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</si>
  <si>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</si>
  <si>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</si>
  <si>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</si>
  <si>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</si>
  <si>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</si>
  <si>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</si>
  <si>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</si>
  <si>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</si>
  <si>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</si>
  <si>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</si>
  <si>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</si>
  <si>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</si>
  <si>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</si>
  <si>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</si>
  <si>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</si>
  <si>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</si>
  <si>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</si>
  <si>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</si>
  <si>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</si>
  <si>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</si>
  <si>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</si>
  <si>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</si>
  <si>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</si>
  <si>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</si>
  <si>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</si>
  <si>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</si>
  <si>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</si>
  <si>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</si>
  <si>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</si>
  <si>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</si>
  <si>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</si>
  <si>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</si>
  <si>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</si>
  <si>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</si>
  <si>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</si>
  <si>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</si>
  <si>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</si>
  <si>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</si>
  <si>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</si>
  <si>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</si>
  <si>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</si>
  <si>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</si>
  <si>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</si>
  <si>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</si>
  <si>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</si>
  <si>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</si>
  <si>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</si>
  <si>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</si>
  <si>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</si>
  <si>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</si>
  <si>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</si>
  <si>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</si>
  <si>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</si>
  <si>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</si>
  <si>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</si>
  <si>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</si>
  <si>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</si>
  <si>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</si>
  <si>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</si>
  <si>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</si>
  <si>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</si>
  <si>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</si>
  <si>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</si>
  <si>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</si>
  <si>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</si>
  <si>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</si>
  <si>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</si>
  <si>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</si>
  <si>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</si>
  <si>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</si>
  <si>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</si>
  <si>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</si>
  <si>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</si>
  <si>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</si>
  <si>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</si>
  <si>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</si>
  <si>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</si>
  <si>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</si>
  <si>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</si>
  <si>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</si>
  <si>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</si>
  <si>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</si>
  <si>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</si>
  <si>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</si>
  <si>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</si>
  <si>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</si>
  <si>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</si>
  <si>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</si>
  <si>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</si>
  <si>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</si>
  <si>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</si>
  <si>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</si>
  <si>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</si>
  <si>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</si>
  <si>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</si>
  <si>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</si>
  <si>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</si>
  <si>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</si>
  <si>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</si>
  <si>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</si>
  <si>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</si>
  <si>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</si>
  <si>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</si>
  <si>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</si>
  <si>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</si>
  <si>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</si>
  <si>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</si>
  <si>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</si>
  <si>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</si>
  <si>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</si>
  <si>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</si>
  <si>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</si>
  <si>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</si>
  <si>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</si>
  <si>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</si>
  <si>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</si>
  <si>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</si>
  <si>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</si>
  <si>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</si>
  <si>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</si>
  <si>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</si>
  <si>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</si>
  <si>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</si>
  <si>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</si>
  <si>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</si>
  <si>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</si>
  <si>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</si>
  <si>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</si>
  <si>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</si>
  <si>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</si>
  <si>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</si>
  <si>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</si>
  <si>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</si>
  <si>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</si>
  <si>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</si>
  <si>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</si>
  <si>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</si>
  <si>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</si>
  <si>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</si>
  <si>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</si>
  <si>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</si>
  <si>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</si>
  <si>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</si>
  <si>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</si>
  <si>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</si>
  <si>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</si>
  <si>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</si>
  <si>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</si>
  <si>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</si>
  <si>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</si>
  <si>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</si>
  <si>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</si>
  <si>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</si>
  <si>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</si>
  <si>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</si>
  <si>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</si>
  <si>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</si>
  <si>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</si>
  <si>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</si>
  <si>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</si>
  <si>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</si>
  <si>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</si>
  <si>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</si>
  <si>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</si>
  <si>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</si>
  <si>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</si>
  <si>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</si>
  <si>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</si>
  <si>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</si>
  <si>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</si>
  <si>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</si>
  <si>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</si>
  <si>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</si>
  <si>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</si>
  <si>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</si>
  <si>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</si>
  <si>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</si>
  <si>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</si>
  <si>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</si>
  <si>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</si>
  <si>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</si>
  <si>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</si>
  <si>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</si>
  <si>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</si>
  <si>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</si>
  <si>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</si>
  <si>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</si>
  <si>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</si>
  <si>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</si>
  <si>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</si>
  <si>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</si>
  <si>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</si>
  <si>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</si>
  <si>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</si>
  <si>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</si>
  <si>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</si>
  <si>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</si>
  <si>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</si>
  <si>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</si>
  <si>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</si>
  <si>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</si>
  <si>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</si>
  <si>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</si>
  <si>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</si>
  <si>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</si>
  <si>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</si>
  <si>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</si>
  <si>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</si>
  <si>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</si>
  <si>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</si>
  <si>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</si>
  <si>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</si>
  <si>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</si>
  <si>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</si>
  <si>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</si>
  <si>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</si>
  <si>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</si>
  <si>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</si>
  <si>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</si>
  <si>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</si>
  <si>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</si>
  <si>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</si>
  <si>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</si>
  <si>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</si>
  <si>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</si>
  <si>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</si>
  <si>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</si>
  <si>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</si>
  <si>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</si>
  <si>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</si>
  <si>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</si>
  <si>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</si>
  <si>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</si>
  <si>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</si>
  <si>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</si>
  <si>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</si>
  <si>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</si>
  <si>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</si>
  <si>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</si>
  <si>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</si>
  <si>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</si>
  <si>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</si>
  <si>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</si>
  <si>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</si>
  <si>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</si>
  <si>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</si>
  <si>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</si>
  <si>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</si>
  <si>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</si>
  <si>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</si>
  <si>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</si>
  <si>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</si>
  <si>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</si>
  <si>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</si>
  <si>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</si>
  <si>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</si>
  <si>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</si>
  <si>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</si>
  <si>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</si>
  <si>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</si>
  <si>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</si>
  <si>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</si>
  <si>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</si>
  <si>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</si>
  <si>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</si>
  <si>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</si>
  <si>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</si>
  <si>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</si>
  <si>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</si>
  <si>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</si>
  <si>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</si>
  <si>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</si>
  <si>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</si>
  <si>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</si>
  <si>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</si>
  <si>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</si>
  <si>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</si>
  <si>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</si>
  <si>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</si>
  <si>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</si>
  <si>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</si>
  <si>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</si>
  <si>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</si>
  <si>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</si>
  <si>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</si>
  <si>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</si>
  <si>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</si>
  <si>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</si>
  <si>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</si>
  <si>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</si>
  <si>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</si>
  <si>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</si>
  <si>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</si>
  <si>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</si>
  <si>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</si>
  <si>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</si>
  <si>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</si>
  <si>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</si>
  <si>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</si>
  <si>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</si>
  <si>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</si>
  <si>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</si>
  <si>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</si>
  <si>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</si>
  <si>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</si>
  <si>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</si>
  <si>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</si>
  <si>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</si>
  <si>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</si>
  <si>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</si>
  <si>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</si>
  <si>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</si>
  <si>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</si>
  <si>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</si>
  <si>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</si>
  <si>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</si>
  <si>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</si>
  <si>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</si>
  <si>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</si>
  <si>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</si>
  <si>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</si>
  <si>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</si>
  <si>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</si>
  <si>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</si>
  <si>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</si>
  <si>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</si>
  <si>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</si>
  <si>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</si>
  <si>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</si>
  <si>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</si>
  <si>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</si>
  <si>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</si>
  <si>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</si>
  <si>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</si>
  <si>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</si>
  <si>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</si>
  <si>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</si>
  <si>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</si>
  <si>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</si>
  <si>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</si>
  <si>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</si>
  <si>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</si>
  <si>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</si>
  <si>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</si>
  <si>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</si>
  <si>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</si>
  <si>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</si>
  <si>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</si>
  <si>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</si>
  <si>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</si>
  <si>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</si>
  <si>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</si>
  <si>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</si>
  <si>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</si>
  <si>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</si>
  <si>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</si>
  <si>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</si>
  <si>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</si>
  <si>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</si>
  <si>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</si>
  <si>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</si>
  <si>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</si>
  <si>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</si>
  <si>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</si>
  <si>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</si>
  <si>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</si>
  <si>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</si>
  <si>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</si>
  <si>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</si>
  <si>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</si>
  <si>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</si>
  <si>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</si>
  <si>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</si>
  <si>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</si>
  <si>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</si>
  <si>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</si>
  <si>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</si>
  <si>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</si>
  <si>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</si>
  <si>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</si>
  <si>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</si>
  <si>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</si>
  <si>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</si>
  <si>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</si>
  <si>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</si>
  <si>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</si>
  <si>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</si>
  <si>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</si>
  <si>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</si>
  <si>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</si>
  <si>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</si>
  <si>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</si>
  <si>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</si>
  <si>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</si>
  <si>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</si>
  <si>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</si>
  <si>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</si>
  <si>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</si>
  <si>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</si>
  <si>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</si>
  <si>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</si>
  <si>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</si>
  <si>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</si>
  <si>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</si>
  <si>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</si>
  <si>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</si>
  <si>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</si>
  <si>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</si>
  <si>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</si>
  <si>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</si>
  <si>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</si>
  <si>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</si>
  <si>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</si>
  <si>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</si>
  <si>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</si>
  <si>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</si>
  <si>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</si>
  <si>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</si>
  <si>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</si>
  <si>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</si>
  <si>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</si>
  <si>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</si>
  <si>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</si>
  <si>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</si>
  <si>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</si>
  <si>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</si>
  <si>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</si>
  <si>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</si>
  <si>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</si>
  <si>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</si>
  <si>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</si>
  <si>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</si>
  <si>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</si>
  <si>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</si>
  <si>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</si>
  <si>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</si>
  <si>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</si>
  <si>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</si>
  <si>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</si>
  <si>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</si>
  <si>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</si>
  <si>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</si>
  <si>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</si>
  <si>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</si>
  <si>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</si>
  <si>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</si>
  <si>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</si>
  <si>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</si>
  <si>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</si>
  <si>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</si>
  <si>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</si>
  <si>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</si>
  <si>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</si>
  <si>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</si>
  <si>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</si>
  <si>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</si>
  <si>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</si>
  <si>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</si>
  <si>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</si>
  <si>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</si>
  <si>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</si>
  <si>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</si>
  <si>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</si>
  <si>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</si>
  <si>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</si>
  <si>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</si>
  <si>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</si>
  <si>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</si>
  <si>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</si>
  <si>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</si>
  <si>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</si>
  <si>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</si>
  <si>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</si>
  <si>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</si>
  <si>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</si>
  <si>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</si>
  <si>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</si>
  <si>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</si>
  <si>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</si>
  <si>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</si>
  <si>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</si>
  <si>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</si>
  <si>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</si>
  <si>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</si>
  <si>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</si>
  <si>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</si>
  <si>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</si>
  <si>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</si>
  <si>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</si>
  <si>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</si>
  <si>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</si>
  <si>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</si>
  <si>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</si>
  <si>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</si>
  <si>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</si>
  <si>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</si>
  <si>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</si>
  <si>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</si>
  <si>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</si>
  <si>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</si>
  <si>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</si>
  <si>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</si>
  <si>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</si>
  <si>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</si>
  <si>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</si>
  <si>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</si>
  <si>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</si>
  <si>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</si>
  <si>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</si>
  <si>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</si>
  <si>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</si>
  <si>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</si>
  <si>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</si>
  <si>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</si>
  <si>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</si>
  <si>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</si>
  <si>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</si>
  <si>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</si>
  <si>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</si>
  <si>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</si>
  <si>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</si>
  <si>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</si>
  <si>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</si>
  <si>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</si>
  <si>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</si>
  <si>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</si>
  <si>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</si>
  <si>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</si>
  <si>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</si>
  <si>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</si>
  <si>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</si>
  <si>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</si>
  <si>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</si>
  <si>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</si>
  <si>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</si>
  <si>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</si>
  <si>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</si>
  <si>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</si>
  <si>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</si>
  <si>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</si>
  <si>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</si>
  <si>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</si>
  <si>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</si>
  <si>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</si>
  <si>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</si>
  <si>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</si>
  <si>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</si>
  <si>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</si>
  <si>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</si>
  <si>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</si>
  <si>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</si>
  <si>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</si>
  <si>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</si>
  <si>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</si>
  <si>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</si>
  <si>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</si>
  <si>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</si>
  <si>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</si>
  <si>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</si>
  <si>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</si>
  <si>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</si>
  <si>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</si>
  <si>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</si>
  <si>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</si>
  <si>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</si>
  <si>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</si>
  <si>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</si>
  <si>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</si>
  <si>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</si>
  <si>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</si>
  <si>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</si>
  <si>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</si>
  <si>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</si>
  <si>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</si>
  <si>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</si>
  <si>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</si>
  <si>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</si>
  <si>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</si>
  <si>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</si>
  <si>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</si>
  <si>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</si>
  <si>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</si>
  <si>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</si>
  <si>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</si>
  <si>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</si>
  <si>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</si>
  <si>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</si>
  <si>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</si>
  <si>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</si>
  <si>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</si>
  <si>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</si>
  <si>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</si>
  <si>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</si>
  <si>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</si>
  <si>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</si>
  <si>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</si>
  <si>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</si>
  <si>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</si>
  <si>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</si>
  <si>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</si>
  <si>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</si>
  <si>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</si>
  <si>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</si>
  <si>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</si>
  <si>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</si>
  <si>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</si>
  <si>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</si>
  <si>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</si>
  <si>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</si>
  <si>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</si>
  <si>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</si>
  <si>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</si>
  <si>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</si>
  <si>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</si>
  <si>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</si>
  <si>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</si>
  <si>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</si>
  <si>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</si>
  <si>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</si>
  <si>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</si>
  <si>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</si>
  <si>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</si>
  <si>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</si>
  <si>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</si>
  <si>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</si>
  <si>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</si>
  <si>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</si>
  <si>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</si>
  <si>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</si>
  <si>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</si>
  <si>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</si>
  <si>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</si>
  <si>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</si>
  <si>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</si>
  <si>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</si>
  <si>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</si>
  <si>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</si>
  <si>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</si>
  <si>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</si>
  <si>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</si>
  <si>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</si>
  <si>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</si>
  <si>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</si>
  <si>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</si>
  <si>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</si>
  <si>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</si>
  <si>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</si>
  <si>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</si>
  <si>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</si>
  <si>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</si>
  <si>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</si>
  <si>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</si>
  <si>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</si>
  <si>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</si>
  <si>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</si>
  <si>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</si>
  <si>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</si>
  <si>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</si>
  <si>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</si>
  <si>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</si>
  <si>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</si>
  <si>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</si>
  <si>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</si>
  <si>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</si>
  <si>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</si>
  <si>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</si>
  <si>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</si>
  <si>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</si>
  <si>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</si>
  <si>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</si>
  <si>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</si>
  <si>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</si>
  <si>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</si>
  <si>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</si>
  <si>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</si>
  <si>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</si>
  <si>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</si>
  <si>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</si>
  <si>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</si>
  <si>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</si>
  <si>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</si>
  <si>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</si>
  <si>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</si>
  <si>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</si>
  <si>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</si>
  <si>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</si>
  <si>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</si>
  <si>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</si>
  <si>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</si>
  <si>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</si>
  <si>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</si>
  <si>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</si>
  <si>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</si>
  <si>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</si>
  <si>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</si>
  <si>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</si>
  <si>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</si>
  <si>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</si>
  <si>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</si>
  <si>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</si>
  <si>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</si>
  <si>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</si>
  <si>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</si>
  <si>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</si>
  <si>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</si>
  <si>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</si>
  <si>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</si>
  <si>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</si>
  <si>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</si>
  <si>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</si>
  <si>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</si>
  <si>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</si>
  <si>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</si>
  <si>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</si>
  <si>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</si>
  <si>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</si>
  <si>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</si>
  <si>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</si>
  <si>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</si>
  <si>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</si>
  <si>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</si>
  <si>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</si>
  <si>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</si>
  <si>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</si>
  <si>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</si>
  <si>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</si>
  <si>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</si>
  <si>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</si>
  <si>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</si>
  <si>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</si>
  <si>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</si>
  <si>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</si>
  <si>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</si>
  <si>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</si>
  <si>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</si>
  <si>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</si>
  <si>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</si>
  <si>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</si>
  <si>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</si>
  <si>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</si>
  <si>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</si>
  <si>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</si>
  <si>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</si>
  <si>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</si>
  <si>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</si>
  <si>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</si>
  <si>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</si>
  <si>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</si>
  <si>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</si>
  <si>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</si>
  <si>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</si>
  <si>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</si>
  <si>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</si>
  <si>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</si>
  <si>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</si>
  <si>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</si>
  <si>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</si>
  <si>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</si>
  <si>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</si>
  <si>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</si>
  <si>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</si>
  <si>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</si>
  <si>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</si>
  <si>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</si>
  <si>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</si>
  <si>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</si>
  <si>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</si>
  <si>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</si>
  <si>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</si>
  <si>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</si>
  <si>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</si>
  <si>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</si>
  <si>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</si>
  <si>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</si>
  <si>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</si>
  <si>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</si>
  <si>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</si>
  <si>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</si>
  <si>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</si>
  <si>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</si>
  <si>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</si>
  <si>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</si>
  <si>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</si>
  <si>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</si>
  <si>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</si>
  <si>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</si>
  <si>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</si>
  <si>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</si>
  <si>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</si>
  <si>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</si>
  <si>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</si>
  <si>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</si>
  <si>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</si>
  <si>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</si>
  <si>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</si>
  <si>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</si>
  <si>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</si>
  <si>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</si>
  <si>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</si>
  <si>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</si>
  <si>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</si>
  <si>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</si>
  <si>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</si>
  <si>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</si>
  <si>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</si>
  <si>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</si>
  <si>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</si>
  <si>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</si>
  <si>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</si>
  <si>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</si>
  <si>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</si>
  <si>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</si>
  <si>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</si>
  <si>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</si>
  <si>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</si>
  <si>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</si>
  <si>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</si>
  <si>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</si>
  <si>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</si>
  <si>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</si>
  <si>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</si>
  <si>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</si>
  <si>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</si>
  <si>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</si>
  <si>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</si>
  <si>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</si>
  <si>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</si>
  <si>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</si>
  <si>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</si>
  <si>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</si>
  <si>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</si>
  <si>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</si>
  <si>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</si>
  <si>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</si>
  <si>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</si>
  <si>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</si>
  <si>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</si>
  <si>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</si>
  <si>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</si>
  <si>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</si>
  <si>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</si>
  <si>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</si>
  <si>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</si>
  <si>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</si>
  <si>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</si>
  <si>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</si>
  <si>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</si>
  <si>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</si>
  <si>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</si>
  <si>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</si>
  <si>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</si>
  <si>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</si>
  <si>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</si>
  <si>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</si>
  <si>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</si>
  <si>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</si>
  <si>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</si>
  <si>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</si>
  <si>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</si>
  <si>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</si>
  <si>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</si>
  <si>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</si>
  <si>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</si>
  <si>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</si>
  <si>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</si>
  <si>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</si>
  <si>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</si>
  <si>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</si>
  <si>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</si>
  <si>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</si>
  <si>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</si>
  <si>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</si>
  <si>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</si>
  <si>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</si>
  <si>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</si>
  <si>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</si>
  <si>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</si>
  <si>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</si>
  <si>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</si>
  <si>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</si>
  <si>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</si>
  <si>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</si>
  <si>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</si>
  <si>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</si>
  <si>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</si>
  <si>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</si>
  <si>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</si>
  <si>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</si>
  <si>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</si>
  <si>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</si>
  <si>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</si>
  <si>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</si>
  <si>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</si>
  <si>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</si>
  <si>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</si>
  <si>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</si>
  <si>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</si>
  <si>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</si>
  <si>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</si>
  <si>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</si>
  <si>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</si>
  <si>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</si>
  <si>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</si>
  <si>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</si>
  <si>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</si>
  <si>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</si>
  <si>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</si>
  <si>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</si>
  <si>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</si>
  <si>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</si>
  <si>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</si>
  <si>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</si>
  <si>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</si>
  <si>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</si>
  <si>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</si>
  <si>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</si>
  <si>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</si>
  <si>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</si>
  <si>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</si>
  <si>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</si>
  <si>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</si>
  <si>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</si>
  <si>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</si>
  <si>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</si>
  <si>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</si>
  <si>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</si>
  <si>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</si>
  <si>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</si>
  <si>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</si>
  <si>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</si>
  <si>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</si>
  <si>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</si>
  <si>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</si>
  <si>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</si>
  <si>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</si>
  <si>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</si>
  <si>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</si>
  <si>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</si>
  <si>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</si>
  <si>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</si>
  <si>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</si>
  <si>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</si>
  <si>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</si>
  <si>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</si>
  <si>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</si>
  <si>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</si>
  <si>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</si>
  <si>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</si>
  <si>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</si>
  <si>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</si>
  <si>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</si>
  <si>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</si>
  <si>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</si>
  <si>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</si>
  <si>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</si>
  <si>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</si>
  <si>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</si>
  <si>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</si>
  <si>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</si>
  <si>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</si>
  <si>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</si>
  <si>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</si>
  <si>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</si>
  <si>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</si>
  <si>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</si>
  <si>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</si>
  <si>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</si>
  <si>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</si>
  <si>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</si>
  <si>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</si>
  <si>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</si>
  <si>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</si>
  <si>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</si>
  <si>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</si>
  <si>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</si>
  <si>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</si>
  <si>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</si>
  <si>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</si>
  <si>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</si>
  <si>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</si>
  <si>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</si>
  <si>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</si>
  <si>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</si>
  <si>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</si>
  <si>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</si>
  <si>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</si>
  <si>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</si>
  <si>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</si>
  <si>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</si>
  <si>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</si>
  <si>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</si>
  <si>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</si>
  <si>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</si>
  <si>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</si>
  <si>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</si>
  <si>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</si>
  <si>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</si>
  <si>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</si>
  <si>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</si>
  <si>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</si>
  <si>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</si>
  <si>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</si>
  <si>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</si>
  <si>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</si>
  <si>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</si>
  <si>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</si>
  <si>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</si>
  <si>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</si>
  <si>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</si>
  <si>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</si>
  <si>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</si>
  <si>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</si>
  <si>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</si>
  <si>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</si>
  <si>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</si>
  <si>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</si>
  <si>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</si>
  <si>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</si>
  <si>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</si>
  <si>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</si>
  <si>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</si>
  <si>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</si>
  <si>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</si>
  <si>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</si>
  <si>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</si>
  <si>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</si>
  <si>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</si>
  <si>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</si>
  <si>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</si>
  <si>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</si>
  <si>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</si>
  <si>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</si>
  <si>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</si>
  <si>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</si>
  <si>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</si>
  <si>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</si>
  <si>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</si>
  <si>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</si>
  <si>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</si>
  <si>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</si>
  <si>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</si>
  <si>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</si>
  <si>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</si>
  <si>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</si>
  <si>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</si>
  <si>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</si>
  <si>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</si>
  <si>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</si>
  <si>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</si>
  <si>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</si>
  <si>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</si>
  <si>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</si>
  <si>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</si>
  <si>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</si>
  <si>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</si>
  <si>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</si>
  <si>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</si>
  <si>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</si>
  <si>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</si>
  <si>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</si>
  <si>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</si>
  <si>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</si>
  <si>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</si>
  <si>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</si>
  <si>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</si>
  <si>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</si>
  <si>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</si>
  <si>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</si>
  <si>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</si>
  <si>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</si>
  <si>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</si>
  <si>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</si>
  <si>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</si>
  <si>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</si>
  <si>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</si>
  <si>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</si>
  <si>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</si>
  <si>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</si>
  <si>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</si>
  <si>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</si>
  <si>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</si>
  <si>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</si>
  <si>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</si>
  <si>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</si>
  <si>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</si>
  <si>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</si>
  <si>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</si>
  <si>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</si>
  <si>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</si>
  <si>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</si>
  <si>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</si>
  <si>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</si>
  <si>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</si>
  <si>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</si>
  <si>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</si>
  <si>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</si>
  <si>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</si>
  <si>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</si>
  <si>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</si>
  <si>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</si>
  <si>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</si>
  <si>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</si>
  <si>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</si>
  <si>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</si>
  <si>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</si>
  <si>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</si>
  <si>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</si>
  <si>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</si>
  <si>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</si>
  <si>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</si>
  <si>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</si>
  <si>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</si>
  <si>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</si>
  <si>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</si>
  <si>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</si>
  <si>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</si>
  <si>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</si>
  <si>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</si>
  <si>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</si>
  <si>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</si>
  <si>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</si>
  <si>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</si>
  <si>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</si>
  <si>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</si>
  <si>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</si>
  <si>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</si>
  <si>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</si>
  <si>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</si>
  <si>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</si>
  <si>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</si>
  <si>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</si>
  <si>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</si>
  <si>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</si>
  <si>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</si>
  <si>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</si>
  <si>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</si>
  <si>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</si>
  <si>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</si>
  <si>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</si>
  <si>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</si>
  <si>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</si>
  <si>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</si>
  <si>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</si>
  <si>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</si>
  <si>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</si>
  <si>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</si>
  <si>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</si>
  <si>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</si>
  <si>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</si>
  <si>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</si>
  <si>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</si>
  <si>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</si>
  <si>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</si>
  <si>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</si>
  <si>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</si>
  <si>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</si>
  <si>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</si>
  <si>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</si>
  <si>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</si>
  <si>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</si>
  <si>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</si>
  <si>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</si>
  <si>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</si>
  <si>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</si>
  <si>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</si>
  <si>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</si>
  <si>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</si>
  <si>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</si>
  <si>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</si>
  <si>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</si>
  <si>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</si>
  <si>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</si>
  <si>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</si>
  <si>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</si>
  <si>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</si>
  <si>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</si>
  <si>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</si>
  <si>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</si>
  <si>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</si>
  <si>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</si>
  <si>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</si>
  <si>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</si>
  <si>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</si>
  <si>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</si>
  <si>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</si>
  <si>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</si>
  <si>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</si>
  <si>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</si>
  <si>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</si>
  <si>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</si>
  <si>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</si>
  <si>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</si>
  <si>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</si>
  <si>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</si>
  <si>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</si>
  <si>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</si>
  <si>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</si>
  <si>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</si>
  <si>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</si>
  <si>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</si>
  <si>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</si>
  <si>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</si>
  <si>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</si>
  <si>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</si>
  <si>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</si>
  <si>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</si>
  <si>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</si>
  <si>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</si>
  <si>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</si>
  <si>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</si>
  <si>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</si>
  <si>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</si>
  <si>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</si>
  <si>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</si>
  <si>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</si>
  <si>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</si>
  <si>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</si>
  <si>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</si>
  <si>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</si>
  <si>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</si>
  <si>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</si>
  <si>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</si>
  <si>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</si>
  <si>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</si>
  <si>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</si>
  <si>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</si>
  <si>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</si>
  <si>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</si>
  <si>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</si>
  <si>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</si>
  <si>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</si>
  <si>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</si>
  <si>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</si>
  <si>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</si>
  <si>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</si>
  <si>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</si>
  <si>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</si>
  <si>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</si>
  <si>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</si>
  <si>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</si>
  <si>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</si>
  <si>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</si>
  <si>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</si>
  <si>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</si>
  <si>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</si>
  <si>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</si>
  <si>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</si>
  <si>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</si>
  <si>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</si>
  <si>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</si>
  <si>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</si>
  <si>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</si>
  <si>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</si>
  <si>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</si>
  <si>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</si>
  <si>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</si>
  <si>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</si>
  <si>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</si>
  <si>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</si>
  <si>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</si>
  <si>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</si>
  <si>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</si>
  <si>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</si>
  <si>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</si>
  <si>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</si>
  <si>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</si>
  <si>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</si>
  <si>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</si>
  <si>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</si>
  <si>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</si>
  <si>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</si>
  <si>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</si>
  <si>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</si>
  <si>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</si>
  <si>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</si>
  <si>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</si>
  <si>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</si>
  <si>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</si>
  <si>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</si>
  <si>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</si>
  <si>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</si>
  <si>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</si>
  <si>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</si>
  <si>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</si>
  <si>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</si>
  <si>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</si>
  <si>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</si>
  <si>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</si>
  <si>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</si>
  <si>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</si>
  <si>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</si>
  <si>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</si>
  <si>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</si>
  <si>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</si>
  <si>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</si>
  <si>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</si>
  <si>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</si>
  <si>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</si>
  <si>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</si>
  <si>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</si>
  <si>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</si>
  <si>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</si>
  <si>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</si>
  <si>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</si>
  <si>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</si>
  <si>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</si>
  <si>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</si>
  <si>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</si>
  <si>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</si>
  <si>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</si>
  <si>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</si>
  <si>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</si>
  <si>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</si>
  <si>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</si>
  <si>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</si>
  <si>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</si>
  <si>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</si>
  <si>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</si>
  <si>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</si>
  <si>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</si>
  <si>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</si>
  <si>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</si>
  <si>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</si>
  <si>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</si>
  <si>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</si>
  <si>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</si>
  <si>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</si>
  <si>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</si>
  <si>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</si>
  <si>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</si>
  <si>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</si>
  <si>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</si>
  <si>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</si>
  <si>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</si>
  <si>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</si>
  <si>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</si>
  <si>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</si>
  <si>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</si>
  <si>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</si>
  <si>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</si>
  <si>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</si>
  <si>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</si>
  <si>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</si>
  <si>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</si>
  <si>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</si>
  <si>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</si>
  <si>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</si>
  <si>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</si>
  <si>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</si>
  <si>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</si>
  <si>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</si>
  <si>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</si>
  <si>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</si>
  <si>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</si>
  <si>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</si>
  <si>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</si>
  <si>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</si>
  <si>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</si>
  <si>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</si>
  <si>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</si>
  <si>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</si>
  <si>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</si>
  <si>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</si>
  <si>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</si>
  <si>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</si>
  <si>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</si>
  <si>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</si>
  <si>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</si>
  <si>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</si>
  <si>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</si>
  <si>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</si>
  <si>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</si>
  <si>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</si>
  <si>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</si>
  <si>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</si>
  <si>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</si>
  <si>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</si>
  <si>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</si>
  <si>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</si>
  <si>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</si>
  <si>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</si>
  <si>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</si>
  <si>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</si>
  <si>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</si>
  <si>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</si>
  <si>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</si>
  <si>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</si>
  <si>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</si>
  <si>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</si>
  <si>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</si>
  <si>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</si>
  <si>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</si>
  <si>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</si>
  <si>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</si>
  <si>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</si>
  <si>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</si>
  <si>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</si>
  <si>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</si>
  <si>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</si>
  <si>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</si>
  <si>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</si>
  <si>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</si>
  <si>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</si>
  <si>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</si>
  <si>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</si>
  <si>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</si>
  <si>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</si>
  <si>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</si>
  <si>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</si>
  <si>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</si>
  <si>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</si>
  <si>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</si>
  <si>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</si>
  <si>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</si>
  <si>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</si>
  <si>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</si>
  <si>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</si>
  <si>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</si>
  <si>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</si>
  <si>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</si>
  <si>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</si>
  <si>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</si>
  <si>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</si>
  <si>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</si>
  <si>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</si>
  <si>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</si>
  <si>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</si>
  <si>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</si>
  <si>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</si>
  <si>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</si>
  <si>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</si>
  <si>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</si>
  <si>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</si>
  <si>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</si>
  <si>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</si>
  <si>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</si>
  <si>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</si>
  <si>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</si>
  <si>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</si>
  <si>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</si>
  <si>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</si>
  <si>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</si>
  <si>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</si>
  <si>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</si>
  <si>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</si>
  <si>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</si>
  <si>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</si>
  <si>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</si>
  <si>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</si>
  <si>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</si>
  <si>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</si>
  <si>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</si>
  <si>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</si>
  <si>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</si>
  <si>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</si>
  <si>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</si>
  <si>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</si>
  <si>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</si>
  <si>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</si>
  <si>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</si>
  <si>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</si>
  <si>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</si>
  <si>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</si>
  <si>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</si>
  <si>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</si>
  <si>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</si>
  <si>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</si>
  <si>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</si>
  <si>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</si>
  <si>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</si>
  <si>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</si>
  <si>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</si>
  <si>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</si>
  <si>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</si>
  <si>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</si>
  <si>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</si>
  <si>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</si>
  <si>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</si>
  <si>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</si>
  <si>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</si>
  <si>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</si>
  <si>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</si>
  <si>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</si>
  <si>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</si>
  <si>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</si>
  <si>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</si>
  <si>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</si>
  <si>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</si>
  <si>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</si>
  <si>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</si>
  <si>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</si>
  <si>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</si>
  <si>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</si>
  <si>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</si>
  <si>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</si>
  <si>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</si>
  <si>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</si>
  <si>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</si>
  <si>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</si>
  <si>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</si>
  <si>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</si>
  <si>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</si>
  <si>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</si>
  <si>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</si>
  <si>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</si>
  <si>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</si>
  <si>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</si>
  <si>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</si>
  <si>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</si>
  <si>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</si>
  <si>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</si>
  <si>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</si>
  <si>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</si>
  <si>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</si>
  <si>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</si>
  <si>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</si>
  <si>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</si>
  <si>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</si>
  <si>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</si>
  <si>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</si>
  <si>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</si>
  <si>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</si>
  <si>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</si>
  <si>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</si>
  <si>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</si>
  <si>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</si>
  <si>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</si>
  <si>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</si>
  <si>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</si>
  <si>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</si>
  <si>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</si>
  <si>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</si>
  <si>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</si>
  <si>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</si>
  <si>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</si>
  <si>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</si>
  <si>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</si>
  <si>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</si>
  <si>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</si>
  <si>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</si>
  <si>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</si>
  <si>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</si>
  <si>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</si>
  <si>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</si>
  <si>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</si>
  <si>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</si>
  <si>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</si>
  <si>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</si>
  <si>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</si>
  <si>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</si>
  <si>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</si>
  <si>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</si>
  <si>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</si>
  <si>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</si>
  <si>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</si>
  <si>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</si>
  <si>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</si>
  <si>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</si>
  <si>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</si>
  <si>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</si>
  <si>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</si>
  <si>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</si>
  <si>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</si>
  <si>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</si>
  <si>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</si>
  <si>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</si>
  <si>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</si>
  <si>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</si>
  <si>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</si>
  <si>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</si>
  <si>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</si>
  <si>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</si>
  <si>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</si>
  <si>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</si>
  <si>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</si>
  <si>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</si>
  <si>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</si>
  <si>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</si>
  <si>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</si>
  <si>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</si>
  <si>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</si>
  <si>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</si>
  <si>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</si>
  <si>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</si>
  <si>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</si>
  <si>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</si>
  <si>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</si>
  <si>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</si>
  <si>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</si>
  <si>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</si>
  <si>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</si>
  <si>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</si>
  <si>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</si>
  <si>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</si>
  <si>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</si>
  <si>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</si>
  <si>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</si>
  <si>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</si>
  <si>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</si>
  <si>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</si>
  <si>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</si>
  <si>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</si>
  <si>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</si>
  <si>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</si>
  <si>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</si>
  <si>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</si>
  <si>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</si>
  <si>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</si>
  <si>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</si>
  <si>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</si>
  <si>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</si>
  <si>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</si>
  <si>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</si>
  <si>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</si>
  <si>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</si>
  <si>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</si>
  <si>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</si>
  <si>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</si>
  <si>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</si>
  <si>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</si>
  <si>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</si>
  <si>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</si>
  <si>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</si>
  <si>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</si>
  <si>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</si>
  <si>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</si>
  <si>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</si>
  <si>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</si>
  <si>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</si>
  <si>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</si>
  <si>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</si>
  <si>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</si>
  <si>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</si>
  <si>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</si>
  <si>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</si>
  <si>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</si>
  <si>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</si>
  <si>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</si>
  <si>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</si>
  <si>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</si>
  <si>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</si>
  <si>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</si>
  <si>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</si>
  <si>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</si>
  <si>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</si>
  <si>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</si>
  <si>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</si>
  <si>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</si>
  <si>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</si>
  <si>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</si>
  <si>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</si>
  <si>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</si>
  <si>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</si>
  <si>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</si>
  <si>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</si>
  <si>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</si>
  <si>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</si>
  <si>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</si>
  <si>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</si>
  <si>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</si>
  <si>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</si>
  <si>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</si>
  <si>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</si>
  <si>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</si>
  <si>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</si>
  <si>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</si>
  <si>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</si>
  <si>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</si>
  <si>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</si>
  <si>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</si>
  <si>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</si>
  <si>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</si>
  <si>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</si>
  <si>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</si>
  <si>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</si>
  <si>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</si>
  <si>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</si>
  <si>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</si>
  <si>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</si>
  <si>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</si>
  <si>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</si>
  <si>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</si>
  <si>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</si>
  <si>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</si>
  <si>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</si>
  <si>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</si>
  <si>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</si>
  <si>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</si>
  <si>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</si>
  <si>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</si>
  <si>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</si>
  <si>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</si>
  <si>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</si>
  <si>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</si>
  <si>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</si>
  <si>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</si>
  <si>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</si>
  <si>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</si>
  <si>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</si>
  <si>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</si>
  <si>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</si>
  <si>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</si>
  <si>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</si>
  <si>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</si>
  <si>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</si>
  <si>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</si>
  <si>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</si>
  <si>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</si>
  <si>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</si>
  <si>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</si>
  <si>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</si>
  <si>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</si>
  <si>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</si>
  <si>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</si>
  <si>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</si>
  <si>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</si>
  <si>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</si>
  <si>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</si>
  <si>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</si>
  <si>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</si>
  <si>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</si>
  <si>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</si>
  <si>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</si>
  <si>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</si>
  <si>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</si>
  <si>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</si>
  <si>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</si>
  <si>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</si>
  <si>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</si>
  <si>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</si>
  <si>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</si>
  <si>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</si>
  <si>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</si>
  <si>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</si>
  <si>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</si>
  <si>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</si>
  <si>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</si>
  <si>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</si>
  <si>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</si>
  <si>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</si>
  <si>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</si>
  <si>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</si>
  <si>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</si>
  <si>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</si>
  <si>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</si>
  <si>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</si>
  <si>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</si>
  <si>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</si>
  <si>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</si>
  <si>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</si>
  <si>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</si>
  <si>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</si>
  <si>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</si>
  <si>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</si>
  <si>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</si>
  <si>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</si>
  <si>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</si>
  <si>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</si>
  <si>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</si>
  <si>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</si>
  <si>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</si>
  <si>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</si>
  <si>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</si>
  <si>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</si>
  <si>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</si>
  <si>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</si>
  <si>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</si>
  <si>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</si>
  <si>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</si>
  <si>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</si>
  <si>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</si>
  <si>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</si>
  <si>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</si>
  <si>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</si>
  <si>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</si>
  <si>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</si>
  <si>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</si>
  <si>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</si>
  <si>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</si>
  <si>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</si>
  <si>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</si>
  <si>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</si>
  <si>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</si>
  <si>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</si>
  <si>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</si>
  <si>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</si>
  <si>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</si>
  <si>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</si>
  <si>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</si>
  <si>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</si>
  <si>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</si>
  <si>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</si>
  <si>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</si>
  <si>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</si>
  <si>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</si>
  <si>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</si>
  <si>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</si>
  <si>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</si>
  <si>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</si>
  <si>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</si>
  <si>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</si>
  <si>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</si>
  <si>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</si>
  <si>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</si>
  <si>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</si>
  <si>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</si>
  <si>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</si>
  <si>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</si>
  <si>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</si>
  <si>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</si>
  <si>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</si>
  <si>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</si>
  <si>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</si>
  <si>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</si>
  <si>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</si>
  <si>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</si>
  <si>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</si>
  <si>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</si>
  <si>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</si>
  <si>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</si>
  <si>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</si>
  <si>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</si>
  <si>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</si>
  <si>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</si>
  <si>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</si>
  <si>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</si>
  <si>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</si>
  <si>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</si>
  <si>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</si>
  <si>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</si>
  <si>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</si>
  <si>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</si>
  <si>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</si>
  <si>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</si>
  <si>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</si>
  <si>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</si>
  <si>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</si>
  <si>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</si>
  <si>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</si>
  <si>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</si>
  <si>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</si>
  <si>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</si>
  <si>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</si>
  <si>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</si>
  <si>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</si>
  <si>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</si>
  <si>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</si>
  <si>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</si>
  <si>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</si>
  <si>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</si>
  <si>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</si>
  <si>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</si>
  <si>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</si>
  <si>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</si>
  <si>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</si>
  <si>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</si>
  <si>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</si>
  <si>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</si>
  <si>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</si>
  <si>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</si>
  <si>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</si>
  <si>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</si>
  <si>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</si>
  <si>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</si>
  <si>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</si>
  <si>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</si>
  <si>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</si>
  <si>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</si>
  <si>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</si>
  <si>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</si>
  <si>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</si>
  <si>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</si>
  <si>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</si>
  <si>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</si>
  <si>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</si>
  <si>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</si>
  <si>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</si>
  <si>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</si>
  <si>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</si>
  <si>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</si>
  <si>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</si>
  <si>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</si>
  <si>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</si>
  <si>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</si>
  <si>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</si>
  <si>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</si>
  <si>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</si>
  <si>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</si>
  <si>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</si>
  <si>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</si>
  <si>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</si>
  <si>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</si>
  <si>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</si>
  <si>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</si>
  <si>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</si>
  <si>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</si>
  <si>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</si>
  <si>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</si>
  <si>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</si>
  <si>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</si>
  <si>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</si>
  <si>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</si>
  <si>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</si>
  <si>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</si>
  <si>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</si>
  <si>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</si>
  <si>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</si>
  <si>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</si>
  <si>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</si>
  <si>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</si>
  <si>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</si>
  <si>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</si>
  <si>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</si>
  <si>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</si>
  <si>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</si>
  <si>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</si>
  <si>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</si>
  <si>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</si>
  <si>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</si>
  <si>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</si>
  <si>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</si>
  <si>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</si>
  <si>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</si>
  <si>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</si>
  <si>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</si>
  <si>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</si>
  <si>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</si>
  <si>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</si>
  <si>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</si>
  <si>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</si>
  <si>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</si>
  <si>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</si>
  <si>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</si>
  <si>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</si>
  <si>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</si>
  <si>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</si>
  <si>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</si>
  <si>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</si>
  <si>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</si>
  <si>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</si>
  <si>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</si>
  <si>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</si>
  <si>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</si>
  <si>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</si>
  <si>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</si>
  <si>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</si>
  <si>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</si>
  <si>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</si>
  <si>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</si>
  <si>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</si>
  <si>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</si>
  <si>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</si>
  <si>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</si>
  <si>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</si>
  <si>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</si>
  <si>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</si>
  <si>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</si>
  <si>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</si>
  <si>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</si>
  <si>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</si>
  <si>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</si>
  <si>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</si>
  <si>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</si>
  <si>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</si>
  <si>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</si>
  <si>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</si>
  <si>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</si>
  <si>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</si>
  <si>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</si>
  <si>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</si>
  <si>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</si>
  <si>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</si>
  <si>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</si>
  <si>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</si>
  <si>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</si>
  <si>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</si>
  <si>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</si>
  <si>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</si>
  <si>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</si>
  <si>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</si>
  <si>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</si>
  <si>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</si>
  <si>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</si>
  <si>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</si>
  <si>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</si>
  <si>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</si>
  <si>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</si>
  <si>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</si>
  <si>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</si>
  <si>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</si>
  <si>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</si>
  <si>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</si>
  <si>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</si>
  <si>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</si>
  <si>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</si>
  <si>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</si>
  <si>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</si>
  <si>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</si>
  <si>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</si>
  <si>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</si>
  <si>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</si>
  <si>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</si>
  <si>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</si>
  <si>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</si>
  <si>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</si>
  <si>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</si>
  <si>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</si>
  <si>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</si>
  <si>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</si>
  <si>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</si>
  <si>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</si>
  <si>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</si>
  <si>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</si>
  <si>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</si>
  <si>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</si>
  <si>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</si>
  <si>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</si>
  <si>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</si>
  <si>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</si>
  <si>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</si>
  <si>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</si>
  <si>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</si>
  <si>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</si>
  <si>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</si>
  <si>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</si>
  <si>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</si>
  <si>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</si>
  <si>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</si>
  <si>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</si>
  <si>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</si>
  <si>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</si>
  <si>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</si>
  <si>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</si>
  <si>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</si>
  <si>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</si>
  <si>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</si>
  <si>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</si>
  <si>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</si>
  <si>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</si>
  <si>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</si>
  <si>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</si>
  <si>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</si>
  <si>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</si>
  <si>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</si>
  <si>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</si>
  <si>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</si>
  <si>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</si>
  <si>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</si>
  <si>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</si>
  <si>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</si>
  <si>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</si>
  <si>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</si>
  <si>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</si>
  <si>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</si>
  <si>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</si>
  <si>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</si>
  <si>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</si>
  <si>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</si>
  <si>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</si>
  <si>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</si>
  <si>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</si>
  <si>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</si>
  <si>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</si>
  <si>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</si>
  <si>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</si>
  <si>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</si>
  <si>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</si>
  <si>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</si>
  <si>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</si>
  <si>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</si>
  <si>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</si>
  <si>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</si>
  <si>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</si>
  <si>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</si>
  <si>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</si>
  <si>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</si>
  <si>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</si>
  <si>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</si>
  <si>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</si>
  <si>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</si>
  <si>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</si>
  <si>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</si>
  <si>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</si>
  <si>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</si>
  <si>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</si>
  <si>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</si>
  <si>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</si>
  <si>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</si>
  <si>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</si>
  <si>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</si>
  <si>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</si>
  <si>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</si>
  <si>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</si>
  <si>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</si>
  <si>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</si>
  <si>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</si>
  <si>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</si>
  <si>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</si>
  <si>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</si>
  <si>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</si>
  <si>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</si>
  <si>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</si>
  <si>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</si>
  <si>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</si>
  <si>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</si>
  <si>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</si>
  <si>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</si>
  <si>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</si>
  <si>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</si>
  <si>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</si>
  <si>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</si>
  <si>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</si>
  <si>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</si>
  <si>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</si>
  <si>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</si>
  <si>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</si>
  <si>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</si>
  <si>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</si>
  <si>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</si>
  <si>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</si>
  <si>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</si>
  <si>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</si>
  <si>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</si>
  <si>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</si>
  <si>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</si>
  <si>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</si>
  <si>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</si>
  <si>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</si>
  <si>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</si>
  <si>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</si>
  <si>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</si>
  <si>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</si>
  <si>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</si>
  <si>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</si>
  <si>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</si>
  <si>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</si>
  <si>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</si>
  <si>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</si>
  <si>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</si>
  <si>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</si>
  <si>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</si>
  <si>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</si>
  <si>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</si>
  <si>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</si>
  <si>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</si>
  <si>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</si>
  <si>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</si>
  <si>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</si>
  <si>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</si>
  <si>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</si>
  <si>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</si>
  <si>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</si>
  <si>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</si>
  <si>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</si>
  <si>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</si>
  <si>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</si>
  <si>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</si>
  <si>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</si>
  <si>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</si>
  <si>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</si>
  <si>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</si>
  <si>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</si>
  <si>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</si>
  <si>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</si>
  <si>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</si>
  <si>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</si>
  <si>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</si>
  <si>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</si>
  <si>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</si>
  <si>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</si>
  <si>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</si>
  <si>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</si>
  <si>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</si>
  <si>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</si>
  <si>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</si>
  <si>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</si>
  <si>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</si>
  <si>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</si>
  <si>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</si>
  <si>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</si>
  <si>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</si>
  <si>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</si>
  <si>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</si>
  <si>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</si>
  <si>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</si>
  <si>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</si>
  <si>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</si>
  <si>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</si>
  <si>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</si>
  <si>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</si>
  <si>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</si>
  <si>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</si>
  <si>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</si>
  <si>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</si>
  <si>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</si>
  <si>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</si>
  <si>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</si>
  <si>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</si>
  <si>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</si>
  <si>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</si>
  <si>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</si>
  <si>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</si>
  <si>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</si>
  <si>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</si>
  <si>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</si>
  <si>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</si>
  <si>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</si>
  <si>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</si>
  <si>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</si>
  <si>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</si>
  <si>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</si>
  <si>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</si>
  <si>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</si>
  <si>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</si>
  <si>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</si>
  <si>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</si>
  <si>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</si>
  <si>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</si>
  <si>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</si>
  <si>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</si>
  <si>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</si>
  <si>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</si>
  <si>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</si>
  <si>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</si>
  <si>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</si>
  <si>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</si>
  <si>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</si>
  <si>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</si>
  <si>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</si>
  <si>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</si>
  <si>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</si>
  <si>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</si>
  <si>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</si>
  <si>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</si>
  <si>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</si>
  <si>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</si>
  <si>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</si>
  <si>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</si>
  <si>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</si>
  <si>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</si>
  <si>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</si>
  <si>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</si>
  <si>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</si>
  <si>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</si>
  <si>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</si>
  <si>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</si>
  <si>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</si>
  <si>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</si>
  <si>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</si>
  <si>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</si>
  <si>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</si>
  <si>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</si>
  <si>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</si>
  <si>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</si>
  <si>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</si>
  <si>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</si>
  <si>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</si>
  <si>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</si>
  <si>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</si>
  <si>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</si>
  <si>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</si>
  <si>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</si>
  <si>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</si>
  <si>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</si>
  <si>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</si>
  <si>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</si>
  <si>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</si>
  <si>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</si>
  <si>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</si>
  <si>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</si>
  <si>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</si>
  <si>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</si>
  <si>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</si>
  <si>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</si>
  <si>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</si>
  <si>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</si>
  <si>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</si>
  <si>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</si>
  <si>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</si>
  <si>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</si>
  <si>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</si>
  <si>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</si>
  <si>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</si>
  <si>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</si>
  <si>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</si>
  <si>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</si>
  <si>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</si>
  <si>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</si>
  <si>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</si>
  <si>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</si>
  <si>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</si>
  <si>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</si>
  <si>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</si>
  <si>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</si>
  <si>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</si>
  <si>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</si>
  <si>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</si>
  <si>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</si>
  <si>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</si>
  <si>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</si>
  <si>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</si>
  <si>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</si>
  <si>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</si>
  <si>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</si>
  <si>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</si>
  <si>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</si>
  <si>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</si>
  <si>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</si>
  <si>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</si>
  <si>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</si>
  <si>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</si>
  <si>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</si>
  <si>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</si>
  <si>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</si>
  <si>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</si>
  <si>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</si>
  <si>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</si>
  <si>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</si>
  <si>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</si>
  <si>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</si>
  <si>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</si>
  <si>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</si>
  <si>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</si>
  <si>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</si>
  <si>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</si>
  <si>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</si>
  <si>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</si>
  <si>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</si>
  <si>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</si>
  <si>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</si>
  <si>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</si>
  <si>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</si>
  <si>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</si>
  <si>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</si>
  <si>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</si>
  <si>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</si>
  <si>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</si>
  <si>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</si>
  <si>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</si>
  <si>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</si>
  <si>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</si>
  <si>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</si>
  <si>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</si>
  <si>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</si>
  <si>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</si>
  <si>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</si>
  <si>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</si>
  <si>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</si>
  <si>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</si>
  <si>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</si>
  <si>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</si>
  <si>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</si>
  <si>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</si>
  <si>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</si>
  <si>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</si>
  <si>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</si>
  <si>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</si>
  <si>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</si>
  <si>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</si>
  <si>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</si>
  <si>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</si>
  <si>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</si>
  <si>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</si>
  <si>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</si>
  <si>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</si>
  <si>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</si>
  <si>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</si>
  <si>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</si>
  <si>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</si>
  <si>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</si>
  <si>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</si>
  <si>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</si>
  <si>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</si>
  <si>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</si>
  <si>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</si>
  <si>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</si>
  <si>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</si>
  <si>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</si>
  <si>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</si>
  <si>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</si>
  <si>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</si>
  <si>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</si>
  <si>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</si>
  <si>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</si>
  <si>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</si>
  <si>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</si>
  <si>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</si>
  <si>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</si>
  <si>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</si>
  <si>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</si>
  <si>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</si>
  <si>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</si>
  <si>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</si>
  <si>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</si>
  <si>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</si>
  <si>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</si>
  <si>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</si>
  <si>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</si>
  <si>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</si>
  <si>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</si>
  <si>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</si>
  <si>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</si>
  <si>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</si>
  <si>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</si>
  <si>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</si>
  <si>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</si>
  <si>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</si>
  <si>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</si>
  <si>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</si>
  <si>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</si>
  <si>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</si>
  <si>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</si>
  <si>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</si>
  <si>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</si>
  <si>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</si>
  <si>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</si>
  <si>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</si>
  <si>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</si>
  <si>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</si>
  <si>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</si>
  <si>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</si>
  <si>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</si>
  <si>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</si>
  <si>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</si>
  <si>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</si>
  <si>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</si>
  <si>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</si>
  <si>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</si>
  <si>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</si>
  <si>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</si>
  <si>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</si>
  <si>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</si>
  <si>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</si>
  <si>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</si>
  <si>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</si>
  <si>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</si>
  <si>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</si>
  <si>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</si>
  <si>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</si>
  <si>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</si>
  <si>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</si>
  <si>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</si>
  <si>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madia steel</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</si>
  <si>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</si>
  <si>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</si>
  <si>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</si>
  <si>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</si>
  <si>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</si>
  <si>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</si>
  <si>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</si>
  <si>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</si>
  <si>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</si>
  <si>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</si>
  <si>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</si>
  <si>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</si>
  <si>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</si>
  <si>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</si>
  <si>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</si>
  <si>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</si>
  <si>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</si>
  <si>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</si>
  <si>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</si>
  <si>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</si>
  <si>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</si>
  <si>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</si>
  <si>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</si>
  <si>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</si>
  <si>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</si>
  <si>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</si>
  <si>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</si>
  <si>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</si>
  <si>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</si>
  <si>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</si>
  <si>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</si>
  <si>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</si>
  <si>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</si>
  <si>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</si>
  <si>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</si>
  <si>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</si>
  <si>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</si>
  <si>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</si>
  <si>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</si>
  <si>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</si>
  <si>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</si>
  <si>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</si>
  <si>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</si>
  <si>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</si>
  <si>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</si>
  <si>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</si>
  <si>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</si>
  <si>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</si>
  <si>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</si>
  <si>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</si>
  <si>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</si>
  <si>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</si>
  <si>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</si>
  <si>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</si>
  <si>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</si>
  <si>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</si>
  <si>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</si>
  <si>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</si>
  <si>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</si>
  <si>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</si>
  <si>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</si>
  <si>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</si>
  <si>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</si>
  <si>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</si>
  <si>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</si>
  <si>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</si>
  <si>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</si>
  <si>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</si>
  <si>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</si>
  <si>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</si>
  <si>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</si>
  <si>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</si>
  <si>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</si>
  <si>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</si>
  <si>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</si>
  <si>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</si>
  <si>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</si>
  <si>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</si>
  <si>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</si>
  <si>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</si>
  <si>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</si>
  <si>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</si>
  <si>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</si>
  <si>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</si>
  <si>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</si>
  <si>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</si>
  <si>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</si>
  <si>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</si>
  <si>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</si>
  <si>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</si>
  <si>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</si>
  <si>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</si>
  <si>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</si>
  <si>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</si>
  <si>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</si>
  <si>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</si>
  <si>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</si>
  <si>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</si>
  <si>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</si>
  <si>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</si>
  <si>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</si>
  <si>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</si>
  <si>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</si>
  <si>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</si>
  <si>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</si>
  <si>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</si>
  <si>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</si>
  <si>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</si>
  <si>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</si>
  <si>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</si>
  <si>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</si>
  <si>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</si>
  <si>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</si>
  <si>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</si>
  <si>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</si>
  <si>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</si>
  <si>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</si>
  <si>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</si>
  <si>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</si>
  <si>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</si>
  <si>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</si>
  <si>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</si>
  <si>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</si>
  <si>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</si>
  <si>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</si>
  <si>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</si>
  <si>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</si>
  <si>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</si>
  <si>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</si>
  <si>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</si>
  <si>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</si>
  <si>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</si>
  <si>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</si>
  <si>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</si>
  <si>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</si>
  <si>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</si>
  <si>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</si>
  <si>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</si>
  <si>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</si>
  <si>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</si>
  <si>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</si>
  <si>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</si>
  <si>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</si>
  <si>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</si>
  <si>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</si>
  <si>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</si>
  <si>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</si>
  <si>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</si>
  <si>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</si>
  <si>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</si>
  <si>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</si>
  <si>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</si>
  <si>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</si>
  <si>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</si>
  <si>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</si>
  <si>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</si>
  <si>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</si>
  <si>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</si>
  <si>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</si>
  <si>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</si>
  <si>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</si>
  <si>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</si>
  <si>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</si>
  <si>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</si>
  <si>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</si>
  <si>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</si>
  <si>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</si>
  <si>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</si>
  <si>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</si>
  <si>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</si>
  <si>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</si>
  <si>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</si>
  <si>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</si>
  <si>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</si>
  <si>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</si>
  <si>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</si>
  <si>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</si>
  <si>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</si>
  <si>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</si>
  <si>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</si>
  <si>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</si>
  <si>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</si>
  <si>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</si>
  <si>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</si>
  <si>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Cash open chq available with Rehan</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</si>
  <si>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</si>
  <si>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</si>
  <si>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</si>
  <si>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</si>
  <si>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</si>
  <si>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</si>
  <si>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</si>
  <si>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</si>
  <si>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</si>
  <si>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</si>
  <si>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</si>
  <si>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</si>
  <si>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</si>
  <si>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</si>
  <si>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</si>
  <si>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</si>
  <si>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</si>
  <si>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</si>
  <si>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</si>
  <si>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</si>
  <si>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</si>
  <si>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</si>
  <si>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</si>
  <si>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</si>
  <si>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</si>
  <si>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</si>
  <si>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</si>
  <si>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</si>
  <si>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</si>
  <si>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</si>
  <si>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</si>
  <si>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</si>
  <si>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</si>
  <si>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</si>
  <si>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</si>
  <si>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</si>
  <si>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</si>
  <si>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</si>
  <si>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</si>
  <si>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</si>
  <si>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</si>
  <si>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</si>
  <si>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</si>
  <si>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</si>
  <si>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</si>
  <si>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</si>
  <si>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</si>
  <si>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</si>
  <si>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</si>
  <si>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</si>
  <si>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</si>
  <si>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</si>
  <si>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</si>
  <si>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</si>
  <si>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</si>
  <si>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</si>
  <si>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</si>
  <si>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</si>
  <si>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</si>
  <si>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</si>
  <si>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</si>
  <si>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</si>
  <si>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</si>
  <si>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</si>
  <si>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</si>
  <si>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</si>
  <si>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</si>
  <si>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</si>
  <si>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</si>
  <si>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</si>
  <si>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</si>
  <si>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</si>
  <si>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</si>
  <si>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</si>
  <si>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</si>
  <si>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</si>
  <si>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</si>
  <si>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</si>
  <si>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</si>
  <si>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</si>
  <si>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</si>
  <si>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</si>
  <si>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</si>
  <si>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</si>
  <si>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</si>
  <si>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</si>
  <si>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</si>
  <si>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</si>
  <si>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</si>
  <si>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</si>
  <si>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</si>
  <si>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</si>
  <si>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</si>
  <si>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</si>
  <si>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</si>
  <si>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</si>
  <si>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</si>
  <si>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</si>
  <si>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</si>
  <si>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</si>
  <si>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</si>
  <si>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</si>
  <si>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</si>
  <si>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</si>
  <si>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</si>
  <si>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</si>
  <si>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</si>
  <si>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</si>
  <si>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</si>
  <si>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</si>
  <si>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</si>
  <si>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</si>
  <si>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</si>
  <si>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</si>
  <si>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</si>
  <si>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</si>
  <si>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</si>
  <si>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</si>
  <si>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</si>
  <si>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</si>
  <si>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</si>
  <si>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</si>
  <si>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</si>
  <si>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</si>
  <si>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</si>
  <si>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</si>
  <si>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</si>
  <si>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</si>
  <si>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</si>
  <si>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</si>
  <si>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</si>
  <si>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</si>
  <si>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</si>
  <si>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</si>
  <si>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</si>
  <si>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</si>
  <si>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</si>
  <si>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</si>
  <si>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</si>
  <si>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</si>
  <si>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</si>
  <si>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</si>
  <si>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</si>
  <si>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</si>
  <si>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</si>
  <si>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</si>
  <si>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</si>
  <si>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</si>
  <si>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</si>
  <si>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</si>
  <si>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</si>
  <si>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</si>
  <si>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</si>
  <si>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</si>
  <si>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</si>
  <si>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</si>
  <si>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</si>
  <si>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</si>
  <si>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</si>
  <si>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</si>
  <si>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</si>
  <si>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</si>
  <si>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</si>
  <si>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</si>
  <si>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</si>
  <si>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</si>
  <si>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</si>
  <si>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</si>
  <si>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</si>
  <si>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</si>
  <si>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</si>
  <si>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</si>
  <si>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</si>
  <si>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</si>
  <si>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</si>
  <si>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</si>
  <si>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</si>
  <si>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</si>
  <si>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</si>
  <si>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</si>
  <si>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</si>
  <si>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</si>
  <si>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</si>
  <si>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</si>
  <si>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</si>
  <si>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</si>
  <si>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</si>
  <si>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</si>
  <si>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</si>
  <si>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</si>
  <si>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</si>
  <si>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</si>
  <si>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</si>
  <si>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</si>
  <si>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</si>
  <si>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</si>
  <si>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</si>
  <si>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</si>
  <si>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</si>
  <si>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</si>
  <si>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</si>
  <si>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</si>
  <si>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</si>
  <si>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scon Valves</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</si>
  <si>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</si>
  <si>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</si>
  <si>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</si>
  <si>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</si>
  <si>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</si>
  <si>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</si>
  <si>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</si>
  <si>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</si>
  <si>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</si>
  <si>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</si>
  <si>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</si>
  <si>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</si>
  <si>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</si>
  <si>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</si>
  <si>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</si>
  <si>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</si>
  <si>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</si>
  <si>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</si>
  <si>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</si>
  <si>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</si>
  <si>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</si>
  <si>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</si>
  <si>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</si>
  <si>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</si>
  <si>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</si>
  <si>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</si>
  <si>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</si>
  <si>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</si>
  <si>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</si>
  <si>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</si>
  <si>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</si>
  <si>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</si>
  <si>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</si>
  <si>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</si>
  <si>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</si>
  <si>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</si>
  <si>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</si>
  <si>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</si>
  <si>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</si>
  <si>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</si>
  <si>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</si>
  <si>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</si>
  <si>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</si>
  <si>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</si>
  <si>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</si>
  <si>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</si>
  <si>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</si>
  <si>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</si>
  <si>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</si>
  <si>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</si>
  <si>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</si>
  <si>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</si>
  <si>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</si>
  <si>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</si>
  <si>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</si>
  <si>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</si>
  <si>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</si>
  <si>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</si>
  <si>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</si>
  <si>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</si>
  <si>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</si>
  <si>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</si>
  <si>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</si>
  <si>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</si>
  <si>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</si>
  <si>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</si>
  <si>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</si>
  <si>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</si>
  <si>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</si>
  <si>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</si>
  <si>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</si>
  <si>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</si>
  <si>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</si>
  <si>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</si>
  <si>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</si>
  <si>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</si>
  <si>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</si>
  <si>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</si>
  <si>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</si>
  <si>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</si>
  <si>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</si>
  <si>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</si>
  <si>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</si>
  <si>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</si>
  <si>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</si>
  <si>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</si>
  <si>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</si>
  <si>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</si>
  <si>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</si>
  <si>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</si>
  <si>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</si>
  <si>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</si>
  <si>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</si>
  <si>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</si>
  <si>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</si>
  <si>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</si>
  <si>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</si>
  <si>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</si>
  <si>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</si>
  <si>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</si>
  <si>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</si>
  <si>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</si>
  <si>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</si>
  <si>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</si>
  <si>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</si>
  <si>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</si>
  <si>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</si>
  <si>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</si>
  <si>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</si>
  <si>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</si>
  <si>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</si>
  <si>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</si>
  <si>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</si>
  <si>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</si>
  <si>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</si>
  <si>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</si>
  <si>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</si>
  <si>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</si>
  <si>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</si>
  <si>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</si>
  <si>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</si>
  <si>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</si>
  <si>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</si>
  <si>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</si>
  <si>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</si>
  <si>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</si>
  <si>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</si>
  <si>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</si>
  <si>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</si>
  <si>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</si>
  <si>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</si>
  <si>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</si>
  <si>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</si>
  <si>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</si>
  <si>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</si>
  <si>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</si>
  <si>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</si>
  <si>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</si>
  <si>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</si>
  <si>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</si>
  <si>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</si>
  <si>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</si>
  <si>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</si>
  <si>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</si>
  <si>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</si>
  <si>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</si>
  <si>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</si>
  <si>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</si>
  <si>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</si>
  <si>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</si>
  <si>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</si>
  <si>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</si>
  <si>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Discount %</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</si>
  <si>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</si>
  <si>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</si>
  <si>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</si>
  <si>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</si>
  <si>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</si>
  <si>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</si>
  <si>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</si>
  <si>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</si>
  <si>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</si>
  <si>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</si>
  <si>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</si>
  <si>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</si>
  <si>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</si>
  <si>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</si>
  <si>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</si>
  <si>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</si>
  <si>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</si>
  <si>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</si>
  <si>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Received 2nd payment (given to Bilal bhai)</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</si>
  <si>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</si>
  <si>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</si>
  <si>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</si>
  <si>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</si>
  <si>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</si>
  <si>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</si>
  <si>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</si>
  <si>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</si>
  <si>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</si>
  <si>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</si>
  <si>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</si>
  <si>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</si>
  <si>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</si>
  <si>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</si>
  <si>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</si>
  <si>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</si>
  <si>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</si>
  <si>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</si>
  <si>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</si>
  <si>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</si>
  <si>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</si>
  <si>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</si>
  <si>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</si>
  <si>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</si>
  <si>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Rehmant shipping</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</si>
  <si>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</si>
  <si>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</si>
  <si>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</si>
  <si>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</si>
  <si>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</si>
  <si>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</si>
  <si>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</si>
  <si>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</si>
  <si>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</si>
  <si>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</si>
  <si>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</si>
  <si>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</si>
  <si>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</si>
  <si>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</si>
  <si>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</si>
  <si>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</si>
  <si>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</si>
  <si>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</si>
  <si>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</si>
  <si>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</si>
  <si>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</si>
  <si>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</si>
  <si>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</si>
  <si>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</si>
  <si>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</si>
  <si>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</si>
  <si>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</si>
  <si>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</si>
  <si>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</si>
  <si>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</si>
  <si>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</si>
  <si>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</si>
  <si>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</si>
  <si>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</si>
  <si>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</si>
  <si>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</si>
  <si>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</si>
  <si>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</si>
  <si>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</si>
  <si>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bharmaal international</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</si>
  <si>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</si>
  <si>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</si>
  <si>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</si>
  <si>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</si>
  <si>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</si>
  <si>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</si>
  <si>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</si>
  <si>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</si>
  <si>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</si>
  <si>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</si>
  <si>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</si>
  <si>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</si>
  <si>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</si>
  <si>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</si>
  <si>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</si>
  <si>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</si>
  <si>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</si>
  <si>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</si>
  <si>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</si>
  <si>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</si>
  <si>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</si>
  <si>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</si>
  <si>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</si>
  <si>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</si>
  <si>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</si>
  <si>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</si>
  <si>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</si>
  <si>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</si>
  <si>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</si>
  <si>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</si>
  <si>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</si>
  <si>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</si>
  <si>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</si>
  <si>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</si>
  <si>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</si>
  <si>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</si>
  <si>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</si>
  <si>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</si>
  <si>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</si>
  <si>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</si>
  <si>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</si>
  <si>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</si>
  <si>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</si>
  <si>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</si>
  <si>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</si>
  <si>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</si>
  <si>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</si>
  <si>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</si>
  <si>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</si>
  <si>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</si>
  <si>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</si>
  <si>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</si>
  <si>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</si>
  <si>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</si>
  <si>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</si>
  <si>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</si>
  <si>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</si>
  <si>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</si>
  <si>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</si>
  <si>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</si>
  <si>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</si>
  <si>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</si>
  <si>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</si>
  <si>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</si>
  <si>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Majid insulation</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</si>
  <si>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</si>
  <si>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</si>
  <si>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</si>
  <si>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</si>
  <si>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</si>
  <si>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</si>
  <si>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</si>
  <si>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</si>
  <si>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</si>
  <si>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</si>
  <si>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</si>
  <si>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</si>
  <si>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</si>
  <si>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</si>
  <si>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</si>
  <si>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</si>
  <si>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</si>
  <si>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</si>
  <si>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</si>
  <si>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</si>
  <si>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</si>
  <si>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</si>
  <si>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</si>
  <si>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</si>
  <si>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</si>
  <si>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</si>
  <si>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</si>
  <si>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</si>
  <si>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</si>
  <si>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</si>
  <si>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</si>
  <si>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</si>
  <si>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</si>
  <si>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</si>
  <si>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</si>
  <si>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</si>
  <si>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</si>
  <si>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</si>
  <si>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</si>
  <si>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</si>
  <si>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</si>
  <si>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</si>
  <si>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</si>
  <si>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</si>
  <si>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</si>
  <si>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</si>
  <si>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</si>
  <si>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</si>
  <si>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</si>
  <si>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</si>
  <si>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</si>
  <si>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</si>
  <si>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</si>
  <si>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</si>
  <si>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</si>
  <si>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</si>
  <si>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</si>
  <si>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</si>
  <si>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zakat</t>
  </si>
  <si>
    <t>paid by BH (online to rizwan ali)</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</si>
  <si>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</si>
  <si>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</si>
  <si>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</si>
  <si>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</si>
  <si>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</si>
  <si>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</si>
  <si>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</si>
  <si>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</si>
  <si>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</si>
  <si>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</si>
  <si>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</si>
  <si>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</si>
  <si>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</si>
  <si>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</si>
  <si>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</si>
  <si>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</si>
  <si>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</si>
  <si>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</si>
  <si>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</si>
  <si>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</si>
  <si>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</si>
  <si>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</si>
  <si>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 xml:space="preserve">zakat </t>
  </si>
  <si>
    <t>Zakat to tariq by ahsan (recommended by BH)</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</si>
  <si>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</si>
  <si>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</si>
  <si>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</si>
  <si>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</si>
  <si>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</si>
  <si>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</si>
  <si>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</si>
  <si>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</si>
  <si>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</si>
  <si>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</si>
  <si>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</si>
  <si>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</si>
  <si>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</si>
  <si>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</si>
  <si>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</si>
  <si>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</si>
  <si>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1018</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</si>
  <si>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</si>
  <si>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</si>
  <si>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</si>
  <si>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</si>
  <si>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</si>
  <si>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</si>
  <si>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</si>
  <si>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</si>
  <si>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</si>
  <si>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</si>
  <si>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</si>
  <si>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</si>
  <si>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</si>
  <si>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</si>
  <si>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</si>
  <si>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</si>
  <si>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</si>
  <si>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</si>
  <si>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</si>
  <si>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</si>
  <si>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</si>
  <si>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</si>
  <si>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</si>
  <si>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</si>
  <si>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</si>
  <si>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</si>
  <si>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</si>
  <si>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VISA office</t>
  </si>
  <si>
    <t>purchased motor</t>
  </si>
  <si>
    <t>purchaed 100 nos springs for diffusers + fare</t>
  </si>
  <si>
    <t>new building jameel</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</si>
  <si>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</si>
  <si>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</si>
  <si>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</si>
  <si>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</si>
  <si>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</si>
  <si>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</si>
  <si>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</si>
  <si>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</si>
  <si>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</si>
  <si>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</si>
  <si>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</si>
  <si>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</si>
  <si>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</si>
  <si>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</si>
  <si>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</si>
  <si>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</si>
  <si>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</si>
  <si>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</si>
  <si>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</si>
  <si>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</si>
  <si>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</si>
  <si>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</si>
  <si>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</si>
  <si>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JPMC psychiatry (in mohsin traders)</t>
  </si>
  <si>
    <t>Received from Total in acc of Meezan bank in Mohsin traders acc</t>
  </si>
  <si>
    <t>MCB chq 1973738890 (paid for commissioning CHQ amt = 189932</t>
  </si>
  <si>
    <t>MCB chq 1973738890 (paid for pressure switchCHQ amt = 189932</t>
  </si>
  <si>
    <t>chq from mughal</t>
  </si>
  <si>
    <t>MCB chq 1973738893  total amt = 88649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</si>
</sst>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
      <b/>
      <sz val="10"/>
      <color rgb="FFFF0000"/>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406">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12" fillId="0" borderId="0" xfId="0" applyFont="1"/>
    <xf numFmtId="0" fontId="12" fillId="13" borderId="0" xfId="0" applyFont="1" applyFill="1"/>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0" fontId="20" fillId="0" borderId="8" xfId="0" applyFont="1" applyBorder="1" applyAlignment="1">
      <alignment horizontal="left" indent="1"/>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applyFont="1" applyBorder="1"/>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80" fillId="0" borderId="1" xfId="0" applyFont="1" applyBorder="1"/>
    <xf numFmtId="0" fontId="80" fillId="0" borderId="1" xfId="0" applyFont="1" applyBorder="1" applyAlignment="1">
      <alignment vertical="center"/>
    </xf>
    <xf numFmtId="0" fontId="70" fillId="0" borderId="1" xfId="0" applyFont="1" applyBorder="1"/>
    <xf numFmtId="165" fontId="80" fillId="0" borderId="1" xfId="1" applyNumberFormat="1" applyFont="1" applyFill="1" applyBorder="1"/>
    <xf numFmtId="165" fontId="20" fillId="0" borderId="9" xfId="0" applyNumberFormat="1" applyFont="1" applyBorder="1" applyAlignment="1">
      <alignment vertical="center"/>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22" xfId="1" applyNumberFormat="1" applyFont="1" applyBorder="1" applyAlignment="1">
      <alignment horizontal="center" vertical="center"/>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2" fillId="0" borderId="1" xfId="0" applyFont="1" applyBorder="1" applyAlignment="1">
      <alignment horizontal="center" vertical="center" wrapText="1"/>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5" fillId="18" borderId="1" xfId="0" applyFont="1" applyFill="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7" fillId="0" borderId="1" xfId="0" applyFont="1" applyBorder="1" applyAlignment="1">
      <alignment horizontal="left" vertical="center"/>
    </xf>
    <xf numFmtId="0" fontId="3" fillId="0" borderId="23"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7" fillId="0" borderId="23"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79" fillId="0" borderId="0" xfId="0" applyFont="1" applyAlignment="1">
      <alignment horizont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50" fillId="0" borderId="0" xfId="0" applyFont="1" applyAlignment="1">
      <alignment horizontal="center" vertical="center"/>
    </xf>
    <xf numFmtId="0" fontId="40" fillId="13" borderId="0" xfId="0" applyFont="1" applyFill="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cellXfs>
  <cellStyles count="4">
    <cellStyle name="Comma" xfId="1" builtinId="3"/>
    <cellStyle name="Hyperlink" xfId="2" builtinId="8"/>
    <cellStyle name="Normal" xfId="0" builtinId="0"/>
    <cellStyle name="Percent" xfId="3" builtinId="5"/>
  </cellStyles>
  <dxfs count="690">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theme" Target="theme/theme1.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08-May-24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1335898.3032</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01.740038425924" createdVersion="5" refreshedVersion="8" minRefreshableVersion="3" recordCount="19109" xr:uid="{00000000-000A-0000-FFFF-FFFF2E000000}">
  <cacheSource type="worksheet">
    <worksheetSource ref="A1:H20170" sheet="Posting"/>
  </cacheSource>
  <cacheFields count="8">
    <cacheField name="Date" numFmtId="0">
      <sharedItems containsDate="1" containsBlank="1" containsMixedTypes="1" minDate="2013-12-15T00:00:00" maxDate="2024-04-19T00:00:00" count="2306">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18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42">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Various sites"/>
        <s v="BAF Maintenance"/>
        <s v="Bahria project"/>
        <s v="Engro 3rd &amp; 8th Floor"/>
        <s v="Zameer Sahab home"/>
        <s v="KEENU office"/>
        <s v="Dawat e Hadiyah"/>
        <s v="Rehmant shipping"/>
        <s v="BAH 12th Floor"/>
        <s v="HIVE NASTP"/>
        <s v="Marriot Hotel"/>
        <s v="Jamia tus Saifiyah"/>
        <s v="Tomo JPMC"/>
        <s v="food court hydery" u="1"/>
        <s v="o/m nueplex" u="1"/>
        <s v="engro" u="1"/>
        <s v="New Building Jameel baig" u="1"/>
        <s v="new building" u="1"/>
        <s v="new building jameel" u="1"/>
        <s v="3rd floor" u="1"/>
        <s v="bah 10-A floor" u="1"/>
        <s v="OT area" u="1"/>
        <s v="PSYCHOTRY depart" u="1"/>
        <s v="o/m neuplex Cienmas" u="1"/>
        <s v="visa office"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80">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khurshid fans"/>
        <s v="Zara Engineer"/>
        <s v="Masroor Khan"/>
        <s v="Zubair AC"/>
        <s v="malik traders"/>
        <s v="kayts"/>
        <s v="Farooq Mehboob"/>
        <s v="Naeem"/>
        <s v="alfa engineering services"/>
        <s v="De Creator"/>
        <s v="qadri pool "/>
        <s v="scon valve"/>
        <s v="Farooq"/>
        <s v="Haier"/>
        <s v="T Shirts"/>
        <s v="OSMA traders"/>
        <s v="JAS travels"/>
        <s v="faheem elec"/>
        <s v="Ismail Gee"/>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bharmaal international"/>
        <s v="Voldam "/>
        <s v="Balancing"/>
        <s v="Moghal Brother"/>
        <s v="DWP Pakistan"/>
        <s v="Majid insulation"/>
        <s v="Iftari"/>
        <s v="Kamran electrician"/>
        <s v="Super photo"/>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900"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Cash open chq available with Rehan"/>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Received from IK (Given to Adeel against GST Invoice)"/>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Bakhti for office use"/>
        <s v="Imran salary leave wave off and advance reversed"/>
        <s v="Mumtaz bhai 9 hrs Over time"/>
        <s v="Purchased antivertex plate from national engineering (Online by adeel)"/>
        <s v="a4 rim, colour copy binding sprirral"/>
        <s v="Purchased 06 Units (Payment form IK in ET acc)"/>
        <s v="Received from Total transfer in Mohsin traders acc c/o Bilal bhai"/>
        <s v="Rec from Ik in acc of EY (Given to al madina against GST invoice)"/>
        <s v="Rec from Ik in acc of EY (Given to Haier against GST invoice)"/>
        <s v="Rec chq from NEC (Given to Bilal bhai)"/>
        <s v="Cash received (used on office)"/>
        <s v="received March 2024 bill"/>
        <s v="Received chq (given to IK against GST invoice) Combined chq amount = 2,700,000/-"/>
        <s v="Received chq (Given to ST Brother against GST Invoice)"/>
        <s v="Received chq (Given to Shaikh traders care off Adeel  against GST Invoice)"/>
      </sharedItems>
    </cacheField>
    <cacheField name="Expenses" numFmtId="0">
      <sharedItems containsString="0" containsBlank="1" containsNumber="1" minValue="-1986500" maxValue="9654000"/>
    </cacheField>
    <cacheField name="Receipts" numFmtId="0">
      <sharedItems containsString="0" containsBlank="1" containsNumber="1" minValue="-950000" maxValue="34223184"/>
    </cacheField>
    <cacheField name="Balance" numFmtId="165">
      <sharedItems containsString="0" containsBlank="1" containsNumber="1" minValue="-9654000" maxValue="34223184"/>
    </cacheField>
    <cacheField name="Months/Years" numFmtId="0">
      <sharedItems containsBlank="1" count="149">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20.690516319446" createdVersion="5" refreshedVersion="8" minRefreshableVersion="3" recordCount="4147" xr:uid="{00000000-000A-0000-FFFF-FFFF2F000000}">
  <cacheSource type="worksheet">
    <worksheetSource ref="A1:H5532" sheet="Supplier"/>
  </cacheSource>
  <cacheFields count="8">
    <cacheField name="Date" numFmtId="0">
      <sharedItems containsNonDate="0" containsDate="1" containsString="0" containsBlank="1" minDate="2015-11-24T00:00:00" maxDate="2024-05-07T00:00:00" count="1357">
        <d v="2015-11-24T00:00:00"/>
        <d v="2015-12-01T00:00:00"/>
        <d v="2015-12-14T00:00:00"/>
        <d v="2015-12-17T00:00:00"/>
        <d v="2015-12-21T00:00:00"/>
        <d v="2015-12-28T00:00:00"/>
        <d v="2015-12-31T00:00:00"/>
        <d v="2016-01-02T00:00:00"/>
        <d v="2016-01-16T00:00:00"/>
        <d v="2016-01-18T00:00:00"/>
        <d v="2016-01-19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1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3T00:00:00"/>
        <d v="2024-04-04T00:00:00"/>
        <d v="2024-04-08T00:00:00"/>
        <d v="2024-04-22T00:00:00"/>
        <d v="2024-04-30T00:00:00"/>
        <d v="2024-05-06T00:00:00"/>
        <d v="2023-12-13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47">
        <s v="EFU"/>
        <s v="Tabba"/>
        <s v="Gul Ahmed 23rd Floor"/>
        <s v="Chase up"/>
        <s v="Kumail Bhai"/>
        <m/>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7">
        <s v="Saeed Sons"/>
        <s v="Kaytess"/>
        <s v="Islam uddin &amp; Sons"/>
        <s v="Tube Traders"/>
        <m/>
        <s v="Iqbal sons"/>
        <s v="Danish International"/>
        <s v="Tahiri Sanitary"/>
        <s v="Raza Engineering"/>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De Creator"/>
        <s v="Mehran Engineering"/>
        <s v="Build pro"/>
        <s v="Zara Engineers" u="1"/>
        <s v="Habib insulation"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Air Guide"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containsInteg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109">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339"/>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339"/>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339"/>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339"/>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770"/>
    <x v="8731"/>
    <n v="400000"/>
    <m/>
    <n v="-400000"/>
    <x v="110"/>
  </r>
  <r>
    <x v="2103"/>
    <x v="73"/>
    <x v="770"/>
    <x v="8731"/>
    <n v="600000"/>
    <m/>
    <n v="-600000"/>
    <x v="110"/>
  </r>
  <r>
    <x v="2103"/>
    <x v="94"/>
    <x v="771"/>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5"/>
    <x v="9257"/>
    <n v="40000"/>
    <m/>
    <n v="-40000"/>
    <x v="110"/>
  </r>
  <r>
    <x v="2103"/>
    <x v="79"/>
    <x v="474"/>
    <x v="9258"/>
    <n v="2000"/>
    <m/>
    <n v="-2000"/>
    <x v="110"/>
  </r>
  <r>
    <x v="2112"/>
    <x v="92"/>
    <x v="474"/>
    <x v="8211"/>
    <n v="250"/>
    <m/>
    <n v="-250"/>
    <x v="110"/>
  </r>
  <r>
    <x v="2112"/>
    <x v="73"/>
    <x v="772"/>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3"/>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4"/>
    <x v="9309"/>
    <n v="40000"/>
    <m/>
    <n v="-40000"/>
    <x v="110"/>
  </r>
  <r>
    <x v="2121"/>
    <x v="79"/>
    <x v="774"/>
    <x v="9309"/>
    <n v="15000"/>
    <m/>
    <n v="-15000"/>
    <x v="110"/>
  </r>
  <r>
    <x v="2121"/>
    <x v="84"/>
    <x v="774"/>
    <x v="9309"/>
    <n v="2000"/>
    <m/>
    <n v="-2000"/>
    <x v="110"/>
  </r>
  <r>
    <x v="2121"/>
    <x v="68"/>
    <x v="774"/>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775"/>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6"/>
    <x v="9322"/>
    <n v="24000"/>
    <m/>
    <n v="-24000"/>
    <x v="110"/>
  </r>
  <r>
    <x v="2122"/>
    <x v="86"/>
    <x v="143"/>
    <x v="8731"/>
    <n v="250000"/>
    <m/>
    <n v="-250000"/>
    <x v="110"/>
  </r>
  <r>
    <x v="2122"/>
    <x v="94"/>
    <x v="278"/>
    <x v="6089"/>
    <n v="2700"/>
    <m/>
    <n v="-2700"/>
    <x v="110"/>
  </r>
  <r>
    <x v="2123"/>
    <x v="73"/>
    <x v="467"/>
    <x v="9307"/>
    <n v="35000"/>
    <m/>
    <n v="-35000"/>
    <x v="110"/>
  </r>
  <r>
    <x v="2123"/>
    <x v="79"/>
    <x v="548"/>
    <x v="9323"/>
    <n v="765000"/>
    <m/>
    <n v="-765000"/>
    <x v="110"/>
  </r>
  <r>
    <x v="2123"/>
    <x v="90"/>
    <x v="493"/>
    <x v="9324"/>
    <n v="28300"/>
    <m/>
    <n v="-28300"/>
    <x v="110"/>
  </r>
  <r>
    <x v="2123"/>
    <x v="90"/>
    <x v="493"/>
    <x v="9325"/>
    <n v="-5700"/>
    <m/>
    <n v="5700"/>
    <x v="110"/>
  </r>
  <r>
    <x v="2123"/>
    <x v="73"/>
    <x v="74"/>
    <x v="1696"/>
    <n v="1000"/>
    <m/>
    <n v="-1000"/>
    <x v="110"/>
  </r>
  <r>
    <x v="2123"/>
    <x v="92"/>
    <x v="474"/>
    <x v="233"/>
    <n v="1700"/>
    <m/>
    <n v="-1700"/>
    <x v="110"/>
  </r>
  <r>
    <x v="2124"/>
    <x v="73"/>
    <x v="773"/>
    <x v="898"/>
    <n v="20000"/>
    <m/>
    <n v="-20000"/>
    <x v="110"/>
  </r>
  <r>
    <x v="2124"/>
    <x v="92"/>
    <x v="740"/>
    <x v="898"/>
    <n v="31000"/>
    <m/>
    <n v="-31000"/>
    <x v="110"/>
  </r>
  <r>
    <x v="2124"/>
    <x v="23"/>
    <x v="368"/>
    <x v="898"/>
    <n v="50000"/>
    <m/>
    <n v="-50000"/>
    <x v="110"/>
  </r>
  <r>
    <x v="2124"/>
    <x v="80"/>
    <x v="474"/>
    <x v="233"/>
    <n v="1500"/>
    <m/>
    <n v="-1500"/>
    <x v="110"/>
  </r>
  <r>
    <x v="2124"/>
    <x v="92"/>
    <x v="777"/>
    <x v="9326"/>
    <n v="50000"/>
    <m/>
    <n v="-50000"/>
    <x v="110"/>
  </r>
  <r>
    <x v="2124"/>
    <x v="4"/>
    <x v="4"/>
    <x v="6696"/>
    <n v="1700"/>
    <m/>
    <n v="-1700"/>
    <x v="110"/>
  </r>
  <r>
    <x v="2124"/>
    <x v="84"/>
    <x v="285"/>
    <x v="7068"/>
    <n v="1200"/>
    <m/>
    <n v="-1200"/>
    <x v="110"/>
  </r>
  <r>
    <x v="2124"/>
    <x v="81"/>
    <x v="778"/>
    <x v="9327"/>
    <n v="100000"/>
    <m/>
    <n v="-100000"/>
    <x v="110"/>
  </r>
  <r>
    <x v="2124"/>
    <x v="79"/>
    <x v="2"/>
    <x v="9328"/>
    <n v="14780"/>
    <m/>
    <n v="-14780"/>
    <x v="110"/>
  </r>
  <r>
    <x v="2124"/>
    <x v="94"/>
    <x v="619"/>
    <x v="9329"/>
    <n v="1000000"/>
    <m/>
    <n v="-1000000"/>
    <x v="110"/>
  </r>
  <r>
    <x v="2124"/>
    <x v="94"/>
    <x v="619"/>
    <x v="9307"/>
    <n v="250000"/>
    <m/>
    <n v="-250000"/>
    <x v="110"/>
  </r>
  <r>
    <x v="2124"/>
    <x v="94"/>
    <x v="619"/>
    <x v="9307"/>
    <n v="250000"/>
    <m/>
    <n v="-250000"/>
    <x v="110"/>
  </r>
  <r>
    <x v="2124"/>
    <x v="92"/>
    <x v="278"/>
    <x v="9330"/>
    <n v="1120"/>
    <m/>
    <n v="-1120"/>
    <x v="110"/>
  </r>
  <r>
    <x v="2125"/>
    <x v="4"/>
    <x v="516"/>
    <x v="898"/>
    <n v="5330"/>
    <m/>
    <n v="-5330"/>
    <x v="110"/>
  </r>
  <r>
    <x v="2125"/>
    <x v="84"/>
    <x v="474"/>
    <x v="233"/>
    <n v="1500"/>
    <m/>
    <n v="-1500"/>
    <x v="110"/>
  </r>
  <r>
    <x v="2125"/>
    <x v="79"/>
    <x v="474"/>
    <x v="233"/>
    <n v="550"/>
    <m/>
    <n v="-550"/>
    <x v="110"/>
  </r>
  <r>
    <x v="2125"/>
    <x v="90"/>
    <x v="286"/>
    <x v="9331"/>
    <n v="47000"/>
    <m/>
    <n v="-47000"/>
    <x v="110"/>
  </r>
  <r>
    <x v="2104"/>
    <x v="74"/>
    <x v="542"/>
    <x v="9332"/>
    <n v="80000"/>
    <m/>
    <n v="-80000"/>
    <x v="110"/>
  </r>
  <r>
    <x v="2107"/>
    <x v="79"/>
    <x v="748"/>
    <x v="9333"/>
    <n v="250000"/>
    <m/>
    <n v="-250000"/>
    <x v="110"/>
  </r>
  <r>
    <x v="2111"/>
    <x v="89"/>
    <x v="261"/>
    <x v="9334"/>
    <n v="15900"/>
    <m/>
    <n v="-15900"/>
    <x v="110"/>
  </r>
  <r>
    <x v="2111"/>
    <x v="23"/>
    <x v="261"/>
    <x v="9334"/>
    <n v="32760"/>
    <m/>
    <n v="-32760"/>
    <x v="110"/>
  </r>
  <r>
    <x v="2111"/>
    <x v="22"/>
    <x v="261"/>
    <x v="9334"/>
    <n v="35360"/>
    <m/>
    <n v="-35360"/>
    <x v="110"/>
  </r>
  <r>
    <x v="2126"/>
    <x v="79"/>
    <x v="757"/>
    <x v="9335"/>
    <n v="250000"/>
    <m/>
    <n v="-250000"/>
    <x v="110"/>
  </r>
  <r>
    <x v="2127"/>
    <x v="84"/>
    <x v="635"/>
    <x v="9336"/>
    <n v="150000"/>
    <m/>
    <n v="-150000"/>
    <x v="110"/>
  </r>
  <r>
    <x v="2127"/>
    <x v="81"/>
    <x v="664"/>
    <x v="9337"/>
    <n v="50000"/>
    <m/>
    <n v="-50000"/>
    <x v="110"/>
  </r>
  <r>
    <x v="2127"/>
    <x v="84"/>
    <x v="748"/>
    <x v="9338"/>
    <n v="45000"/>
    <m/>
    <n v="-45000"/>
    <x v="110"/>
  </r>
  <r>
    <x v="2127"/>
    <x v="67"/>
    <x v="748"/>
    <x v="9338"/>
    <n v="10000"/>
    <m/>
    <n v="-10000"/>
    <x v="110"/>
  </r>
  <r>
    <x v="2127"/>
    <x v="90"/>
    <x v="748"/>
    <x v="9338"/>
    <n v="75000"/>
    <m/>
    <n v="-75000"/>
    <x v="110"/>
  </r>
  <r>
    <x v="2127"/>
    <x v="79"/>
    <x v="748"/>
    <x v="9338"/>
    <n v="49000"/>
    <m/>
    <n v="-49000"/>
    <x v="110"/>
  </r>
  <r>
    <x v="2117"/>
    <x v="73"/>
    <x v="698"/>
    <x v="9339"/>
    <n v="1500000"/>
    <m/>
    <n v="-1500000"/>
    <x v="110"/>
  </r>
  <r>
    <x v="2117"/>
    <x v="79"/>
    <x v="78"/>
    <x v="9340"/>
    <n v="189553"/>
    <m/>
    <n v="-189553"/>
    <x v="110"/>
  </r>
  <r>
    <x v="2121"/>
    <x v="84"/>
    <x v="592"/>
    <x v="9341"/>
    <n v="1500000"/>
    <m/>
    <n v="-1500000"/>
    <x v="110"/>
  </r>
  <r>
    <x v="2121"/>
    <x v="79"/>
    <x v="78"/>
    <x v="9340"/>
    <n v="472527"/>
    <m/>
    <n v="-472527"/>
    <x v="110"/>
  </r>
  <r>
    <x v="2122"/>
    <x v="84"/>
    <x v="619"/>
    <x v="9341"/>
    <n v="1000000"/>
    <m/>
    <n v="-1000000"/>
    <x v="110"/>
  </r>
  <r>
    <x v="2122"/>
    <x v="94"/>
    <x v="779"/>
    <x v="9341"/>
    <n v="1000000"/>
    <m/>
    <n v="-1000000"/>
    <x v="110"/>
  </r>
  <r>
    <x v="2110"/>
    <x v="87"/>
    <x v="97"/>
    <x v="9342"/>
    <m/>
    <n v="1000000"/>
    <n v="1000000"/>
    <x v="110"/>
  </r>
  <r>
    <x v="2110"/>
    <x v="78"/>
    <x v="97"/>
    <x v="9343"/>
    <m/>
    <n v="100000"/>
    <n v="100000"/>
    <x v="110"/>
  </r>
  <r>
    <x v="2110"/>
    <x v="78"/>
    <x v="97"/>
    <x v="9344"/>
    <m/>
    <n v="-100000"/>
    <n v="-100000"/>
    <x v="110"/>
  </r>
  <r>
    <x v="2110"/>
    <x v="76"/>
    <x v="97"/>
    <x v="9345"/>
    <m/>
    <n v="520000"/>
    <n v="520000"/>
    <x v="110"/>
  </r>
  <r>
    <x v="2126"/>
    <x v="71"/>
    <x v="97"/>
    <x v="9346"/>
    <m/>
    <n v="3221233"/>
    <n v="3221233"/>
    <x v="110"/>
  </r>
  <r>
    <x v="2126"/>
    <x v="92"/>
    <x v="97"/>
    <x v="9346"/>
    <m/>
    <n v="1000000"/>
    <n v="1000000"/>
    <x v="110"/>
  </r>
  <r>
    <x v="2126"/>
    <x v="71"/>
    <x v="97"/>
    <x v="9184"/>
    <n v="42212"/>
    <m/>
    <n v="-42212"/>
    <x v="110"/>
  </r>
  <r>
    <x v="2126"/>
    <x v="23"/>
    <x v="97"/>
    <x v="9347"/>
    <m/>
    <n v="359992"/>
    <n v="359992"/>
    <x v="110"/>
  </r>
  <r>
    <x v="2127"/>
    <x v="80"/>
    <x v="97"/>
    <x v="9348"/>
    <m/>
    <n v="1500000"/>
    <n v="1500000"/>
    <x v="110"/>
  </r>
  <r>
    <x v="2113"/>
    <x v="80"/>
    <x v="97"/>
    <x v="9349"/>
    <m/>
    <n v="1000000"/>
    <n v="1000000"/>
    <x v="110"/>
  </r>
  <r>
    <x v="2113"/>
    <x v="80"/>
    <x v="97"/>
    <x v="9350"/>
    <m/>
    <n v="1000000"/>
    <n v="1000000"/>
    <x v="110"/>
  </r>
  <r>
    <x v="2113"/>
    <x v="80"/>
    <x v="97"/>
    <x v="9351"/>
    <m/>
    <n v="1000000"/>
    <n v="1000000"/>
    <x v="110"/>
  </r>
  <r>
    <x v="2113"/>
    <x v="80"/>
    <x v="97"/>
    <x v="9352"/>
    <m/>
    <n v="1000000"/>
    <n v="1000000"/>
    <x v="110"/>
  </r>
  <r>
    <x v="2113"/>
    <x v="80"/>
    <x v="97"/>
    <x v="9353"/>
    <m/>
    <n v="1500000"/>
    <n v="1500000"/>
    <x v="110"/>
  </r>
  <r>
    <x v="2114"/>
    <x v="80"/>
    <x v="97"/>
    <x v="9354"/>
    <m/>
    <n v="1000000"/>
    <n v="1000000"/>
    <x v="110"/>
  </r>
  <r>
    <x v="2114"/>
    <x v="80"/>
    <x v="97"/>
    <x v="9355"/>
    <m/>
    <n v="1000000"/>
    <n v="1000000"/>
    <x v="110"/>
  </r>
  <r>
    <x v="2114"/>
    <x v="80"/>
    <x v="97"/>
    <x v="9356"/>
    <m/>
    <n v="1000000"/>
    <n v="1000000"/>
    <x v="110"/>
  </r>
  <r>
    <x v="2114"/>
    <x v="80"/>
    <x v="97"/>
    <x v="9357"/>
    <m/>
    <n v="1500000"/>
    <n v="1500000"/>
    <x v="110"/>
  </r>
  <r>
    <x v="2114"/>
    <x v="80"/>
    <x v="97"/>
    <x v="9358"/>
    <m/>
    <n v="1500000"/>
    <n v="1500000"/>
    <x v="110"/>
  </r>
  <r>
    <x v="2114"/>
    <x v="80"/>
    <x v="97"/>
    <x v="9359"/>
    <m/>
    <n v="1417880"/>
    <n v="1417880"/>
    <x v="110"/>
  </r>
  <r>
    <x v="2114"/>
    <x v="80"/>
    <x v="97"/>
    <x v="9360"/>
    <m/>
    <n v="2200"/>
    <n v="2200"/>
    <x v="110"/>
  </r>
  <r>
    <x v="2117"/>
    <x v="71"/>
    <x v="97"/>
    <x v="9361"/>
    <m/>
    <n v="5000000"/>
    <n v="5000000"/>
    <x v="110"/>
  </r>
  <r>
    <x v="2117"/>
    <x v="71"/>
    <x v="97"/>
    <x v="9362"/>
    <m/>
    <n v="-650000"/>
    <n v="-650000"/>
    <x v="110"/>
  </r>
  <r>
    <x v="2117"/>
    <x v="71"/>
    <x v="97"/>
    <x v="9362"/>
    <m/>
    <n v="-750000"/>
    <n v="-750000"/>
    <x v="110"/>
  </r>
  <r>
    <x v="2117"/>
    <x v="71"/>
    <x v="97"/>
    <x v="9362"/>
    <m/>
    <n v="-850000"/>
    <n v="-850000"/>
    <x v="110"/>
  </r>
  <r>
    <x v="2117"/>
    <x v="71"/>
    <x v="97"/>
    <x v="9363"/>
    <m/>
    <n v="-950000"/>
    <n v="-950000"/>
    <x v="110"/>
  </r>
  <r>
    <x v="2117"/>
    <x v="71"/>
    <x v="97"/>
    <x v="9184"/>
    <n v="15850"/>
    <m/>
    <n v="-15850"/>
    <x v="110"/>
  </r>
  <r>
    <x v="2120"/>
    <x v="80"/>
    <x v="97"/>
    <x v="9364"/>
    <m/>
    <n v="550000"/>
    <n v="550000"/>
    <x v="110"/>
  </r>
  <r>
    <x v="2120"/>
    <x v="80"/>
    <x v="97"/>
    <x v="9364"/>
    <m/>
    <n v="600000"/>
    <n v="600000"/>
    <x v="110"/>
  </r>
  <r>
    <x v="2120"/>
    <x v="80"/>
    <x v="97"/>
    <x v="9365"/>
    <m/>
    <n v="650000"/>
    <n v="650000"/>
    <x v="110"/>
  </r>
  <r>
    <x v="2120"/>
    <x v="80"/>
    <x v="97"/>
    <x v="9366"/>
    <m/>
    <n v="700000"/>
    <n v="700000"/>
    <x v="110"/>
  </r>
  <r>
    <x v="2120"/>
    <x v="80"/>
    <x v="97"/>
    <x v="9365"/>
    <m/>
    <n v="750000"/>
    <n v="750000"/>
    <x v="110"/>
  </r>
  <r>
    <x v="2120"/>
    <x v="80"/>
    <x v="97"/>
    <x v="9365"/>
    <m/>
    <n v="850000"/>
    <n v="850000"/>
    <x v="110"/>
  </r>
  <r>
    <x v="2120"/>
    <x v="80"/>
    <x v="97"/>
    <x v="9359"/>
    <m/>
    <n v="900000"/>
    <n v="900000"/>
    <x v="110"/>
  </r>
  <r>
    <x v="2120"/>
    <x v="79"/>
    <x v="97"/>
    <x v="9367"/>
    <m/>
    <n v="189553"/>
    <n v="189553"/>
    <x v="110"/>
  </r>
  <r>
    <x v="2120"/>
    <x v="79"/>
    <x v="97"/>
    <x v="9367"/>
    <m/>
    <n v="472527"/>
    <n v="472527"/>
    <x v="110"/>
  </r>
  <r>
    <x v="2121"/>
    <x v="22"/>
    <x v="97"/>
    <x v="9368"/>
    <m/>
    <n v="333522"/>
    <n v="333522"/>
    <x v="110"/>
  </r>
  <r>
    <x v="2121"/>
    <x v="80"/>
    <x v="97"/>
    <x v="9369"/>
    <m/>
    <n v="1075700"/>
    <n v="1075700"/>
    <x v="110"/>
  </r>
  <r>
    <x v="2122"/>
    <x v="58"/>
    <x v="97"/>
    <x v="9370"/>
    <m/>
    <n v="561910"/>
    <n v="561910"/>
    <x v="110"/>
  </r>
  <r>
    <x v="2122"/>
    <x v="93"/>
    <x v="97"/>
    <x v="9371"/>
    <m/>
    <n v="112665"/>
    <n v="112665"/>
    <x v="110"/>
  </r>
  <r>
    <x v="2123"/>
    <x v="79"/>
    <x v="97"/>
    <x v="9372"/>
    <m/>
    <n v="4416116"/>
    <n v="4416116"/>
    <x v="110"/>
  </r>
  <r>
    <x v="2123"/>
    <x v="2"/>
    <x v="97"/>
    <x v="9372"/>
    <m/>
    <n v="132000"/>
    <n v="132000"/>
    <x v="110"/>
  </r>
  <r>
    <x v="2123"/>
    <x v="2"/>
    <x v="97"/>
    <x v="9184"/>
    <n v="45000"/>
    <m/>
    <n v="-45000"/>
    <x v="110"/>
  </r>
  <r>
    <x v="2124"/>
    <x v="16"/>
    <x v="97"/>
    <x v="9373"/>
    <m/>
    <n v="369964"/>
    <n v="369964"/>
    <x v="110"/>
  </r>
  <r>
    <x v="2128"/>
    <x v="76"/>
    <x v="45"/>
    <x v="9307"/>
    <n v="250000"/>
    <m/>
    <n v="-250000"/>
    <x v="111"/>
  </r>
  <r>
    <x v="2128"/>
    <x v="86"/>
    <x v="64"/>
    <x v="1"/>
    <n v="5000"/>
    <m/>
    <n v="-5000"/>
    <x v="111"/>
  </r>
  <r>
    <x v="2128"/>
    <x v="4"/>
    <x v="4"/>
    <x v="6696"/>
    <n v="3000"/>
    <m/>
    <n v="-3000"/>
    <x v="111"/>
  </r>
  <r>
    <x v="2128"/>
    <x v="2"/>
    <x v="776"/>
    <x v="9374"/>
    <n v="3000"/>
    <m/>
    <n v="-3000"/>
    <x v="111"/>
  </r>
  <r>
    <x v="2128"/>
    <x v="90"/>
    <x v="465"/>
    <x v="9375"/>
    <n v="39000"/>
    <m/>
    <n v="-39000"/>
    <x v="111"/>
  </r>
  <r>
    <x v="2128"/>
    <x v="86"/>
    <x v="145"/>
    <x v="9376"/>
    <n v="16000"/>
    <m/>
    <n v="-16000"/>
    <x v="111"/>
  </r>
  <r>
    <x v="2128"/>
    <x v="67"/>
    <x v="386"/>
    <x v="9377"/>
    <n v="3740"/>
    <m/>
    <n v="-3740"/>
    <x v="111"/>
  </r>
  <r>
    <x v="2128"/>
    <x v="79"/>
    <x v="474"/>
    <x v="233"/>
    <n v="600"/>
    <m/>
    <n v="-600"/>
    <x v="111"/>
  </r>
  <r>
    <x v="2128"/>
    <x v="4"/>
    <x v="4"/>
    <x v="9378"/>
    <n v="740"/>
    <m/>
    <n v="-740"/>
    <x v="111"/>
  </r>
  <r>
    <x v="2128"/>
    <x v="84"/>
    <x v="278"/>
    <x v="3557"/>
    <n v="3800"/>
    <m/>
    <n v="-3800"/>
    <x v="111"/>
  </r>
  <r>
    <x v="2129"/>
    <x v="92"/>
    <x v="278"/>
    <x v="9379"/>
    <n v="44500"/>
    <m/>
    <n v="-44500"/>
    <x v="111"/>
  </r>
  <r>
    <x v="2129"/>
    <x v="79"/>
    <x v="278"/>
    <x v="9379"/>
    <n v="280400"/>
    <m/>
    <n v="-280400"/>
    <x v="111"/>
  </r>
  <r>
    <x v="2129"/>
    <x v="90"/>
    <x v="278"/>
    <x v="9379"/>
    <n v="3000"/>
    <m/>
    <n v="-3000"/>
    <x v="111"/>
  </r>
  <r>
    <x v="2129"/>
    <x v="80"/>
    <x v="278"/>
    <x v="9379"/>
    <n v="25000"/>
    <m/>
    <n v="-25000"/>
    <x v="111"/>
  </r>
  <r>
    <x v="2129"/>
    <x v="76"/>
    <x v="278"/>
    <x v="9379"/>
    <n v="4500"/>
    <m/>
    <n v="-4500"/>
    <x v="111"/>
  </r>
  <r>
    <x v="2129"/>
    <x v="76"/>
    <x v="208"/>
    <x v="9307"/>
    <n v="267000"/>
    <m/>
    <n v="-267000"/>
    <x v="111"/>
  </r>
  <r>
    <x v="2129"/>
    <x v="16"/>
    <x v="780"/>
    <x v="9380"/>
    <n v="15000"/>
    <m/>
    <n v="-15000"/>
    <x v="111"/>
  </r>
  <r>
    <x v="2129"/>
    <x v="23"/>
    <x v="285"/>
    <x v="8883"/>
    <n v="500"/>
    <m/>
    <n v="-500"/>
    <x v="111"/>
  </r>
  <r>
    <x v="2129"/>
    <x v="23"/>
    <x v="474"/>
    <x v="233"/>
    <n v="2500"/>
    <m/>
    <n v="-2500"/>
    <x v="111"/>
  </r>
  <r>
    <x v="2129"/>
    <x v="80"/>
    <x v="474"/>
    <x v="233"/>
    <n v="1800"/>
    <m/>
    <n v="-1800"/>
    <x v="111"/>
  </r>
  <r>
    <x v="2129"/>
    <x v="4"/>
    <x v="4"/>
    <x v="9381"/>
    <n v="5000"/>
    <m/>
    <n v="-5000"/>
    <x v="111"/>
  </r>
  <r>
    <x v="2129"/>
    <x v="92"/>
    <x v="278"/>
    <x v="9382"/>
    <n v="38000"/>
    <m/>
    <n v="-38000"/>
    <x v="111"/>
  </r>
  <r>
    <x v="2129"/>
    <x v="73"/>
    <x v="278"/>
    <x v="9383"/>
    <n v="38000"/>
    <m/>
    <n v="-38000"/>
    <x v="111"/>
  </r>
  <r>
    <x v="2129"/>
    <x v="87"/>
    <x v="278"/>
    <x v="9384"/>
    <n v="100000"/>
    <m/>
    <n v="-100000"/>
    <x v="111"/>
  </r>
  <r>
    <x v="2130"/>
    <x v="1"/>
    <x v="43"/>
    <x v="9385"/>
    <n v="5000"/>
    <m/>
    <n v="-5000"/>
    <x v="111"/>
  </r>
  <r>
    <x v="2130"/>
    <x v="92"/>
    <x v="278"/>
    <x v="9386"/>
    <n v="3000"/>
    <m/>
    <n v="-3000"/>
    <x v="111"/>
  </r>
  <r>
    <x v="2130"/>
    <x v="73"/>
    <x v="390"/>
    <x v="9387"/>
    <n v="7000"/>
    <m/>
    <n v="-7000"/>
    <x v="111"/>
  </r>
  <r>
    <x v="2130"/>
    <x v="92"/>
    <x v="611"/>
    <x v="898"/>
    <n v="40000"/>
    <m/>
    <n v="-40000"/>
    <x v="111"/>
  </r>
  <r>
    <x v="2130"/>
    <x v="80"/>
    <x v="474"/>
    <x v="233"/>
    <n v="700"/>
    <m/>
    <n v="-700"/>
    <x v="111"/>
  </r>
  <r>
    <x v="2130"/>
    <x v="4"/>
    <x v="4"/>
    <x v="6696"/>
    <n v="3000"/>
    <m/>
    <n v="-3000"/>
    <x v="111"/>
  </r>
  <r>
    <x v="2130"/>
    <x v="73"/>
    <x v="278"/>
    <x v="9388"/>
    <n v="7000"/>
    <m/>
    <n v="-7000"/>
    <x v="111"/>
  </r>
  <r>
    <x v="2130"/>
    <x v="80"/>
    <x v="278"/>
    <x v="9389"/>
    <n v="6000"/>
    <m/>
    <n v="-6000"/>
    <x v="111"/>
  </r>
  <r>
    <x v="2130"/>
    <x v="4"/>
    <x v="4"/>
    <x v="6696"/>
    <n v="4000"/>
    <m/>
    <n v="-4000"/>
    <x v="111"/>
  </r>
  <r>
    <x v="2130"/>
    <x v="67"/>
    <x v="477"/>
    <x v="9390"/>
    <n v="60000"/>
    <m/>
    <n v="-60000"/>
    <x v="111"/>
  </r>
  <r>
    <x v="2130"/>
    <x v="83"/>
    <x v="477"/>
    <x v="9390"/>
    <n v="190000"/>
    <m/>
    <n v="-190000"/>
    <x v="111"/>
  </r>
  <r>
    <x v="2130"/>
    <x v="79"/>
    <x v="731"/>
    <x v="9307"/>
    <n v="500000"/>
    <m/>
    <n v="-500000"/>
    <x v="111"/>
  </r>
  <r>
    <x v="2130"/>
    <x v="92"/>
    <x v="611"/>
    <x v="8876"/>
    <n v="30000"/>
    <m/>
    <n v="-30000"/>
    <x v="111"/>
  </r>
  <r>
    <x v="2130"/>
    <x v="92"/>
    <x v="369"/>
    <x v="8876"/>
    <n v="50000"/>
    <m/>
    <n v="-50000"/>
    <x v="111"/>
  </r>
  <r>
    <x v="2131"/>
    <x v="94"/>
    <x v="548"/>
    <x v="9323"/>
    <n v="750000"/>
    <m/>
    <n v="-750000"/>
    <x v="111"/>
  </r>
  <r>
    <x v="2131"/>
    <x v="80"/>
    <x v="644"/>
    <x v="9391"/>
    <n v="250000"/>
    <m/>
    <n v="-250000"/>
    <x v="111"/>
  </r>
  <r>
    <x v="2131"/>
    <x v="90"/>
    <x v="644"/>
    <x v="9391"/>
    <n v="250000"/>
    <m/>
    <n v="-250000"/>
    <x v="111"/>
  </r>
  <r>
    <x v="2131"/>
    <x v="92"/>
    <x v="644"/>
    <x v="9391"/>
    <n v="500000"/>
    <m/>
    <n v="-500000"/>
    <x v="111"/>
  </r>
  <r>
    <x v="2131"/>
    <x v="23"/>
    <x v="278"/>
    <x v="9392"/>
    <n v="78000"/>
    <m/>
    <n v="-78000"/>
    <x v="111"/>
  </r>
  <r>
    <x v="2131"/>
    <x v="23"/>
    <x v="474"/>
    <x v="9393"/>
    <n v="2500"/>
    <m/>
    <n v="-2500"/>
    <x v="111"/>
  </r>
  <r>
    <x v="2131"/>
    <x v="23"/>
    <x v="285"/>
    <x v="8883"/>
    <n v="500"/>
    <m/>
    <n v="-500"/>
    <x v="111"/>
  </r>
  <r>
    <x v="2131"/>
    <x v="94"/>
    <x v="278"/>
    <x v="9394"/>
    <n v="85000"/>
    <m/>
    <n v="-85000"/>
    <x v="111"/>
  </r>
  <r>
    <x v="2131"/>
    <x v="94"/>
    <x v="781"/>
    <x v="9395"/>
    <n v="165988"/>
    <m/>
    <n v="-165988"/>
    <x v="111"/>
  </r>
  <r>
    <x v="2131"/>
    <x v="81"/>
    <x v="778"/>
    <x v="9396"/>
    <n v="60000"/>
    <m/>
    <n v="-60000"/>
    <x v="111"/>
  </r>
  <r>
    <x v="2131"/>
    <x v="1"/>
    <x v="2"/>
    <x v="9397"/>
    <n v="400"/>
    <m/>
    <n v="-400"/>
    <x v="111"/>
  </r>
  <r>
    <x v="2131"/>
    <x v="1"/>
    <x v="2"/>
    <x v="5271"/>
    <n v="3000"/>
    <m/>
    <n v="-3000"/>
    <x v="111"/>
  </r>
  <r>
    <x v="2131"/>
    <x v="79"/>
    <x v="278"/>
    <x v="9398"/>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399"/>
    <n v="15000"/>
    <m/>
    <n v="-15000"/>
    <x v="111"/>
  </r>
  <r>
    <x v="2132"/>
    <x v="23"/>
    <x v="782"/>
    <x v="9400"/>
    <n v="75000"/>
    <m/>
    <n v="-75000"/>
    <x v="111"/>
  </r>
  <r>
    <x v="2132"/>
    <x v="4"/>
    <x v="4"/>
    <x v="6696"/>
    <n v="4000"/>
    <m/>
    <n v="-4000"/>
    <x v="111"/>
  </r>
  <r>
    <x v="2132"/>
    <x v="4"/>
    <x v="4"/>
    <x v="9401"/>
    <n v="1800"/>
    <m/>
    <n v="-1800"/>
    <x v="111"/>
  </r>
  <r>
    <x v="2132"/>
    <x v="94"/>
    <x v="694"/>
    <x v="233"/>
    <n v="2700"/>
    <m/>
    <n v="-2700"/>
    <x v="111"/>
  </r>
  <r>
    <x v="2132"/>
    <x v="94"/>
    <x v="145"/>
    <x v="9402"/>
    <n v="13000"/>
    <m/>
    <n v="-13000"/>
    <x v="111"/>
  </r>
  <r>
    <x v="2133"/>
    <x v="37"/>
    <x v="769"/>
    <x v="9307"/>
    <n v="50000"/>
    <m/>
    <n v="-50000"/>
    <x v="111"/>
  </r>
  <r>
    <x v="2133"/>
    <x v="81"/>
    <x v="761"/>
    <x v="9403"/>
    <n v="200000"/>
    <m/>
    <n v="-200000"/>
    <x v="111"/>
  </r>
  <r>
    <x v="2132"/>
    <x v="90"/>
    <x v="278"/>
    <x v="9404"/>
    <n v="14000"/>
    <m/>
    <n v="-14000"/>
    <x v="111"/>
  </r>
  <r>
    <x v="2132"/>
    <x v="90"/>
    <x v="783"/>
    <x v="9405"/>
    <n v="3600000"/>
    <m/>
    <n v="-3600000"/>
    <x v="111"/>
  </r>
  <r>
    <x v="2133"/>
    <x v="79"/>
    <x v="277"/>
    <x v="9406"/>
    <n v="15000"/>
    <m/>
    <n v="-15000"/>
    <x v="111"/>
  </r>
  <r>
    <x v="2133"/>
    <x v="94"/>
    <x v="474"/>
    <x v="233"/>
    <n v="1700"/>
    <m/>
    <n v="-1700"/>
    <x v="111"/>
  </r>
  <r>
    <x v="2133"/>
    <x v="79"/>
    <x v="474"/>
    <x v="8211"/>
    <n v="400"/>
    <m/>
    <n v="-400"/>
    <x v="111"/>
  </r>
  <r>
    <x v="2133"/>
    <x v="95"/>
    <x v="278"/>
    <x v="9407"/>
    <n v="10300"/>
    <m/>
    <n v="-10300"/>
    <x v="111"/>
  </r>
  <r>
    <x v="2133"/>
    <x v="84"/>
    <x v="2"/>
    <x v="9408"/>
    <n v="150"/>
    <m/>
    <n v="-150"/>
    <x v="111"/>
  </r>
  <r>
    <x v="2133"/>
    <x v="79"/>
    <x v="278"/>
    <x v="9409"/>
    <n v="2000"/>
    <m/>
    <n v="-2000"/>
    <x v="111"/>
  </r>
  <r>
    <x v="2133"/>
    <x v="94"/>
    <x v="474"/>
    <x v="9410"/>
    <n v="500"/>
    <m/>
    <n v="-500"/>
    <x v="111"/>
  </r>
  <r>
    <x v="2134"/>
    <x v="95"/>
    <x v="278"/>
    <x v="9411"/>
    <n v="1500"/>
    <m/>
    <n v="-1500"/>
    <x v="111"/>
  </r>
  <r>
    <x v="2134"/>
    <x v="73"/>
    <x v="474"/>
    <x v="9412"/>
    <n v="5000"/>
    <m/>
    <n v="-5000"/>
    <x v="111"/>
  </r>
  <r>
    <x v="2134"/>
    <x v="73"/>
    <x v="285"/>
    <x v="9413"/>
    <n v="7000"/>
    <m/>
    <n v="-7000"/>
    <x v="111"/>
  </r>
  <r>
    <x v="2134"/>
    <x v="73"/>
    <x v="278"/>
    <x v="7883"/>
    <n v="29500"/>
    <m/>
    <n v="-29500"/>
    <x v="111"/>
  </r>
  <r>
    <x v="2134"/>
    <x v="73"/>
    <x v="2"/>
    <x v="9414"/>
    <n v="10000"/>
    <m/>
    <n v="-10000"/>
    <x v="111"/>
  </r>
  <r>
    <x v="2134"/>
    <x v="73"/>
    <x v="278"/>
    <x v="9415"/>
    <n v="10000"/>
    <m/>
    <n v="-10000"/>
    <x v="111"/>
  </r>
  <r>
    <x v="2134"/>
    <x v="4"/>
    <x v="2"/>
    <x v="9416"/>
    <n v="5000"/>
    <m/>
    <n v="-5000"/>
    <x v="111"/>
  </r>
  <r>
    <x v="2135"/>
    <x v="73"/>
    <x v="606"/>
    <x v="9417"/>
    <n v="40000"/>
    <m/>
    <n v="-40000"/>
    <x v="111"/>
  </r>
  <r>
    <x v="2135"/>
    <x v="77"/>
    <x v="644"/>
    <x v="9418"/>
    <n v="25780"/>
    <m/>
    <n v="-25780"/>
    <x v="111"/>
  </r>
  <r>
    <x v="2135"/>
    <x v="80"/>
    <x v="644"/>
    <x v="9418"/>
    <n v="10470"/>
    <m/>
    <n v="-10470"/>
    <x v="111"/>
  </r>
  <r>
    <x v="2135"/>
    <x v="84"/>
    <x v="644"/>
    <x v="9418"/>
    <n v="1347"/>
    <m/>
    <n v="-1347"/>
    <x v="111"/>
  </r>
  <r>
    <x v="2135"/>
    <x v="79"/>
    <x v="644"/>
    <x v="9418"/>
    <n v="187415"/>
    <m/>
    <n v="-187415"/>
    <x v="111"/>
  </r>
  <r>
    <x v="2135"/>
    <x v="85"/>
    <x v="644"/>
    <x v="9418"/>
    <n v="4390"/>
    <m/>
    <n v="-4390"/>
    <x v="111"/>
  </r>
  <r>
    <x v="2135"/>
    <x v="87"/>
    <x v="644"/>
    <x v="9418"/>
    <n v="75122"/>
    <m/>
    <n v="-75122"/>
    <x v="111"/>
  </r>
  <r>
    <x v="2135"/>
    <x v="90"/>
    <x v="644"/>
    <x v="9418"/>
    <n v="130168"/>
    <m/>
    <n v="-130168"/>
    <x v="111"/>
  </r>
  <r>
    <x v="2135"/>
    <x v="88"/>
    <x v="644"/>
    <x v="9418"/>
    <n v="13416"/>
    <m/>
    <n v="-13416"/>
    <x v="111"/>
  </r>
  <r>
    <x v="2135"/>
    <x v="96"/>
    <x v="644"/>
    <x v="9418"/>
    <n v="56173"/>
    <m/>
    <n v="-56173"/>
    <x v="111"/>
  </r>
  <r>
    <x v="2135"/>
    <x v="91"/>
    <x v="644"/>
    <x v="9418"/>
    <n v="73043"/>
    <m/>
    <n v="-73043"/>
    <x v="111"/>
  </r>
  <r>
    <x v="2135"/>
    <x v="92"/>
    <x v="644"/>
    <x v="9418"/>
    <n v="322676"/>
    <m/>
    <n v="-322676"/>
    <x v="111"/>
  </r>
  <r>
    <x v="2135"/>
    <x v="94"/>
    <x v="716"/>
    <x v="9307"/>
    <n v="275000"/>
    <m/>
    <n v="-275000"/>
    <x v="111"/>
  </r>
  <r>
    <x v="2135"/>
    <x v="73"/>
    <x v="474"/>
    <x v="233"/>
    <n v="240"/>
    <m/>
    <n v="-240"/>
    <x v="111"/>
  </r>
  <r>
    <x v="2135"/>
    <x v="73"/>
    <x v="773"/>
    <x v="9419"/>
    <n v="20000"/>
    <m/>
    <n v="-20000"/>
    <x v="111"/>
  </r>
  <r>
    <x v="2135"/>
    <x v="4"/>
    <x v="4"/>
    <x v="6696"/>
    <n v="4000"/>
    <m/>
    <n v="-4000"/>
    <x v="111"/>
  </r>
  <r>
    <x v="2135"/>
    <x v="23"/>
    <x v="465"/>
    <x v="9420"/>
    <n v="20000"/>
    <m/>
    <n v="-20000"/>
    <x v="111"/>
  </r>
  <r>
    <x v="2135"/>
    <x v="91"/>
    <x v="784"/>
    <x v="9421"/>
    <n v="15100"/>
    <m/>
    <n v="-15100"/>
    <x v="111"/>
  </r>
  <r>
    <x v="2135"/>
    <x v="67"/>
    <x v="2"/>
    <x v="9422"/>
    <n v="600"/>
    <m/>
    <n v="-600"/>
    <x v="111"/>
  </r>
  <r>
    <x v="2135"/>
    <x v="94"/>
    <x v="465"/>
    <x v="2606"/>
    <n v="5000"/>
    <m/>
    <n v="-5000"/>
    <x v="111"/>
  </r>
  <r>
    <x v="2136"/>
    <x v="94"/>
    <x v="390"/>
    <x v="8477"/>
    <n v="7000"/>
    <m/>
    <n v="-7000"/>
    <x v="111"/>
  </r>
  <r>
    <x v="2137"/>
    <x v="97"/>
    <x v="596"/>
    <x v="9423"/>
    <n v="94000"/>
    <m/>
    <n v="-94000"/>
    <x v="111"/>
  </r>
  <r>
    <x v="2137"/>
    <x v="94"/>
    <x v="278"/>
    <x v="9424"/>
    <n v="85000"/>
    <m/>
    <n v="-85000"/>
    <x v="111"/>
  </r>
  <r>
    <x v="2137"/>
    <x v="94"/>
    <x v="548"/>
    <x v="9425"/>
    <n v="306300"/>
    <m/>
    <n v="-306300"/>
    <x v="111"/>
  </r>
  <r>
    <x v="2137"/>
    <x v="79"/>
    <x v="774"/>
    <x v="9426"/>
    <n v="14100"/>
    <m/>
    <n v="-14100"/>
    <x v="111"/>
  </r>
  <r>
    <x v="2137"/>
    <x v="73"/>
    <x v="774"/>
    <x v="9426"/>
    <n v="65000"/>
    <m/>
    <n v="-65000"/>
    <x v="111"/>
  </r>
  <r>
    <x v="2137"/>
    <x v="94"/>
    <x v="774"/>
    <x v="9426"/>
    <n v="128080"/>
    <m/>
    <n v="-128080"/>
    <x v="111"/>
  </r>
  <r>
    <x v="2138"/>
    <x v="73"/>
    <x v="698"/>
    <x v="6442"/>
    <n v="700000"/>
    <m/>
    <n v="-700000"/>
    <x v="111"/>
  </r>
  <r>
    <x v="2139"/>
    <x v="73"/>
    <x v="773"/>
    <x v="9427"/>
    <n v="40000"/>
    <m/>
    <n v="-40000"/>
    <x v="111"/>
  </r>
  <r>
    <x v="2136"/>
    <x v="4"/>
    <x v="2"/>
    <x v="9428"/>
    <n v="25000"/>
    <m/>
    <n v="-25000"/>
    <x v="111"/>
  </r>
  <r>
    <x v="2136"/>
    <x v="92"/>
    <x v="611"/>
    <x v="6371"/>
    <n v="88000"/>
    <m/>
    <n v="-88000"/>
    <x v="111"/>
  </r>
  <r>
    <x v="2136"/>
    <x v="4"/>
    <x v="4"/>
    <x v="6924"/>
    <n v="850"/>
    <m/>
    <n v="-850"/>
    <x v="111"/>
  </r>
  <r>
    <x v="2136"/>
    <x v="73"/>
    <x v="2"/>
    <x v="9429"/>
    <n v="1000"/>
    <m/>
    <n v="-1000"/>
    <x v="111"/>
  </r>
  <r>
    <x v="2138"/>
    <x v="90"/>
    <x v="758"/>
    <x v="9430"/>
    <n v="80000"/>
    <m/>
    <n v="-80000"/>
    <x v="111"/>
  </r>
  <r>
    <x v="2138"/>
    <x v="84"/>
    <x v="758"/>
    <x v="9430"/>
    <n v="30000"/>
    <m/>
    <n v="-30000"/>
    <x v="111"/>
  </r>
  <r>
    <x v="2138"/>
    <x v="68"/>
    <x v="78"/>
    <x v="9431"/>
    <n v="148537"/>
    <m/>
    <n v="-148537"/>
    <x v="111"/>
  </r>
  <r>
    <x v="2138"/>
    <x v="77"/>
    <x v="78"/>
    <x v="9431"/>
    <n v="8740"/>
    <m/>
    <n v="-8740"/>
    <x v="111"/>
  </r>
  <r>
    <x v="2138"/>
    <x v="67"/>
    <x v="78"/>
    <x v="9431"/>
    <n v="91300"/>
    <m/>
    <n v="-91300"/>
    <x v="111"/>
  </r>
  <r>
    <x v="2138"/>
    <x v="52"/>
    <x v="78"/>
    <x v="9431"/>
    <n v="10980"/>
    <m/>
    <n v="-10980"/>
    <x v="111"/>
  </r>
  <r>
    <x v="2138"/>
    <x v="83"/>
    <x v="78"/>
    <x v="9431"/>
    <n v="206520"/>
    <m/>
    <n v="-206520"/>
    <x v="111"/>
  </r>
  <r>
    <x v="2138"/>
    <x v="88"/>
    <x v="78"/>
    <x v="9431"/>
    <n v="19640"/>
    <m/>
    <n v="-19640"/>
    <x v="111"/>
  </r>
  <r>
    <x v="2138"/>
    <x v="81"/>
    <x v="78"/>
    <x v="9431"/>
    <n v="259118"/>
    <m/>
    <n v="-259118"/>
    <x v="111"/>
  </r>
  <r>
    <x v="2138"/>
    <x v="84"/>
    <x v="78"/>
    <x v="9431"/>
    <n v="5165"/>
    <m/>
    <n v="-5165"/>
    <x v="111"/>
  </r>
  <r>
    <x v="2140"/>
    <x v="94"/>
    <x v="278"/>
    <x v="9432"/>
    <n v="125000"/>
    <m/>
    <n v="-125000"/>
    <x v="111"/>
  </r>
  <r>
    <x v="2138"/>
    <x v="7"/>
    <x v="27"/>
    <x v="9433"/>
    <n v="5500"/>
    <m/>
    <n v="-5500"/>
    <x v="111"/>
  </r>
  <r>
    <x v="2138"/>
    <x v="4"/>
    <x v="27"/>
    <x v="9433"/>
    <n v="5500"/>
    <m/>
    <n v="-5500"/>
    <x v="111"/>
  </r>
  <r>
    <x v="2138"/>
    <x v="94"/>
    <x v="785"/>
    <x v="9434"/>
    <n v="114000"/>
    <m/>
    <n v="-114000"/>
    <x v="111"/>
  </r>
  <r>
    <x v="2138"/>
    <x v="4"/>
    <x v="4"/>
    <x v="9435"/>
    <n v="4000"/>
    <m/>
    <n v="-4000"/>
    <x v="111"/>
  </r>
  <r>
    <x v="2138"/>
    <x v="94"/>
    <x v="285"/>
    <x v="7068"/>
    <n v="2000"/>
    <m/>
    <n v="-2000"/>
    <x v="111"/>
  </r>
  <r>
    <x v="2138"/>
    <x v="84"/>
    <x v="277"/>
    <x v="233"/>
    <n v="850"/>
    <m/>
    <n v="-850"/>
    <x v="111"/>
  </r>
  <r>
    <x v="2138"/>
    <x v="94"/>
    <x v="474"/>
    <x v="9436"/>
    <n v="5550"/>
    <m/>
    <n v="-5550"/>
    <x v="111"/>
  </r>
  <r>
    <x v="2140"/>
    <x v="92"/>
    <x v="474"/>
    <x v="9436"/>
    <n v="3500"/>
    <m/>
    <n v="-3500"/>
    <x v="111"/>
  </r>
  <r>
    <x v="2140"/>
    <x v="94"/>
    <x v="278"/>
    <x v="9437"/>
    <n v="85000"/>
    <m/>
    <n v="-85000"/>
    <x v="111"/>
  </r>
  <r>
    <x v="2139"/>
    <x v="94"/>
    <x v="232"/>
    <x v="9434"/>
    <n v="108000"/>
    <m/>
    <n v="-108000"/>
    <x v="111"/>
  </r>
  <r>
    <x v="2139"/>
    <x v="94"/>
    <x v="417"/>
    <x v="9438"/>
    <n v="550000"/>
    <m/>
    <n v="-550000"/>
    <x v="111"/>
  </r>
  <r>
    <x v="2139"/>
    <x v="84"/>
    <x v="542"/>
    <x v="9439"/>
    <n v="42000"/>
    <m/>
    <n v="-42000"/>
    <x v="111"/>
  </r>
  <r>
    <x v="2139"/>
    <x v="79"/>
    <x v="542"/>
    <x v="9439"/>
    <n v="30000"/>
    <m/>
    <n v="-30000"/>
    <x v="111"/>
  </r>
  <r>
    <x v="2139"/>
    <x v="90"/>
    <x v="758"/>
    <x v="9440"/>
    <n v="19000"/>
    <m/>
    <n v="-19000"/>
    <x v="111"/>
  </r>
  <r>
    <x v="2139"/>
    <x v="94"/>
    <x v="786"/>
    <x v="9441"/>
    <n v="240000"/>
    <m/>
    <n v="-240000"/>
    <x v="111"/>
  </r>
  <r>
    <x v="2139"/>
    <x v="94"/>
    <x v="278"/>
    <x v="9442"/>
    <n v="4100"/>
    <m/>
    <n v="-4100"/>
    <x v="111"/>
  </r>
  <r>
    <x v="2139"/>
    <x v="94"/>
    <x v="285"/>
    <x v="7068"/>
    <n v="1000"/>
    <m/>
    <n v="-1000"/>
    <x v="111"/>
  </r>
  <r>
    <x v="2139"/>
    <x v="94"/>
    <x v="278"/>
    <x v="9443"/>
    <n v="5900"/>
    <m/>
    <n v="-5900"/>
    <x v="111"/>
  </r>
  <r>
    <x v="2139"/>
    <x v="94"/>
    <x v="474"/>
    <x v="9436"/>
    <n v="2000"/>
    <m/>
    <n v="-2000"/>
    <x v="111"/>
  </r>
  <r>
    <x v="2139"/>
    <x v="94"/>
    <x v="390"/>
    <x v="9444"/>
    <n v="1000"/>
    <m/>
    <n v="-1000"/>
    <x v="111"/>
  </r>
  <r>
    <x v="2139"/>
    <x v="4"/>
    <x v="4"/>
    <x v="6924"/>
    <n v="2000"/>
    <m/>
    <n v="-2000"/>
    <x v="111"/>
  </r>
  <r>
    <x v="2139"/>
    <x v="79"/>
    <x v="474"/>
    <x v="233"/>
    <n v="3000"/>
    <m/>
    <n v="-3000"/>
    <x v="111"/>
  </r>
  <r>
    <x v="2139"/>
    <x v="79"/>
    <x v="474"/>
    <x v="9445"/>
    <n v="5100"/>
    <m/>
    <n v="-5100"/>
    <x v="111"/>
  </r>
  <r>
    <x v="2141"/>
    <x v="94"/>
    <x v="278"/>
    <x v="9446"/>
    <n v="8500"/>
    <m/>
    <n v="-8500"/>
    <x v="111"/>
  </r>
  <r>
    <x v="2141"/>
    <x v="94"/>
    <x v="474"/>
    <x v="9436"/>
    <n v="2500"/>
    <m/>
    <n v="-2500"/>
    <x v="111"/>
  </r>
  <r>
    <x v="2141"/>
    <x v="79"/>
    <x v="278"/>
    <x v="9447"/>
    <n v="1900"/>
    <m/>
    <n v="-1900"/>
    <x v="111"/>
  </r>
  <r>
    <x v="2141"/>
    <x v="7"/>
    <x v="2"/>
    <x v="9448"/>
    <n v="900"/>
    <m/>
    <n v="-900"/>
    <x v="111"/>
  </r>
  <r>
    <x v="2141"/>
    <x v="94"/>
    <x v="694"/>
    <x v="466"/>
    <n v="3940"/>
    <m/>
    <n v="-3940"/>
    <x v="111"/>
  </r>
  <r>
    <x v="2141"/>
    <x v="94"/>
    <x v="474"/>
    <x v="9449"/>
    <n v="1500"/>
    <m/>
    <n v="-1500"/>
    <x v="111"/>
  </r>
  <r>
    <x v="2142"/>
    <x v="4"/>
    <x v="4"/>
    <x v="6924"/>
    <n v="4000"/>
    <m/>
    <n v="-4000"/>
    <x v="111"/>
  </r>
  <r>
    <x v="2142"/>
    <x v="79"/>
    <x v="278"/>
    <x v="9450"/>
    <n v="20300"/>
    <m/>
    <n v="-20300"/>
    <x v="111"/>
  </r>
  <r>
    <x v="2143"/>
    <x v="84"/>
    <x v="750"/>
    <x v="9451"/>
    <n v="4500"/>
    <m/>
    <n v="-4500"/>
    <x v="111"/>
  </r>
  <r>
    <x v="2143"/>
    <x v="88"/>
    <x v="278"/>
    <x v="9452"/>
    <n v="1000"/>
    <m/>
    <n v="-1000"/>
    <x v="111"/>
  </r>
  <r>
    <x v="2143"/>
    <x v="92"/>
    <x v="2"/>
    <x v="9453"/>
    <n v="2500"/>
    <m/>
    <n v="-2500"/>
    <x v="111"/>
  </r>
  <r>
    <x v="2143"/>
    <x v="79"/>
    <x v="474"/>
    <x v="233"/>
    <n v="2000"/>
    <m/>
    <n v="-2000"/>
    <x v="111"/>
  </r>
  <r>
    <x v="2143"/>
    <x v="94"/>
    <x v="474"/>
    <x v="233"/>
    <n v="1000"/>
    <m/>
    <n v="-1000"/>
    <x v="111"/>
  </r>
  <r>
    <x v="2142"/>
    <x v="79"/>
    <x v="744"/>
    <x v="9454"/>
    <n v="100000"/>
    <m/>
    <n v="-100000"/>
    <x v="111"/>
  </r>
  <r>
    <x v="2142"/>
    <x v="92"/>
    <x v="783"/>
    <x v="9307"/>
    <n v="520000"/>
    <m/>
    <n v="-520000"/>
    <x v="111"/>
  </r>
  <r>
    <x v="2142"/>
    <x v="94"/>
    <x v="729"/>
    <x v="9455"/>
    <n v="700000"/>
    <m/>
    <n v="-700000"/>
    <x v="111"/>
  </r>
  <r>
    <x v="2142"/>
    <x v="79"/>
    <x v="744"/>
    <x v="8439"/>
    <n v="25000"/>
    <m/>
    <n v="-25000"/>
    <x v="111"/>
  </r>
  <r>
    <x v="2142"/>
    <x v="73"/>
    <x v="338"/>
    <x v="9456"/>
    <n v="300000"/>
    <m/>
    <n v="-300000"/>
    <x v="111"/>
  </r>
  <r>
    <x v="2142"/>
    <x v="90"/>
    <x v="748"/>
    <x v="9457"/>
    <n v="75000"/>
    <m/>
    <n v="-75000"/>
    <x v="111"/>
  </r>
  <r>
    <x v="2144"/>
    <x v="16"/>
    <x v="205"/>
    <x v="9458"/>
    <n v="20000"/>
    <m/>
    <n v="-20000"/>
    <x v="111"/>
  </r>
  <r>
    <x v="2144"/>
    <x v="79"/>
    <x v="766"/>
    <x v="9459"/>
    <n v="210000"/>
    <m/>
    <n v="-210000"/>
    <x v="111"/>
  </r>
  <r>
    <x v="2144"/>
    <x v="77"/>
    <x v="766"/>
    <x v="9459"/>
    <n v="160000"/>
    <m/>
    <n v="-160000"/>
    <x v="111"/>
  </r>
  <r>
    <x v="2144"/>
    <x v="94"/>
    <x v="766"/>
    <x v="9459"/>
    <n v="180000"/>
    <m/>
    <n v="-180000"/>
    <x v="111"/>
  </r>
  <r>
    <x v="2144"/>
    <x v="7"/>
    <x v="560"/>
    <x v="9460"/>
    <n v="80000"/>
    <m/>
    <n v="-80000"/>
    <x v="111"/>
  </r>
  <r>
    <x v="2144"/>
    <x v="37"/>
    <x v="291"/>
    <x v="9461"/>
    <n v="150000"/>
    <m/>
    <n v="-150000"/>
    <x v="111"/>
  </r>
  <r>
    <x v="2144"/>
    <x v="58"/>
    <x v="760"/>
    <x v="9462"/>
    <n v="24000"/>
    <m/>
    <n v="-24000"/>
    <x v="111"/>
  </r>
  <r>
    <x v="2144"/>
    <x v="92"/>
    <x v="369"/>
    <x v="9104"/>
    <n v="250000"/>
    <m/>
    <n v="-250000"/>
    <x v="111"/>
  </r>
  <r>
    <x v="2145"/>
    <x v="76"/>
    <x v="518"/>
    <x v="9462"/>
    <n v="100000"/>
    <m/>
    <n v="-100000"/>
    <x v="111"/>
  </r>
  <r>
    <x v="2144"/>
    <x v="4"/>
    <x v="4"/>
    <x v="6924"/>
    <n v="4000"/>
    <m/>
    <n v="-4000"/>
    <x v="111"/>
  </r>
  <r>
    <x v="2145"/>
    <x v="73"/>
    <x v="536"/>
    <x v="9463"/>
    <n v="1500"/>
    <m/>
    <n v="-1500"/>
    <x v="111"/>
  </r>
  <r>
    <x v="2145"/>
    <x v="79"/>
    <x v="278"/>
    <x v="9464"/>
    <n v="350"/>
    <m/>
    <n v="-350"/>
    <x v="111"/>
  </r>
  <r>
    <x v="2145"/>
    <x v="79"/>
    <x v="285"/>
    <x v="5409"/>
    <n v="150"/>
    <m/>
    <n v="-150"/>
    <x v="111"/>
  </r>
  <r>
    <x v="2145"/>
    <x v="79"/>
    <x v="278"/>
    <x v="9465"/>
    <n v="20500"/>
    <m/>
    <n v="-20500"/>
    <x v="111"/>
  </r>
  <r>
    <x v="2145"/>
    <x v="2"/>
    <x v="465"/>
    <x v="9466"/>
    <n v="5000"/>
    <m/>
    <n v="-5000"/>
    <x v="111"/>
  </r>
  <r>
    <x v="2145"/>
    <x v="94"/>
    <x v="474"/>
    <x v="9467"/>
    <n v="3000"/>
    <m/>
    <n v="-3000"/>
    <x v="111"/>
  </r>
  <r>
    <x v="2145"/>
    <x v="58"/>
    <x v="278"/>
    <x v="9468"/>
    <n v="12080"/>
    <m/>
    <n v="-12080"/>
    <x v="111"/>
  </r>
  <r>
    <x v="2145"/>
    <x v="4"/>
    <x v="4"/>
    <x v="6924"/>
    <n v="1000"/>
    <m/>
    <n v="-1000"/>
    <x v="111"/>
  </r>
  <r>
    <x v="2145"/>
    <x v="79"/>
    <x v="2"/>
    <x v="9469"/>
    <n v="120"/>
    <m/>
    <n v="-120"/>
    <x v="111"/>
  </r>
  <r>
    <x v="2145"/>
    <x v="91"/>
    <x v="278"/>
    <x v="9470"/>
    <n v="16200"/>
    <m/>
    <n v="-16200"/>
    <x v="111"/>
  </r>
  <r>
    <x v="2145"/>
    <x v="91"/>
    <x v="278"/>
    <x v="5324"/>
    <n v="5050"/>
    <m/>
    <n v="-5050"/>
    <x v="111"/>
  </r>
  <r>
    <x v="2145"/>
    <x v="73"/>
    <x v="278"/>
    <x v="7883"/>
    <n v="4760"/>
    <m/>
    <n v="-4760"/>
    <x v="111"/>
  </r>
  <r>
    <x v="2145"/>
    <x v="92"/>
    <x v="278"/>
    <x v="9471"/>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2"/>
    <n v="400"/>
    <m/>
    <n v="-400"/>
    <x v="111"/>
  </r>
  <r>
    <x v="2146"/>
    <x v="84"/>
    <x v="278"/>
    <x v="9473"/>
    <n v="5000"/>
    <m/>
    <n v="-5000"/>
    <x v="111"/>
  </r>
  <r>
    <x v="2146"/>
    <x v="94"/>
    <x v="278"/>
    <x v="9474"/>
    <n v="84000"/>
    <m/>
    <n v="-84000"/>
    <x v="111"/>
  </r>
  <r>
    <x v="2146"/>
    <x v="79"/>
    <x v="278"/>
    <x v="9474"/>
    <n v="50000"/>
    <m/>
    <n v="-50000"/>
    <x v="111"/>
  </r>
  <r>
    <x v="2146"/>
    <x v="97"/>
    <x v="278"/>
    <x v="9474"/>
    <n v="27180"/>
    <m/>
    <n v="-27180"/>
    <x v="111"/>
  </r>
  <r>
    <x v="2146"/>
    <x v="80"/>
    <x v="278"/>
    <x v="9474"/>
    <n v="5600"/>
    <m/>
    <n v="-5600"/>
    <x v="111"/>
  </r>
  <r>
    <x v="2146"/>
    <x v="84"/>
    <x v="278"/>
    <x v="9474"/>
    <n v="11580"/>
    <m/>
    <n v="-11580"/>
    <x v="111"/>
  </r>
  <r>
    <x v="2146"/>
    <x v="92"/>
    <x v="278"/>
    <x v="9474"/>
    <n v="29535"/>
    <m/>
    <n v="-29535"/>
    <x v="111"/>
  </r>
  <r>
    <x v="2146"/>
    <x v="97"/>
    <x v="611"/>
    <x v="9475"/>
    <n v="50000"/>
    <m/>
    <n v="-50000"/>
    <x v="111"/>
  </r>
  <r>
    <x v="2146"/>
    <x v="94"/>
    <x v="757"/>
    <x v="9476"/>
    <n v="200000"/>
    <m/>
    <n v="-200000"/>
    <x v="111"/>
  </r>
  <r>
    <x v="2147"/>
    <x v="73"/>
    <x v="770"/>
    <x v="9477"/>
    <n v="400000"/>
    <m/>
    <n v="-400000"/>
    <x v="111"/>
  </r>
  <r>
    <x v="2147"/>
    <x v="94"/>
    <x v="278"/>
    <x v="9478"/>
    <n v="32500"/>
    <m/>
    <n v="-32500"/>
    <x v="111"/>
  </r>
  <r>
    <x v="2147"/>
    <x v="79"/>
    <x v="278"/>
    <x v="9478"/>
    <n v="32500"/>
    <m/>
    <n v="-32500"/>
    <x v="111"/>
  </r>
  <r>
    <x v="2147"/>
    <x v="97"/>
    <x v="278"/>
    <x v="9478"/>
    <n v="32500"/>
    <m/>
    <n v="-32500"/>
    <x v="111"/>
  </r>
  <r>
    <x v="2147"/>
    <x v="94"/>
    <x v="474"/>
    <x v="233"/>
    <n v="500"/>
    <m/>
    <n v="-500"/>
    <x v="111"/>
  </r>
  <r>
    <x v="2147"/>
    <x v="94"/>
    <x v="278"/>
    <x v="9479"/>
    <n v="7200"/>
    <m/>
    <n v="-7200"/>
    <x v="111"/>
  </r>
  <r>
    <x v="2147"/>
    <x v="79"/>
    <x v="278"/>
    <x v="9479"/>
    <n v="7200"/>
    <m/>
    <n v="-7200"/>
    <x v="111"/>
  </r>
  <r>
    <x v="2147"/>
    <x v="97"/>
    <x v="278"/>
    <x v="9479"/>
    <n v="7200"/>
    <m/>
    <n v="-7200"/>
    <x v="111"/>
  </r>
  <r>
    <x v="2147"/>
    <x v="94"/>
    <x v="278"/>
    <x v="9480"/>
    <n v="3000"/>
    <m/>
    <n v="-3000"/>
    <x v="111"/>
  </r>
  <r>
    <x v="2147"/>
    <x v="79"/>
    <x v="278"/>
    <x v="9480"/>
    <n v="3000"/>
    <m/>
    <n v="-3000"/>
    <x v="111"/>
  </r>
  <r>
    <x v="2147"/>
    <x v="97"/>
    <x v="278"/>
    <x v="9480"/>
    <n v="3000"/>
    <m/>
    <n v="-3000"/>
    <x v="111"/>
  </r>
  <r>
    <x v="2147"/>
    <x v="79"/>
    <x v="474"/>
    <x v="233"/>
    <n v="2600"/>
    <m/>
    <n v="-2600"/>
    <x v="111"/>
  </r>
  <r>
    <x v="2147"/>
    <x v="73"/>
    <x v="278"/>
    <x v="9481"/>
    <n v="37840"/>
    <m/>
    <n v="-37840"/>
    <x v="111"/>
  </r>
  <r>
    <x v="2147"/>
    <x v="58"/>
    <x v="278"/>
    <x v="9481"/>
    <n v="11000"/>
    <m/>
    <n v="-11000"/>
    <x v="111"/>
  </r>
  <r>
    <x v="2148"/>
    <x v="3"/>
    <x v="278"/>
    <x v="9482"/>
    <n v="1500"/>
    <m/>
    <n v="-1500"/>
    <x v="111"/>
  </r>
  <r>
    <x v="2148"/>
    <x v="91"/>
    <x v="278"/>
    <x v="9483"/>
    <n v="1500"/>
    <m/>
    <n v="-1500"/>
    <x v="111"/>
  </r>
  <r>
    <x v="2148"/>
    <x v="4"/>
    <x v="4"/>
    <x v="2436"/>
    <n v="5000"/>
    <m/>
    <n v="-5000"/>
    <x v="111"/>
  </r>
  <r>
    <x v="2148"/>
    <x v="74"/>
    <x v="542"/>
    <x v="898"/>
    <n v="11000"/>
    <m/>
    <n v="-11000"/>
    <x v="111"/>
  </r>
  <r>
    <x v="2148"/>
    <x v="61"/>
    <x v="542"/>
    <x v="898"/>
    <n v="20000"/>
    <m/>
    <n v="-20000"/>
    <x v="111"/>
  </r>
  <r>
    <x v="2148"/>
    <x v="1"/>
    <x v="43"/>
    <x v="9484"/>
    <n v="3500"/>
    <m/>
    <n v="-3500"/>
    <x v="111"/>
  </r>
  <r>
    <x v="2148"/>
    <x v="1"/>
    <x v="285"/>
    <x v="233"/>
    <n v="700"/>
    <m/>
    <n v="-700"/>
    <x v="111"/>
  </r>
  <r>
    <x v="2148"/>
    <x v="84"/>
    <x v="750"/>
    <x v="9485"/>
    <n v="19000"/>
    <m/>
    <n v="-19000"/>
    <x v="111"/>
  </r>
  <r>
    <x v="2148"/>
    <x v="80"/>
    <x v="592"/>
    <x v="9307"/>
    <n v="1000000"/>
    <m/>
    <n v="-1000000"/>
    <x v="111"/>
  </r>
  <r>
    <x v="2148"/>
    <x v="94"/>
    <x v="771"/>
    <x v="8731"/>
    <n v="500000"/>
    <m/>
    <n v="-500000"/>
    <x v="111"/>
  </r>
  <r>
    <x v="2148"/>
    <x v="97"/>
    <x v="655"/>
    <x v="8731"/>
    <n v="150000"/>
    <m/>
    <n v="-150000"/>
    <x v="111"/>
  </r>
  <r>
    <x v="2148"/>
    <x v="73"/>
    <x v="278"/>
    <x v="4063"/>
    <n v="10330"/>
    <m/>
    <n v="-10330"/>
    <x v="111"/>
  </r>
  <r>
    <x v="2148"/>
    <x v="91"/>
    <x v="278"/>
    <x v="9486"/>
    <n v="125960"/>
    <m/>
    <n v="-125960"/>
    <x v="111"/>
  </r>
  <r>
    <x v="2148"/>
    <x v="61"/>
    <x v="43"/>
    <x v="9487"/>
    <n v="33000"/>
    <m/>
    <n v="-33000"/>
    <x v="111"/>
  </r>
  <r>
    <x v="2148"/>
    <x v="84"/>
    <x v="787"/>
    <x v="9488"/>
    <n v="50000"/>
    <m/>
    <n v="-50000"/>
    <x v="111"/>
  </r>
  <r>
    <x v="2149"/>
    <x v="73"/>
    <x v="474"/>
    <x v="9489"/>
    <n v="500"/>
    <m/>
    <n v="-500"/>
    <x v="111"/>
  </r>
  <r>
    <x v="2149"/>
    <x v="4"/>
    <x v="4"/>
    <x v="2436"/>
    <n v="1500"/>
    <m/>
    <n v="-1500"/>
    <x v="111"/>
  </r>
  <r>
    <x v="2149"/>
    <x v="98"/>
    <x v="58"/>
    <x v="3671"/>
    <n v="54400"/>
    <m/>
    <n v="-54400"/>
    <x v="111"/>
  </r>
  <r>
    <x v="2149"/>
    <x v="94"/>
    <x v="553"/>
    <x v="9307"/>
    <n v="500000"/>
    <m/>
    <n v="-500000"/>
    <x v="111"/>
  </r>
  <r>
    <x v="2149"/>
    <x v="94"/>
    <x v="788"/>
    <x v="9490"/>
    <n v="1010000"/>
    <m/>
    <n v="-1010000"/>
    <x v="111"/>
  </r>
  <r>
    <x v="2149"/>
    <x v="94"/>
    <x v="644"/>
    <x v="9491"/>
    <n v="1000000"/>
    <m/>
    <n v="-1000000"/>
    <x v="111"/>
  </r>
  <r>
    <x v="2149"/>
    <x v="86"/>
    <x v="21"/>
    <x v="9492"/>
    <n v="480000"/>
    <m/>
    <n v="-480000"/>
    <x v="111"/>
  </r>
  <r>
    <x v="2149"/>
    <x v="86"/>
    <x v="21"/>
    <x v="9492"/>
    <n v="370000"/>
    <m/>
    <n v="-37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89"/>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3"/>
    <x v="898"/>
    <n v="15000"/>
    <m/>
    <n v="-15000"/>
    <x v="111"/>
  </r>
  <r>
    <x v="2152"/>
    <x v="97"/>
    <x v="390"/>
    <x v="9444"/>
    <n v="1250"/>
    <m/>
    <n v="-1250"/>
    <x v="111"/>
  </r>
  <r>
    <x v="2152"/>
    <x v="94"/>
    <x v="474"/>
    <x v="233"/>
    <n v="3500"/>
    <m/>
    <n v="-3500"/>
    <x v="111"/>
  </r>
  <r>
    <x v="2152"/>
    <x v="67"/>
    <x v="642"/>
    <x v="898"/>
    <n v="50000"/>
    <m/>
    <n v="-50000"/>
    <x v="111"/>
  </r>
  <r>
    <x v="2152"/>
    <x v="97"/>
    <x v="278"/>
    <x v="9514"/>
    <n v="3680"/>
    <m/>
    <n v="-3680"/>
    <x v="111"/>
  </r>
  <r>
    <x v="2152"/>
    <x v="99"/>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90"/>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87"/>
    <x v="7568"/>
    <n v="5000"/>
    <m/>
    <n v="-5000"/>
    <x v="111"/>
  </r>
  <r>
    <x v="2153"/>
    <x v="100"/>
    <x v="285"/>
    <x v="9535"/>
    <n v="2700"/>
    <m/>
    <n v="-2700"/>
    <x v="111"/>
  </r>
  <r>
    <x v="2154"/>
    <x v="58"/>
    <x v="314"/>
    <x v="9536"/>
    <n v="5000"/>
    <m/>
    <n v="-5000"/>
    <x v="111"/>
  </r>
  <r>
    <x v="2154"/>
    <x v="86"/>
    <x v="789"/>
    <x v="8731"/>
    <n v="300000"/>
    <m/>
    <n v="-300000"/>
    <x v="111"/>
  </r>
  <r>
    <x v="2154"/>
    <x v="95"/>
    <x v="278"/>
    <x v="9537"/>
    <n v="90000"/>
    <m/>
    <n v="-90000"/>
    <x v="111"/>
  </r>
  <r>
    <x v="2154"/>
    <x v="94"/>
    <x v="2"/>
    <x v="4400"/>
    <n v="4200"/>
    <m/>
    <n v="-4200"/>
    <x v="111"/>
  </r>
  <r>
    <x v="2154"/>
    <x v="58"/>
    <x v="314"/>
    <x v="9538"/>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39"/>
    <n v="19100"/>
    <m/>
    <n v="-19100"/>
    <x v="111"/>
  </r>
  <r>
    <x v="2128"/>
    <x v="76"/>
    <x v="248"/>
    <x v="9540"/>
    <n v="91980"/>
    <m/>
    <n v="-91980"/>
    <x v="111"/>
  </r>
  <r>
    <x v="2128"/>
    <x v="74"/>
    <x v="248"/>
    <x v="9540"/>
    <n v="21340"/>
    <m/>
    <n v="-21340"/>
    <x v="111"/>
  </r>
  <r>
    <x v="2128"/>
    <x v="81"/>
    <x v="248"/>
    <x v="9540"/>
    <n v="140985"/>
    <m/>
    <n v="-140985"/>
    <x v="111"/>
  </r>
  <r>
    <x v="2128"/>
    <x v="80"/>
    <x v="248"/>
    <x v="9540"/>
    <n v="15980"/>
    <m/>
    <n v="-15980"/>
    <x v="111"/>
  </r>
  <r>
    <x v="2128"/>
    <x v="67"/>
    <x v="248"/>
    <x v="9540"/>
    <n v="45000"/>
    <m/>
    <n v="-45000"/>
    <x v="111"/>
  </r>
  <r>
    <x v="2128"/>
    <x v="83"/>
    <x v="248"/>
    <x v="9540"/>
    <n v="114255"/>
    <m/>
    <n v="-114255"/>
    <x v="111"/>
  </r>
  <r>
    <x v="2128"/>
    <x v="79"/>
    <x v="248"/>
    <x v="9540"/>
    <n v="83530"/>
    <m/>
    <n v="-83530"/>
    <x v="111"/>
  </r>
  <r>
    <x v="2128"/>
    <x v="85"/>
    <x v="248"/>
    <x v="9540"/>
    <n v="65500"/>
    <m/>
    <n v="-65500"/>
    <x v="111"/>
  </r>
  <r>
    <x v="2128"/>
    <x v="90"/>
    <x v="248"/>
    <x v="9540"/>
    <n v="250855"/>
    <m/>
    <n v="-250855"/>
    <x v="111"/>
  </r>
  <r>
    <x v="2128"/>
    <x v="92"/>
    <x v="248"/>
    <x v="9540"/>
    <n v="41135"/>
    <m/>
    <n v="-41135"/>
    <x v="111"/>
  </r>
  <r>
    <x v="2128"/>
    <x v="86"/>
    <x v="248"/>
    <x v="9540"/>
    <n v="205140"/>
    <m/>
    <n v="-205140"/>
    <x v="111"/>
  </r>
  <r>
    <x v="2128"/>
    <x v="80"/>
    <x v="592"/>
    <x v="9341"/>
    <n v="1000000"/>
    <m/>
    <n v="-1000000"/>
    <x v="111"/>
  </r>
  <r>
    <x v="2128"/>
    <x v="67"/>
    <x v="635"/>
    <x v="9541"/>
    <n v="153000"/>
    <m/>
    <n v="-153000"/>
    <x v="111"/>
  </r>
  <r>
    <x v="2128"/>
    <x v="84"/>
    <x v="635"/>
    <x v="9542"/>
    <n v="150000"/>
    <m/>
    <n v="-150000"/>
    <x v="111"/>
  </r>
  <r>
    <x v="2128"/>
    <x v="80"/>
    <x v="339"/>
    <x v="9543"/>
    <n v="98000"/>
    <m/>
    <n v="-98000"/>
    <x v="111"/>
  </r>
  <r>
    <x v="2128"/>
    <x v="65"/>
    <x v="339"/>
    <x v="9543"/>
    <n v="50000"/>
    <m/>
    <n v="-50000"/>
    <x v="111"/>
  </r>
  <r>
    <x v="2128"/>
    <x v="69"/>
    <x v="339"/>
    <x v="9543"/>
    <n v="61000"/>
    <m/>
    <n v="-61000"/>
    <x v="111"/>
  </r>
  <r>
    <x v="2128"/>
    <x v="62"/>
    <x v="339"/>
    <x v="9543"/>
    <n v="25000"/>
    <m/>
    <n v="-25000"/>
    <x v="111"/>
  </r>
  <r>
    <x v="2128"/>
    <x v="88"/>
    <x v="339"/>
    <x v="9543"/>
    <n v="55000"/>
    <m/>
    <n v="-55000"/>
    <x v="111"/>
  </r>
  <r>
    <x v="2128"/>
    <x v="92"/>
    <x v="339"/>
    <x v="9543"/>
    <n v="53000"/>
    <m/>
    <n v="-53000"/>
    <x v="111"/>
  </r>
  <r>
    <x v="2129"/>
    <x v="80"/>
    <x v="748"/>
    <x v="9544"/>
    <n v="31000"/>
    <m/>
    <n v="-31000"/>
    <x v="111"/>
  </r>
  <r>
    <x v="2129"/>
    <x v="90"/>
    <x v="748"/>
    <x v="9544"/>
    <n v="16000"/>
    <m/>
    <n v="-16000"/>
    <x v="111"/>
  </r>
  <r>
    <x v="2129"/>
    <x v="79"/>
    <x v="748"/>
    <x v="9544"/>
    <n v="54000"/>
    <m/>
    <n v="-54000"/>
    <x v="111"/>
  </r>
  <r>
    <x v="2129"/>
    <x v="84"/>
    <x v="748"/>
    <x v="9544"/>
    <n v="6000"/>
    <m/>
    <n v="-6000"/>
    <x v="111"/>
  </r>
  <r>
    <x v="2129"/>
    <x v="67"/>
    <x v="748"/>
    <x v="9544"/>
    <n v="4000"/>
    <m/>
    <n v="-4000"/>
    <x v="111"/>
  </r>
  <r>
    <x v="2129"/>
    <x v="23"/>
    <x v="261"/>
    <x v="9545"/>
    <n v="32760"/>
    <m/>
    <n v="-32760"/>
    <x v="111"/>
  </r>
  <r>
    <x v="2129"/>
    <x v="22"/>
    <x v="261"/>
    <x v="9545"/>
    <n v="35360"/>
    <m/>
    <n v="-35360"/>
    <x v="111"/>
  </r>
  <r>
    <x v="2129"/>
    <x v="93"/>
    <x v="261"/>
    <x v="9545"/>
    <n v="11960"/>
    <m/>
    <n v="-11960"/>
    <x v="111"/>
  </r>
  <r>
    <x v="2129"/>
    <x v="58"/>
    <x v="261"/>
    <x v="9545"/>
    <n v="17316"/>
    <m/>
    <n v="-17316"/>
    <x v="111"/>
  </r>
  <r>
    <x v="2129"/>
    <x v="89"/>
    <x v="261"/>
    <x v="9546"/>
    <n v="-15738"/>
    <m/>
    <n v="15738"/>
    <x v="111"/>
  </r>
  <r>
    <x v="2131"/>
    <x v="73"/>
    <x v="45"/>
    <x v="9547"/>
    <n v="1154145"/>
    <m/>
    <n v="-1154145"/>
    <x v="111"/>
  </r>
  <r>
    <x v="2144"/>
    <x v="79"/>
    <x v="324"/>
    <x v="9548"/>
    <n v="400000"/>
    <m/>
    <n v="-400000"/>
    <x v="111"/>
  </r>
  <r>
    <x v="2144"/>
    <x v="94"/>
    <x v="417"/>
    <x v="9549"/>
    <n v="600000"/>
    <m/>
    <n v="-600000"/>
    <x v="111"/>
  </r>
  <r>
    <x v="2146"/>
    <x v="94"/>
    <x v="45"/>
    <x v="9550"/>
    <n v="1119250"/>
    <m/>
    <n v="-1119250"/>
    <x v="111"/>
  </r>
  <r>
    <x v="2151"/>
    <x v="76"/>
    <x v="518"/>
    <x v="9551"/>
    <n v="100000"/>
    <m/>
    <n v="-100000"/>
    <x v="111"/>
  </r>
  <r>
    <x v="2128"/>
    <x v="80"/>
    <x v="97"/>
    <x v="9552"/>
    <m/>
    <n v="4096986"/>
    <n v="4096986"/>
    <x v="111"/>
  </r>
  <r>
    <x v="2128"/>
    <x v="80"/>
    <x v="97"/>
    <x v="9184"/>
    <n v="41000"/>
    <m/>
    <n v="-41000"/>
    <x v="111"/>
  </r>
  <r>
    <x v="2131"/>
    <x v="90"/>
    <x v="97"/>
    <x v="9553"/>
    <m/>
    <n v="8000000"/>
    <n v="8000000"/>
    <x v="111"/>
  </r>
  <r>
    <x v="2131"/>
    <x v="90"/>
    <x v="97"/>
    <x v="9184"/>
    <n v="80000"/>
    <m/>
    <n v="-80000"/>
    <x v="111"/>
  </r>
  <r>
    <x v="2131"/>
    <x v="90"/>
    <x v="97"/>
    <x v="9554"/>
    <m/>
    <n v="1154145"/>
    <n v="1154145"/>
    <x v="111"/>
  </r>
  <r>
    <x v="2131"/>
    <x v="91"/>
    <x v="97"/>
    <x v="9555"/>
    <m/>
    <n v="2920000"/>
    <n v="2920000"/>
    <x v="111"/>
  </r>
  <r>
    <x v="2131"/>
    <x v="84"/>
    <x v="97"/>
    <x v="9556"/>
    <m/>
    <n v="7925552"/>
    <n v="7925552"/>
    <x v="111"/>
  </r>
  <r>
    <x v="2141"/>
    <x v="58"/>
    <x v="97"/>
    <x v="9557"/>
    <m/>
    <n v="1012687"/>
    <n v="1012687"/>
    <x v="111"/>
  </r>
  <r>
    <x v="2141"/>
    <x v="58"/>
    <x v="97"/>
    <x v="9558"/>
    <m/>
    <n v="467659"/>
    <n v="467659"/>
    <x v="111"/>
  </r>
  <r>
    <x v="2141"/>
    <x v="52"/>
    <x v="97"/>
    <x v="9559"/>
    <m/>
    <n v="550000"/>
    <n v="550000"/>
    <x v="111"/>
  </r>
  <r>
    <x v="2141"/>
    <x v="52"/>
    <x v="97"/>
    <x v="9560"/>
    <m/>
    <n v="650000"/>
    <n v="650000"/>
    <x v="111"/>
  </r>
  <r>
    <x v="2141"/>
    <x v="52"/>
    <x v="97"/>
    <x v="9560"/>
    <m/>
    <n v="700000"/>
    <n v="700000"/>
    <x v="111"/>
  </r>
  <r>
    <x v="2141"/>
    <x v="94"/>
    <x v="97"/>
    <x v="9561"/>
    <m/>
    <n v="10000000"/>
    <n v="10000000"/>
    <x v="111"/>
  </r>
  <r>
    <x v="2141"/>
    <x v="94"/>
    <x v="97"/>
    <x v="9184"/>
    <n v="76000"/>
    <m/>
    <n v="-76000"/>
    <x v="111"/>
  </r>
  <r>
    <x v="2141"/>
    <x v="97"/>
    <x v="97"/>
    <x v="9562"/>
    <m/>
    <n v="9316872"/>
    <n v="9316872"/>
    <x v="111"/>
  </r>
  <r>
    <x v="2141"/>
    <x v="23"/>
    <x v="97"/>
    <x v="9563"/>
    <m/>
    <n v="359992"/>
    <n v="359992"/>
    <x v="111"/>
  </r>
  <r>
    <x v="2146"/>
    <x v="81"/>
    <x v="97"/>
    <x v="9564"/>
    <m/>
    <n v="1119250"/>
    <n v="1119250"/>
    <x v="111"/>
  </r>
  <r>
    <x v="2146"/>
    <x v="5"/>
    <x v="97"/>
    <x v="9565"/>
    <m/>
    <n v="500000"/>
    <n v="500000"/>
    <x v="111"/>
  </r>
  <r>
    <x v="2148"/>
    <x v="84"/>
    <x v="97"/>
    <x v="9566"/>
    <n v="78000"/>
    <m/>
    <n v="-78000"/>
    <x v="111"/>
  </r>
  <r>
    <x v="2148"/>
    <x v="58"/>
    <x v="97"/>
    <x v="9567"/>
    <m/>
    <n v="1013457"/>
    <n v="1013457"/>
    <x v="111"/>
  </r>
  <r>
    <x v="2155"/>
    <x v="97"/>
    <x v="474"/>
    <x v="233"/>
    <n v="2000"/>
    <m/>
    <n v="-2000"/>
    <x v="112"/>
  </r>
  <r>
    <x v="2155"/>
    <x v="4"/>
    <x v="4"/>
    <x v="9568"/>
    <n v="121000"/>
    <m/>
    <n v="-121000"/>
    <x v="112"/>
  </r>
  <r>
    <x v="2155"/>
    <x v="4"/>
    <x v="4"/>
    <x v="6696"/>
    <n v="5000"/>
    <m/>
    <n v="-5000"/>
    <x v="112"/>
  </r>
  <r>
    <x v="2156"/>
    <x v="73"/>
    <x v="278"/>
    <x v="9569"/>
    <n v="24600"/>
    <m/>
    <n v="-24600"/>
    <x v="112"/>
  </r>
  <r>
    <x v="2156"/>
    <x v="94"/>
    <x v="278"/>
    <x v="9570"/>
    <n v="10770"/>
    <m/>
    <n v="-10770"/>
    <x v="112"/>
  </r>
  <r>
    <x v="2156"/>
    <x v="94"/>
    <x v="285"/>
    <x v="7068"/>
    <n v="1000"/>
    <m/>
    <n v="-1000"/>
    <x v="112"/>
  </r>
  <r>
    <x v="2156"/>
    <x v="4"/>
    <x v="4"/>
    <x v="9571"/>
    <n v="7000"/>
    <m/>
    <n v="-7000"/>
    <x v="112"/>
  </r>
  <r>
    <x v="2156"/>
    <x v="94"/>
    <x v="474"/>
    <x v="9572"/>
    <n v="3000"/>
    <m/>
    <n v="-3000"/>
    <x v="112"/>
  </r>
  <r>
    <x v="2156"/>
    <x v="4"/>
    <x v="4"/>
    <x v="9573"/>
    <n v="2200"/>
    <m/>
    <n v="-2200"/>
    <x v="112"/>
  </r>
  <r>
    <x v="2156"/>
    <x v="97"/>
    <x v="791"/>
    <x v="9574"/>
    <n v="500000"/>
    <m/>
    <n v="-500000"/>
    <x v="112"/>
  </r>
  <r>
    <x v="2157"/>
    <x v="73"/>
    <x v="278"/>
    <x v="9575"/>
    <n v="1600"/>
    <m/>
    <n v="-1600"/>
    <x v="112"/>
  </r>
  <r>
    <x v="2157"/>
    <x v="94"/>
    <x v="474"/>
    <x v="9576"/>
    <n v="500"/>
    <m/>
    <n v="-500"/>
    <x v="112"/>
  </r>
  <r>
    <x v="2157"/>
    <x v="92"/>
    <x v="278"/>
    <x v="9577"/>
    <n v="2115"/>
    <m/>
    <n v="-2115"/>
    <x v="112"/>
  </r>
  <r>
    <x v="2157"/>
    <x v="73"/>
    <x v="278"/>
    <x v="7860"/>
    <n v="3810"/>
    <m/>
    <n v="-3810"/>
    <x v="112"/>
  </r>
  <r>
    <x v="2157"/>
    <x v="73"/>
    <x v="278"/>
    <x v="9578"/>
    <n v="1500"/>
    <m/>
    <n v="-1500"/>
    <x v="112"/>
  </r>
  <r>
    <x v="2157"/>
    <x v="73"/>
    <x v="474"/>
    <x v="233"/>
    <n v="2350"/>
    <m/>
    <n v="-2350"/>
    <x v="112"/>
  </r>
  <r>
    <x v="2156"/>
    <x v="73"/>
    <x v="278"/>
    <x v="9579"/>
    <n v="15000"/>
    <m/>
    <n v="-15000"/>
    <x v="112"/>
  </r>
  <r>
    <x v="2157"/>
    <x v="94"/>
    <x v="694"/>
    <x v="2723"/>
    <n v="5216"/>
    <m/>
    <n v="-5216"/>
    <x v="112"/>
  </r>
  <r>
    <x v="2157"/>
    <x v="94"/>
    <x v="278"/>
    <x v="9580"/>
    <n v="85000"/>
    <m/>
    <n v="-85000"/>
    <x v="112"/>
  </r>
  <r>
    <x v="2157"/>
    <x v="94"/>
    <x v="78"/>
    <x v="9581"/>
    <n v="158700"/>
    <m/>
    <n v="-158700"/>
    <x v="112"/>
  </r>
  <r>
    <x v="2157"/>
    <x v="94"/>
    <x v="735"/>
    <x v="9582"/>
    <n v="100000"/>
    <m/>
    <n v="-100000"/>
    <x v="112"/>
  </r>
  <r>
    <x v="2157"/>
    <x v="97"/>
    <x v="611"/>
    <x v="9477"/>
    <n v="50000"/>
    <m/>
    <n v="-50000"/>
    <x v="112"/>
  </r>
  <r>
    <x v="2157"/>
    <x v="4"/>
    <x v="305"/>
    <x v="9583"/>
    <n v="1000"/>
    <m/>
    <n v="-1000"/>
    <x v="112"/>
  </r>
  <r>
    <x v="2157"/>
    <x v="1"/>
    <x v="2"/>
    <x v="9584"/>
    <n v="3000"/>
    <m/>
    <n v="-3000"/>
    <x v="112"/>
  </r>
  <r>
    <x v="2157"/>
    <x v="99"/>
    <x v="465"/>
    <x v="9585"/>
    <n v="5000"/>
    <m/>
    <n v="-5000"/>
    <x v="112"/>
  </r>
  <r>
    <x v="2158"/>
    <x v="94"/>
    <x v="474"/>
    <x v="9586"/>
    <n v="1500"/>
    <m/>
    <n v="-1500"/>
    <x v="112"/>
  </r>
  <r>
    <x v="2158"/>
    <x v="98"/>
    <x v="474"/>
    <x v="2116"/>
    <n v="2800"/>
    <m/>
    <n v="-2800"/>
    <x v="112"/>
  </r>
  <r>
    <x v="2158"/>
    <x v="4"/>
    <x v="4"/>
    <x v="6696"/>
    <n v="5000"/>
    <m/>
    <n v="-5000"/>
    <x v="112"/>
  </r>
  <r>
    <x v="2158"/>
    <x v="101"/>
    <x v="465"/>
    <x v="9587"/>
    <n v="5000"/>
    <m/>
    <n v="-5000"/>
    <x v="112"/>
  </r>
  <r>
    <x v="2158"/>
    <x v="4"/>
    <x v="434"/>
    <x v="233"/>
    <n v="1200"/>
    <m/>
    <n v="-1200"/>
    <x v="112"/>
  </r>
  <r>
    <x v="2158"/>
    <x v="94"/>
    <x v="474"/>
    <x v="233"/>
    <n v="1700"/>
    <m/>
    <n v="-1700"/>
    <x v="112"/>
  </r>
  <r>
    <x v="2158"/>
    <x v="94"/>
    <x v="735"/>
    <x v="9307"/>
    <n v="100000"/>
    <m/>
    <n v="-100000"/>
    <x v="112"/>
  </r>
  <r>
    <x v="2159"/>
    <x v="97"/>
    <x v="655"/>
    <x v="9307"/>
    <n v="162500"/>
    <m/>
    <n v="-162500"/>
    <x v="112"/>
  </r>
  <r>
    <x v="2159"/>
    <x v="92"/>
    <x v="278"/>
    <x v="9588"/>
    <n v="16000"/>
    <m/>
    <n v="-16000"/>
    <x v="112"/>
  </r>
  <r>
    <x v="2159"/>
    <x v="91"/>
    <x v="278"/>
    <x v="9588"/>
    <n v="38000"/>
    <m/>
    <n v="-38000"/>
    <x v="112"/>
  </r>
  <r>
    <x v="2159"/>
    <x v="95"/>
    <x v="278"/>
    <x v="9588"/>
    <n v="19500"/>
    <m/>
    <n v="-19500"/>
    <x v="112"/>
  </r>
  <r>
    <x v="2159"/>
    <x v="94"/>
    <x v="278"/>
    <x v="9588"/>
    <n v="80000"/>
    <m/>
    <n v="-80000"/>
    <x v="112"/>
  </r>
  <r>
    <x v="2159"/>
    <x v="92"/>
    <x v="756"/>
    <x v="9589"/>
    <n v="88800"/>
    <m/>
    <n v="-88800"/>
    <x v="112"/>
  </r>
  <r>
    <x v="2159"/>
    <x v="94"/>
    <x v="792"/>
    <x v="9590"/>
    <n v="164000"/>
    <m/>
    <n v="-164000"/>
    <x v="112"/>
  </r>
  <r>
    <x v="2159"/>
    <x v="81"/>
    <x v="793"/>
    <x v="9591"/>
    <n v="140000"/>
    <m/>
    <n v="-140000"/>
    <x v="112"/>
  </r>
  <r>
    <x v="2159"/>
    <x v="94"/>
    <x v="278"/>
    <x v="9592"/>
    <n v="208000"/>
    <m/>
    <n v="-208000"/>
    <x v="112"/>
  </r>
  <r>
    <x v="2159"/>
    <x v="92"/>
    <x v="278"/>
    <x v="9593"/>
    <n v="23680"/>
    <m/>
    <n v="-23680"/>
    <x v="112"/>
  </r>
  <r>
    <x v="2159"/>
    <x v="4"/>
    <x v="4"/>
    <x v="6696"/>
    <n v="2000"/>
    <m/>
    <n v="-2000"/>
    <x v="112"/>
  </r>
  <r>
    <x v="2159"/>
    <x v="76"/>
    <x v="518"/>
    <x v="898"/>
    <n v="35000"/>
    <m/>
    <n v="-35000"/>
    <x v="112"/>
  </r>
  <r>
    <x v="2159"/>
    <x v="73"/>
    <x v="278"/>
    <x v="9594"/>
    <n v="25500"/>
    <m/>
    <n v="-25500"/>
    <x v="112"/>
  </r>
  <r>
    <x v="2159"/>
    <x v="101"/>
    <x v="474"/>
    <x v="233"/>
    <n v="2700"/>
    <m/>
    <n v="-2700"/>
    <x v="112"/>
  </r>
  <r>
    <x v="2160"/>
    <x v="84"/>
    <x v="794"/>
    <x v="898"/>
    <n v="50000"/>
    <m/>
    <n v="-50000"/>
    <x v="112"/>
  </r>
  <r>
    <x v="2160"/>
    <x v="97"/>
    <x v="278"/>
    <x v="9595"/>
    <n v="3000"/>
    <m/>
    <n v="-3000"/>
    <x v="112"/>
  </r>
  <r>
    <x v="2160"/>
    <x v="4"/>
    <x v="4"/>
    <x v="6696"/>
    <n v="3000"/>
    <m/>
    <n v="-3000"/>
    <x v="112"/>
  </r>
  <r>
    <x v="2160"/>
    <x v="73"/>
    <x v="474"/>
    <x v="233"/>
    <n v="2000"/>
    <m/>
    <n v="-2000"/>
    <x v="112"/>
  </r>
  <r>
    <x v="2160"/>
    <x v="81"/>
    <x v="787"/>
    <x v="898"/>
    <n v="50000"/>
    <m/>
    <n v="-50000"/>
    <x v="112"/>
  </r>
  <r>
    <x v="2160"/>
    <x v="65"/>
    <x v="787"/>
    <x v="898"/>
    <n v="25000"/>
    <m/>
    <n v="-25000"/>
    <x v="112"/>
  </r>
  <r>
    <x v="2160"/>
    <x v="91"/>
    <x v="784"/>
    <x v="9596"/>
    <n v="25000"/>
    <m/>
    <n v="-25000"/>
    <x v="112"/>
  </r>
  <r>
    <x v="2161"/>
    <x v="58"/>
    <x v="761"/>
    <x v="9597"/>
    <n v="12000"/>
    <m/>
    <n v="-12000"/>
    <x v="112"/>
  </r>
  <r>
    <x v="2161"/>
    <x v="73"/>
    <x v="474"/>
    <x v="9598"/>
    <n v="3500"/>
    <m/>
    <n v="-3500"/>
    <x v="112"/>
  </r>
  <r>
    <x v="2161"/>
    <x v="87"/>
    <x v="474"/>
    <x v="9599"/>
    <n v="2200"/>
    <m/>
    <n v="-2200"/>
    <x v="112"/>
  </r>
  <r>
    <x v="2161"/>
    <x v="94"/>
    <x v="761"/>
    <x v="9600"/>
    <n v="85000"/>
    <m/>
    <n v="-85000"/>
    <x v="112"/>
  </r>
  <r>
    <x v="2161"/>
    <x v="94"/>
    <x v="779"/>
    <x v="9601"/>
    <n v="500000"/>
    <m/>
    <n v="-500000"/>
    <x v="112"/>
  </r>
  <r>
    <x v="2161"/>
    <x v="91"/>
    <x v="278"/>
    <x v="9216"/>
    <n v="15170"/>
    <m/>
    <n v="-15170"/>
    <x v="112"/>
  </r>
  <r>
    <x v="2161"/>
    <x v="98"/>
    <x v="277"/>
    <x v="9602"/>
    <n v="24000"/>
    <m/>
    <n v="-24000"/>
    <x v="112"/>
  </r>
  <r>
    <x v="2161"/>
    <x v="58"/>
    <x v="474"/>
    <x v="233"/>
    <n v="3000"/>
    <m/>
    <n v="-3000"/>
    <x v="112"/>
  </r>
  <r>
    <x v="2161"/>
    <x v="94"/>
    <x v="474"/>
    <x v="233"/>
    <n v="600"/>
    <m/>
    <n v="-600"/>
    <x v="112"/>
  </r>
  <r>
    <x v="2161"/>
    <x v="99"/>
    <x v="465"/>
    <x v="9603"/>
    <n v="5000"/>
    <m/>
    <n v="-5000"/>
    <x v="112"/>
  </r>
  <r>
    <x v="2161"/>
    <x v="94"/>
    <x v="278"/>
    <x v="9604"/>
    <n v="7500"/>
    <m/>
    <n v="-7500"/>
    <x v="112"/>
  </r>
  <r>
    <x v="2161"/>
    <x v="22"/>
    <x v="43"/>
    <x v="9605"/>
    <n v="2100"/>
    <m/>
    <n v="-2100"/>
    <x v="112"/>
  </r>
  <r>
    <x v="2161"/>
    <x v="94"/>
    <x v="474"/>
    <x v="233"/>
    <n v="450"/>
    <m/>
    <n v="-450"/>
    <x v="112"/>
  </r>
  <r>
    <x v="2161"/>
    <x v="65"/>
    <x v="278"/>
    <x v="9606"/>
    <n v="1200"/>
    <m/>
    <n v="-1200"/>
    <x v="112"/>
  </r>
  <r>
    <x v="2161"/>
    <x v="102"/>
    <x v="763"/>
    <x v="9607"/>
    <n v="20900"/>
    <m/>
    <n v="-20900"/>
    <x v="112"/>
  </r>
  <r>
    <x v="2161"/>
    <x v="101"/>
    <x v="2"/>
    <x v="9608"/>
    <n v="3100"/>
    <m/>
    <n v="-3100"/>
    <x v="112"/>
  </r>
  <r>
    <x v="2161"/>
    <x v="79"/>
    <x v="2"/>
    <x v="9609"/>
    <n v="7230"/>
    <m/>
    <n v="-7230"/>
    <x v="112"/>
  </r>
  <r>
    <x v="2161"/>
    <x v="94"/>
    <x v="474"/>
    <x v="233"/>
    <n v="600"/>
    <m/>
    <n v="-600"/>
    <x v="112"/>
  </r>
  <r>
    <x v="2161"/>
    <x v="79"/>
    <x v="474"/>
    <x v="233"/>
    <n v="2000"/>
    <m/>
    <n v="-2000"/>
    <x v="112"/>
  </r>
  <r>
    <x v="2162"/>
    <x v="95"/>
    <x v="642"/>
    <x v="9610"/>
    <n v="1000"/>
    <m/>
    <n v="-1000"/>
    <x v="112"/>
  </r>
  <r>
    <x v="2162"/>
    <x v="101"/>
    <x v="474"/>
    <x v="9611"/>
    <n v="1200"/>
    <m/>
    <n v="-1200"/>
    <x v="112"/>
  </r>
  <r>
    <x v="2163"/>
    <x v="4"/>
    <x v="4"/>
    <x v="6696"/>
    <n v="3000"/>
    <m/>
    <n v="-3000"/>
    <x v="112"/>
  </r>
  <r>
    <x v="2163"/>
    <x v="79"/>
    <x v="474"/>
    <x v="233"/>
    <n v="2000"/>
    <m/>
    <n v="-2000"/>
    <x v="112"/>
  </r>
  <r>
    <x v="2163"/>
    <x v="79"/>
    <x v="474"/>
    <x v="233"/>
    <n v="500"/>
    <m/>
    <n v="-500"/>
    <x v="112"/>
  </r>
  <r>
    <x v="2163"/>
    <x v="99"/>
    <x v="518"/>
    <x v="9612"/>
    <n v="35000"/>
    <m/>
    <n v="-35000"/>
    <x v="112"/>
  </r>
  <r>
    <x v="2163"/>
    <x v="58"/>
    <x v="474"/>
    <x v="9613"/>
    <n v="500"/>
    <m/>
    <n v="-500"/>
    <x v="112"/>
  </r>
  <r>
    <x v="2163"/>
    <x v="65"/>
    <x v="278"/>
    <x v="9614"/>
    <n v="5000"/>
    <m/>
    <n v="-5000"/>
    <x v="112"/>
  </r>
  <r>
    <x v="2163"/>
    <x v="65"/>
    <x v="2"/>
    <x v="9615"/>
    <n v="1500"/>
    <m/>
    <n v="-1500"/>
    <x v="112"/>
  </r>
  <r>
    <x v="2163"/>
    <x v="94"/>
    <x v="619"/>
    <x v="8878"/>
    <n v="500000"/>
    <m/>
    <n v="-500000"/>
    <x v="112"/>
  </r>
  <r>
    <x v="2163"/>
    <x v="58"/>
    <x v="278"/>
    <x v="9616"/>
    <n v="60000"/>
    <m/>
    <n v="-60000"/>
    <x v="112"/>
  </r>
  <r>
    <x v="2163"/>
    <x v="73"/>
    <x v="795"/>
    <x v="9617"/>
    <n v="20000"/>
    <m/>
    <n v="-20000"/>
    <x v="112"/>
  </r>
  <r>
    <x v="2163"/>
    <x v="79"/>
    <x v="474"/>
    <x v="233"/>
    <n v="200"/>
    <m/>
    <n v="-200"/>
    <x v="112"/>
  </r>
  <r>
    <x v="2163"/>
    <x v="97"/>
    <x v="611"/>
    <x v="9307"/>
    <n v="100000"/>
    <m/>
    <n v="-100000"/>
    <x v="112"/>
  </r>
  <r>
    <x v="2163"/>
    <x v="94"/>
    <x v="474"/>
    <x v="233"/>
    <n v="1350"/>
    <m/>
    <n v="-1350"/>
    <x v="112"/>
  </r>
  <r>
    <x v="2163"/>
    <x v="4"/>
    <x v="796"/>
    <x v="233"/>
    <n v="6300"/>
    <m/>
    <n v="-6300"/>
    <x v="112"/>
  </r>
  <r>
    <x v="2163"/>
    <x v="4"/>
    <x v="4"/>
    <x v="9618"/>
    <n v="2000"/>
    <m/>
    <n v="-2000"/>
    <x v="112"/>
  </r>
  <r>
    <x v="2163"/>
    <x v="4"/>
    <x v="797"/>
    <x v="9619"/>
    <n v="12840"/>
    <m/>
    <n v="-12840"/>
    <x v="112"/>
  </r>
  <r>
    <x v="2164"/>
    <x v="84"/>
    <x v="474"/>
    <x v="9620"/>
    <n v="300"/>
    <m/>
    <n v="-300"/>
    <x v="112"/>
  </r>
  <r>
    <x v="2164"/>
    <x v="4"/>
    <x v="4"/>
    <x v="9621"/>
    <n v="4370"/>
    <m/>
    <n v="-4370"/>
    <x v="112"/>
  </r>
  <r>
    <x v="2164"/>
    <x v="4"/>
    <x v="4"/>
    <x v="9618"/>
    <n v="4660"/>
    <m/>
    <n v="-4660"/>
    <x v="112"/>
  </r>
  <r>
    <x v="2164"/>
    <x v="4"/>
    <x v="330"/>
    <x v="9622"/>
    <n v="7500"/>
    <m/>
    <n v="-7500"/>
    <x v="112"/>
  </r>
  <r>
    <x v="2164"/>
    <x v="4"/>
    <x v="4"/>
    <x v="6696"/>
    <n v="3000"/>
    <m/>
    <n v="-3000"/>
    <x v="112"/>
  </r>
  <r>
    <x v="2164"/>
    <x v="90"/>
    <x v="278"/>
    <x v="9623"/>
    <n v="10900"/>
    <m/>
    <n v="-10900"/>
    <x v="112"/>
  </r>
  <r>
    <x v="2164"/>
    <x v="103"/>
    <x v="78"/>
    <x v="9624"/>
    <n v="27500"/>
    <m/>
    <n v="-27500"/>
    <x v="112"/>
  </r>
  <r>
    <x v="2164"/>
    <x v="58"/>
    <x v="474"/>
    <x v="233"/>
    <n v="650"/>
    <m/>
    <n v="-650"/>
    <x v="112"/>
  </r>
  <r>
    <x v="2164"/>
    <x v="4"/>
    <x v="285"/>
    <x v="2385"/>
    <n v="150"/>
    <m/>
    <n v="-150"/>
    <x v="112"/>
  </r>
  <r>
    <x v="2164"/>
    <x v="103"/>
    <x v="474"/>
    <x v="9625"/>
    <n v="700"/>
    <m/>
    <n v="-700"/>
    <x v="112"/>
  </r>
  <r>
    <x v="2164"/>
    <x v="81"/>
    <x v="664"/>
    <x v="9104"/>
    <n v="25000"/>
    <m/>
    <n v="-25000"/>
    <x v="112"/>
  </r>
  <r>
    <x v="2164"/>
    <x v="81"/>
    <x v="793"/>
    <x v="9591"/>
    <n v="140000"/>
    <m/>
    <n v="-140000"/>
    <x v="112"/>
  </r>
  <r>
    <x v="2165"/>
    <x v="7"/>
    <x v="198"/>
    <x v="9626"/>
    <n v="2400"/>
    <m/>
    <n v="-2400"/>
    <x v="112"/>
  </r>
  <r>
    <x v="2165"/>
    <x v="58"/>
    <x v="314"/>
    <x v="9627"/>
    <n v="20000"/>
    <m/>
    <n v="-20000"/>
    <x v="112"/>
  </r>
  <r>
    <x v="2165"/>
    <x v="79"/>
    <x v="474"/>
    <x v="233"/>
    <n v="600"/>
    <m/>
    <n v="-600"/>
    <x v="112"/>
  </r>
  <r>
    <x v="2165"/>
    <x v="22"/>
    <x v="261"/>
    <x v="9628"/>
    <n v="35360"/>
    <m/>
    <n v="-35360"/>
    <x v="112"/>
  </r>
  <r>
    <x v="2165"/>
    <x v="23"/>
    <x v="261"/>
    <x v="9628"/>
    <n v="32760"/>
    <m/>
    <n v="-32760"/>
    <x v="112"/>
  </r>
  <r>
    <x v="2165"/>
    <x v="58"/>
    <x v="261"/>
    <x v="9628"/>
    <n v="145766"/>
    <m/>
    <n v="-145766"/>
    <x v="112"/>
  </r>
  <r>
    <x v="2165"/>
    <x v="84"/>
    <x v="261"/>
    <x v="9628"/>
    <n v="508379"/>
    <m/>
    <n v="-508379"/>
    <x v="112"/>
  </r>
  <r>
    <x v="2165"/>
    <x v="94"/>
    <x v="644"/>
    <x v="9491"/>
    <n v="1000000"/>
    <m/>
    <n v="-1000000"/>
    <x v="112"/>
  </r>
  <r>
    <x v="2165"/>
    <x v="80"/>
    <x v="208"/>
    <x v="8731"/>
    <n v="500000"/>
    <m/>
    <n v="-500000"/>
    <x v="112"/>
  </r>
  <r>
    <x v="2165"/>
    <x v="52"/>
    <x v="798"/>
    <x v="8731"/>
    <n v="500000"/>
    <m/>
    <n v="-500000"/>
    <x v="112"/>
  </r>
  <r>
    <x v="2166"/>
    <x v="73"/>
    <x v="773"/>
    <x v="9629"/>
    <n v="10000"/>
    <m/>
    <n v="-10000"/>
    <x v="112"/>
  </r>
  <r>
    <x v="2166"/>
    <x v="73"/>
    <x v="2"/>
    <x v="6322"/>
    <n v="2000"/>
    <m/>
    <n v="-2000"/>
    <x v="112"/>
  </r>
  <r>
    <x v="2167"/>
    <x v="73"/>
    <x v="145"/>
    <x v="9630"/>
    <n v="4800"/>
    <m/>
    <n v="-4800"/>
    <x v="112"/>
  </r>
  <r>
    <x v="2167"/>
    <x v="79"/>
    <x v="278"/>
    <x v="9631"/>
    <n v="9000"/>
    <m/>
    <n v="-9000"/>
    <x v="112"/>
  </r>
  <r>
    <x v="2167"/>
    <x v="73"/>
    <x v="474"/>
    <x v="9632"/>
    <n v="4000"/>
    <m/>
    <n v="-4000"/>
    <x v="112"/>
  </r>
  <r>
    <x v="2167"/>
    <x v="97"/>
    <x v="612"/>
    <x v="9633"/>
    <n v="9880"/>
    <m/>
    <n v="-9880"/>
    <x v="112"/>
  </r>
  <r>
    <x v="2167"/>
    <x v="4"/>
    <x v="4"/>
    <x v="9634"/>
    <n v="17700"/>
    <m/>
    <n v="-17700"/>
    <x v="112"/>
  </r>
  <r>
    <x v="2167"/>
    <x v="97"/>
    <x v="474"/>
    <x v="9635"/>
    <n v="700"/>
    <m/>
    <n v="-700"/>
    <x v="112"/>
  </r>
  <r>
    <x v="2167"/>
    <x v="94"/>
    <x v="278"/>
    <x v="9636"/>
    <n v="3000"/>
    <m/>
    <n v="-3000"/>
    <x v="112"/>
  </r>
  <r>
    <x v="2167"/>
    <x v="79"/>
    <x v="474"/>
    <x v="233"/>
    <n v="3000"/>
    <m/>
    <n v="-3000"/>
    <x v="112"/>
  </r>
  <r>
    <x v="2167"/>
    <x v="4"/>
    <x v="2"/>
    <x v="9637"/>
    <n v="2250"/>
    <m/>
    <n v="-2250"/>
    <x v="112"/>
  </r>
  <r>
    <x v="2167"/>
    <x v="99"/>
    <x v="278"/>
    <x v="9638"/>
    <n v="17400"/>
    <m/>
    <n v="-17400"/>
    <x v="112"/>
  </r>
  <r>
    <x v="2167"/>
    <x v="74"/>
    <x v="2"/>
    <x v="9639"/>
    <n v="50000"/>
    <m/>
    <n v="-50000"/>
    <x v="112"/>
  </r>
  <r>
    <x v="2168"/>
    <x v="4"/>
    <x v="4"/>
    <x v="6696"/>
    <n v="4000"/>
    <m/>
    <n v="-4000"/>
    <x v="112"/>
  </r>
  <r>
    <x v="2168"/>
    <x v="23"/>
    <x v="474"/>
    <x v="9640"/>
    <n v="5000"/>
    <m/>
    <n v="-5000"/>
    <x v="112"/>
  </r>
  <r>
    <x v="2168"/>
    <x v="23"/>
    <x v="285"/>
    <x v="8883"/>
    <n v="500"/>
    <m/>
    <n v="-500"/>
    <x v="112"/>
  </r>
  <r>
    <x v="2168"/>
    <x v="23"/>
    <x v="278"/>
    <x v="9641"/>
    <n v="800"/>
    <m/>
    <n v="-800"/>
    <x v="112"/>
  </r>
  <r>
    <x v="2168"/>
    <x v="58"/>
    <x v="761"/>
    <x v="9597"/>
    <n v="12000"/>
    <m/>
    <n v="-12000"/>
    <x v="112"/>
  </r>
  <r>
    <x v="2168"/>
    <x v="58"/>
    <x v="278"/>
    <x v="9642"/>
    <n v="1130"/>
    <m/>
    <n v="-1130"/>
    <x v="112"/>
  </r>
  <r>
    <x v="2168"/>
    <x v="97"/>
    <x v="467"/>
    <x v="9643"/>
    <n v="12000"/>
    <m/>
    <n v="-12000"/>
    <x v="112"/>
  </r>
  <r>
    <x v="2168"/>
    <x v="58"/>
    <x v="474"/>
    <x v="233"/>
    <n v="2000"/>
    <m/>
    <n v="-2000"/>
    <x v="112"/>
  </r>
  <r>
    <x v="2168"/>
    <x v="58"/>
    <x v="467"/>
    <x v="9643"/>
    <n v="13000"/>
    <m/>
    <n v="-13000"/>
    <x v="112"/>
  </r>
  <r>
    <x v="2168"/>
    <x v="94"/>
    <x v="474"/>
    <x v="9644"/>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8"/>
    <x v="9645"/>
    <n v="100000"/>
    <m/>
    <n v="-100000"/>
    <x v="112"/>
  </r>
  <r>
    <x v="2168"/>
    <x v="94"/>
    <x v="548"/>
    <x v="9646"/>
    <n v="400000"/>
    <m/>
    <n v="-400000"/>
    <x v="112"/>
  </r>
  <r>
    <x v="2168"/>
    <x v="73"/>
    <x v="78"/>
    <x v="9647"/>
    <n v="480000"/>
    <m/>
    <n v="-480000"/>
    <x v="112"/>
  </r>
  <r>
    <x v="2168"/>
    <x v="73"/>
    <x v="78"/>
    <x v="9647"/>
    <n v="370000"/>
    <m/>
    <n v="-370000"/>
    <x v="112"/>
  </r>
  <r>
    <x v="2168"/>
    <x v="73"/>
    <x v="78"/>
    <x v="9648"/>
    <n v="704800"/>
    <m/>
    <n v="-704800"/>
    <x v="112"/>
  </r>
  <r>
    <x v="2168"/>
    <x v="95"/>
    <x v="799"/>
    <x v="9649"/>
    <n v="40000"/>
    <m/>
    <n v="-40000"/>
    <x v="112"/>
  </r>
  <r>
    <x v="2169"/>
    <x v="73"/>
    <x v="390"/>
    <x v="233"/>
    <n v="5000"/>
    <m/>
    <n v="-5000"/>
    <x v="112"/>
  </r>
  <r>
    <x v="2169"/>
    <x v="67"/>
    <x v="2"/>
    <x v="9650"/>
    <n v="7000"/>
    <m/>
    <n v="-7000"/>
    <x v="112"/>
  </r>
  <r>
    <x v="2169"/>
    <x v="4"/>
    <x v="4"/>
    <x v="6696"/>
    <n v="1200"/>
    <m/>
    <n v="-1200"/>
    <x v="112"/>
  </r>
  <r>
    <x v="2169"/>
    <x v="97"/>
    <x v="655"/>
    <x v="9651"/>
    <n v="20180"/>
    <m/>
    <n v="-20180"/>
    <x v="112"/>
  </r>
  <r>
    <x v="2169"/>
    <x v="94"/>
    <x v="757"/>
    <x v="9652"/>
    <n v="300000"/>
    <m/>
    <n v="-300000"/>
    <x v="112"/>
  </r>
  <r>
    <x v="2169"/>
    <x v="67"/>
    <x v="208"/>
    <x v="9653"/>
    <n v="100000"/>
    <m/>
    <n v="-100000"/>
    <x v="112"/>
  </r>
  <r>
    <x v="2169"/>
    <x v="80"/>
    <x v="208"/>
    <x v="9653"/>
    <n v="528670"/>
    <m/>
    <n v="-528670"/>
    <x v="112"/>
  </r>
  <r>
    <x v="2169"/>
    <x v="94"/>
    <x v="278"/>
    <x v="9654"/>
    <n v="196890"/>
    <m/>
    <n v="-196890"/>
    <x v="112"/>
  </r>
  <r>
    <x v="2169"/>
    <x v="94"/>
    <x v="278"/>
    <x v="9655"/>
    <n v="74950"/>
    <m/>
    <n v="-74950"/>
    <x v="112"/>
  </r>
  <r>
    <x v="2169"/>
    <x v="52"/>
    <x v="278"/>
    <x v="9656"/>
    <n v="80000"/>
    <m/>
    <n v="-80000"/>
    <x v="112"/>
  </r>
  <r>
    <x v="2169"/>
    <x v="94"/>
    <x v="278"/>
    <x v="9656"/>
    <n v="224620"/>
    <m/>
    <n v="-224620"/>
    <x v="112"/>
  </r>
  <r>
    <x v="2169"/>
    <x v="79"/>
    <x v="324"/>
    <x v="8439"/>
    <n v="300000"/>
    <m/>
    <n v="-300000"/>
    <x v="112"/>
  </r>
  <r>
    <x v="2170"/>
    <x v="101"/>
    <x v="278"/>
    <x v="9657"/>
    <n v="700"/>
    <m/>
    <n v="-700"/>
    <x v="112"/>
  </r>
  <r>
    <x v="2170"/>
    <x v="79"/>
    <x v="74"/>
    <x v="1696"/>
    <n v="1000"/>
    <m/>
    <n v="-1000"/>
    <x v="112"/>
  </r>
  <r>
    <x v="2170"/>
    <x v="79"/>
    <x v="474"/>
    <x v="233"/>
    <n v="2000"/>
    <m/>
    <n v="-2000"/>
    <x v="112"/>
  </r>
  <r>
    <x v="2170"/>
    <x v="97"/>
    <x v="2"/>
    <x v="9658"/>
    <n v="6000"/>
    <m/>
    <n v="-6000"/>
    <x v="112"/>
  </r>
  <r>
    <x v="2170"/>
    <x v="4"/>
    <x v="4"/>
    <x v="9659"/>
    <n v="7000"/>
    <m/>
    <n v="-7000"/>
    <x v="112"/>
  </r>
  <r>
    <x v="2170"/>
    <x v="67"/>
    <x v="2"/>
    <x v="9650"/>
    <n v="3000"/>
    <m/>
    <n v="-3000"/>
    <x v="112"/>
  </r>
  <r>
    <x v="2170"/>
    <x v="97"/>
    <x v="474"/>
    <x v="8211"/>
    <n v="400"/>
    <m/>
    <n v="-400"/>
    <x v="112"/>
  </r>
  <r>
    <x v="2170"/>
    <x v="4"/>
    <x v="796"/>
    <x v="233"/>
    <n v="1000"/>
    <m/>
    <n v="-1000"/>
    <x v="112"/>
  </r>
  <r>
    <x v="2170"/>
    <x v="97"/>
    <x v="2"/>
    <x v="9660"/>
    <n v="40000"/>
    <m/>
    <n v="-40000"/>
    <x v="112"/>
  </r>
  <r>
    <x v="2170"/>
    <x v="58"/>
    <x v="278"/>
    <x v="9661"/>
    <n v="149000"/>
    <m/>
    <n v="-149000"/>
    <x v="112"/>
  </r>
  <r>
    <x v="2170"/>
    <x v="99"/>
    <x v="800"/>
    <x v="9662"/>
    <n v="300000"/>
    <m/>
    <n v="-300000"/>
    <x v="112"/>
  </r>
  <r>
    <x v="2171"/>
    <x v="73"/>
    <x v="278"/>
    <x v="9663"/>
    <n v="7300"/>
    <m/>
    <n v="-7300"/>
    <x v="112"/>
  </r>
  <r>
    <x v="2171"/>
    <x v="58"/>
    <x v="278"/>
    <x v="9664"/>
    <n v="1100"/>
    <m/>
    <n v="-1100"/>
    <x v="112"/>
  </r>
  <r>
    <x v="2171"/>
    <x v="79"/>
    <x v="2"/>
    <x v="8173"/>
    <n v="1000"/>
    <m/>
    <n v="-1000"/>
    <x v="112"/>
  </r>
  <r>
    <x v="2171"/>
    <x v="97"/>
    <x v="474"/>
    <x v="9665"/>
    <n v="500"/>
    <m/>
    <n v="-500"/>
    <x v="112"/>
  </r>
  <r>
    <x v="2171"/>
    <x v="97"/>
    <x v="474"/>
    <x v="233"/>
    <n v="1800"/>
    <m/>
    <n v="-1800"/>
    <x v="112"/>
  </r>
  <r>
    <x v="2171"/>
    <x v="4"/>
    <x v="4"/>
    <x v="9659"/>
    <n v="3000"/>
    <m/>
    <n v="-3000"/>
    <x v="112"/>
  </r>
  <r>
    <x v="2171"/>
    <x v="79"/>
    <x v="607"/>
    <x v="9666"/>
    <n v="275000"/>
    <m/>
    <n v="-275000"/>
    <x v="112"/>
  </r>
  <r>
    <x v="2171"/>
    <x v="94"/>
    <x v="592"/>
    <x v="9667"/>
    <n v="1000000"/>
    <m/>
    <n v="-1000000"/>
    <x v="112"/>
  </r>
  <r>
    <x v="2172"/>
    <x v="4"/>
    <x v="516"/>
    <x v="233"/>
    <n v="5330"/>
    <m/>
    <n v="-5330"/>
    <x v="112"/>
  </r>
  <r>
    <x v="2172"/>
    <x v="58"/>
    <x v="146"/>
    <x v="7886"/>
    <n v="1000"/>
    <m/>
    <n v="-1000"/>
    <x v="112"/>
  </r>
  <r>
    <x v="2172"/>
    <x v="99"/>
    <x v="801"/>
    <x v="9668"/>
    <n v="2092916"/>
    <m/>
    <n v="-2092916"/>
    <x v="112"/>
  </r>
  <r>
    <x v="2173"/>
    <x v="73"/>
    <x v="802"/>
    <x v="9669"/>
    <n v="195500"/>
    <m/>
    <n v="-195500"/>
    <x v="112"/>
  </r>
  <r>
    <x v="2173"/>
    <x v="73"/>
    <x v="278"/>
    <x v="9670"/>
    <n v="21600"/>
    <m/>
    <n v="-21600"/>
    <x v="112"/>
  </r>
  <r>
    <x v="2173"/>
    <x v="73"/>
    <x v="278"/>
    <x v="9671"/>
    <n v="78500"/>
    <m/>
    <n v="-78500"/>
    <x v="112"/>
  </r>
  <r>
    <x v="2173"/>
    <x v="91"/>
    <x v="212"/>
    <x v="9672"/>
    <n v="200000"/>
    <m/>
    <n v="-200000"/>
    <x v="112"/>
  </r>
  <r>
    <x v="2173"/>
    <x v="99"/>
    <x v="800"/>
    <x v="9673"/>
    <n v="200000"/>
    <m/>
    <n v="-200000"/>
    <x v="112"/>
  </r>
  <r>
    <x v="2173"/>
    <x v="7"/>
    <x v="27"/>
    <x v="5198"/>
    <n v="45290"/>
    <m/>
    <n v="-45290"/>
    <x v="112"/>
  </r>
  <r>
    <x v="2173"/>
    <x v="4"/>
    <x v="27"/>
    <x v="5198"/>
    <n v="17872"/>
    <m/>
    <n v="-17872"/>
    <x v="112"/>
  </r>
  <r>
    <x v="2173"/>
    <x v="4"/>
    <x v="4"/>
    <x v="9659"/>
    <n v="3000"/>
    <m/>
    <n v="-3000"/>
    <x v="112"/>
  </r>
  <r>
    <x v="2173"/>
    <x v="101"/>
    <x v="285"/>
    <x v="7872"/>
    <n v="400"/>
    <m/>
    <n v="-400"/>
    <x v="112"/>
  </r>
  <r>
    <x v="2173"/>
    <x v="79"/>
    <x v="285"/>
    <x v="9674"/>
    <n v="20000"/>
    <m/>
    <n v="-20000"/>
    <x v="112"/>
  </r>
  <r>
    <x v="2174"/>
    <x v="94"/>
    <x v="644"/>
    <x v="9491"/>
    <n v="500000"/>
    <m/>
    <n v="-500000"/>
    <x v="112"/>
  </r>
  <r>
    <x v="2174"/>
    <x v="83"/>
    <x v="45"/>
    <x v="9675"/>
    <n v="13760"/>
    <m/>
    <n v="-13760"/>
    <x v="112"/>
  </r>
  <r>
    <x v="2174"/>
    <x v="79"/>
    <x v="45"/>
    <x v="9675"/>
    <n v="164280"/>
    <m/>
    <n v="-164280"/>
    <x v="112"/>
  </r>
  <r>
    <x v="2174"/>
    <x v="92"/>
    <x v="45"/>
    <x v="9675"/>
    <n v="145230"/>
    <m/>
    <n v="-145230"/>
    <x v="112"/>
  </r>
  <r>
    <x v="2174"/>
    <x v="94"/>
    <x v="45"/>
    <x v="9675"/>
    <n v="176730"/>
    <m/>
    <n v="-176730"/>
    <x v="112"/>
  </r>
  <r>
    <x v="2175"/>
    <x v="79"/>
    <x v="2"/>
    <x v="4400"/>
    <n v="5670"/>
    <m/>
    <n v="-5670"/>
    <x v="112"/>
  </r>
  <r>
    <x v="2175"/>
    <x v="58"/>
    <x v="278"/>
    <x v="4172"/>
    <n v="114974"/>
    <m/>
    <n v="-114974"/>
    <x v="112"/>
  </r>
  <r>
    <x v="2175"/>
    <x v="73"/>
    <x v="278"/>
    <x v="4172"/>
    <n v="128521"/>
    <m/>
    <n v="-128521"/>
    <x v="112"/>
  </r>
  <r>
    <x v="2175"/>
    <x v="73"/>
    <x v="278"/>
    <x v="9676"/>
    <n v="16000"/>
    <m/>
    <n v="-16000"/>
    <x v="112"/>
  </r>
  <r>
    <x v="2175"/>
    <x v="4"/>
    <x v="803"/>
    <x v="9677"/>
    <n v="100000"/>
    <m/>
    <n v="-100000"/>
    <x v="112"/>
  </r>
  <r>
    <x v="2175"/>
    <x v="94"/>
    <x v="804"/>
    <x v="9678"/>
    <n v="33000"/>
    <m/>
    <n v="-33000"/>
    <x v="112"/>
  </r>
  <r>
    <x v="2175"/>
    <x v="76"/>
    <x v="518"/>
    <x v="9679"/>
    <n v="50000"/>
    <m/>
    <n v="-50000"/>
    <x v="112"/>
  </r>
  <r>
    <x v="2176"/>
    <x v="94"/>
    <x v="767"/>
    <x v="9680"/>
    <n v="146000"/>
    <m/>
    <n v="-146000"/>
    <x v="112"/>
  </r>
  <r>
    <x v="2176"/>
    <x v="99"/>
    <x v="734"/>
    <x v="9681"/>
    <n v="135936"/>
    <m/>
    <n v="-135936"/>
    <x v="112"/>
  </r>
  <r>
    <x v="2176"/>
    <x v="23"/>
    <x v="2"/>
    <x v="9682"/>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3"/>
    <n v="88680"/>
    <m/>
    <n v="-88680"/>
    <x v="112"/>
  </r>
  <r>
    <x v="2176"/>
    <x v="99"/>
    <x v="43"/>
    <x v="9684"/>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5"/>
    <n v="39100"/>
    <m/>
    <n v="-39100"/>
    <x v="112"/>
  </r>
  <r>
    <x v="2176"/>
    <x v="73"/>
    <x v="43"/>
    <x v="9686"/>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7"/>
    <n v="28000"/>
    <m/>
    <n v="-28000"/>
    <x v="112"/>
  </r>
  <r>
    <x v="2176"/>
    <x v="58"/>
    <x v="43"/>
    <x v="5437"/>
    <n v="51750"/>
    <m/>
    <n v="-51750"/>
    <x v="112"/>
  </r>
  <r>
    <x v="2176"/>
    <x v="94"/>
    <x v="43"/>
    <x v="9688"/>
    <n v="64150"/>
    <m/>
    <n v="-64150"/>
    <x v="112"/>
  </r>
  <r>
    <x v="2176"/>
    <x v="91"/>
    <x v="43"/>
    <x v="9522"/>
    <n v="678905.17241379316"/>
    <m/>
    <n v="-678905.17241379316"/>
    <x v="112"/>
  </r>
  <r>
    <x v="2176"/>
    <x v="99"/>
    <x v="43"/>
    <x v="9127"/>
    <n v="76200"/>
    <m/>
    <n v="-76200"/>
    <x v="112"/>
  </r>
  <r>
    <x v="2176"/>
    <x v="3"/>
    <x v="43"/>
    <x v="6877"/>
    <n v="5000"/>
    <m/>
    <n v="-5000"/>
    <x v="112"/>
  </r>
  <r>
    <x v="2176"/>
    <x v="91"/>
    <x v="43"/>
    <x v="9689"/>
    <n v="3500"/>
    <m/>
    <n v="-3500"/>
    <x v="112"/>
  </r>
  <r>
    <x v="2176"/>
    <x v="91"/>
    <x v="43"/>
    <x v="9690"/>
    <n v="32500"/>
    <m/>
    <n v="-32500"/>
    <x v="112"/>
  </r>
  <r>
    <x v="2176"/>
    <x v="67"/>
    <x v="278"/>
    <x v="9691"/>
    <n v="1350"/>
    <m/>
    <n v="-1350"/>
    <x v="112"/>
  </r>
  <r>
    <x v="2176"/>
    <x v="94"/>
    <x v="278"/>
    <x v="8828"/>
    <n v="3450"/>
    <m/>
    <n v="-3450"/>
    <x v="112"/>
  </r>
  <r>
    <x v="2176"/>
    <x v="79"/>
    <x v="278"/>
    <x v="9692"/>
    <n v="1950"/>
    <m/>
    <n v="-1950"/>
    <x v="112"/>
  </r>
  <r>
    <x v="2176"/>
    <x v="4"/>
    <x v="4"/>
    <x v="9659"/>
    <n v="5500"/>
    <m/>
    <n v="-5500"/>
    <x v="112"/>
  </r>
  <r>
    <x v="2177"/>
    <x v="58"/>
    <x v="805"/>
    <x v="9693"/>
    <n v="30000"/>
    <m/>
    <n v="-30000"/>
    <x v="112"/>
  </r>
  <r>
    <x v="2177"/>
    <x v="79"/>
    <x v="731"/>
    <x v="9694"/>
    <n v="200000"/>
    <m/>
    <n v="-200000"/>
    <x v="112"/>
  </r>
  <r>
    <x v="2177"/>
    <x v="98"/>
    <x v="694"/>
    <x v="233"/>
    <n v="7600"/>
    <m/>
    <n v="-7600"/>
    <x v="112"/>
  </r>
  <r>
    <x v="2177"/>
    <x v="73"/>
    <x v="761"/>
    <x v="9695"/>
    <n v="6500"/>
    <m/>
    <n v="-6500"/>
    <x v="112"/>
  </r>
  <r>
    <x v="2177"/>
    <x v="94"/>
    <x v="592"/>
    <x v="8731"/>
    <n v="1000000"/>
    <m/>
    <n v="-1000000"/>
    <x v="112"/>
  </r>
  <r>
    <x v="2177"/>
    <x v="94"/>
    <x v="660"/>
    <x v="9696"/>
    <n v="1333000"/>
    <m/>
    <n v="-1333000"/>
    <x v="112"/>
  </r>
  <r>
    <x v="2177"/>
    <x v="97"/>
    <x v="611"/>
    <x v="8439"/>
    <n v="50000"/>
    <m/>
    <n v="-50000"/>
    <x v="112"/>
  </r>
  <r>
    <x v="2178"/>
    <x v="61"/>
    <x v="2"/>
    <x v="9697"/>
    <n v="6000"/>
    <m/>
    <n v="-6000"/>
    <x v="112"/>
  </r>
  <r>
    <x v="2178"/>
    <x v="1"/>
    <x v="2"/>
    <x v="9698"/>
    <n v="5000"/>
    <m/>
    <n v="-5000"/>
    <x v="112"/>
  </r>
  <r>
    <x v="2178"/>
    <x v="84"/>
    <x v="2"/>
    <x v="9699"/>
    <n v="5000"/>
    <m/>
    <n v="-5000"/>
    <x v="112"/>
  </r>
  <r>
    <x v="2178"/>
    <x v="74"/>
    <x v="2"/>
    <x v="9700"/>
    <n v="5500"/>
    <m/>
    <n v="-5500"/>
    <x v="112"/>
  </r>
  <r>
    <x v="2178"/>
    <x v="73"/>
    <x v="2"/>
    <x v="9701"/>
    <n v="12000"/>
    <m/>
    <n v="-12000"/>
    <x v="112"/>
  </r>
  <r>
    <x v="2178"/>
    <x v="4"/>
    <x v="2"/>
    <x v="9702"/>
    <n v="3150"/>
    <m/>
    <n v="-3150"/>
    <x v="112"/>
  </r>
  <r>
    <x v="2178"/>
    <x v="99"/>
    <x v="2"/>
    <x v="9703"/>
    <n v="13000"/>
    <m/>
    <n v="-13000"/>
    <x v="112"/>
  </r>
  <r>
    <x v="2178"/>
    <x v="4"/>
    <x v="474"/>
    <x v="8211"/>
    <n v="250"/>
    <m/>
    <n v="-250"/>
    <x v="112"/>
  </r>
  <r>
    <x v="2178"/>
    <x v="4"/>
    <x v="4"/>
    <x v="9659"/>
    <n v="1000"/>
    <m/>
    <n v="-1000"/>
    <x v="112"/>
  </r>
  <r>
    <x v="2178"/>
    <x v="94"/>
    <x v="748"/>
    <x v="8439"/>
    <n v="70000"/>
    <m/>
    <n v="-70000"/>
    <x v="112"/>
  </r>
  <r>
    <x v="2178"/>
    <x v="94"/>
    <x v="748"/>
    <x v="8439"/>
    <n v="130000"/>
    <m/>
    <n v="-130000"/>
    <x v="112"/>
  </r>
  <r>
    <x v="2178"/>
    <x v="79"/>
    <x v="278"/>
    <x v="9477"/>
    <n v="54400"/>
    <m/>
    <n v="-54400"/>
    <x v="112"/>
  </r>
  <r>
    <x v="2178"/>
    <x v="73"/>
    <x v="655"/>
    <x v="9477"/>
    <n v="100000"/>
    <m/>
    <n v="-100000"/>
    <x v="112"/>
  </r>
  <r>
    <x v="2179"/>
    <x v="94"/>
    <x v="735"/>
    <x v="9704"/>
    <n v="100000"/>
    <m/>
    <n v="-100000"/>
    <x v="112"/>
  </r>
  <r>
    <x v="2179"/>
    <x v="74"/>
    <x v="806"/>
    <x v="9705"/>
    <n v="70000"/>
    <m/>
    <n v="-70000"/>
    <x v="112"/>
  </r>
  <r>
    <x v="2179"/>
    <x v="4"/>
    <x v="4"/>
    <x v="9659"/>
    <n v="7000"/>
    <m/>
    <n v="-7000"/>
    <x v="112"/>
  </r>
  <r>
    <x v="2179"/>
    <x v="73"/>
    <x v="474"/>
    <x v="233"/>
    <n v="3000"/>
    <m/>
    <n v="-3000"/>
    <x v="112"/>
  </r>
  <r>
    <x v="2179"/>
    <x v="103"/>
    <x v="2"/>
    <x v="9706"/>
    <n v="450"/>
    <m/>
    <n v="-450"/>
    <x v="112"/>
  </r>
  <r>
    <x v="2179"/>
    <x v="79"/>
    <x v="278"/>
    <x v="9707"/>
    <n v="17400"/>
    <m/>
    <n v="-17400"/>
    <x v="112"/>
  </r>
  <r>
    <x v="2179"/>
    <x v="98"/>
    <x v="278"/>
    <x v="9708"/>
    <n v="9500"/>
    <m/>
    <n v="-9500"/>
    <x v="112"/>
  </r>
  <r>
    <x v="2179"/>
    <x v="79"/>
    <x v="285"/>
    <x v="9709"/>
    <n v="1000"/>
    <m/>
    <n v="-1000"/>
    <x v="112"/>
  </r>
  <r>
    <x v="2179"/>
    <x v="99"/>
    <x v="807"/>
    <x v="9710"/>
    <n v="50000"/>
    <m/>
    <n v="-50000"/>
    <x v="112"/>
  </r>
  <r>
    <x v="2179"/>
    <x v="99"/>
    <x v="2"/>
    <x v="9711"/>
    <n v="10000"/>
    <m/>
    <n v="-10000"/>
    <x v="112"/>
  </r>
  <r>
    <x v="2179"/>
    <x v="99"/>
    <x v="285"/>
    <x v="9712"/>
    <n v="5000"/>
    <m/>
    <n v="-5000"/>
    <x v="112"/>
  </r>
  <r>
    <x v="2179"/>
    <x v="94"/>
    <x v="2"/>
    <x v="9713"/>
    <n v="1000"/>
    <m/>
    <n v="-1000"/>
    <x v="112"/>
  </r>
  <r>
    <x v="2179"/>
    <x v="94"/>
    <x v="474"/>
    <x v="233"/>
    <n v="270"/>
    <m/>
    <n v="-270"/>
    <x v="112"/>
  </r>
  <r>
    <x v="2179"/>
    <x v="73"/>
    <x v="795"/>
    <x v="898"/>
    <n v="10000"/>
    <m/>
    <n v="-10000"/>
    <x v="112"/>
  </r>
  <r>
    <x v="2179"/>
    <x v="67"/>
    <x v="278"/>
    <x v="4063"/>
    <n v="18480"/>
    <m/>
    <n v="-18480"/>
    <x v="112"/>
  </r>
  <r>
    <x v="2179"/>
    <x v="99"/>
    <x v="278"/>
    <x v="4063"/>
    <n v="7700"/>
    <m/>
    <n v="-7700"/>
    <x v="112"/>
  </r>
  <r>
    <x v="2179"/>
    <x v="99"/>
    <x v="278"/>
    <x v="4063"/>
    <n v="135454"/>
    <m/>
    <n v="-135454"/>
    <x v="112"/>
  </r>
  <r>
    <x v="2179"/>
    <x v="79"/>
    <x v="278"/>
    <x v="4063"/>
    <n v="690"/>
    <m/>
    <n v="-690"/>
    <x v="112"/>
  </r>
  <r>
    <x v="2179"/>
    <x v="99"/>
    <x v="278"/>
    <x v="4063"/>
    <n v="46440"/>
    <m/>
    <n v="-46440"/>
    <x v="112"/>
  </r>
  <r>
    <x v="2179"/>
    <x v="4"/>
    <x v="516"/>
    <x v="9714"/>
    <n v="5330"/>
    <m/>
    <n v="-5330"/>
    <x v="112"/>
  </r>
  <r>
    <x v="2179"/>
    <x v="97"/>
    <x v="596"/>
    <x v="8439"/>
    <n v="100000"/>
    <m/>
    <n v="-100000"/>
    <x v="112"/>
  </r>
  <r>
    <x v="2158"/>
    <x v="95"/>
    <x v="294"/>
    <x v="9715"/>
    <n v="330000"/>
    <m/>
    <n v="-330000"/>
    <x v="112"/>
  </r>
  <r>
    <x v="2158"/>
    <x v="92"/>
    <x v="758"/>
    <x v="9716"/>
    <n v="81000"/>
    <m/>
    <n v="-81000"/>
    <x v="112"/>
  </r>
  <r>
    <x v="2158"/>
    <x v="94"/>
    <x v="716"/>
    <x v="9717"/>
    <n v="200000"/>
    <m/>
    <n v="-200000"/>
    <x v="112"/>
  </r>
  <r>
    <x v="2169"/>
    <x v="4"/>
    <x v="808"/>
    <x v="9718"/>
    <n v="100000"/>
    <m/>
    <n v="-100000"/>
    <x v="112"/>
  </r>
  <r>
    <x v="2169"/>
    <x v="81"/>
    <x v="664"/>
    <x v="9719"/>
    <n v="90000"/>
    <m/>
    <n v="-90000"/>
    <x v="112"/>
  </r>
  <r>
    <x v="2169"/>
    <x v="86"/>
    <x v="248"/>
    <x v="9720"/>
    <n v="653892"/>
    <m/>
    <n v="-653892"/>
    <x v="112"/>
  </r>
  <r>
    <x v="2170"/>
    <x v="75"/>
    <x v="596"/>
    <x v="9721"/>
    <n v="100000"/>
    <m/>
    <n v="-100000"/>
    <x v="112"/>
  </r>
  <r>
    <x v="2170"/>
    <x v="97"/>
    <x v="596"/>
    <x v="9722"/>
    <n v="145000"/>
    <m/>
    <n v="-145000"/>
    <x v="112"/>
  </r>
  <r>
    <x v="2171"/>
    <x v="95"/>
    <x v="642"/>
    <x v="9723"/>
    <n v="50000"/>
    <m/>
    <n v="-50000"/>
    <x v="112"/>
  </r>
  <r>
    <x v="2171"/>
    <x v="4"/>
    <x v="808"/>
    <x v="9724"/>
    <n v="150000"/>
    <m/>
    <n v="-150000"/>
    <x v="112"/>
  </r>
  <r>
    <x v="2176"/>
    <x v="97"/>
    <x v="740"/>
    <x v="9725"/>
    <n v="35400"/>
    <m/>
    <n v="-35400"/>
    <x v="112"/>
  </r>
  <r>
    <x v="2178"/>
    <x v="73"/>
    <x v="78"/>
    <x v="9726"/>
    <n v="638634"/>
    <m/>
    <n v="-638634"/>
    <x v="112"/>
  </r>
  <r>
    <x v="2156"/>
    <x v="1"/>
    <x v="97"/>
    <x v="9727"/>
    <m/>
    <n v="246087"/>
    <n v="246087"/>
    <x v="112"/>
  </r>
  <r>
    <x v="2156"/>
    <x v="1"/>
    <x v="97"/>
    <x v="9728"/>
    <m/>
    <n v="246087"/>
    <n v="246087"/>
    <x v="112"/>
  </r>
  <r>
    <x v="2156"/>
    <x v="1"/>
    <x v="97"/>
    <x v="9729"/>
    <m/>
    <n v="246087"/>
    <n v="246087"/>
    <x v="112"/>
  </r>
  <r>
    <x v="2156"/>
    <x v="1"/>
    <x v="97"/>
    <x v="9730"/>
    <m/>
    <n v="178973"/>
    <n v="178973"/>
    <x v="112"/>
  </r>
  <r>
    <x v="2159"/>
    <x v="66"/>
    <x v="97"/>
    <x v="9731"/>
    <m/>
    <n v="677861"/>
    <n v="677861"/>
    <x v="112"/>
  </r>
  <r>
    <x v="2161"/>
    <x v="22"/>
    <x v="97"/>
    <x v="9732"/>
    <m/>
    <n v="333522"/>
    <n v="333522"/>
    <x v="112"/>
  </r>
  <r>
    <x v="2165"/>
    <x v="23"/>
    <x v="97"/>
    <x v="9733"/>
    <m/>
    <n v="359992"/>
    <n v="359992"/>
    <x v="112"/>
  </r>
  <r>
    <x v="2170"/>
    <x v="55"/>
    <x v="97"/>
    <x v="9734"/>
    <m/>
    <n v="5000000"/>
    <n v="5000000"/>
    <x v="112"/>
  </r>
  <r>
    <x v="2172"/>
    <x v="76"/>
    <x v="97"/>
    <x v="9735"/>
    <m/>
    <n v="1800000"/>
    <n v="1800000"/>
    <x v="112"/>
  </r>
  <r>
    <x v="2172"/>
    <x v="67"/>
    <x v="97"/>
    <x v="9736"/>
    <m/>
    <n v="2092916"/>
    <n v="2092916"/>
    <x v="112"/>
  </r>
  <r>
    <x v="2172"/>
    <x v="1"/>
    <x v="97"/>
    <x v="9737"/>
    <m/>
    <n v="246087"/>
    <n v="246087"/>
    <x v="112"/>
  </r>
  <r>
    <x v="2173"/>
    <x v="76"/>
    <x v="97"/>
    <x v="9735"/>
    <m/>
    <n v="900000"/>
    <n v="900000"/>
    <x v="112"/>
  </r>
  <r>
    <x v="2173"/>
    <x v="76"/>
    <x v="97"/>
    <x v="9735"/>
    <m/>
    <n v="900000"/>
    <n v="900000"/>
    <x v="112"/>
  </r>
  <r>
    <x v="2173"/>
    <x v="91"/>
    <x v="97"/>
    <x v="9738"/>
    <m/>
    <n v="1460000"/>
    <n v="1460000"/>
    <x v="112"/>
  </r>
  <r>
    <x v="2177"/>
    <x v="89"/>
    <x v="97"/>
    <x v="9739"/>
    <m/>
    <n v="200000"/>
    <n v="200000"/>
    <x v="112"/>
  </r>
  <r>
    <x v="2179"/>
    <x v="67"/>
    <x v="97"/>
    <x v="9726"/>
    <m/>
    <n v="638634"/>
    <n v="638634"/>
    <x v="112"/>
  </r>
  <r>
    <x v="2180"/>
    <x v="67"/>
    <x v="642"/>
    <x v="6729"/>
    <n v="2000"/>
    <m/>
    <n v="-2000"/>
    <x v="113"/>
  </r>
  <r>
    <x v="2180"/>
    <x v="4"/>
    <x v="4"/>
    <x v="9659"/>
    <n v="6000"/>
    <m/>
    <n v="-6000"/>
    <x v="113"/>
  </r>
  <r>
    <x v="2180"/>
    <x v="80"/>
    <x v="474"/>
    <x v="8211"/>
    <n v="400"/>
    <m/>
    <n v="-400"/>
    <x v="113"/>
  </r>
  <r>
    <x v="2180"/>
    <x v="80"/>
    <x v="694"/>
    <x v="233"/>
    <n v="200"/>
    <m/>
    <n v="-200"/>
    <x v="113"/>
  </r>
  <r>
    <x v="2180"/>
    <x v="98"/>
    <x v="474"/>
    <x v="9740"/>
    <n v="5000"/>
    <m/>
    <n v="-5000"/>
    <x v="113"/>
  </r>
  <r>
    <x v="2180"/>
    <x v="99"/>
    <x v="809"/>
    <x v="9741"/>
    <n v="50000"/>
    <m/>
    <n v="-50000"/>
    <x v="113"/>
  </r>
  <r>
    <x v="2180"/>
    <x v="91"/>
    <x v="278"/>
    <x v="5324"/>
    <n v="14460"/>
    <m/>
    <n v="-14460"/>
    <x v="113"/>
  </r>
  <r>
    <x v="2180"/>
    <x v="4"/>
    <x v="810"/>
    <x v="9742"/>
    <n v="3000"/>
    <m/>
    <n v="-3000"/>
    <x v="113"/>
  </r>
  <r>
    <x v="2180"/>
    <x v="73"/>
    <x v="474"/>
    <x v="233"/>
    <n v="1200"/>
    <m/>
    <n v="-1200"/>
    <x v="113"/>
  </r>
  <r>
    <x v="2181"/>
    <x v="7"/>
    <x v="27"/>
    <x v="5156"/>
    <n v="865"/>
    <m/>
    <n v="-865"/>
    <x v="113"/>
  </r>
  <r>
    <x v="2181"/>
    <x v="4"/>
    <x v="27"/>
    <x v="5156"/>
    <n v="745"/>
    <m/>
    <n v="-745"/>
    <x v="113"/>
  </r>
  <r>
    <x v="2181"/>
    <x v="4"/>
    <x v="4"/>
    <x v="9659"/>
    <n v="3000"/>
    <m/>
    <n v="-3000"/>
    <x v="113"/>
  </r>
  <r>
    <x v="2181"/>
    <x v="73"/>
    <x v="811"/>
    <x v="898"/>
    <n v="10000"/>
    <m/>
    <n v="-10000"/>
    <x v="113"/>
  </r>
  <r>
    <x v="2181"/>
    <x v="94"/>
    <x v="89"/>
    <x v="9743"/>
    <n v="225000"/>
    <m/>
    <n v="-225000"/>
    <x v="113"/>
  </r>
  <r>
    <x v="2181"/>
    <x v="94"/>
    <x v="278"/>
    <x v="9744"/>
    <n v="10000"/>
    <m/>
    <n v="-10000"/>
    <x v="113"/>
  </r>
  <r>
    <x v="2181"/>
    <x v="94"/>
    <x v="390"/>
    <x v="9745"/>
    <n v="6000"/>
    <m/>
    <n v="-6000"/>
    <x v="113"/>
  </r>
  <r>
    <x v="2181"/>
    <x v="4"/>
    <x v="717"/>
    <x v="898"/>
    <n v="7000"/>
    <m/>
    <n v="-7000"/>
    <x v="113"/>
  </r>
  <r>
    <x v="2181"/>
    <x v="4"/>
    <x v="4"/>
    <x v="9583"/>
    <n v="1000"/>
    <m/>
    <n v="-1000"/>
    <x v="113"/>
  </r>
  <r>
    <x v="2182"/>
    <x v="68"/>
    <x v="278"/>
    <x v="9746"/>
    <n v="4800"/>
    <m/>
    <n v="-4800"/>
    <x v="113"/>
  </r>
  <r>
    <x v="2182"/>
    <x v="79"/>
    <x v="285"/>
    <x v="7068"/>
    <n v="500"/>
    <m/>
    <n v="-500"/>
    <x v="113"/>
  </r>
  <r>
    <x v="2182"/>
    <x v="4"/>
    <x v="4"/>
    <x v="9659"/>
    <n v="4000"/>
    <m/>
    <n v="-4000"/>
    <x v="113"/>
  </r>
  <r>
    <x v="2182"/>
    <x v="91"/>
    <x v="278"/>
    <x v="9747"/>
    <n v="2400"/>
    <m/>
    <n v="-2400"/>
    <x v="113"/>
  </r>
  <r>
    <x v="2182"/>
    <x v="97"/>
    <x v="611"/>
    <x v="898"/>
    <n v="22000"/>
    <m/>
    <n v="-22000"/>
    <x v="113"/>
  </r>
  <r>
    <x v="2182"/>
    <x v="1"/>
    <x v="2"/>
    <x v="4693"/>
    <n v="3000"/>
    <m/>
    <n v="-3000"/>
    <x v="113"/>
  </r>
  <r>
    <x v="2182"/>
    <x v="95"/>
    <x v="2"/>
    <x v="9748"/>
    <n v="12800"/>
    <m/>
    <n v="-12800"/>
    <x v="113"/>
  </r>
  <r>
    <x v="2182"/>
    <x v="1"/>
    <x v="2"/>
    <x v="9749"/>
    <n v="5000"/>
    <m/>
    <n v="-5000"/>
    <x v="113"/>
  </r>
  <r>
    <x v="2183"/>
    <x v="5"/>
    <x v="2"/>
    <x v="9750"/>
    <n v="5000"/>
    <m/>
    <n v="-5000"/>
    <x v="113"/>
  </r>
  <r>
    <x v="2183"/>
    <x v="4"/>
    <x v="4"/>
    <x v="9659"/>
    <n v="5000"/>
    <m/>
    <n v="-5000"/>
    <x v="113"/>
  </r>
  <r>
    <x v="2183"/>
    <x v="4"/>
    <x v="796"/>
    <x v="233"/>
    <n v="6000"/>
    <m/>
    <n v="-6000"/>
    <x v="113"/>
  </r>
  <r>
    <x v="2183"/>
    <x v="4"/>
    <x v="434"/>
    <x v="233"/>
    <n v="1700"/>
    <m/>
    <n v="-1700"/>
    <x v="113"/>
  </r>
  <r>
    <x v="2183"/>
    <x v="73"/>
    <x v="474"/>
    <x v="233"/>
    <n v="1400"/>
    <m/>
    <n v="-1400"/>
    <x v="113"/>
  </r>
  <r>
    <x v="2183"/>
    <x v="73"/>
    <x v="278"/>
    <x v="9751"/>
    <n v="950"/>
    <m/>
    <n v="-950"/>
    <x v="113"/>
  </r>
  <r>
    <x v="2183"/>
    <x v="73"/>
    <x v="278"/>
    <x v="9752"/>
    <n v="21000"/>
    <m/>
    <n v="-21000"/>
    <x v="113"/>
  </r>
  <r>
    <x v="2183"/>
    <x v="7"/>
    <x v="25"/>
    <x v="9753"/>
    <n v="150000"/>
    <m/>
    <n v="-150000"/>
    <x v="113"/>
  </r>
  <r>
    <x v="2183"/>
    <x v="91"/>
    <x v="278"/>
    <x v="9754"/>
    <n v="21000"/>
    <m/>
    <n v="-21000"/>
    <x v="113"/>
  </r>
  <r>
    <x v="2183"/>
    <x v="91"/>
    <x v="812"/>
    <x v="8439"/>
    <n v="40000"/>
    <m/>
    <n v="-40000"/>
    <x v="113"/>
  </r>
  <r>
    <x v="2184"/>
    <x v="91"/>
    <x v="278"/>
    <x v="9754"/>
    <n v="9000"/>
    <m/>
    <n v="-9000"/>
    <x v="113"/>
  </r>
  <r>
    <x v="2183"/>
    <x v="79"/>
    <x v="278"/>
    <x v="9755"/>
    <n v="15500"/>
    <m/>
    <n v="-15500"/>
    <x v="113"/>
  </r>
  <r>
    <x v="2184"/>
    <x v="79"/>
    <x v="285"/>
    <x v="9756"/>
    <n v="650"/>
    <m/>
    <n v="-650"/>
    <x v="113"/>
  </r>
  <r>
    <x v="2184"/>
    <x v="58"/>
    <x v="773"/>
    <x v="9757"/>
    <n v="20000"/>
    <m/>
    <n v="-20000"/>
    <x v="113"/>
  </r>
  <r>
    <x v="2184"/>
    <x v="73"/>
    <x v="474"/>
    <x v="233"/>
    <n v="800"/>
    <m/>
    <n v="-800"/>
    <x v="113"/>
  </r>
  <r>
    <x v="2185"/>
    <x v="4"/>
    <x v="4"/>
    <x v="9659"/>
    <n v="4000"/>
    <m/>
    <n v="-4000"/>
    <x v="113"/>
  </r>
  <r>
    <x v="2185"/>
    <x v="104"/>
    <x v="278"/>
    <x v="9758"/>
    <n v="182980"/>
    <m/>
    <n v="-182980"/>
    <x v="113"/>
  </r>
  <r>
    <x v="2185"/>
    <x v="104"/>
    <x v="474"/>
    <x v="233"/>
    <n v="500"/>
    <m/>
    <n v="-500"/>
    <x v="113"/>
  </r>
  <r>
    <x v="2185"/>
    <x v="104"/>
    <x v="285"/>
    <x v="7068"/>
    <n v="500"/>
    <m/>
    <n v="-500"/>
    <x v="113"/>
  </r>
  <r>
    <x v="2185"/>
    <x v="104"/>
    <x v="758"/>
    <x v="9759"/>
    <n v="10000"/>
    <m/>
    <n v="-10000"/>
    <x v="113"/>
  </r>
  <r>
    <x v="2185"/>
    <x v="104"/>
    <x v="474"/>
    <x v="233"/>
    <n v="1500"/>
    <m/>
    <n v="-1500"/>
    <x v="113"/>
  </r>
  <r>
    <x v="2185"/>
    <x v="73"/>
    <x v="278"/>
    <x v="9760"/>
    <n v="233500"/>
    <m/>
    <n v="-233500"/>
    <x v="113"/>
  </r>
  <r>
    <x v="2185"/>
    <x v="73"/>
    <x v="278"/>
    <x v="9761"/>
    <n v="35600"/>
    <m/>
    <n v="-35600"/>
    <x v="113"/>
  </r>
  <r>
    <x v="2185"/>
    <x v="94"/>
    <x v="278"/>
    <x v="9762"/>
    <n v="32000"/>
    <m/>
    <n v="-32000"/>
    <x v="113"/>
  </r>
  <r>
    <x v="2185"/>
    <x v="73"/>
    <x v="278"/>
    <x v="9763"/>
    <n v="12000"/>
    <m/>
    <n v="-12000"/>
    <x v="113"/>
  </r>
  <r>
    <x v="2186"/>
    <x v="4"/>
    <x v="4"/>
    <x v="9659"/>
    <n v="3000"/>
    <m/>
    <n v="-3000"/>
    <x v="113"/>
  </r>
  <r>
    <x v="2186"/>
    <x v="58"/>
    <x v="314"/>
    <x v="9764"/>
    <n v="10000"/>
    <m/>
    <n v="-10000"/>
    <x v="113"/>
  </r>
  <r>
    <x v="2186"/>
    <x v="73"/>
    <x v="278"/>
    <x v="9765"/>
    <n v="1050"/>
    <m/>
    <n v="-1050"/>
    <x v="113"/>
  </r>
  <r>
    <x v="2186"/>
    <x v="73"/>
    <x v="4"/>
    <x v="9766"/>
    <n v="12000"/>
    <m/>
    <n v="-12000"/>
    <x v="113"/>
  </r>
  <r>
    <x v="2186"/>
    <x v="94"/>
    <x v="735"/>
    <x v="8439"/>
    <n v="100000"/>
    <m/>
    <n v="-100000"/>
    <x v="113"/>
  </r>
  <r>
    <x v="2186"/>
    <x v="76"/>
    <x v="518"/>
    <x v="9477"/>
    <n v="40000"/>
    <m/>
    <n v="-40000"/>
    <x v="113"/>
  </r>
  <r>
    <x v="2186"/>
    <x v="73"/>
    <x v="795"/>
    <x v="9536"/>
    <n v="10000"/>
    <m/>
    <n v="-10000"/>
    <x v="113"/>
  </r>
  <r>
    <x v="2187"/>
    <x v="23"/>
    <x v="474"/>
    <x v="9767"/>
    <n v="3000"/>
    <m/>
    <n v="-3000"/>
    <x v="113"/>
  </r>
  <r>
    <x v="2187"/>
    <x v="73"/>
    <x v="278"/>
    <x v="7883"/>
    <n v="19650"/>
    <m/>
    <n v="-19650"/>
    <x v="113"/>
  </r>
  <r>
    <x v="2187"/>
    <x v="73"/>
    <x v="338"/>
    <x v="9477"/>
    <n v="250000"/>
    <m/>
    <n v="-250000"/>
    <x v="113"/>
  </r>
  <r>
    <x v="2187"/>
    <x v="79"/>
    <x v="2"/>
    <x v="4400"/>
    <n v="2800"/>
    <m/>
    <n v="-2800"/>
    <x v="113"/>
  </r>
  <r>
    <x v="2187"/>
    <x v="94"/>
    <x v="748"/>
    <x v="9477"/>
    <n v="125000"/>
    <m/>
    <n v="-125000"/>
    <x v="113"/>
  </r>
  <r>
    <x v="2187"/>
    <x v="94"/>
    <x v="278"/>
    <x v="9768"/>
    <n v="47000"/>
    <m/>
    <n v="-47000"/>
    <x v="113"/>
  </r>
  <r>
    <x v="2187"/>
    <x v="23"/>
    <x v="474"/>
    <x v="9767"/>
    <n v="3000"/>
    <m/>
    <n v="-3000"/>
    <x v="113"/>
  </r>
  <r>
    <x v="2187"/>
    <x v="94"/>
    <x v="474"/>
    <x v="233"/>
    <n v="2000"/>
    <m/>
    <n v="-2000"/>
    <x v="113"/>
  </r>
  <r>
    <x v="2187"/>
    <x v="4"/>
    <x v="4"/>
    <x v="9659"/>
    <n v="2000"/>
    <m/>
    <n v="-2000"/>
    <x v="113"/>
  </r>
  <r>
    <x v="2187"/>
    <x v="99"/>
    <x v="474"/>
    <x v="9769"/>
    <n v="500"/>
    <m/>
    <n v="-500"/>
    <x v="113"/>
  </r>
  <r>
    <x v="2187"/>
    <x v="105"/>
    <x v="474"/>
    <x v="9769"/>
    <n v="550"/>
    <m/>
    <n v="-550"/>
    <x v="113"/>
  </r>
  <r>
    <x v="2187"/>
    <x v="94"/>
    <x v="278"/>
    <x v="7582"/>
    <n v="2500"/>
    <m/>
    <n v="-2500"/>
    <x v="113"/>
  </r>
  <r>
    <x v="2187"/>
    <x v="94"/>
    <x v="474"/>
    <x v="9770"/>
    <n v="1500"/>
    <m/>
    <n v="-1500"/>
    <x v="113"/>
  </r>
  <r>
    <x v="2187"/>
    <x v="52"/>
    <x v="278"/>
    <x v="9771"/>
    <n v="2000"/>
    <m/>
    <n v="-2000"/>
    <x v="113"/>
  </r>
  <r>
    <x v="2187"/>
    <x v="4"/>
    <x v="4"/>
    <x v="9772"/>
    <n v="8000"/>
    <m/>
    <n v="-8000"/>
    <x v="113"/>
  </r>
  <r>
    <x v="2187"/>
    <x v="106"/>
    <x v="465"/>
    <x v="9773"/>
    <n v="5000"/>
    <m/>
    <n v="-5000"/>
    <x v="113"/>
  </r>
  <r>
    <x v="2188"/>
    <x v="73"/>
    <x v="756"/>
    <x v="9774"/>
    <n v="60600"/>
    <m/>
    <n v="-60600"/>
    <x v="113"/>
  </r>
  <r>
    <x v="2188"/>
    <x v="73"/>
    <x v="278"/>
    <x v="9775"/>
    <n v="9600"/>
    <m/>
    <n v="-9600"/>
    <x v="113"/>
  </r>
  <r>
    <x v="2188"/>
    <x v="94"/>
    <x v="278"/>
    <x v="9776"/>
    <n v="39950"/>
    <m/>
    <n v="-39950"/>
    <x v="113"/>
  </r>
  <r>
    <x v="2188"/>
    <x v="94"/>
    <x v="474"/>
    <x v="233"/>
    <n v="2000"/>
    <m/>
    <n v="-2000"/>
    <x v="113"/>
  </r>
  <r>
    <x v="2188"/>
    <x v="73"/>
    <x v="474"/>
    <x v="233"/>
    <n v="1500"/>
    <m/>
    <n v="-1500"/>
    <x v="113"/>
  </r>
  <r>
    <x v="2188"/>
    <x v="73"/>
    <x v="278"/>
    <x v="9777"/>
    <n v="18000"/>
    <m/>
    <n v="-18000"/>
    <x v="113"/>
  </r>
  <r>
    <x v="2189"/>
    <x v="94"/>
    <x v="390"/>
    <x v="9778"/>
    <n v="2400"/>
    <m/>
    <n v="-2400"/>
    <x v="113"/>
  </r>
  <r>
    <x v="2189"/>
    <x v="91"/>
    <x v="474"/>
    <x v="233"/>
    <n v="2000"/>
    <m/>
    <n v="-2000"/>
    <x v="113"/>
  </r>
  <r>
    <x v="2189"/>
    <x v="4"/>
    <x v="629"/>
    <x v="898"/>
    <n v="5000"/>
    <m/>
    <n v="-5000"/>
    <x v="113"/>
  </r>
  <r>
    <x v="2189"/>
    <x v="91"/>
    <x v="434"/>
    <x v="9779"/>
    <n v="4860"/>
    <m/>
    <n v="-4860"/>
    <x v="113"/>
  </r>
  <r>
    <x v="2189"/>
    <x v="91"/>
    <x v="278"/>
    <x v="9780"/>
    <n v="63240"/>
    <m/>
    <n v="-63240"/>
    <x v="113"/>
  </r>
  <r>
    <x v="2189"/>
    <x v="91"/>
    <x v="278"/>
    <x v="9781"/>
    <n v="5280"/>
    <m/>
    <n v="-5280"/>
    <x v="113"/>
  </r>
  <r>
    <x v="2189"/>
    <x v="94"/>
    <x v="619"/>
    <x v="9462"/>
    <n v="250000"/>
    <m/>
    <n v="-250000"/>
    <x v="113"/>
  </r>
  <r>
    <x v="2189"/>
    <x v="4"/>
    <x v="813"/>
    <x v="9782"/>
    <n v="50000"/>
    <m/>
    <n v="-50000"/>
    <x v="113"/>
  </r>
  <r>
    <x v="2189"/>
    <x v="65"/>
    <x v="278"/>
    <x v="9783"/>
    <n v="25500"/>
    <m/>
    <n v="-25500"/>
    <x v="113"/>
  </r>
  <r>
    <x v="2189"/>
    <x v="7"/>
    <x v="198"/>
    <x v="9784"/>
    <n v="900"/>
    <m/>
    <n v="-900"/>
    <x v="113"/>
  </r>
  <r>
    <x v="2189"/>
    <x v="4"/>
    <x v="4"/>
    <x v="9659"/>
    <n v="1000"/>
    <m/>
    <n v="-1000"/>
    <x v="113"/>
  </r>
  <r>
    <x v="2190"/>
    <x v="94"/>
    <x v="278"/>
    <x v="9785"/>
    <n v="1800"/>
    <m/>
    <n v="-1800"/>
    <x v="113"/>
  </r>
  <r>
    <x v="2190"/>
    <x v="94"/>
    <x v="278"/>
    <x v="9786"/>
    <n v="1250"/>
    <m/>
    <n v="-1250"/>
    <x v="113"/>
  </r>
  <r>
    <x v="2190"/>
    <x v="7"/>
    <x v="27"/>
    <x v="5204"/>
    <n v="2905"/>
    <m/>
    <n v="-2905"/>
    <x v="113"/>
  </r>
  <r>
    <x v="2190"/>
    <x v="4"/>
    <x v="27"/>
    <x v="5204"/>
    <n v="9220"/>
    <m/>
    <n v="-9220"/>
    <x v="113"/>
  </r>
  <r>
    <x v="2190"/>
    <x v="94"/>
    <x v="474"/>
    <x v="233"/>
    <n v="3000"/>
    <m/>
    <n v="-3000"/>
    <x v="113"/>
  </r>
  <r>
    <x v="2190"/>
    <x v="94"/>
    <x v="474"/>
    <x v="9787"/>
    <n v="250"/>
    <m/>
    <n v="-250"/>
    <x v="113"/>
  </r>
  <r>
    <x v="2190"/>
    <x v="79"/>
    <x v="474"/>
    <x v="9788"/>
    <n v="300"/>
    <m/>
    <n v="-300"/>
    <x v="113"/>
  </r>
  <r>
    <x v="2190"/>
    <x v="94"/>
    <x v="285"/>
    <x v="9789"/>
    <n v="1000"/>
    <m/>
    <n v="-1000"/>
    <x v="113"/>
  </r>
  <r>
    <x v="2190"/>
    <x v="4"/>
    <x v="4"/>
    <x v="9659"/>
    <n v="1000"/>
    <m/>
    <n v="-1000"/>
    <x v="113"/>
  </r>
  <r>
    <x v="2190"/>
    <x v="94"/>
    <x v="474"/>
    <x v="233"/>
    <n v="250"/>
    <m/>
    <n v="-250"/>
    <x v="113"/>
  </r>
  <r>
    <x v="2190"/>
    <x v="73"/>
    <x v="655"/>
    <x v="9790"/>
    <n v="100000"/>
    <m/>
    <n v="-100000"/>
    <x v="113"/>
  </r>
  <r>
    <x v="2190"/>
    <x v="90"/>
    <x v="758"/>
    <x v="8439"/>
    <n v="75000"/>
    <m/>
    <n v="-75000"/>
    <x v="113"/>
  </r>
  <r>
    <x v="2190"/>
    <x v="7"/>
    <x v="2"/>
    <x v="9791"/>
    <n v="32800"/>
    <m/>
    <n v="-32800"/>
    <x v="113"/>
  </r>
  <r>
    <x v="2190"/>
    <x v="7"/>
    <x v="560"/>
    <x v="8876"/>
    <n v="85000"/>
    <m/>
    <n v="-85000"/>
    <x v="113"/>
  </r>
  <r>
    <x v="2191"/>
    <x v="99"/>
    <x v="278"/>
    <x v="4063"/>
    <n v="193890"/>
    <m/>
    <n v="-193890"/>
    <x v="113"/>
  </r>
  <r>
    <x v="2191"/>
    <x v="99"/>
    <x v="278"/>
    <x v="4063"/>
    <n v="116460"/>
    <m/>
    <n v="-116460"/>
    <x v="113"/>
  </r>
  <r>
    <x v="2191"/>
    <x v="99"/>
    <x v="278"/>
    <x v="4063"/>
    <n v="11790"/>
    <m/>
    <n v="-11790"/>
    <x v="113"/>
  </r>
  <r>
    <x v="2191"/>
    <x v="99"/>
    <x v="278"/>
    <x v="4063"/>
    <n v="2300"/>
    <m/>
    <n v="-2300"/>
    <x v="113"/>
  </r>
  <r>
    <x v="2191"/>
    <x v="94"/>
    <x v="278"/>
    <x v="9792"/>
    <n v="15600"/>
    <m/>
    <n v="-15600"/>
    <x v="113"/>
  </r>
  <r>
    <x v="2191"/>
    <x v="79"/>
    <x v="278"/>
    <x v="9793"/>
    <n v="1000"/>
    <m/>
    <n v="-1000"/>
    <x v="113"/>
  </r>
  <r>
    <x v="2191"/>
    <x v="94"/>
    <x v="278"/>
    <x v="9794"/>
    <n v="7500"/>
    <m/>
    <n v="-7500"/>
    <x v="113"/>
  </r>
  <r>
    <x v="2191"/>
    <x v="94"/>
    <x v="278"/>
    <x v="9795"/>
    <n v="540"/>
    <m/>
    <n v="-540"/>
    <x v="113"/>
  </r>
  <r>
    <x v="2191"/>
    <x v="73"/>
    <x v="698"/>
    <x v="9796"/>
    <n v="500000"/>
    <m/>
    <n v="-500000"/>
    <x v="113"/>
  </r>
  <r>
    <x v="2191"/>
    <x v="94"/>
    <x v="814"/>
    <x v="9462"/>
    <n v="250000"/>
    <m/>
    <n v="-250000"/>
    <x v="113"/>
  </r>
  <r>
    <x v="2191"/>
    <x v="65"/>
    <x v="2"/>
    <x v="9615"/>
    <n v="1500"/>
    <m/>
    <n v="-1500"/>
    <x v="113"/>
  </r>
  <r>
    <x v="2192"/>
    <x v="94"/>
    <x v="278"/>
    <x v="8828"/>
    <n v="5560"/>
    <m/>
    <n v="-5560"/>
    <x v="113"/>
  </r>
  <r>
    <x v="2192"/>
    <x v="94"/>
    <x v="474"/>
    <x v="233"/>
    <n v="350"/>
    <m/>
    <n v="-350"/>
    <x v="113"/>
  </r>
  <r>
    <x v="2192"/>
    <x v="91"/>
    <x v="555"/>
    <x v="9797"/>
    <n v="12400"/>
    <m/>
    <n v="-12400"/>
    <x v="113"/>
  </r>
  <r>
    <x v="2192"/>
    <x v="79"/>
    <x v="278"/>
    <x v="9798"/>
    <n v="950"/>
    <m/>
    <n v="-950"/>
    <x v="113"/>
  </r>
  <r>
    <x v="2192"/>
    <x v="98"/>
    <x v="277"/>
    <x v="9799"/>
    <n v="9500"/>
    <m/>
    <n v="-9500"/>
    <x v="113"/>
  </r>
  <r>
    <x v="2192"/>
    <x v="79"/>
    <x v="474"/>
    <x v="233"/>
    <n v="500"/>
    <m/>
    <n v="-500"/>
    <x v="113"/>
  </r>
  <r>
    <x v="2192"/>
    <x v="94"/>
    <x v="815"/>
    <x v="9477"/>
    <n v="58470"/>
    <m/>
    <n v="-58470"/>
    <x v="113"/>
  </r>
  <r>
    <x v="2192"/>
    <x v="52"/>
    <x v="2"/>
    <x v="4404"/>
    <n v="5000"/>
    <m/>
    <n v="-5000"/>
    <x v="113"/>
  </r>
  <r>
    <x v="2192"/>
    <x v="99"/>
    <x v="2"/>
    <x v="4404"/>
    <n v="6340"/>
    <m/>
    <n v="-6340"/>
    <x v="113"/>
  </r>
  <r>
    <x v="2192"/>
    <x v="74"/>
    <x v="2"/>
    <x v="4404"/>
    <n v="2100"/>
    <m/>
    <n v="-2100"/>
    <x v="113"/>
  </r>
  <r>
    <x v="2192"/>
    <x v="1"/>
    <x v="2"/>
    <x v="4404"/>
    <n v="3000"/>
    <m/>
    <n v="-3000"/>
    <x v="113"/>
  </r>
  <r>
    <x v="2192"/>
    <x v="7"/>
    <x v="2"/>
    <x v="9800"/>
    <n v="10900"/>
    <m/>
    <n v="-10900"/>
    <x v="113"/>
  </r>
  <r>
    <x v="2192"/>
    <x v="94"/>
    <x v="592"/>
    <x v="9801"/>
    <n v="2000000"/>
    <m/>
    <n v="-2000000"/>
    <x v="113"/>
  </r>
  <r>
    <x v="2193"/>
    <x v="1"/>
    <x v="261"/>
    <x v="9802"/>
    <n v="1557"/>
    <m/>
    <n v="-1557"/>
    <x v="113"/>
  </r>
  <r>
    <x v="2193"/>
    <x v="86"/>
    <x v="644"/>
    <x v="9803"/>
    <n v="1000000"/>
    <m/>
    <n v="-1000000"/>
    <x v="113"/>
  </r>
  <r>
    <x v="2193"/>
    <x v="73"/>
    <x v="698"/>
    <x v="9804"/>
    <n v="791000"/>
    <m/>
    <n v="-791000"/>
    <x v="113"/>
  </r>
  <r>
    <x v="2193"/>
    <x v="73"/>
    <x v="278"/>
    <x v="9805"/>
    <n v="38000"/>
    <m/>
    <n v="-38000"/>
    <x v="113"/>
  </r>
  <r>
    <x v="2194"/>
    <x v="97"/>
    <x v="369"/>
    <x v="9806"/>
    <n v="219000"/>
    <m/>
    <n v="-219000"/>
    <x v="113"/>
  </r>
  <r>
    <x v="2194"/>
    <x v="103"/>
    <x v="369"/>
    <x v="9806"/>
    <n v="81000"/>
    <m/>
    <n v="-81000"/>
    <x v="113"/>
  </r>
  <r>
    <x v="2194"/>
    <x v="94"/>
    <x v="804"/>
    <x v="9807"/>
    <n v="30000"/>
    <m/>
    <n v="-30000"/>
    <x v="113"/>
  </r>
  <r>
    <x v="2194"/>
    <x v="58"/>
    <x v="278"/>
    <x v="9808"/>
    <n v="43500"/>
    <m/>
    <n v="-43500"/>
    <x v="113"/>
  </r>
  <r>
    <x v="2194"/>
    <x v="58"/>
    <x v="816"/>
    <x v="9809"/>
    <n v="5000"/>
    <m/>
    <n v="-5000"/>
    <x v="113"/>
  </r>
  <r>
    <x v="2194"/>
    <x v="58"/>
    <x v="474"/>
    <x v="233"/>
    <n v="200"/>
    <m/>
    <n v="-200"/>
    <x v="113"/>
  </r>
  <r>
    <x v="2195"/>
    <x v="91"/>
    <x v="278"/>
    <x v="9810"/>
    <n v="11435"/>
    <m/>
    <n v="-11435"/>
    <x v="113"/>
  </r>
  <r>
    <x v="2195"/>
    <x v="58"/>
    <x v="314"/>
    <x v="898"/>
    <n v="20000"/>
    <m/>
    <n v="-20000"/>
    <x v="113"/>
  </r>
  <r>
    <x v="2195"/>
    <x v="94"/>
    <x v="285"/>
    <x v="7068"/>
    <n v="1000"/>
    <m/>
    <n v="-1000"/>
    <x v="113"/>
  </r>
  <r>
    <x v="2195"/>
    <x v="91"/>
    <x v="474"/>
    <x v="233"/>
    <n v="1400"/>
    <m/>
    <n v="-1400"/>
    <x v="113"/>
  </r>
  <r>
    <x v="2195"/>
    <x v="73"/>
    <x v="474"/>
    <x v="233"/>
    <n v="700"/>
    <m/>
    <n v="-700"/>
    <x v="113"/>
  </r>
  <r>
    <x v="2195"/>
    <x v="65"/>
    <x v="278"/>
    <x v="9811"/>
    <n v="1000"/>
    <m/>
    <n v="-1000"/>
    <x v="113"/>
  </r>
  <r>
    <x v="2195"/>
    <x v="65"/>
    <x v="474"/>
    <x v="233"/>
    <n v="700"/>
    <m/>
    <n v="-700"/>
    <x v="113"/>
  </r>
  <r>
    <x v="2195"/>
    <x v="94"/>
    <x v="704"/>
    <x v="9812"/>
    <n v="540"/>
    <m/>
    <n v="-540"/>
    <x v="113"/>
  </r>
  <r>
    <x v="2195"/>
    <x v="73"/>
    <x v="474"/>
    <x v="233"/>
    <n v="400"/>
    <m/>
    <n v="-400"/>
    <x v="113"/>
  </r>
  <r>
    <x v="2195"/>
    <x v="80"/>
    <x v="767"/>
    <x v="9813"/>
    <n v="288000"/>
    <m/>
    <n v="-288000"/>
    <x v="113"/>
  </r>
  <r>
    <x v="2195"/>
    <x v="73"/>
    <x v="795"/>
    <x v="8878"/>
    <n v="50000"/>
    <m/>
    <n v="-50000"/>
    <x v="113"/>
  </r>
  <r>
    <x v="2195"/>
    <x v="79"/>
    <x v="817"/>
    <x v="9814"/>
    <n v="75000"/>
    <m/>
    <n v="-75000"/>
    <x v="113"/>
  </r>
  <r>
    <x v="2195"/>
    <x v="107"/>
    <x v="817"/>
    <x v="9814"/>
    <n v="75000"/>
    <m/>
    <n v="-75000"/>
    <x v="113"/>
  </r>
  <r>
    <x v="2195"/>
    <x v="99"/>
    <x v="518"/>
    <x v="9477"/>
    <n v="60000"/>
    <m/>
    <n v="-60000"/>
    <x v="113"/>
  </r>
  <r>
    <x v="2195"/>
    <x v="4"/>
    <x v="43"/>
    <x v="9815"/>
    <n v="6000"/>
    <m/>
    <n v="-6000"/>
    <x v="113"/>
  </r>
  <r>
    <x v="2195"/>
    <x v="73"/>
    <x v="474"/>
    <x v="233"/>
    <n v="600"/>
    <m/>
    <n v="-600"/>
    <x v="113"/>
  </r>
  <r>
    <x v="2195"/>
    <x v="4"/>
    <x v="4"/>
    <x v="9816"/>
    <n v="1000"/>
    <m/>
    <n v="-1000"/>
    <x v="113"/>
  </r>
  <r>
    <x v="2195"/>
    <x v="4"/>
    <x v="4"/>
    <x v="5193"/>
    <n v="1000"/>
    <m/>
    <n v="-1000"/>
    <x v="113"/>
  </r>
  <r>
    <x v="2196"/>
    <x v="94"/>
    <x v="278"/>
    <x v="9817"/>
    <n v="3000"/>
    <m/>
    <n v="-3000"/>
    <x v="113"/>
  </r>
  <r>
    <x v="2196"/>
    <x v="94"/>
    <x v="694"/>
    <x v="7505"/>
    <n v="2000"/>
    <m/>
    <n v="-2000"/>
    <x v="113"/>
  </r>
  <r>
    <x v="2196"/>
    <x v="80"/>
    <x v="278"/>
    <x v="9818"/>
    <n v="8000"/>
    <m/>
    <n v="-8000"/>
    <x v="113"/>
  </r>
  <r>
    <x v="2197"/>
    <x v="58"/>
    <x v="773"/>
    <x v="898"/>
    <n v="10000"/>
    <m/>
    <n v="-10000"/>
    <x v="113"/>
  </r>
  <r>
    <x v="2198"/>
    <x v="94"/>
    <x v="2"/>
    <x v="9819"/>
    <n v="1500"/>
    <m/>
    <n v="-1500"/>
    <x v="113"/>
  </r>
  <r>
    <x v="2198"/>
    <x v="73"/>
    <x v="2"/>
    <x v="5499"/>
    <n v="5000"/>
    <m/>
    <n v="-5000"/>
    <x v="113"/>
  </r>
  <r>
    <x v="2198"/>
    <x v="58"/>
    <x v="805"/>
    <x v="9536"/>
    <n v="15000"/>
    <m/>
    <n v="-15000"/>
    <x v="113"/>
  </r>
  <r>
    <x v="2198"/>
    <x v="99"/>
    <x v="749"/>
    <x v="9536"/>
    <n v="200000"/>
    <m/>
    <n v="-200000"/>
    <x v="113"/>
  </r>
  <r>
    <x v="2198"/>
    <x v="80"/>
    <x v="767"/>
    <x v="9820"/>
    <n v="369095"/>
    <m/>
    <n v="-369095"/>
    <x v="113"/>
  </r>
  <r>
    <x v="2198"/>
    <x v="73"/>
    <x v="278"/>
    <x v="9821"/>
    <n v="63000"/>
    <m/>
    <n v="-63000"/>
    <x v="113"/>
  </r>
  <r>
    <x v="2198"/>
    <x v="94"/>
    <x v="278"/>
    <x v="9821"/>
    <n v="68000"/>
    <m/>
    <n v="-68000"/>
    <x v="113"/>
  </r>
  <r>
    <x v="2198"/>
    <x v="76"/>
    <x v="278"/>
    <x v="9821"/>
    <n v="20240"/>
    <m/>
    <n v="-20240"/>
    <x v="113"/>
  </r>
  <r>
    <x v="2198"/>
    <x v="94"/>
    <x v="278"/>
    <x v="9822"/>
    <n v="46370"/>
    <m/>
    <n v="-46370"/>
    <x v="113"/>
  </r>
  <r>
    <x v="2198"/>
    <x v="61"/>
    <x v="278"/>
    <x v="9823"/>
    <n v="38087"/>
    <m/>
    <n v="-38087"/>
    <x v="113"/>
  </r>
  <r>
    <x v="2198"/>
    <x v="94"/>
    <x v="278"/>
    <x v="9823"/>
    <n v="267086"/>
    <m/>
    <n v="-267086"/>
    <x v="113"/>
  </r>
  <r>
    <x v="2198"/>
    <x v="67"/>
    <x v="278"/>
    <x v="9823"/>
    <n v="19680"/>
    <m/>
    <n v="-19680"/>
    <x v="113"/>
  </r>
  <r>
    <x v="2198"/>
    <x v="73"/>
    <x v="278"/>
    <x v="9823"/>
    <n v="44000"/>
    <m/>
    <n v="-44000"/>
    <x v="113"/>
  </r>
  <r>
    <x v="2199"/>
    <x v="79"/>
    <x v="731"/>
    <x v="9824"/>
    <n v="100000"/>
    <m/>
    <n v="-100000"/>
    <x v="113"/>
  </r>
  <r>
    <x v="2199"/>
    <x v="79"/>
    <x v="607"/>
    <x v="9825"/>
    <n v="200000"/>
    <m/>
    <n v="-200000"/>
    <x v="113"/>
  </r>
  <r>
    <x v="2199"/>
    <x v="79"/>
    <x v="607"/>
    <x v="9825"/>
    <n v="100000"/>
    <m/>
    <n v="-100000"/>
    <x v="113"/>
  </r>
  <r>
    <x v="2199"/>
    <x v="97"/>
    <x v="596"/>
    <x v="9826"/>
    <n v="150000"/>
    <m/>
    <n v="-150000"/>
    <x v="113"/>
  </r>
  <r>
    <x v="2199"/>
    <x v="99"/>
    <x v="749"/>
    <x v="9827"/>
    <n v="100000"/>
    <m/>
    <n v="-100000"/>
    <x v="113"/>
  </r>
  <r>
    <x v="2199"/>
    <x v="4"/>
    <x v="516"/>
    <x v="233"/>
    <n v="5330"/>
    <m/>
    <n v="-5330"/>
    <x v="113"/>
  </r>
  <r>
    <x v="2199"/>
    <x v="94"/>
    <x v="474"/>
    <x v="233"/>
    <n v="1300"/>
    <m/>
    <n v="-1300"/>
    <x v="113"/>
  </r>
  <r>
    <x v="2199"/>
    <x v="79"/>
    <x v="474"/>
    <x v="233"/>
    <n v="350"/>
    <m/>
    <n v="-350"/>
    <x v="113"/>
  </r>
  <r>
    <x v="2199"/>
    <x v="79"/>
    <x v="474"/>
    <x v="233"/>
    <n v="350"/>
    <m/>
    <n v="-350"/>
    <x v="113"/>
  </r>
  <r>
    <x v="2199"/>
    <x v="108"/>
    <x v="474"/>
    <x v="233"/>
    <n v="1000"/>
    <m/>
    <n v="-1000"/>
    <x v="113"/>
  </r>
  <r>
    <x v="2200"/>
    <x v="99"/>
    <x v="818"/>
    <x v="9828"/>
    <n v="1000000"/>
    <m/>
    <n v="-1000000"/>
    <x v="113"/>
  </r>
  <r>
    <x v="2200"/>
    <x v="99"/>
    <x v="286"/>
    <x v="9829"/>
    <n v="225000"/>
    <m/>
    <n v="-225000"/>
    <x v="113"/>
  </r>
  <r>
    <x v="2200"/>
    <x v="99"/>
    <x v="809"/>
    <x v="9830"/>
    <n v="35000"/>
    <m/>
    <n v="-35000"/>
    <x v="113"/>
  </r>
  <r>
    <x v="2201"/>
    <x v="52"/>
    <x v="798"/>
    <x v="8731"/>
    <n v="500000"/>
    <m/>
    <n v="-500000"/>
    <x v="113"/>
  </r>
  <r>
    <x v="2201"/>
    <x v="94"/>
    <x v="465"/>
    <x v="9831"/>
    <n v="18000"/>
    <m/>
    <n v="-18000"/>
    <x v="113"/>
  </r>
  <r>
    <x v="2201"/>
    <x v="94"/>
    <x v="465"/>
    <x v="9832"/>
    <n v="20000"/>
    <m/>
    <n v="-20000"/>
    <x v="113"/>
  </r>
  <r>
    <x v="2201"/>
    <x v="94"/>
    <x v="465"/>
    <x v="9833"/>
    <n v="18000"/>
    <m/>
    <n v="-18000"/>
    <x v="113"/>
  </r>
  <r>
    <x v="2201"/>
    <x v="4"/>
    <x v="27"/>
    <x v="5198"/>
    <n v="18965"/>
    <m/>
    <n v="-18965"/>
    <x v="113"/>
  </r>
  <r>
    <x v="2201"/>
    <x v="7"/>
    <x v="27"/>
    <x v="5198"/>
    <n v="44854"/>
    <m/>
    <n v="-44854"/>
    <x v="113"/>
  </r>
  <r>
    <x v="2201"/>
    <x v="108"/>
    <x v="278"/>
    <x v="9834"/>
    <n v="13540"/>
    <m/>
    <n v="-13540"/>
    <x v="113"/>
  </r>
  <r>
    <x v="2201"/>
    <x v="79"/>
    <x v="278"/>
    <x v="1241"/>
    <n v="3000"/>
    <m/>
    <n v="-3000"/>
    <x v="113"/>
  </r>
  <r>
    <x v="2201"/>
    <x v="108"/>
    <x v="278"/>
    <x v="9835"/>
    <n v="280"/>
    <m/>
    <n v="-280"/>
    <x v="113"/>
  </r>
  <r>
    <x v="2201"/>
    <x v="108"/>
    <x v="278"/>
    <x v="9836"/>
    <n v="15660"/>
    <m/>
    <n v="-15660"/>
    <x v="113"/>
  </r>
  <r>
    <x v="2201"/>
    <x v="79"/>
    <x v="2"/>
    <x v="8347"/>
    <n v="12000"/>
    <m/>
    <n v="-12000"/>
    <x v="113"/>
  </r>
  <r>
    <x v="2201"/>
    <x v="79"/>
    <x v="285"/>
    <x v="8563"/>
    <n v="1000"/>
    <m/>
    <n v="-1000"/>
    <x v="113"/>
  </r>
  <r>
    <x v="2201"/>
    <x v="79"/>
    <x v="474"/>
    <x v="233"/>
    <n v="2650"/>
    <m/>
    <n v="-2650"/>
    <x v="113"/>
  </r>
  <r>
    <x v="2181"/>
    <x v="84"/>
    <x v="716"/>
    <x v="9837"/>
    <n v="65000"/>
    <m/>
    <n v="-65000"/>
    <x v="113"/>
  </r>
  <r>
    <x v="2181"/>
    <x v="94"/>
    <x v="716"/>
    <x v="9838"/>
    <n v="135000"/>
    <m/>
    <n v="-135000"/>
    <x v="113"/>
  </r>
  <r>
    <x v="2182"/>
    <x v="97"/>
    <x v="369"/>
    <x v="9839"/>
    <n v="186000"/>
    <m/>
    <n v="-186000"/>
    <x v="113"/>
  </r>
  <r>
    <x v="2185"/>
    <x v="65"/>
    <x v="78"/>
    <x v="9840"/>
    <n v="412181"/>
    <m/>
    <n v="-412181"/>
    <x v="113"/>
  </r>
  <r>
    <x v="2187"/>
    <x v="109"/>
    <x v="819"/>
    <x v="9841"/>
    <n v="1071000"/>
    <m/>
    <n v="-1071000"/>
    <x v="113"/>
  </r>
  <r>
    <x v="2189"/>
    <x v="1"/>
    <x v="261"/>
    <x v="9842"/>
    <n v="27362"/>
    <m/>
    <n v="-27362"/>
    <x v="113"/>
  </r>
  <r>
    <x v="2189"/>
    <x v="22"/>
    <x v="261"/>
    <x v="9842"/>
    <n v="35367"/>
    <m/>
    <n v="-35367"/>
    <x v="113"/>
  </r>
  <r>
    <x v="2189"/>
    <x v="23"/>
    <x v="261"/>
    <x v="9842"/>
    <n v="32760"/>
    <m/>
    <n v="-32760"/>
    <x v="113"/>
  </r>
  <r>
    <x v="2196"/>
    <x v="97"/>
    <x v="45"/>
    <x v="9843"/>
    <n v="712701"/>
    <m/>
    <n v="-712701"/>
    <x v="113"/>
  </r>
  <r>
    <x v="2185"/>
    <x v="65"/>
    <x v="97"/>
    <x v="9844"/>
    <m/>
    <n v="412181"/>
    <n v="412181"/>
    <x v="113"/>
  </r>
  <r>
    <x v="2185"/>
    <x v="99"/>
    <x v="97"/>
    <x v="9845"/>
    <m/>
    <n v="8053923"/>
    <n v="8053923"/>
    <x v="113"/>
  </r>
  <r>
    <x v="2185"/>
    <x v="23"/>
    <x v="97"/>
    <x v="9846"/>
    <m/>
    <n v="359992"/>
    <n v="359992"/>
    <x v="113"/>
  </r>
  <r>
    <x v="2187"/>
    <x v="97"/>
    <x v="97"/>
    <x v="9847"/>
    <m/>
    <n v="4658436"/>
    <n v="4658436"/>
    <x v="113"/>
  </r>
  <r>
    <x v="2187"/>
    <x v="94"/>
    <x v="97"/>
    <x v="9848"/>
    <m/>
    <n v="6010680"/>
    <n v="6010680"/>
    <x v="113"/>
  </r>
  <r>
    <x v="2187"/>
    <x v="94"/>
    <x v="97"/>
    <x v="9848"/>
    <m/>
    <n v="5060000"/>
    <n v="5060000"/>
    <x v="113"/>
  </r>
  <r>
    <x v="2187"/>
    <x v="94"/>
    <x v="97"/>
    <x v="9849"/>
    <m/>
    <n v="10000000"/>
    <n v="10000000"/>
    <x v="113"/>
  </r>
  <r>
    <x v="2187"/>
    <x v="94"/>
    <x v="97"/>
    <x v="9850"/>
    <m/>
    <n v="1071000"/>
    <n v="1071000"/>
    <x v="113"/>
  </r>
  <r>
    <x v="2191"/>
    <x v="100"/>
    <x v="97"/>
    <x v="9851"/>
    <m/>
    <n v="500000"/>
    <n v="500000"/>
    <x v="113"/>
  </r>
  <r>
    <x v="2196"/>
    <x v="94"/>
    <x v="97"/>
    <x v="9564"/>
    <m/>
    <n v="712701"/>
    <n v="712701"/>
    <x v="113"/>
  </r>
  <r>
    <x v="2197"/>
    <x v="65"/>
    <x v="97"/>
    <x v="9852"/>
    <m/>
    <n v="369095"/>
    <n v="369095"/>
    <x v="113"/>
  </r>
  <r>
    <x v="2202"/>
    <x v="91"/>
    <x v="97"/>
    <x v="9853"/>
    <m/>
    <n v="3840424"/>
    <n v="3840424"/>
    <x v="113"/>
  </r>
  <r>
    <x v="2203"/>
    <x v="94"/>
    <x v="43"/>
    <x v="9854"/>
    <n v="50000"/>
    <m/>
    <n v="-50000"/>
    <x v="114"/>
  </r>
  <r>
    <x v="2203"/>
    <x v="3"/>
    <x v="43"/>
    <x v="6877"/>
    <n v="5000"/>
    <m/>
    <n v="-5000"/>
    <x v="114"/>
  </r>
  <r>
    <x v="2203"/>
    <x v="79"/>
    <x v="43"/>
    <x v="9225"/>
    <n v="50000"/>
    <m/>
    <n v="-50000"/>
    <x v="114"/>
  </r>
  <r>
    <x v="2203"/>
    <x v="4"/>
    <x v="43"/>
    <x v="9855"/>
    <n v="105000"/>
    <m/>
    <n v="-105000"/>
    <x v="114"/>
  </r>
  <r>
    <x v="2203"/>
    <x v="94"/>
    <x v="43"/>
    <x v="9856"/>
    <n v="80160"/>
    <m/>
    <n v="-80160"/>
    <x v="114"/>
  </r>
  <r>
    <x v="2203"/>
    <x v="108"/>
    <x v="43"/>
    <x v="9126"/>
    <n v="23130"/>
    <m/>
    <n v="-23130"/>
    <x v="114"/>
  </r>
  <r>
    <x v="2203"/>
    <x v="4"/>
    <x v="43"/>
    <x v="7771"/>
    <n v="219500"/>
    <m/>
    <n v="-219500"/>
    <x v="114"/>
  </r>
  <r>
    <x v="2203"/>
    <x v="73"/>
    <x v="43"/>
    <x v="7775"/>
    <n v="44050"/>
    <m/>
    <n v="-44050"/>
    <x v="114"/>
  </r>
  <r>
    <x v="2204"/>
    <x v="1"/>
    <x v="43"/>
    <x v="6874"/>
    <n v="186200"/>
    <m/>
    <n v="-186200"/>
    <x v="114"/>
  </r>
  <r>
    <x v="2204"/>
    <x v="99"/>
    <x v="43"/>
    <x v="9857"/>
    <n v="266282"/>
    <m/>
    <n v="-266282"/>
    <x v="114"/>
  </r>
  <r>
    <x v="2204"/>
    <x v="58"/>
    <x v="43"/>
    <x v="9858"/>
    <n v="129000"/>
    <m/>
    <n v="-129000"/>
    <x v="114"/>
  </r>
  <r>
    <x v="2205"/>
    <x v="91"/>
    <x v="43"/>
    <x v="9522"/>
    <n v="535700"/>
    <m/>
    <n v="-535700"/>
    <x v="114"/>
  </r>
  <r>
    <x v="2205"/>
    <x v="91"/>
    <x v="43"/>
    <x v="9859"/>
    <n v="220000"/>
    <m/>
    <n v="-220000"/>
    <x v="114"/>
  </r>
  <r>
    <x v="2205"/>
    <x v="79"/>
    <x v="43"/>
    <x v="9860"/>
    <n v="75970"/>
    <m/>
    <n v="-75970"/>
    <x v="114"/>
  </r>
  <r>
    <x v="2205"/>
    <x v="94"/>
    <x v="43"/>
    <x v="9861"/>
    <n v="75000"/>
    <m/>
    <n v="-75000"/>
    <x v="114"/>
  </r>
  <r>
    <x v="2205"/>
    <x v="94"/>
    <x v="43"/>
    <x v="9862"/>
    <n v="57260"/>
    <m/>
    <n v="-57260"/>
    <x v="114"/>
  </r>
  <r>
    <x v="2205"/>
    <x v="110"/>
    <x v="43"/>
    <x v="9863"/>
    <n v="43016"/>
    <m/>
    <n v="-43016"/>
    <x v="114"/>
  </r>
  <r>
    <x v="2205"/>
    <x v="94"/>
    <x v="43"/>
    <x v="9864"/>
    <n v="65000"/>
    <m/>
    <n v="-65000"/>
    <x v="114"/>
  </r>
  <r>
    <x v="2205"/>
    <x v="23"/>
    <x v="43"/>
    <x v="8535"/>
    <n v="137409.27419354839"/>
    <m/>
    <n v="-137409.27419354839"/>
    <x v="114"/>
  </r>
  <r>
    <x v="2205"/>
    <x v="22"/>
    <x v="43"/>
    <x v="9227"/>
    <n v="139459.67741935485"/>
    <m/>
    <n v="-139459.67741935485"/>
    <x v="114"/>
  </r>
  <r>
    <x v="2205"/>
    <x v="23"/>
    <x v="43"/>
    <x v="9687"/>
    <n v="28000"/>
    <m/>
    <n v="-28000"/>
    <x v="114"/>
  </r>
  <r>
    <x v="2203"/>
    <x v="97"/>
    <x v="278"/>
    <x v="9865"/>
    <n v="100000"/>
    <m/>
    <n v="-100000"/>
    <x v="114"/>
  </r>
  <r>
    <x v="2203"/>
    <x v="23"/>
    <x v="278"/>
    <x v="9866"/>
    <n v="1700"/>
    <m/>
    <n v="-1700"/>
    <x v="114"/>
  </r>
  <r>
    <x v="2203"/>
    <x v="4"/>
    <x v="679"/>
    <x v="9867"/>
    <n v="874250"/>
    <m/>
    <n v="-874250"/>
    <x v="114"/>
  </r>
  <r>
    <x v="2203"/>
    <x v="4"/>
    <x v="4"/>
    <x v="9659"/>
    <n v="3000"/>
    <m/>
    <n v="-3000"/>
    <x v="114"/>
  </r>
  <r>
    <x v="2203"/>
    <x v="110"/>
    <x v="465"/>
    <x v="9585"/>
    <n v="5000"/>
    <m/>
    <n v="-5000"/>
    <x v="114"/>
  </r>
  <r>
    <x v="2203"/>
    <x v="7"/>
    <x v="27"/>
    <x v="5156"/>
    <n v="1330"/>
    <m/>
    <n v="-1330"/>
    <x v="114"/>
  </r>
  <r>
    <x v="2203"/>
    <x v="94"/>
    <x v="820"/>
    <x v="9868"/>
    <n v="35000"/>
    <m/>
    <n v="-35000"/>
    <x v="114"/>
  </r>
  <r>
    <x v="2203"/>
    <x v="94"/>
    <x v="474"/>
    <x v="9869"/>
    <n v="4500"/>
    <m/>
    <n v="-4500"/>
    <x v="114"/>
  </r>
  <r>
    <x v="2203"/>
    <x v="108"/>
    <x v="278"/>
    <x v="9078"/>
    <n v="1250"/>
    <m/>
    <n v="-1250"/>
    <x v="114"/>
  </r>
  <r>
    <x v="2203"/>
    <x v="4"/>
    <x v="27"/>
    <x v="5156"/>
    <n v="1200"/>
    <m/>
    <n v="-1200"/>
    <x v="114"/>
  </r>
  <r>
    <x v="2203"/>
    <x v="108"/>
    <x v="474"/>
    <x v="233"/>
    <n v="1000"/>
    <m/>
    <n v="-1000"/>
    <x v="114"/>
  </r>
  <r>
    <x v="2203"/>
    <x v="94"/>
    <x v="474"/>
    <x v="233"/>
    <n v="900"/>
    <m/>
    <n v="-900"/>
    <x v="114"/>
  </r>
  <r>
    <x v="2203"/>
    <x v="91"/>
    <x v="821"/>
    <x v="9870"/>
    <n v="15000"/>
    <m/>
    <n v="-15000"/>
    <x v="114"/>
  </r>
  <r>
    <x v="2203"/>
    <x v="99"/>
    <x v="2"/>
    <x v="4404"/>
    <n v="2000"/>
    <m/>
    <n v="-2000"/>
    <x v="114"/>
  </r>
  <r>
    <x v="2203"/>
    <x v="110"/>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9"/>
    <x v="278"/>
    <x v="4063"/>
    <n v="95726"/>
    <m/>
    <n v="-95726"/>
    <x v="114"/>
  </r>
  <r>
    <x v="2203"/>
    <x v="4"/>
    <x v="2"/>
    <x v="9871"/>
    <n v="50000"/>
    <m/>
    <n v="-50000"/>
    <x v="114"/>
  </r>
  <r>
    <x v="2203"/>
    <x v="110"/>
    <x v="465"/>
    <x v="9585"/>
    <n v="5000"/>
    <m/>
    <n v="-5000"/>
    <x v="114"/>
  </r>
  <r>
    <x v="2203"/>
    <x v="86"/>
    <x v="467"/>
    <x v="9477"/>
    <n v="50000"/>
    <m/>
    <n v="-50000"/>
    <x v="114"/>
  </r>
  <r>
    <x v="2203"/>
    <x v="94"/>
    <x v="2"/>
    <x v="9872"/>
    <n v="2000"/>
    <m/>
    <n v="-2000"/>
    <x v="114"/>
  </r>
  <r>
    <x v="2204"/>
    <x v="4"/>
    <x v="4"/>
    <x v="9873"/>
    <n v="1000"/>
    <m/>
    <n v="-1000"/>
    <x v="114"/>
  </r>
  <r>
    <x v="2204"/>
    <x v="1"/>
    <x v="2"/>
    <x v="4693"/>
    <n v="3000"/>
    <m/>
    <n v="-3000"/>
    <x v="114"/>
  </r>
  <r>
    <x v="2204"/>
    <x v="1"/>
    <x v="2"/>
    <x v="9874"/>
    <n v="500"/>
    <m/>
    <n v="-500"/>
    <x v="114"/>
  </r>
  <r>
    <x v="2204"/>
    <x v="80"/>
    <x v="542"/>
    <x v="9875"/>
    <n v="60000"/>
    <m/>
    <n v="-60000"/>
    <x v="114"/>
  </r>
  <r>
    <x v="2204"/>
    <x v="58"/>
    <x v="542"/>
    <x v="9875"/>
    <n v="15000"/>
    <m/>
    <n v="-15000"/>
    <x v="114"/>
  </r>
  <r>
    <x v="2204"/>
    <x v="94"/>
    <x v="417"/>
    <x v="9477"/>
    <n v="300000"/>
    <m/>
    <n v="-300000"/>
    <x v="114"/>
  </r>
  <r>
    <x v="2204"/>
    <x v="99"/>
    <x v="800"/>
    <x v="9477"/>
    <n v="250000"/>
    <m/>
    <n v="-250000"/>
    <x v="114"/>
  </r>
  <r>
    <x v="2204"/>
    <x v="4"/>
    <x v="813"/>
    <x v="9876"/>
    <n v="11000"/>
    <m/>
    <n v="-11000"/>
    <x v="114"/>
  </r>
  <r>
    <x v="2204"/>
    <x v="80"/>
    <x v="285"/>
    <x v="9877"/>
    <n v="30000"/>
    <m/>
    <n v="-30000"/>
    <x v="114"/>
  </r>
  <r>
    <x v="2204"/>
    <x v="7"/>
    <x v="21"/>
    <x v="9878"/>
    <n v="15000"/>
    <m/>
    <n v="-15000"/>
    <x v="114"/>
  </r>
  <r>
    <x v="2205"/>
    <x v="91"/>
    <x v="474"/>
    <x v="233"/>
    <n v="2000"/>
    <m/>
    <n v="-2000"/>
    <x v="114"/>
  </r>
  <r>
    <x v="2205"/>
    <x v="94"/>
    <x v="474"/>
    <x v="233"/>
    <n v="200"/>
    <m/>
    <n v="-200"/>
    <x v="114"/>
  </r>
  <r>
    <x v="2205"/>
    <x v="97"/>
    <x v="822"/>
    <x v="9879"/>
    <n v="50000"/>
    <m/>
    <n v="-50000"/>
    <x v="114"/>
  </r>
  <r>
    <x v="2205"/>
    <x v="91"/>
    <x v="474"/>
    <x v="233"/>
    <n v="1000"/>
    <m/>
    <n v="-1000"/>
    <x v="114"/>
  </r>
  <r>
    <x v="2205"/>
    <x v="73"/>
    <x v="2"/>
    <x v="9880"/>
    <n v="1500"/>
    <m/>
    <n v="-1500"/>
    <x v="114"/>
  </r>
  <r>
    <x v="2205"/>
    <x v="94"/>
    <x v="748"/>
    <x v="898"/>
    <n v="50000"/>
    <m/>
    <n v="-50000"/>
    <x v="114"/>
  </r>
  <r>
    <x v="2205"/>
    <x v="94"/>
    <x v="278"/>
    <x v="9881"/>
    <n v="4900"/>
    <m/>
    <n v="-4900"/>
    <x v="114"/>
  </r>
  <r>
    <x v="2205"/>
    <x v="7"/>
    <x v="2"/>
    <x v="1696"/>
    <n v="1500"/>
    <m/>
    <n v="-1500"/>
    <x v="114"/>
  </r>
  <r>
    <x v="2205"/>
    <x v="94"/>
    <x v="735"/>
    <x v="9882"/>
    <n v="50000"/>
    <m/>
    <n v="-50000"/>
    <x v="114"/>
  </r>
  <r>
    <x v="2205"/>
    <x v="73"/>
    <x v="338"/>
    <x v="9883"/>
    <n v="200000"/>
    <m/>
    <n v="-200000"/>
    <x v="114"/>
  </r>
  <r>
    <x v="2205"/>
    <x v="23"/>
    <x v="583"/>
    <x v="9884"/>
    <n v="100000"/>
    <m/>
    <n v="-100000"/>
    <x v="114"/>
  </r>
  <r>
    <x v="2205"/>
    <x v="94"/>
    <x v="548"/>
    <x v="9803"/>
    <n v="700000"/>
    <m/>
    <n v="-700000"/>
    <x v="114"/>
  </r>
  <r>
    <x v="2206"/>
    <x v="4"/>
    <x v="2"/>
    <x v="9885"/>
    <n v="1000"/>
    <m/>
    <n v="-1000"/>
    <x v="114"/>
  </r>
  <r>
    <x v="2206"/>
    <x v="58"/>
    <x v="314"/>
    <x v="898"/>
    <n v="65250"/>
    <m/>
    <n v="-65250"/>
    <x v="114"/>
  </r>
  <r>
    <x v="2206"/>
    <x v="65"/>
    <x v="794"/>
    <x v="898"/>
    <n v="25000"/>
    <m/>
    <n v="-25000"/>
    <x v="114"/>
  </r>
  <r>
    <x v="2206"/>
    <x v="91"/>
    <x v="43"/>
    <x v="9886"/>
    <n v="24650"/>
    <m/>
    <n v="-24650"/>
    <x v="114"/>
  </r>
  <r>
    <x v="2206"/>
    <x v="23"/>
    <x v="43"/>
    <x v="9887"/>
    <n v="1200"/>
    <m/>
    <n v="-1200"/>
    <x v="114"/>
  </r>
  <r>
    <x v="2206"/>
    <x v="108"/>
    <x v="465"/>
    <x v="9585"/>
    <n v="5000"/>
    <m/>
    <n v="-5000"/>
    <x v="114"/>
  </r>
  <r>
    <x v="2207"/>
    <x v="94"/>
    <x v="716"/>
    <x v="8439"/>
    <n v="130000"/>
    <m/>
    <n v="-130000"/>
    <x v="114"/>
  </r>
  <r>
    <x v="2207"/>
    <x v="65"/>
    <x v="278"/>
    <x v="9888"/>
    <n v="45000"/>
    <m/>
    <n v="-45000"/>
    <x v="114"/>
  </r>
  <r>
    <x v="2207"/>
    <x v="86"/>
    <x v="771"/>
    <x v="9477"/>
    <n v="250000"/>
    <m/>
    <n v="-250000"/>
    <x v="114"/>
  </r>
  <r>
    <x v="2207"/>
    <x v="86"/>
    <x v="278"/>
    <x v="8085"/>
    <n v="11650"/>
    <m/>
    <n v="-11650"/>
    <x v="114"/>
  </r>
  <r>
    <x v="2207"/>
    <x v="73"/>
    <x v="773"/>
    <x v="898"/>
    <n v="30000"/>
    <m/>
    <n v="-30000"/>
    <x v="114"/>
  </r>
  <r>
    <x v="2207"/>
    <x v="94"/>
    <x v="285"/>
    <x v="7068"/>
    <n v="1000"/>
    <m/>
    <n v="-1000"/>
    <x v="114"/>
  </r>
  <r>
    <x v="2207"/>
    <x v="94"/>
    <x v="474"/>
    <x v="233"/>
    <n v="2000"/>
    <m/>
    <n v="-2000"/>
    <x v="114"/>
  </r>
  <r>
    <x v="2207"/>
    <x v="94"/>
    <x v="823"/>
    <x v="9889"/>
    <n v="3600"/>
    <m/>
    <n v="-3600"/>
    <x v="114"/>
  </r>
  <r>
    <x v="2207"/>
    <x v="99"/>
    <x v="518"/>
    <x v="898"/>
    <n v="100000"/>
    <m/>
    <n v="-100000"/>
    <x v="114"/>
  </r>
  <r>
    <x v="2204"/>
    <x v="73"/>
    <x v="802"/>
    <x v="9890"/>
    <n v="1173000"/>
    <m/>
    <n v="-1173000"/>
    <x v="113"/>
  </r>
  <r>
    <x v="2203"/>
    <x v="37"/>
    <x v="97"/>
    <x v="9891"/>
    <m/>
    <n v="1000000"/>
    <n v="1000000"/>
    <x v="114"/>
  </r>
  <r>
    <x v="2203"/>
    <x v="37"/>
    <x v="97"/>
    <x v="9891"/>
    <m/>
    <n v="1000000"/>
    <n v="1000000"/>
    <x v="114"/>
  </r>
  <r>
    <x v="2204"/>
    <x v="94"/>
    <x v="97"/>
    <x v="9892"/>
    <m/>
    <n v="1310000"/>
    <n v="1310000"/>
    <x v="114"/>
  </r>
  <r>
    <x v="2204"/>
    <x v="94"/>
    <x v="97"/>
    <x v="9893"/>
    <m/>
    <n v="1173000"/>
    <n v="1173000"/>
    <x v="114"/>
  </r>
  <r>
    <x v="2204"/>
    <x v="62"/>
    <x v="97"/>
    <x v="9892"/>
    <m/>
    <n v="500000"/>
    <n v="500000"/>
    <x v="114"/>
  </r>
  <r>
    <x v="2204"/>
    <x v="65"/>
    <x v="97"/>
    <x v="9894"/>
    <m/>
    <n v="999000"/>
    <n v="999000"/>
    <x v="114"/>
  </r>
  <r>
    <x v="2204"/>
    <x v="65"/>
    <x v="97"/>
    <x v="9894"/>
    <m/>
    <n v="999000"/>
    <n v="999000"/>
    <x v="114"/>
  </r>
  <r>
    <x v="2204"/>
    <x v="65"/>
    <x v="97"/>
    <x v="9894"/>
    <m/>
    <n v="999000"/>
    <n v="999000"/>
    <x v="114"/>
  </r>
  <r>
    <x v="2204"/>
    <x v="65"/>
    <x v="97"/>
    <x v="9894"/>
    <m/>
    <n v="999000"/>
    <n v="999000"/>
    <x v="114"/>
  </r>
  <r>
    <x v="2206"/>
    <x v="65"/>
    <x v="97"/>
    <x v="9894"/>
    <m/>
    <n v="995000"/>
    <n v="995000"/>
    <x v="114"/>
  </r>
  <r>
    <x v="2206"/>
    <x v="65"/>
    <x v="97"/>
    <x v="9894"/>
    <m/>
    <n v="995000"/>
    <n v="995000"/>
    <x v="114"/>
  </r>
  <r>
    <x v="2206"/>
    <x v="65"/>
    <x v="97"/>
    <x v="9895"/>
    <m/>
    <n v="510000"/>
    <n v="510000"/>
    <x v="114"/>
  </r>
  <r>
    <x v="2206"/>
    <x v="23"/>
    <x v="97"/>
    <x v="9896"/>
    <m/>
    <n v="359992"/>
    <n v="359992"/>
    <x v="114"/>
  </r>
  <r>
    <x v="2208"/>
    <x v="105"/>
    <x v="97"/>
    <x v="9897"/>
    <m/>
    <n v="1200000"/>
    <n v="1200000"/>
    <x v="114"/>
  </r>
  <r>
    <x v="2208"/>
    <x v="67"/>
    <x v="97"/>
    <x v="9897"/>
    <m/>
    <n v="1500000"/>
    <n v="1500000"/>
    <x v="114"/>
  </r>
  <r>
    <x v="2208"/>
    <x v="90"/>
    <x v="97"/>
    <x v="9898"/>
    <m/>
    <n v="2098980"/>
    <n v="2098980"/>
    <x v="114"/>
  </r>
  <r>
    <x v="2208"/>
    <x v="94"/>
    <x v="97"/>
    <x v="9899"/>
    <m/>
    <n v="10000000"/>
    <n v="10000000"/>
    <x v="114"/>
  </r>
  <r>
    <x v="2209"/>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47">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5"/>
    <x v="4"/>
    <n v="685"/>
    <n v="17519"/>
    <m/>
    <n v="17519"/>
    <s v="sale returned"/>
  </r>
  <r>
    <x v="11"/>
    <x v="4"/>
    <x v="3"/>
    <n v="265"/>
    <n v="9000"/>
    <m/>
    <n v="9000"/>
    <m/>
  </r>
  <r>
    <x v="12"/>
    <x v="0"/>
    <x v="2"/>
    <m/>
    <n v="214133"/>
    <m/>
    <n v="214133"/>
    <m/>
  </r>
  <r>
    <x v="12"/>
    <x v="3"/>
    <x v="2"/>
    <n v="535"/>
    <n v="194720"/>
    <m/>
    <n v="194720"/>
    <m/>
  </r>
  <r>
    <x v="12"/>
    <x v="1"/>
    <x v="2"/>
    <n v="631"/>
    <n v="65996"/>
    <m/>
    <n v="65996"/>
    <m/>
  </r>
  <r>
    <x v="12"/>
    <x v="6"/>
    <x v="3"/>
    <m/>
    <n v="30677"/>
    <m/>
    <n v="30677"/>
    <m/>
  </r>
  <r>
    <x v="12"/>
    <x v="0"/>
    <x v="3"/>
    <m/>
    <n v="49576"/>
    <m/>
    <n v="49576"/>
    <m/>
  </r>
  <r>
    <x v="12"/>
    <x v="7"/>
    <x v="3"/>
    <m/>
    <n v="7375"/>
    <m/>
    <n v="7375"/>
    <m/>
  </r>
  <r>
    <x v="12"/>
    <x v="2"/>
    <x v="3"/>
    <m/>
    <n v="17754"/>
    <m/>
    <n v="17754"/>
    <m/>
  </r>
  <r>
    <x v="12"/>
    <x v="8"/>
    <x v="3"/>
    <m/>
    <n v="1921"/>
    <m/>
    <n v="1921"/>
    <m/>
  </r>
  <r>
    <x v="12"/>
    <x v="0"/>
    <x v="5"/>
    <m/>
    <n v="235632"/>
    <m/>
    <n v="235632"/>
    <m/>
  </r>
  <r>
    <x v="12"/>
    <x v="1"/>
    <x v="5"/>
    <m/>
    <n v="1900"/>
    <m/>
    <n v="1900"/>
    <m/>
  </r>
  <r>
    <x v="12"/>
    <x v="2"/>
    <x v="1"/>
    <m/>
    <n v="14010"/>
    <m/>
    <n v="14010"/>
    <m/>
  </r>
  <r>
    <x v="12"/>
    <x v="1"/>
    <x v="1"/>
    <m/>
    <n v="10045"/>
    <m/>
    <n v="10045"/>
    <m/>
  </r>
  <r>
    <x v="12"/>
    <x v="9"/>
    <x v="1"/>
    <m/>
    <n v="65000"/>
    <m/>
    <n v="65000"/>
    <m/>
  </r>
  <r>
    <x v="12"/>
    <x v="0"/>
    <x v="0"/>
    <m/>
    <m/>
    <n v="1500"/>
    <n v="-1500"/>
    <m/>
  </r>
  <r>
    <x v="12"/>
    <x v="0"/>
    <x v="3"/>
    <n v="271"/>
    <n v="3302"/>
    <m/>
    <n v="3302"/>
    <m/>
  </r>
  <r>
    <x v="13"/>
    <x v="4"/>
    <x v="3"/>
    <n v="319"/>
    <n v="1980"/>
    <m/>
    <n v="1980"/>
    <m/>
  </r>
  <r>
    <x v="14"/>
    <x v="0"/>
    <x v="5"/>
    <n v="6642"/>
    <n v="39200"/>
    <m/>
    <n v="39200"/>
    <m/>
  </r>
  <r>
    <x v="15"/>
    <x v="0"/>
    <x v="5"/>
    <n v="6643"/>
    <n v="39200"/>
    <m/>
    <n v="39200"/>
    <m/>
  </r>
  <r>
    <x v="16"/>
    <x v="1"/>
    <x v="1"/>
    <n v="177"/>
    <n v="42350"/>
    <m/>
    <n v="42350"/>
    <s v="Paid by cheque from UEP &amp; Gets pharma advnve from total construction"/>
  </r>
  <r>
    <x v="17"/>
    <x v="0"/>
    <x v="0"/>
    <m/>
    <m/>
    <n v="1000047"/>
    <n v="-1000047"/>
    <m/>
  </r>
  <r>
    <x v="17"/>
    <x v="0"/>
    <x v="5"/>
    <m/>
    <m/>
    <n v="300000"/>
    <n v="-300000"/>
    <m/>
  </r>
  <r>
    <x v="18"/>
    <x v="1"/>
    <x v="1"/>
    <n v="184"/>
    <n v="18371"/>
    <m/>
    <n v="18371"/>
    <m/>
  </r>
  <r>
    <x v="19"/>
    <x v="0"/>
    <x v="1"/>
    <m/>
    <n v="7547"/>
    <m/>
    <n v="7547"/>
    <m/>
  </r>
  <r>
    <x v="20"/>
    <x v="0"/>
    <x v="5"/>
    <n v="6733"/>
    <n v="39200"/>
    <m/>
    <n v="39200"/>
    <m/>
  </r>
  <r>
    <x v="21"/>
    <x v="0"/>
    <x v="2"/>
    <n v="821"/>
    <n v="34229"/>
    <m/>
    <n v="34229"/>
    <m/>
  </r>
  <r>
    <x v="22"/>
    <x v="9"/>
    <x v="1"/>
    <m/>
    <m/>
    <n v="65000"/>
    <n v="-65000"/>
    <m/>
  </r>
  <r>
    <x v="23"/>
    <x v="0"/>
    <x v="3"/>
    <m/>
    <m/>
    <n v="52000"/>
    <n v="-52000"/>
    <m/>
  </r>
  <r>
    <x v="23"/>
    <x v="2"/>
    <x v="3"/>
    <m/>
    <m/>
    <n v="17500"/>
    <n v="-17500"/>
    <m/>
  </r>
  <r>
    <x v="23"/>
    <x v="7"/>
    <x v="3"/>
    <m/>
    <m/>
    <n v="7000"/>
    <n v="-7000"/>
    <m/>
  </r>
  <r>
    <x v="23"/>
    <x v="4"/>
    <x v="3"/>
    <m/>
    <m/>
    <n v="22029"/>
    <n v="-22029"/>
    <s v="Rec from shaaf office paid to iqbal sons directly"/>
  </r>
  <r>
    <x v="23"/>
    <x v="8"/>
    <x v="3"/>
    <m/>
    <m/>
    <n v="1471"/>
    <n v="-1471"/>
    <m/>
  </r>
  <r>
    <x v="24"/>
    <x v="0"/>
    <x v="5"/>
    <m/>
    <m/>
    <n v="200000"/>
    <n v="-200000"/>
    <m/>
  </r>
  <r>
    <x v="24"/>
    <x v="0"/>
    <x v="2"/>
    <m/>
    <m/>
    <n v="230000"/>
    <n v="-230000"/>
    <m/>
  </r>
  <r>
    <x v="24"/>
    <x v="3"/>
    <x v="2"/>
    <m/>
    <m/>
    <n v="210000"/>
    <n v="-210000"/>
    <s v="Rs: 69150 CHQ # "/>
  </r>
  <r>
    <x v="24"/>
    <x v="1"/>
    <x v="2"/>
    <m/>
    <m/>
    <n v="60000"/>
    <n v="-60000"/>
    <m/>
  </r>
  <r>
    <x v="25"/>
    <x v="3"/>
    <x v="1"/>
    <n v="191"/>
    <n v="15860"/>
    <m/>
    <n v="15860"/>
    <s v="paid to fakhri ch # 01190286 collected by mr. Shakeel"/>
  </r>
  <r>
    <x v="25"/>
    <x v="0"/>
    <x v="5"/>
    <n v="6802"/>
    <n v="39200"/>
    <m/>
    <n v="39200"/>
    <m/>
  </r>
  <r>
    <x v="26"/>
    <x v="3"/>
    <x v="2"/>
    <n v="867"/>
    <n v="6827"/>
    <m/>
    <n v="6827"/>
    <m/>
  </r>
  <r>
    <x v="27"/>
    <x v="0"/>
    <x v="0"/>
    <n v="13063"/>
    <n v="276000"/>
    <m/>
    <n v="276000"/>
    <m/>
  </r>
  <r>
    <x v="27"/>
    <x v="10"/>
    <x v="0"/>
    <n v="34392"/>
    <n v="184000"/>
    <m/>
    <n v="184000"/>
    <m/>
  </r>
  <r>
    <x v="27"/>
    <x v="10"/>
    <x v="0"/>
    <n v="34432"/>
    <n v="9364"/>
    <m/>
    <n v="9364"/>
    <m/>
  </r>
  <r>
    <x v="27"/>
    <x v="10"/>
    <x v="0"/>
    <n v="34375"/>
    <n v="61640"/>
    <m/>
    <n v="61640"/>
    <m/>
  </r>
  <r>
    <x v="27"/>
    <x v="0"/>
    <x v="0"/>
    <n v="4371"/>
    <n v="56100"/>
    <m/>
    <n v="56100"/>
    <m/>
  </r>
  <r>
    <x v="27"/>
    <x v="0"/>
    <x v="0"/>
    <n v="12928"/>
    <n v="381610"/>
    <m/>
    <n v="381610"/>
    <m/>
  </r>
  <r>
    <x v="28"/>
    <x v="0"/>
    <x v="1"/>
    <n v="219"/>
    <n v="15578"/>
    <m/>
    <n v="15578"/>
    <s v="ST brothers. Direct paid from total"/>
  </r>
  <r>
    <x v="23"/>
    <x v="3"/>
    <x v="3"/>
    <n v="8502"/>
    <n v="22381"/>
    <m/>
    <n v="22381"/>
    <s v="Rs: 138500 CHQ # 01190316 pos dated 18-04-2016"/>
  </r>
  <r>
    <x v="29"/>
    <x v="0"/>
    <x v="3"/>
    <n v="8707"/>
    <n v="9826"/>
    <m/>
    <n v="9826"/>
    <m/>
  </r>
  <r>
    <x v="30"/>
    <x v="3"/>
    <x v="3"/>
    <n v="8822"/>
    <n v="10294"/>
    <m/>
    <n v="10294"/>
    <m/>
  </r>
  <r>
    <x v="31"/>
    <x v="3"/>
    <x v="3"/>
    <n v="8939"/>
    <n v="1219"/>
    <m/>
    <n v="1219"/>
    <m/>
  </r>
  <r>
    <x v="32"/>
    <x v="3"/>
    <x v="2"/>
    <n v="894"/>
    <n v="3515"/>
    <m/>
    <n v="3515"/>
    <m/>
  </r>
  <r>
    <x v="33"/>
    <x v="0"/>
    <x v="2"/>
    <n v="905"/>
    <n v="137391"/>
    <m/>
    <n v="137391"/>
    <m/>
  </r>
  <r>
    <x v="34"/>
    <x v="3"/>
    <x v="3"/>
    <n v="9772"/>
    <n v="252"/>
    <m/>
    <n v="252"/>
    <m/>
  </r>
  <r>
    <x v="35"/>
    <x v="0"/>
    <x v="1"/>
    <n v="229"/>
    <n v="3975"/>
    <m/>
    <n v="3975"/>
    <m/>
  </r>
  <r>
    <x v="29"/>
    <x v="3"/>
    <x v="3"/>
    <n v="8745"/>
    <m/>
    <n v="689"/>
    <n v="-689"/>
    <s v="Chq # 1190345"/>
  </r>
  <r>
    <x v="36"/>
    <x v="3"/>
    <x v="3"/>
    <n v="8916"/>
    <n v="707"/>
    <m/>
    <n v="707"/>
    <m/>
  </r>
  <r>
    <x v="27"/>
    <x v="0"/>
    <x v="3"/>
    <n v="9132"/>
    <n v="1591"/>
    <m/>
    <n v="1591"/>
    <m/>
  </r>
  <r>
    <x v="27"/>
    <x v="0"/>
    <x v="3"/>
    <n v="9274"/>
    <n v="983"/>
    <m/>
    <n v="983"/>
    <m/>
  </r>
  <r>
    <x v="37"/>
    <x v="0"/>
    <x v="3"/>
    <n v="9190"/>
    <n v="5719"/>
    <m/>
    <n v="5719"/>
    <m/>
  </r>
  <r>
    <x v="38"/>
    <x v="0"/>
    <x v="3"/>
    <n v="9379"/>
    <n v="775"/>
    <m/>
    <n v="775"/>
    <m/>
  </r>
  <r>
    <x v="39"/>
    <x v="3"/>
    <x v="2"/>
    <n v="929"/>
    <n v="56430"/>
    <m/>
    <n v="56430"/>
    <m/>
  </r>
  <r>
    <x v="38"/>
    <x v="0"/>
    <x v="2"/>
    <n v="932"/>
    <n v="8359"/>
    <m/>
    <n v="8359"/>
    <m/>
  </r>
  <r>
    <x v="38"/>
    <x v="0"/>
    <x v="2"/>
    <n v="962"/>
    <n v="3135"/>
    <m/>
    <n v="3135"/>
    <m/>
  </r>
  <r>
    <x v="28"/>
    <x v="0"/>
    <x v="5"/>
    <n v="6911"/>
    <n v="39200"/>
    <m/>
    <n v="39200"/>
    <m/>
  </r>
  <r>
    <x v="40"/>
    <x v="0"/>
    <x v="5"/>
    <n v="6880"/>
    <n v="39200"/>
    <m/>
    <n v="39200"/>
    <m/>
  </r>
  <r>
    <x v="41"/>
    <x v="1"/>
    <x v="5"/>
    <n v="7001"/>
    <n v="18300"/>
    <m/>
    <n v="18300"/>
    <m/>
  </r>
  <r>
    <x v="42"/>
    <x v="11"/>
    <x v="5"/>
    <n v="7022"/>
    <n v="42800"/>
    <m/>
    <n v="42800"/>
    <m/>
  </r>
  <r>
    <x v="34"/>
    <x v="0"/>
    <x v="5"/>
    <n v="7047"/>
    <n v="16000"/>
    <m/>
    <n v="16000"/>
    <m/>
  </r>
  <r>
    <x v="43"/>
    <x v="0"/>
    <x v="5"/>
    <n v="11563"/>
    <n v="1710"/>
    <m/>
    <n v="1710"/>
    <m/>
  </r>
  <r>
    <x v="33"/>
    <x v="0"/>
    <x v="5"/>
    <n v="11500"/>
    <n v="1200"/>
    <m/>
    <n v="1200"/>
    <m/>
  </r>
  <r>
    <x v="44"/>
    <x v="3"/>
    <x v="1"/>
    <n v="242"/>
    <n v="7200"/>
    <m/>
    <n v="7200"/>
    <m/>
  </r>
  <r>
    <x v="39"/>
    <x v="0"/>
    <x v="3"/>
    <n v="9254"/>
    <n v="12164"/>
    <m/>
    <n v="12164"/>
    <m/>
  </r>
  <r>
    <x v="44"/>
    <x v="0"/>
    <x v="3"/>
    <n v="9644"/>
    <n v="13906"/>
    <m/>
    <n v="13906"/>
    <m/>
  </r>
  <r>
    <x v="45"/>
    <x v="0"/>
    <x v="2"/>
    <n v="990"/>
    <n v="9594"/>
    <m/>
    <n v="9594"/>
    <m/>
  </r>
  <r>
    <x v="46"/>
    <x v="11"/>
    <x v="1"/>
    <n v="246"/>
    <n v="12500"/>
    <m/>
    <n v="12500"/>
    <m/>
  </r>
  <r>
    <x v="47"/>
    <x v="0"/>
    <x v="2"/>
    <n v="1004"/>
    <n v="9543"/>
    <m/>
    <n v="9543"/>
    <m/>
  </r>
  <r>
    <x v="44"/>
    <x v="3"/>
    <x v="2"/>
    <n v="1018"/>
    <n v="5928"/>
    <m/>
    <n v="5928"/>
    <m/>
  </r>
  <r>
    <x v="48"/>
    <x v="1"/>
    <x v="1"/>
    <m/>
    <m/>
    <n v="72650"/>
    <n v="-72650"/>
    <m/>
  </r>
  <r>
    <x v="48"/>
    <x v="2"/>
    <x v="1"/>
    <m/>
    <m/>
    <n v="16709"/>
    <n v="-16709"/>
    <m/>
  </r>
  <r>
    <x v="48"/>
    <x v="0"/>
    <x v="1"/>
    <m/>
    <m/>
    <n v="10641"/>
    <n v="-10641"/>
    <m/>
  </r>
  <r>
    <x v="49"/>
    <x v="6"/>
    <x v="3"/>
    <m/>
    <m/>
    <n v="30677"/>
    <n v="-30677"/>
    <m/>
  </r>
  <r>
    <x v="49"/>
    <x v="3"/>
    <x v="3"/>
    <m/>
    <m/>
    <n v="30000"/>
    <n v="-30000"/>
    <m/>
  </r>
  <r>
    <x v="49"/>
    <x v="0"/>
    <x v="3"/>
    <m/>
    <m/>
    <n v="39323"/>
    <n v="-39323"/>
    <m/>
  </r>
  <r>
    <x v="50"/>
    <x v="11"/>
    <x v="5"/>
    <n v="44729"/>
    <n v="2200"/>
    <m/>
    <n v="2200"/>
    <m/>
  </r>
  <r>
    <x v="51"/>
    <x v="0"/>
    <x v="2"/>
    <n v="1049"/>
    <n v="17671"/>
    <m/>
    <n v="17671"/>
    <m/>
  </r>
  <r>
    <x v="52"/>
    <x v="3"/>
    <x v="2"/>
    <n v="1033"/>
    <n v="17512"/>
    <m/>
    <n v="17512"/>
    <m/>
  </r>
  <r>
    <x v="52"/>
    <x v="0"/>
    <x v="5"/>
    <n v="7110"/>
    <n v="75800"/>
    <m/>
    <n v="75800"/>
    <m/>
  </r>
  <r>
    <x v="52"/>
    <x v="11"/>
    <x v="5"/>
    <n v="7116"/>
    <n v="56300"/>
    <m/>
    <n v="56300"/>
    <m/>
  </r>
  <r>
    <x v="53"/>
    <x v="8"/>
    <x v="5"/>
    <n v="7156"/>
    <n v="9360"/>
    <m/>
    <n v="9360"/>
    <m/>
  </r>
  <r>
    <x v="54"/>
    <x v="11"/>
    <x v="5"/>
    <n v="7166"/>
    <n v="42000"/>
    <m/>
    <n v="42000"/>
    <m/>
  </r>
  <r>
    <x v="55"/>
    <x v="12"/>
    <x v="0"/>
    <n v="13346"/>
    <n v="35250"/>
    <m/>
    <n v="35250"/>
    <s v="Paid Rs: 1,044,769"/>
  </r>
  <r>
    <x v="55"/>
    <x v="12"/>
    <x v="0"/>
    <n v="13311"/>
    <n v="169650"/>
    <m/>
    <n v="169650"/>
    <m/>
  </r>
  <r>
    <x v="55"/>
    <x v="13"/>
    <x v="0"/>
    <n v="13406"/>
    <n v="49500"/>
    <m/>
    <n v="49500"/>
    <m/>
  </r>
  <r>
    <x v="55"/>
    <x v="14"/>
    <x v="0"/>
    <s v="Q # 2707"/>
    <n v="1183000"/>
    <m/>
    <n v="1183000"/>
    <m/>
  </r>
  <r>
    <x v="55"/>
    <x v="14"/>
    <x v="0"/>
    <s v="Q # 8844"/>
    <n v="1342080"/>
    <m/>
    <n v="1342080"/>
    <m/>
  </r>
  <r>
    <x v="55"/>
    <x v="0"/>
    <x v="0"/>
    <s v="Q # 2727"/>
    <n v="217691"/>
    <m/>
    <n v="217691"/>
    <m/>
  </r>
  <r>
    <x v="55"/>
    <x v="0"/>
    <x v="0"/>
    <n v="13133"/>
    <n v="769500"/>
    <m/>
    <n v="769500"/>
    <m/>
  </r>
  <r>
    <x v="56"/>
    <x v="0"/>
    <x v="0"/>
    <m/>
    <m/>
    <n v="285529"/>
    <n v="-285529"/>
    <m/>
  </r>
  <r>
    <x v="56"/>
    <x v="12"/>
    <x v="0"/>
    <m/>
    <m/>
    <n v="359790"/>
    <n v="-359790"/>
    <m/>
  </r>
  <r>
    <x v="56"/>
    <x v="1"/>
    <x v="0"/>
    <m/>
    <m/>
    <n v="31500"/>
    <n v="-31500"/>
    <m/>
  </r>
  <r>
    <x v="56"/>
    <x v="13"/>
    <x v="0"/>
    <m/>
    <m/>
    <n v="27990"/>
    <n v="-27990"/>
    <m/>
  </r>
  <r>
    <x v="56"/>
    <x v="3"/>
    <x v="0"/>
    <m/>
    <m/>
    <n v="260500"/>
    <n v="-260500"/>
    <s v="Received from Shaaf office electro Line"/>
  </r>
  <r>
    <x v="56"/>
    <x v="15"/>
    <x v="0"/>
    <m/>
    <m/>
    <n v="79460"/>
    <n v="-79460"/>
    <s v="Received from Shaaf office electro Line"/>
  </r>
  <r>
    <x v="57"/>
    <x v="14"/>
    <x v="2"/>
    <n v="1062"/>
    <n v="215595"/>
    <m/>
    <n v="215595"/>
    <s v="Received from Shaaf office electro Line"/>
  </r>
  <r>
    <x v="58"/>
    <x v="0"/>
    <x v="2"/>
    <n v="1113"/>
    <n v="150603"/>
    <m/>
    <n v="150603"/>
    <m/>
  </r>
  <r>
    <x v="59"/>
    <x v="11"/>
    <x v="5"/>
    <n v="7233"/>
    <n v="28800"/>
    <m/>
    <n v="28800"/>
    <m/>
  </r>
  <r>
    <x v="57"/>
    <x v="1"/>
    <x v="5"/>
    <n v="7178"/>
    <n v="20850"/>
    <m/>
    <n v="20850"/>
    <m/>
  </r>
  <r>
    <x v="60"/>
    <x v="11"/>
    <x v="5"/>
    <n v="7258"/>
    <n v="32800"/>
    <m/>
    <n v="32800"/>
    <m/>
  </r>
  <r>
    <x v="60"/>
    <x v="11"/>
    <x v="5"/>
    <n v="11729"/>
    <n v="2200"/>
    <m/>
    <n v="2200"/>
    <m/>
  </r>
  <r>
    <x v="61"/>
    <x v="0"/>
    <x v="3"/>
    <n v="9830"/>
    <n v="456"/>
    <m/>
    <n v="456"/>
    <m/>
  </r>
  <r>
    <x v="62"/>
    <x v="0"/>
    <x v="3"/>
    <n v="10514"/>
    <n v="18825"/>
    <m/>
    <n v="18825"/>
    <m/>
  </r>
  <r>
    <x v="63"/>
    <x v="0"/>
    <x v="3"/>
    <n v="10376"/>
    <n v="6578"/>
    <m/>
    <n v="6578"/>
    <m/>
  </r>
  <r>
    <x v="64"/>
    <x v="8"/>
    <x v="5"/>
    <m/>
    <m/>
    <n v="9360"/>
    <n v="-9360"/>
    <m/>
  </r>
  <r>
    <x v="64"/>
    <x v="1"/>
    <x v="5"/>
    <m/>
    <m/>
    <n v="41050"/>
    <n v="-41050"/>
    <m/>
  </r>
  <r>
    <x v="64"/>
    <x v="16"/>
    <x v="5"/>
    <m/>
    <m/>
    <n v="149590"/>
    <n v="-149590"/>
    <m/>
  </r>
  <r>
    <x v="65"/>
    <x v="0"/>
    <x v="5"/>
    <n v="7322"/>
    <n v="33900"/>
    <m/>
    <n v="33900"/>
    <m/>
  </r>
  <r>
    <x v="66"/>
    <x v="0"/>
    <x v="1"/>
    <n v="285"/>
    <n v="12848"/>
    <m/>
    <n v="12848"/>
    <m/>
  </r>
  <r>
    <x v="67"/>
    <x v="0"/>
    <x v="5"/>
    <s v="V # 018"/>
    <m/>
    <n v="45600"/>
    <n v="-45600"/>
    <m/>
  </r>
  <r>
    <x v="67"/>
    <x v="16"/>
    <x v="5"/>
    <s v="V # 018"/>
    <m/>
    <n v="24400"/>
    <n v="-24400"/>
    <s v="Discount"/>
  </r>
  <r>
    <x v="67"/>
    <x v="16"/>
    <x v="5"/>
    <s v="V # 018"/>
    <m/>
    <n v="30000"/>
    <n v="-30000"/>
    <m/>
  </r>
  <r>
    <x v="68"/>
    <x v="15"/>
    <x v="5"/>
    <n v="7302"/>
    <n v="34550"/>
    <m/>
    <n v="34550"/>
    <m/>
  </r>
  <r>
    <x v="68"/>
    <x v="11"/>
    <x v="5"/>
    <n v="7306"/>
    <n v="32800"/>
    <m/>
    <n v="32800"/>
    <m/>
  </r>
  <r>
    <x v="66"/>
    <x v="15"/>
    <x v="5"/>
    <n v="7360"/>
    <n v="22650"/>
    <m/>
    <n v="22650"/>
    <m/>
  </r>
  <r>
    <x v="64"/>
    <x v="0"/>
    <x v="5"/>
    <n v="11882"/>
    <n v="3300"/>
    <m/>
    <n v="3300"/>
    <m/>
  </r>
  <r>
    <x v="69"/>
    <x v="0"/>
    <x v="2"/>
    <n v="1143"/>
    <n v="32204"/>
    <m/>
    <n v="32204"/>
    <m/>
  </r>
  <r>
    <x v="70"/>
    <x v="15"/>
    <x v="5"/>
    <n v="7393"/>
    <n v="7100"/>
    <m/>
    <n v="7100"/>
    <m/>
  </r>
  <r>
    <x v="70"/>
    <x v="15"/>
    <x v="5"/>
    <n v="11923"/>
    <n v="3300"/>
    <m/>
    <n v="3300"/>
    <m/>
  </r>
  <r>
    <x v="71"/>
    <x v="15"/>
    <x v="5"/>
    <n v="11932"/>
    <n v="9000"/>
    <m/>
    <n v="9000"/>
    <m/>
  </r>
  <r>
    <x v="72"/>
    <x v="0"/>
    <x v="5"/>
    <n v="11949"/>
    <n v="18000"/>
    <m/>
    <n v="18000"/>
    <m/>
  </r>
  <r>
    <x v="73"/>
    <x v="0"/>
    <x v="5"/>
    <n v="7479"/>
    <n v="21800"/>
    <m/>
    <n v="21800"/>
    <m/>
  </r>
  <r>
    <x v="74"/>
    <x v="0"/>
    <x v="5"/>
    <n v="7558"/>
    <n v="16800"/>
    <m/>
    <n v="16800"/>
    <m/>
  </r>
  <r>
    <x v="75"/>
    <x v="3"/>
    <x v="1"/>
    <m/>
    <m/>
    <n v="23060"/>
    <n v="-23060"/>
    <m/>
  </r>
  <r>
    <x v="75"/>
    <x v="0"/>
    <x v="1"/>
    <m/>
    <m/>
    <n v="26940"/>
    <n v="-26940"/>
    <m/>
  </r>
  <r>
    <x v="76"/>
    <x v="17"/>
    <x v="5"/>
    <n v="7565"/>
    <n v="60850"/>
    <m/>
    <n v="60850"/>
    <m/>
  </r>
  <r>
    <x v="77"/>
    <x v="0"/>
    <x v="2"/>
    <n v="1211"/>
    <n v="40717"/>
    <m/>
    <n v="40717"/>
    <m/>
  </r>
  <r>
    <x v="78"/>
    <x v="13"/>
    <x v="2"/>
    <n v="6"/>
    <n v="11240"/>
    <m/>
    <n v="11240"/>
    <m/>
  </r>
  <r>
    <x v="79"/>
    <x v="0"/>
    <x v="5"/>
    <n v="7586"/>
    <n v="13550"/>
    <m/>
    <n v="13550"/>
    <m/>
  </r>
  <r>
    <x v="80"/>
    <x v="0"/>
    <x v="2"/>
    <n v="23"/>
    <n v="124609"/>
    <m/>
    <n v="124609"/>
    <m/>
  </r>
  <r>
    <x v="81"/>
    <x v="14"/>
    <x v="0"/>
    <n v="7182"/>
    <n v="375580"/>
    <m/>
    <n v="375580"/>
    <m/>
  </r>
  <r>
    <x v="70"/>
    <x v="14"/>
    <x v="0"/>
    <n v="7197"/>
    <n v="10236"/>
    <m/>
    <n v="10236"/>
    <m/>
  </r>
  <r>
    <x v="55"/>
    <x v="12"/>
    <x v="0"/>
    <n v="7150"/>
    <n v="15000"/>
    <m/>
    <n v="15000"/>
    <m/>
  </r>
  <r>
    <x v="55"/>
    <x v="12"/>
    <x v="0"/>
    <n v="7148"/>
    <n v="344790"/>
    <m/>
    <n v="344790"/>
    <m/>
  </r>
  <r>
    <x v="55"/>
    <x v="1"/>
    <x v="0"/>
    <n v="7146"/>
    <n v="31500"/>
    <m/>
    <n v="31500"/>
    <m/>
  </r>
  <r>
    <x v="55"/>
    <x v="13"/>
    <x v="0"/>
    <n v="7145"/>
    <n v="27990"/>
    <m/>
    <n v="27990"/>
    <m/>
  </r>
  <r>
    <x v="55"/>
    <x v="0"/>
    <x v="0"/>
    <n v="7144"/>
    <n v="56100"/>
    <m/>
    <n v="56100"/>
    <m/>
  </r>
  <r>
    <x v="55"/>
    <x v="0"/>
    <x v="0"/>
    <n v="7143"/>
    <n v="23018"/>
    <m/>
    <n v="23018"/>
    <m/>
  </r>
  <r>
    <x v="55"/>
    <x v="0"/>
    <x v="0"/>
    <n v="7142"/>
    <n v="120000"/>
    <m/>
    <n v="120000"/>
    <m/>
  </r>
  <r>
    <x v="55"/>
    <x v="0"/>
    <x v="0"/>
    <n v="7141"/>
    <n v="80475"/>
    <m/>
    <n v="80475"/>
    <m/>
  </r>
  <r>
    <x v="55"/>
    <x v="15"/>
    <x v="0"/>
    <n v="7140"/>
    <n v="79460"/>
    <m/>
    <n v="79460"/>
    <m/>
  </r>
  <r>
    <x v="55"/>
    <x v="3"/>
    <x v="0"/>
    <n v="7139"/>
    <n v="260500"/>
    <m/>
    <n v="260500"/>
    <m/>
  </r>
  <r>
    <x v="55"/>
    <x v="0"/>
    <x v="0"/>
    <n v="7137"/>
    <n v="5936"/>
    <m/>
    <n v="5936"/>
    <m/>
  </r>
  <r>
    <x v="82"/>
    <x v="14"/>
    <x v="0"/>
    <m/>
    <m/>
    <n v="2200000"/>
    <n v="-2200000"/>
    <s v="Paid by JPMC receiving"/>
  </r>
  <r>
    <x v="83"/>
    <x v="14"/>
    <x v="0"/>
    <m/>
    <m/>
    <n v="500000"/>
    <n v="-500000"/>
    <s v="Paid by tabba heart adv rec from total construction"/>
  </r>
  <r>
    <x v="83"/>
    <x v="0"/>
    <x v="0"/>
    <m/>
    <m/>
    <n v="1022522"/>
    <n v="-1022522"/>
    <s v="Paid by Allied Engg adv "/>
  </r>
  <r>
    <x v="83"/>
    <x v="12"/>
    <x v="1"/>
    <n v="48"/>
    <n v="65244"/>
    <m/>
    <n v="65244"/>
    <m/>
  </r>
  <r>
    <x v="84"/>
    <x v="18"/>
    <x v="5"/>
    <n v="7698"/>
    <n v="39400"/>
    <m/>
    <n v="39400"/>
    <m/>
  </r>
  <r>
    <x v="84"/>
    <x v="3"/>
    <x v="2"/>
    <m/>
    <m/>
    <n v="96534"/>
    <n v="-96534"/>
    <s v="Paid Rs: 400,000  to islamuddin chq # 01287344"/>
  </r>
  <r>
    <x v="84"/>
    <x v="1"/>
    <x v="2"/>
    <m/>
    <m/>
    <n v="5996"/>
    <n v="-5996"/>
    <m/>
  </r>
  <r>
    <x v="84"/>
    <x v="14"/>
    <x v="2"/>
    <m/>
    <m/>
    <n v="254657"/>
    <n v="-254657"/>
    <m/>
  </r>
  <r>
    <x v="84"/>
    <x v="0"/>
    <x v="2"/>
    <m/>
    <m/>
    <n v="42813"/>
    <n v="-42813"/>
    <m/>
  </r>
  <r>
    <x v="75"/>
    <x v="15"/>
    <x v="5"/>
    <m/>
    <n v="5040"/>
    <m/>
    <n v="5040"/>
    <m/>
  </r>
  <r>
    <x v="78"/>
    <x v="19"/>
    <x v="3"/>
    <m/>
    <n v="50141"/>
    <m/>
    <n v="50141"/>
    <m/>
  </r>
  <r>
    <x v="85"/>
    <x v="19"/>
    <x v="3"/>
    <m/>
    <n v="1000"/>
    <m/>
    <n v="1000"/>
    <m/>
  </r>
  <r>
    <x v="86"/>
    <x v="15"/>
    <x v="3"/>
    <m/>
    <n v="2373"/>
    <m/>
    <n v="2373"/>
    <m/>
  </r>
  <r>
    <x v="87"/>
    <x v="15"/>
    <x v="3"/>
    <m/>
    <n v="2705"/>
    <m/>
    <n v="2705"/>
    <m/>
  </r>
  <r>
    <x v="88"/>
    <x v="15"/>
    <x v="3"/>
    <m/>
    <n v="1482"/>
    <m/>
    <n v="1482"/>
    <m/>
  </r>
  <r>
    <x v="88"/>
    <x v="15"/>
    <x v="3"/>
    <m/>
    <n v="8205"/>
    <m/>
    <n v="8205"/>
    <m/>
  </r>
  <r>
    <x v="89"/>
    <x v="18"/>
    <x v="5"/>
    <n v="7767"/>
    <n v="19950"/>
    <m/>
    <n v="19950"/>
    <m/>
  </r>
  <r>
    <x v="90"/>
    <x v="15"/>
    <x v="3"/>
    <n v="1617"/>
    <n v="2460"/>
    <m/>
    <n v="2460"/>
    <m/>
  </r>
  <r>
    <x v="91"/>
    <x v="0"/>
    <x v="3"/>
    <n v="1617"/>
    <n v="6636"/>
    <m/>
    <n v="6636"/>
    <m/>
  </r>
  <r>
    <x v="83"/>
    <x v="0"/>
    <x v="2"/>
    <n v="105"/>
    <n v="54246"/>
    <m/>
    <n v="54246"/>
    <m/>
  </r>
  <r>
    <x v="88"/>
    <x v="0"/>
    <x v="2"/>
    <n v="79"/>
    <n v="2607"/>
    <m/>
    <n v="2607"/>
    <m/>
  </r>
  <r>
    <x v="89"/>
    <x v="20"/>
    <x v="1"/>
    <n v="55"/>
    <n v="3600"/>
    <m/>
    <n v="3600"/>
    <m/>
  </r>
  <r>
    <x v="88"/>
    <x v="14"/>
    <x v="1"/>
    <n v="53"/>
    <n v="3800"/>
    <m/>
    <n v="3800"/>
    <s v="Paid Rs: 100,000"/>
  </r>
  <r>
    <x v="88"/>
    <x v="20"/>
    <x v="1"/>
    <n v="2"/>
    <n v="6400"/>
    <m/>
    <n v="6400"/>
    <m/>
  </r>
  <r>
    <x v="88"/>
    <x v="0"/>
    <x v="1"/>
    <n v="285"/>
    <n v="44844"/>
    <m/>
    <n v="44844"/>
    <m/>
  </r>
  <r>
    <x v="88"/>
    <x v="14"/>
    <x v="1"/>
    <n v="196"/>
    <n v="11097"/>
    <m/>
    <n v="11097"/>
    <m/>
  </r>
  <r>
    <x v="88"/>
    <x v="0"/>
    <x v="1"/>
    <m/>
    <n v="14402"/>
    <m/>
    <n v="14402"/>
    <m/>
  </r>
  <r>
    <x v="88"/>
    <x v="0"/>
    <x v="1"/>
    <m/>
    <n v="2194"/>
    <m/>
    <n v="2194"/>
    <m/>
  </r>
  <r>
    <x v="92"/>
    <x v="14"/>
    <x v="1"/>
    <n v="61"/>
    <n v="8060"/>
    <n v="4962"/>
    <n v="3098"/>
    <s v="Paid Rs: 100,000"/>
  </r>
  <r>
    <x v="92"/>
    <x v="20"/>
    <x v="1"/>
    <m/>
    <m/>
    <n v="10000"/>
    <n v="-10000"/>
    <m/>
  </r>
  <r>
    <x v="92"/>
    <x v="0"/>
    <x v="1"/>
    <m/>
    <m/>
    <n v="50000"/>
    <n v="-50000"/>
    <m/>
  </r>
  <r>
    <x v="92"/>
    <x v="11"/>
    <x v="1"/>
    <m/>
    <m/>
    <n v="12500"/>
    <n v="-12500"/>
    <m/>
  </r>
  <r>
    <x v="92"/>
    <x v="14"/>
    <x v="1"/>
    <m/>
    <m/>
    <n v="12500"/>
    <n v="-12500"/>
    <m/>
  </r>
  <r>
    <x v="92"/>
    <x v="12"/>
    <x v="1"/>
    <m/>
    <m/>
    <n v="15000"/>
    <n v="-15000"/>
    <m/>
  </r>
  <r>
    <x v="92"/>
    <x v="2"/>
    <x v="3"/>
    <m/>
    <m/>
    <n v="254"/>
    <n v="-254"/>
    <m/>
  </r>
  <r>
    <x v="92"/>
    <x v="7"/>
    <x v="3"/>
    <m/>
    <m/>
    <n v="375"/>
    <n v="-375"/>
    <m/>
  </r>
  <r>
    <x v="92"/>
    <x v="8"/>
    <x v="3"/>
    <m/>
    <m/>
    <n v="450"/>
    <n v="-450"/>
    <m/>
  </r>
  <r>
    <x v="92"/>
    <x v="3"/>
    <x v="3"/>
    <m/>
    <m/>
    <n v="4164"/>
    <n v="-4164"/>
    <m/>
  </r>
  <r>
    <x v="92"/>
    <x v="19"/>
    <x v="3"/>
    <m/>
    <m/>
    <n v="51141"/>
    <n v="-51141"/>
    <m/>
  </r>
  <r>
    <x v="92"/>
    <x v="15"/>
    <x v="3"/>
    <m/>
    <m/>
    <n v="14765"/>
    <n v="-14765"/>
    <m/>
  </r>
  <r>
    <x v="92"/>
    <x v="0"/>
    <x v="3"/>
    <m/>
    <m/>
    <n v="28851"/>
    <n v="-28851"/>
    <m/>
  </r>
  <r>
    <x v="93"/>
    <x v="0"/>
    <x v="2"/>
    <n v="118"/>
    <n v="25517"/>
    <m/>
    <n v="25517"/>
    <s v="Paid 500,000/-"/>
  </r>
  <r>
    <x v="94"/>
    <x v="0"/>
    <x v="1"/>
    <n v="51"/>
    <n v="4802"/>
    <m/>
    <n v="4802"/>
    <m/>
  </r>
  <r>
    <x v="95"/>
    <x v="15"/>
    <x v="5"/>
    <n v="12114"/>
    <n v="1368"/>
    <m/>
    <n v="1368"/>
    <m/>
  </r>
  <r>
    <x v="96"/>
    <x v="0"/>
    <x v="2"/>
    <m/>
    <m/>
    <n v="200000"/>
    <n v="-200000"/>
    <s v="Paid 200,000/=   Iqbal sons"/>
  </r>
  <r>
    <x v="97"/>
    <x v="14"/>
    <x v="2"/>
    <n v="160"/>
    <n v="8359"/>
    <m/>
    <n v="8359"/>
    <m/>
  </r>
  <r>
    <x v="98"/>
    <x v="0"/>
    <x v="5"/>
    <n v="13379"/>
    <n v="10384"/>
    <m/>
    <n v="10384"/>
    <m/>
  </r>
  <r>
    <x v="99"/>
    <x v="16"/>
    <x v="5"/>
    <m/>
    <m/>
    <n v="59350"/>
    <n v="-59350"/>
    <m/>
  </r>
  <r>
    <x v="99"/>
    <x v="17"/>
    <x v="5"/>
    <m/>
    <m/>
    <n v="60850"/>
    <n v="-60850"/>
    <m/>
  </r>
  <r>
    <x v="99"/>
    <x v="11"/>
    <x v="5"/>
    <m/>
    <m/>
    <n v="55310"/>
    <n v="-55310"/>
    <m/>
  </r>
  <r>
    <x v="99"/>
    <x v="15"/>
    <x v="5"/>
    <m/>
    <m/>
    <n v="24490"/>
    <n v="-24490"/>
    <m/>
  </r>
  <r>
    <x v="100"/>
    <x v="0"/>
    <x v="2"/>
    <n v="184"/>
    <n v="61636"/>
    <m/>
    <n v="61636"/>
    <m/>
  </r>
  <r>
    <x v="101"/>
    <x v="0"/>
    <x v="3"/>
    <n v="1617"/>
    <n v="40803"/>
    <m/>
    <n v="40803"/>
    <m/>
  </r>
  <r>
    <x v="98"/>
    <x v="0"/>
    <x v="3"/>
    <n v="1617"/>
    <n v="1750"/>
    <m/>
    <n v="1750"/>
    <m/>
  </r>
  <r>
    <x v="102"/>
    <x v="15"/>
    <x v="3"/>
    <n v="1617"/>
    <n v="1800"/>
    <m/>
    <n v="1800"/>
    <m/>
  </r>
  <r>
    <x v="103"/>
    <x v="0"/>
    <x v="3"/>
    <n v="1014"/>
    <n v="3693"/>
    <m/>
    <n v="3693"/>
    <m/>
  </r>
  <r>
    <x v="104"/>
    <x v="21"/>
    <x v="3"/>
    <n v="1053"/>
    <n v="110050"/>
    <m/>
    <n v="110050"/>
    <m/>
  </r>
  <r>
    <x v="105"/>
    <x v="21"/>
    <x v="3"/>
    <n v="1022"/>
    <n v="26461"/>
    <m/>
    <n v="26461"/>
    <m/>
  </r>
  <r>
    <x v="104"/>
    <x v="21"/>
    <x v="3"/>
    <n v="1054"/>
    <n v="1154"/>
    <m/>
    <n v="1154"/>
    <m/>
  </r>
  <r>
    <x v="104"/>
    <x v="21"/>
    <x v="3"/>
    <n v="1056"/>
    <n v="4224"/>
    <m/>
    <n v="4224"/>
    <m/>
  </r>
  <r>
    <x v="104"/>
    <x v="21"/>
    <x v="3"/>
    <n v="1050"/>
    <n v="264"/>
    <m/>
    <n v="264"/>
    <m/>
  </r>
  <r>
    <x v="106"/>
    <x v="21"/>
    <x v="3"/>
    <n v="1060"/>
    <n v="5023"/>
    <m/>
    <n v="5023"/>
    <m/>
  </r>
  <r>
    <x v="107"/>
    <x v="0"/>
    <x v="3"/>
    <n v="1096"/>
    <n v="254"/>
    <m/>
    <n v="254"/>
    <m/>
  </r>
  <r>
    <x v="108"/>
    <x v="0"/>
    <x v="3"/>
    <n v="1107"/>
    <n v="2824"/>
    <m/>
    <n v="2824"/>
    <m/>
  </r>
  <r>
    <x v="107"/>
    <x v="0"/>
    <x v="3"/>
    <n v="1094"/>
    <n v="2086"/>
    <m/>
    <n v="2086"/>
    <m/>
  </r>
  <r>
    <x v="109"/>
    <x v="21"/>
    <x v="3"/>
    <n v="1140"/>
    <n v="1109"/>
    <m/>
    <n v="1109"/>
    <m/>
  </r>
  <r>
    <x v="99"/>
    <x v="0"/>
    <x v="3"/>
    <n v="1146"/>
    <n v="2807"/>
    <m/>
    <n v="2807"/>
    <m/>
  </r>
  <r>
    <x v="99"/>
    <x v="21"/>
    <x v="3"/>
    <n v="1171"/>
    <n v="220252"/>
    <m/>
    <n v="220252"/>
    <m/>
  </r>
  <r>
    <x v="110"/>
    <x v="21"/>
    <x v="3"/>
    <n v="1188"/>
    <n v="98222"/>
    <m/>
    <n v="98222"/>
    <m/>
  </r>
  <r>
    <x v="110"/>
    <x v="22"/>
    <x v="5"/>
    <n v="7999"/>
    <n v="10350"/>
    <m/>
    <n v="10350"/>
    <s v="Paid throue Chq # 01358844"/>
  </r>
  <r>
    <x v="111"/>
    <x v="0"/>
    <x v="5"/>
    <n v="8027"/>
    <n v="7150"/>
    <m/>
    <n v="7150"/>
    <m/>
  </r>
  <r>
    <x v="112"/>
    <x v="15"/>
    <x v="1"/>
    <s v="087"/>
    <n v="8652"/>
    <m/>
    <n v="8652"/>
    <m/>
  </r>
  <r>
    <x v="112"/>
    <x v="0"/>
    <x v="2"/>
    <n v="248"/>
    <n v="46313"/>
    <m/>
    <n v="46313"/>
    <m/>
  </r>
  <r>
    <x v="113"/>
    <x v="21"/>
    <x v="3"/>
    <m/>
    <m/>
    <n v="200000"/>
    <n v="-200000"/>
    <m/>
  </r>
  <r>
    <x v="111"/>
    <x v="21"/>
    <x v="3"/>
    <n v="1617"/>
    <n v="37347"/>
    <m/>
    <n v="37347"/>
    <m/>
  </r>
  <r>
    <x v="114"/>
    <x v="21"/>
    <x v="3"/>
    <n v="1351"/>
    <n v="1419"/>
    <m/>
    <n v="1419"/>
    <m/>
  </r>
  <r>
    <x v="114"/>
    <x v="21"/>
    <x v="3"/>
    <n v="1331"/>
    <n v="4047"/>
    <m/>
    <n v="4047"/>
    <m/>
  </r>
  <r>
    <x v="113"/>
    <x v="22"/>
    <x v="3"/>
    <n v="1414"/>
    <n v="17501"/>
    <m/>
    <n v="17501"/>
    <m/>
  </r>
  <r>
    <x v="113"/>
    <x v="21"/>
    <x v="3"/>
    <n v="1367"/>
    <n v="3313"/>
    <m/>
    <n v="3313"/>
    <m/>
  </r>
  <r>
    <x v="115"/>
    <x v="21"/>
    <x v="3"/>
    <n v="1453"/>
    <n v="2718"/>
    <m/>
    <n v="2718"/>
    <m/>
  </r>
  <r>
    <x v="114"/>
    <x v="16"/>
    <x v="5"/>
    <n v="8070"/>
    <n v="263340"/>
    <m/>
    <n v="263340"/>
    <m/>
  </r>
  <r>
    <x v="116"/>
    <x v="21"/>
    <x v="5"/>
    <n v="8112"/>
    <n v="42350"/>
    <m/>
    <n v="42350"/>
    <m/>
  </r>
  <r>
    <x v="116"/>
    <x v="23"/>
    <x v="5"/>
    <n v="8089"/>
    <n v="39150"/>
    <m/>
    <n v="39150"/>
    <m/>
  </r>
  <r>
    <x v="117"/>
    <x v="0"/>
    <x v="5"/>
    <m/>
    <m/>
    <n v="100000"/>
    <n v="-100000"/>
    <m/>
  </r>
  <r>
    <x v="117"/>
    <x v="11"/>
    <x v="5"/>
    <m/>
    <m/>
    <n v="75000"/>
    <n v="-75000"/>
    <m/>
  </r>
  <r>
    <x v="117"/>
    <x v="18"/>
    <x v="5"/>
    <m/>
    <m/>
    <n v="25000"/>
    <n v="-25000"/>
    <m/>
  </r>
  <r>
    <x v="117"/>
    <x v="21"/>
    <x v="5"/>
    <m/>
    <m/>
    <n v="25000"/>
    <n v="-25000"/>
    <s v="This chq received from total as mckinsey 2nd Adv"/>
  </r>
  <r>
    <x v="118"/>
    <x v="0"/>
    <x v="2"/>
    <n v="286"/>
    <n v="3467"/>
    <m/>
    <n v="3467"/>
    <m/>
  </r>
  <r>
    <x v="117"/>
    <x v="0"/>
    <x v="2"/>
    <n v="294"/>
    <n v="49380"/>
    <m/>
    <n v="49380"/>
    <m/>
  </r>
  <r>
    <x v="117"/>
    <x v="14"/>
    <x v="2"/>
    <n v="277"/>
    <n v="15675"/>
    <m/>
    <n v="15675"/>
    <m/>
  </r>
  <r>
    <x v="117"/>
    <x v="14"/>
    <x v="2"/>
    <n v="295"/>
    <n v="15028"/>
    <m/>
    <n v="15028"/>
    <m/>
  </r>
  <r>
    <x v="119"/>
    <x v="2"/>
    <x v="2"/>
    <n v="308"/>
    <n v="9551"/>
    <m/>
    <n v="9551"/>
    <m/>
  </r>
  <r>
    <x v="117"/>
    <x v="0"/>
    <x v="5"/>
    <n v="8106"/>
    <n v="3950"/>
    <m/>
    <n v="3950"/>
    <m/>
  </r>
  <r>
    <x v="117"/>
    <x v="17"/>
    <x v="5"/>
    <n v="8081"/>
    <n v="12750"/>
    <m/>
    <n v="12750"/>
    <m/>
  </r>
  <r>
    <x v="120"/>
    <x v="23"/>
    <x v="5"/>
    <n v="8092"/>
    <n v="42350"/>
    <m/>
    <n v="42350"/>
    <m/>
  </r>
  <r>
    <x v="121"/>
    <x v="12"/>
    <x v="1"/>
    <m/>
    <m/>
    <n v="50244"/>
    <n v="-50244"/>
    <m/>
  </r>
  <r>
    <x v="121"/>
    <x v="14"/>
    <x v="1"/>
    <m/>
    <m/>
    <n v="5495"/>
    <n v="-5495"/>
    <s v="Paid by chq 01358872   Rs. 83000"/>
  </r>
  <r>
    <x v="121"/>
    <x v="0"/>
    <x v="1"/>
    <m/>
    <m/>
    <n v="27261"/>
    <n v="-27261"/>
    <m/>
  </r>
  <r>
    <x v="122"/>
    <x v="21"/>
    <x v="3"/>
    <n v="1564"/>
    <n v="63654"/>
    <m/>
    <n v="63654"/>
    <m/>
  </r>
  <r>
    <x v="123"/>
    <x v="21"/>
    <x v="3"/>
    <n v="1625"/>
    <n v="510973"/>
    <m/>
    <n v="510973"/>
    <m/>
  </r>
  <r>
    <x v="124"/>
    <x v="21"/>
    <x v="3"/>
    <n v="1658"/>
    <n v="1250"/>
    <m/>
    <n v="1250"/>
    <m/>
  </r>
  <r>
    <x v="124"/>
    <x v="21"/>
    <x v="3"/>
    <n v="1638"/>
    <n v="12414"/>
    <m/>
    <n v="12414"/>
    <m/>
  </r>
  <r>
    <x v="123"/>
    <x v="21"/>
    <x v="3"/>
    <n v="1601"/>
    <n v="22919"/>
    <m/>
    <n v="22919"/>
    <m/>
  </r>
  <r>
    <x v="122"/>
    <x v="21"/>
    <x v="5"/>
    <n v="8122"/>
    <n v="39150"/>
    <m/>
    <n v="39150"/>
    <m/>
  </r>
  <r>
    <x v="122"/>
    <x v="23"/>
    <x v="5"/>
    <n v="8126"/>
    <n v="14750"/>
    <m/>
    <n v="14750"/>
    <m/>
  </r>
  <r>
    <x v="125"/>
    <x v="21"/>
    <x v="5"/>
    <n v="8139"/>
    <n v="16700"/>
    <m/>
    <n v="16700"/>
    <m/>
  </r>
  <r>
    <x v="117"/>
    <x v="24"/>
    <x v="5"/>
    <n v="8160"/>
    <n v="165296"/>
    <m/>
    <n v="165296"/>
    <m/>
  </r>
  <r>
    <x v="126"/>
    <x v="0"/>
    <x v="0"/>
    <m/>
    <m/>
    <n v="146519"/>
    <n v="-146519"/>
    <m/>
  </r>
  <r>
    <x v="126"/>
    <x v="13"/>
    <x v="0"/>
    <m/>
    <m/>
    <n v="49500"/>
    <n v="-49500"/>
    <m/>
  </r>
  <r>
    <x v="126"/>
    <x v="10"/>
    <x v="0"/>
    <m/>
    <m/>
    <n v="255004"/>
    <n v="-255004"/>
    <m/>
  </r>
  <r>
    <x v="126"/>
    <x v="14"/>
    <x v="0"/>
    <m/>
    <m/>
    <n v="210896"/>
    <n v="-210896"/>
    <s v="This chq rec from allied as 2nd av and paid to saeed sons"/>
  </r>
  <r>
    <x v="126"/>
    <x v="1"/>
    <x v="0"/>
    <m/>
    <m/>
    <n v="65760"/>
    <n v="-65760"/>
    <m/>
  </r>
  <r>
    <x v="126"/>
    <x v="12"/>
    <x v="0"/>
    <m/>
    <m/>
    <n v="204900"/>
    <n v="-204900"/>
    <s v="chq amount 969,991/-"/>
  </r>
  <r>
    <x v="126"/>
    <x v="2"/>
    <x v="0"/>
    <m/>
    <m/>
    <n v="37412"/>
    <n v="-37412"/>
    <m/>
  </r>
  <r>
    <x v="117"/>
    <x v="22"/>
    <x v="3"/>
    <m/>
    <n v="255"/>
    <m/>
    <n v="255"/>
    <m/>
  </r>
  <r>
    <x v="117"/>
    <x v="22"/>
    <x v="3"/>
    <m/>
    <n v="6362"/>
    <m/>
    <n v="6362"/>
    <m/>
  </r>
  <r>
    <x v="121"/>
    <x v="22"/>
    <x v="1"/>
    <m/>
    <n v="5000"/>
    <m/>
    <n v="5000"/>
    <m/>
  </r>
  <r>
    <x v="127"/>
    <x v="21"/>
    <x v="3"/>
    <m/>
    <n v="21498"/>
    <m/>
    <n v="21498"/>
    <m/>
  </r>
  <r>
    <x v="128"/>
    <x v="21"/>
    <x v="3"/>
    <m/>
    <n v="3425"/>
    <m/>
    <n v="3425"/>
    <m/>
  </r>
  <r>
    <x v="129"/>
    <x v="21"/>
    <x v="3"/>
    <m/>
    <n v="2772"/>
    <m/>
    <n v="2772"/>
    <m/>
  </r>
  <r>
    <x v="130"/>
    <x v="21"/>
    <x v="3"/>
    <m/>
    <m/>
    <n v="300000"/>
    <n v="-300000"/>
    <s v="This chq received from jpmc "/>
  </r>
  <r>
    <x v="131"/>
    <x v="0"/>
    <x v="1"/>
    <n v="143"/>
    <n v="4139"/>
    <m/>
    <n v="4139"/>
    <m/>
  </r>
  <r>
    <x v="132"/>
    <x v="23"/>
    <x v="1"/>
    <n v="146"/>
    <n v="13000"/>
    <m/>
    <n v="13000"/>
    <m/>
  </r>
  <r>
    <x v="129"/>
    <x v="21"/>
    <x v="2"/>
    <n v="341"/>
    <n v="127293"/>
    <m/>
    <n v="127293"/>
    <m/>
  </r>
  <r>
    <x v="129"/>
    <x v="0"/>
    <x v="3"/>
    <n v="1617"/>
    <n v="2066"/>
    <m/>
    <n v="2066"/>
    <m/>
  </r>
  <r>
    <x v="129"/>
    <x v="21"/>
    <x v="3"/>
    <n v="1617"/>
    <n v="2673"/>
    <m/>
    <n v="2673"/>
    <m/>
  </r>
  <r>
    <x v="133"/>
    <x v="0"/>
    <x v="2"/>
    <n v="371"/>
    <n v="27403"/>
    <m/>
    <n v="27403"/>
    <m/>
  </r>
  <r>
    <x v="134"/>
    <x v="21"/>
    <x v="2"/>
    <n v="385"/>
    <n v="2912"/>
    <m/>
    <n v="2912"/>
    <m/>
  </r>
  <r>
    <x v="135"/>
    <x v="17"/>
    <x v="2"/>
    <n v="393"/>
    <n v="36992"/>
    <m/>
    <n v="36992"/>
    <m/>
  </r>
  <r>
    <x v="136"/>
    <x v="21"/>
    <x v="3"/>
    <m/>
    <n v="188041"/>
    <m/>
    <n v="188041"/>
    <m/>
  </r>
  <r>
    <x v="133"/>
    <x v="23"/>
    <x v="5"/>
    <n v="8227"/>
    <n v="37550"/>
    <n v="70"/>
    <n v="37480"/>
    <m/>
  </r>
  <r>
    <x v="137"/>
    <x v="17"/>
    <x v="5"/>
    <n v="8232"/>
    <n v="18750"/>
    <m/>
    <n v="18750"/>
    <m/>
  </r>
  <r>
    <x v="138"/>
    <x v="21"/>
    <x v="5"/>
    <n v="8294"/>
    <n v="29550"/>
    <m/>
    <n v="29550"/>
    <m/>
  </r>
  <r>
    <x v="138"/>
    <x v="22"/>
    <x v="5"/>
    <n v="8295"/>
    <n v="10150"/>
    <m/>
    <n v="10150"/>
    <m/>
  </r>
  <r>
    <x v="139"/>
    <x v="23"/>
    <x v="5"/>
    <n v="8337"/>
    <n v="16650"/>
    <m/>
    <n v="16650"/>
    <m/>
  </r>
  <r>
    <x v="139"/>
    <x v="0"/>
    <x v="5"/>
    <n v="8333"/>
    <n v="3950"/>
    <m/>
    <n v="3950"/>
    <m/>
  </r>
  <r>
    <x v="139"/>
    <x v="22"/>
    <x v="5"/>
    <n v="8343"/>
    <n v="3950"/>
    <m/>
    <n v="3950"/>
    <m/>
  </r>
  <r>
    <x v="139"/>
    <x v="25"/>
    <x v="6"/>
    <n v="282"/>
    <n v="625598"/>
    <m/>
    <n v="625598"/>
    <m/>
  </r>
  <r>
    <x v="139"/>
    <x v="21"/>
    <x v="5"/>
    <n v="8349"/>
    <n v="13550"/>
    <m/>
    <n v="13550"/>
    <m/>
  </r>
  <r>
    <x v="140"/>
    <x v="11"/>
    <x v="5"/>
    <m/>
    <m/>
    <n v="109590"/>
    <n v="-109590"/>
    <m/>
  </r>
  <r>
    <x v="140"/>
    <x v="18"/>
    <x v="5"/>
    <m/>
    <m/>
    <n v="34350"/>
    <n v="-34350"/>
    <m/>
  </r>
  <r>
    <x v="140"/>
    <x v="17"/>
    <x v="5"/>
    <m/>
    <m/>
    <n v="31500"/>
    <n v="-31500"/>
    <m/>
  </r>
  <r>
    <x v="140"/>
    <x v="22"/>
    <x v="5"/>
    <m/>
    <m/>
    <n v="24450"/>
    <n v="-24450"/>
    <m/>
  </r>
  <r>
    <x v="140"/>
    <x v="0"/>
    <x v="5"/>
    <m/>
    <m/>
    <n v="110"/>
    <n v="-110"/>
    <m/>
  </r>
  <r>
    <x v="141"/>
    <x v="26"/>
    <x v="5"/>
    <n v="8394"/>
    <n v="22400"/>
    <m/>
    <n v="22400"/>
    <m/>
  </r>
  <r>
    <x v="141"/>
    <x v="23"/>
    <x v="5"/>
    <n v="8397"/>
    <n v="8550"/>
    <m/>
    <n v="8550"/>
    <m/>
  </r>
  <r>
    <x v="142"/>
    <x v="25"/>
    <x v="6"/>
    <m/>
    <m/>
    <n v="500000"/>
    <n v="-500000"/>
    <s v="paid thru chq # 01403704"/>
  </r>
  <r>
    <x v="143"/>
    <x v="27"/>
    <x v="1"/>
    <n v="166"/>
    <n v="4800"/>
    <m/>
    <n v="4800"/>
    <m/>
  </r>
  <r>
    <x v="143"/>
    <x v="10"/>
    <x v="1"/>
    <n v="167"/>
    <n v="62500"/>
    <m/>
    <n v="62500"/>
    <m/>
  </r>
  <r>
    <x v="144"/>
    <x v="0"/>
    <x v="5"/>
    <m/>
    <m/>
    <n v="52616"/>
    <n v="-52616"/>
    <m/>
  </r>
  <r>
    <x v="144"/>
    <x v="15"/>
    <x v="5"/>
    <m/>
    <m/>
    <n v="58518"/>
    <n v="-58518"/>
    <s v="paid to iqbal sons"/>
  </r>
  <r>
    <x v="144"/>
    <x v="26"/>
    <x v="5"/>
    <m/>
    <m/>
    <n v="22400"/>
    <n v="-22400"/>
    <s v="Chq amount 200,000/-"/>
  </r>
  <r>
    <x v="144"/>
    <x v="23"/>
    <x v="5"/>
    <m/>
    <m/>
    <n v="30000"/>
    <n v="-30000"/>
    <s v="chq # 01403723"/>
  </r>
  <r>
    <x v="144"/>
    <x v="21"/>
    <x v="5"/>
    <m/>
    <m/>
    <n v="20000"/>
    <n v="-20000"/>
    <m/>
  </r>
  <r>
    <x v="144"/>
    <x v="24"/>
    <x v="5"/>
    <m/>
    <m/>
    <n v="16466"/>
    <n v="-16466"/>
    <m/>
  </r>
  <r>
    <x v="145"/>
    <x v="10"/>
    <x v="1"/>
    <m/>
    <m/>
    <n v="62500"/>
    <n v="-62500"/>
    <s v="Paid thro chq # 01403730"/>
  </r>
  <r>
    <x v="146"/>
    <x v="21"/>
    <x v="3"/>
    <n v="2497"/>
    <n v="15015"/>
    <m/>
    <n v="15015"/>
    <m/>
  </r>
  <r>
    <x v="147"/>
    <x v="21"/>
    <x v="3"/>
    <n v="2594"/>
    <n v="1646"/>
    <m/>
    <n v="1646"/>
    <m/>
  </r>
  <r>
    <x v="147"/>
    <x v="21"/>
    <x v="3"/>
    <m/>
    <m/>
    <n v="500000"/>
    <n v="-500000"/>
    <s v="paid by MCB chq # 1610479907"/>
  </r>
  <r>
    <x v="148"/>
    <x v="21"/>
    <x v="3"/>
    <n v="2770"/>
    <n v="121"/>
    <m/>
    <n v="121"/>
    <m/>
  </r>
  <r>
    <x v="145"/>
    <x v="21"/>
    <x v="3"/>
    <n v="2746"/>
    <n v="281"/>
    <m/>
    <n v="281"/>
    <m/>
  </r>
  <r>
    <x v="149"/>
    <x v="21"/>
    <x v="3"/>
    <n v="2803"/>
    <n v="13067"/>
    <m/>
    <n v="13067"/>
    <m/>
  </r>
  <r>
    <x v="150"/>
    <x v="21"/>
    <x v="3"/>
    <n v="2730"/>
    <n v="281"/>
    <m/>
    <n v="281"/>
    <m/>
  </r>
  <r>
    <x v="151"/>
    <x v="0"/>
    <x v="2"/>
    <n v="430"/>
    <n v="15578"/>
    <m/>
    <n v="15578"/>
    <m/>
  </r>
  <r>
    <x v="152"/>
    <x v="23"/>
    <x v="5"/>
    <n v="8378"/>
    <n v="16750"/>
    <m/>
    <n v="16750"/>
    <m/>
  </r>
  <r>
    <x v="151"/>
    <x v="26"/>
    <x v="5"/>
    <n v="8435"/>
    <n v="31050"/>
    <m/>
    <n v="31050"/>
    <m/>
  </r>
  <r>
    <x v="151"/>
    <x v="24"/>
    <x v="5"/>
    <n v="8519"/>
    <n v="65200"/>
    <m/>
    <n v="65200"/>
    <m/>
  </r>
  <r>
    <x v="153"/>
    <x v="25"/>
    <x v="6"/>
    <n v="310"/>
    <n v="64607"/>
    <m/>
    <n v="64607"/>
    <m/>
  </r>
  <r>
    <x v="154"/>
    <x v="0"/>
    <x v="2"/>
    <n v="527"/>
    <n v="6960"/>
    <m/>
    <n v="6960"/>
    <m/>
  </r>
  <r>
    <x v="154"/>
    <x v="17"/>
    <x v="5"/>
    <n v="527"/>
    <n v="2000"/>
    <m/>
    <n v="2000"/>
    <m/>
  </r>
  <r>
    <x v="154"/>
    <x v="25"/>
    <x v="6"/>
    <n v="313"/>
    <n v="41277"/>
    <m/>
    <n v="41277"/>
    <m/>
  </r>
  <r>
    <x v="155"/>
    <x v="25"/>
    <x v="6"/>
    <n v="317"/>
    <n v="16023"/>
    <m/>
    <n v="16023"/>
    <m/>
  </r>
  <r>
    <x v="156"/>
    <x v="25"/>
    <x v="6"/>
    <n v="320"/>
    <n v="4400"/>
    <m/>
    <n v="4400"/>
    <m/>
  </r>
  <r>
    <x v="144"/>
    <x v="21"/>
    <x v="1"/>
    <n v="173"/>
    <n v="6820"/>
    <m/>
    <n v="6820"/>
    <m/>
  </r>
  <r>
    <x v="148"/>
    <x v="0"/>
    <x v="1"/>
    <n v="184"/>
    <n v="8338"/>
    <m/>
    <n v="8338"/>
    <m/>
  </r>
  <r>
    <x v="157"/>
    <x v="24"/>
    <x v="1"/>
    <n v="198"/>
    <n v="9600"/>
    <m/>
    <n v="9600"/>
    <m/>
  </r>
  <r>
    <x v="158"/>
    <x v="0"/>
    <x v="1"/>
    <n v="208"/>
    <n v="18880"/>
    <m/>
    <n v="18880"/>
    <m/>
  </r>
  <r>
    <x v="157"/>
    <x v="0"/>
    <x v="2"/>
    <n v="545"/>
    <n v="4156"/>
    <m/>
    <n v="4156"/>
    <m/>
  </r>
  <r>
    <x v="157"/>
    <x v="17"/>
    <x v="2"/>
    <n v="545"/>
    <n v="13000"/>
    <m/>
    <n v="13000"/>
    <m/>
  </r>
  <r>
    <x v="159"/>
    <x v="0"/>
    <x v="3"/>
    <n v="2854"/>
    <n v="5460"/>
    <m/>
    <n v="5460"/>
    <m/>
  </r>
  <r>
    <x v="150"/>
    <x v="21"/>
    <x v="3"/>
    <n v="2957"/>
    <n v="7480"/>
    <m/>
    <n v="7480"/>
    <m/>
  </r>
  <r>
    <x v="153"/>
    <x v="22"/>
    <x v="3"/>
    <n v="3086"/>
    <n v="1067"/>
    <m/>
    <n v="1067"/>
    <m/>
  </r>
  <r>
    <x v="153"/>
    <x v="0"/>
    <x v="3"/>
    <n v="3087"/>
    <n v="3797"/>
    <m/>
    <n v="3797"/>
    <m/>
  </r>
  <r>
    <x v="160"/>
    <x v="13"/>
    <x v="2"/>
    <m/>
    <m/>
    <n v="11240"/>
    <n v="-11240"/>
    <m/>
  </r>
  <r>
    <x v="160"/>
    <x v="2"/>
    <x v="2"/>
    <m/>
    <m/>
    <n v="9551"/>
    <n v="-9551"/>
    <s v="paid thru cheque # 01450478"/>
  </r>
  <r>
    <x v="160"/>
    <x v="17"/>
    <x v="2"/>
    <m/>
    <m/>
    <n v="49992"/>
    <n v="-49992"/>
    <s v="chq amount 300,000/-"/>
  </r>
  <r>
    <x v="160"/>
    <x v="21"/>
    <x v="2"/>
    <m/>
    <m/>
    <n v="130205"/>
    <n v="-130205"/>
    <m/>
  </r>
  <r>
    <x v="160"/>
    <x v="0"/>
    <x v="2"/>
    <m/>
    <m/>
    <n v="99012"/>
    <n v="-99012"/>
    <m/>
  </r>
  <r>
    <x v="160"/>
    <x v="23"/>
    <x v="5"/>
    <m/>
    <m/>
    <n v="70650"/>
    <n v="-70650"/>
    <m/>
  </r>
  <r>
    <x v="160"/>
    <x v="17"/>
    <x v="5"/>
    <m/>
    <m/>
    <n v="2000"/>
    <n v="-2000"/>
    <s v="paid thru cheque # 01450477"/>
  </r>
  <r>
    <x v="160"/>
    <x v="26"/>
    <x v="5"/>
    <m/>
    <m/>
    <n v="31050"/>
    <n v="-31050"/>
    <s v="chq amount 300,000/-"/>
  </r>
  <r>
    <x v="160"/>
    <x v="21"/>
    <x v="5"/>
    <m/>
    <m/>
    <n v="96300"/>
    <n v="-96300"/>
    <m/>
  </r>
  <r>
    <x v="160"/>
    <x v="24"/>
    <x v="5"/>
    <m/>
    <m/>
    <n v="100000"/>
    <n v="-100000"/>
    <m/>
  </r>
  <r>
    <x v="153"/>
    <x v="26"/>
    <x v="5"/>
    <n v="8534"/>
    <n v="4575"/>
    <m/>
    <n v="4575"/>
    <m/>
  </r>
  <r>
    <x v="157"/>
    <x v="26"/>
    <x v="5"/>
    <n v="8552"/>
    <n v="9000"/>
    <m/>
    <n v="9000"/>
    <m/>
  </r>
  <r>
    <x v="161"/>
    <x v="24"/>
    <x v="5"/>
    <n v="8662"/>
    <n v="18860"/>
    <m/>
    <n v="18860"/>
    <m/>
  </r>
  <r>
    <x v="162"/>
    <x v="26"/>
    <x v="5"/>
    <n v="8627"/>
    <n v="5598"/>
    <m/>
    <n v="5598"/>
    <m/>
  </r>
  <r>
    <x v="163"/>
    <x v="26"/>
    <x v="5"/>
    <n v="8671"/>
    <n v="6000"/>
    <m/>
    <n v="6000"/>
    <m/>
  </r>
  <r>
    <x v="164"/>
    <x v="26"/>
    <x v="5"/>
    <n v="8674"/>
    <n v="6300"/>
    <m/>
    <n v="6300"/>
    <m/>
  </r>
  <r>
    <x v="91"/>
    <x v="0"/>
    <x v="0"/>
    <n v="7302"/>
    <n v="48000"/>
    <m/>
    <n v="48000"/>
    <m/>
  </r>
  <r>
    <x v="165"/>
    <x v="0"/>
    <x v="0"/>
    <n v="7322"/>
    <n v="24000"/>
    <m/>
    <n v="24000"/>
    <m/>
  </r>
  <r>
    <x v="89"/>
    <x v="0"/>
    <x v="0"/>
    <n v="7325"/>
    <n v="16276"/>
    <m/>
    <n v="16276"/>
    <m/>
  </r>
  <r>
    <x v="89"/>
    <x v="0"/>
    <x v="0"/>
    <n v="7326"/>
    <n v="37100"/>
    <m/>
    <n v="37100"/>
    <m/>
  </r>
  <r>
    <x v="166"/>
    <x v="21"/>
    <x v="0"/>
    <n v="7397"/>
    <n v="47720"/>
    <m/>
    <n v="47720"/>
    <m/>
  </r>
  <r>
    <x v="166"/>
    <x v="21"/>
    <x v="0"/>
    <n v="7395"/>
    <n v="75900"/>
    <m/>
    <n v="75900"/>
    <m/>
  </r>
  <r>
    <x v="166"/>
    <x v="0"/>
    <x v="0"/>
    <n v="7396"/>
    <n v="11200"/>
    <m/>
    <n v="11200"/>
    <m/>
  </r>
  <r>
    <x v="134"/>
    <x v="28"/>
    <x v="0"/>
    <n v="7484"/>
    <n v="20020"/>
    <m/>
    <n v="20020"/>
    <m/>
  </r>
  <r>
    <x v="167"/>
    <x v="21"/>
    <x v="0"/>
    <n v="7528"/>
    <n v="16800"/>
    <m/>
    <n v="16800"/>
    <m/>
  </r>
  <r>
    <x v="154"/>
    <x v="28"/>
    <x v="0"/>
    <n v="7628"/>
    <n v="11980"/>
    <m/>
    <n v="11980"/>
    <m/>
  </r>
  <r>
    <x v="154"/>
    <x v="28"/>
    <x v="0"/>
    <n v="7629"/>
    <n v="17550"/>
    <m/>
    <n v="17550"/>
    <m/>
  </r>
  <r>
    <x v="162"/>
    <x v="21"/>
    <x v="0"/>
    <n v="7660"/>
    <n v="30872"/>
    <m/>
    <n v="30872"/>
    <m/>
  </r>
  <r>
    <x v="168"/>
    <x v="21"/>
    <x v="0"/>
    <n v="7693"/>
    <n v="272620"/>
    <m/>
    <n v="272620"/>
    <m/>
  </r>
  <r>
    <x v="169"/>
    <x v="25"/>
    <x v="6"/>
    <n v="331"/>
    <n v="122171"/>
    <m/>
    <n v="122171"/>
    <m/>
  </r>
  <r>
    <x v="169"/>
    <x v="25"/>
    <x v="6"/>
    <n v="334"/>
    <n v="24483"/>
    <m/>
    <n v="24483"/>
    <m/>
  </r>
  <r>
    <x v="169"/>
    <x v="25"/>
    <x v="6"/>
    <n v="336"/>
    <n v="5304"/>
    <m/>
    <n v="5304"/>
    <m/>
  </r>
  <r>
    <x v="169"/>
    <x v="26"/>
    <x v="6"/>
    <n v="340"/>
    <n v="69000"/>
    <m/>
    <n v="69000"/>
    <m/>
  </r>
  <r>
    <x v="170"/>
    <x v="0"/>
    <x v="3"/>
    <n v="3619"/>
    <n v="4682"/>
    <m/>
    <n v="4682"/>
    <m/>
  </r>
  <r>
    <x v="170"/>
    <x v="29"/>
    <x v="3"/>
    <n v="3579"/>
    <n v="6925"/>
    <m/>
    <n v="6925"/>
    <m/>
  </r>
  <r>
    <x v="171"/>
    <x v="26"/>
    <x v="2"/>
    <n v="596"/>
    <n v="1500"/>
    <m/>
    <n v="1500"/>
    <m/>
  </r>
  <r>
    <x v="171"/>
    <x v="0"/>
    <x v="2"/>
    <n v="596"/>
    <n v="22924"/>
    <m/>
    <n v="22924"/>
    <m/>
  </r>
  <r>
    <x v="172"/>
    <x v="21"/>
    <x v="3"/>
    <n v="3688"/>
    <n v="29229"/>
    <m/>
    <n v="29229"/>
    <m/>
  </r>
  <r>
    <x v="168"/>
    <x v="29"/>
    <x v="3"/>
    <n v="3769"/>
    <n v="3091"/>
    <m/>
    <n v="3091"/>
    <m/>
  </r>
  <r>
    <x v="173"/>
    <x v="30"/>
    <x v="1"/>
    <n v="240"/>
    <n v="22000"/>
    <m/>
    <n v="22000"/>
    <m/>
  </r>
  <r>
    <x v="174"/>
    <x v="28"/>
    <x v="5"/>
    <n v="8740"/>
    <n v="24250"/>
    <m/>
    <n v="24250"/>
    <m/>
  </r>
  <r>
    <x v="175"/>
    <x v="23"/>
    <x v="5"/>
    <m/>
    <m/>
    <n v="75030"/>
    <n v="-75030"/>
    <m/>
  </r>
  <r>
    <x v="175"/>
    <x v="26"/>
    <x v="5"/>
    <m/>
    <m/>
    <n v="31473"/>
    <n v="-31473"/>
    <s v="Paid thro chq #01450534  Chq amount 200,000"/>
  </r>
  <r>
    <x v="175"/>
    <x v="28"/>
    <x v="5"/>
    <m/>
    <m/>
    <n v="24250"/>
    <n v="-24250"/>
    <m/>
  </r>
  <r>
    <x v="175"/>
    <x v="24"/>
    <x v="5"/>
    <m/>
    <m/>
    <n v="69247"/>
    <n v="-69247"/>
    <m/>
  </r>
  <r>
    <x v="175"/>
    <x v="0"/>
    <x v="2"/>
    <m/>
    <m/>
    <n v="200000"/>
    <n v="-200000"/>
    <s v="paid thro chq # 01450537   amount 200,000"/>
  </r>
  <r>
    <x v="175"/>
    <x v="29"/>
    <x v="3"/>
    <m/>
    <m/>
    <n v="10016"/>
    <n v="-10016"/>
    <m/>
  </r>
  <r>
    <x v="175"/>
    <x v="15"/>
    <x v="3"/>
    <m/>
    <m/>
    <n v="4260"/>
    <n v="-4260"/>
    <s v="paid thru chq # 01450535"/>
  </r>
  <r>
    <x v="175"/>
    <x v="22"/>
    <x v="3"/>
    <m/>
    <m/>
    <n v="25185"/>
    <n v="-25185"/>
    <m/>
  </r>
  <r>
    <x v="175"/>
    <x v="0"/>
    <x v="3"/>
    <m/>
    <m/>
    <n v="110539"/>
    <n v="-110539"/>
    <m/>
  </r>
  <r>
    <x v="175"/>
    <x v="30"/>
    <x v="5"/>
    <m/>
    <n v="24072"/>
    <m/>
    <n v="24072"/>
    <m/>
  </r>
  <r>
    <x v="175"/>
    <x v="25"/>
    <x v="6"/>
    <n v="347"/>
    <n v="806368"/>
    <m/>
    <n v="806368"/>
    <m/>
  </r>
  <r>
    <x v="176"/>
    <x v="31"/>
    <x v="5"/>
    <n v="8808"/>
    <n v="78330"/>
    <m/>
    <n v="78330"/>
    <m/>
  </r>
  <r>
    <x v="176"/>
    <x v="31"/>
    <x v="5"/>
    <n v="8809"/>
    <n v="33600"/>
    <m/>
    <n v="33600"/>
    <m/>
  </r>
  <r>
    <x v="177"/>
    <x v="31"/>
    <x v="5"/>
    <n v="8816"/>
    <n v="7128"/>
    <m/>
    <n v="7128"/>
    <m/>
  </r>
  <r>
    <x v="178"/>
    <x v="30"/>
    <x v="3"/>
    <n v="3985"/>
    <n v="3305"/>
    <m/>
    <n v="3305"/>
    <m/>
  </r>
  <r>
    <x v="178"/>
    <x v="21"/>
    <x v="3"/>
    <n v="3918"/>
    <n v="1690"/>
    <m/>
    <n v="1690"/>
    <m/>
  </r>
  <r>
    <x v="178"/>
    <x v="21"/>
    <x v="3"/>
    <n v="3958"/>
    <n v="7297"/>
    <m/>
    <n v="7297"/>
    <m/>
  </r>
  <r>
    <x v="179"/>
    <x v="21"/>
    <x v="2"/>
    <n v="629"/>
    <n v="26618"/>
    <m/>
    <n v="26618"/>
    <m/>
  </r>
  <r>
    <x v="174"/>
    <x v="21"/>
    <x v="2"/>
    <n v="638"/>
    <n v="105186"/>
    <m/>
    <n v="105186"/>
    <m/>
  </r>
  <r>
    <x v="180"/>
    <x v="21"/>
    <x v="2"/>
    <n v="675"/>
    <n v="69661"/>
    <m/>
    <n v="69661"/>
    <m/>
  </r>
  <r>
    <x v="181"/>
    <x v="21"/>
    <x v="5"/>
    <n v="8832"/>
    <n v="13500"/>
    <m/>
    <n v="13500"/>
    <m/>
  </r>
  <r>
    <x v="182"/>
    <x v="21"/>
    <x v="5"/>
    <n v="8863"/>
    <n v="9600"/>
    <m/>
    <n v="9600"/>
    <m/>
  </r>
  <r>
    <x v="182"/>
    <x v="25"/>
    <x v="6"/>
    <m/>
    <m/>
    <n v="400000"/>
    <n v="-400000"/>
    <s v="paid thru chq # 01450568"/>
  </r>
  <r>
    <x v="173"/>
    <x v="26"/>
    <x v="3"/>
    <n v="3884"/>
    <n v="68397"/>
    <m/>
    <n v="68397"/>
    <m/>
  </r>
  <r>
    <x v="181"/>
    <x v="21"/>
    <x v="3"/>
    <n v="4124"/>
    <n v="18913"/>
    <m/>
    <n v="18913"/>
    <m/>
  </r>
  <r>
    <x v="183"/>
    <x v="21"/>
    <x v="3"/>
    <n v="4155"/>
    <n v="882"/>
    <m/>
    <n v="882"/>
    <m/>
  </r>
  <r>
    <x v="183"/>
    <x v="21"/>
    <x v="3"/>
    <n v="4132"/>
    <n v="4392"/>
    <m/>
    <n v="4392"/>
    <m/>
  </r>
  <r>
    <x v="184"/>
    <x v="21"/>
    <x v="3"/>
    <n v="4548"/>
    <n v="2430"/>
    <m/>
    <n v="2430"/>
    <m/>
  </r>
  <r>
    <x v="185"/>
    <x v="24"/>
    <x v="5"/>
    <m/>
    <m/>
    <n v="63643"/>
    <n v="-63643"/>
    <s v="this chq received from total construction Rs 300,000"/>
  </r>
  <r>
    <x v="185"/>
    <x v="30"/>
    <x v="5"/>
    <m/>
    <m/>
    <n v="24072"/>
    <n v="-24072"/>
    <m/>
  </r>
  <r>
    <x v="185"/>
    <x v="31"/>
    <x v="5"/>
    <m/>
    <m/>
    <n v="119058"/>
    <n v="-119058"/>
    <m/>
  </r>
  <r>
    <x v="185"/>
    <x v="21"/>
    <x v="5"/>
    <m/>
    <m/>
    <n v="23100"/>
    <n v="-23100"/>
    <m/>
  </r>
  <r>
    <x v="185"/>
    <x v="32"/>
    <x v="5"/>
    <m/>
    <m/>
    <n v="70127"/>
    <n v="-70127"/>
    <m/>
  </r>
  <r>
    <x v="186"/>
    <x v="21"/>
    <x v="2"/>
    <m/>
    <n v="7903"/>
    <m/>
    <n v="7903"/>
    <m/>
  </r>
  <r>
    <x v="187"/>
    <x v="21"/>
    <x v="3"/>
    <m/>
    <n v="18646"/>
    <m/>
    <n v="18646"/>
    <m/>
  </r>
  <r>
    <x v="188"/>
    <x v="33"/>
    <x v="7"/>
    <m/>
    <n v="106847"/>
    <m/>
    <n v="106847"/>
    <m/>
  </r>
  <r>
    <x v="188"/>
    <x v="34"/>
    <x v="7"/>
    <m/>
    <n v="106847"/>
    <m/>
    <n v="106847"/>
    <m/>
  </r>
  <r>
    <x v="188"/>
    <x v="21"/>
    <x v="7"/>
    <m/>
    <n v="51879"/>
    <m/>
    <n v="51879"/>
    <m/>
  </r>
  <r>
    <x v="189"/>
    <x v="21"/>
    <x v="7"/>
    <m/>
    <n v="42108"/>
    <m/>
    <n v="42108"/>
    <m/>
  </r>
  <r>
    <x v="130"/>
    <x v="33"/>
    <x v="7"/>
    <m/>
    <n v="11550"/>
    <m/>
    <n v="11550"/>
    <m/>
  </r>
  <r>
    <x v="190"/>
    <x v="33"/>
    <x v="7"/>
    <m/>
    <n v="19233"/>
    <m/>
    <n v="19233"/>
    <m/>
  </r>
  <r>
    <x v="191"/>
    <x v="21"/>
    <x v="7"/>
    <m/>
    <n v="3000"/>
    <m/>
    <n v="3000"/>
    <m/>
  </r>
  <r>
    <x v="192"/>
    <x v="25"/>
    <x v="7"/>
    <m/>
    <n v="433624"/>
    <m/>
    <n v="433624"/>
    <m/>
  </r>
  <r>
    <x v="145"/>
    <x v="33"/>
    <x v="7"/>
    <m/>
    <m/>
    <n v="44879"/>
    <n v="-44879"/>
    <s v="materail returned"/>
  </r>
  <r>
    <x v="193"/>
    <x v="28"/>
    <x v="7"/>
    <m/>
    <n v="32908"/>
    <m/>
    <n v="32908"/>
    <m/>
  </r>
  <r>
    <x v="141"/>
    <x v="34"/>
    <x v="7"/>
    <m/>
    <n v="3445"/>
    <m/>
    <n v="3445"/>
    <m/>
  </r>
  <r>
    <x v="194"/>
    <x v="34"/>
    <x v="7"/>
    <m/>
    <n v="36929"/>
    <m/>
    <n v="36929"/>
    <m/>
  </r>
  <r>
    <x v="195"/>
    <x v="33"/>
    <x v="7"/>
    <m/>
    <n v="55873"/>
    <m/>
    <n v="55873"/>
    <m/>
  </r>
  <r>
    <x v="196"/>
    <x v="21"/>
    <x v="7"/>
    <m/>
    <m/>
    <n v="3000"/>
    <n v="-3000"/>
    <s v="paid thru MCB CHq # 1626390890"/>
  </r>
  <r>
    <x v="196"/>
    <x v="25"/>
    <x v="7"/>
    <m/>
    <m/>
    <n v="433634"/>
    <n v="-433634"/>
    <m/>
  </r>
  <r>
    <x v="196"/>
    <x v="28"/>
    <x v="7"/>
    <m/>
    <m/>
    <n v="32908"/>
    <n v="-32908"/>
    <m/>
  </r>
  <r>
    <x v="196"/>
    <x v="34"/>
    <x v="7"/>
    <m/>
    <m/>
    <n v="30468"/>
    <n v="-30468"/>
    <m/>
  </r>
  <r>
    <x v="169"/>
    <x v="34"/>
    <x v="7"/>
    <m/>
    <n v="10916"/>
    <m/>
    <n v="10916"/>
    <m/>
  </r>
  <r>
    <x v="172"/>
    <x v="21"/>
    <x v="7"/>
    <m/>
    <n v="9717"/>
    <m/>
    <n v="9717"/>
    <m/>
  </r>
  <r>
    <x v="197"/>
    <x v="33"/>
    <x v="7"/>
    <m/>
    <n v="13612"/>
    <m/>
    <n v="13612"/>
    <m/>
  </r>
  <r>
    <x v="156"/>
    <x v="34"/>
    <x v="7"/>
    <m/>
    <n v="43165"/>
    <m/>
    <n v="43165"/>
    <m/>
  </r>
  <r>
    <x v="198"/>
    <x v="34"/>
    <x v="7"/>
    <m/>
    <n v="6306"/>
    <m/>
    <n v="6306"/>
    <m/>
  </r>
  <r>
    <x v="198"/>
    <x v="21"/>
    <x v="7"/>
    <m/>
    <n v="33200"/>
    <m/>
    <n v="33200"/>
    <m/>
  </r>
  <r>
    <x v="198"/>
    <x v="21"/>
    <x v="7"/>
    <m/>
    <m/>
    <n v="44665"/>
    <n v="-44665"/>
    <m/>
  </r>
  <r>
    <x v="199"/>
    <x v="33"/>
    <x v="7"/>
    <m/>
    <n v="10413"/>
    <m/>
    <n v="10413"/>
    <m/>
  </r>
  <r>
    <x v="200"/>
    <x v="33"/>
    <x v="7"/>
    <m/>
    <n v="89052"/>
    <m/>
    <n v="89052"/>
    <m/>
  </r>
  <r>
    <x v="158"/>
    <x v="33"/>
    <x v="7"/>
    <m/>
    <n v="3348"/>
    <m/>
    <n v="3348"/>
    <m/>
  </r>
  <r>
    <x v="196"/>
    <x v="34"/>
    <x v="7"/>
    <m/>
    <n v="95472"/>
    <m/>
    <n v="95472"/>
    <m/>
  </r>
  <r>
    <x v="201"/>
    <x v="25"/>
    <x v="7"/>
    <m/>
    <n v="1567"/>
    <m/>
    <n v="1567"/>
    <m/>
  </r>
  <r>
    <x v="183"/>
    <x v="25"/>
    <x v="7"/>
    <m/>
    <n v="27850"/>
    <m/>
    <n v="27850"/>
    <m/>
  </r>
  <r>
    <x v="178"/>
    <x v="33"/>
    <x v="7"/>
    <m/>
    <n v="46586"/>
    <m/>
    <n v="46586"/>
    <m/>
  </r>
  <r>
    <x v="202"/>
    <x v="33"/>
    <x v="7"/>
    <m/>
    <m/>
    <n v="100000"/>
    <n v="-100000"/>
    <s v="paid thru chq # 01475977"/>
  </r>
  <r>
    <x v="202"/>
    <x v="21"/>
    <x v="7"/>
    <m/>
    <m/>
    <n v="100000"/>
    <n v="-100000"/>
    <m/>
  </r>
  <r>
    <x v="202"/>
    <x v="34"/>
    <x v="7"/>
    <m/>
    <m/>
    <n v="100000"/>
    <n v="-100000"/>
    <m/>
  </r>
  <r>
    <x v="203"/>
    <x v="30"/>
    <x v="1"/>
    <m/>
    <n v="1600"/>
    <m/>
    <n v="1600"/>
    <m/>
  </r>
  <r>
    <x v="186"/>
    <x v="34"/>
    <x v="7"/>
    <m/>
    <n v="15593"/>
    <m/>
    <n v="15593"/>
    <m/>
  </r>
  <r>
    <x v="176"/>
    <x v="34"/>
    <x v="7"/>
    <m/>
    <n v="5693"/>
    <m/>
    <n v="5693"/>
    <m/>
  </r>
  <r>
    <x v="204"/>
    <x v="25"/>
    <x v="7"/>
    <m/>
    <n v="83845"/>
    <m/>
    <n v="83845"/>
    <m/>
  </r>
  <r>
    <x v="183"/>
    <x v="34"/>
    <x v="7"/>
    <m/>
    <n v="1367"/>
    <m/>
    <n v="1367"/>
    <m/>
  </r>
  <r>
    <x v="205"/>
    <x v="34"/>
    <x v="7"/>
    <m/>
    <n v="1700"/>
    <m/>
    <n v="1700"/>
    <m/>
  </r>
  <r>
    <x v="203"/>
    <x v="21"/>
    <x v="7"/>
    <m/>
    <n v="67418"/>
    <m/>
    <n v="67418"/>
    <m/>
  </r>
  <r>
    <x v="206"/>
    <x v="21"/>
    <x v="7"/>
    <m/>
    <n v="39396"/>
    <m/>
    <n v="39396"/>
    <m/>
  </r>
  <r>
    <x v="207"/>
    <x v="26"/>
    <x v="5"/>
    <m/>
    <n v="9600"/>
    <m/>
    <n v="9600"/>
    <m/>
  </r>
  <r>
    <x v="184"/>
    <x v="28"/>
    <x v="5"/>
    <m/>
    <n v="3276"/>
    <m/>
    <n v="3276"/>
    <m/>
  </r>
  <r>
    <x v="208"/>
    <x v="30"/>
    <x v="5"/>
    <m/>
    <n v="5434"/>
    <m/>
    <n v="5434"/>
    <m/>
  </r>
  <r>
    <x v="209"/>
    <x v="32"/>
    <x v="5"/>
    <m/>
    <n v="14700"/>
    <m/>
    <n v="14700"/>
    <m/>
  </r>
  <r>
    <x v="210"/>
    <x v="25"/>
    <x v="6"/>
    <n v="358"/>
    <n v="13194"/>
    <m/>
    <n v="13194"/>
    <m/>
  </r>
  <r>
    <x v="210"/>
    <x v="25"/>
    <x v="6"/>
    <n v="363"/>
    <n v="5580"/>
    <m/>
    <n v="5580"/>
    <m/>
  </r>
  <r>
    <x v="211"/>
    <x v="25"/>
    <x v="6"/>
    <n v="375"/>
    <n v="5313"/>
    <m/>
    <n v="5313"/>
    <m/>
  </r>
  <r>
    <x v="210"/>
    <x v="30"/>
    <x v="1"/>
    <m/>
    <n v="4844"/>
    <m/>
    <n v="4844"/>
    <m/>
  </r>
  <r>
    <x v="212"/>
    <x v="27"/>
    <x v="1"/>
    <m/>
    <m/>
    <n v="4800"/>
    <n v="-4800"/>
    <m/>
  </r>
  <r>
    <x v="212"/>
    <x v="23"/>
    <x v="1"/>
    <m/>
    <m/>
    <n v="13000"/>
    <n v="-13000"/>
    <m/>
  </r>
  <r>
    <x v="212"/>
    <x v="15"/>
    <x v="1"/>
    <m/>
    <m/>
    <n v="8652"/>
    <n v="-8652"/>
    <m/>
  </r>
  <r>
    <x v="212"/>
    <x v="24"/>
    <x v="1"/>
    <m/>
    <m/>
    <n v="9600"/>
    <n v="-9600"/>
    <s v="paid thru chq # 01476001 chq amount 50,000"/>
  </r>
  <r>
    <x v="212"/>
    <x v="22"/>
    <x v="1"/>
    <m/>
    <m/>
    <n v="5000"/>
    <n v="-5000"/>
    <m/>
  </r>
  <r>
    <x v="212"/>
    <x v="21"/>
    <x v="1"/>
    <m/>
    <m/>
    <n v="6820"/>
    <n v="-6820"/>
    <m/>
  </r>
  <r>
    <x v="212"/>
    <x v="0"/>
    <x v="1"/>
    <m/>
    <m/>
    <n v="2128"/>
    <n v="-2128"/>
    <m/>
  </r>
  <r>
    <x v="213"/>
    <x v="32"/>
    <x v="5"/>
    <m/>
    <n v="4012"/>
    <m/>
    <n v="4012"/>
    <m/>
  </r>
  <r>
    <x v="214"/>
    <x v="0"/>
    <x v="3"/>
    <m/>
    <m/>
    <n v="19598"/>
    <n v="-19598"/>
    <m/>
  </r>
  <r>
    <x v="214"/>
    <x v="30"/>
    <x v="3"/>
    <m/>
    <m/>
    <n v="3305"/>
    <n v="-3305"/>
    <m/>
  </r>
  <r>
    <x v="214"/>
    <x v="26"/>
    <x v="3"/>
    <m/>
    <m/>
    <n v="68397"/>
    <n v="-68397"/>
    <s v="paid thru chq # 01476016 chq amount 100,000"/>
  </r>
  <r>
    <x v="214"/>
    <x v="21"/>
    <x v="3"/>
    <m/>
    <m/>
    <n v="8700"/>
    <n v="-8700"/>
    <m/>
  </r>
  <r>
    <x v="215"/>
    <x v="21"/>
    <x v="0"/>
    <m/>
    <n v="29600"/>
    <m/>
    <n v="29600"/>
    <m/>
  </r>
  <r>
    <x v="215"/>
    <x v="21"/>
    <x v="0"/>
    <m/>
    <n v="25560"/>
    <m/>
    <n v="25560"/>
    <m/>
  </r>
  <r>
    <x v="180"/>
    <x v="21"/>
    <x v="0"/>
    <m/>
    <n v="74880"/>
    <m/>
    <n v="74880"/>
    <m/>
  </r>
  <r>
    <x v="215"/>
    <x v="31"/>
    <x v="0"/>
    <m/>
    <n v="52480"/>
    <m/>
    <n v="52480"/>
    <m/>
  </r>
  <r>
    <x v="187"/>
    <x v="21"/>
    <x v="0"/>
    <m/>
    <n v="16000"/>
    <m/>
    <n v="16000"/>
    <m/>
  </r>
  <r>
    <x v="216"/>
    <x v="31"/>
    <x v="0"/>
    <m/>
    <n v="41400"/>
    <m/>
    <n v="41400"/>
    <m/>
  </r>
  <r>
    <x v="216"/>
    <x v="31"/>
    <x v="0"/>
    <m/>
    <n v="19260"/>
    <m/>
    <n v="19260"/>
    <m/>
  </r>
  <r>
    <x v="217"/>
    <x v="32"/>
    <x v="0"/>
    <m/>
    <n v="54420"/>
    <m/>
    <n v="54420"/>
    <m/>
  </r>
  <r>
    <x v="217"/>
    <x v="21"/>
    <x v="0"/>
    <m/>
    <n v="99320"/>
    <m/>
    <n v="99320"/>
    <m/>
  </r>
  <r>
    <x v="201"/>
    <x v="28"/>
    <x v="0"/>
    <m/>
    <n v="11640"/>
    <m/>
    <n v="11640"/>
    <m/>
  </r>
  <r>
    <x v="201"/>
    <x v="21"/>
    <x v="0"/>
    <m/>
    <n v="22300"/>
    <m/>
    <n v="22300"/>
    <m/>
  </r>
  <r>
    <x v="201"/>
    <x v="31"/>
    <x v="0"/>
    <m/>
    <m/>
    <n v="72800"/>
    <n v="-72800"/>
    <s v="material returned"/>
  </r>
  <r>
    <x v="216"/>
    <x v="35"/>
    <x v="5"/>
    <n v="9111"/>
    <n v="240000"/>
    <m/>
    <n v="240000"/>
    <s v="buity # 5355"/>
  </r>
  <r>
    <x v="218"/>
    <x v="21"/>
    <x v="3"/>
    <m/>
    <n v="28566"/>
    <m/>
    <n v="28566"/>
    <m/>
  </r>
  <r>
    <x v="219"/>
    <x v="36"/>
    <x v="5"/>
    <m/>
    <n v="24700"/>
    <m/>
    <n v="24700"/>
    <m/>
  </r>
  <r>
    <x v="214"/>
    <x v="36"/>
    <x v="5"/>
    <m/>
    <n v="26100"/>
    <m/>
    <n v="26100"/>
    <m/>
  </r>
  <r>
    <x v="220"/>
    <x v="36"/>
    <x v="5"/>
    <m/>
    <n v="5600"/>
    <m/>
    <n v="5600"/>
    <m/>
  </r>
  <r>
    <x v="213"/>
    <x v="26"/>
    <x v="5"/>
    <m/>
    <n v="3300"/>
    <m/>
    <n v="3300"/>
    <m/>
  </r>
  <r>
    <x v="221"/>
    <x v="30"/>
    <x v="5"/>
    <m/>
    <n v="3186"/>
    <m/>
    <n v="3186"/>
    <m/>
  </r>
  <r>
    <x v="222"/>
    <x v="32"/>
    <x v="1"/>
    <m/>
    <n v="4300"/>
    <m/>
    <n v="4300"/>
    <m/>
  </r>
  <r>
    <x v="218"/>
    <x v="21"/>
    <x v="7"/>
    <m/>
    <n v="26755"/>
    <m/>
    <n v="26755"/>
    <m/>
  </r>
  <r>
    <x v="214"/>
    <x v="25"/>
    <x v="7"/>
    <m/>
    <n v="103641"/>
    <m/>
    <n v="103641"/>
    <m/>
  </r>
  <r>
    <x v="210"/>
    <x v="21"/>
    <x v="7"/>
    <m/>
    <n v="1442"/>
    <m/>
    <n v="1442"/>
    <m/>
  </r>
  <r>
    <x v="223"/>
    <x v="21"/>
    <x v="7"/>
    <m/>
    <m/>
    <n v="28035"/>
    <n v="-28035"/>
    <s v="Sales return"/>
  </r>
  <r>
    <x v="214"/>
    <x v="21"/>
    <x v="7"/>
    <m/>
    <n v="33150"/>
    <m/>
    <n v="33150"/>
    <m/>
  </r>
  <r>
    <x v="224"/>
    <x v="26"/>
    <x v="2"/>
    <m/>
    <m/>
    <n v="1500"/>
    <n v="-1500"/>
    <s v="paid thru 2 chqs "/>
  </r>
  <r>
    <x v="224"/>
    <x v="0"/>
    <x v="2"/>
    <m/>
    <m/>
    <n v="245069"/>
    <n v="-245069"/>
    <s v="1 from PES DIB # 01476034  chq amount 100,000"/>
  </r>
  <r>
    <x v="224"/>
    <x v="21"/>
    <x v="2"/>
    <m/>
    <m/>
    <n v="38431"/>
    <n v="-38431"/>
    <s v="2 from khaadi gulberg lahore receiving chq amount 185,000"/>
  </r>
  <r>
    <x v="224"/>
    <x v="32"/>
    <x v="5"/>
    <m/>
    <n v="15400"/>
    <m/>
    <n v="15400"/>
    <m/>
  </r>
  <r>
    <x v="225"/>
    <x v="25"/>
    <x v="6"/>
    <m/>
    <n v="67883"/>
    <m/>
    <n v="67883"/>
    <m/>
  </r>
  <r>
    <x v="220"/>
    <x v="36"/>
    <x v="0"/>
    <m/>
    <n v="20360"/>
    <m/>
    <n v="20360"/>
    <m/>
  </r>
  <r>
    <x v="226"/>
    <x v="21"/>
    <x v="0"/>
    <m/>
    <n v="16800"/>
    <m/>
    <n v="16800"/>
    <m/>
  </r>
  <r>
    <x v="227"/>
    <x v="35"/>
    <x v="0"/>
    <m/>
    <n v="22000"/>
    <m/>
    <n v="22000"/>
    <m/>
  </r>
  <r>
    <x v="228"/>
    <x v="25"/>
    <x v="0"/>
    <m/>
    <n v="20050"/>
    <m/>
    <n v="20050"/>
    <m/>
  </r>
  <r>
    <x v="229"/>
    <x v="0"/>
    <x v="0"/>
    <m/>
    <m/>
    <n v="135393"/>
    <n v="-135393"/>
    <m/>
  </r>
  <r>
    <x v="229"/>
    <x v="28"/>
    <x v="0"/>
    <m/>
    <m/>
    <n v="41170"/>
    <n v="-41170"/>
    <m/>
  </r>
  <r>
    <x v="229"/>
    <x v="21"/>
    <x v="0"/>
    <m/>
    <m/>
    <n v="62737"/>
    <n v="-62737"/>
    <s v="paid thru chq # 01476039  amount 300,000"/>
  </r>
  <r>
    <x v="229"/>
    <x v="31"/>
    <x v="0"/>
    <m/>
    <m/>
    <n v="40340"/>
    <n v="-40340"/>
    <m/>
  </r>
  <r>
    <x v="229"/>
    <x v="36"/>
    <x v="0"/>
    <m/>
    <m/>
    <n v="20360"/>
    <n v="-20360"/>
    <m/>
  </r>
  <r>
    <x v="230"/>
    <x v="21"/>
    <x v="1"/>
    <m/>
    <n v="10000"/>
    <m/>
    <n v="10000"/>
    <m/>
  </r>
  <r>
    <x v="214"/>
    <x v="21"/>
    <x v="3"/>
    <m/>
    <n v="1407"/>
    <m/>
    <n v="1407"/>
    <m/>
  </r>
  <r>
    <x v="214"/>
    <x v="25"/>
    <x v="3"/>
    <m/>
    <n v="2155"/>
    <m/>
    <n v="2155"/>
    <m/>
  </r>
  <r>
    <x v="231"/>
    <x v="32"/>
    <x v="3"/>
    <m/>
    <n v="4304"/>
    <m/>
    <n v="4304"/>
    <m/>
  </r>
  <r>
    <x v="232"/>
    <x v="25"/>
    <x v="6"/>
    <n v="396"/>
    <n v="124666"/>
    <m/>
    <n v="124666"/>
    <m/>
  </r>
  <r>
    <x v="233"/>
    <x v="32"/>
    <x v="3"/>
    <m/>
    <n v="14633"/>
    <m/>
    <n v="14633"/>
    <m/>
  </r>
  <r>
    <x v="230"/>
    <x v="21"/>
    <x v="2"/>
    <m/>
    <n v="12083"/>
    <m/>
    <n v="12083"/>
    <m/>
  </r>
  <r>
    <x v="234"/>
    <x v="25"/>
    <x v="6"/>
    <m/>
    <n v="152671"/>
    <m/>
    <n v="152671"/>
    <m/>
  </r>
  <r>
    <x v="235"/>
    <x v="37"/>
    <x v="2"/>
    <m/>
    <n v="907"/>
    <m/>
    <n v="907"/>
    <m/>
  </r>
  <r>
    <x v="236"/>
    <x v="25"/>
    <x v="3"/>
    <m/>
    <m/>
    <n v="2155"/>
    <n v="-2155"/>
    <m/>
  </r>
  <r>
    <x v="236"/>
    <x v="32"/>
    <x v="3"/>
    <m/>
    <m/>
    <n v="18937"/>
    <n v="-18937"/>
    <s v="paid thru dic chq # 01476063 amount 100,000"/>
  </r>
  <r>
    <x v="236"/>
    <x v="21"/>
    <x v="3"/>
    <m/>
    <m/>
    <n v="78908"/>
    <n v="-78908"/>
    <m/>
  </r>
  <r>
    <x v="236"/>
    <x v="37"/>
    <x v="2"/>
    <m/>
    <m/>
    <n v="907"/>
    <n v="-907"/>
    <s v="paid thru dib chq # 01476064 amount 100,000"/>
  </r>
  <r>
    <x v="236"/>
    <x v="21"/>
    <x v="2"/>
    <m/>
    <m/>
    <n v="99093"/>
    <n v="-99093"/>
    <m/>
  </r>
  <r>
    <x v="236"/>
    <x v="32"/>
    <x v="1"/>
    <m/>
    <m/>
    <n v="4300"/>
    <n v="-4300"/>
    <m/>
  </r>
  <r>
    <x v="236"/>
    <x v="21"/>
    <x v="1"/>
    <m/>
    <m/>
    <n v="10000"/>
    <n v="-10000"/>
    <s v="paid thru dic chq # 01476065 amount 50,000"/>
  </r>
  <r>
    <x v="236"/>
    <x v="30"/>
    <x v="1"/>
    <m/>
    <m/>
    <n v="28444"/>
    <n v="-28444"/>
    <m/>
  </r>
  <r>
    <x v="236"/>
    <x v="0"/>
    <x v="1"/>
    <m/>
    <m/>
    <n v="7256"/>
    <n v="-7256"/>
    <m/>
  </r>
  <r>
    <x v="236"/>
    <x v="25"/>
    <x v="7"/>
    <m/>
    <m/>
    <n v="100000"/>
    <n v="-100000"/>
    <m/>
  </r>
  <r>
    <x v="236"/>
    <x v="21"/>
    <x v="7"/>
    <m/>
    <m/>
    <n v="100000"/>
    <n v="-100000"/>
    <m/>
  </r>
  <r>
    <x v="236"/>
    <x v="33"/>
    <x v="7"/>
    <m/>
    <m/>
    <n v="50000"/>
    <n v="-50000"/>
    <s v="paid thru dic chq # 01476068 amount 300,000"/>
  </r>
  <r>
    <x v="236"/>
    <x v="34"/>
    <x v="7"/>
    <m/>
    <m/>
    <n v="50000"/>
    <n v="-50000"/>
    <m/>
  </r>
  <r>
    <x v="237"/>
    <x v="25"/>
    <x v="7"/>
    <m/>
    <n v="32711"/>
    <m/>
    <n v="32711"/>
    <m/>
  </r>
  <r>
    <x v="238"/>
    <x v="25"/>
    <x v="7"/>
    <m/>
    <n v="2806"/>
    <m/>
    <n v="2806"/>
    <m/>
  </r>
  <r>
    <x v="239"/>
    <x v="2"/>
    <x v="2"/>
    <m/>
    <n v="2318"/>
    <m/>
    <n v="2318"/>
    <m/>
  </r>
  <r>
    <x v="236"/>
    <x v="38"/>
    <x v="3"/>
    <m/>
    <n v="6104"/>
    <m/>
    <n v="6104"/>
    <m/>
  </r>
  <r>
    <x v="233"/>
    <x v="38"/>
    <x v="3"/>
    <m/>
    <m/>
    <m/>
    <n v="0"/>
    <m/>
  </r>
  <r>
    <x v="237"/>
    <x v="32"/>
    <x v="5"/>
    <m/>
    <n v="37100"/>
    <m/>
    <n v="37100"/>
    <m/>
  </r>
  <r>
    <x v="240"/>
    <x v="36"/>
    <x v="5"/>
    <m/>
    <n v="3264"/>
    <m/>
    <n v="3264"/>
    <m/>
  </r>
  <r>
    <x v="241"/>
    <x v="21"/>
    <x v="3"/>
    <m/>
    <m/>
    <n v="100000"/>
    <n v="-100000"/>
    <s v="paid thru dib chq # 01521303"/>
  </r>
  <r>
    <x v="241"/>
    <x v="33"/>
    <x v="7"/>
    <m/>
    <m/>
    <n v="100000"/>
    <n v="-100000"/>
    <s v="paid thru dib chq # 01521304 Rs 200,000"/>
  </r>
  <r>
    <x v="241"/>
    <x v="34"/>
    <x v="7"/>
    <m/>
    <m/>
    <n v="100000"/>
    <n v="-100000"/>
    <m/>
  </r>
  <r>
    <x v="241"/>
    <x v="35"/>
    <x v="5"/>
    <m/>
    <m/>
    <n v="14455"/>
    <n v="-14455"/>
    <m/>
  </r>
  <r>
    <x v="241"/>
    <x v="32"/>
    <x v="5"/>
    <m/>
    <m/>
    <n v="1085"/>
    <n v="-1085"/>
    <m/>
  </r>
  <r>
    <x v="241"/>
    <x v="28"/>
    <x v="5"/>
    <m/>
    <m/>
    <n v="3276"/>
    <n v="-3276"/>
    <s v="paid thru dib chq # 01521306 Rs 100,000"/>
  </r>
  <r>
    <x v="241"/>
    <x v="26"/>
    <x v="5"/>
    <m/>
    <m/>
    <n v="12900"/>
    <n v="-12900"/>
    <m/>
  </r>
  <r>
    <x v="241"/>
    <x v="30"/>
    <x v="5"/>
    <m/>
    <m/>
    <n v="8620"/>
    <n v="-8620"/>
    <m/>
  </r>
  <r>
    <x v="241"/>
    <x v="36"/>
    <x v="5"/>
    <m/>
    <m/>
    <n v="59664"/>
    <n v="-59664"/>
    <m/>
  </r>
  <r>
    <x v="242"/>
    <x v="38"/>
    <x v="5"/>
    <m/>
    <n v="22700"/>
    <m/>
    <n v="22700"/>
    <m/>
  </r>
  <r>
    <x v="241"/>
    <x v="31"/>
    <x v="5"/>
    <m/>
    <n v="5600"/>
    <m/>
    <n v="5600"/>
    <m/>
  </r>
  <r>
    <x v="243"/>
    <x v="31"/>
    <x v="5"/>
    <m/>
    <n v="40996"/>
    <m/>
    <n v="40996"/>
    <m/>
  </r>
  <r>
    <x v="244"/>
    <x v="25"/>
    <x v="6"/>
    <m/>
    <n v="15210"/>
    <m/>
    <n v="15210"/>
    <m/>
  </r>
  <r>
    <x v="244"/>
    <x v="25"/>
    <x v="6"/>
    <m/>
    <n v="276784"/>
    <m/>
    <n v="276784"/>
    <m/>
  </r>
  <r>
    <x v="245"/>
    <x v="31"/>
    <x v="5"/>
    <m/>
    <n v="9900"/>
    <m/>
    <n v="9900"/>
    <m/>
  </r>
  <r>
    <x v="246"/>
    <x v="28"/>
    <x v="5"/>
    <m/>
    <n v="1400"/>
    <m/>
    <n v="1400"/>
    <m/>
  </r>
  <r>
    <x v="236"/>
    <x v="39"/>
    <x v="2"/>
    <m/>
    <n v="58092"/>
    <m/>
    <n v="58092"/>
    <m/>
  </r>
  <r>
    <x v="247"/>
    <x v="38"/>
    <x v="3"/>
    <m/>
    <n v="585"/>
    <m/>
    <n v="585"/>
    <m/>
  </r>
  <r>
    <x v="248"/>
    <x v="25"/>
    <x v="6"/>
    <n v="453"/>
    <n v="177080"/>
    <m/>
    <n v="177080"/>
    <m/>
  </r>
  <r>
    <x v="226"/>
    <x v="25"/>
    <x v="6"/>
    <n v="390"/>
    <n v="85844"/>
    <m/>
    <n v="85844"/>
    <m/>
  </r>
  <r>
    <x v="249"/>
    <x v="25"/>
    <x v="6"/>
    <m/>
    <m/>
    <n v="1000000"/>
    <n v="-1000000"/>
    <m/>
  </r>
  <r>
    <x v="250"/>
    <x v="38"/>
    <x v="5"/>
    <m/>
    <n v="27600"/>
    <m/>
    <n v="27600"/>
    <m/>
  </r>
  <r>
    <x v="251"/>
    <x v="38"/>
    <x v="5"/>
    <m/>
    <n v="3300"/>
    <m/>
    <n v="3300"/>
    <m/>
  </r>
  <r>
    <x v="249"/>
    <x v="31"/>
    <x v="5"/>
    <m/>
    <n v="2268"/>
    <m/>
    <n v="2268"/>
    <m/>
  </r>
  <r>
    <x v="252"/>
    <x v="38"/>
    <x v="5"/>
    <m/>
    <n v="10368"/>
    <m/>
    <n v="10368"/>
    <m/>
  </r>
  <r>
    <x v="253"/>
    <x v="38"/>
    <x v="5"/>
    <m/>
    <n v="12700"/>
    <m/>
    <n v="12700"/>
    <m/>
  </r>
  <r>
    <x v="254"/>
    <x v="38"/>
    <x v="5"/>
    <m/>
    <n v="35300"/>
    <m/>
    <n v="35300"/>
    <m/>
  </r>
  <r>
    <x v="255"/>
    <x v="38"/>
    <x v="3"/>
    <m/>
    <n v="2283"/>
    <m/>
    <n v="2283"/>
    <m/>
  </r>
  <r>
    <x v="256"/>
    <x v="39"/>
    <x v="2"/>
    <m/>
    <n v="8943"/>
    <m/>
    <n v="8943"/>
    <m/>
  </r>
  <r>
    <x v="257"/>
    <x v="21"/>
    <x v="3"/>
    <m/>
    <n v="2565"/>
    <m/>
    <n v="2565"/>
    <m/>
  </r>
  <r>
    <x v="258"/>
    <x v="25"/>
    <x v="7"/>
    <m/>
    <n v="42497"/>
    <m/>
    <n v="42497"/>
    <m/>
  </r>
  <r>
    <x v="259"/>
    <x v="33"/>
    <x v="7"/>
    <m/>
    <n v="16079"/>
    <m/>
    <n v="16079"/>
    <m/>
  </r>
  <r>
    <x v="259"/>
    <x v="21"/>
    <x v="7"/>
    <m/>
    <n v="31198"/>
    <m/>
    <n v="31198"/>
    <m/>
  </r>
  <r>
    <x v="259"/>
    <x v="21"/>
    <x v="7"/>
    <m/>
    <n v="1264"/>
    <m/>
    <n v="1264"/>
    <m/>
  </r>
  <r>
    <x v="252"/>
    <x v="33"/>
    <x v="7"/>
    <m/>
    <n v="1500"/>
    <m/>
    <n v="1500"/>
    <m/>
  </r>
  <r>
    <x v="249"/>
    <x v="25"/>
    <x v="7"/>
    <m/>
    <n v="6565"/>
    <m/>
    <n v="6565"/>
    <m/>
  </r>
  <r>
    <x v="260"/>
    <x v="25"/>
    <x v="7"/>
    <m/>
    <n v="4005"/>
    <m/>
    <n v="4005"/>
    <m/>
  </r>
  <r>
    <x v="261"/>
    <x v="25"/>
    <x v="7"/>
    <m/>
    <n v="1832"/>
    <m/>
    <n v="1832"/>
    <m/>
  </r>
  <r>
    <x v="248"/>
    <x v="25"/>
    <x v="7"/>
    <m/>
    <n v="31167"/>
    <m/>
    <n v="31167"/>
    <m/>
  </r>
  <r>
    <x v="260"/>
    <x v="38"/>
    <x v="7"/>
    <m/>
    <n v="818"/>
    <m/>
    <n v="818"/>
    <m/>
  </r>
  <r>
    <x v="255"/>
    <x v="25"/>
    <x v="6"/>
    <n v="487"/>
    <n v="7780"/>
    <m/>
    <n v="7780"/>
    <m/>
  </r>
  <r>
    <x v="262"/>
    <x v="25"/>
    <x v="6"/>
    <n v="500"/>
    <n v="678856"/>
    <m/>
    <n v="678856"/>
    <m/>
  </r>
  <r>
    <x v="263"/>
    <x v="38"/>
    <x v="3"/>
    <n v="163"/>
    <n v="151"/>
    <m/>
    <n v="151"/>
    <m/>
  </r>
  <r>
    <x v="264"/>
    <x v="38"/>
    <x v="3"/>
    <n v="119"/>
    <n v="538"/>
    <m/>
    <n v="538"/>
    <m/>
  </r>
  <r>
    <x v="265"/>
    <x v="39"/>
    <x v="1"/>
    <n v="22"/>
    <n v="1155"/>
    <m/>
    <n v="1155"/>
    <m/>
  </r>
  <r>
    <x v="265"/>
    <x v="21"/>
    <x v="3"/>
    <m/>
    <n v="9369"/>
    <m/>
    <n v="9369"/>
    <m/>
  </r>
  <r>
    <x v="263"/>
    <x v="21"/>
    <x v="7"/>
    <m/>
    <n v="21446"/>
    <m/>
    <n v="21446"/>
    <m/>
  </r>
  <r>
    <x v="266"/>
    <x v="33"/>
    <x v="7"/>
    <m/>
    <n v="1248"/>
    <m/>
    <n v="1248"/>
    <m/>
  </r>
  <r>
    <x v="255"/>
    <x v="38"/>
    <x v="7"/>
    <m/>
    <n v="633"/>
    <m/>
    <n v="633"/>
    <m/>
  </r>
  <r>
    <x v="265"/>
    <x v="25"/>
    <x v="7"/>
    <m/>
    <n v="2268"/>
    <m/>
    <n v="2268"/>
    <m/>
  </r>
  <r>
    <x v="267"/>
    <x v="38"/>
    <x v="5"/>
    <m/>
    <n v="1800"/>
    <m/>
    <n v="1800"/>
    <m/>
  </r>
  <r>
    <x v="268"/>
    <x v="21"/>
    <x v="5"/>
    <m/>
    <n v="22800"/>
    <m/>
    <n v="22800"/>
    <m/>
  </r>
  <r>
    <x v="269"/>
    <x v="21"/>
    <x v="5"/>
    <m/>
    <n v="6000"/>
    <m/>
    <n v="6000"/>
    <m/>
  </r>
  <r>
    <x v="270"/>
    <x v="21"/>
    <x v="5"/>
    <m/>
    <n v="12000"/>
    <m/>
    <n v="12000"/>
    <m/>
  </r>
  <r>
    <x v="270"/>
    <x v="21"/>
    <x v="5"/>
    <m/>
    <n v="19500"/>
    <m/>
    <n v="19500"/>
    <m/>
  </r>
  <r>
    <x v="270"/>
    <x v="21"/>
    <x v="3"/>
    <m/>
    <m/>
    <n v="133589"/>
    <n v="-133589"/>
    <m/>
  </r>
  <r>
    <x v="270"/>
    <x v="38"/>
    <x v="3"/>
    <m/>
    <m/>
    <n v="16411"/>
    <n v="-16411"/>
    <m/>
  </r>
  <r>
    <x v="271"/>
    <x v="25"/>
    <x v="6"/>
    <m/>
    <n v="800"/>
    <m/>
    <n v="800"/>
    <m/>
  </r>
  <r>
    <x v="272"/>
    <x v="0"/>
    <x v="0"/>
    <m/>
    <m/>
    <n v="64276"/>
    <n v="-64276"/>
    <m/>
  </r>
  <r>
    <x v="272"/>
    <x v="32"/>
    <x v="0"/>
    <m/>
    <m/>
    <n v="54420"/>
    <n v="-54420"/>
    <m/>
  </r>
  <r>
    <x v="272"/>
    <x v="28"/>
    <x v="0"/>
    <m/>
    <m/>
    <n v="20020"/>
    <n v="-20020"/>
    <m/>
  </r>
  <r>
    <x v="272"/>
    <x v="21"/>
    <x v="0"/>
    <m/>
    <m/>
    <n v="361284"/>
    <n v="-361284"/>
    <m/>
  </r>
  <r>
    <x v="254"/>
    <x v="21"/>
    <x v="2"/>
    <m/>
    <n v="19094"/>
    <m/>
    <n v="19094"/>
    <m/>
  </r>
  <r>
    <x v="255"/>
    <x v="39"/>
    <x v="2"/>
    <m/>
    <n v="3708"/>
    <m/>
    <n v="3708"/>
    <m/>
  </r>
  <r>
    <x v="273"/>
    <x v="36"/>
    <x v="2"/>
    <m/>
    <n v="1299"/>
    <m/>
    <n v="1299"/>
    <m/>
  </r>
  <r>
    <x v="270"/>
    <x v="39"/>
    <x v="2"/>
    <m/>
    <n v="19361"/>
    <m/>
    <n v="19361"/>
    <m/>
  </r>
  <r>
    <x v="274"/>
    <x v="25"/>
    <x v="6"/>
    <m/>
    <n v="7560"/>
    <m/>
    <n v="7560"/>
    <m/>
  </r>
  <r>
    <x v="275"/>
    <x v="38"/>
    <x v="5"/>
    <m/>
    <n v="4600"/>
    <m/>
    <n v="4600"/>
    <m/>
  </r>
  <r>
    <x v="276"/>
    <x v="38"/>
    <x v="5"/>
    <m/>
    <n v="4600"/>
    <m/>
    <n v="4600"/>
    <m/>
  </r>
  <r>
    <x v="276"/>
    <x v="38"/>
    <x v="3"/>
    <m/>
    <n v="6493"/>
    <m/>
    <n v="6493"/>
    <m/>
  </r>
  <r>
    <x v="277"/>
    <x v="38"/>
    <x v="3"/>
    <m/>
    <n v="257"/>
    <m/>
    <n v="257"/>
    <m/>
  </r>
  <r>
    <x v="278"/>
    <x v="35"/>
    <x v="6"/>
    <m/>
    <n v="92500"/>
    <m/>
    <n v="92500"/>
    <m/>
  </r>
  <r>
    <x v="279"/>
    <x v="38"/>
    <x v="1"/>
    <m/>
    <n v="5740"/>
    <m/>
    <n v="5740"/>
    <m/>
  </r>
  <r>
    <x v="280"/>
    <x v="25"/>
    <x v="7"/>
    <m/>
    <n v="3500"/>
    <m/>
    <n v="3500"/>
    <m/>
  </r>
  <r>
    <x v="280"/>
    <x v="33"/>
    <x v="7"/>
    <m/>
    <n v="3667"/>
    <m/>
    <n v="3667"/>
    <m/>
  </r>
  <r>
    <x v="280"/>
    <x v="38"/>
    <x v="7"/>
    <m/>
    <m/>
    <n v="1451"/>
    <n v="-1451"/>
    <m/>
  </r>
  <r>
    <x v="280"/>
    <x v="34"/>
    <x v="7"/>
    <m/>
    <m/>
    <n v="46965"/>
    <n v="-46965"/>
    <m/>
  </r>
  <r>
    <x v="280"/>
    <x v="33"/>
    <x v="7"/>
    <m/>
    <m/>
    <n v="84129"/>
    <n v="-84129"/>
    <s v="paid thru DIB chq # 01548539 chq amount = 250,000/-"/>
  </r>
  <r>
    <x v="280"/>
    <x v="21"/>
    <x v="7"/>
    <m/>
    <m/>
    <n v="86273"/>
    <n v="-86273"/>
    <m/>
  </r>
  <r>
    <x v="280"/>
    <x v="25"/>
    <x v="7"/>
    <m/>
    <m/>
    <n v="31182"/>
    <n v="-31182"/>
    <m/>
  </r>
  <r>
    <x v="272"/>
    <x v="35"/>
    <x v="2"/>
    <m/>
    <n v="26880"/>
    <m/>
    <n v="26880"/>
    <m/>
  </r>
  <r>
    <x v="281"/>
    <x v="38"/>
    <x v="2"/>
    <m/>
    <n v="5468"/>
    <m/>
    <n v="5468"/>
    <m/>
  </r>
  <r>
    <x v="227"/>
    <x v="31"/>
    <x v="5"/>
    <m/>
    <m/>
    <n v="58764"/>
    <n v="-58764"/>
    <m/>
  </r>
  <r>
    <x v="227"/>
    <x v="35"/>
    <x v="5"/>
    <m/>
    <m/>
    <n v="189836"/>
    <n v="-189836"/>
    <s v="paid thru DIB chq # 01548542 amount 250,000/-"/>
  </r>
  <r>
    <x v="227"/>
    <x v="28"/>
    <x v="5"/>
    <m/>
    <m/>
    <n v="1400"/>
    <n v="-1400"/>
    <m/>
  </r>
  <r>
    <x v="282"/>
    <x v="40"/>
    <x v="3"/>
    <m/>
    <n v="76962"/>
    <m/>
    <n v="76962"/>
    <m/>
  </r>
  <r>
    <x v="283"/>
    <x v="21"/>
    <x v="2"/>
    <m/>
    <n v="15900"/>
    <m/>
    <n v="15900"/>
    <m/>
  </r>
  <r>
    <x v="283"/>
    <x v="25"/>
    <x v="6"/>
    <m/>
    <n v="228899"/>
    <m/>
    <n v="228899"/>
    <m/>
  </r>
  <r>
    <x v="283"/>
    <x v="25"/>
    <x v="6"/>
    <m/>
    <n v="93900"/>
    <m/>
    <n v="93900"/>
    <m/>
  </r>
  <r>
    <x v="283"/>
    <x v="25"/>
    <x v="6"/>
    <m/>
    <n v="102712"/>
    <m/>
    <n v="102712"/>
    <m/>
  </r>
  <r>
    <x v="283"/>
    <x v="25"/>
    <x v="6"/>
    <m/>
    <n v="139328"/>
    <m/>
    <n v="139328"/>
    <m/>
  </r>
  <r>
    <x v="283"/>
    <x v="25"/>
    <x v="6"/>
    <m/>
    <n v="166330"/>
    <m/>
    <n v="166330"/>
    <m/>
  </r>
  <r>
    <x v="284"/>
    <x v="40"/>
    <x v="3"/>
    <m/>
    <n v="1585"/>
    <m/>
    <n v="1585"/>
    <m/>
  </r>
  <r>
    <x v="285"/>
    <x v="40"/>
    <x v="3"/>
    <m/>
    <n v="16532"/>
    <m/>
    <n v="16532"/>
    <m/>
  </r>
  <r>
    <x v="284"/>
    <x v="40"/>
    <x v="3"/>
    <m/>
    <n v="1716"/>
    <m/>
    <n v="1716"/>
    <m/>
  </r>
  <r>
    <x v="286"/>
    <x v="40"/>
    <x v="3"/>
    <m/>
    <n v="1027"/>
    <m/>
    <n v="1027"/>
    <m/>
  </r>
  <r>
    <x v="287"/>
    <x v="40"/>
    <x v="3"/>
    <m/>
    <n v="2045"/>
    <m/>
    <n v="2045"/>
    <m/>
  </r>
  <r>
    <x v="288"/>
    <x v="40"/>
    <x v="3"/>
    <m/>
    <n v="2162"/>
    <m/>
    <n v="2162"/>
    <m/>
  </r>
  <r>
    <x v="289"/>
    <x v="40"/>
    <x v="3"/>
    <m/>
    <n v="16883"/>
    <m/>
    <n v="16883"/>
    <m/>
  </r>
  <r>
    <x v="289"/>
    <x v="40"/>
    <x v="3"/>
    <m/>
    <n v="62676"/>
    <m/>
    <n v="62676"/>
    <m/>
  </r>
  <r>
    <x v="290"/>
    <x v="21"/>
    <x v="3"/>
    <m/>
    <m/>
    <n v="150000"/>
    <n v="-150000"/>
    <s v="paid thru Nasir acc chq # 92805511"/>
  </r>
  <r>
    <x v="284"/>
    <x v="40"/>
    <x v="7"/>
    <m/>
    <n v="11328"/>
    <m/>
    <n v="11328"/>
    <m/>
  </r>
  <r>
    <x v="284"/>
    <x v="33"/>
    <x v="7"/>
    <m/>
    <n v="941"/>
    <m/>
    <n v="941"/>
    <m/>
  </r>
  <r>
    <x v="291"/>
    <x v="33"/>
    <x v="7"/>
    <m/>
    <n v="21812"/>
    <m/>
    <n v="21812"/>
    <m/>
  </r>
  <r>
    <x v="287"/>
    <x v="33"/>
    <x v="7"/>
    <m/>
    <n v="9202"/>
    <m/>
    <n v="9202"/>
    <m/>
  </r>
  <r>
    <x v="287"/>
    <x v="33"/>
    <x v="7"/>
    <m/>
    <n v="94299"/>
    <m/>
    <n v="94299"/>
    <m/>
  </r>
  <r>
    <x v="292"/>
    <x v="6"/>
    <x v="3"/>
    <s v="1158-1718"/>
    <n v="3009"/>
    <m/>
    <n v="3009"/>
    <m/>
  </r>
  <r>
    <x v="288"/>
    <x v="25"/>
    <x v="6"/>
    <m/>
    <n v="155864"/>
    <m/>
    <n v="155864"/>
    <m/>
  </r>
  <r>
    <x v="287"/>
    <x v="0"/>
    <x v="5"/>
    <m/>
    <n v="35900"/>
    <m/>
    <n v="35900"/>
    <m/>
  </r>
  <r>
    <x v="293"/>
    <x v="2"/>
    <x v="2"/>
    <m/>
    <n v="13318"/>
    <m/>
    <n v="13318"/>
    <m/>
  </r>
  <r>
    <x v="294"/>
    <x v="0"/>
    <x v="5"/>
    <m/>
    <n v="20000"/>
    <m/>
    <n v="20000"/>
    <m/>
  </r>
  <r>
    <x v="228"/>
    <x v="25"/>
    <x v="3"/>
    <m/>
    <n v="23830"/>
    <m/>
    <n v="23830"/>
    <m/>
  </r>
  <r>
    <x v="295"/>
    <x v="25"/>
    <x v="6"/>
    <n v="610"/>
    <n v="115400"/>
    <m/>
    <n v="115400"/>
    <m/>
  </r>
  <r>
    <x v="296"/>
    <x v="25"/>
    <x v="6"/>
    <n v="614"/>
    <n v="290940"/>
    <m/>
    <n v="290940"/>
    <m/>
  </r>
  <r>
    <x v="297"/>
    <x v="29"/>
    <x v="3"/>
    <n v="1663"/>
    <n v="3492"/>
    <m/>
    <n v="3492"/>
    <m/>
  </r>
  <r>
    <x v="298"/>
    <x v="25"/>
    <x v="6"/>
    <m/>
    <m/>
    <n v="818500"/>
    <n v="-818500"/>
    <m/>
  </r>
  <r>
    <x v="298"/>
    <x v="26"/>
    <x v="6"/>
    <m/>
    <m/>
    <n v="69000"/>
    <n v="-69000"/>
    <s v="this chq received from ZMV mob adv direct paid to danish intl.  HBL chq # 67158679"/>
  </r>
  <r>
    <x v="298"/>
    <x v="35"/>
    <x v="6"/>
    <m/>
    <m/>
    <n v="92500"/>
    <n v="-92500"/>
    <m/>
  </r>
  <r>
    <x v="299"/>
    <x v="35"/>
    <x v="2"/>
    <m/>
    <m/>
    <n v="26880"/>
    <n v="-26880"/>
    <m/>
  </r>
  <r>
    <x v="299"/>
    <x v="2"/>
    <x v="2"/>
    <m/>
    <m/>
    <n v="15636"/>
    <n v="-15636"/>
    <m/>
  </r>
  <r>
    <x v="299"/>
    <x v="39"/>
    <x v="2"/>
    <m/>
    <m/>
    <n v="90104"/>
    <n v="-90104"/>
    <s v="paid thru DIB chq # 01548605"/>
  </r>
  <r>
    <x v="299"/>
    <x v="36"/>
    <x v="2"/>
    <m/>
    <m/>
    <n v="1299"/>
    <n v="-1299"/>
    <m/>
  </r>
  <r>
    <x v="299"/>
    <x v="38"/>
    <x v="2"/>
    <m/>
    <m/>
    <n v="5468"/>
    <n v="-5468"/>
    <m/>
  </r>
  <r>
    <x v="299"/>
    <x v="21"/>
    <x v="2"/>
    <m/>
    <m/>
    <n v="60613"/>
    <n v="-60613"/>
    <m/>
  </r>
  <r>
    <x v="300"/>
    <x v="0"/>
    <x v="5"/>
    <m/>
    <n v="8900"/>
    <m/>
    <n v="8900"/>
    <m/>
  </r>
  <r>
    <x v="301"/>
    <x v="0"/>
    <x v="5"/>
    <m/>
    <n v="5100"/>
    <m/>
    <n v="5100"/>
    <m/>
  </r>
  <r>
    <x v="302"/>
    <x v="25"/>
    <x v="5"/>
    <m/>
    <n v="42000"/>
    <m/>
    <n v="42000"/>
    <m/>
  </r>
  <r>
    <x v="302"/>
    <x v="25"/>
    <x v="6"/>
    <n v="647"/>
    <n v="33100"/>
    <m/>
    <n v="33100"/>
    <m/>
  </r>
  <r>
    <x v="303"/>
    <x v="25"/>
    <x v="6"/>
    <n v="661"/>
    <n v="26300"/>
    <m/>
    <n v="26300"/>
    <m/>
  </r>
  <r>
    <x v="304"/>
    <x v="25"/>
    <x v="6"/>
    <n v="674"/>
    <n v="336272"/>
    <m/>
    <n v="336272"/>
    <m/>
  </r>
  <r>
    <x v="305"/>
    <x v="25"/>
    <x v="5"/>
    <n v="10271"/>
    <n v="42000"/>
    <m/>
    <n v="42000"/>
    <m/>
  </r>
  <r>
    <x v="304"/>
    <x v="38"/>
    <x v="2"/>
    <n v="323"/>
    <n v="6270"/>
    <m/>
    <n v="6270"/>
    <m/>
  </r>
  <r>
    <x v="306"/>
    <x v="25"/>
    <x v="6"/>
    <n v="719"/>
    <n v="52515"/>
    <m/>
    <n v="52515"/>
    <m/>
  </r>
  <r>
    <x v="307"/>
    <x v="0"/>
    <x v="2"/>
    <m/>
    <n v="12236"/>
    <m/>
    <n v="12236"/>
    <m/>
  </r>
  <r>
    <x v="308"/>
    <x v="2"/>
    <x v="2"/>
    <m/>
    <n v="13642"/>
    <m/>
    <n v="13642"/>
    <m/>
  </r>
  <r>
    <x v="309"/>
    <x v="25"/>
    <x v="3"/>
    <n v="2159"/>
    <n v="407306"/>
    <m/>
    <n v="407306"/>
    <m/>
  </r>
  <r>
    <x v="310"/>
    <x v="25"/>
    <x v="3"/>
    <n v="2233"/>
    <n v="11932"/>
    <m/>
    <n v="11932"/>
    <m/>
  </r>
  <r>
    <x v="311"/>
    <x v="25"/>
    <x v="3"/>
    <m/>
    <m/>
    <n v="300000"/>
    <n v="-300000"/>
    <s v="paid thru dib chq # 01596158"/>
  </r>
  <r>
    <x v="306"/>
    <x v="41"/>
    <x v="5"/>
    <n v="10379"/>
    <n v="61200"/>
    <m/>
    <n v="61200"/>
    <m/>
  </r>
  <r>
    <x v="312"/>
    <x v="41"/>
    <x v="5"/>
    <n v="10391"/>
    <n v="61200"/>
    <m/>
    <n v="61200"/>
    <m/>
  </r>
  <r>
    <x v="313"/>
    <x v="25"/>
    <x v="7"/>
    <m/>
    <n v="5121"/>
    <m/>
    <n v="5121"/>
    <m/>
  </r>
  <r>
    <x v="314"/>
    <x v="42"/>
    <x v="7"/>
    <m/>
    <n v="34567"/>
    <m/>
    <n v="34567"/>
    <m/>
  </r>
  <r>
    <x v="315"/>
    <x v="33"/>
    <x v="7"/>
    <m/>
    <n v="380"/>
    <m/>
    <n v="380"/>
    <m/>
  </r>
  <r>
    <x v="316"/>
    <x v="42"/>
    <x v="7"/>
    <m/>
    <n v="5374"/>
    <m/>
    <n v="5374"/>
    <m/>
  </r>
  <r>
    <x v="317"/>
    <x v="43"/>
    <x v="7"/>
    <m/>
    <n v="26797"/>
    <m/>
    <n v="26797"/>
    <m/>
  </r>
  <r>
    <x v="312"/>
    <x v="43"/>
    <x v="7"/>
    <m/>
    <n v="12976"/>
    <m/>
    <n v="12976"/>
    <m/>
  </r>
  <r>
    <x v="318"/>
    <x v="25"/>
    <x v="6"/>
    <m/>
    <m/>
    <n v="700000"/>
    <n v="-700000"/>
    <s v="paid thru dib chq # 01596185"/>
  </r>
  <r>
    <x v="318"/>
    <x v="41"/>
    <x v="8"/>
    <m/>
    <n v="38432"/>
    <m/>
    <n v="38432"/>
    <m/>
  </r>
  <r>
    <x v="319"/>
    <x v="6"/>
    <x v="3"/>
    <m/>
    <n v="845"/>
    <m/>
    <n v="845"/>
    <m/>
  </r>
  <r>
    <x v="319"/>
    <x v="6"/>
    <x v="3"/>
    <m/>
    <n v="586"/>
    <m/>
    <n v="586"/>
    <m/>
  </r>
  <r>
    <x v="320"/>
    <x v="25"/>
    <x v="7"/>
    <m/>
    <m/>
    <n v="82324"/>
    <n v="-82324"/>
    <m/>
  </r>
  <r>
    <x v="320"/>
    <x v="33"/>
    <x v="7"/>
    <m/>
    <m/>
    <n v="126634"/>
    <n v="-126634"/>
    <m/>
  </r>
  <r>
    <x v="320"/>
    <x v="42"/>
    <x v="7"/>
    <m/>
    <m/>
    <n v="39941"/>
    <n v="-39941"/>
    <s v="paid thru dib chq # 01596170"/>
  </r>
  <r>
    <x v="320"/>
    <x v="40"/>
    <x v="7"/>
    <m/>
    <m/>
    <n v="11328"/>
    <n v="-11328"/>
    <m/>
  </r>
  <r>
    <x v="320"/>
    <x v="43"/>
    <x v="7"/>
    <m/>
    <m/>
    <n v="39773"/>
    <n v="-39773"/>
    <m/>
  </r>
  <r>
    <x v="321"/>
    <x v="25"/>
    <x v="3"/>
    <m/>
    <n v="28217"/>
    <m/>
    <n v="28217"/>
    <m/>
  </r>
  <r>
    <x v="321"/>
    <x v="4"/>
    <x v="3"/>
    <m/>
    <n v="81293"/>
    <m/>
    <n v="81293"/>
    <m/>
  </r>
  <r>
    <x v="320"/>
    <x v="4"/>
    <x v="3"/>
    <m/>
    <n v="6318"/>
    <m/>
    <n v="6318"/>
    <m/>
  </r>
  <r>
    <x v="322"/>
    <x v="4"/>
    <x v="3"/>
    <m/>
    <n v="3749"/>
    <m/>
    <n v="3749"/>
    <m/>
  </r>
  <r>
    <x v="322"/>
    <x v="6"/>
    <x v="3"/>
    <m/>
    <n v="12733"/>
    <m/>
    <n v="12733"/>
    <m/>
  </r>
  <r>
    <x v="318"/>
    <x v="4"/>
    <x v="3"/>
    <m/>
    <n v="6783"/>
    <m/>
    <n v="6783"/>
    <m/>
  </r>
  <r>
    <x v="323"/>
    <x v="44"/>
    <x v="3"/>
    <m/>
    <n v="15415"/>
    <m/>
    <n v="15415"/>
    <m/>
  </r>
  <r>
    <x v="324"/>
    <x v="25"/>
    <x v="3"/>
    <m/>
    <n v="6160"/>
    <m/>
    <n v="6160"/>
    <m/>
  </r>
  <r>
    <x v="325"/>
    <x v="25"/>
    <x v="3"/>
    <m/>
    <n v="12457"/>
    <m/>
    <n v="12457"/>
    <m/>
  </r>
  <r>
    <x v="326"/>
    <x v="25"/>
    <x v="6"/>
    <m/>
    <n v="7505"/>
    <m/>
    <n v="7505"/>
    <m/>
  </r>
  <r>
    <x v="327"/>
    <x v="25"/>
    <x v="6"/>
    <m/>
    <n v="444837"/>
    <m/>
    <n v="444837"/>
    <m/>
  </r>
  <r>
    <x v="320"/>
    <x v="25"/>
    <x v="1"/>
    <m/>
    <n v="115900"/>
    <m/>
    <n v="115900"/>
    <m/>
  </r>
  <r>
    <x v="328"/>
    <x v="25"/>
    <x v="1"/>
    <m/>
    <n v="16427"/>
    <m/>
    <n v="16427"/>
    <m/>
  </r>
  <r>
    <x v="328"/>
    <x v="6"/>
    <x v="1"/>
    <m/>
    <n v="3080"/>
    <m/>
    <n v="3080"/>
    <m/>
  </r>
  <r>
    <x v="328"/>
    <x v="6"/>
    <x v="1"/>
    <m/>
    <n v="2328"/>
    <m/>
    <n v="2328"/>
    <m/>
  </r>
  <r>
    <x v="329"/>
    <x v="25"/>
    <x v="1"/>
    <m/>
    <n v="337127"/>
    <m/>
    <n v="337127"/>
    <m/>
  </r>
  <r>
    <x v="330"/>
    <x v="44"/>
    <x v="3"/>
    <m/>
    <n v="1841"/>
    <m/>
    <n v="1841"/>
    <m/>
  </r>
  <r>
    <x v="331"/>
    <x v="4"/>
    <x v="3"/>
    <m/>
    <n v="7321"/>
    <m/>
    <n v="7321"/>
    <m/>
  </r>
  <r>
    <x v="325"/>
    <x v="4"/>
    <x v="3"/>
    <m/>
    <n v="1575"/>
    <m/>
    <n v="1575"/>
    <m/>
  </r>
  <r>
    <x v="332"/>
    <x v="4"/>
    <x v="3"/>
    <m/>
    <n v="5411"/>
    <m/>
    <n v="5411"/>
    <m/>
  </r>
  <r>
    <x v="326"/>
    <x v="33"/>
    <x v="7"/>
    <m/>
    <n v="1208"/>
    <m/>
    <n v="1208"/>
    <m/>
  </r>
  <r>
    <x v="318"/>
    <x v="33"/>
    <x v="7"/>
    <m/>
    <n v="423"/>
    <m/>
    <n v="423"/>
    <m/>
  </r>
  <r>
    <x v="333"/>
    <x v="25"/>
    <x v="7"/>
    <m/>
    <n v="1064"/>
    <m/>
    <n v="1064"/>
    <m/>
  </r>
  <r>
    <x v="328"/>
    <x v="33"/>
    <x v="7"/>
    <m/>
    <n v="1689"/>
    <m/>
    <n v="1689"/>
    <m/>
  </r>
  <r>
    <x v="323"/>
    <x v="25"/>
    <x v="7"/>
    <m/>
    <n v="4800"/>
    <m/>
    <n v="4800"/>
    <m/>
  </r>
  <r>
    <x v="334"/>
    <x v="0"/>
    <x v="3"/>
    <m/>
    <m/>
    <n v="3797"/>
    <n v="-3797"/>
    <m/>
  </r>
  <r>
    <x v="334"/>
    <x v="6"/>
    <x v="3"/>
    <m/>
    <m/>
    <n v="17173"/>
    <n v="-17173"/>
    <m/>
  </r>
  <r>
    <x v="334"/>
    <x v="29"/>
    <x v="3"/>
    <m/>
    <m/>
    <n v="3492"/>
    <n v="-3492"/>
    <m/>
  </r>
  <r>
    <x v="334"/>
    <x v="44"/>
    <x v="3"/>
    <m/>
    <m/>
    <n v="17256"/>
    <n v="-17256"/>
    <s v="Paid thru DIB Chq # 01629740 amount 200,000"/>
  </r>
  <r>
    <x v="334"/>
    <x v="21"/>
    <x v="3"/>
    <m/>
    <m/>
    <n v="37302"/>
    <n v="-37302"/>
    <m/>
  </r>
  <r>
    <x v="334"/>
    <x v="4"/>
    <x v="3"/>
    <m/>
    <m/>
    <n v="112450"/>
    <n v="-112450"/>
    <m/>
  </r>
  <r>
    <x v="334"/>
    <x v="40"/>
    <x v="3"/>
    <m/>
    <m/>
    <n v="8530"/>
    <n v="-8530"/>
    <m/>
  </r>
  <r>
    <x v="335"/>
    <x v="41"/>
    <x v="5"/>
    <m/>
    <n v="61200"/>
    <m/>
    <n v="61200"/>
    <m/>
  </r>
  <r>
    <x v="336"/>
    <x v="21"/>
    <x v="0"/>
    <m/>
    <m/>
    <n v="200000"/>
    <n v="-200000"/>
    <s v="paid thru DIB chq # 01629744 "/>
  </r>
  <r>
    <x v="337"/>
    <x v="25"/>
    <x v="3"/>
    <m/>
    <n v="2902"/>
    <m/>
    <n v="2902"/>
    <m/>
  </r>
  <r>
    <x v="335"/>
    <x v="25"/>
    <x v="3"/>
    <m/>
    <n v="977"/>
    <m/>
    <n v="977"/>
    <m/>
  </r>
  <r>
    <x v="328"/>
    <x v="25"/>
    <x v="6"/>
    <m/>
    <m/>
    <n v="1000000"/>
    <n v="-1000000"/>
    <s v="paid thru two cheques received from total construction as tabba heart final adhoc payment. Rs 500,000 / each cheque"/>
  </r>
  <r>
    <x v="328"/>
    <x v="38"/>
    <x v="5"/>
    <m/>
    <m/>
    <n v="122968"/>
    <n v="-122968"/>
    <s v="this chq recived from total as tabba heart final adhoc payment direct paid to iqbal sons"/>
  </r>
  <r>
    <x v="328"/>
    <x v="41"/>
    <x v="5"/>
    <m/>
    <m/>
    <n v="183600"/>
    <n v="-183600"/>
    <m/>
  </r>
  <r>
    <x v="328"/>
    <x v="0"/>
    <x v="5"/>
    <m/>
    <m/>
    <n v="69900"/>
    <n v="-69900"/>
    <m/>
  </r>
  <r>
    <x v="328"/>
    <x v="25"/>
    <x v="5"/>
    <m/>
    <m/>
    <n v="84000"/>
    <n v="-84000"/>
    <m/>
  </r>
  <r>
    <x v="328"/>
    <x v="35"/>
    <x v="5"/>
    <m/>
    <m/>
    <n v="35709"/>
    <n v="-35709"/>
    <m/>
  </r>
  <r>
    <x v="328"/>
    <x v="21"/>
    <x v="5"/>
    <m/>
    <m/>
    <n v="3823"/>
    <n v="-3823"/>
    <m/>
  </r>
  <r>
    <x v="338"/>
    <x v="0"/>
    <x v="2"/>
    <m/>
    <m/>
    <n v="100000"/>
    <n v="-100000"/>
    <s v="this chq recived from total as tabba heart final adhoc payment direct paid to islamuddin &amp; sons"/>
  </r>
  <r>
    <x v="338"/>
    <x v="25"/>
    <x v="6"/>
    <m/>
    <n v="250690"/>
    <m/>
    <n v="250690"/>
    <m/>
  </r>
  <r>
    <x v="339"/>
    <x v="25"/>
    <x v="3"/>
    <m/>
    <n v="6207"/>
    <m/>
    <n v="6207"/>
    <m/>
  </r>
  <r>
    <x v="340"/>
    <x v="25"/>
    <x v="6"/>
    <m/>
    <n v="141187"/>
    <m/>
    <n v="141187"/>
    <m/>
  </r>
  <r>
    <x v="340"/>
    <x v="38"/>
    <x v="2"/>
    <m/>
    <m/>
    <n v="6270"/>
    <n v="-6270"/>
    <m/>
  </r>
  <r>
    <x v="340"/>
    <x v="21"/>
    <x v="2"/>
    <m/>
    <m/>
    <n v="58308"/>
    <n v="-58308"/>
    <m/>
  </r>
  <r>
    <x v="340"/>
    <x v="2"/>
    <x v="2"/>
    <m/>
    <m/>
    <n v="13642"/>
    <n v="-13642"/>
    <s v="Paid thru DIB Chq # 01629752"/>
  </r>
  <r>
    <x v="340"/>
    <x v="0"/>
    <x v="2"/>
    <m/>
    <m/>
    <n v="14780"/>
    <n v="-14780"/>
    <m/>
  </r>
  <r>
    <x v="341"/>
    <x v="25"/>
    <x v="1"/>
    <m/>
    <m/>
    <n v="300000"/>
    <n v="-300000"/>
    <s v="this chq recived from total as JPMC 2nd bill payment direct paid to kaytess(chq amount 300,000)"/>
  </r>
  <r>
    <x v="341"/>
    <x v="25"/>
    <x v="3"/>
    <m/>
    <n v="6084"/>
    <m/>
    <n v="6084"/>
    <m/>
  </r>
  <r>
    <x v="341"/>
    <x v="25"/>
    <x v="6"/>
    <m/>
    <m/>
    <n v="500000"/>
    <n v="-500000"/>
    <s v="this chq recived from total as JPMC 2nd bill payment direct paid to Danish Intl (chq amount 500,000)"/>
  </r>
  <r>
    <x v="341"/>
    <x v="21"/>
    <x v="5"/>
    <m/>
    <m/>
    <n v="56477"/>
    <n v="-56477"/>
    <s v="this chq recived from total as JPMC 2nd bill payment direct paid to iqbal sons (chq amount 500,000)"/>
  </r>
  <r>
    <x v="341"/>
    <x v="41"/>
    <x v="5"/>
    <m/>
    <m/>
    <n v="443523"/>
    <n v="-443523"/>
    <m/>
  </r>
  <r>
    <x v="341"/>
    <x v="25"/>
    <x v="7"/>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2"/>
    <x v="33"/>
    <x v="3"/>
    <n v="3544"/>
    <n v="1013"/>
    <m/>
    <n v="1013"/>
    <m/>
  </r>
  <r>
    <x v="343"/>
    <x v="33"/>
    <x v="3"/>
    <n v="3566"/>
    <n v="17530"/>
    <m/>
    <n v="17530"/>
    <m/>
  </r>
  <r>
    <x v="344"/>
    <x v="41"/>
    <x v="0"/>
    <m/>
    <m/>
    <n v="33000"/>
    <n v="-33000"/>
    <s v="paid against LCCD purchased from DARAZ"/>
  </r>
  <r>
    <x v="345"/>
    <x v="25"/>
    <x v="7"/>
    <m/>
    <n v="255741"/>
    <m/>
    <n v="255741"/>
    <m/>
  </r>
  <r>
    <x v="346"/>
    <x v="25"/>
    <x v="7"/>
    <m/>
    <n v="28960"/>
    <m/>
    <n v="28960"/>
    <m/>
  </r>
  <r>
    <x v="347"/>
    <x v="41"/>
    <x v="2"/>
    <m/>
    <n v="581334"/>
    <m/>
    <n v="581334"/>
    <m/>
  </r>
  <r>
    <x v="343"/>
    <x v="4"/>
    <x v="3"/>
    <m/>
    <n v="4558"/>
    <m/>
    <n v="4558"/>
    <m/>
  </r>
  <r>
    <x v="344"/>
    <x v="4"/>
    <x v="3"/>
    <m/>
    <n v="7827"/>
    <m/>
    <n v="7827"/>
    <m/>
  </r>
  <r>
    <x v="348"/>
    <x v="25"/>
    <x v="3"/>
    <m/>
    <n v="417"/>
    <m/>
    <n v="417"/>
    <m/>
  </r>
  <r>
    <x v="349"/>
    <x v="33"/>
    <x v="7"/>
    <m/>
    <n v="5931"/>
    <m/>
    <n v="5931"/>
    <m/>
  </r>
  <r>
    <x v="336"/>
    <x v="33"/>
    <x v="7"/>
    <m/>
    <n v="4612"/>
    <m/>
    <n v="4612"/>
    <m/>
  </r>
  <r>
    <x v="350"/>
    <x v="25"/>
    <x v="7"/>
    <m/>
    <n v="5199"/>
    <m/>
    <n v="5199"/>
    <m/>
  </r>
  <r>
    <x v="351"/>
    <x v="25"/>
    <x v="7"/>
    <m/>
    <n v="60700"/>
    <m/>
    <n v="60700"/>
    <m/>
  </r>
  <r>
    <x v="352"/>
    <x v="25"/>
    <x v="7"/>
    <m/>
    <n v="18807"/>
    <m/>
    <n v="18807"/>
    <m/>
  </r>
  <r>
    <x v="335"/>
    <x v="25"/>
    <x v="7"/>
    <m/>
    <n v="112039"/>
    <m/>
    <n v="112039"/>
    <m/>
  </r>
  <r>
    <x v="353"/>
    <x v="41"/>
    <x v="2"/>
    <m/>
    <m/>
    <n v="250000"/>
    <n v="-250000"/>
    <s v="paid thru DIB chq # 01629806"/>
  </r>
  <r>
    <x v="354"/>
    <x v="4"/>
    <x v="3"/>
    <m/>
    <n v="7442"/>
    <m/>
    <n v="7442"/>
    <m/>
  </r>
  <r>
    <x v="355"/>
    <x v="25"/>
    <x v="3"/>
    <m/>
    <n v="4897"/>
    <m/>
    <n v="4897"/>
    <m/>
  </r>
  <r>
    <x v="356"/>
    <x v="25"/>
    <x v="6"/>
    <m/>
    <n v="98664"/>
    <m/>
    <n v="98664"/>
    <m/>
  </r>
  <r>
    <x v="357"/>
    <x v="4"/>
    <x v="3"/>
    <m/>
    <n v="1073"/>
    <m/>
    <n v="1073"/>
    <m/>
  </r>
  <r>
    <x v="335"/>
    <x v="41"/>
    <x v="5"/>
    <m/>
    <n v="70800"/>
    <m/>
    <n v="70800"/>
    <m/>
  </r>
  <r>
    <x v="336"/>
    <x v="41"/>
    <x v="5"/>
    <m/>
    <n v="61200"/>
    <m/>
    <n v="61200"/>
    <m/>
  </r>
  <r>
    <x v="358"/>
    <x v="41"/>
    <x v="5"/>
    <m/>
    <n v="30600"/>
    <m/>
    <n v="30600"/>
    <m/>
  </r>
  <r>
    <x v="359"/>
    <x v="41"/>
    <x v="5"/>
    <m/>
    <n v="19000"/>
    <m/>
    <n v="19000"/>
    <m/>
  </r>
  <r>
    <x v="340"/>
    <x v="41"/>
    <x v="5"/>
    <m/>
    <n v="61200"/>
    <m/>
    <n v="61200"/>
    <m/>
  </r>
  <r>
    <x v="350"/>
    <x v="41"/>
    <x v="5"/>
    <m/>
    <n v="61200"/>
    <m/>
    <n v="61200"/>
    <m/>
  </r>
  <r>
    <x v="341"/>
    <x v="41"/>
    <x v="5"/>
    <m/>
    <n v="88860"/>
    <m/>
    <n v="88860"/>
    <m/>
  </r>
  <r>
    <x v="342"/>
    <x v="41"/>
    <x v="5"/>
    <m/>
    <n v="61200"/>
    <m/>
    <n v="61200"/>
    <m/>
  </r>
  <r>
    <x v="345"/>
    <x v="41"/>
    <x v="5"/>
    <m/>
    <n v="30000"/>
    <m/>
    <n v="30000"/>
    <m/>
  </r>
  <r>
    <x v="346"/>
    <x v="41"/>
    <x v="5"/>
    <m/>
    <n v="30000"/>
    <m/>
    <n v="30000"/>
    <m/>
  </r>
  <r>
    <x v="360"/>
    <x v="41"/>
    <x v="5"/>
    <m/>
    <n v="76500"/>
    <m/>
    <n v="76500"/>
    <m/>
  </r>
  <r>
    <x v="361"/>
    <x v="41"/>
    <x v="5"/>
    <m/>
    <n v="91200"/>
    <m/>
    <n v="91200"/>
    <m/>
  </r>
  <r>
    <x v="361"/>
    <x v="41"/>
    <x v="5"/>
    <m/>
    <n v="6000"/>
    <m/>
    <n v="6000"/>
    <m/>
  </r>
  <r>
    <x v="362"/>
    <x v="41"/>
    <x v="5"/>
    <m/>
    <n v="24000"/>
    <m/>
    <n v="24000"/>
    <m/>
  </r>
  <r>
    <x v="356"/>
    <x v="41"/>
    <x v="5"/>
    <m/>
    <n v="61200"/>
    <m/>
    <n v="61200"/>
    <m/>
  </r>
  <r>
    <x v="357"/>
    <x v="41"/>
    <x v="5"/>
    <m/>
    <n v="94500"/>
    <m/>
    <n v="94500"/>
    <m/>
  </r>
  <r>
    <x v="363"/>
    <x v="41"/>
    <x v="5"/>
    <m/>
    <n v="24000"/>
    <m/>
    <n v="24000"/>
    <m/>
  </r>
  <r>
    <x v="353"/>
    <x v="41"/>
    <x v="5"/>
    <m/>
    <n v="68050"/>
    <m/>
    <n v="68050"/>
    <m/>
  </r>
  <r>
    <x v="364"/>
    <x v="41"/>
    <x v="5"/>
    <m/>
    <n v="12000"/>
    <m/>
    <n v="12000"/>
    <m/>
  </r>
  <r>
    <x v="365"/>
    <x v="41"/>
    <x v="5"/>
    <m/>
    <n v="18000"/>
    <m/>
    <n v="18000"/>
    <m/>
  </r>
  <r>
    <x v="366"/>
    <x v="25"/>
    <x v="6"/>
    <m/>
    <n v="446088"/>
    <m/>
    <n v="446088"/>
    <m/>
  </r>
  <r>
    <x v="367"/>
    <x v="41"/>
    <x v="5"/>
    <m/>
    <n v="12000"/>
    <m/>
    <n v="12000"/>
    <m/>
  </r>
  <r>
    <x v="366"/>
    <x v="41"/>
    <x v="5"/>
    <n v="15525"/>
    <n v="26000"/>
    <m/>
    <n v="26000"/>
    <m/>
  </r>
  <r>
    <x v="368"/>
    <x v="41"/>
    <x v="5"/>
    <n v="15529"/>
    <n v="80700"/>
    <m/>
    <n v="80700"/>
    <m/>
  </r>
  <r>
    <x v="369"/>
    <x v="41"/>
    <x v="5"/>
    <n v="15543"/>
    <n v="80700"/>
    <m/>
    <n v="80700"/>
    <m/>
  </r>
  <r>
    <x v="370"/>
    <x v="41"/>
    <x v="5"/>
    <n v="11110"/>
    <n v="66300"/>
    <m/>
    <n v="66300"/>
    <m/>
  </r>
  <r>
    <x v="365"/>
    <x v="25"/>
    <x v="3"/>
    <m/>
    <n v="8101"/>
    <m/>
    <n v="8101"/>
    <m/>
  </r>
  <r>
    <x v="365"/>
    <x v="41"/>
    <x v="2"/>
    <m/>
    <n v="285024"/>
    <m/>
    <n v="285024"/>
    <m/>
  </r>
  <r>
    <x v="371"/>
    <x v="33"/>
    <x v="7"/>
    <m/>
    <n v="3600"/>
    <m/>
    <n v="3600"/>
    <m/>
  </r>
  <r>
    <x v="371"/>
    <x v="44"/>
    <x v="7"/>
    <m/>
    <n v="25322"/>
    <m/>
    <n v="25322"/>
    <m/>
  </r>
  <r>
    <x v="308"/>
    <x v="42"/>
    <x v="7"/>
    <m/>
    <n v="6600"/>
    <m/>
    <n v="6600"/>
    <m/>
  </r>
  <r>
    <x v="308"/>
    <x v="33"/>
    <x v="7"/>
    <m/>
    <n v="1726"/>
    <m/>
    <n v="1726"/>
    <m/>
  </r>
  <r>
    <x v="301"/>
    <x v="25"/>
    <x v="7"/>
    <m/>
    <n v="4800"/>
    <m/>
    <n v="4800"/>
    <m/>
  </r>
  <r>
    <x v="348"/>
    <x v="33"/>
    <x v="7"/>
    <m/>
    <n v="2070"/>
    <m/>
    <n v="2070"/>
    <m/>
  </r>
  <r>
    <x v="348"/>
    <x v="33"/>
    <x v="7"/>
    <m/>
    <n v="4387"/>
    <m/>
    <n v="4387"/>
    <m/>
  </r>
  <r>
    <x v="372"/>
    <x v="33"/>
    <x v="7"/>
    <m/>
    <n v="365"/>
    <m/>
    <n v="365"/>
    <m/>
  </r>
  <r>
    <x v="355"/>
    <x v="40"/>
    <x v="7"/>
    <m/>
    <n v="1538"/>
    <m/>
    <n v="1538"/>
    <m/>
  </r>
  <r>
    <x v="364"/>
    <x v="25"/>
    <x v="7"/>
    <m/>
    <n v="27507"/>
    <m/>
    <n v="27507"/>
    <m/>
  </r>
  <r>
    <x v="373"/>
    <x v="33"/>
    <x v="7"/>
    <m/>
    <n v="2196"/>
    <m/>
    <n v="2196"/>
    <m/>
  </r>
  <r>
    <x v="373"/>
    <x v="25"/>
    <x v="7"/>
    <m/>
    <n v="64290"/>
    <m/>
    <n v="64290"/>
    <m/>
  </r>
  <r>
    <x v="374"/>
    <x v="41"/>
    <x v="5"/>
    <m/>
    <n v="61200"/>
    <m/>
    <n v="61200"/>
    <m/>
  </r>
  <r>
    <x v="374"/>
    <x v="41"/>
    <x v="5"/>
    <m/>
    <n v="66800"/>
    <m/>
    <n v="66800"/>
    <m/>
  </r>
  <r>
    <x v="374"/>
    <x v="41"/>
    <x v="5"/>
    <m/>
    <n v="26000"/>
    <m/>
    <n v="26000"/>
    <m/>
  </r>
  <r>
    <x v="374"/>
    <x v="41"/>
    <x v="5"/>
    <m/>
    <n v="67700"/>
    <m/>
    <n v="67700"/>
    <m/>
  </r>
  <r>
    <x v="374"/>
    <x v="41"/>
    <x v="5"/>
    <m/>
    <n v="6500"/>
    <m/>
    <n v="6500"/>
    <m/>
  </r>
  <r>
    <x v="374"/>
    <x v="41"/>
    <x v="5"/>
    <m/>
    <n v="61200"/>
    <m/>
    <n v="61200"/>
    <m/>
  </r>
  <r>
    <x v="374"/>
    <x v="25"/>
    <x v="5"/>
    <m/>
    <n v="51000"/>
    <m/>
    <n v="51000"/>
    <m/>
  </r>
  <r>
    <x v="374"/>
    <x v="25"/>
    <x v="5"/>
    <m/>
    <n v="18000"/>
    <m/>
    <n v="18000"/>
    <m/>
  </r>
  <r>
    <x v="374"/>
    <x v="41"/>
    <x v="5"/>
    <m/>
    <n v="13000"/>
    <m/>
    <n v="13000"/>
    <m/>
  </r>
  <r>
    <x v="374"/>
    <x v="41"/>
    <x v="5"/>
    <m/>
    <n v="30400"/>
    <m/>
    <n v="30400"/>
    <m/>
  </r>
  <r>
    <x v="374"/>
    <x v="41"/>
    <x v="5"/>
    <m/>
    <n v="31400"/>
    <m/>
    <n v="31400"/>
    <m/>
  </r>
  <r>
    <x v="374"/>
    <x v="41"/>
    <x v="5"/>
    <m/>
    <n v="35800"/>
    <m/>
    <n v="35800"/>
    <m/>
  </r>
  <r>
    <x v="374"/>
    <x v="41"/>
    <x v="5"/>
    <m/>
    <n v="61200"/>
    <m/>
    <n v="61200"/>
    <m/>
  </r>
  <r>
    <x v="374"/>
    <x v="25"/>
    <x v="5"/>
    <m/>
    <n v="61200"/>
    <m/>
    <n v="61200"/>
    <m/>
  </r>
  <r>
    <x v="374"/>
    <x v="41"/>
    <x v="5"/>
    <m/>
    <n v="61200"/>
    <m/>
    <n v="61200"/>
    <m/>
  </r>
  <r>
    <x v="374"/>
    <x v="41"/>
    <x v="5"/>
    <m/>
    <n v="17690"/>
    <m/>
    <n v="17690"/>
    <m/>
  </r>
  <r>
    <x v="374"/>
    <x v="41"/>
    <x v="5"/>
    <m/>
    <m/>
    <n v="500000"/>
    <n v="-500000"/>
    <s v="DIB chq # 01670742"/>
  </r>
  <r>
    <x v="374"/>
    <x v="41"/>
    <x v="5"/>
    <m/>
    <m/>
    <n v="500000"/>
    <n v="-500000"/>
    <s v="DIB chq # 01670743"/>
  </r>
  <r>
    <x v="375"/>
    <x v="41"/>
    <x v="2"/>
    <m/>
    <n v="79878"/>
    <m/>
    <n v="79878"/>
    <m/>
  </r>
  <r>
    <x v="375"/>
    <x v="41"/>
    <x v="2"/>
    <m/>
    <n v="187041"/>
    <m/>
    <n v="187041"/>
    <m/>
  </r>
  <r>
    <x v="376"/>
    <x v="25"/>
    <x v="3"/>
    <m/>
    <n v="8641"/>
    <m/>
    <n v="8641"/>
    <m/>
  </r>
  <r>
    <x v="377"/>
    <x v="41"/>
    <x v="3"/>
    <m/>
    <n v="27172"/>
    <m/>
    <n v="27172"/>
    <m/>
  </r>
  <r>
    <x v="378"/>
    <x v="40"/>
    <x v="3"/>
    <m/>
    <m/>
    <n v="173058"/>
    <n v="-173058"/>
    <m/>
  </r>
  <r>
    <x v="378"/>
    <x v="4"/>
    <x v="3"/>
    <m/>
    <m/>
    <n v="20900"/>
    <n v="-20900"/>
    <s v="paid thru DIB chq # 01670750"/>
  </r>
  <r>
    <x v="378"/>
    <x v="33"/>
    <x v="3"/>
    <m/>
    <m/>
    <n v="6042"/>
    <n v="-6042"/>
    <m/>
  </r>
  <r>
    <x v="378"/>
    <x v="41"/>
    <x v="2"/>
    <m/>
    <m/>
    <n v="300000"/>
    <n v="-300000"/>
    <s v="paid thru DIB chq # 01670751"/>
  </r>
  <r>
    <x v="379"/>
    <x v="33"/>
    <x v="7"/>
    <m/>
    <n v="193"/>
    <m/>
    <n v="193"/>
    <m/>
  </r>
  <r>
    <x v="380"/>
    <x v="33"/>
    <x v="7"/>
    <m/>
    <n v="11425"/>
    <m/>
    <n v="11425"/>
    <m/>
  </r>
  <r>
    <x v="381"/>
    <x v="33"/>
    <x v="7"/>
    <m/>
    <n v="2880"/>
    <m/>
    <n v="2880"/>
    <m/>
  </r>
  <r>
    <x v="375"/>
    <x v="33"/>
    <x v="7"/>
    <m/>
    <n v="2221"/>
    <m/>
    <n v="2221"/>
    <m/>
  </r>
  <r>
    <x v="382"/>
    <x v="28"/>
    <x v="7"/>
    <m/>
    <n v="24159"/>
    <m/>
    <n v="24159"/>
    <m/>
  </r>
  <r>
    <x v="382"/>
    <x v="25"/>
    <x v="7"/>
    <m/>
    <n v="4800"/>
    <m/>
    <n v="4800"/>
    <m/>
  </r>
  <r>
    <x v="383"/>
    <x v="25"/>
    <x v="7"/>
    <m/>
    <n v="26730"/>
    <m/>
    <n v="26730"/>
    <m/>
  </r>
  <r>
    <x v="383"/>
    <x v="25"/>
    <x v="7"/>
    <m/>
    <n v="56820"/>
    <m/>
    <n v="56820"/>
    <m/>
  </r>
  <r>
    <x v="377"/>
    <x v="41"/>
    <x v="5"/>
    <m/>
    <n v="61200"/>
    <m/>
    <n v="61200"/>
    <m/>
  </r>
  <r>
    <x v="375"/>
    <x v="25"/>
    <x v="6"/>
    <m/>
    <n v="118995"/>
    <m/>
    <n v="118995"/>
    <m/>
  </r>
  <r>
    <x v="377"/>
    <x v="41"/>
    <x v="1"/>
    <m/>
    <n v="9950"/>
    <m/>
    <n v="9950"/>
    <m/>
  </r>
  <r>
    <x v="384"/>
    <x v="25"/>
    <x v="1"/>
    <m/>
    <n v="2630"/>
    <m/>
    <n v="2630"/>
    <m/>
  </r>
  <r>
    <x v="385"/>
    <x v="25"/>
    <x v="6"/>
    <m/>
    <m/>
    <n v="949145"/>
    <n v="-949145"/>
    <s v="this chq received from Total constr direct paid to danish intl. Meezan chq # 10874205"/>
  </r>
  <r>
    <x v="386"/>
    <x v="25"/>
    <x v="1"/>
    <m/>
    <n v="4595"/>
    <m/>
    <n v="4595"/>
    <m/>
  </r>
  <r>
    <x v="387"/>
    <x v="41"/>
    <x v="5"/>
    <m/>
    <n v="18720"/>
    <m/>
    <n v="18720"/>
    <m/>
  </r>
  <r>
    <x v="384"/>
    <x v="41"/>
    <x v="5"/>
    <m/>
    <n v="51000"/>
    <m/>
    <n v="51000"/>
    <m/>
  </r>
  <r>
    <x v="388"/>
    <x v="25"/>
    <x v="5"/>
    <m/>
    <n v="61200"/>
    <m/>
    <n v="61200"/>
    <m/>
  </r>
  <r>
    <x v="389"/>
    <x v="45"/>
    <x v="3"/>
    <m/>
    <n v="3245"/>
    <m/>
    <n v="3245"/>
    <m/>
  </r>
  <r>
    <x v="384"/>
    <x v="41"/>
    <x v="2"/>
    <m/>
    <n v="25575"/>
    <m/>
    <n v="25575"/>
    <m/>
  </r>
  <r>
    <x v="388"/>
    <x v="41"/>
    <x v="5"/>
    <m/>
    <n v="13630"/>
    <m/>
    <n v="13630"/>
    <m/>
  </r>
  <r>
    <x v="389"/>
    <x v="25"/>
    <x v="5"/>
    <m/>
    <n v="61200"/>
    <m/>
    <n v="61200"/>
    <m/>
  </r>
  <r>
    <x v="390"/>
    <x v="41"/>
    <x v="5"/>
    <m/>
    <n v="54700"/>
    <m/>
    <n v="54700"/>
    <m/>
  </r>
  <r>
    <x v="390"/>
    <x v="25"/>
    <x v="5"/>
    <m/>
    <n v="61200"/>
    <m/>
    <n v="61200"/>
    <m/>
  </r>
  <r>
    <x v="390"/>
    <x v="25"/>
    <x v="5"/>
    <m/>
    <n v="89682"/>
    <m/>
    <n v="89682"/>
    <m/>
  </r>
  <r>
    <x v="391"/>
    <x v="25"/>
    <x v="3"/>
    <m/>
    <n v="5107"/>
    <m/>
    <n v="5107"/>
    <m/>
  </r>
  <r>
    <x v="392"/>
    <x v="25"/>
    <x v="1"/>
    <m/>
    <n v="92266"/>
    <m/>
    <n v="92266"/>
    <m/>
  </r>
  <r>
    <x v="393"/>
    <x v="41"/>
    <x v="1"/>
    <m/>
    <n v="9100"/>
    <m/>
    <n v="9100"/>
    <m/>
  </r>
  <r>
    <x v="394"/>
    <x v="25"/>
    <x v="5"/>
    <m/>
    <n v="61200"/>
    <m/>
    <n v="61200"/>
    <m/>
  </r>
  <r>
    <x v="394"/>
    <x v="41"/>
    <x v="5"/>
    <m/>
    <n v="61200"/>
    <m/>
    <n v="61200"/>
    <m/>
  </r>
  <r>
    <x v="395"/>
    <x v="25"/>
    <x v="3"/>
    <m/>
    <n v="8995"/>
    <m/>
    <n v="8995"/>
    <m/>
  </r>
  <r>
    <x v="395"/>
    <x v="28"/>
    <x v="7"/>
    <m/>
    <n v="7950"/>
    <m/>
    <n v="7950"/>
    <m/>
  </r>
  <r>
    <x v="395"/>
    <x v="25"/>
    <x v="7"/>
    <m/>
    <n v="3575"/>
    <m/>
    <n v="3575"/>
    <m/>
  </r>
  <r>
    <x v="395"/>
    <x v="25"/>
    <x v="7"/>
    <m/>
    <n v="2464"/>
    <m/>
    <n v="2464"/>
    <m/>
  </r>
  <r>
    <x v="395"/>
    <x v="25"/>
    <x v="7"/>
    <m/>
    <n v="1800"/>
    <m/>
    <n v="1800"/>
    <m/>
  </r>
  <r>
    <x v="395"/>
    <x v="25"/>
    <x v="7"/>
    <m/>
    <n v="2156"/>
    <m/>
    <n v="2156"/>
    <m/>
  </r>
  <r>
    <x v="396"/>
    <x v="40"/>
    <x v="7"/>
    <m/>
    <m/>
    <n v="1538"/>
    <n v="-1538"/>
    <m/>
  </r>
  <r>
    <x v="396"/>
    <x v="28"/>
    <x v="7"/>
    <m/>
    <m/>
    <n v="32109"/>
    <n v="-32109"/>
    <m/>
  </r>
  <r>
    <x v="396"/>
    <x v="42"/>
    <x v="7"/>
    <m/>
    <m/>
    <n v="6600"/>
    <n v="-6600"/>
    <s v="paid thru DIB chq # 01729993 Rs 150,000 on 05-05-18"/>
  </r>
  <r>
    <x v="396"/>
    <x v="33"/>
    <x v="7"/>
    <m/>
    <m/>
    <n v="44926"/>
    <n v="-44926"/>
    <m/>
  </r>
  <r>
    <x v="396"/>
    <x v="44"/>
    <x v="7"/>
    <m/>
    <m/>
    <n v="25322"/>
    <n v="-25322"/>
    <m/>
  </r>
  <r>
    <x v="396"/>
    <x v="25"/>
    <x v="7"/>
    <m/>
    <m/>
    <n v="39505"/>
    <n v="-39505"/>
    <m/>
  </r>
  <r>
    <x v="396"/>
    <x v="38"/>
    <x v="1"/>
    <m/>
    <m/>
    <n v="5740"/>
    <n v="-5740"/>
    <m/>
  </r>
  <r>
    <x v="396"/>
    <x v="41"/>
    <x v="1"/>
    <m/>
    <m/>
    <n v="19050"/>
    <n v="-19050"/>
    <m/>
  </r>
  <r>
    <x v="396"/>
    <x v="0"/>
    <x v="1"/>
    <m/>
    <m/>
    <n v="13321"/>
    <n v="-13321"/>
    <s v="paid thru DIB chq # 01729991 Rs 150,000 on 05-05-18"/>
  </r>
  <r>
    <x v="396"/>
    <x v="6"/>
    <x v="1"/>
    <m/>
    <m/>
    <n v="5408"/>
    <n v="-5408"/>
    <m/>
  </r>
  <r>
    <x v="396"/>
    <x v="39"/>
    <x v="1"/>
    <m/>
    <m/>
    <n v="1155"/>
    <n v="-1155"/>
    <m/>
  </r>
  <r>
    <x v="396"/>
    <x v="25"/>
    <x v="1"/>
    <m/>
    <m/>
    <n v="105326"/>
    <n v="-105326"/>
    <m/>
  </r>
  <r>
    <x v="396"/>
    <x v="33"/>
    <x v="3"/>
    <m/>
    <m/>
    <n v="12501"/>
    <n v="-12501"/>
    <m/>
  </r>
  <r>
    <x v="396"/>
    <x v="45"/>
    <x v="3"/>
    <m/>
    <m/>
    <n v="3245"/>
    <n v="-3245"/>
    <s v="paid thru DIB chq # 01729992 Rs 150,000 on 05-05-18"/>
  </r>
  <r>
    <x v="396"/>
    <x v="41"/>
    <x v="3"/>
    <m/>
    <m/>
    <n v="27172"/>
    <n v="-27172"/>
    <m/>
  </r>
  <r>
    <x v="396"/>
    <x v="25"/>
    <x v="3"/>
    <m/>
    <m/>
    <n v="107082"/>
    <n v="-107082"/>
    <m/>
  </r>
  <r>
    <x v="396"/>
    <x v="25"/>
    <x v="1"/>
    <m/>
    <n v="83384"/>
    <m/>
    <n v="83384"/>
    <m/>
  </r>
  <r>
    <x v="397"/>
    <x v="41"/>
    <x v="1"/>
    <m/>
    <n v="51595"/>
    <m/>
    <n v="51595"/>
    <m/>
  </r>
  <r>
    <x v="397"/>
    <x v="45"/>
    <x v="3"/>
    <m/>
    <n v="900"/>
    <m/>
    <n v="900"/>
    <m/>
  </r>
  <r>
    <x v="397"/>
    <x v="41"/>
    <x v="5"/>
    <m/>
    <n v="30400"/>
    <m/>
    <n v="30400"/>
    <m/>
  </r>
  <r>
    <x v="398"/>
    <x v="41"/>
    <x v="5"/>
    <m/>
    <n v="8900"/>
    <m/>
    <n v="8900"/>
    <m/>
  </r>
  <r>
    <x v="398"/>
    <x v="41"/>
    <x v="5"/>
    <m/>
    <n v="25400"/>
    <m/>
    <n v="25400"/>
    <m/>
  </r>
  <r>
    <x v="399"/>
    <x v="41"/>
    <x v="5"/>
    <m/>
    <n v="16200"/>
    <m/>
    <n v="16200"/>
    <m/>
  </r>
  <r>
    <x v="399"/>
    <x v="41"/>
    <x v="5"/>
    <m/>
    <n v="43110"/>
    <m/>
    <n v="43110"/>
    <m/>
  </r>
  <r>
    <x v="399"/>
    <x v="41"/>
    <x v="5"/>
    <m/>
    <n v="16146"/>
    <m/>
    <n v="16146"/>
    <m/>
  </r>
  <r>
    <x v="399"/>
    <x v="41"/>
    <x v="5"/>
    <m/>
    <n v="107658"/>
    <m/>
    <n v="107658"/>
    <m/>
  </r>
  <r>
    <x v="400"/>
    <x v="41"/>
    <x v="5"/>
    <m/>
    <m/>
    <n v="500000"/>
    <n v="-500000"/>
    <s v="received against IPC 29 bill (received full payment) this chq direct paid to iqbal sons"/>
  </r>
  <r>
    <x v="400"/>
    <x v="25"/>
    <x v="6"/>
    <m/>
    <m/>
    <n v="500000"/>
    <n v="-500000"/>
    <s v="received against IPC 29 bill (received full payment) this chq direct paid to danish international"/>
  </r>
  <r>
    <x v="401"/>
    <x v="41"/>
    <x v="2"/>
    <m/>
    <n v="48233"/>
    <m/>
    <n v="48233"/>
    <m/>
  </r>
  <r>
    <x v="402"/>
    <x v="41"/>
    <x v="2"/>
    <m/>
    <n v="491814"/>
    <m/>
    <n v="491814"/>
    <m/>
  </r>
  <r>
    <x v="403"/>
    <x v="41"/>
    <x v="5"/>
    <m/>
    <n v="69780"/>
    <m/>
    <n v="69780"/>
    <m/>
  </r>
  <r>
    <x v="404"/>
    <x v="46"/>
    <x v="7"/>
    <m/>
    <n v="4157"/>
    <m/>
    <n v="4157"/>
    <m/>
  </r>
  <r>
    <x v="404"/>
    <x v="46"/>
    <x v="7"/>
    <m/>
    <n v="121725"/>
    <m/>
    <n v="121725"/>
    <m/>
  </r>
  <r>
    <x v="404"/>
    <x v="25"/>
    <x v="7"/>
    <m/>
    <n v="2400"/>
    <m/>
    <n v="2400"/>
    <m/>
  </r>
  <r>
    <x v="404"/>
    <x v="25"/>
    <x v="7"/>
    <m/>
    <n v="604"/>
    <m/>
    <n v="604"/>
    <m/>
  </r>
  <r>
    <x v="404"/>
    <x v="41"/>
    <x v="0"/>
    <m/>
    <n v="53120"/>
    <m/>
    <n v="53120"/>
    <m/>
  </r>
  <r>
    <x v="404"/>
    <x v="41"/>
    <x v="0"/>
    <m/>
    <n v="4800"/>
    <m/>
    <n v="4800"/>
    <m/>
  </r>
  <r>
    <x v="404"/>
    <x v="41"/>
    <x v="0"/>
    <m/>
    <n v="137800"/>
    <m/>
    <n v="137800"/>
    <m/>
  </r>
  <r>
    <x v="405"/>
    <x v="25"/>
    <x v="3"/>
    <m/>
    <m/>
    <n v="100000"/>
    <n v="-100000"/>
    <s v="paid this payment by bilal bhai thru his personal chq"/>
  </r>
  <r>
    <x v="374"/>
    <x v="5"/>
    <x v="4"/>
    <m/>
    <m/>
    <m/>
    <m/>
    <m/>
  </r>
  <r>
    <x v="405"/>
    <x v="25"/>
    <x v="1"/>
    <m/>
    <m/>
    <n v="150000"/>
    <n v="-150000"/>
    <s v="paid thru DIB chq # 01751959"/>
  </r>
  <r>
    <x v="405"/>
    <x v="25"/>
    <x v="7"/>
    <m/>
    <m/>
    <n v="200000"/>
    <n v="-200000"/>
    <s v="paid thru DIB chq # 01751961"/>
  </r>
  <r>
    <x v="405"/>
    <x v="41"/>
    <x v="0"/>
    <m/>
    <n v="73420"/>
    <m/>
    <n v="73420"/>
    <m/>
  </r>
  <r>
    <x v="405"/>
    <x v="47"/>
    <x v="0"/>
    <m/>
    <n v="25920"/>
    <m/>
    <n v="25920"/>
    <m/>
  </r>
  <r>
    <x v="405"/>
    <x v="41"/>
    <x v="0"/>
    <m/>
    <n v="41660"/>
    <m/>
    <n v="41660"/>
    <m/>
  </r>
  <r>
    <x v="405"/>
    <x v="41"/>
    <x v="0"/>
    <m/>
    <n v="43800"/>
    <m/>
    <n v="43800"/>
    <m/>
  </r>
  <r>
    <x v="406"/>
    <x v="41"/>
    <x v="0"/>
    <m/>
    <n v="22830"/>
    <m/>
    <n v="22830"/>
    <m/>
  </r>
  <r>
    <x v="407"/>
    <x v="25"/>
    <x v="6"/>
    <m/>
    <n v="35380"/>
    <m/>
    <n v="35380"/>
    <m/>
  </r>
  <r>
    <x v="408"/>
    <x v="0"/>
    <x v="3"/>
    <m/>
    <n v="1064"/>
    <m/>
    <n v="1064"/>
    <m/>
  </r>
  <r>
    <x v="409"/>
    <x v="41"/>
    <x v="0"/>
    <m/>
    <m/>
    <n v="250000"/>
    <n v="-250000"/>
    <s v="paid thru DIB chq # 01751977"/>
  </r>
  <r>
    <x v="410"/>
    <x v="41"/>
    <x v="1"/>
    <m/>
    <n v="1770"/>
    <m/>
    <n v="1770"/>
    <m/>
  </r>
  <r>
    <x v="410"/>
    <x v="25"/>
    <x v="6"/>
    <m/>
    <n v="321208"/>
    <m/>
    <n v="321208"/>
    <m/>
  </r>
  <r>
    <x v="410"/>
    <x v="25"/>
    <x v="6"/>
    <m/>
    <n v="6808"/>
    <m/>
    <n v="6808"/>
    <m/>
  </r>
  <r>
    <x v="410"/>
    <x v="0"/>
    <x v="3"/>
    <m/>
    <n v="679"/>
    <m/>
    <n v="679"/>
    <m/>
  </r>
  <r>
    <x v="411"/>
    <x v="41"/>
    <x v="2"/>
    <m/>
    <m/>
    <n v="300000"/>
    <n v="-300000"/>
    <s v="this chq received from hardees nueplex direct paid to islamuddin"/>
  </r>
  <r>
    <x v="412"/>
    <x v="41"/>
    <x v="5"/>
    <m/>
    <m/>
    <n v="350000"/>
    <n v="-350000"/>
    <s v="this chq received from total constrcution as jpmc Ipc 30 payment direct paid to iqbalsons chq amount 700,000"/>
  </r>
  <r>
    <x v="412"/>
    <x v="25"/>
    <x v="5"/>
    <m/>
    <m/>
    <n v="350000"/>
    <n v="-350000"/>
    <m/>
  </r>
  <r>
    <x v="413"/>
    <x v="25"/>
    <x v="6"/>
    <m/>
    <n v="395408"/>
    <m/>
    <n v="395408"/>
    <m/>
  </r>
  <r>
    <x v="413"/>
    <x v="46"/>
    <x v="7"/>
    <m/>
    <n v="71751"/>
    <m/>
    <n v="71751"/>
    <m/>
  </r>
  <r>
    <x v="413"/>
    <x v="46"/>
    <x v="7"/>
    <m/>
    <n v="33292"/>
    <m/>
    <n v="33292"/>
    <m/>
  </r>
  <r>
    <x v="413"/>
    <x v="46"/>
    <x v="7"/>
    <m/>
    <n v="592361"/>
    <m/>
    <n v="592361"/>
    <m/>
  </r>
  <r>
    <x v="413"/>
    <x v="25"/>
    <x v="7"/>
    <m/>
    <n v="8095"/>
    <m/>
    <n v="8095"/>
    <m/>
  </r>
  <r>
    <x v="413"/>
    <x v="25"/>
    <x v="7"/>
    <m/>
    <n v="3296"/>
    <m/>
    <n v="3296"/>
    <m/>
  </r>
  <r>
    <x v="413"/>
    <x v="41"/>
    <x v="5"/>
    <m/>
    <n v="8000"/>
    <m/>
    <n v="8000"/>
    <m/>
  </r>
  <r>
    <x v="413"/>
    <x v="41"/>
    <x v="5"/>
    <m/>
    <n v="9100"/>
    <m/>
    <n v="9100"/>
    <m/>
  </r>
  <r>
    <x v="413"/>
    <x v="41"/>
    <x v="5"/>
    <m/>
    <n v="9000"/>
    <m/>
    <n v="9000"/>
    <m/>
  </r>
  <r>
    <x v="413"/>
    <x v="41"/>
    <x v="5"/>
    <m/>
    <n v="4450"/>
    <m/>
    <n v="4450"/>
    <m/>
  </r>
  <r>
    <x v="413"/>
    <x v="25"/>
    <x v="5"/>
    <m/>
    <n v="110000"/>
    <m/>
    <n v="110000"/>
    <m/>
  </r>
  <r>
    <x v="414"/>
    <x v="46"/>
    <x v="7"/>
    <m/>
    <m/>
    <n v="1470000"/>
    <n v="-1470000"/>
    <s v="This chq rec from Total asJPMC IPC 31 balance payment direct paid to taherua sanitry"/>
  </r>
  <r>
    <x v="415"/>
    <x v="46"/>
    <x v="7"/>
    <m/>
    <n v="1665915"/>
    <m/>
    <n v="1665915"/>
    <m/>
  </r>
  <r>
    <x v="416"/>
    <x v="25"/>
    <x v="6"/>
    <m/>
    <n v="705608"/>
    <m/>
    <n v="705608"/>
    <m/>
  </r>
  <r>
    <x v="416"/>
    <x v="41"/>
    <x v="0"/>
    <m/>
    <n v="7400"/>
    <m/>
    <n v="7400"/>
    <m/>
  </r>
  <r>
    <x v="417"/>
    <x v="41"/>
    <x v="0"/>
    <m/>
    <n v="6000"/>
    <m/>
    <n v="6000"/>
    <m/>
  </r>
  <r>
    <x v="418"/>
    <x v="38"/>
    <x v="5"/>
    <m/>
    <n v="8600"/>
    <m/>
    <n v="8600"/>
    <m/>
  </r>
  <r>
    <x v="418"/>
    <x v="41"/>
    <x v="5"/>
    <m/>
    <n v="8600"/>
    <m/>
    <n v="8600"/>
    <m/>
  </r>
  <r>
    <x v="414"/>
    <x v="25"/>
    <x v="6"/>
    <m/>
    <n v="25550"/>
    <m/>
    <n v="25550"/>
    <m/>
  </r>
  <r>
    <x v="419"/>
    <x v="25"/>
    <x v="7"/>
    <m/>
    <n v="1800"/>
    <m/>
    <n v="1800"/>
    <m/>
  </r>
  <r>
    <x v="419"/>
    <x v="46"/>
    <x v="7"/>
    <m/>
    <n v="245053"/>
    <m/>
    <n v="245053"/>
    <m/>
  </r>
  <r>
    <x v="419"/>
    <x v="46"/>
    <x v="7"/>
    <m/>
    <n v="59832"/>
    <m/>
    <n v="59832"/>
    <m/>
  </r>
  <r>
    <x v="419"/>
    <x v="25"/>
    <x v="7"/>
    <m/>
    <n v="15245"/>
    <m/>
    <n v="15245"/>
    <m/>
  </r>
  <r>
    <x v="419"/>
    <x v="25"/>
    <x v="7"/>
    <m/>
    <n v="7042"/>
    <m/>
    <n v="7042"/>
    <m/>
  </r>
  <r>
    <x v="419"/>
    <x v="25"/>
    <x v="7"/>
    <m/>
    <n v="82600"/>
    <m/>
    <n v="82600"/>
    <m/>
  </r>
  <r>
    <x v="419"/>
    <x v="46"/>
    <x v="7"/>
    <m/>
    <n v="17826"/>
    <m/>
    <n v="17826"/>
    <m/>
  </r>
  <r>
    <x v="419"/>
    <x v="25"/>
    <x v="7"/>
    <m/>
    <n v="6680"/>
    <m/>
    <n v="6680"/>
    <m/>
  </r>
  <r>
    <x v="419"/>
    <x v="25"/>
    <x v="7"/>
    <m/>
    <n v="1600"/>
    <m/>
    <n v="1600"/>
    <m/>
  </r>
  <r>
    <x v="417"/>
    <x v="4"/>
    <x v="3"/>
    <m/>
    <n v="5815"/>
    <m/>
    <n v="5815"/>
    <m/>
  </r>
  <r>
    <x v="417"/>
    <x v="48"/>
    <x v="5"/>
    <m/>
    <n v="4300"/>
    <m/>
    <n v="4300"/>
    <m/>
  </r>
  <r>
    <x v="417"/>
    <x v="48"/>
    <x v="5"/>
    <m/>
    <n v="121656"/>
    <m/>
    <n v="121656"/>
    <m/>
  </r>
  <r>
    <x v="417"/>
    <x v="48"/>
    <x v="5"/>
    <m/>
    <n v="4300"/>
    <m/>
    <n v="4300"/>
    <m/>
  </r>
  <r>
    <x v="420"/>
    <x v="48"/>
    <x v="5"/>
    <m/>
    <n v="7660"/>
    <m/>
    <n v="7660"/>
    <m/>
  </r>
  <r>
    <x v="420"/>
    <x v="25"/>
    <x v="5"/>
    <m/>
    <n v="44000"/>
    <m/>
    <n v="44000"/>
    <m/>
  </r>
  <r>
    <x v="420"/>
    <x v="49"/>
    <x v="5"/>
    <m/>
    <n v="59200"/>
    <m/>
    <n v="59200"/>
    <m/>
  </r>
  <r>
    <x v="420"/>
    <x v="49"/>
    <x v="5"/>
    <m/>
    <n v="59200"/>
    <m/>
    <n v="59200"/>
    <m/>
  </r>
  <r>
    <x v="421"/>
    <x v="25"/>
    <x v="5"/>
    <m/>
    <m/>
    <n v="212538"/>
    <n v="-212538"/>
    <m/>
  </r>
  <r>
    <x v="421"/>
    <x v="38"/>
    <x v="5"/>
    <m/>
    <m/>
    <n v="8600"/>
    <n v="-8600"/>
    <s v="This chq rec from allied engg and direct paid to iqbal sons"/>
  </r>
  <r>
    <x v="421"/>
    <x v="41"/>
    <x v="5"/>
    <m/>
    <m/>
    <n v="118971"/>
    <n v="-118971"/>
    <m/>
  </r>
  <r>
    <x v="422"/>
    <x v="25"/>
    <x v="6"/>
    <m/>
    <n v="282988"/>
    <m/>
    <n v="282988"/>
    <m/>
  </r>
  <r>
    <x v="423"/>
    <x v="25"/>
    <x v="5"/>
    <m/>
    <n v="55000"/>
    <m/>
    <n v="55000"/>
    <m/>
  </r>
  <r>
    <x v="424"/>
    <x v="49"/>
    <x v="5"/>
    <m/>
    <n v="37000"/>
    <m/>
    <n v="37000"/>
    <m/>
  </r>
  <r>
    <x v="424"/>
    <x v="48"/>
    <x v="5"/>
    <m/>
    <n v="6900"/>
    <m/>
    <n v="6900"/>
    <m/>
  </r>
  <r>
    <x v="424"/>
    <x v="25"/>
    <x v="5"/>
    <m/>
    <n v="55000"/>
    <m/>
    <n v="55000"/>
    <m/>
  </r>
  <r>
    <x v="424"/>
    <x v="49"/>
    <x v="5"/>
    <m/>
    <n v="59200"/>
    <m/>
    <n v="59200"/>
    <m/>
  </r>
  <r>
    <x v="424"/>
    <x v="25"/>
    <x v="6"/>
    <m/>
    <n v="43293"/>
    <m/>
    <n v="43293"/>
    <m/>
  </r>
  <r>
    <x v="424"/>
    <x v="25"/>
    <x v="6"/>
    <m/>
    <n v="299085"/>
    <m/>
    <n v="299085"/>
    <m/>
  </r>
  <r>
    <x v="425"/>
    <x v="25"/>
    <x v="6"/>
    <m/>
    <m/>
    <n v="500000"/>
    <n v="-500000"/>
    <s v="This chq rec from total as unilever 2nd payment direct paid to danish internation"/>
  </r>
  <r>
    <x v="426"/>
    <x v="46"/>
    <x v="7"/>
    <m/>
    <n v="48818"/>
    <m/>
    <n v="48818"/>
    <m/>
  </r>
  <r>
    <x v="426"/>
    <x v="25"/>
    <x v="7"/>
    <m/>
    <n v="9880"/>
    <m/>
    <n v="9880"/>
    <m/>
  </r>
  <r>
    <x v="426"/>
    <x v="25"/>
    <x v="7"/>
    <m/>
    <n v="2472"/>
    <m/>
    <n v="2472"/>
    <m/>
  </r>
  <r>
    <x v="426"/>
    <x v="25"/>
    <x v="7"/>
    <m/>
    <n v="4320"/>
    <m/>
    <n v="4320"/>
    <m/>
  </r>
  <r>
    <x v="426"/>
    <x v="46"/>
    <x v="7"/>
    <m/>
    <n v="25000"/>
    <m/>
    <n v="25000"/>
    <m/>
  </r>
  <r>
    <x v="427"/>
    <x v="49"/>
    <x v="0"/>
    <m/>
    <n v="578880"/>
    <m/>
    <n v="578880"/>
    <m/>
  </r>
  <r>
    <x v="428"/>
    <x v="50"/>
    <x v="0"/>
    <m/>
    <n v="1331000"/>
    <m/>
    <n v="1331000"/>
    <m/>
  </r>
  <r>
    <x v="427"/>
    <x v="49"/>
    <x v="5"/>
    <m/>
    <n v="59200"/>
    <m/>
    <n v="59200"/>
    <m/>
  </r>
  <r>
    <x v="429"/>
    <x v="25"/>
    <x v="6"/>
    <m/>
    <n v="48186"/>
    <m/>
    <n v="48186"/>
    <m/>
  </r>
  <r>
    <x v="430"/>
    <x v="25"/>
    <x v="0"/>
    <m/>
    <m/>
    <n v="20050"/>
    <n v="-20050"/>
    <m/>
  </r>
  <r>
    <x v="430"/>
    <x v="35"/>
    <x v="0"/>
    <m/>
    <m/>
    <n v="22000"/>
    <n v="-22000"/>
    <m/>
  </r>
  <r>
    <x v="430"/>
    <x v="21"/>
    <x v="0"/>
    <m/>
    <m/>
    <n v="104351"/>
    <n v="-104351"/>
    <m/>
  </r>
  <r>
    <x v="430"/>
    <x v="47"/>
    <x v="0"/>
    <m/>
    <m/>
    <n v="25920"/>
    <n v="-25920"/>
    <s v="received against Tabba heart retention money. Rec from total construction This chq direct paid to Saeed Sons "/>
  </r>
  <r>
    <x v="430"/>
    <x v="41"/>
    <x v="0"/>
    <m/>
    <m/>
    <n v="107830"/>
    <n v="-107830"/>
    <m/>
  </r>
  <r>
    <x v="430"/>
    <x v="49"/>
    <x v="0"/>
    <m/>
    <m/>
    <n v="319659"/>
    <n v="-319659"/>
    <m/>
  </r>
  <r>
    <x v="431"/>
    <x v="25"/>
    <x v="6"/>
    <m/>
    <m/>
    <n v="1000000"/>
    <n v="-1000000"/>
    <s v="received against Unilever Fire Advance payment rec from total construction. This chq direct paid to Danish intl in the name of Build Con rec by Shayan mansoori"/>
  </r>
  <r>
    <x v="432"/>
    <x v="49"/>
    <x v="5"/>
    <m/>
    <n v="59200"/>
    <m/>
    <n v="59200"/>
    <m/>
  </r>
  <r>
    <x v="432"/>
    <x v="49"/>
    <x v="5"/>
    <m/>
    <n v="59200"/>
    <m/>
    <n v="59200"/>
    <m/>
  </r>
  <r>
    <x v="433"/>
    <x v="25"/>
    <x v="5"/>
    <m/>
    <n v="1776981"/>
    <m/>
    <n v="1776981"/>
    <m/>
  </r>
  <r>
    <x v="433"/>
    <x v="49"/>
    <x v="5"/>
    <m/>
    <n v="59200"/>
    <m/>
    <n v="59200"/>
    <m/>
  </r>
  <r>
    <x v="434"/>
    <x v="25"/>
    <x v="5"/>
    <m/>
    <m/>
    <n v="1000000"/>
    <n v="-1000000"/>
    <s v="received partial mobilization advance (this paid to iqbal sons in JPMC insulation deal)"/>
  </r>
  <r>
    <x v="432"/>
    <x v="48"/>
    <x v="0"/>
    <m/>
    <n v="121875"/>
    <m/>
    <n v="121875"/>
    <m/>
  </r>
  <r>
    <x v="435"/>
    <x v="46"/>
    <x v="7"/>
    <m/>
    <n v="271266"/>
    <m/>
    <n v="271266"/>
    <m/>
  </r>
  <r>
    <x v="436"/>
    <x v="46"/>
    <x v="7"/>
    <m/>
    <n v="1881"/>
    <m/>
    <n v="1881"/>
    <m/>
  </r>
  <r>
    <x v="437"/>
    <x v="46"/>
    <x v="7"/>
    <m/>
    <n v="66105"/>
    <m/>
    <n v="66105"/>
    <m/>
  </r>
  <r>
    <x v="437"/>
    <x v="25"/>
    <x v="7"/>
    <m/>
    <n v="11974"/>
    <m/>
    <n v="11974"/>
    <m/>
  </r>
  <r>
    <x v="432"/>
    <x v="25"/>
    <x v="7"/>
    <m/>
    <n v="1798"/>
    <m/>
    <n v="1798"/>
    <m/>
  </r>
  <r>
    <x v="438"/>
    <x v="41"/>
    <x v="1"/>
    <m/>
    <m/>
    <n v="53365"/>
    <n v="-53365"/>
    <m/>
  </r>
  <r>
    <x v="438"/>
    <x v="25"/>
    <x v="1"/>
    <m/>
    <m/>
    <n v="21635"/>
    <n v="-21635"/>
    <s v="paid thru DIB chq # 01813832 amount 75000"/>
  </r>
  <r>
    <x v="439"/>
    <x v="46"/>
    <x v="7"/>
    <m/>
    <m/>
    <n v="784000"/>
    <n v="-784000"/>
    <s v="This chq rec from total as jpmc IPC 34 payment direcr paid to taheruya rec by yousuf"/>
  </r>
  <r>
    <x v="439"/>
    <x v="46"/>
    <x v="7"/>
    <m/>
    <m/>
    <n v="500000"/>
    <n v="-500000"/>
    <s v="DIB chq # 01813842 amount 500,000"/>
  </r>
  <r>
    <x v="439"/>
    <x v="25"/>
    <x v="5"/>
    <m/>
    <m/>
    <n v="600000"/>
    <n v="-600000"/>
    <s v="This chq rec from total as jpmc IPC 34 payment direct paid to iqbal sons"/>
  </r>
  <r>
    <x v="432"/>
    <x v="49"/>
    <x v="5"/>
    <m/>
    <n v="21500"/>
    <m/>
    <n v="21500"/>
    <m/>
  </r>
  <r>
    <x v="432"/>
    <x v="48"/>
    <x v="5"/>
    <m/>
    <n v="21200"/>
    <m/>
    <n v="21200"/>
    <m/>
  </r>
  <r>
    <x v="439"/>
    <x v="49"/>
    <x v="5"/>
    <m/>
    <n v="59200"/>
    <m/>
    <n v="59200"/>
    <m/>
  </r>
  <r>
    <x v="439"/>
    <x v="49"/>
    <x v="5"/>
    <m/>
    <m/>
    <n v="472900"/>
    <n v="-472900"/>
    <m/>
  </r>
  <r>
    <x v="439"/>
    <x v="25"/>
    <x v="5"/>
    <m/>
    <m/>
    <n v="325125"/>
    <n v="-325125"/>
    <s v="This chq rec from Total as Unilever payment direct paid to iqbal sons"/>
  </r>
  <r>
    <x v="439"/>
    <x v="48"/>
    <x v="5"/>
    <m/>
    <m/>
    <n v="7975"/>
    <n v="-7975"/>
    <m/>
  </r>
  <r>
    <x v="440"/>
    <x v="25"/>
    <x v="5"/>
    <m/>
    <n v="98790"/>
    <m/>
    <n v="98790"/>
    <m/>
  </r>
  <r>
    <x v="441"/>
    <x v="48"/>
    <x v="0"/>
    <m/>
    <n v="46840"/>
    <m/>
    <n v="46840"/>
    <m/>
  </r>
  <r>
    <x v="441"/>
    <x v="50"/>
    <x v="0"/>
    <m/>
    <m/>
    <n v="500000"/>
    <n v="-500000"/>
    <s v="paid thru DIB chq # 01813853"/>
  </r>
  <r>
    <x v="441"/>
    <x v="50"/>
    <x v="0"/>
    <m/>
    <m/>
    <n v="500000"/>
    <n v="-500000"/>
    <s v="paid thru DIB chq # 01813854"/>
  </r>
  <r>
    <x v="441"/>
    <x v="46"/>
    <x v="7"/>
    <m/>
    <m/>
    <n v="207927"/>
    <n v="-207927"/>
    <s v="Sales Return"/>
  </r>
  <r>
    <x v="441"/>
    <x v="25"/>
    <x v="7"/>
    <m/>
    <m/>
    <n v="150637"/>
    <n v="-150637"/>
    <s v="Sales Return"/>
  </r>
  <r>
    <x v="442"/>
    <x v="25"/>
    <x v="6"/>
    <m/>
    <n v="128475"/>
    <m/>
    <n v="128475"/>
    <m/>
  </r>
  <r>
    <x v="442"/>
    <x v="25"/>
    <x v="6"/>
    <m/>
    <n v="103000"/>
    <m/>
    <n v="103000"/>
    <m/>
  </r>
  <r>
    <x v="438"/>
    <x v="25"/>
    <x v="3"/>
    <m/>
    <n v="4358"/>
    <m/>
    <n v="4358"/>
    <m/>
  </r>
  <r>
    <x v="438"/>
    <x v="49"/>
    <x v="5"/>
    <m/>
    <n v="59200"/>
    <m/>
    <n v="59200"/>
    <m/>
  </r>
  <r>
    <x v="438"/>
    <x v="48"/>
    <x v="5"/>
    <m/>
    <n v="8800"/>
    <m/>
    <n v="8800"/>
    <m/>
  </r>
  <r>
    <x v="443"/>
    <x v="25"/>
    <x v="6"/>
    <m/>
    <n v="27380"/>
    <m/>
    <n v="27380"/>
    <m/>
  </r>
  <r>
    <x v="443"/>
    <x v="46"/>
    <x v="7"/>
    <m/>
    <n v="7300"/>
    <m/>
    <n v="7300"/>
    <m/>
  </r>
  <r>
    <x v="443"/>
    <x v="25"/>
    <x v="7"/>
    <m/>
    <n v="1798"/>
    <m/>
    <n v="1798"/>
    <m/>
  </r>
  <r>
    <x v="443"/>
    <x v="25"/>
    <x v="7"/>
    <m/>
    <n v="4320"/>
    <m/>
    <n v="4320"/>
    <m/>
  </r>
  <r>
    <x v="443"/>
    <x v="25"/>
    <x v="7"/>
    <m/>
    <n v="680"/>
    <m/>
    <n v="680"/>
    <m/>
  </r>
  <r>
    <x v="443"/>
    <x v="46"/>
    <x v="7"/>
    <m/>
    <n v="15490"/>
    <m/>
    <n v="15490"/>
    <m/>
  </r>
  <r>
    <x v="443"/>
    <x v="25"/>
    <x v="7"/>
    <m/>
    <n v="7440"/>
    <m/>
    <n v="7440"/>
    <m/>
  </r>
  <r>
    <x v="444"/>
    <x v="25"/>
    <x v="6"/>
    <m/>
    <m/>
    <n v="500000"/>
    <n v="-500000"/>
    <s v="received against jpmc IPC 35 payment"/>
  </r>
  <r>
    <x v="444"/>
    <x v="25"/>
    <x v="7"/>
    <m/>
    <m/>
    <n v="142013"/>
    <n v="-142013"/>
    <m/>
  </r>
  <r>
    <x v="444"/>
    <x v="46"/>
    <x v="7"/>
    <m/>
    <m/>
    <n v="285845"/>
    <n v="-285845"/>
    <s v="received against jpmc IPC 35 payment"/>
  </r>
  <r>
    <x v="444"/>
    <x v="46"/>
    <x v="7"/>
    <m/>
    <m/>
    <n v="258142"/>
    <n v="-258142"/>
    <m/>
  </r>
  <r>
    <x v="444"/>
    <x v="25"/>
    <x v="5"/>
    <m/>
    <m/>
    <n v="152489"/>
    <n v="-152489"/>
    <m/>
  </r>
  <r>
    <x v="444"/>
    <x v="41"/>
    <x v="5"/>
    <m/>
    <m/>
    <n v="44094"/>
    <n v="-44094"/>
    <m/>
  </r>
  <r>
    <x v="444"/>
    <x v="48"/>
    <x v="5"/>
    <m/>
    <m/>
    <n v="194441"/>
    <n v="-194441"/>
    <m/>
  </r>
  <r>
    <x v="444"/>
    <x v="46"/>
    <x v="5"/>
    <m/>
    <m/>
    <n v="40100"/>
    <n v="-40100"/>
    <s v="received against jpmc IPC 35 payment"/>
  </r>
  <r>
    <x v="444"/>
    <x v="49"/>
    <x v="5"/>
    <m/>
    <m/>
    <n v="153600"/>
    <n v="-153600"/>
    <m/>
  </r>
  <r>
    <x v="444"/>
    <x v="25"/>
    <x v="5"/>
    <m/>
    <m/>
    <n v="25276"/>
    <n v="-25276"/>
    <m/>
  </r>
  <r>
    <x v="444"/>
    <x v="50"/>
    <x v="5"/>
    <m/>
    <m/>
    <n v="90000"/>
    <n v="-90000"/>
    <m/>
  </r>
  <r>
    <x v="445"/>
    <x v="50"/>
    <x v="0"/>
    <m/>
    <n v="2464000"/>
    <m/>
    <n v="2464000"/>
    <m/>
  </r>
  <r>
    <x v="445"/>
    <x v="48"/>
    <x v="2"/>
    <m/>
    <n v="35376"/>
    <m/>
    <n v="35376"/>
    <m/>
  </r>
  <r>
    <x v="445"/>
    <x v="41"/>
    <x v="8"/>
    <m/>
    <m/>
    <n v="38432"/>
    <n v="-38432"/>
    <m/>
  </r>
  <r>
    <x v="445"/>
    <x v="50"/>
    <x v="8"/>
    <m/>
    <m/>
    <n v="11568"/>
    <n v="-11568"/>
    <s v="padi thru DIB chq 01813888"/>
  </r>
  <r>
    <x v="446"/>
    <x v="50"/>
    <x v="0"/>
    <m/>
    <m/>
    <n v="1000000"/>
    <n v="-1000000"/>
    <s v="padi thru DIB chq 01813906"/>
  </r>
  <r>
    <x v="446"/>
    <x v="25"/>
    <x v="6"/>
    <m/>
    <n v="135880"/>
    <m/>
    <n v="135880"/>
    <m/>
  </r>
  <r>
    <x v="446"/>
    <x v="25"/>
    <x v="6"/>
    <m/>
    <n v="15332"/>
    <m/>
    <n v="15332"/>
    <m/>
  </r>
  <r>
    <x v="446"/>
    <x v="25"/>
    <x v="6"/>
    <m/>
    <n v="41120"/>
    <m/>
    <n v="41120"/>
    <m/>
  </r>
  <r>
    <x v="446"/>
    <x v="25"/>
    <x v="6"/>
    <m/>
    <n v="173696"/>
    <m/>
    <n v="173696"/>
    <m/>
  </r>
  <r>
    <x v="446"/>
    <x v="50"/>
    <x v="8"/>
    <m/>
    <n v="218805"/>
    <m/>
    <n v="218805"/>
    <m/>
  </r>
  <r>
    <x v="447"/>
    <x v="46"/>
    <x v="7"/>
    <m/>
    <n v="29089"/>
    <m/>
    <n v="29089"/>
    <m/>
  </r>
  <r>
    <x v="447"/>
    <x v="48"/>
    <x v="7"/>
    <m/>
    <n v="2039"/>
    <m/>
    <n v="2039"/>
    <m/>
  </r>
  <r>
    <x v="447"/>
    <x v="50"/>
    <x v="7"/>
    <m/>
    <n v="113159"/>
    <m/>
    <n v="113159"/>
    <m/>
  </r>
  <r>
    <x v="447"/>
    <x v="25"/>
    <x v="7"/>
    <m/>
    <n v="4179"/>
    <m/>
    <n v="4179"/>
    <m/>
  </r>
  <r>
    <x v="447"/>
    <x v="50"/>
    <x v="7"/>
    <m/>
    <n v="28884"/>
    <m/>
    <n v="28884"/>
    <m/>
  </r>
  <r>
    <x v="447"/>
    <x v="46"/>
    <x v="7"/>
    <m/>
    <n v="9985"/>
    <m/>
    <n v="9985"/>
    <m/>
  </r>
  <r>
    <x v="447"/>
    <x v="25"/>
    <x v="7"/>
    <m/>
    <n v="38080"/>
    <m/>
    <n v="38080"/>
    <m/>
  </r>
  <r>
    <x v="447"/>
    <x v="46"/>
    <x v="7"/>
    <m/>
    <n v="2376"/>
    <m/>
    <n v="2376"/>
    <m/>
  </r>
  <r>
    <x v="447"/>
    <x v="25"/>
    <x v="7"/>
    <m/>
    <n v="9053"/>
    <m/>
    <n v="9053"/>
    <m/>
  </r>
  <r>
    <x v="447"/>
    <x v="46"/>
    <x v="7"/>
    <m/>
    <n v="37796"/>
    <m/>
    <n v="37796"/>
    <m/>
  </r>
  <r>
    <x v="447"/>
    <x v="25"/>
    <x v="7"/>
    <m/>
    <n v="19052"/>
    <m/>
    <n v="19052"/>
    <m/>
  </r>
  <r>
    <x v="447"/>
    <x v="25"/>
    <x v="3"/>
    <m/>
    <n v="34736"/>
    <m/>
    <n v="34736"/>
    <m/>
  </r>
  <r>
    <x v="447"/>
    <x v="25"/>
    <x v="5"/>
    <m/>
    <n v="40000"/>
    <m/>
    <n v="40000"/>
    <s v="treated in cyberknife"/>
  </r>
  <r>
    <x v="447"/>
    <x v="25"/>
    <x v="5"/>
    <m/>
    <n v="12216"/>
    <m/>
    <n v="12216"/>
    <m/>
  </r>
  <r>
    <x v="448"/>
    <x v="49"/>
    <x v="5"/>
    <m/>
    <n v="22200"/>
    <m/>
    <n v="22200"/>
    <m/>
  </r>
  <r>
    <x v="449"/>
    <x v="50"/>
    <x v="8"/>
    <m/>
    <m/>
    <n v="207000"/>
    <n v="-207000"/>
    <s v="paid thru DIB chq # 01813922"/>
  </r>
  <r>
    <x v="449"/>
    <x v="50"/>
    <x v="8"/>
    <m/>
    <m/>
    <n v="237"/>
    <n v="-237"/>
    <m/>
  </r>
  <r>
    <x v="449"/>
    <x v="25"/>
    <x v="3"/>
    <m/>
    <n v="1221"/>
    <m/>
    <n v="1221"/>
    <m/>
  </r>
  <r>
    <x v="450"/>
    <x v="49"/>
    <x v="5"/>
    <m/>
    <n v="13000"/>
    <m/>
    <n v="13000"/>
    <m/>
  </r>
  <r>
    <x v="450"/>
    <x v="46"/>
    <x v="7"/>
    <m/>
    <n v="12145"/>
    <m/>
    <n v="12145"/>
    <m/>
  </r>
  <r>
    <x v="450"/>
    <x v="25"/>
    <x v="7"/>
    <m/>
    <n v="3300"/>
    <m/>
    <n v="3300"/>
    <m/>
  </r>
  <r>
    <x v="450"/>
    <x v="50"/>
    <x v="7"/>
    <m/>
    <n v="9450"/>
    <m/>
    <n v="9450"/>
    <m/>
  </r>
  <r>
    <x v="450"/>
    <x v="46"/>
    <x v="7"/>
    <m/>
    <n v="2988"/>
    <m/>
    <n v="2988"/>
    <m/>
  </r>
  <r>
    <x v="450"/>
    <x v="25"/>
    <x v="7"/>
    <m/>
    <n v="2250"/>
    <m/>
    <n v="2250"/>
    <m/>
  </r>
  <r>
    <x v="450"/>
    <x v="25"/>
    <x v="7"/>
    <m/>
    <n v="12526"/>
    <m/>
    <n v="12526"/>
    <m/>
  </r>
  <r>
    <x v="450"/>
    <x v="25"/>
    <x v="7"/>
    <m/>
    <n v="4560"/>
    <m/>
    <n v="4560"/>
    <m/>
  </r>
  <r>
    <x v="450"/>
    <x v="46"/>
    <x v="7"/>
    <m/>
    <n v="87188"/>
    <m/>
    <n v="87188"/>
    <m/>
  </r>
  <r>
    <x v="450"/>
    <x v="25"/>
    <x v="7"/>
    <m/>
    <n v="16560"/>
    <m/>
    <n v="16560"/>
    <m/>
  </r>
  <r>
    <x v="450"/>
    <x v="50"/>
    <x v="8"/>
    <m/>
    <n v="42500"/>
    <m/>
    <n v="42500"/>
    <m/>
  </r>
  <r>
    <x v="450"/>
    <x v="41"/>
    <x v="8"/>
    <m/>
    <n v="42500"/>
    <m/>
    <n v="42500"/>
    <m/>
  </r>
  <r>
    <x v="450"/>
    <x v="48"/>
    <x v="8"/>
    <m/>
    <n v="75000"/>
    <m/>
    <n v="75000"/>
    <m/>
  </r>
  <r>
    <x v="450"/>
    <x v="46"/>
    <x v="8"/>
    <m/>
    <n v="30000"/>
    <m/>
    <n v="30000"/>
    <m/>
  </r>
  <r>
    <x v="451"/>
    <x v="25"/>
    <x v="5"/>
    <m/>
    <n v="14308"/>
    <m/>
    <n v="14308"/>
    <m/>
  </r>
  <r>
    <x v="451"/>
    <x v="46"/>
    <x v="7"/>
    <m/>
    <n v="9381"/>
    <m/>
    <n v="9381"/>
    <m/>
  </r>
  <r>
    <x v="451"/>
    <x v="46"/>
    <x v="7"/>
    <m/>
    <n v="77473"/>
    <m/>
    <n v="77473"/>
    <m/>
  </r>
  <r>
    <x v="451"/>
    <x v="46"/>
    <x v="7"/>
    <m/>
    <n v="138695"/>
    <m/>
    <n v="138695"/>
    <m/>
  </r>
  <r>
    <x v="451"/>
    <x v="46"/>
    <x v="7"/>
    <m/>
    <n v="31694"/>
    <m/>
    <n v="31694"/>
    <m/>
  </r>
  <r>
    <x v="451"/>
    <x v="46"/>
    <x v="7"/>
    <m/>
    <n v="34809"/>
    <m/>
    <n v="34809"/>
    <m/>
  </r>
  <r>
    <x v="451"/>
    <x v="46"/>
    <x v="7"/>
    <m/>
    <n v="34809"/>
    <m/>
    <n v="34809"/>
    <m/>
  </r>
  <r>
    <x v="451"/>
    <x v="46"/>
    <x v="7"/>
    <m/>
    <n v="12792"/>
    <m/>
    <n v="12792"/>
    <m/>
  </r>
  <r>
    <x v="452"/>
    <x v="25"/>
    <x v="6"/>
    <m/>
    <n v="99008"/>
    <m/>
    <n v="99008"/>
    <m/>
  </r>
  <r>
    <x v="452"/>
    <x v="41"/>
    <x v="5"/>
    <m/>
    <n v="7878"/>
    <m/>
    <n v="7878"/>
    <m/>
  </r>
  <r>
    <x v="452"/>
    <x v="50"/>
    <x v="5"/>
    <m/>
    <n v="10000"/>
    <m/>
    <n v="10000"/>
    <m/>
  </r>
  <r>
    <x v="453"/>
    <x v="25"/>
    <x v="7"/>
    <m/>
    <n v="5840"/>
    <m/>
    <n v="5840"/>
    <m/>
  </r>
  <r>
    <x v="453"/>
    <x v="25"/>
    <x v="7"/>
    <m/>
    <n v="3148"/>
    <m/>
    <n v="3148"/>
    <m/>
  </r>
  <r>
    <x v="453"/>
    <x v="25"/>
    <x v="7"/>
    <m/>
    <n v="9792"/>
    <m/>
    <n v="9792"/>
    <m/>
  </r>
  <r>
    <x v="453"/>
    <x v="46"/>
    <x v="7"/>
    <m/>
    <n v="41724"/>
    <m/>
    <n v="41724"/>
    <m/>
  </r>
  <r>
    <x v="453"/>
    <x v="25"/>
    <x v="7"/>
    <m/>
    <n v="7814"/>
    <m/>
    <n v="7814"/>
    <m/>
  </r>
  <r>
    <x v="453"/>
    <x v="46"/>
    <x v="7"/>
    <m/>
    <n v="93325"/>
    <m/>
    <n v="93325"/>
    <m/>
  </r>
  <r>
    <x v="453"/>
    <x v="46"/>
    <x v="7"/>
    <m/>
    <n v="2505"/>
    <m/>
    <n v="2505"/>
    <m/>
  </r>
  <r>
    <x v="453"/>
    <x v="46"/>
    <x v="7"/>
    <m/>
    <n v="137108"/>
    <m/>
    <n v="137108"/>
    <m/>
  </r>
  <r>
    <x v="453"/>
    <x v="48"/>
    <x v="8"/>
    <m/>
    <m/>
    <n v="75000"/>
    <n v="-75000"/>
    <m/>
  </r>
  <r>
    <x v="453"/>
    <x v="50"/>
    <x v="8"/>
    <m/>
    <m/>
    <n v="42500"/>
    <n v="-42500"/>
    <s v="paid thru 2 dib chq # 01850984 Rs 80,000 &amp; 01850985 Rs 110,000"/>
  </r>
  <r>
    <x v="453"/>
    <x v="41"/>
    <x v="8"/>
    <m/>
    <m/>
    <n v="42500"/>
    <n v="-42500"/>
    <m/>
  </r>
  <r>
    <x v="453"/>
    <x v="46"/>
    <x v="8"/>
    <m/>
    <m/>
    <n v="30000"/>
    <n v="-30000"/>
    <m/>
  </r>
  <r>
    <x v="454"/>
    <x v="25"/>
    <x v="6"/>
    <m/>
    <m/>
    <n v="400000"/>
    <n v="-400000"/>
    <s v="this chq received from total as jpmc ipc 37 payment"/>
  </r>
  <r>
    <x v="454"/>
    <x v="25"/>
    <x v="5"/>
    <m/>
    <m/>
    <n v="300000"/>
    <n v="-300000"/>
    <s v="this chq received from total as jpmc ipc 37 payment"/>
  </r>
  <r>
    <x v="454"/>
    <x v="46"/>
    <x v="7"/>
    <m/>
    <m/>
    <n v="405000"/>
    <n v="-405000"/>
    <s v="this chq received from total as jpmc ipc 37 payment"/>
  </r>
  <r>
    <x v="455"/>
    <x v="50"/>
    <x v="0"/>
    <m/>
    <m/>
    <n v="500000"/>
    <n v="-500000"/>
    <s v="paid thru DIB chq 01873433"/>
  </r>
  <r>
    <x v="455"/>
    <x v="50"/>
    <x v="0"/>
    <m/>
    <m/>
    <n v="72064"/>
    <n v="-72064"/>
    <m/>
  </r>
  <r>
    <x v="455"/>
    <x v="49"/>
    <x v="0"/>
    <m/>
    <m/>
    <n v="259221"/>
    <n v="-259221"/>
    <s v="paid thru DIB chq 01873434"/>
  </r>
  <r>
    <x v="455"/>
    <x v="48"/>
    <x v="0"/>
    <m/>
    <m/>
    <n v="168715"/>
    <n v="-168715"/>
    <m/>
  </r>
  <r>
    <x v="455"/>
    <x v="50"/>
    <x v="0"/>
    <m/>
    <m/>
    <n v="400000"/>
    <n v="-400000"/>
    <s v="paid thru DIB chq 01873435"/>
  </r>
  <r>
    <x v="455"/>
    <x v="25"/>
    <x v="3"/>
    <m/>
    <n v="28596"/>
    <m/>
    <n v="28596"/>
    <m/>
  </r>
  <r>
    <x v="456"/>
    <x v="25"/>
    <x v="3"/>
    <m/>
    <m/>
    <n v="75000"/>
    <n v="-75000"/>
    <s v="paid thru dib chq # 01873444"/>
  </r>
  <r>
    <x v="457"/>
    <x v="46"/>
    <x v="7"/>
    <m/>
    <n v="92310"/>
    <m/>
    <n v="92310"/>
    <m/>
  </r>
  <r>
    <x v="457"/>
    <x v="46"/>
    <x v="7"/>
    <m/>
    <n v="2968"/>
    <m/>
    <n v="2968"/>
    <m/>
  </r>
  <r>
    <x v="458"/>
    <x v="46"/>
    <x v="7"/>
    <m/>
    <m/>
    <n v="2505"/>
    <n v="-2505"/>
    <s v="sales return"/>
  </r>
  <r>
    <x v="455"/>
    <x v="25"/>
    <x v="5"/>
    <m/>
    <n v="80400"/>
    <m/>
    <n v="80400"/>
    <m/>
  </r>
  <r>
    <x v="455"/>
    <x v="41"/>
    <x v="5"/>
    <m/>
    <n v="4800"/>
    <m/>
    <n v="4800"/>
    <m/>
  </r>
  <r>
    <x v="455"/>
    <x v="41"/>
    <x v="5"/>
    <m/>
    <n v="4800"/>
    <m/>
    <n v="4800"/>
    <m/>
  </r>
  <r>
    <x v="455"/>
    <x v="48"/>
    <x v="5"/>
    <m/>
    <n v="27600"/>
    <m/>
    <n v="27600"/>
    <m/>
  </r>
  <r>
    <x v="455"/>
    <x v="41"/>
    <x v="5"/>
    <m/>
    <n v="3816"/>
    <m/>
    <n v="3816"/>
    <m/>
  </r>
  <r>
    <x v="455"/>
    <x v="25"/>
    <x v="5"/>
    <m/>
    <n v="60775"/>
    <m/>
    <n v="60775"/>
    <m/>
  </r>
  <r>
    <x v="455"/>
    <x v="41"/>
    <x v="5"/>
    <m/>
    <n v="22800"/>
    <m/>
    <n v="22800"/>
    <m/>
  </r>
  <r>
    <x v="455"/>
    <x v="25"/>
    <x v="5"/>
    <m/>
    <n v="40000"/>
    <m/>
    <n v="40000"/>
    <m/>
  </r>
  <r>
    <x v="455"/>
    <x v="25"/>
    <x v="5"/>
    <m/>
    <n v="10000"/>
    <m/>
    <n v="10000"/>
    <m/>
  </r>
  <r>
    <x v="459"/>
    <x v="25"/>
    <x v="6"/>
    <m/>
    <n v="218756"/>
    <m/>
    <n v="218756"/>
    <m/>
  </r>
  <r>
    <x v="460"/>
    <x v="50"/>
    <x v="0"/>
    <m/>
    <n v="160000"/>
    <m/>
    <n v="160000"/>
    <m/>
  </r>
  <r>
    <x v="460"/>
    <x v="46"/>
    <x v="8"/>
    <m/>
    <n v="90000"/>
    <m/>
    <n v="90000"/>
    <m/>
  </r>
  <r>
    <x v="460"/>
    <x v="48"/>
    <x v="8"/>
    <m/>
    <n v="135000"/>
    <m/>
    <n v="135000"/>
    <m/>
  </r>
  <r>
    <x v="460"/>
    <x v="50"/>
    <x v="8"/>
    <m/>
    <n v="85000"/>
    <m/>
    <n v="85000"/>
    <m/>
  </r>
  <r>
    <x v="460"/>
    <x v="25"/>
    <x v="3"/>
    <m/>
    <n v="5259"/>
    <m/>
    <n v="5259"/>
    <m/>
  </r>
  <r>
    <x v="460"/>
    <x v="25"/>
    <x v="3"/>
    <m/>
    <n v="74051"/>
    <m/>
    <n v="74051"/>
    <m/>
  </r>
  <r>
    <x v="460"/>
    <x v="25"/>
    <x v="3"/>
    <m/>
    <n v="19773"/>
    <m/>
    <n v="19773"/>
    <m/>
  </r>
  <r>
    <x v="460"/>
    <x v="46"/>
    <x v="8"/>
    <m/>
    <m/>
    <n v="250000"/>
    <n v="-250000"/>
    <m/>
  </r>
  <r>
    <x v="461"/>
    <x v="46"/>
    <x v="7"/>
    <m/>
    <n v="164818"/>
    <m/>
    <n v="164818"/>
    <m/>
  </r>
  <r>
    <x v="461"/>
    <x v="25"/>
    <x v="7"/>
    <m/>
    <n v="4060"/>
    <m/>
    <n v="4060"/>
    <m/>
  </r>
  <r>
    <x v="461"/>
    <x v="46"/>
    <x v="7"/>
    <m/>
    <n v="66065"/>
    <m/>
    <n v="66065"/>
    <m/>
  </r>
  <r>
    <x v="461"/>
    <x v="46"/>
    <x v="7"/>
    <m/>
    <n v="54061"/>
    <m/>
    <n v="54061"/>
    <m/>
  </r>
  <r>
    <x v="461"/>
    <x v="25"/>
    <x v="7"/>
    <m/>
    <n v="8310"/>
    <m/>
    <n v="8310"/>
    <m/>
  </r>
  <r>
    <x v="461"/>
    <x v="50"/>
    <x v="8"/>
    <m/>
    <n v="10000"/>
    <m/>
    <n v="10000"/>
    <m/>
  </r>
  <r>
    <x v="461"/>
    <x v="46"/>
    <x v="8"/>
    <m/>
    <n v="145000"/>
    <m/>
    <n v="145000"/>
    <m/>
  </r>
  <r>
    <x v="461"/>
    <x v="25"/>
    <x v="1"/>
    <m/>
    <n v="2094"/>
    <m/>
    <n v="2094"/>
    <m/>
  </r>
  <r>
    <x v="461"/>
    <x v="25"/>
    <x v="1"/>
    <m/>
    <n v="14538"/>
    <m/>
    <n v="14538"/>
    <m/>
  </r>
  <r>
    <x v="461"/>
    <x v="25"/>
    <x v="1"/>
    <m/>
    <n v="23518"/>
    <m/>
    <n v="23518"/>
    <m/>
  </r>
  <r>
    <x v="461"/>
    <x v="25"/>
    <x v="1"/>
    <m/>
    <n v="2815"/>
    <m/>
    <n v="2815"/>
    <m/>
  </r>
  <r>
    <x v="462"/>
    <x v="46"/>
    <x v="7"/>
    <m/>
    <n v="1474"/>
    <m/>
    <n v="1474"/>
    <m/>
  </r>
  <r>
    <x v="462"/>
    <x v="46"/>
    <x v="7"/>
    <m/>
    <n v="122831"/>
    <m/>
    <n v="122831"/>
    <m/>
  </r>
  <r>
    <x v="462"/>
    <x v="25"/>
    <x v="7"/>
    <m/>
    <n v="2128"/>
    <m/>
    <n v="2128"/>
    <m/>
  </r>
  <r>
    <x v="462"/>
    <x v="25"/>
    <x v="7"/>
    <m/>
    <n v="3010"/>
    <m/>
    <n v="3010"/>
    <m/>
  </r>
  <r>
    <x v="462"/>
    <x v="25"/>
    <x v="5"/>
    <m/>
    <n v="78000"/>
    <m/>
    <n v="78000"/>
    <m/>
  </r>
  <r>
    <x v="462"/>
    <x v="25"/>
    <x v="3"/>
    <m/>
    <n v="5490"/>
    <m/>
    <n v="5490"/>
    <m/>
  </r>
  <r>
    <x v="462"/>
    <x v="25"/>
    <x v="3"/>
    <m/>
    <m/>
    <n v="13520"/>
    <n v="-13520"/>
    <s v="sales return"/>
  </r>
  <r>
    <x v="463"/>
    <x v="50"/>
    <x v="8"/>
    <m/>
    <n v="24000"/>
    <m/>
    <n v="24000"/>
    <m/>
  </r>
  <r>
    <x v="463"/>
    <x v="46"/>
    <x v="8"/>
    <m/>
    <n v="121000"/>
    <m/>
    <n v="121000"/>
    <m/>
  </r>
  <r>
    <x v="463"/>
    <x v="50"/>
    <x v="8"/>
    <m/>
    <n v="15000"/>
    <m/>
    <n v="15000"/>
    <m/>
  </r>
  <r>
    <x v="463"/>
    <x v="41"/>
    <x v="2"/>
    <m/>
    <m/>
    <n v="500000"/>
    <n v="-500000"/>
    <s v="paid thru DIB chq # 01873520 chq  amount 500,000 this chq not entered it is adjusted in nueplex because rs 300,000 che given to islamuddin but it was bounced."/>
  </r>
  <r>
    <x v="463"/>
    <x v="25"/>
    <x v="3"/>
    <m/>
    <m/>
    <n v="100000"/>
    <n v="-100000"/>
    <s v="paid thru DIB chq # 01873522 chq  amount 100,000"/>
  </r>
  <r>
    <x v="463"/>
    <x v="46"/>
    <x v="8"/>
    <m/>
    <m/>
    <n v="65000"/>
    <n v="-65000"/>
    <s v="paid thru DIB chq # 01900176 chq  amount 200,000"/>
  </r>
  <r>
    <x v="463"/>
    <x v="48"/>
    <x v="8"/>
    <m/>
    <m/>
    <n v="135000"/>
    <n v="-135000"/>
    <s v="paid thru DIB chq # 01900176 chq  amount 200,000"/>
  </r>
  <r>
    <x v="464"/>
    <x v="46"/>
    <x v="7"/>
    <m/>
    <n v="51927"/>
    <m/>
    <n v="51927"/>
    <m/>
  </r>
  <r>
    <x v="464"/>
    <x v="46"/>
    <x v="7"/>
    <m/>
    <n v="44869"/>
    <m/>
    <n v="44869"/>
    <m/>
  </r>
  <r>
    <x v="464"/>
    <x v="46"/>
    <x v="7"/>
    <m/>
    <n v="707"/>
    <m/>
    <n v="707"/>
    <m/>
  </r>
  <r>
    <x v="465"/>
    <x v="50"/>
    <x v="0"/>
    <m/>
    <n v="631320"/>
    <m/>
    <n v="631320"/>
    <m/>
  </r>
  <r>
    <x v="466"/>
    <x v="50"/>
    <x v="5"/>
    <m/>
    <n v="35000"/>
    <m/>
    <n v="35000"/>
    <m/>
  </r>
  <r>
    <x v="466"/>
    <x v="46"/>
    <x v="5"/>
    <m/>
    <n v="18400"/>
    <m/>
    <n v="18400"/>
    <m/>
  </r>
  <r>
    <x v="466"/>
    <x v="46"/>
    <x v="5"/>
    <m/>
    <n v="9200"/>
    <m/>
    <n v="9200"/>
    <m/>
  </r>
  <r>
    <x v="466"/>
    <x v="51"/>
    <x v="6"/>
    <m/>
    <n v="199286"/>
    <m/>
    <n v="199286"/>
    <m/>
  </r>
  <r>
    <x v="466"/>
    <x v="50"/>
    <x v="0"/>
    <m/>
    <m/>
    <n v="500000"/>
    <n v="-500000"/>
    <s v="paid thru DIB chq # 01900189"/>
  </r>
  <r>
    <x v="467"/>
    <x v="50"/>
    <x v="5"/>
    <m/>
    <n v="45000"/>
    <m/>
    <n v="45000"/>
    <m/>
  </r>
  <r>
    <x v="467"/>
    <x v="46"/>
    <x v="5"/>
    <m/>
    <n v="12500"/>
    <m/>
    <n v="12500"/>
    <m/>
  </r>
  <r>
    <x v="467"/>
    <x v="25"/>
    <x v="3"/>
    <m/>
    <n v="84648"/>
    <m/>
    <n v="84648"/>
    <m/>
  </r>
  <r>
    <x v="468"/>
    <x v="25"/>
    <x v="1"/>
    <m/>
    <m/>
    <n v="100000"/>
    <n v="-100000"/>
    <s v="paid thru DIB chq # 01900223"/>
  </r>
  <r>
    <x v="468"/>
    <x v="25"/>
    <x v="6"/>
    <m/>
    <m/>
    <n v="300000"/>
    <n v="-300000"/>
    <s v="paid thru DIB chq # 01900224"/>
  </r>
  <r>
    <x v="468"/>
    <x v="50"/>
    <x v="0"/>
    <m/>
    <m/>
    <n v="300000"/>
    <n v="-300000"/>
    <s v="paid thru DIB chq # 01900225"/>
  </r>
  <r>
    <x v="468"/>
    <x v="0"/>
    <x v="3"/>
    <m/>
    <m/>
    <n v="1743"/>
    <n v="-1743"/>
    <m/>
  </r>
  <r>
    <x v="468"/>
    <x v="4"/>
    <x v="3"/>
    <m/>
    <m/>
    <n v="5815"/>
    <n v="-5815"/>
    <m/>
  </r>
  <r>
    <x v="468"/>
    <x v="45"/>
    <x v="3"/>
    <m/>
    <m/>
    <n v="900"/>
    <n v="-900"/>
    <s v="paid thru DIB chq # 01900227"/>
  </r>
  <r>
    <x v="468"/>
    <x v="25"/>
    <x v="3"/>
    <m/>
    <m/>
    <n v="66542"/>
    <n v="-66542"/>
    <m/>
  </r>
  <r>
    <x v="467"/>
    <x v="46"/>
    <x v="8"/>
    <m/>
    <m/>
    <n v="41000"/>
    <n v="-41000"/>
    <m/>
  </r>
  <r>
    <x v="468"/>
    <x v="50"/>
    <x v="8"/>
    <m/>
    <m/>
    <n v="134000"/>
    <n v="-134000"/>
    <m/>
  </r>
  <r>
    <x v="467"/>
    <x v="46"/>
    <x v="8"/>
    <m/>
    <m/>
    <n v="25000"/>
    <n v="-25000"/>
    <m/>
  </r>
  <r>
    <x v="467"/>
    <x v="46"/>
    <x v="8"/>
    <m/>
    <n v="122500"/>
    <m/>
    <n v="122500"/>
    <m/>
  </r>
  <r>
    <x v="469"/>
    <x v="25"/>
    <x v="7"/>
    <m/>
    <n v="3220"/>
    <m/>
    <n v="3220"/>
    <m/>
  </r>
  <r>
    <x v="469"/>
    <x v="46"/>
    <x v="7"/>
    <m/>
    <n v="29777"/>
    <m/>
    <n v="29777"/>
    <m/>
  </r>
  <r>
    <x v="469"/>
    <x v="46"/>
    <x v="7"/>
    <m/>
    <n v="218807"/>
    <m/>
    <n v="218807"/>
    <m/>
  </r>
  <r>
    <x v="469"/>
    <x v="46"/>
    <x v="7"/>
    <m/>
    <n v="35853"/>
    <m/>
    <n v="35853"/>
    <m/>
  </r>
  <r>
    <x v="469"/>
    <x v="46"/>
    <x v="7"/>
    <m/>
    <n v="16052"/>
    <m/>
    <n v="16052"/>
    <m/>
  </r>
  <r>
    <x v="469"/>
    <x v="52"/>
    <x v="7"/>
    <m/>
    <n v="1189"/>
    <m/>
    <n v="1189"/>
    <m/>
  </r>
  <r>
    <x v="469"/>
    <x v="46"/>
    <x v="7"/>
    <m/>
    <n v="18123"/>
    <m/>
    <n v="18123"/>
    <m/>
  </r>
  <r>
    <x v="469"/>
    <x v="25"/>
    <x v="7"/>
    <m/>
    <n v="43480"/>
    <m/>
    <n v="43480"/>
    <m/>
  </r>
  <r>
    <x v="470"/>
    <x v="51"/>
    <x v="5"/>
    <m/>
    <n v="50000"/>
    <m/>
    <n v="50000"/>
    <m/>
  </r>
  <r>
    <x v="470"/>
    <x v="50"/>
    <x v="8"/>
    <m/>
    <n v="157740"/>
    <m/>
    <n v="157740"/>
    <m/>
  </r>
  <r>
    <x v="470"/>
    <x v="46"/>
    <x v="8"/>
    <m/>
    <n v="6800"/>
    <m/>
    <n v="6800"/>
    <m/>
  </r>
  <r>
    <x v="471"/>
    <x v="25"/>
    <x v="7"/>
    <m/>
    <n v="8176"/>
    <m/>
    <n v="8176"/>
    <m/>
  </r>
  <r>
    <x v="471"/>
    <x v="46"/>
    <x v="7"/>
    <m/>
    <n v="24519"/>
    <m/>
    <n v="24519"/>
    <m/>
  </r>
  <r>
    <x v="471"/>
    <x v="46"/>
    <x v="7"/>
    <m/>
    <n v="128523"/>
    <m/>
    <n v="128523"/>
    <m/>
  </r>
  <r>
    <x v="471"/>
    <x v="25"/>
    <x v="7"/>
    <m/>
    <n v="4418"/>
    <m/>
    <n v="4418"/>
    <m/>
  </r>
  <r>
    <x v="471"/>
    <x v="46"/>
    <x v="7"/>
    <m/>
    <n v="11769"/>
    <m/>
    <n v="11769"/>
    <m/>
  </r>
  <r>
    <x v="471"/>
    <x v="46"/>
    <x v="7"/>
    <m/>
    <n v="59626"/>
    <m/>
    <n v="59626"/>
    <m/>
  </r>
  <r>
    <x v="471"/>
    <x v="46"/>
    <x v="7"/>
    <m/>
    <n v="42931"/>
    <m/>
    <n v="42931"/>
    <m/>
  </r>
  <r>
    <x v="471"/>
    <x v="51"/>
    <x v="5"/>
    <m/>
    <n v="53000"/>
    <m/>
    <n v="53000"/>
    <m/>
  </r>
  <r>
    <x v="471"/>
    <x v="50"/>
    <x v="5"/>
    <m/>
    <n v="35000"/>
    <m/>
    <n v="35000"/>
    <m/>
  </r>
  <r>
    <x v="471"/>
    <x v="51"/>
    <x v="5"/>
    <m/>
    <n v="63600"/>
    <m/>
    <n v="63600"/>
    <m/>
  </r>
  <r>
    <x v="471"/>
    <x v="51"/>
    <x v="5"/>
    <m/>
    <n v="31800"/>
    <m/>
    <n v="31800"/>
    <m/>
  </r>
  <r>
    <x v="471"/>
    <x v="48"/>
    <x v="7"/>
    <m/>
    <m/>
    <n v="2039"/>
    <n v="-2039"/>
    <m/>
  </r>
  <r>
    <x v="471"/>
    <x v="50"/>
    <x v="7"/>
    <m/>
    <m/>
    <n v="151493"/>
    <n v="-151493"/>
    <m/>
  </r>
  <r>
    <x v="471"/>
    <x v="52"/>
    <x v="7"/>
    <m/>
    <m/>
    <n v="1189"/>
    <n v="-1189"/>
    <s v="chq amount 500,000 this chq rec from total as unilever payment"/>
  </r>
  <r>
    <x v="471"/>
    <x v="25"/>
    <x v="7"/>
    <m/>
    <m/>
    <n v="212956"/>
    <n v="-212956"/>
    <m/>
  </r>
  <r>
    <x v="471"/>
    <x v="46"/>
    <x v="7"/>
    <m/>
    <m/>
    <n v="132323"/>
    <n v="-132323"/>
    <m/>
  </r>
  <r>
    <x v="471"/>
    <x v="46"/>
    <x v="7"/>
    <m/>
    <m/>
    <n v="477500"/>
    <n v="-477500"/>
    <s v="chq amount 500,000 this chq rec from total as unilever payment"/>
  </r>
  <r>
    <x v="472"/>
    <x v="50"/>
    <x v="5"/>
    <m/>
    <n v="23400"/>
    <m/>
    <n v="23400"/>
    <m/>
  </r>
  <r>
    <x v="472"/>
    <x v="51"/>
    <x v="6"/>
    <m/>
    <n v="9652"/>
    <m/>
    <n v="9652"/>
    <m/>
  </r>
  <r>
    <x v="472"/>
    <x v="51"/>
    <x v="6"/>
    <m/>
    <n v="74142"/>
    <m/>
    <n v="74142"/>
    <m/>
  </r>
  <r>
    <x v="472"/>
    <x v="50"/>
    <x v="8"/>
    <m/>
    <m/>
    <n v="157740"/>
    <n v="-157740"/>
    <m/>
  </r>
  <r>
    <x v="472"/>
    <x v="46"/>
    <x v="8"/>
    <m/>
    <m/>
    <n v="6800"/>
    <n v="-6800"/>
    <s v="dib chq 01727450"/>
  </r>
  <r>
    <x v="472"/>
    <x v="46"/>
    <x v="8"/>
    <m/>
    <m/>
    <n v="-540"/>
    <n v="540"/>
    <m/>
  </r>
  <r>
    <x v="473"/>
    <x v="41"/>
    <x v="2"/>
    <m/>
    <m/>
    <n v="200000"/>
    <n v="-200000"/>
    <s v="paid thru dib Chq 01927453"/>
  </r>
  <r>
    <x v="473"/>
    <x v="50"/>
    <x v="0"/>
    <m/>
    <m/>
    <n v="400000"/>
    <n v="-400000"/>
    <s v="paid thru dib Chq 01927454"/>
  </r>
  <r>
    <x v="473"/>
    <x v="25"/>
    <x v="6"/>
    <m/>
    <m/>
    <n v="300000"/>
    <n v="-300000"/>
    <s v="paid thru dib Chq 01927457"/>
  </r>
  <r>
    <x v="473"/>
    <x v="25"/>
    <x v="3"/>
    <m/>
    <m/>
    <n v="35000"/>
    <n v="-35000"/>
    <s v="paid thru mcb Chq 1722007612"/>
  </r>
  <r>
    <x v="474"/>
    <x v="25"/>
    <x v="7"/>
    <m/>
    <n v="60000"/>
    <m/>
    <n v="60000"/>
    <m/>
  </r>
  <r>
    <x v="474"/>
    <x v="46"/>
    <x v="7"/>
    <m/>
    <n v="19668"/>
    <m/>
    <n v="19668"/>
    <m/>
  </r>
  <r>
    <x v="474"/>
    <x v="46"/>
    <x v="7"/>
    <m/>
    <n v="51207"/>
    <m/>
    <n v="51207"/>
    <m/>
  </r>
  <r>
    <x v="474"/>
    <x v="46"/>
    <x v="7"/>
    <m/>
    <n v="2067"/>
    <m/>
    <n v="2067"/>
    <m/>
  </r>
  <r>
    <x v="474"/>
    <x v="25"/>
    <x v="7"/>
    <m/>
    <n v="1708"/>
    <m/>
    <n v="1708"/>
    <m/>
  </r>
  <r>
    <x v="474"/>
    <x v="46"/>
    <x v="7"/>
    <m/>
    <n v="43272"/>
    <m/>
    <n v="43272"/>
    <m/>
  </r>
  <r>
    <x v="474"/>
    <x v="46"/>
    <x v="7"/>
    <m/>
    <n v="83066"/>
    <m/>
    <n v="83066"/>
    <m/>
  </r>
  <r>
    <x v="474"/>
    <x v="25"/>
    <x v="7"/>
    <m/>
    <n v="2040"/>
    <m/>
    <n v="2040"/>
    <m/>
  </r>
  <r>
    <x v="474"/>
    <x v="46"/>
    <x v="7"/>
    <m/>
    <n v="17118"/>
    <m/>
    <n v="17118"/>
    <m/>
  </r>
  <r>
    <x v="475"/>
    <x v="50"/>
    <x v="5"/>
    <m/>
    <n v="24000"/>
    <m/>
    <n v="24000"/>
    <m/>
  </r>
  <r>
    <x v="475"/>
    <x v="50"/>
    <x v="0"/>
    <m/>
    <n v="66000"/>
    <m/>
    <n v="66000"/>
    <m/>
  </r>
  <r>
    <x v="475"/>
    <x v="25"/>
    <x v="3"/>
    <m/>
    <n v="19095"/>
    <m/>
    <n v="19095"/>
    <m/>
  </r>
  <r>
    <x v="475"/>
    <x v="46"/>
    <x v="8"/>
    <m/>
    <m/>
    <n v="15000"/>
    <n v="-15000"/>
    <s v="donate in masjid"/>
  </r>
  <r>
    <x v="475"/>
    <x v="46"/>
    <x v="8"/>
    <m/>
    <m/>
    <n v="540"/>
    <n v="-540"/>
    <s v="adjust"/>
  </r>
  <r>
    <x v="475"/>
    <x v="46"/>
    <x v="8"/>
    <m/>
    <m/>
    <n v="82500"/>
    <n v="-82500"/>
    <s v="paid thru dib Chq 01927487 "/>
  </r>
  <r>
    <x v="476"/>
    <x v="46"/>
    <x v="7"/>
    <m/>
    <n v="48168"/>
    <m/>
    <n v="48168"/>
    <m/>
  </r>
  <r>
    <x v="476"/>
    <x v="46"/>
    <x v="7"/>
    <m/>
    <n v="5264"/>
    <m/>
    <n v="5264"/>
    <m/>
  </r>
  <r>
    <x v="476"/>
    <x v="46"/>
    <x v="7"/>
    <m/>
    <n v="44503"/>
    <m/>
    <n v="44503"/>
    <m/>
  </r>
  <r>
    <x v="476"/>
    <x v="46"/>
    <x v="7"/>
    <m/>
    <n v="3198"/>
    <m/>
    <n v="3198"/>
    <m/>
  </r>
  <r>
    <x v="476"/>
    <x v="25"/>
    <x v="7"/>
    <m/>
    <n v="2592"/>
    <m/>
    <n v="2592"/>
    <m/>
  </r>
  <r>
    <x v="475"/>
    <x v="50"/>
    <x v="0"/>
    <m/>
    <m/>
    <n v="250000"/>
    <n v="-250000"/>
    <s v="paid thru dib Chq 0192785"/>
  </r>
  <r>
    <x v="477"/>
    <x v="25"/>
    <x v="5"/>
    <m/>
    <n v="50800"/>
    <m/>
    <n v="50800"/>
    <m/>
  </r>
  <r>
    <x v="478"/>
    <x v="53"/>
    <x v="3"/>
    <m/>
    <n v="262657"/>
    <m/>
    <n v="262657"/>
    <m/>
  </r>
  <r>
    <x v="478"/>
    <x v="25"/>
    <x v="3"/>
    <m/>
    <n v="63122"/>
    <m/>
    <n v="63122"/>
    <m/>
  </r>
  <r>
    <x v="478"/>
    <x v="25"/>
    <x v="3"/>
    <m/>
    <n v="23172"/>
    <m/>
    <n v="23172"/>
    <m/>
  </r>
  <r>
    <x v="479"/>
    <x v="50"/>
    <x v="8"/>
    <m/>
    <n v="80000"/>
    <m/>
    <n v="80000"/>
    <m/>
  </r>
  <r>
    <x v="479"/>
    <x v="46"/>
    <x v="8"/>
    <m/>
    <n v="85000"/>
    <m/>
    <n v="85000"/>
    <m/>
  </r>
  <r>
    <x v="480"/>
    <x v="25"/>
    <x v="6"/>
    <m/>
    <n v="97336"/>
    <m/>
    <n v="97336"/>
    <m/>
  </r>
  <r>
    <x v="481"/>
    <x v="25"/>
    <x v="3"/>
    <m/>
    <m/>
    <n v="108607"/>
    <n v="-108607"/>
    <s v="this payment paid thru JPMC adhoc payment Chq amount 300,000"/>
  </r>
  <r>
    <x v="481"/>
    <x v="53"/>
    <x v="3"/>
    <m/>
    <m/>
    <n v="191393"/>
    <n v="-191393"/>
    <s v="which received on 06-4-19"/>
  </r>
  <r>
    <x v="482"/>
    <x v="51"/>
    <x v="5"/>
    <m/>
    <m/>
    <n v="198400"/>
    <n v="-198400"/>
    <m/>
  </r>
  <r>
    <x v="482"/>
    <x v="25"/>
    <x v="5"/>
    <m/>
    <m/>
    <n v="25524"/>
    <n v="-25524"/>
    <s v="This chq received from Total against JPMC IPC 40 amount 500,000"/>
  </r>
  <r>
    <x v="482"/>
    <x v="50"/>
    <x v="5"/>
    <m/>
    <m/>
    <n v="82400"/>
    <n v="-82400"/>
    <m/>
  </r>
  <r>
    <x v="482"/>
    <x v="46"/>
    <x v="5"/>
    <m/>
    <m/>
    <n v="28500"/>
    <n v="-28500"/>
    <m/>
  </r>
  <r>
    <x v="482"/>
    <x v="25"/>
    <x v="5"/>
    <m/>
    <m/>
    <n v="165176"/>
    <n v="-165176"/>
    <m/>
  </r>
  <r>
    <x v="482"/>
    <x v="25"/>
    <x v="6"/>
    <m/>
    <m/>
    <n v="300000"/>
    <n v="-300000"/>
    <s v="This chq received from Total against JPMC IPC 40 amount 300,000"/>
  </r>
  <r>
    <x v="483"/>
    <x v="50"/>
    <x v="8"/>
    <m/>
    <n v="135000"/>
    <m/>
    <n v="135000"/>
    <m/>
  </r>
  <r>
    <x v="484"/>
    <x v="46"/>
    <x v="7"/>
    <m/>
    <n v="240"/>
    <m/>
    <n v="240"/>
    <m/>
  </r>
  <r>
    <x v="484"/>
    <x v="46"/>
    <x v="7"/>
    <m/>
    <n v="3340"/>
    <m/>
    <n v="3340"/>
    <m/>
  </r>
  <r>
    <x v="484"/>
    <x v="46"/>
    <x v="7"/>
    <m/>
    <n v="5002"/>
    <m/>
    <n v="5002"/>
    <m/>
  </r>
  <r>
    <x v="484"/>
    <x v="46"/>
    <x v="7"/>
    <m/>
    <n v="11617"/>
    <m/>
    <n v="11617"/>
    <m/>
  </r>
  <r>
    <x v="484"/>
    <x v="25"/>
    <x v="7"/>
    <m/>
    <n v="15086"/>
    <m/>
    <n v="15086"/>
    <m/>
  </r>
  <r>
    <x v="484"/>
    <x v="25"/>
    <x v="7"/>
    <m/>
    <n v="93219"/>
    <m/>
    <n v="93219"/>
    <m/>
  </r>
  <r>
    <x v="484"/>
    <x v="25"/>
    <x v="7"/>
    <m/>
    <n v="4560"/>
    <m/>
    <n v="4560"/>
    <m/>
  </r>
  <r>
    <x v="484"/>
    <x v="25"/>
    <x v="3"/>
    <m/>
    <n v="1193"/>
    <m/>
    <n v="1193"/>
    <m/>
  </r>
  <r>
    <x v="485"/>
    <x v="46"/>
    <x v="7"/>
    <m/>
    <m/>
    <n v="487500"/>
    <n v="-487500"/>
    <s v="Received against IPC -40 on 11-06-19 this chq given to Taheriya"/>
  </r>
  <r>
    <x v="484"/>
    <x v="46"/>
    <x v="1"/>
    <m/>
    <n v="55080"/>
    <m/>
    <n v="55080"/>
    <m/>
  </r>
  <r>
    <x v="485"/>
    <x v="46"/>
    <x v="1"/>
    <m/>
    <n v="55687"/>
    <m/>
    <n v="55687"/>
    <m/>
  </r>
  <r>
    <x v="485"/>
    <x v="25"/>
    <x v="3"/>
    <m/>
    <n v="34265"/>
    <m/>
    <n v="34265"/>
    <m/>
  </r>
  <r>
    <x v="485"/>
    <x v="25"/>
    <x v="5"/>
    <m/>
    <n v="14600"/>
    <m/>
    <n v="14600"/>
    <m/>
  </r>
  <r>
    <x v="485"/>
    <x v="25"/>
    <x v="5"/>
    <m/>
    <n v="6665"/>
    <m/>
    <n v="6665"/>
    <m/>
  </r>
  <r>
    <x v="485"/>
    <x v="25"/>
    <x v="5"/>
    <m/>
    <n v="52800"/>
    <m/>
    <n v="52800"/>
    <m/>
  </r>
  <r>
    <x v="486"/>
    <x v="48"/>
    <x v="5"/>
    <m/>
    <n v="4300"/>
    <m/>
    <n v="4300"/>
    <m/>
  </r>
  <r>
    <x v="486"/>
    <x v="25"/>
    <x v="5"/>
    <m/>
    <n v="80000"/>
    <m/>
    <n v="80000"/>
    <m/>
  </r>
  <r>
    <x v="486"/>
    <x v="46"/>
    <x v="7"/>
    <m/>
    <m/>
    <n v="50000"/>
    <n v="-50000"/>
    <m/>
  </r>
  <r>
    <x v="487"/>
    <x v="46"/>
    <x v="7"/>
    <m/>
    <n v="3154"/>
    <m/>
    <n v="3154"/>
    <m/>
  </r>
  <r>
    <x v="487"/>
    <x v="46"/>
    <x v="7"/>
    <m/>
    <n v="4846"/>
    <m/>
    <n v="4846"/>
    <m/>
  </r>
  <r>
    <x v="487"/>
    <x v="25"/>
    <x v="7"/>
    <m/>
    <n v="9090"/>
    <m/>
    <n v="9090"/>
    <m/>
  </r>
  <r>
    <x v="487"/>
    <x v="46"/>
    <x v="7"/>
    <m/>
    <n v="11775"/>
    <m/>
    <n v="11775"/>
    <m/>
  </r>
  <r>
    <x v="487"/>
    <x v="25"/>
    <x v="7"/>
    <m/>
    <n v="13142"/>
    <m/>
    <n v="13142"/>
    <m/>
  </r>
  <r>
    <x v="487"/>
    <x v="54"/>
    <x v="5"/>
    <m/>
    <n v="9600"/>
    <m/>
    <n v="9600"/>
    <m/>
  </r>
  <r>
    <x v="487"/>
    <x v="25"/>
    <x v="6"/>
    <m/>
    <n v="2549"/>
    <m/>
    <n v="2549"/>
    <m/>
  </r>
  <r>
    <x v="487"/>
    <x v="25"/>
    <x v="6"/>
    <m/>
    <n v="103104"/>
    <m/>
    <n v="103104"/>
    <m/>
  </r>
  <r>
    <x v="487"/>
    <x v="50"/>
    <x v="8"/>
    <m/>
    <n v="15000"/>
    <m/>
    <n v="15000"/>
    <m/>
  </r>
  <r>
    <x v="487"/>
    <x v="54"/>
    <x v="1"/>
    <m/>
    <n v="32000"/>
    <m/>
    <n v="32000"/>
    <m/>
  </r>
  <r>
    <x v="488"/>
    <x v="54"/>
    <x v="1"/>
    <m/>
    <n v="32000"/>
    <m/>
    <n v="32000"/>
    <m/>
  </r>
  <r>
    <x v="488"/>
    <x v="54"/>
    <x v="1"/>
    <m/>
    <n v="20544"/>
    <m/>
    <n v="20544"/>
    <m/>
  </r>
  <r>
    <x v="489"/>
    <x v="54"/>
    <x v="5"/>
    <m/>
    <n v="26700"/>
    <m/>
    <n v="26700"/>
    <m/>
  </r>
  <r>
    <x v="489"/>
    <x v="53"/>
    <x v="3"/>
    <m/>
    <m/>
    <n v="50000"/>
    <n v="-50000"/>
    <s v="Two cheques amounting rs 25000 each given to Tube traders this payment , rec from total adeel as hyundai advance rec dte 16-7-19"/>
  </r>
  <r>
    <x v="489"/>
    <x v="54"/>
    <x v="1"/>
    <m/>
    <n v="81000"/>
    <m/>
    <n v="81000"/>
    <m/>
  </r>
  <r>
    <x v="489"/>
    <x v="25"/>
    <x v="6"/>
    <m/>
    <n v="113298"/>
    <m/>
    <n v="113298"/>
    <m/>
  </r>
  <r>
    <x v="489"/>
    <x v="54"/>
    <x v="1"/>
    <m/>
    <m/>
    <n v="170644"/>
    <n v="-170644"/>
    <s v="This payment received form total adeel "/>
  </r>
  <r>
    <x v="489"/>
    <x v="25"/>
    <x v="1"/>
    <m/>
    <m/>
    <n v="18333"/>
    <n v="-18333"/>
    <m/>
  </r>
  <r>
    <x v="489"/>
    <x v="46"/>
    <x v="1"/>
    <m/>
    <m/>
    <n v="111023"/>
    <n v="-111023"/>
    <s v="as hyundai advance chq amount 300000"/>
  </r>
  <r>
    <x v="490"/>
    <x v="55"/>
    <x v="2"/>
    <m/>
    <n v="15712"/>
    <m/>
    <n v="15712"/>
    <m/>
  </r>
  <r>
    <x v="491"/>
    <x v="41"/>
    <x v="2"/>
    <m/>
    <m/>
    <n v="148899"/>
    <n v="-148899"/>
    <m/>
  </r>
  <r>
    <x v="491"/>
    <x v="55"/>
    <x v="2"/>
    <m/>
    <m/>
    <n v="15712"/>
    <n v="-15712"/>
    <m/>
  </r>
  <r>
    <x v="491"/>
    <x v="48"/>
    <x v="2"/>
    <m/>
    <m/>
    <n v="35376"/>
    <n v="-35376"/>
    <m/>
  </r>
  <r>
    <x v="491"/>
    <x v="0"/>
    <x v="2"/>
    <m/>
    <m/>
    <n v="13"/>
    <n v="-13"/>
    <m/>
  </r>
  <r>
    <x v="491"/>
    <x v="50"/>
    <x v="0"/>
    <m/>
    <m/>
    <n v="130000"/>
    <n v="-130000"/>
    <s v="This payment paid thru zeelaf munir 5th payment received on 28-6-19"/>
  </r>
  <r>
    <x v="492"/>
    <x v="46"/>
    <x v="7"/>
    <m/>
    <m/>
    <n v="816250"/>
    <n v="-816250"/>
    <s v="This payment received from total as IPC 5 food court chq received total amount rs 1350,000 "/>
  </r>
  <r>
    <x v="493"/>
    <x v="25"/>
    <x v="5"/>
    <m/>
    <n v="25600"/>
    <m/>
    <n v="25600"/>
    <m/>
  </r>
  <r>
    <x v="493"/>
    <x v="46"/>
    <x v="5"/>
    <m/>
    <n v="28500"/>
    <m/>
    <n v="28500"/>
    <m/>
  </r>
  <r>
    <x v="493"/>
    <x v="54"/>
    <x v="1"/>
    <m/>
    <n v="5100"/>
    <m/>
    <n v="5100"/>
    <m/>
  </r>
  <r>
    <x v="494"/>
    <x v="46"/>
    <x v="8"/>
    <m/>
    <n v="137898"/>
    <m/>
    <n v="137898"/>
    <m/>
  </r>
  <r>
    <x v="495"/>
    <x v="25"/>
    <x v="6"/>
    <m/>
    <n v="198234"/>
    <m/>
    <n v="198234"/>
    <m/>
  </r>
  <r>
    <x v="495"/>
    <x v="25"/>
    <x v="7"/>
    <m/>
    <n v="1344"/>
    <m/>
    <n v="1344"/>
    <m/>
  </r>
  <r>
    <x v="495"/>
    <x v="25"/>
    <x v="7"/>
    <m/>
    <n v="3395"/>
    <m/>
    <n v="3395"/>
    <s v="smc office"/>
  </r>
  <r>
    <x v="495"/>
    <x v="52"/>
    <x v="7"/>
    <m/>
    <n v="755"/>
    <m/>
    <n v="755"/>
    <m/>
  </r>
  <r>
    <x v="495"/>
    <x v="25"/>
    <x v="7"/>
    <m/>
    <n v="1614"/>
    <m/>
    <n v="1614"/>
    <m/>
  </r>
  <r>
    <x v="495"/>
    <x v="40"/>
    <x v="7"/>
    <m/>
    <n v="8402"/>
    <m/>
    <n v="8402"/>
    <m/>
  </r>
  <r>
    <x v="495"/>
    <x v="25"/>
    <x v="7"/>
    <m/>
    <n v="2706"/>
    <m/>
    <n v="2706"/>
    <m/>
  </r>
  <r>
    <x v="495"/>
    <x v="25"/>
    <x v="7"/>
    <m/>
    <n v="4059"/>
    <m/>
    <n v="4059"/>
    <m/>
  </r>
  <r>
    <x v="495"/>
    <x v="46"/>
    <x v="7"/>
    <m/>
    <n v="103903"/>
    <m/>
    <n v="103903"/>
    <m/>
  </r>
  <r>
    <x v="495"/>
    <x v="25"/>
    <x v="7"/>
    <m/>
    <n v="6048"/>
    <m/>
    <n v="6048"/>
    <m/>
  </r>
  <r>
    <x v="495"/>
    <x v="25"/>
    <x v="7"/>
    <m/>
    <n v="204327"/>
    <m/>
    <n v="204327"/>
    <m/>
  </r>
  <r>
    <x v="495"/>
    <x v="25"/>
    <x v="7"/>
    <m/>
    <n v="2707"/>
    <m/>
    <n v="2707"/>
    <m/>
  </r>
  <r>
    <x v="495"/>
    <x v="50"/>
    <x v="8"/>
    <m/>
    <m/>
    <n v="230000"/>
    <n v="-230000"/>
    <m/>
  </r>
  <r>
    <x v="495"/>
    <x v="46"/>
    <x v="8"/>
    <m/>
    <m/>
    <n v="85000"/>
    <n v="-85000"/>
    <s v="dib chq 02009154 rs 315,000 6-8-19"/>
  </r>
  <r>
    <x v="496"/>
    <x v="25"/>
    <x v="6"/>
    <m/>
    <n v="86214"/>
    <m/>
    <n v="86214"/>
    <m/>
  </r>
  <r>
    <x v="497"/>
    <x v="46"/>
    <x v="1"/>
    <m/>
    <n v="58875"/>
    <m/>
    <n v="58875"/>
    <m/>
  </r>
  <r>
    <x v="498"/>
    <x v="25"/>
    <x v="5"/>
    <m/>
    <n v="38400"/>
    <m/>
    <n v="38400"/>
    <m/>
  </r>
  <r>
    <x v="499"/>
    <x v="25"/>
    <x v="6"/>
    <m/>
    <m/>
    <n v="403500"/>
    <n v="-403500"/>
    <s v="This chq received from adeel total as unilever full and final payment chq amount 403500"/>
  </r>
  <r>
    <x v="499"/>
    <x v="46"/>
    <x v="1"/>
    <m/>
    <m/>
    <n v="59345"/>
    <n v="-59345"/>
    <s v="This chq received from adeel total as unilever full and final payment chq amount 59345"/>
  </r>
  <r>
    <x v="499"/>
    <x v="50"/>
    <x v="5"/>
    <m/>
    <n v="18960"/>
    <m/>
    <n v="18960"/>
    <m/>
  </r>
  <r>
    <x v="499"/>
    <x v="48"/>
    <x v="5"/>
    <m/>
    <m/>
    <n v="4300"/>
    <n v="-4300"/>
    <m/>
  </r>
  <r>
    <x v="499"/>
    <x v="25"/>
    <x v="5"/>
    <m/>
    <m/>
    <n v="52889"/>
    <n v="-52889"/>
    <m/>
  </r>
  <r>
    <x v="499"/>
    <x v="54"/>
    <x v="5"/>
    <m/>
    <m/>
    <n v="36300"/>
    <n v="-36300"/>
    <s v="This chq received from adeel total as unilever full and final payment chq amount 100,000"/>
  </r>
  <r>
    <x v="499"/>
    <x v="50"/>
    <x v="5"/>
    <m/>
    <m/>
    <n v="6511"/>
    <n v="-6511"/>
    <m/>
  </r>
  <r>
    <x v="499"/>
    <x v="50"/>
    <x v="5"/>
    <m/>
    <n v="13000"/>
    <m/>
    <n v="13000"/>
    <m/>
  </r>
  <r>
    <x v="499"/>
    <x v="25"/>
    <x v="5"/>
    <m/>
    <n v="3200"/>
    <m/>
    <n v="3200"/>
    <m/>
  </r>
  <r>
    <x v="500"/>
    <x v="56"/>
    <x v="1"/>
    <m/>
    <n v="162425"/>
    <m/>
    <n v="162425"/>
    <m/>
  </r>
  <r>
    <x v="500"/>
    <x v="50"/>
    <x v="8"/>
    <m/>
    <n v="103497"/>
    <m/>
    <n v="103497"/>
    <m/>
  </r>
  <r>
    <x v="500"/>
    <x v="46"/>
    <x v="8"/>
    <m/>
    <n v="7052"/>
    <m/>
    <n v="7052"/>
    <m/>
  </r>
  <r>
    <x v="501"/>
    <x v="56"/>
    <x v="1"/>
    <m/>
    <n v="129340"/>
    <m/>
    <n v="129340"/>
    <m/>
  </r>
  <r>
    <x v="501"/>
    <x v="25"/>
    <x v="7"/>
    <m/>
    <n v="20115"/>
    <m/>
    <n v="20115"/>
    <m/>
  </r>
  <r>
    <x v="501"/>
    <x v="46"/>
    <x v="7"/>
    <m/>
    <n v="1789"/>
    <m/>
    <n v="1789"/>
    <m/>
  </r>
  <r>
    <x v="501"/>
    <x v="46"/>
    <x v="7"/>
    <m/>
    <n v="2174"/>
    <m/>
    <n v="2174"/>
    <m/>
  </r>
  <r>
    <x v="501"/>
    <x v="46"/>
    <x v="7"/>
    <m/>
    <n v="3559"/>
    <m/>
    <n v="3559"/>
    <m/>
  </r>
  <r>
    <x v="501"/>
    <x v="46"/>
    <x v="7"/>
    <m/>
    <n v="19080"/>
    <m/>
    <n v="19080"/>
    <m/>
  </r>
  <r>
    <x v="501"/>
    <x v="25"/>
    <x v="7"/>
    <m/>
    <n v="3408"/>
    <m/>
    <n v="3408"/>
    <m/>
  </r>
  <r>
    <x v="502"/>
    <x v="56"/>
    <x v="1"/>
    <m/>
    <n v="258180"/>
    <m/>
    <n v="258180"/>
    <m/>
  </r>
  <r>
    <x v="502"/>
    <x v="56"/>
    <x v="1"/>
    <m/>
    <n v="65170"/>
    <m/>
    <n v="65170"/>
    <m/>
  </r>
  <r>
    <x v="502"/>
    <x v="56"/>
    <x v="1"/>
    <m/>
    <n v="45027"/>
    <m/>
    <n v="45027"/>
    <m/>
  </r>
  <r>
    <x v="502"/>
    <x v="56"/>
    <x v="1"/>
    <m/>
    <n v="13100"/>
    <m/>
    <n v="13100"/>
    <m/>
  </r>
  <r>
    <x v="502"/>
    <x v="25"/>
    <x v="5"/>
    <m/>
    <n v="27320"/>
    <m/>
    <n v="27320"/>
    <m/>
  </r>
  <r>
    <x v="502"/>
    <x v="46"/>
    <x v="5"/>
    <m/>
    <n v="9600"/>
    <m/>
    <n v="9600"/>
    <m/>
  </r>
  <r>
    <x v="502"/>
    <x v="56"/>
    <x v="8"/>
    <m/>
    <n v="42936"/>
    <m/>
    <n v="42936"/>
    <m/>
  </r>
  <r>
    <x v="502"/>
    <x v="46"/>
    <x v="8"/>
    <m/>
    <n v="54712"/>
    <m/>
    <n v="54712"/>
    <m/>
  </r>
  <r>
    <x v="503"/>
    <x v="46"/>
    <x v="8"/>
    <m/>
    <m/>
    <n v="200000"/>
    <n v="-200000"/>
    <s v="This chq received from my interior shakeel as Khaadi DMTR advane"/>
  </r>
  <r>
    <x v="503"/>
    <x v="50"/>
    <x v="8"/>
    <m/>
    <m/>
    <n v="50000"/>
    <n v="-50000"/>
    <m/>
  </r>
  <r>
    <x v="503"/>
    <x v="50"/>
    <x v="8"/>
    <m/>
    <m/>
    <n v="16000"/>
    <n v="-16000"/>
    <s v="this cash extra paid after SS sheet purchased"/>
  </r>
  <r>
    <x v="504"/>
    <x v="56"/>
    <x v="1"/>
    <m/>
    <n v="10850"/>
    <m/>
    <n v="10850"/>
    <m/>
  </r>
  <r>
    <x v="505"/>
    <x v="56"/>
    <x v="1"/>
    <m/>
    <n v="65170"/>
    <m/>
    <n v="65170"/>
    <m/>
  </r>
  <r>
    <x v="504"/>
    <x v="56"/>
    <x v="1"/>
    <m/>
    <n v="17844"/>
    <m/>
    <n v="17844"/>
    <m/>
  </r>
  <r>
    <x v="500"/>
    <x v="56"/>
    <x v="5"/>
    <m/>
    <n v="6400"/>
    <m/>
    <n v="6400"/>
    <m/>
  </r>
  <r>
    <x v="506"/>
    <x v="25"/>
    <x v="6"/>
    <m/>
    <n v="64879"/>
    <m/>
    <n v="64879"/>
    <m/>
  </r>
  <r>
    <x v="507"/>
    <x v="46"/>
    <x v="7"/>
    <m/>
    <n v="5699"/>
    <m/>
    <n v="5699"/>
    <m/>
  </r>
  <r>
    <x v="507"/>
    <x v="50"/>
    <x v="7"/>
    <m/>
    <n v="22119"/>
    <m/>
    <n v="22119"/>
    <m/>
  </r>
  <r>
    <x v="507"/>
    <x v="25"/>
    <x v="7"/>
    <m/>
    <n v="2259"/>
    <m/>
    <n v="2259"/>
    <m/>
  </r>
  <r>
    <x v="507"/>
    <x v="46"/>
    <x v="7"/>
    <m/>
    <n v="3802"/>
    <m/>
    <n v="3802"/>
    <m/>
  </r>
  <r>
    <x v="507"/>
    <x v="25"/>
    <x v="7"/>
    <m/>
    <n v="7250"/>
    <m/>
    <n v="7250"/>
    <m/>
  </r>
  <r>
    <x v="507"/>
    <x v="57"/>
    <x v="7"/>
    <m/>
    <n v="42521"/>
    <m/>
    <n v="42521"/>
    <m/>
  </r>
  <r>
    <x v="507"/>
    <x v="46"/>
    <x v="7"/>
    <m/>
    <n v="1510"/>
    <m/>
    <n v="1510"/>
    <m/>
  </r>
  <r>
    <x v="507"/>
    <x v="25"/>
    <x v="7"/>
    <m/>
    <n v="1790"/>
    <m/>
    <n v="1790"/>
    <m/>
  </r>
  <r>
    <x v="507"/>
    <x v="25"/>
    <x v="7"/>
    <m/>
    <n v="18596"/>
    <m/>
    <n v="18596"/>
    <m/>
  </r>
  <r>
    <x v="507"/>
    <x v="46"/>
    <x v="7"/>
    <m/>
    <n v="14805"/>
    <m/>
    <n v="14805"/>
    <m/>
  </r>
  <r>
    <x v="507"/>
    <x v="57"/>
    <x v="7"/>
    <m/>
    <n v="10158"/>
    <m/>
    <n v="10158"/>
    <m/>
  </r>
  <r>
    <x v="507"/>
    <x v="52"/>
    <x v="7"/>
    <m/>
    <n v="998"/>
    <m/>
    <n v="998"/>
    <m/>
  </r>
  <r>
    <x v="508"/>
    <x v="56"/>
    <x v="1"/>
    <m/>
    <n v="46332"/>
    <m/>
    <n v="46332"/>
    <m/>
  </r>
  <r>
    <x v="508"/>
    <x v="50"/>
    <x v="1"/>
    <m/>
    <n v="1190"/>
    <m/>
    <n v="1190"/>
    <m/>
  </r>
  <r>
    <x v="508"/>
    <x v="46"/>
    <x v="8"/>
    <m/>
    <n v="7080"/>
    <m/>
    <n v="7080"/>
    <m/>
  </r>
  <r>
    <x v="508"/>
    <x v="50"/>
    <x v="8"/>
    <m/>
    <n v="63900"/>
    <m/>
    <n v="63900"/>
    <m/>
  </r>
  <r>
    <x v="508"/>
    <x v="50"/>
    <x v="8"/>
    <m/>
    <m/>
    <n v="75"/>
    <n v="-75"/>
    <s v="adjust"/>
  </r>
  <r>
    <x v="509"/>
    <x v="46"/>
    <x v="8"/>
    <m/>
    <m/>
    <n v="6742"/>
    <n v="-6742"/>
    <m/>
  </r>
  <r>
    <x v="509"/>
    <x v="50"/>
    <x v="8"/>
    <m/>
    <m/>
    <n v="101322"/>
    <n v="-101322"/>
    <s v="paid thru dib chq 02040734 rs 150,000"/>
  </r>
  <r>
    <x v="509"/>
    <x v="56"/>
    <x v="8"/>
    <m/>
    <m/>
    <n v="42936"/>
    <n v="-42936"/>
    <s v="."/>
  </r>
  <r>
    <x v="510"/>
    <x v="46"/>
    <x v="8"/>
    <m/>
    <n v="16272"/>
    <m/>
    <n v="16272"/>
    <m/>
  </r>
  <r>
    <x v="511"/>
    <x v="25"/>
    <x v="6"/>
    <m/>
    <n v="386932"/>
    <m/>
    <n v="386932"/>
    <m/>
  </r>
  <r>
    <x v="512"/>
    <x v="50"/>
    <x v="5"/>
    <m/>
    <n v="13000"/>
    <m/>
    <n v="13000"/>
    <m/>
  </r>
  <r>
    <x v="512"/>
    <x v="25"/>
    <x v="5"/>
    <m/>
    <n v="10700"/>
    <m/>
    <n v="10700"/>
    <m/>
  </r>
  <r>
    <x v="512"/>
    <x v="25"/>
    <x v="5"/>
    <m/>
    <n v="65221"/>
    <m/>
    <n v="65221"/>
    <m/>
  </r>
  <r>
    <x v="512"/>
    <x v="25"/>
    <x v="5"/>
    <m/>
    <n v="92400"/>
    <m/>
    <n v="92400"/>
    <m/>
  </r>
  <r>
    <x v="512"/>
    <x v="25"/>
    <x v="5"/>
    <m/>
    <n v="61600"/>
    <m/>
    <n v="61600"/>
    <m/>
  </r>
  <r>
    <x v="513"/>
    <x v="46"/>
    <x v="7"/>
    <m/>
    <n v="49612"/>
    <m/>
    <n v="49612"/>
    <s v="This bill is not scrutized"/>
  </r>
  <r>
    <x v="513"/>
    <x v="25"/>
    <x v="7"/>
    <m/>
    <n v="7099"/>
    <m/>
    <n v="7099"/>
    <m/>
  </r>
  <r>
    <x v="513"/>
    <x v="25"/>
    <x v="7"/>
    <m/>
    <n v="17180"/>
    <m/>
    <n v="17180"/>
    <m/>
  </r>
  <r>
    <x v="513"/>
    <x v="46"/>
    <x v="7"/>
    <m/>
    <n v="150448"/>
    <m/>
    <n v="150448"/>
    <m/>
  </r>
  <r>
    <x v="513"/>
    <x v="46"/>
    <x v="7"/>
    <m/>
    <n v="7570"/>
    <m/>
    <n v="7570"/>
    <m/>
  </r>
  <r>
    <x v="513"/>
    <x v="25"/>
    <x v="7"/>
    <m/>
    <n v="7422"/>
    <m/>
    <n v="7422"/>
    <m/>
  </r>
  <r>
    <x v="513"/>
    <x v="46"/>
    <x v="7"/>
    <m/>
    <n v="25000"/>
    <m/>
    <n v="25000"/>
    <m/>
  </r>
  <r>
    <x v="514"/>
    <x v="56"/>
    <x v="1"/>
    <m/>
    <m/>
    <n v="500000"/>
    <n v="-500000"/>
    <s v="received against Eye ward jpmc bill (This chq given to kaytess in khaadi dmtr insulation deal)"/>
  </r>
  <r>
    <x v="514"/>
    <x v="50"/>
    <x v="5"/>
    <m/>
    <m/>
    <n v="38449"/>
    <n v="-38449"/>
    <m/>
  </r>
  <r>
    <x v="514"/>
    <x v="25"/>
    <x v="5"/>
    <m/>
    <m/>
    <n v="245551"/>
    <n v="-245551"/>
    <m/>
  </r>
  <r>
    <x v="514"/>
    <x v="46"/>
    <x v="5"/>
    <m/>
    <m/>
    <n v="9600"/>
    <n v="-9600"/>
    <s v="received against Eye ward jpmc bill (This chq given to iqbal sons)"/>
  </r>
  <r>
    <x v="514"/>
    <x v="56"/>
    <x v="5"/>
    <m/>
    <m/>
    <n v="6400"/>
    <n v="-6400"/>
    <m/>
  </r>
  <r>
    <x v="514"/>
    <x v="50"/>
    <x v="2"/>
    <m/>
    <n v="158880"/>
    <m/>
    <n v="158880"/>
    <m/>
  </r>
  <r>
    <x v="514"/>
    <x v="50"/>
    <x v="2"/>
    <m/>
    <m/>
    <n v="443"/>
    <n v="-443"/>
    <s v="adjust"/>
  </r>
  <r>
    <x v="515"/>
    <x v="58"/>
    <x v="1"/>
    <m/>
    <n v="2500"/>
    <m/>
    <n v="2500"/>
    <m/>
  </r>
  <r>
    <x v="515"/>
    <x v="58"/>
    <x v="1"/>
    <m/>
    <n v="3450"/>
    <m/>
    <n v="3450"/>
    <m/>
  </r>
  <r>
    <x v="515"/>
    <x v="25"/>
    <x v="6"/>
    <m/>
    <n v="154606"/>
    <m/>
    <n v="154606"/>
    <m/>
  </r>
  <r>
    <x v="515"/>
    <x v="25"/>
    <x v="6"/>
    <m/>
    <n v="43839"/>
    <m/>
    <n v="43839"/>
    <m/>
  </r>
  <r>
    <x v="515"/>
    <x v="50"/>
    <x v="8"/>
    <m/>
    <n v="22656"/>
    <m/>
    <n v="22656"/>
    <m/>
  </r>
  <r>
    <x v="515"/>
    <x v="46"/>
    <x v="8"/>
    <m/>
    <n v="71887"/>
    <m/>
    <n v="71887"/>
    <m/>
  </r>
  <r>
    <x v="515"/>
    <x v="46"/>
    <x v="8"/>
    <m/>
    <n v="114000"/>
    <m/>
    <n v="114000"/>
    <m/>
  </r>
  <r>
    <x v="515"/>
    <x v="48"/>
    <x v="8"/>
    <m/>
    <n v="10278"/>
    <m/>
    <n v="10278"/>
    <m/>
  </r>
  <r>
    <x v="515"/>
    <x v="25"/>
    <x v="8"/>
    <m/>
    <n v="14000"/>
    <m/>
    <n v="14000"/>
    <m/>
  </r>
  <r>
    <x v="515"/>
    <x v="46"/>
    <x v="8"/>
    <m/>
    <m/>
    <n v="100000"/>
    <n v="-100000"/>
    <m/>
  </r>
  <r>
    <x v="515"/>
    <x v="50"/>
    <x v="2"/>
    <m/>
    <m/>
    <n v="158880"/>
    <n v="-158880"/>
    <s v="received final payment against ipc 43 chq given to islamuddin"/>
  </r>
  <r>
    <x v="516"/>
    <x v="46"/>
    <x v="7"/>
    <m/>
    <n v="23543"/>
    <m/>
    <n v="23543"/>
    <m/>
  </r>
  <r>
    <x v="517"/>
    <x v="58"/>
    <x v="7"/>
    <m/>
    <n v="41183"/>
    <m/>
    <n v="41183"/>
    <m/>
  </r>
  <r>
    <x v="517"/>
    <x v="58"/>
    <x v="7"/>
    <m/>
    <n v="58230"/>
    <m/>
    <n v="58230"/>
    <m/>
  </r>
  <r>
    <x v="517"/>
    <x v="58"/>
    <x v="7"/>
    <m/>
    <n v="2926"/>
    <m/>
    <n v="2926"/>
    <m/>
  </r>
  <r>
    <x v="517"/>
    <x v="25"/>
    <x v="7"/>
    <m/>
    <n v="17270"/>
    <m/>
    <n v="17270"/>
    <m/>
  </r>
  <r>
    <x v="517"/>
    <x v="46"/>
    <x v="7"/>
    <m/>
    <n v="15882"/>
    <m/>
    <n v="15882"/>
    <m/>
  </r>
  <r>
    <x v="517"/>
    <x v="46"/>
    <x v="7"/>
    <m/>
    <n v="21770"/>
    <m/>
    <n v="21770"/>
    <m/>
  </r>
  <r>
    <x v="517"/>
    <x v="46"/>
    <x v="7"/>
    <m/>
    <n v="3427"/>
    <m/>
    <n v="3427"/>
    <m/>
  </r>
  <r>
    <x v="517"/>
    <x v="25"/>
    <x v="7"/>
    <m/>
    <n v="3296"/>
    <m/>
    <n v="3296"/>
    <m/>
  </r>
  <r>
    <x v="517"/>
    <x v="25"/>
    <x v="7"/>
    <m/>
    <n v="20063"/>
    <m/>
    <n v="20063"/>
    <m/>
  </r>
  <r>
    <x v="517"/>
    <x v="46"/>
    <x v="7"/>
    <m/>
    <n v="60884"/>
    <m/>
    <n v="60884"/>
    <m/>
  </r>
  <r>
    <x v="517"/>
    <x v="25"/>
    <x v="5"/>
    <m/>
    <n v="92400"/>
    <m/>
    <n v="92400"/>
    <m/>
  </r>
  <r>
    <x v="517"/>
    <x v="50"/>
    <x v="1"/>
    <m/>
    <n v="3498"/>
    <m/>
    <n v="3498"/>
    <m/>
  </r>
  <r>
    <x v="517"/>
    <x v="25"/>
    <x v="3"/>
    <m/>
    <n v="31827"/>
    <m/>
    <n v="31827"/>
    <m/>
  </r>
  <r>
    <x v="518"/>
    <x v="46"/>
    <x v="7"/>
    <m/>
    <n v="1900"/>
    <m/>
    <n v="1900"/>
    <m/>
  </r>
  <r>
    <x v="518"/>
    <x v="46"/>
    <x v="7"/>
    <m/>
    <n v="1560"/>
    <m/>
    <n v="1560"/>
    <m/>
  </r>
  <r>
    <x v="518"/>
    <x v="58"/>
    <x v="7"/>
    <m/>
    <n v="8354"/>
    <m/>
    <n v="8354"/>
    <m/>
  </r>
  <r>
    <x v="518"/>
    <x v="46"/>
    <x v="7"/>
    <m/>
    <n v="16142"/>
    <m/>
    <n v="16142"/>
    <m/>
  </r>
  <r>
    <x v="518"/>
    <x v="58"/>
    <x v="7"/>
    <m/>
    <n v="12115"/>
    <m/>
    <n v="12115"/>
    <m/>
  </r>
  <r>
    <x v="518"/>
    <x v="58"/>
    <x v="7"/>
    <m/>
    <n v="18371"/>
    <m/>
    <n v="18371"/>
    <m/>
  </r>
  <r>
    <x v="518"/>
    <x v="58"/>
    <x v="7"/>
    <m/>
    <n v="2706"/>
    <m/>
    <n v="2706"/>
    <m/>
  </r>
  <r>
    <x v="518"/>
    <x v="58"/>
    <x v="7"/>
    <m/>
    <n v="6442"/>
    <m/>
    <n v="6442"/>
    <m/>
  </r>
  <r>
    <x v="519"/>
    <x v="25"/>
    <x v="5"/>
    <m/>
    <m/>
    <n v="230890"/>
    <n v="-230890"/>
    <s v="received from total adeel against Ideas Atrium mall deal rec date 23-12-19"/>
  </r>
  <r>
    <x v="519"/>
    <x v="25"/>
    <x v="5"/>
    <m/>
    <m/>
    <n v="19110"/>
    <n v="-19110"/>
    <s v="received from total adeel against Ideas Atrium mall deal rec date 23-12-19"/>
  </r>
  <r>
    <x v="519"/>
    <x v="25"/>
    <x v="6"/>
    <m/>
    <m/>
    <n v="250000"/>
    <n v="-250000"/>
    <s v="received from total adeel against Ideas Atrium mall deal rec date 23-12-19"/>
  </r>
  <r>
    <x v="519"/>
    <x v="50"/>
    <x v="0"/>
    <m/>
    <n v="88000"/>
    <m/>
    <n v="88000"/>
    <m/>
  </r>
  <r>
    <x v="519"/>
    <x v="50"/>
    <x v="0"/>
    <m/>
    <m/>
    <n v="188000"/>
    <n v="-188000"/>
    <s v="paid thru DIB chq 02040772 amount 100,000 and cash 88,000 by bilal bhai"/>
  </r>
  <r>
    <x v="519"/>
    <x v="50"/>
    <x v="0"/>
    <m/>
    <m/>
    <n v="256"/>
    <n v="-256"/>
    <s v="adjust"/>
  </r>
  <r>
    <x v="519"/>
    <x v="50"/>
    <x v="0"/>
    <m/>
    <n v="71000"/>
    <m/>
    <n v="71000"/>
    <m/>
  </r>
  <r>
    <x v="519"/>
    <x v="48"/>
    <x v="8"/>
    <m/>
    <m/>
    <n v="10278"/>
    <n v="-10278"/>
    <s v="adjust"/>
  </r>
  <r>
    <x v="519"/>
    <x v="50"/>
    <x v="8"/>
    <m/>
    <m/>
    <n v="22656"/>
    <n v="-22656"/>
    <s v="adjust"/>
  </r>
  <r>
    <x v="519"/>
    <x v="25"/>
    <x v="8"/>
    <m/>
    <m/>
    <n v="14000"/>
    <n v="-14000"/>
    <s v="adjust"/>
  </r>
  <r>
    <x v="519"/>
    <x v="46"/>
    <x v="8"/>
    <m/>
    <m/>
    <n v="102159"/>
    <n v="-102159"/>
    <s v="adjust"/>
  </r>
  <r>
    <x v="520"/>
    <x v="25"/>
    <x v="7"/>
    <m/>
    <n v="21120"/>
    <m/>
    <n v="21120"/>
    <m/>
  </r>
  <r>
    <x v="521"/>
    <x v="25"/>
    <x v="5"/>
    <m/>
    <n v="31200"/>
    <m/>
    <n v="31200"/>
    <m/>
  </r>
  <r>
    <x v="521"/>
    <x v="25"/>
    <x v="5"/>
    <m/>
    <n v="92400"/>
    <m/>
    <n v="92400"/>
    <m/>
  </r>
  <r>
    <x v="522"/>
    <x v="56"/>
    <x v="1"/>
    <m/>
    <m/>
    <n v="200000"/>
    <n v="-200000"/>
    <s v="received against total construction JPMC ipc 6 and ipc 44 "/>
  </r>
  <r>
    <x v="523"/>
    <x v="25"/>
    <x v="5"/>
    <m/>
    <n v="26000"/>
    <m/>
    <n v="26000"/>
    <m/>
  </r>
  <r>
    <x v="524"/>
    <x v="58"/>
    <x v="7"/>
    <m/>
    <n v="3960"/>
    <m/>
    <n v="3960"/>
    <m/>
  </r>
  <r>
    <x v="524"/>
    <x v="46"/>
    <x v="7"/>
    <m/>
    <n v="11472"/>
    <m/>
    <n v="11472"/>
    <m/>
  </r>
  <r>
    <x v="524"/>
    <x v="46"/>
    <x v="7"/>
    <m/>
    <n v="7192"/>
    <m/>
    <n v="7192"/>
    <m/>
  </r>
  <r>
    <x v="524"/>
    <x v="52"/>
    <x v="7"/>
    <m/>
    <n v="6222"/>
    <m/>
    <n v="6222"/>
    <m/>
  </r>
  <r>
    <x v="524"/>
    <x v="25"/>
    <x v="7"/>
    <m/>
    <n v="501"/>
    <m/>
    <n v="501"/>
    <m/>
  </r>
  <r>
    <x v="524"/>
    <x v="46"/>
    <x v="7"/>
    <m/>
    <n v="10893"/>
    <m/>
    <n v="10893"/>
    <m/>
  </r>
  <r>
    <x v="524"/>
    <x v="58"/>
    <x v="7"/>
    <m/>
    <n v="2510"/>
    <m/>
    <n v="2510"/>
    <m/>
  </r>
  <r>
    <x v="524"/>
    <x v="58"/>
    <x v="7"/>
    <m/>
    <n v="2244"/>
    <m/>
    <n v="2244"/>
    <m/>
  </r>
  <r>
    <x v="524"/>
    <x v="46"/>
    <x v="7"/>
    <m/>
    <n v="57342"/>
    <m/>
    <n v="57342"/>
    <m/>
  </r>
  <r>
    <x v="524"/>
    <x v="25"/>
    <x v="7"/>
    <m/>
    <n v="96824"/>
    <m/>
    <n v="96824"/>
    <m/>
  </r>
  <r>
    <x v="524"/>
    <x v="46"/>
    <x v="7"/>
    <m/>
    <n v="10548"/>
    <m/>
    <n v="10548"/>
    <m/>
  </r>
  <r>
    <x v="524"/>
    <x v="46"/>
    <x v="7"/>
    <m/>
    <n v="106146"/>
    <m/>
    <n v="106146"/>
    <m/>
  </r>
  <r>
    <x v="524"/>
    <x v="25"/>
    <x v="7"/>
    <m/>
    <n v="7356"/>
    <m/>
    <n v="7356"/>
    <m/>
  </r>
  <r>
    <x v="524"/>
    <x v="25"/>
    <x v="7"/>
    <m/>
    <n v="3422"/>
    <m/>
    <n v="3422"/>
    <m/>
  </r>
  <r>
    <x v="525"/>
    <x v="59"/>
    <x v="1"/>
    <m/>
    <n v="2980"/>
    <m/>
    <n v="2980"/>
    <m/>
  </r>
  <r>
    <x v="525"/>
    <x v="25"/>
    <x v="5"/>
    <m/>
    <n v="98175"/>
    <m/>
    <n v="98175"/>
    <m/>
  </r>
  <r>
    <x v="525"/>
    <x v="60"/>
    <x v="1"/>
    <m/>
    <n v="5831"/>
    <m/>
    <n v="5831"/>
    <m/>
  </r>
  <r>
    <x v="525"/>
    <x v="59"/>
    <x v="1"/>
    <m/>
    <n v="1546"/>
    <m/>
    <n v="1546"/>
    <m/>
  </r>
  <r>
    <x v="526"/>
    <x v="46"/>
    <x v="7"/>
    <m/>
    <m/>
    <n v="289763"/>
    <n v="-289763"/>
    <s v="sales return"/>
  </r>
  <r>
    <x v="526"/>
    <x v="60"/>
    <x v="5"/>
    <m/>
    <n v="3200"/>
    <m/>
    <n v="3200"/>
    <m/>
  </r>
  <r>
    <x v="527"/>
    <x v="59"/>
    <x v="5"/>
    <m/>
    <n v="28565"/>
    <m/>
    <n v="28565"/>
    <s v="total bill amount 57130"/>
  </r>
  <r>
    <x v="527"/>
    <x v="60"/>
    <x v="5"/>
    <m/>
    <n v="28565"/>
    <m/>
    <n v="28565"/>
    <s v="total bill amount 57130"/>
  </r>
  <r>
    <x v="528"/>
    <x v="60"/>
    <x v="8"/>
    <m/>
    <n v="79080"/>
    <m/>
    <n v="79080"/>
    <m/>
  </r>
  <r>
    <x v="529"/>
    <x v="59"/>
    <x v="5"/>
    <m/>
    <m/>
    <n v="28565"/>
    <n v="-28565"/>
    <m/>
  </r>
  <r>
    <x v="529"/>
    <x v="60"/>
    <x v="5"/>
    <m/>
    <m/>
    <n v="31765"/>
    <n v="-31765"/>
    <m/>
  </r>
  <r>
    <x v="529"/>
    <x v="25"/>
    <x v="5"/>
    <m/>
    <m/>
    <n v="198070"/>
    <n v="-198070"/>
    <m/>
  </r>
  <r>
    <x v="529"/>
    <x v="59"/>
    <x v="5"/>
    <m/>
    <m/>
    <n v="20800"/>
    <n v="-20800"/>
    <s v="Chq paid to Iqbal sons  this cheuq received from Total jpmc ipc 44 payment received on 11-2-20  chq amount 300,000"/>
  </r>
  <r>
    <x v="529"/>
    <x v="61"/>
    <x v="5"/>
    <m/>
    <m/>
    <n v="20800"/>
    <n v="-20800"/>
    <m/>
  </r>
  <r>
    <x v="530"/>
    <x v="59"/>
    <x v="5"/>
    <m/>
    <n v="20800"/>
    <m/>
    <n v="20800"/>
    <m/>
  </r>
  <r>
    <x v="530"/>
    <x v="61"/>
    <x v="5"/>
    <m/>
    <n v="20800"/>
    <m/>
    <n v="20800"/>
    <m/>
  </r>
  <r>
    <x v="530"/>
    <x v="60"/>
    <x v="8"/>
    <m/>
    <m/>
    <n v="80000"/>
    <n v="-80000"/>
    <s v="cash paid"/>
  </r>
  <r>
    <x v="530"/>
    <x v="25"/>
    <x v="5"/>
    <m/>
    <n v="44000"/>
    <m/>
    <n v="44000"/>
    <m/>
  </r>
  <r>
    <x v="530"/>
    <x v="25"/>
    <x v="5"/>
    <m/>
    <n v="88000"/>
    <m/>
    <n v="88000"/>
    <m/>
  </r>
  <r>
    <x v="530"/>
    <x v="25"/>
    <x v="5"/>
    <m/>
    <n v="74980"/>
    <m/>
    <n v="74980"/>
    <m/>
  </r>
  <r>
    <x v="530"/>
    <x v="25"/>
    <x v="5"/>
    <m/>
    <n v="8640"/>
    <m/>
    <n v="8640"/>
    <m/>
  </r>
  <r>
    <x v="531"/>
    <x v="46"/>
    <x v="7"/>
    <m/>
    <n v="7008"/>
    <m/>
    <n v="7008"/>
    <m/>
  </r>
  <r>
    <x v="531"/>
    <x v="60"/>
    <x v="7"/>
    <m/>
    <n v="16116"/>
    <m/>
    <n v="16116"/>
    <m/>
  </r>
  <r>
    <x v="531"/>
    <x v="46"/>
    <x v="7"/>
    <m/>
    <n v="18171"/>
    <m/>
    <n v="18171"/>
    <m/>
  </r>
  <r>
    <x v="531"/>
    <x v="46"/>
    <x v="7"/>
    <m/>
    <n v="12395"/>
    <m/>
    <n v="12395"/>
    <m/>
  </r>
  <r>
    <x v="531"/>
    <x v="25"/>
    <x v="7"/>
    <m/>
    <n v="1465"/>
    <m/>
    <n v="1465"/>
    <m/>
  </r>
  <r>
    <x v="531"/>
    <x v="46"/>
    <x v="7"/>
    <m/>
    <n v="6605"/>
    <m/>
    <n v="6605"/>
    <m/>
  </r>
  <r>
    <x v="531"/>
    <x v="25"/>
    <x v="7"/>
    <m/>
    <n v="26412"/>
    <m/>
    <n v="26412"/>
    <m/>
  </r>
  <r>
    <x v="531"/>
    <x v="60"/>
    <x v="7"/>
    <m/>
    <n v="7845"/>
    <m/>
    <n v="7845"/>
    <m/>
  </r>
  <r>
    <x v="531"/>
    <x v="46"/>
    <x v="7"/>
    <m/>
    <n v="15733"/>
    <m/>
    <n v="15733"/>
    <m/>
  </r>
  <r>
    <x v="531"/>
    <x v="60"/>
    <x v="7"/>
    <m/>
    <n v="40261"/>
    <m/>
    <n v="40261"/>
    <m/>
  </r>
  <r>
    <x v="531"/>
    <x v="25"/>
    <x v="7"/>
    <m/>
    <n v="3718"/>
    <m/>
    <n v="3718"/>
    <m/>
  </r>
  <r>
    <x v="532"/>
    <x v="25"/>
    <x v="6"/>
    <m/>
    <m/>
    <n v="300000"/>
    <n v="-300000"/>
    <s v="Chq paid to Danish intl  this cheuq received from Total jpmc ipc 44 payment received on 11-2-20   chq amount 300,000"/>
  </r>
  <r>
    <x v="532"/>
    <x v="60"/>
    <x v="8"/>
    <m/>
    <n v="920"/>
    <m/>
    <n v="920"/>
    <s v="adjust"/>
  </r>
  <r>
    <x v="532"/>
    <x v="59"/>
    <x v="8"/>
    <m/>
    <n v="115300"/>
    <m/>
    <n v="115300"/>
    <m/>
  </r>
  <r>
    <x v="532"/>
    <x v="62"/>
    <x v="1"/>
    <m/>
    <n v="103471"/>
    <m/>
    <n v="103471"/>
    <m/>
  </r>
  <r>
    <x v="533"/>
    <x v="62"/>
    <x v="3"/>
    <m/>
    <n v="28689"/>
    <m/>
    <n v="28689"/>
    <m/>
  </r>
  <r>
    <x v="533"/>
    <x v="25"/>
    <x v="7"/>
    <m/>
    <n v="45312"/>
    <m/>
    <n v="45312"/>
    <m/>
  </r>
  <r>
    <x v="533"/>
    <x v="58"/>
    <x v="7"/>
    <m/>
    <n v="10590"/>
    <m/>
    <n v="10590"/>
    <m/>
  </r>
  <r>
    <x v="533"/>
    <x v="58"/>
    <x v="7"/>
    <m/>
    <n v="16657"/>
    <m/>
    <n v="16657"/>
    <m/>
  </r>
  <r>
    <x v="533"/>
    <x v="46"/>
    <x v="7"/>
    <m/>
    <n v="4316"/>
    <m/>
    <n v="4316"/>
    <m/>
  </r>
  <r>
    <x v="533"/>
    <x v="25"/>
    <x v="7"/>
    <m/>
    <n v="16407"/>
    <m/>
    <n v="16407"/>
    <m/>
  </r>
  <r>
    <x v="533"/>
    <x v="46"/>
    <x v="7"/>
    <m/>
    <n v="27472"/>
    <m/>
    <n v="27472"/>
    <m/>
  </r>
  <r>
    <x v="533"/>
    <x v="25"/>
    <x v="7"/>
    <m/>
    <n v="7255"/>
    <m/>
    <n v="7255"/>
    <m/>
  </r>
  <r>
    <x v="533"/>
    <x v="46"/>
    <x v="7"/>
    <m/>
    <n v="52622"/>
    <m/>
    <n v="52622"/>
    <m/>
  </r>
  <r>
    <x v="533"/>
    <x v="46"/>
    <x v="7"/>
    <m/>
    <n v="18053"/>
    <m/>
    <n v="18053"/>
    <m/>
  </r>
  <r>
    <x v="533"/>
    <x v="25"/>
    <x v="7"/>
    <m/>
    <n v="4147"/>
    <m/>
    <n v="4147"/>
    <m/>
  </r>
  <r>
    <x v="533"/>
    <x v="46"/>
    <x v="7"/>
    <m/>
    <n v="137612"/>
    <m/>
    <n v="137612"/>
    <m/>
  </r>
  <r>
    <x v="533"/>
    <x v="25"/>
    <x v="7"/>
    <m/>
    <n v="6912"/>
    <m/>
    <n v="6912"/>
    <m/>
  </r>
  <r>
    <x v="533"/>
    <x v="25"/>
    <x v="7"/>
    <m/>
    <n v="13712"/>
    <m/>
    <n v="13712"/>
    <m/>
  </r>
  <r>
    <x v="533"/>
    <x v="58"/>
    <x v="7"/>
    <m/>
    <n v="1150"/>
    <m/>
    <n v="1150"/>
    <m/>
  </r>
  <r>
    <x v="533"/>
    <x v="46"/>
    <x v="7"/>
    <m/>
    <n v="67832"/>
    <m/>
    <n v="67832"/>
    <m/>
  </r>
  <r>
    <x v="533"/>
    <x v="25"/>
    <x v="5"/>
    <m/>
    <n v="49600"/>
    <m/>
    <n v="49600"/>
    <m/>
  </r>
  <r>
    <x v="534"/>
    <x v="25"/>
    <x v="5"/>
    <m/>
    <n v="102000"/>
    <m/>
    <n v="102000"/>
    <m/>
  </r>
  <r>
    <x v="534"/>
    <x v="25"/>
    <x v="5"/>
    <m/>
    <n v="31200"/>
    <m/>
    <n v="31200"/>
    <m/>
  </r>
  <r>
    <x v="535"/>
    <x v="50"/>
    <x v="0"/>
    <m/>
    <m/>
    <n v="71000"/>
    <n v="-71000"/>
    <s v="cash paid"/>
  </r>
  <r>
    <x v="536"/>
    <x v="60"/>
    <x v="8"/>
    <m/>
    <n v="32240"/>
    <m/>
    <n v="32240"/>
    <m/>
  </r>
  <r>
    <x v="536"/>
    <x v="59"/>
    <x v="8"/>
    <m/>
    <n v="5640"/>
    <m/>
    <n v="5640"/>
    <m/>
  </r>
  <r>
    <x v="536"/>
    <x v="59"/>
    <x v="8"/>
    <m/>
    <m/>
    <n v="50000"/>
    <n v="-50000"/>
    <s v="cash paid"/>
  </r>
  <r>
    <x v="537"/>
    <x v="62"/>
    <x v="1"/>
    <m/>
    <n v="16081"/>
    <m/>
    <n v="16081"/>
    <m/>
  </r>
  <r>
    <x v="538"/>
    <x v="50"/>
    <x v="7"/>
    <m/>
    <m/>
    <n v="22119"/>
    <n v="-22119"/>
    <m/>
  </r>
  <r>
    <x v="538"/>
    <x v="57"/>
    <x v="7"/>
    <m/>
    <m/>
    <n v="52679"/>
    <n v="-52679"/>
    <m/>
  </r>
  <r>
    <x v="538"/>
    <x v="60"/>
    <x v="7"/>
    <m/>
    <m/>
    <n v="64222"/>
    <n v="-64222"/>
    <s v="paid thru MCB chq 1765307165 amount rs 300,000"/>
  </r>
  <r>
    <x v="538"/>
    <x v="52"/>
    <x v="7"/>
    <m/>
    <m/>
    <n v="10000"/>
    <n v="-10000"/>
    <m/>
  </r>
  <r>
    <x v="538"/>
    <x v="46"/>
    <x v="7"/>
    <m/>
    <m/>
    <n v="150980"/>
    <n v="-150980"/>
    <m/>
  </r>
  <r>
    <x v="538"/>
    <x v="58"/>
    <x v="7"/>
    <m/>
    <m/>
    <n v="187438"/>
    <n v="-187438"/>
    <m/>
  </r>
  <r>
    <x v="538"/>
    <x v="40"/>
    <x v="7"/>
    <m/>
    <m/>
    <n v="8402"/>
    <n v="-8402"/>
    <s v="paid thru MCB chq 1765307166 amount 200,000"/>
  </r>
  <r>
    <x v="538"/>
    <x v="25"/>
    <x v="7"/>
    <m/>
    <m/>
    <n v="4160"/>
    <n v="-4160"/>
    <m/>
  </r>
  <r>
    <x v="539"/>
    <x v="25"/>
    <x v="5"/>
    <m/>
    <n v="21000"/>
    <m/>
    <n v="21000"/>
    <m/>
  </r>
  <r>
    <x v="540"/>
    <x v="25"/>
    <x v="5"/>
    <m/>
    <n v="104200"/>
    <m/>
    <n v="104200"/>
    <m/>
  </r>
  <r>
    <x v="541"/>
    <x v="25"/>
    <x v="5"/>
    <m/>
    <n v="58700"/>
    <m/>
    <n v="58700"/>
    <m/>
  </r>
  <r>
    <x v="542"/>
    <x v="25"/>
    <x v="5"/>
    <m/>
    <n v="61600"/>
    <m/>
    <n v="61600"/>
    <m/>
  </r>
  <r>
    <x v="543"/>
    <x v="62"/>
    <x v="5"/>
    <m/>
    <n v="19350"/>
    <m/>
    <n v="19350"/>
    <m/>
  </r>
  <r>
    <x v="543"/>
    <x v="62"/>
    <x v="1"/>
    <m/>
    <n v="4500"/>
    <m/>
    <n v="4500"/>
    <m/>
  </r>
  <r>
    <x v="543"/>
    <x v="25"/>
    <x v="6"/>
    <m/>
    <n v="91193"/>
    <m/>
    <n v="91193"/>
    <m/>
  </r>
  <r>
    <x v="544"/>
    <x v="62"/>
    <x v="1"/>
    <m/>
    <m/>
    <n v="100000"/>
    <n v="-100000"/>
    <m/>
  </r>
  <r>
    <x v="543"/>
    <x v="58"/>
    <x v="1"/>
    <m/>
    <m/>
    <n v="5950"/>
    <n v="-5950"/>
    <s v="This payment received from JPMC food court"/>
  </r>
  <r>
    <x v="543"/>
    <x v="56"/>
    <x v="1"/>
    <m/>
    <m/>
    <n v="44050"/>
    <n v="-44050"/>
    <m/>
  </r>
  <r>
    <x v="543"/>
    <x v="25"/>
    <x v="7"/>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3"/>
    <x v="25"/>
    <x v="5"/>
    <m/>
    <m/>
    <n v="100000"/>
    <n v="-100000"/>
    <s v="This payment received from JPMC food court"/>
  </r>
  <r>
    <x v="544"/>
    <x v="25"/>
    <x v="5"/>
    <m/>
    <n v="55000"/>
    <m/>
    <n v="55000"/>
    <m/>
  </r>
  <r>
    <x v="544"/>
    <x v="25"/>
    <x v="5"/>
    <m/>
    <n v="1100"/>
    <m/>
    <n v="1100"/>
    <m/>
  </r>
  <r>
    <x v="544"/>
    <x v="25"/>
    <x v="5"/>
    <m/>
    <m/>
    <n v="12500"/>
    <n v="-12500"/>
    <s v="sales return"/>
  </r>
  <r>
    <x v="544"/>
    <x v="25"/>
    <x v="8"/>
    <m/>
    <n v="14000"/>
    <m/>
    <n v="14000"/>
    <m/>
  </r>
  <r>
    <x v="544"/>
    <x v="60"/>
    <x v="8"/>
    <m/>
    <n v="13200"/>
    <m/>
    <n v="13200"/>
    <m/>
  </r>
  <r>
    <x v="545"/>
    <x v="25"/>
    <x v="5"/>
    <m/>
    <n v="85200"/>
    <m/>
    <n v="85200"/>
    <m/>
  </r>
  <r>
    <x v="545"/>
    <x v="60"/>
    <x v="9"/>
    <m/>
    <n v="44500"/>
    <m/>
    <n v="44500"/>
    <m/>
  </r>
  <r>
    <x v="545"/>
    <x v="25"/>
    <x v="9"/>
    <m/>
    <n v="144000"/>
    <m/>
    <n v="144000"/>
    <m/>
  </r>
  <r>
    <x v="545"/>
    <x v="46"/>
    <x v="9"/>
    <m/>
    <n v="45000"/>
    <m/>
    <n v="45000"/>
    <m/>
  </r>
  <r>
    <x v="546"/>
    <x v="25"/>
    <x v="9"/>
    <m/>
    <m/>
    <n v="100000"/>
    <n v="-100000"/>
    <s v="cash paid"/>
  </r>
  <r>
    <x v="546"/>
    <x v="62"/>
    <x v="5"/>
    <m/>
    <n v="28500"/>
    <m/>
    <n v="28500"/>
    <m/>
  </r>
  <r>
    <x v="547"/>
    <x v="25"/>
    <x v="3"/>
    <m/>
    <m/>
    <n v="1000"/>
    <n v="-1000"/>
    <s v="Return"/>
  </r>
  <r>
    <x v="548"/>
    <x v="25"/>
    <x v="5"/>
    <m/>
    <m/>
    <n v="400000"/>
    <n v="-400000"/>
    <s v="(this chq received from total - jpmc IPC 46  rec date 18-6-20)"/>
  </r>
  <r>
    <x v="548"/>
    <x v="25"/>
    <x v="6"/>
    <m/>
    <m/>
    <n v="300000"/>
    <n v="-300000"/>
    <s v="(this chq received from total - jpmc IPC 46  rec date 18-6-20)"/>
  </r>
  <r>
    <x v="549"/>
    <x v="62"/>
    <x v="1"/>
    <m/>
    <n v="8500"/>
    <m/>
    <n v="8500"/>
    <m/>
  </r>
  <r>
    <x v="548"/>
    <x v="46"/>
    <x v="1"/>
    <m/>
    <n v="14270"/>
    <m/>
    <n v="14270"/>
    <m/>
  </r>
  <r>
    <x v="548"/>
    <x v="59"/>
    <x v="2"/>
    <m/>
    <n v="14629"/>
    <m/>
    <n v="14629"/>
    <m/>
  </r>
  <r>
    <x v="548"/>
    <x v="50"/>
    <x v="2"/>
    <m/>
    <n v="60480"/>
    <m/>
    <n v="60480"/>
    <m/>
  </r>
  <r>
    <x v="548"/>
    <x v="50"/>
    <x v="2"/>
    <m/>
    <n v="13964"/>
    <m/>
    <n v="13964"/>
    <m/>
  </r>
  <r>
    <x v="550"/>
    <x v="46"/>
    <x v="9"/>
    <m/>
    <n v="77700"/>
    <m/>
    <n v="77700"/>
    <m/>
  </r>
  <r>
    <x v="551"/>
    <x v="25"/>
    <x v="5"/>
    <m/>
    <n v="70400"/>
    <m/>
    <n v="70400"/>
    <m/>
  </r>
  <r>
    <x v="552"/>
    <x v="25"/>
    <x v="9"/>
    <m/>
    <n v="148600"/>
    <m/>
    <n v="148600"/>
    <m/>
  </r>
  <r>
    <x v="553"/>
    <x v="60"/>
    <x v="8"/>
    <m/>
    <m/>
    <n v="45440"/>
    <n v="-45440"/>
    <s v="paid thru dib chq 02086951 one chq amount 100,000"/>
  </r>
  <r>
    <x v="553"/>
    <x v="59"/>
    <x v="8"/>
    <m/>
    <m/>
    <n v="54560"/>
    <n v="-54560"/>
    <m/>
  </r>
  <r>
    <x v="553"/>
    <x v="46"/>
    <x v="9"/>
    <m/>
    <m/>
    <n v="77000"/>
    <n v="-77000"/>
    <s v="paid thru dib chq 02086949"/>
  </r>
  <r>
    <x v="553"/>
    <x v="25"/>
    <x v="9"/>
    <m/>
    <m/>
    <n v="148600"/>
    <n v="-148600"/>
    <s v="paid thru dib chq 02086950"/>
  </r>
  <r>
    <x v="554"/>
    <x v="25"/>
    <x v="3"/>
    <m/>
    <n v="5208"/>
    <m/>
    <n v="5208"/>
    <m/>
  </r>
  <r>
    <x v="554"/>
    <x v="25"/>
    <x v="3"/>
    <m/>
    <n v="3418"/>
    <m/>
    <n v="3418"/>
    <m/>
  </r>
  <r>
    <x v="554"/>
    <x v="25"/>
    <x v="1"/>
    <m/>
    <n v="8500"/>
    <m/>
    <n v="8500"/>
    <m/>
  </r>
  <r>
    <x v="555"/>
    <x v="25"/>
    <x v="5"/>
    <m/>
    <m/>
    <n v="200000"/>
    <n v="-200000"/>
    <s v="Received from jpmc ipc 46"/>
  </r>
  <r>
    <x v="555"/>
    <x v="50"/>
    <x v="2"/>
    <m/>
    <m/>
    <n v="74001"/>
    <n v="-74001"/>
    <m/>
  </r>
  <r>
    <x v="555"/>
    <x v="59"/>
    <x v="2"/>
    <m/>
    <m/>
    <n v="14629"/>
    <n v="-14629"/>
    <s v="Received from jpmc ipc 46"/>
  </r>
  <r>
    <x v="555"/>
    <x v="0"/>
    <x v="2"/>
    <m/>
    <m/>
    <n v="443"/>
    <n v="-443"/>
    <m/>
  </r>
  <r>
    <x v="556"/>
    <x v="25"/>
    <x v="7"/>
    <m/>
    <n v="31234"/>
    <m/>
    <n v="31234"/>
    <m/>
  </r>
  <r>
    <x v="556"/>
    <x v="25"/>
    <x v="7"/>
    <m/>
    <n v="101485"/>
    <m/>
    <n v="101485"/>
    <m/>
  </r>
  <r>
    <x v="556"/>
    <x v="25"/>
    <x v="7"/>
    <m/>
    <n v="13024"/>
    <m/>
    <n v="13024"/>
    <m/>
  </r>
  <r>
    <x v="556"/>
    <x v="25"/>
    <x v="7"/>
    <m/>
    <n v="53697"/>
    <m/>
    <n v="53697"/>
    <m/>
  </r>
  <r>
    <x v="556"/>
    <x v="25"/>
    <x v="7"/>
    <m/>
    <n v="20192"/>
    <m/>
    <n v="20192"/>
    <m/>
  </r>
  <r>
    <x v="556"/>
    <x v="25"/>
    <x v="7"/>
    <m/>
    <n v="30732"/>
    <m/>
    <n v="30732"/>
    <m/>
  </r>
  <r>
    <x v="556"/>
    <x v="25"/>
    <x v="7"/>
    <m/>
    <n v="18233"/>
    <m/>
    <n v="18233"/>
    <m/>
  </r>
  <r>
    <x v="556"/>
    <x v="25"/>
    <x v="7"/>
    <m/>
    <n v="5414"/>
    <m/>
    <n v="5414"/>
    <m/>
  </r>
  <r>
    <x v="556"/>
    <x v="25"/>
    <x v="7"/>
    <m/>
    <n v="69763"/>
    <m/>
    <n v="69763"/>
    <m/>
  </r>
  <r>
    <x v="556"/>
    <x v="25"/>
    <x v="7"/>
    <m/>
    <n v="7107"/>
    <m/>
    <n v="7107"/>
    <m/>
  </r>
  <r>
    <x v="556"/>
    <x v="25"/>
    <x v="7"/>
    <m/>
    <m/>
    <n v="15205"/>
    <n v="-15205"/>
    <s v="Sales return"/>
  </r>
  <r>
    <x v="556"/>
    <x v="46"/>
    <x v="7"/>
    <m/>
    <n v="33160"/>
    <m/>
    <n v="33160"/>
    <m/>
  </r>
  <r>
    <x v="556"/>
    <x v="46"/>
    <x v="7"/>
    <m/>
    <n v="3431"/>
    <m/>
    <n v="3431"/>
    <m/>
  </r>
  <r>
    <x v="556"/>
    <x v="46"/>
    <x v="7"/>
    <m/>
    <n v="15621"/>
    <m/>
    <n v="15621"/>
    <m/>
  </r>
  <r>
    <x v="556"/>
    <x v="46"/>
    <x v="7"/>
    <m/>
    <n v="6790"/>
    <m/>
    <n v="6790"/>
    <m/>
  </r>
  <r>
    <x v="556"/>
    <x v="46"/>
    <x v="7"/>
    <m/>
    <n v="3380"/>
    <m/>
    <n v="3380"/>
    <m/>
  </r>
  <r>
    <x v="556"/>
    <x v="46"/>
    <x v="7"/>
    <m/>
    <n v="490"/>
    <m/>
    <n v="490"/>
    <m/>
  </r>
  <r>
    <x v="556"/>
    <x v="46"/>
    <x v="7"/>
    <m/>
    <n v="1418"/>
    <m/>
    <n v="1418"/>
    <m/>
  </r>
  <r>
    <x v="556"/>
    <x v="46"/>
    <x v="7"/>
    <m/>
    <n v="19641"/>
    <m/>
    <n v="19641"/>
    <m/>
  </r>
  <r>
    <x v="556"/>
    <x v="46"/>
    <x v="7"/>
    <m/>
    <n v="14297"/>
    <m/>
    <n v="14297"/>
    <m/>
  </r>
  <r>
    <x v="556"/>
    <x v="46"/>
    <x v="7"/>
    <m/>
    <n v="24978"/>
    <m/>
    <n v="24978"/>
    <m/>
  </r>
  <r>
    <x v="556"/>
    <x v="46"/>
    <x v="7"/>
    <m/>
    <n v="4540"/>
    <m/>
    <n v="4540"/>
    <m/>
  </r>
  <r>
    <x v="556"/>
    <x v="46"/>
    <x v="7"/>
    <m/>
    <n v="14211"/>
    <m/>
    <n v="14211"/>
    <m/>
  </r>
  <r>
    <x v="556"/>
    <x v="58"/>
    <x v="7"/>
    <m/>
    <n v="2620"/>
    <m/>
    <n v="2620"/>
    <m/>
  </r>
  <r>
    <x v="556"/>
    <x v="58"/>
    <x v="7"/>
    <m/>
    <n v="3890"/>
    <m/>
    <n v="3890"/>
    <m/>
  </r>
  <r>
    <x v="556"/>
    <x v="58"/>
    <x v="7"/>
    <m/>
    <n v="2500"/>
    <m/>
    <n v="2500"/>
    <m/>
  </r>
  <r>
    <x v="556"/>
    <x v="52"/>
    <x v="7"/>
    <m/>
    <n v="57195"/>
    <m/>
    <n v="57195"/>
    <m/>
  </r>
  <r>
    <x v="556"/>
    <x v="52"/>
    <x v="7"/>
    <m/>
    <n v="1717"/>
    <m/>
    <n v="1717"/>
    <m/>
  </r>
  <r>
    <x v="556"/>
    <x v="52"/>
    <x v="7"/>
    <m/>
    <n v="1215"/>
    <m/>
    <n v="1215"/>
    <m/>
  </r>
  <r>
    <x v="556"/>
    <x v="52"/>
    <x v="7"/>
    <m/>
    <n v="710"/>
    <m/>
    <n v="710"/>
    <m/>
  </r>
  <r>
    <x v="556"/>
    <x v="52"/>
    <x v="7"/>
    <m/>
    <n v="650"/>
    <m/>
    <n v="650"/>
    <m/>
  </r>
  <r>
    <x v="556"/>
    <x v="52"/>
    <x v="7"/>
    <m/>
    <n v="1340"/>
    <m/>
    <n v="1340"/>
    <m/>
  </r>
  <r>
    <x v="556"/>
    <x v="46"/>
    <x v="7"/>
    <m/>
    <n v="5455"/>
    <m/>
    <n v="5455"/>
    <s v="Sign issue"/>
  </r>
  <r>
    <x v="556"/>
    <x v="46"/>
    <x v="7"/>
    <m/>
    <n v="4056"/>
    <m/>
    <n v="4056"/>
    <s v="Sign issue"/>
  </r>
  <r>
    <x v="556"/>
    <x v="46"/>
    <x v="7"/>
    <m/>
    <n v="23421"/>
    <m/>
    <n v="23421"/>
    <s v="Sign issue"/>
  </r>
  <r>
    <x v="556"/>
    <x v="46"/>
    <x v="7"/>
    <m/>
    <n v="1887"/>
    <m/>
    <n v="1887"/>
    <s v="Sign issue"/>
  </r>
  <r>
    <x v="556"/>
    <x v="46"/>
    <x v="7"/>
    <m/>
    <n v="10816"/>
    <m/>
    <n v="10816"/>
    <s v="Sign issue"/>
  </r>
  <r>
    <x v="556"/>
    <x v="46"/>
    <x v="7"/>
    <m/>
    <n v="1025"/>
    <m/>
    <n v="1025"/>
    <s v="Without reeiving"/>
  </r>
  <r>
    <x v="556"/>
    <x v="46"/>
    <x v="7"/>
    <m/>
    <n v="1200"/>
    <m/>
    <n v="1200"/>
    <s v="Without reeiving"/>
  </r>
  <r>
    <x v="556"/>
    <x v="46"/>
    <x v="7"/>
    <m/>
    <n v="5960"/>
    <m/>
    <n v="5960"/>
    <s v="Without reeiving"/>
  </r>
  <r>
    <x v="556"/>
    <x v="46"/>
    <x v="7"/>
    <m/>
    <n v="8921"/>
    <m/>
    <n v="8921"/>
    <s v="Without reeiving"/>
  </r>
  <r>
    <x v="556"/>
    <x v="46"/>
    <x v="7"/>
    <m/>
    <n v="3148"/>
    <m/>
    <n v="3148"/>
    <s v="Without reeiving"/>
  </r>
  <r>
    <x v="556"/>
    <x v="46"/>
    <x v="7"/>
    <m/>
    <n v="36277"/>
    <m/>
    <n v="36277"/>
    <s v="Without reeiving"/>
  </r>
  <r>
    <x v="556"/>
    <x v="46"/>
    <x v="7"/>
    <m/>
    <n v="247"/>
    <m/>
    <n v="247"/>
    <s v="Without reeiving"/>
  </r>
  <r>
    <x v="557"/>
    <x v="46"/>
    <x v="5"/>
    <m/>
    <n v="13200"/>
    <m/>
    <n v="13200"/>
    <m/>
  </r>
  <r>
    <x v="557"/>
    <x v="62"/>
    <x v="5"/>
    <m/>
    <n v="8660"/>
    <m/>
    <n v="8660"/>
    <m/>
  </r>
  <r>
    <x v="557"/>
    <x v="25"/>
    <x v="5"/>
    <m/>
    <n v="77000"/>
    <m/>
    <n v="77000"/>
    <m/>
  </r>
  <r>
    <x v="557"/>
    <x v="46"/>
    <x v="1"/>
    <m/>
    <n v="6885"/>
    <m/>
    <n v="6885"/>
    <m/>
  </r>
  <r>
    <x v="558"/>
    <x v="25"/>
    <x v="5"/>
    <m/>
    <m/>
    <n v="127115"/>
    <n v="-127115"/>
    <m/>
  </r>
  <r>
    <x v="558"/>
    <x v="46"/>
    <x v="5"/>
    <m/>
    <m/>
    <n v="13200"/>
    <n v="-13200"/>
    <s v="This payment received from JPMC Food Court IPC 08 for the amount Rs 200,000"/>
  </r>
  <r>
    <x v="558"/>
    <x v="62"/>
    <x v="5"/>
    <m/>
    <m/>
    <n v="56510"/>
    <n v="-56510"/>
    <m/>
  </r>
  <r>
    <x v="558"/>
    <x v="25"/>
    <x v="5"/>
    <m/>
    <m/>
    <n v="3175"/>
    <n v="-3175"/>
    <m/>
  </r>
  <r>
    <x v="558"/>
    <x v="52"/>
    <x v="7"/>
    <m/>
    <m/>
    <n v="60802"/>
    <n v="-60802"/>
    <m/>
  </r>
  <r>
    <x v="558"/>
    <x v="58"/>
    <x v="7"/>
    <m/>
    <m/>
    <n v="9010"/>
    <n v="-9010"/>
    <s v="This payment received from JPMC Food Court IPC 08 for the amount Rs 200,000"/>
  </r>
  <r>
    <x v="558"/>
    <x v="46"/>
    <x v="7"/>
    <m/>
    <m/>
    <n v="130188"/>
    <n v="-130188"/>
    <m/>
  </r>
  <r>
    <x v="558"/>
    <x v="46"/>
    <x v="7"/>
    <m/>
    <m/>
    <n v="300000"/>
    <n v="-300000"/>
    <s v="This payment received from JPMC Food Court IPC 08 for the amount Rs 200,000"/>
  </r>
  <r>
    <x v="559"/>
    <x v="25"/>
    <x v="7"/>
    <m/>
    <n v="76358"/>
    <m/>
    <n v="76358"/>
    <m/>
  </r>
  <r>
    <x v="559"/>
    <x v="25"/>
    <x v="7"/>
    <m/>
    <n v="48926"/>
    <m/>
    <n v="48926"/>
    <m/>
  </r>
  <r>
    <x v="559"/>
    <x v="63"/>
    <x v="7"/>
    <m/>
    <n v="33935"/>
    <m/>
    <n v="33935"/>
    <m/>
  </r>
  <r>
    <x v="559"/>
    <x v="63"/>
    <x v="7"/>
    <m/>
    <n v="92463"/>
    <m/>
    <n v="92463"/>
    <m/>
  </r>
  <r>
    <x v="559"/>
    <x v="46"/>
    <x v="7"/>
    <m/>
    <n v="11804"/>
    <m/>
    <n v="11804"/>
    <m/>
  </r>
  <r>
    <x v="560"/>
    <x v="46"/>
    <x v="9"/>
    <s v="13"/>
    <n v="72400"/>
    <m/>
    <n v="72400"/>
    <m/>
  </r>
  <r>
    <x v="560"/>
    <x v="46"/>
    <x v="1"/>
    <m/>
    <n v="25350"/>
    <m/>
    <n v="25350"/>
    <m/>
  </r>
  <r>
    <x v="560"/>
    <x v="25"/>
    <x v="3"/>
    <m/>
    <m/>
    <n v="50000"/>
    <n v="-50000"/>
    <s v="cash paid"/>
  </r>
  <r>
    <x v="561"/>
    <x v="46"/>
    <x v="1"/>
    <m/>
    <n v="8000"/>
    <m/>
    <n v="8000"/>
    <m/>
  </r>
  <r>
    <x v="562"/>
    <x v="62"/>
    <x v="3"/>
    <m/>
    <n v="7621"/>
    <m/>
    <n v="7621"/>
    <m/>
  </r>
  <r>
    <x v="562"/>
    <x v="46"/>
    <x v="1"/>
    <m/>
    <n v="24251"/>
    <m/>
    <n v="24251"/>
    <m/>
  </r>
  <r>
    <x v="562"/>
    <x v="46"/>
    <x v="9"/>
    <s v="14"/>
    <n v="5800"/>
    <m/>
    <n v="5800"/>
    <m/>
  </r>
  <r>
    <x v="563"/>
    <x v="25"/>
    <x v="3"/>
    <m/>
    <n v="62012"/>
    <m/>
    <n v="62012"/>
    <m/>
  </r>
  <r>
    <x v="564"/>
    <x v="46"/>
    <x v="9"/>
    <m/>
    <m/>
    <n v="55500"/>
    <n v="-55500"/>
    <s v="padi thru dic chq 02086968"/>
  </r>
  <r>
    <x v="564"/>
    <x v="60"/>
    <x v="9"/>
    <m/>
    <m/>
    <n v="44500"/>
    <n v="-44500"/>
    <m/>
  </r>
  <r>
    <x v="564"/>
    <x v="62"/>
    <x v="3"/>
    <m/>
    <n v="22589"/>
    <m/>
    <n v="22589"/>
    <s v="material given by zeehsan ac from tube"/>
  </r>
  <r>
    <x v="564"/>
    <x v="52"/>
    <x v="7"/>
    <m/>
    <n v="26870"/>
    <m/>
    <n v="26870"/>
    <m/>
  </r>
  <r>
    <x v="564"/>
    <x v="25"/>
    <x v="7"/>
    <m/>
    <n v="20391"/>
    <m/>
    <n v="20391"/>
    <m/>
  </r>
  <r>
    <x v="564"/>
    <x v="52"/>
    <x v="7"/>
    <m/>
    <n v="37980"/>
    <m/>
    <n v="37980"/>
    <m/>
  </r>
  <r>
    <x v="564"/>
    <x v="25"/>
    <x v="7"/>
    <m/>
    <n v="27725"/>
    <m/>
    <n v="27725"/>
    <m/>
  </r>
  <r>
    <x v="564"/>
    <x v="52"/>
    <x v="7"/>
    <m/>
    <n v="1580"/>
    <m/>
    <n v="1580"/>
    <m/>
  </r>
  <r>
    <x v="564"/>
    <x v="46"/>
    <x v="7"/>
    <m/>
    <n v="13174"/>
    <m/>
    <n v="13174"/>
    <m/>
  </r>
  <r>
    <x v="564"/>
    <x v="52"/>
    <x v="7"/>
    <m/>
    <n v="4150"/>
    <m/>
    <n v="4150"/>
    <m/>
  </r>
  <r>
    <x v="565"/>
    <x v="25"/>
    <x v="5"/>
    <m/>
    <n v="498936"/>
    <m/>
    <n v="498936"/>
    <m/>
  </r>
  <r>
    <x v="565"/>
    <x v="46"/>
    <x v="9"/>
    <m/>
    <n v="6000"/>
    <m/>
    <n v="6000"/>
    <m/>
  </r>
  <r>
    <x v="566"/>
    <x v="46"/>
    <x v="1"/>
    <m/>
    <n v="181857"/>
    <m/>
    <n v="181857"/>
    <m/>
  </r>
  <r>
    <x v="567"/>
    <x v="46"/>
    <x v="1"/>
    <m/>
    <n v="21013"/>
    <m/>
    <n v="21013"/>
    <m/>
  </r>
  <r>
    <x v="568"/>
    <x v="46"/>
    <x v="1"/>
    <m/>
    <n v="81419"/>
    <m/>
    <n v="81419"/>
    <m/>
  </r>
  <r>
    <x v="569"/>
    <x v="25"/>
    <x v="9"/>
    <s v="17"/>
    <n v="39000"/>
    <m/>
    <n v="39000"/>
    <m/>
  </r>
  <r>
    <x v="570"/>
    <x v="25"/>
    <x v="0"/>
    <m/>
    <n v="206380"/>
    <m/>
    <n v="206380"/>
    <m/>
  </r>
  <r>
    <x v="570"/>
    <x v="25"/>
    <x v="0"/>
    <m/>
    <n v="46360"/>
    <m/>
    <n v="46360"/>
    <m/>
  </r>
  <r>
    <x v="570"/>
    <x v="53"/>
    <x v="3"/>
    <m/>
    <m/>
    <n v="21264"/>
    <n v="-21264"/>
    <m/>
  </r>
  <r>
    <x v="570"/>
    <x v="25"/>
    <x v="3"/>
    <m/>
    <m/>
    <n v="78736"/>
    <n v="-78736"/>
    <s v="paid (this chq received from total as JPMC Food Court IPC 09 (rec date 12-2-10-20)"/>
  </r>
  <r>
    <x v="571"/>
    <x v="25"/>
    <x v="5"/>
    <m/>
    <m/>
    <n v="300000"/>
    <n v="-300000"/>
    <s v="paid (this chq received from total as JPMC IPC 48 adhoc payment 75%  (rec date 14-10-20)"/>
  </r>
  <r>
    <x v="571"/>
    <x v="50"/>
    <x v="1"/>
    <m/>
    <m/>
    <n v="4688"/>
    <n v="-4688"/>
    <m/>
  </r>
  <r>
    <x v="571"/>
    <x v="25"/>
    <x v="1"/>
    <m/>
    <m/>
    <n v="8500"/>
    <n v="-8500"/>
    <m/>
  </r>
  <r>
    <x v="571"/>
    <x v="56"/>
    <x v="1"/>
    <m/>
    <m/>
    <n v="69388"/>
    <n v="-69388"/>
    <m/>
  </r>
  <r>
    <x v="571"/>
    <x v="59"/>
    <x v="1"/>
    <m/>
    <m/>
    <n v="4526"/>
    <n v="-4526"/>
    <s v="paid (this chq received from total as JPMC IPC 48 adhoc payment 75%  (rec date 14-10-20)"/>
  </r>
  <r>
    <x v="571"/>
    <x v="60"/>
    <x v="1"/>
    <m/>
    <m/>
    <n v="5831"/>
    <n v="-5831"/>
    <m/>
  </r>
  <r>
    <x v="571"/>
    <x v="62"/>
    <x v="1"/>
    <m/>
    <m/>
    <n v="32552"/>
    <n v="-32552"/>
    <m/>
  </r>
  <r>
    <x v="571"/>
    <x v="46"/>
    <x v="1"/>
    <m/>
    <m/>
    <n v="24515"/>
    <n v="-24515"/>
    <m/>
  </r>
  <r>
    <x v="571"/>
    <x v="51"/>
    <x v="6"/>
    <m/>
    <m/>
    <n v="150000"/>
    <n v="-150000"/>
    <s v="paid (this chq received from total as JPMC IPC 48 adhoc payment 75%  (rec date 14-10-20)"/>
  </r>
  <r>
    <x v="572"/>
    <x v="25"/>
    <x v="9"/>
    <s v="18"/>
    <n v="3000"/>
    <m/>
    <n v="3000"/>
    <m/>
  </r>
  <r>
    <x v="573"/>
    <x v="25"/>
    <x v="5"/>
    <m/>
    <n v="29610"/>
    <m/>
    <n v="29610"/>
    <m/>
  </r>
  <r>
    <x v="573"/>
    <x v="25"/>
    <x v="5"/>
    <m/>
    <n v="3000"/>
    <m/>
    <n v="3000"/>
    <m/>
  </r>
  <r>
    <x v="573"/>
    <x v="25"/>
    <x v="5"/>
    <m/>
    <n v="2125"/>
    <m/>
    <n v="2125"/>
    <m/>
  </r>
  <r>
    <x v="573"/>
    <x v="50"/>
    <x v="5"/>
    <m/>
    <n v="10320"/>
    <m/>
    <n v="10320"/>
    <m/>
  </r>
  <r>
    <x v="574"/>
    <x v="25"/>
    <x v="5"/>
    <m/>
    <n v="18510"/>
    <m/>
    <n v="18510"/>
    <m/>
  </r>
  <r>
    <x v="574"/>
    <x v="25"/>
    <x v="5"/>
    <m/>
    <n v="107880"/>
    <m/>
    <n v="107880"/>
    <m/>
  </r>
  <r>
    <x v="568"/>
    <x v="25"/>
    <x v="3"/>
    <m/>
    <n v="18478"/>
    <m/>
    <n v="18478"/>
    <m/>
  </r>
  <r>
    <x v="575"/>
    <x v="62"/>
    <x v="3"/>
    <m/>
    <n v="6758"/>
    <m/>
    <n v="6758"/>
    <m/>
  </r>
  <r>
    <x v="576"/>
    <x v="25"/>
    <x v="3"/>
    <m/>
    <n v="2449"/>
    <m/>
    <n v="2449"/>
    <m/>
  </r>
  <r>
    <x v="577"/>
    <x v="52"/>
    <x v="7"/>
    <m/>
    <n v="6189"/>
    <m/>
    <n v="6189"/>
    <m/>
  </r>
  <r>
    <x v="567"/>
    <x v="52"/>
    <x v="7"/>
    <m/>
    <n v="1830"/>
    <m/>
    <n v="1830"/>
    <m/>
  </r>
  <r>
    <x v="578"/>
    <x v="25"/>
    <x v="5"/>
    <m/>
    <n v="21105"/>
    <m/>
    <n v="21105"/>
    <m/>
  </r>
  <r>
    <x v="579"/>
    <x v="64"/>
    <x v="9"/>
    <m/>
    <n v="58000"/>
    <m/>
    <n v="58000"/>
    <m/>
  </r>
  <r>
    <x v="580"/>
    <x v="25"/>
    <x v="9"/>
    <m/>
    <m/>
    <n v="33000"/>
    <n v="-33000"/>
    <m/>
  </r>
  <r>
    <x v="580"/>
    <x v="25"/>
    <x v="9"/>
    <m/>
    <m/>
    <n v="3000"/>
    <n v="-3000"/>
    <s v="This chq returned from Fateh in 19-10-20 deal Rs 100,000"/>
  </r>
  <r>
    <x v="580"/>
    <x v="46"/>
    <x v="9"/>
    <m/>
    <m/>
    <n v="6000"/>
    <n v="-6000"/>
    <m/>
  </r>
  <r>
    <x v="580"/>
    <x v="64"/>
    <x v="9"/>
    <m/>
    <m/>
    <n v="58000"/>
    <n v="-58000"/>
    <m/>
  </r>
  <r>
    <x v="581"/>
    <x v="25"/>
    <x v="3"/>
    <m/>
    <n v="21108"/>
    <m/>
    <n v="21108"/>
    <m/>
  </r>
  <r>
    <x v="581"/>
    <x v="64"/>
    <x v="9"/>
    <s v="20"/>
    <n v="6600"/>
    <m/>
    <n v="6600"/>
    <m/>
  </r>
  <r>
    <x v="582"/>
    <x v="25"/>
    <x v="5"/>
    <m/>
    <n v="13500"/>
    <m/>
    <n v="13500"/>
    <m/>
  </r>
  <r>
    <x v="582"/>
    <x v="25"/>
    <x v="5"/>
    <m/>
    <n v="23215"/>
    <m/>
    <n v="23215"/>
    <m/>
  </r>
  <r>
    <x v="582"/>
    <x v="46"/>
    <x v="5"/>
    <m/>
    <n v="2700"/>
    <m/>
    <n v="2700"/>
    <m/>
  </r>
  <r>
    <x v="583"/>
    <x v="46"/>
    <x v="1"/>
    <m/>
    <n v="178729"/>
    <m/>
    <n v="178729"/>
    <m/>
  </r>
  <r>
    <x v="583"/>
    <x v="46"/>
    <x v="1"/>
    <m/>
    <n v="53406"/>
    <m/>
    <n v="53406"/>
    <m/>
  </r>
  <r>
    <x v="583"/>
    <x v="25"/>
    <x v="3"/>
    <m/>
    <n v="5338"/>
    <m/>
    <n v="5338"/>
    <m/>
  </r>
  <r>
    <x v="583"/>
    <x v="25"/>
    <x v="5"/>
    <m/>
    <n v="6018"/>
    <m/>
    <n v="6018"/>
    <m/>
  </r>
  <r>
    <x v="583"/>
    <x v="25"/>
    <x v="5"/>
    <m/>
    <n v="61600"/>
    <m/>
    <n v="61600"/>
    <m/>
  </r>
  <r>
    <x v="583"/>
    <x v="46"/>
    <x v="1"/>
    <m/>
    <n v="63500"/>
    <m/>
    <n v="63500"/>
    <m/>
  </r>
  <r>
    <x v="584"/>
    <x v="46"/>
    <x v="1"/>
    <m/>
    <n v="128159"/>
    <m/>
    <n v="128159"/>
    <m/>
  </r>
  <r>
    <x v="585"/>
    <x v="46"/>
    <x v="1"/>
    <m/>
    <n v="24467"/>
    <m/>
    <n v="24467"/>
    <m/>
  </r>
  <r>
    <x v="586"/>
    <x v="46"/>
    <x v="1"/>
    <m/>
    <n v="15066"/>
    <m/>
    <n v="15066"/>
    <m/>
  </r>
  <r>
    <x v="587"/>
    <x v="46"/>
    <x v="1"/>
    <m/>
    <n v="73222"/>
    <m/>
    <n v="73222"/>
    <m/>
  </r>
  <r>
    <x v="586"/>
    <x v="46"/>
    <x v="1"/>
    <m/>
    <n v="28525"/>
    <m/>
    <n v="28525"/>
    <m/>
  </r>
  <r>
    <x v="588"/>
    <x v="46"/>
    <x v="1"/>
    <m/>
    <n v="72525"/>
    <m/>
    <n v="72525"/>
    <m/>
  </r>
  <r>
    <x v="589"/>
    <x v="25"/>
    <x v="7"/>
    <m/>
    <m/>
    <n v="130635"/>
    <n v="-130635"/>
    <s v="This chq returned from Fateh in 19-10-20 deal Rs 130,635"/>
  </r>
  <r>
    <x v="589"/>
    <x v="46"/>
    <x v="5"/>
    <m/>
    <n v="4800"/>
    <m/>
    <n v="4800"/>
    <m/>
  </r>
  <r>
    <x v="589"/>
    <x v="46"/>
    <x v="5"/>
    <m/>
    <n v="4800"/>
    <m/>
    <n v="4800"/>
    <m/>
  </r>
  <r>
    <x v="589"/>
    <x v="50"/>
    <x v="5"/>
    <m/>
    <n v="10600"/>
    <m/>
    <n v="10600"/>
    <m/>
  </r>
  <r>
    <x v="589"/>
    <x v="25"/>
    <x v="5"/>
    <m/>
    <m/>
    <n v="210450"/>
    <n v="-210450"/>
    <s v="Purchased Returned"/>
  </r>
  <r>
    <x v="589"/>
    <x v="25"/>
    <x v="0"/>
    <m/>
    <m/>
    <n v="252500"/>
    <n v="-252500"/>
    <s v="Paid thri DIB chq 02086983"/>
  </r>
  <r>
    <x v="589"/>
    <x v="25"/>
    <x v="0"/>
    <m/>
    <m/>
    <n v="240"/>
    <n v="-240"/>
    <s v="adjust"/>
  </r>
  <r>
    <x v="583"/>
    <x v="25"/>
    <x v="3"/>
    <m/>
    <n v="6680"/>
    <m/>
    <n v="6680"/>
    <m/>
  </r>
  <r>
    <x v="590"/>
    <x v="25"/>
    <x v="7"/>
    <m/>
    <m/>
    <n v="100000"/>
    <n v="-100000"/>
    <m/>
  </r>
  <r>
    <x v="590"/>
    <x v="46"/>
    <x v="7"/>
    <m/>
    <m/>
    <n v="100000"/>
    <n v="-100000"/>
    <s v="Paid thri DIB chq 02086984 chq amount rs 300,000"/>
  </r>
  <r>
    <x v="590"/>
    <x v="63"/>
    <x v="7"/>
    <m/>
    <m/>
    <n v="100000"/>
    <n v="-100000"/>
    <m/>
  </r>
  <r>
    <x v="572"/>
    <x v="25"/>
    <x v="7"/>
    <m/>
    <n v="7937"/>
    <m/>
    <n v="7937"/>
    <m/>
  </r>
  <r>
    <x v="582"/>
    <x v="25"/>
    <x v="7"/>
    <m/>
    <n v="11574"/>
    <m/>
    <n v="11574"/>
    <m/>
  </r>
  <r>
    <x v="586"/>
    <x v="25"/>
    <x v="7"/>
    <m/>
    <n v="7257"/>
    <m/>
    <n v="7257"/>
    <m/>
  </r>
  <r>
    <x v="591"/>
    <x v="25"/>
    <x v="7"/>
    <m/>
    <n v="41196"/>
    <m/>
    <n v="41196"/>
    <m/>
  </r>
  <r>
    <x v="591"/>
    <x v="62"/>
    <x v="3"/>
    <m/>
    <m/>
    <n v="65657"/>
    <n v="-65657"/>
    <m/>
  </r>
  <r>
    <x v="591"/>
    <x v="25"/>
    <x v="3"/>
    <m/>
    <m/>
    <n v="4343"/>
    <n v="-4343"/>
    <s v="This chq returned from Fateh rec date 14-10-20"/>
  </r>
  <r>
    <x v="592"/>
    <x v="46"/>
    <x v="1"/>
    <m/>
    <n v="16939"/>
    <m/>
    <n v="16939"/>
    <m/>
  </r>
  <r>
    <x v="592"/>
    <x v="46"/>
    <x v="3"/>
    <m/>
    <n v="813"/>
    <m/>
    <n v="813"/>
    <m/>
  </r>
  <r>
    <x v="593"/>
    <x v="50"/>
    <x v="9"/>
    <s v="21"/>
    <n v="25500"/>
    <m/>
    <n v="25500"/>
    <m/>
  </r>
  <r>
    <x v="594"/>
    <x v="50"/>
    <x v="2"/>
    <m/>
    <n v="21337"/>
    <m/>
    <n v="21337"/>
    <m/>
  </r>
  <r>
    <x v="595"/>
    <x v="25"/>
    <x v="5"/>
    <m/>
    <m/>
    <n v="178692"/>
    <n v="-178692"/>
    <s v="This chq received from total as Ideas atrium final payment rec date 11-12-20"/>
  </r>
  <r>
    <x v="595"/>
    <x v="46"/>
    <x v="0"/>
    <m/>
    <n v="92250"/>
    <m/>
    <n v="92250"/>
    <m/>
  </r>
  <r>
    <x v="595"/>
    <x v="46"/>
    <x v="0"/>
    <m/>
    <n v="36360"/>
    <m/>
    <n v="36360"/>
    <m/>
  </r>
  <r>
    <x v="596"/>
    <x v="46"/>
    <x v="1"/>
    <m/>
    <m/>
    <n v="100000"/>
    <n v="-100000"/>
    <s v="This chq returned from Fateh rec date 19-10-20"/>
  </r>
  <r>
    <x v="595"/>
    <x v="25"/>
    <x v="9"/>
    <s v="22"/>
    <n v="19200"/>
    <m/>
    <n v="19200"/>
    <m/>
  </r>
  <r>
    <x v="597"/>
    <x v="46"/>
    <x v="1"/>
    <m/>
    <n v="36067"/>
    <m/>
    <n v="36067"/>
    <m/>
  </r>
  <r>
    <x v="598"/>
    <x v="50"/>
    <x v="3"/>
    <m/>
    <n v="3932"/>
    <m/>
    <n v="3932"/>
    <m/>
  </r>
  <r>
    <x v="599"/>
    <x v="25"/>
    <x v="3"/>
    <m/>
    <n v="12568"/>
    <m/>
    <n v="12568"/>
    <m/>
  </r>
  <r>
    <x v="600"/>
    <x v="25"/>
    <x v="3"/>
    <m/>
    <n v="3920"/>
    <m/>
    <n v="3920"/>
    <m/>
  </r>
  <r>
    <x v="585"/>
    <x v="25"/>
    <x v="6"/>
    <m/>
    <n v="42435"/>
    <m/>
    <n v="42435"/>
    <m/>
  </r>
  <r>
    <x v="601"/>
    <x v="25"/>
    <x v="6"/>
    <m/>
    <n v="7671"/>
    <m/>
    <n v="7671"/>
    <m/>
  </r>
  <r>
    <x v="601"/>
    <x v="25"/>
    <x v="5"/>
    <m/>
    <n v="3800"/>
    <m/>
    <n v="3800"/>
    <m/>
  </r>
  <r>
    <x v="602"/>
    <x v="65"/>
    <x v="5"/>
    <m/>
    <n v="2190"/>
    <m/>
    <n v="2190"/>
    <m/>
  </r>
  <r>
    <x v="602"/>
    <x v="25"/>
    <x v="5"/>
    <m/>
    <n v="26680"/>
    <m/>
    <n v="26680"/>
    <m/>
  </r>
  <r>
    <x v="603"/>
    <x v="65"/>
    <x v="5"/>
    <m/>
    <n v="16750"/>
    <m/>
    <n v="16750"/>
    <m/>
  </r>
  <r>
    <x v="604"/>
    <x v="65"/>
    <x v="5"/>
    <m/>
    <n v="53000"/>
    <m/>
    <n v="53000"/>
    <m/>
  </r>
  <r>
    <x v="605"/>
    <x v="25"/>
    <x v="5"/>
    <m/>
    <m/>
    <n v="43940"/>
    <n v="-43940"/>
    <m/>
  </r>
  <r>
    <x v="605"/>
    <x v="50"/>
    <x v="5"/>
    <m/>
    <m/>
    <n v="20920"/>
    <n v="-20920"/>
    <m/>
  </r>
  <r>
    <x v="605"/>
    <x v="65"/>
    <x v="5"/>
    <m/>
    <m/>
    <n v="71940"/>
    <n v="-71940"/>
    <s v="paid (this chq received from total as JPMC IPC 48 adhoc payment 75%  (rec date 14-10-20)"/>
  </r>
  <r>
    <x v="605"/>
    <x v="46"/>
    <x v="5"/>
    <m/>
    <m/>
    <n v="13200"/>
    <n v="-13200"/>
    <m/>
  </r>
  <r>
    <x v="606"/>
    <x v="25"/>
    <x v="6"/>
    <m/>
    <m/>
    <n v="147784"/>
    <n v="-147784"/>
    <s v="Material returned"/>
  </r>
  <r>
    <x v="607"/>
    <x v="25"/>
    <x v="7"/>
    <m/>
    <n v="1218"/>
    <m/>
    <n v="1218"/>
    <m/>
  </r>
  <r>
    <x v="607"/>
    <x v="25"/>
    <x v="7"/>
    <m/>
    <n v="33070"/>
    <m/>
    <n v="33070"/>
    <m/>
  </r>
  <r>
    <x v="608"/>
    <x v="25"/>
    <x v="5"/>
    <m/>
    <m/>
    <n v="68424"/>
    <n v="-68424"/>
    <s v="Returned Material from JPMC"/>
  </r>
  <r>
    <x v="608"/>
    <x v="65"/>
    <x v="5"/>
    <m/>
    <n v="26500"/>
    <m/>
    <n v="26500"/>
    <m/>
  </r>
  <r>
    <x v="608"/>
    <x v="66"/>
    <x v="5"/>
    <m/>
    <n v="4575"/>
    <m/>
    <n v="4575"/>
    <m/>
  </r>
  <r>
    <x v="609"/>
    <x v="25"/>
    <x v="7"/>
    <m/>
    <n v="13014"/>
    <m/>
    <n v="13014"/>
    <m/>
  </r>
  <r>
    <x v="610"/>
    <x v="25"/>
    <x v="7"/>
    <m/>
    <n v="78990"/>
    <m/>
    <n v="78990"/>
    <m/>
  </r>
  <r>
    <x v="600"/>
    <x v="25"/>
    <x v="7"/>
    <m/>
    <n v="136670"/>
    <m/>
    <n v="136670"/>
    <m/>
  </r>
  <r>
    <x v="611"/>
    <x v="25"/>
    <x v="7"/>
    <m/>
    <n v="101072"/>
    <m/>
    <n v="101072"/>
    <m/>
  </r>
  <r>
    <x v="612"/>
    <x v="25"/>
    <x v="7"/>
    <m/>
    <n v="23601"/>
    <m/>
    <n v="23601"/>
    <m/>
  </r>
  <r>
    <x v="613"/>
    <x v="25"/>
    <x v="7"/>
    <m/>
    <n v="24170"/>
    <m/>
    <n v="24170"/>
    <m/>
  </r>
  <r>
    <x v="607"/>
    <x v="25"/>
    <x v="7"/>
    <m/>
    <n v="18044"/>
    <m/>
    <n v="18044"/>
    <m/>
  </r>
  <r>
    <x v="608"/>
    <x v="25"/>
    <x v="7"/>
    <m/>
    <n v="14770"/>
    <m/>
    <n v="14770"/>
    <m/>
  </r>
  <r>
    <x v="614"/>
    <x v="25"/>
    <x v="3"/>
    <m/>
    <m/>
    <n v="50000"/>
    <n v="-50000"/>
    <s v="paid thdu dib chq 02234977 "/>
  </r>
  <r>
    <x v="615"/>
    <x v="4"/>
    <x v="3"/>
    <m/>
    <n v="3293"/>
    <m/>
    <n v="3293"/>
    <m/>
  </r>
  <r>
    <x v="615"/>
    <x v="66"/>
    <x v="0"/>
    <m/>
    <n v="21600"/>
    <m/>
    <n v="21600"/>
    <m/>
  </r>
  <r>
    <x v="614"/>
    <x v="25"/>
    <x v="7"/>
    <m/>
    <n v="28239"/>
    <m/>
    <n v="28239"/>
    <m/>
  </r>
  <r>
    <x v="616"/>
    <x v="25"/>
    <x v="7"/>
    <m/>
    <m/>
    <n v="250000"/>
    <n v="-250000"/>
    <s v="paid thdu dib chq 02234994 "/>
  </r>
  <r>
    <x v="616"/>
    <x v="25"/>
    <x v="7"/>
    <m/>
    <m/>
    <n v="250000"/>
    <n v="-250000"/>
    <s v="paid thdu dib chq 02234995"/>
  </r>
  <r>
    <x v="617"/>
    <x v="25"/>
    <x v="9"/>
    <s v="23"/>
    <n v="36600"/>
    <m/>
    <n v="36600"/>
    <m/>
  </r>
  <r>
    <x v="618"/>
    <x v="25"/>
    <x v="5"/>
    <n v="1713"/>
    <n v="5250"/>
    <m/>
    <n v="5250"/>
    <m/>
  </r>
  <r>
    <x v="619"/>
    <x v="65"/>
    <x v="5"/>
    <n v="1731"/>
    <n v="13150"/>
    <m/>
    <n v="13150"/>
    <m/>
  </r>
  <r>
    <x v="620"/>
    <x v="25"/>
    <x v="3"/>
    <m/>
    <n v="41579"/>
    <m/>
    <n v="41579"/>
    <m/>
  </r>
  <r>
    <x v="621"/>
    <x v="67"/>
    <x v="8"/>
    <m/>
    <n v="14000"/>
    <m/>
    <n v="14000"/>
    <m/>
  </r>
  <r>
    <x v="622"/>
    <x v="25"/>
    <x v="3"/>
    <m/>
    <n v="2245"/>
    <m/>
    <n v="2245"/>
    <m/>
  </r>
  <r>
    <x v="622"/>
    <x v="25"/>
    <x v="9"/>
    <s v="24"/>
    <n v="17000"/>
    <m/>
    <n v="17000"/>
    <m/>
  </r>
  <r>
    <x v="622"/>
    <x v="65"/>
    <x v="5"/>
    <m/>
    <m/>
    <n v="150000"/>
    <n v="-150000"/>
    <s v="This chq received from Total as Al Hamd Academy as Mob adv 20% (chq given to Iqbal Sons against sales tax invoice)"/>
  </r>
  <r>
    <x v="622"/>
    <x v="25"/>
    <x v="5"/>
    <m/>
    <m/>
    <n v="50000"/>
    <n v="-50000"/>
    <m/>
  </r>
  <r>
    <x v="623"/>
    <x v="46"/>
    <x v="9"/>
    <m/>
    <m/>
    <n v="5800"/>
    <n v="-5800"/>
    <m/>
  </r>
  <r>
    <x v="623"/>
    <x v="64"/>
    <x v="9"/>
    <m/>
    <m/>
    <n v="6500"/>
    <n v="-6500"/>
    <s v="paid thdu dib chq 02235023 chq amount rs 140,000"/>
  </r>
  <r>
    <x v="623"/>
    <x v="50"/>
    <x v="9"/>
    <m/>
    <m/>
    <n v="25500"/>
    <n v="-25500"/>
    <m/>
  </r>
  <r>
    <x v="623"/>
    <x v="25"/>
    <x v="9"/>
    <m/>
    <m/>
    <n v="102200"/>
    <n v="-102200"/>
    <m/>
  </r>
  <r>
    <x v="618"/>
    <x v="66"/>
    <x v="2"/>
    <m/>
    <n v="10715"/>
    <m/>
    <n v="10715"/>
    <m/>
  </r>
  <r>
    <x v="624"/>
    <x v="66"/>
    <x v="2"/>
    <m/>
    <n v="24623"/>
    <m/>
    <n v="24623"/>
    <m/>
  </r>
  <r>
    <x v="624"/>
    <x v="68"/>
    <x v="2"/>
    <m/>
    <n v="368357"/>
    <m/>
    <n v="368357"/>
    <m/>
  </r>
  <r>
    <x v="625"/>
    <x v="66"/>
    <x v="2"/>
    <m/>
    <n v="13100"/>
    <m/>
    <n v="13100"/>
    <m/>
  </r>
  <r>
    <x v="625"/>
    <x v="68"/>
    <x v="2"/>
    <m/>
    <n v="16104"/>
    <m/>
    <n v="16104"/>
    <m/>
  </r>
  <r>
    <x v="626"/>
    <x v="63"/>
    <x v="7"/>
    <m/>
    <m/>
    <n v="26398"/>
    <n v="-26398"/>
    <m/>
  </r>
  <r>
    <x v="626"/>
    <x v="52"/>
    <x v="7"/>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6"/>
    <x v="46"/>
    <x v="7"/>
    <m/>
    <m/>
    <n v="116065"/>
    <n v="-116065"/>
    <m/>
  </r>
  <r>
    <x v="626"/>
    <x v="25"/>
    <x v="7"/>
    <m/>
    <m/>
    <n v="266438"/>
    <n v="-266438"/>
    <m/>
  </r>
  <r>
    <x v="626"/>
    <x v="25"/>
    <x v="7"/>
    <m/>
    <n v="25566"/>
    <m/>
    <n v="25566"/>
    <m/>
  </r>
  <r>
    <x v="626"/>
    <x v="67"/>
    <x v="7"/>
    <m/>
    <n v="6410"/>
    <m/>
    <n v="6410"/>
    <m/>
  </r>
  <r>
    <x v="626"/>
    <x v="25"/>
    <x v="7"/>
    <m/>
    <n v="14042"/>
    <m/>
    <n v="14042"/>
    <m/>
  </r>
  <r>
    <x v="626"/>
    <x v="69"/>
    <x v="7"/>
    <m/>
    <n v="58990"/>
    <m/>
    <n v="58990"/>
    <m/>
  </r>
  <r>
    <x v="626"/>
    <x v="68"/>
    <x v="7"/>
    <m/>
    <n v="82220"/>
    <m/>
    <n v="82220"/>
    <m/>
  </r>
  <r>
    <x v="626"/>
    <x v="65"/>
    <x v="7"/>
    <m/>
    <n v="67370"/>
    <m/>
    <n v="67370"/>
    <m/>
  </r>
  <r>
    <x v="626"/>
    <x v="69"/>
    <x v="7"/>
    <m/>
    <n v="84612"/>
    <m/>
    <n v="84612"/>
    <m/>
  </r>
  <r>
    <x v="626"/>
    <x v="65"/>
    <x v="7"/>
    <m/>
    <n v="14517"/>
    <m/>
    <n v="14517"/>
    <m/>
  </r>
  <r>
    <x v="623"/>
    <x v="67"/>
    <x v="10"/>
    <m/>
    <n v="73360"/>
    <m/>
    <n v="73360"/>
    <m/>
  </r>
  <r>
    <x v="623"/>
    <x v="65"/>
    <x v="10"/>
    <m/>
    <n v="7970"/>
    <m/>
    <n v="7970"/>
    <m/>
  </r>
  <r>
    <x v="623"/>
    <x v="25"/>
    <x v="10"/>
    <m/>
    <n v="21500"/>
    <m/>
    <n v="21500"/>
    <m/>
  </r>
  <r>
    <x v="627"/>
    <x v="65"/>
    <x v="10"/>
    <m/>
    <n v="2900"/>
    <m/>
    <n v="2900"/>
    <m/>
  </r>
  <r>
    <x v="628"/>
    <x v="68"/>
    <x v="0"/>
    <m/>
    <n v="30000"/>
    <m/>
    <n v="30000"/>
    <m/>
  </r>
  <r>
    <x v="626"/>
    <x v="68"/>
    <x v="1"/>
    <m/>
    <n v="10140"/>
    <m/>
    <n v="10140"/>
    <m/>
  </r>
  <r>
    <x v="618"/>
    <x v="66"/>
    <x v="2"/>
    <m/>
    <m/>
    <n v="10715"/>
    <n v="-10715"/>
    <m/>
  </r>
  <r>
    <x v="624"/>
    <x v="66"/>
    <x v="2"/>
    <m/>
    <m/>
    <n v="24623"/>
    <n v="-24623"/>
    <m/>
  </r>
  <r>
    <x v="624"/>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5"/>
    <x v="66"/>
    <x v="2"/>
    <m/>
    <m/>
    <n v="13100"/>
    <n v="-13100"/>
    <m/>
  </r>
  <r>
    <x v="625"/>
    <x v="68"/>
    <x v="2"/>
    <m/>
    <m/>
    <n v="16104"/>
    <n v="-16104"/>
    <m/>
  </r>
  <r>
    <x v="625"/>
    <x v="5"/>
    <x v="4"/>
    <m/>
    <m/>
    <m/>
    <n v="0"/>
    <m/>
  </r>
  <r>
    <x v="629"/>
    <x v="65"/>
    <x v="5"/>
    <m/>
    <n v="13975"/>
    <m/>
    <n v="13975"/>
    <m/>
  </r>
  <r>
    <x v="629"/>
    <x v="65"/>
    <x v="5"/>
    <m/>
    <n v="4675"/>
    <m/>
    <n v="4675"/>
    <m/>
  </r>
  <r>
    <x v="629"/>
    <x v="65"/>
    <x v="5"/>
    <m/>
    <n v="18400"/>
    <m/>
    <n v="18400"/>
    <m/>
  </r>
  <r>
    <x v="629"/>
    <x v="25"/>
    <x v="5"/>
    <m/>
    <n v="2120"/>
    <m/>
    <n v="2120"/>
    <m/>
  </r>
  <r>
    <x v="629"/>
    <x v="67"/>
    <x v="5"/>
    <m/>
    <n v="15875"/>
    <m/>
    <n v="15875"/>
    <m/>
  </r>
  <r>
    <x v="629"/>
    <x v="67"/>
    <x v="5"/>
    <m/>
    <n v="2320"/>
    <m/>
    <n v="2320"/>
    <m/>
  </r>
  <r>
    <x v="629"/>
    <x v="65"/>
    <x v="5"/>
    <m/>
    <n v="7800"/>
    <m/>
    <n v="7800"/>
    <m/>
  </r>
  <r>
    <x v="629"/>
    <x v="65"/>
    <x v="5"/>
    <m/>
    <n v="6000"/>
    <m/>
    <n v="6000"/>
    <m/>
  </r>
  <r>
    <x v="629"/>
    <x v="65"/>
    <x v="5"/>
    <m/>
    <n v="2515"/>
    <m/>
    <n v="2515"/>
    <m/>
  </r>
  <r>
    <x v="629"/>
    <x v="65"/>
    <x v="5"/>
    <m/>
    <n v="5300"/>
    <m/>
    <n v="5300"/>
    <m/>
  </r>
  <r>
    <x v="629"/>
    <x v="65"/>
    <x v="5"/>
    <m/>
    <n v="15600"/>
    <m/>
    <n v="15600"/>
    <m/>
  </r>
  <r>
    <x v="629"/>
    <x v="65"/>
    <x v="5"/>
    <m/>
    <n v="5000"/>
    <m/>
    <n v="5000"/>
    <m/>
  </r>
  <r>
    <x v="629"/>
    <x v="65"/>
    <x v="5"/>
    <m/>
    <n v="23400"/>
    <m/>
    <n v="23400"/>
    <m/>
  </r>
  <r>
    <x v="629"/>
    <x v="65"/>
    <x v="5"/>
    <m/>
    <n v="4940"/>
    <m/>
    <n v="4940"/>
    <m/>
  </r>
  <r>
    <x v="630"/>
    <x v="67"/>
    <x v="5"/>
    <m/>
    <n v="9000"/>
    <m/>
    <n v="9000"/>
    <m/>
  </r>
  <r>
    <x v="630"/>
    <x v="25"/>
    <x v="5"/>
    <m/>
    <n v="46200"/>
    <m/>
    <n v="46200"/>
    <m/>
  </r>
  <r>
    <x v="631"/>
    <x v="25"/>
    <x v="9"/>
    <s v="25"/>
    <n v="18600"/>
    <m/>
    <n v="18600"/>
    <m/>
  </r>
  <r>
    <x v="631"/>
    <x v="25"/>
    <x v="9"/>
    <s v="26"/>
    <n v="63200"/>
    <m/>
    <n v="63200"/>
    <m/>
  </r>
  <r>
    <x v="623"/>
    <x v="70"/>
    <x v="7"/>
    <n v="223"/>
    <n v="149055"/>
    <m/>
    <n v="149055"/>
    <m/>
  </r>
  <r>
    <x v="632"/>
    <x v="69"/>
    <x v="7"/>
    <n v="261"/>
    <n v="68784"/>
    <m/>
    <n v="68784"/>
    <m/>
  </r>
  <r>
    <x v="626"/>
    <x v="67"/>
    <x v="7"/>
    <n v="336"/>
    <n v="9691"/>
    <m/>
    <n v="9691"/>
    <m/>
  </r>
  <r>
    <x v="626"/>
    <x v="69"/>
    <x v="7"/>
    <n v="337"/>
    <n v="15953"/>
    <m/>
    <n v="15953"/>
    <m/>
  </r>
  <r>
    <x v="630"/>
    <x v="70"/>
    <x v="7"/>
    <n v="403"/>
    <n v="8000"/>
    <m/>
    <n v="8000"/>
    <m/>
  </r>
  <r>
    <x v="630"/>
    <x v="65"/>
    <x v="7"/>
    <s v="0409"/>
    <n v="21517"/>
    <m/>
    <n v="21517"/>
    <m/>
  </r>
  <r>
    <x v="630"/>
    <x v="69"/>
    <x v="7"/>
    <s v="0408"/>
    <n v="2281"/>
    <m/>
    <n v="2281"/>
    <m/>
  </r>
  <r>
    <x v="633"/>
    <x v="70"/>
    <x v="7"/>
    <n v="451"/>
    <n v="2858"/>
    <m/>
    <n v="2858"/>
    <m/>
  </r>
  <r>
    <x v="631"/>
    <x v="70"/>
    <x v="7"/>
    <n v="495"/>
    <n v="71428"/>
    <m/>
    <n v="71428"/>
    <m/>
  </r>
  <r>
    <x v="631"/>
    <x v="25"/>
    <x v="7"/>
    <n v="494"/>
    <n v="53174"/>
    <m/>
    <n v="53174"/>
    <m/>
  </r>
  <r>
    <x v="631"/>
    <x v="70"/>
    <x v="7"/>
    <n v="43"/>
    <m/>
    <n v="55691"/>
    <n v="-55691"/>
    <s v="Material returned"/>
  </r>
  <r>
    <x v="634"/>
    <x v="25"/>
    <x v="7"/>
    <n v="44"/>
    <m/>
    <n v="20120"/>
    <n v="-20120"/>
    <s v="Material returned"/>
  </r>
  <r>
    <x v="635"/>
    <x v="65"/>
    <x v="8"/>
    <n v="2"/>
    <n v="51450"/>
    <m/>
    <n v="51450"/>
    <m/>
  </r>
  <r>
    <x v="634"/>
    <x v="50"/>
    <x v="11"/>
    <n v="2103"/>
    <n v="61200"/>
    <m/>
    <n v="61200"/>
    <m/>
  </r>
  <r>
    <x v="636"/>
    <x v="65"/>
    <x v="8"/>
    <m/>
    <m/>
    <n v="50000"/>
    <n v="-50000"/>
    <s v="This payment received feom Total as JPMC IPC 49 payment (Direct tranfered in his account)"/>
  </r>
  <r>
    <x v="636"/>
    <x v="25"/>
    <x v="9"/>
    <m/>
    <m/>
    <n v="50000"/>
    <n v="-50000"/>
    <s v="This payment received feom Total as JPMC IPC 49 payment (Direct tranfered in his account)"/>
  </r>
  <r>
    <x v="636"/>
    <x v="25"/>
    <x v="3"/>
    <m/>
    <n v="121998"/>
    <m/>
    <n v="121998"/>
    <m/>
  </r>
  <r>
    <x v="636"/>
    <x v="25"/>
    <x v="3"/>
    <m/>
    <m/>
    <n v="100000"/>
    <n v="-100000"/>
    <s v="This payment received feom Total as JPMC IPC 49 payment (Direct tranfered in his account)"/>
  </r>
  <r>
    <x v="636"/>
    <x v="66"/>
    <x v="0"/>
    <m/>
    <m/>
    <n v="21600"/>
    <n v="-21600"/>
    <m/>
  </r>
  <r>
    <x v="636"/>
    <x v="68"/>
    <x v="0"/>
    <m/>
    <m/>
    <n v="30000"/>
    <n v="-30000"/>
    <s v="This payment received feom Total as JPMC IPC 49 payment (Direct tranfered in his account)"/>
  </r>
  <r>
    <x v="636"/>
    <x v="46"/>
    <x v="0"/>
    <m/>
    <m/>
    <n v="98400"/>
    <n v="-98400"/>
    <m/>
  </r>
  <r>
    <x v="637"/>
    <x v="65"/>
    <x v="8"/>
    <m/>
    <n v="29000"/>
    <m/>
    <n v="29000"/>
    <m/>
  </r>
  <r>
    <x v="637"/>
    <x v="67"/>
    <x v="8"/>
    <m/>
    <m/>
    <n v="14000"/>
    <n v="-14000"/>
    <m/>
  </r>
  <r>
    <x v="637"/>
    <x v="65"/>
    <x v="8"/>
    <m/>
    <m/>
    <n v="30450"/>
    <n v="-30450"/>
    <s v="DIB chq 02235041"/>
  </r>
  <r>
    <x v="638"/>
    <x v="67"/>
    <x v="10"/>
    <m/>
    <m/>
    <n v="73360"/>
    <n v="-73360"/>
    <s v="This payment received from Total as JPMC IPC 49 payment against GST invoice in the name of Saqib Enterprise_x000a__x000a_Chq amount     207,090"/>
  </r>
  <r>
    <x v="638"/>
    <x v="65"/>
    <x v="10"/>
    <m/>
    <m/>
    <n v="7970"/>
    <n v="-7970"/>
    <m/>
  </r>
  <r>
    <x v="638"/>
    <x v="25"/>
    <x v="10"/>
    <m/>
    <m/>
    <n v="21500"/>
    <n v="-21500"/>
    <m/>
  </r>
  <r>
    <x v="638"/>
    <x v="65"/>
    <x v="10"/>
    <m/>
    <m/>
    <n v="2900"/>
    <n v="-2900"/>
    <m/>
  </r>
  <r>
    <x v="627"/>
    <x v="25"/>
    <x v="10"/>
    <m/>
    <m/>
    <n v="24225"/>
    <n v="-24225"/>
    <m/>
  </r>
  <r>
    <x v="639"/>
    <x v="65"/>
    <x v="10"/>
    <m/>
    <m/>
    <n v="54720"/>
    <n v="-54720"/>
    <m/>
  </r>
  <r>
    <x v="640"/>
    <x v="67"/>
    <x v="10"/>
    <m/>
    <m/>
    <n v="22415"/>
    <n v="-22415"/>
    <m/>
  </r>
  <r>
    <x v="641"/>
    <x v="25"/>
    <x v="3"/>
    <m/>
    <n v="4494"/>
    <m/>
    <n v="4494"/>
    <m/>
  </r>
  <r>
    <x v="638"/>
    <x v="25"/>
    <x v="3"/>
    <m/>
    <n v="743"/>
    <m/>
    <n v="743"/>
    <m/>
  </r>
  <r>
    <x v="642"/>
    <x v="70"/>
    <x v="7"/>
    <m/>
    <m/>
    <n v="158559"/>
    <n v="-158559"/>
    <s v="This payment received from Total as JPMC IPC 49 payment against GST invoice in the name of Syedna trading)_x000a_chq 500,000_x000a_less   17,500_x000a_total 482,500  chq amount 500,000"/>
  </r>
  <r>
    <x v="642"/>
    <x v="68"/>
    <x v="7"/>
    <m/>
    <m/>
    <n v="82220"/>
    <n v="-82220"/>
    <m/>
  </r>
  <r>
    <x v="642"/>
    <x v="67"/>
    <x v="7"/>
    <m/>
    <m/>
    <n v="41721"/>
    <n v="-41721"/>
    <m/>
  </r>
  <r>
    <x v="642"/>
    <x v="69"/>
    <x v="7"/>
    <m/>
    <m/>
    <n v="200000"/>
    <n v="-200000"/>
    <m/>
  </r>
  <r>
    <x v="638"/>
    <x v="68"/>
    <x v="1"/>
    <m/>
    <n v="6270"/>
    <m/>
    <n v="6270"/>
    <m/>
  </r>
  <r>
    <x v="643"/>
    <x v="68"/>
    <x v="12"/>
    <m/>
    <n v="545000"/>
    <m/>
    <n v="545000"/>
    <m/>
  </r>
  <r>
    <x v="643"/>
    <x v="68"/>
    <x v="12"/>
    <m/>
    <m/>
    <n v="400000"/>
    <n v="-400000"/>
    <s v="This payment received feom Total as JPMC IPC 49 payment (Direct tranfered in his account)"/>
  </r>
  <r>
    <x v="644"/>
    <x v="65"/>
    <x v="9"/>
    <s v="27"/>
    <n v="109600"/>
    <m/>
    <n v="109600"/>
    <m/>
  </r>
  <r>
    <x v="645"/>
    <x v="65"/>
    <x v="5"/>
    <m/>
    <n v="17100"/>
    <m/>
    <n v="17100"/>
    <m/>
  </r>
  <r>
    <x v="646"/>
    <x v="70"/>
    <x v="0"/>
    <m/>
    <n v="31875"/>
    <m/>
    <n v="31875"/>
    <m/>
  </r>
  <r>
    <x v="647"/>
    <x v="65"/>
    <x v="9"/>
    <s v="28"/>
    <n v="36700"/>
    <m/>
    <n v="36700"/>
    <m/>
  </r>
  <r>
    <x v="647"/>
    <x v="25"/>
    <x v="9"/>
    <s v="29"/>
    <n v="6000"/>
    <m/>
    <n v="6000"/>
    <m/>
  </r>
  <r>
    <x v="648"/>
    <x v="65"/>
    <x v="9"/>
    <m/>
    <m/>
    <n v="100000"/>
    <n v="-100000"/>
    <s v="paid thru dib chq 02235061"/>
  </r>
  <r>
    <x v="634"/>
    <x v="70"/>
    <x v="7"/>
    <m/>
    <n v="4381"/>
    <m/>
    <n v="4381"/>
    <m/>
  </r>
  <r>
    <x v="634"/>
    <x v="25"/>
    <x v="7"/>
    <m/>
    <n v="18880"/>
    <m/>
    <n v="18880"/>
    <m/>
  </r>
  <r>
    <x v="634"/>
    <x v="25"/>
    <x v="7"/>
    <m/>
    <m/>
    <n v="20120"/>
    <n v="-20120"/>
    <s v="sales retrun"/>
  </r>
  <r>
    <x v="635"/>
    <x v="65"/>
    <x v="7"/>
    <m/>
    <n v="18012"/>
    <m/>
    <n v="18012"/>
    <m/>
  </r>
  <r>
    <x v="649"/>
    <x v="65"/>
    <x v="7"/>
    <m/>
    <m/>
    <n v="11028"/>
    <n v="-11028"/>
    <s v="sales retrun"/>
  </r>
  <r>
    <x v="649"/>
    <x v="25"/>
    <x v="7"/>
    <m/>
    <n v="8592"/>
    <m/>
    <n v="8592"/>
    <m/>
  </r>
  <r>
    <x v="649"/>
    <x v="70"/>
    <x v="7"/>
    <m/>
    <n v="3334"/>
    <m/>
    <n v="3334"/>
    <m/>
  </r>
  <r>
    <x v="636"/>
    <x v="65"/>
    <x v="7"/>
    <m/>
    <m/>
    <n v="2656"/>
    <n v="-2656"/>
    <m/>
  </r>
  <r>
    <x v="636"/>
    <x v="65"/>
    <x v="7"/>
    <m/>
    <n v="10724"/>
    <m/>
    <n v="10724"/>
    <m/>
  </r>
  <r>
    <x v="636"/>
    <x v="69"/>
    <x v="7"/>
    <m/>
    <n v="33917"/>
    <m/>
    <n v="33917"/>
    <m/>
  </r>
  <r>
    <x v="642"/>
    <x v="67"/>
    <x v="7"/>
    <m/>
    <n v="13895"/>
    <m/>
    <n v="13895"/>
    <m/>
  </r>
  <r>
    <x v="642"/>
    <x v="69"/>
    <x v="7"/>
    <m/>
    <n v="5105"/>
    <m/>
    <n v="5105"/>
    <m/>
  </r>
  <r>
    <x v="644"/>
    <x v="67"/>
    <x v="7"/>
    <m/>
    <n v="220774"/>
    <m/>
    <n v="220774"/>
    <m/>
  </r>
  <r>
    <x v="644"/>
    <x v="25"/>
    <x v="7"/>
    <m/>
    <n v="68510"/>
    <m/>
    <n v="68510"/>
    <m/>
  </r>
  <r>
    <x v="644"/>
    <x v="69"/>
    <x v="7"/>
    <m/>
    <n v="758"/>
    <m/>
    <n v="758"/>
    <m/>
  </r>
  <r>
    <x v="650"/>
    <x v="67"/>
    <x v="7"/>
    <m/>
    <n v="5675"/>
    <m/>
    <n v="5675"/>
    <m/>
  </r>
  <r>
    <x v="651"/>
    <x v="70"/>
    <x v="7"/>
    <m/>
    <n v="24564"/>
    <m/>
    <n v="24564"/>
    <m/>
  </r>
  <r>
    <x v="641"/>
    <x v="70"/>
    <x v="7"/>
    <m/>
    <n v="860"/>
    <m/>
    <n v="860"/>
    <m/>
  </r>
  <r>
    <x v="652"/>
    <x v="67"/>
    <x v="7"/>
    <m/>
    <n v="2821"/>
    <m/>
    <n v="2821"/>
    <m/>
  </r>
  <r>
    <x v="653"/>
    <x v="65"/>
    <x v="7"/>
    <m/>
    <n v="14409"/>
    <m/>
    <n v="14409"/>
    <m/>
  </r>
  <r>
    <x v="654"/>
    <x v="25"/>
    <x v="9"/>
    <s v="30"/>
    <n v="17200"/>
    <m/>
    <n v="17200"/>
    <m/>
  </r>
  <r>
    <x v="655"/>
    <x v="50"/>
    <x v="3"/>
    <n v="4445"/>
    <n v="6168"/>
    <m/>
    <n v="6168"/>
    <m/>
  </r>
  <r>
    <x v="655"/>
    <x v="25"/>
    <x v="3"/>
    <n v="4453"/>
    <n v="16796"/>
    <m/>
    <n v="16796"/>
    <m/>
  </r>
  <r>
    <x v="656"/>
    <x v="67"/>
    <x v="5"/>
    <m/>
    <n v="97145"/>
    <m/>
    <n v="97145"/>
    <m/>
  </r>
  <r>
    <x v="656"/>
    <x v="71"/>
    <x v="5"/>
    <m/>
    <n v="55800"/>
    <m/>
    <n v="55800"/>
    <m/>
  </r>
  <r>
    <x v="656"/>
    <x v="65"/>
    <x v="5"/>
    <m/>
    <n v="4970"/>
    <m/>
    <n v="4970"/>
    <m/>
  </r>
  <r>
    <x v="657"/>
    <x v="67"/>
    <x v="7"/>
    <m/>
    <n v="5367"/>
    <m/>
    <n v="5367"/>
    <m/>
  </r>
  <r>
    <x v="658"/>
    <x v="70"/>
    <x v="7"/>
    <m/>
    <n v="12568"/>
    <m/>
    <n v="12568"/>
    <m/>
  </r>
  <r>
    <x v="654"/>
    <x v="67"/>
    <x v="7"/>
    <m/>
    <n v="121139"/>
    <m/>
    <n v="121139"/>
    <m/>
  </r>
  <r>
    <x v="659"/>
    <x v="67"/>
    <x v="7"/>
    <m/>
    <n v="13264"/>
    <m/>
    <n v="13264"/>
    <m/>
  </r>
  <r>
    <x v="660"/>
    <x v="67"/>
    <x v="7"/>
    <m/>
    <n v="5670"/>
    <m/>
    <n v="5670"/>
    <m/>
  </r>
  <r>
    <x v="640"/>
    <x v="65"/>
    <x v="5"/>
    <m/>
    <n v="4395"/>
    <m/>
    <n v="4395"/>
    <m/>
  </r>
  <r>
    <x v="659"/>
    <x v="50"/>
    <x v="11"/>
    <m/>
    <m/>
    <n v="25000"/>
    <n v="-25000"/>
    <s v="cash paid"/>
  </r>
  <r>
    <x v="640"/>
    <x v="25"/>
    <x v="3"/>
    <m/>
    <m/>
    <n v="100000"/>
    <n v="-100000"/>
    <s v="paid thru dib # 02235069"/>
  </r>
  <r>
    <x v="640"/>
    <x v="67"/>
    <x v="7"/>
    <m/>
    <m/>
    <n v="300000"/>
    <n v="-300000"/>
    <s v="paid thru dib # 02235072"/>
  </r>
  <r>
    <x v="661"/>
    <x v="25"/>
    <x v="5"/>
    <m/>
    <n v="35600"/>
    <m/>
    <n v="35600"/>
    <m/>
  </r>
  <r>
    <x v="662"/>
    <x v="25"/>
    <x v="5"/>
    <m/>
    <n v="41800"/>
    <m/>
    <n v="41800"/>
    <m/>
  </r>
  <r>
    <x v="640"/>
    <x v="71"/>
    <x v="5"/>
    <m/>
    <n v="55800"/>
    <m/>
    <n v="55800"/>
    <m/>
  </r>
  <r>
    <x v="663"/>
    <x v="67"/>
    <x v="5"/>
    <m/>
    <n v="8330"/>
    <m/>
    <n v="8330"/>
    <m/>
  </r>
  <r>
    <x v="664"/>
    <x v="67"/>
    <x v="5"/>
    <m/>
    <n v="14190"/>
    <m/>
    <n v="14190"/>
    <m/>
  </r>
  <r>
    <x v="661"/>
    <x v="46"/>
    <x v="5"/>
    <m/>
    <n v="900"/>
    <m/>
    <n v="900"/>
    <s v="adjust"/>
  </r>
  <r>
    <x v="663"/>
    <x v="25"/>
    <x v="5"/>
    <m/>
    <m/>
    <n v="92268"/>
    <n v="-92268"/>
    <m/>
  </r>
  <r>
    <x v="663"/>
    <x v="65"/>
    <x v="5"/>
    <m/>
    <m/>
    <n v="23720"/>
    <n v="-23720"/>
    <m/>
  </r>
  <r>
    <x v="663"/>
    <x v="66"/>
    <x v="5"/>
    <m/>
    <m/>
    <n v="4575"/>
    <n v="-4575"/>
    <s v="received from total against Hyundai showroom retention rec date 29-5-21 against GS invoive amount 365090"/>
  </r>
  <r>
    <x v="663"/>
    <x v="67"/>
    <x v="5"/>
    <m/>
    <m/>
    <n v="124340"/>
    <n v="-124340"/>
    <m/>
  </r>
  <r>
    <x v="663"/>
    <x v="71"/>
    <x v="5"/>
    <m/>
    <m/>
    <n v="111600"/>
    <n v="-111600"/>
    <m/>
  </r>
  <r>
    <x v="663"/>
    <x v="67"/>
    <x v="5"/>
    <m/>
    <m/>
    <n v="8587"/>
    <n v="-8587"/>
    <m/>
  </r>
  <r>
    <x v="627"/>
    <x v="25"/>
    <x v="10"/>
    <m/>
    <n v="24225"/>
    <m/>
    <n v="24225"/>
    <m/>
  </r>
  <r>
    <x v="665"/>
    <x v="65"/>
    <x v="10"/>
    <m/>
    <n v="54726"/>
    <m/>
    <n v="54726"/>
    <m/>
  </r>
  <r>
    <x v="666"/>
    <x v="67"/>
    <x v="10"/>
    <m/>
    <n v="153496"/>
    <m/>
    <n v="153496"/>
    <m/>
  </r>
  <r>
    <x v="664"/>
    <x v="67"/>
    <x v="10"/>
    <m/>
    <n v="79600"/>
    <m/>
    <n v="79600"/>
    <m/>
  </r>
  <r>
    <x v="667"/>
    <x v="25"/>
    <x v="5"/>
    <m/>
    <n v="30000"/>
    <m/>
    <n v="30000"/>
    <m/>
  </r>
  <r>
    <x v="667"/>
    <x v="69"/>
    <x v="7"/>
    <m/>
    <m/>
    <n v="60288"/>
    <n v="-60288"/>
    <s v="sales return"/>
  </r>
  <r>
    <x v="668"/>
    <x v="65"/>
    <x v="8"/>
    <m/>
    <n v="28567"/>
    <m/>
    <n v="28567"/>
    <m/>
  </r>
  <r>
    <x v="669"/>
    <x v="25"/>
    <x v="9"/>
    <s v="31"/>
    <n v="4800"/>
    <m/>
    <n v="4800"/>
    <m/>
  </r>
  <r>
    <x v="668"/>
    <x v="67"/>
    <x v="5"/>
    <m/>
    <n v="45420"/>
    <m/>
    <n v="45420"/>
    <m/>
  </r>
  <r>
    <x v="670"/>
    <x v="25"/>
    <x v="10"/>
    <m/>
    <n v="19000"/>
    <m/>
    <n v="19000"/>
    <m/>
  </r>
  <r>
    <x v="671"/>
    <x v="25"/>
    <x v="10"/>
    <m/>
    <n v="22000"/>
    <m/>
    <n v="22000"/>
    <m/>
  </r>
  <r>
    <x v="672"/>
    <x v="25"/>
    <x v="10"/>
    <m/>
    <n v="38000"/>
    <m/>
    <n v="38000"/>
    <m/>
  </r>
  <r>
    <x v="672"/>
    <x v="65"/>
    <x v="10"/>
    <m/>
    <n v="76000"/>
    <m/>
    <n v="76000"/>
    <m/>
  </r>
  <r>
    <x v="672"/>
    <x v="67"/>
    <x v="10"/>
    <m/>
    <n v="36600"/>
    <m/>
    <n v="36600"/>
    <m/>
  </r>
  <r>
    <x v="673"/>
    <x v="71"/>
    <x v="5"/>
    <m/>
    <n v="21600"/>
    <m/>
    <n v="21600"/>
    <m/>
  </r>
  <r>
    <x v="673"/>
    <x v="25"/>
    <x v="5"/>
    <m/>
    <n v="19200"/>
    <m/>
    <n v="19200"/>
    <m/>
  </r>
  <r>
    <x v="674"/>
    <x v="67"/>
    <x v="5"/>
    <m/>
    <n v="2775"/>
    <m/>
    <n v="2775"/>
    <m/>
  </r>
  <r>
    <x v="675"/>
    <x v="67"/>
    <x v="5"/>
    <m/>
    <n v="9130"/>
    <m/>
    <n v="9130"/>
    <m/>
  </r>
  <r>
    <x v="640"/>
    <x v="25"/>
    <x v="7"/>
    <m/>
    <n v="20332"/>
    <m/>
    <n v="20332"/>
    <m/>
  </r>
  <r>
    <x v="663"/>
    <x v="67"/>
    <x v="7"/>
    <m/>
    <n v="33768"/>
    <m/>
    <n v="33768"/>
    <m/>
  </r>
  <r>
    <x v="667"/>
    <x v="67"/>
    <x v="7"/>
    <m/>
    <n v="982"/>
    <m/>
    <n v="982"/>
    <m/>
  </r>
  <r>
    <x v="676"/>
    <x v="65"/>
    <x v="9"/>
    <m/>
    <m/>
    <n v="46300"/>
    <n v="-46300"/>
    <m/>
  </r>
  <r>
    <x v="676"/>
    <x v="25"/>
    <x v="9"/>
    <m/>
    <m/>
    <n v="53700"/>
    <n v="-53700"/>
    <s v="MCB chq 1806422916 amount 100,000"/>
  </r>
  <r>
    <x v="606"/>
    <x v="51"/>
    <x v="6"/>
    <m/>
    <m/>
    <n v="33746"/>
    <n v="-33746"/>
    <m/>
  </r>
  <r>
    <x v="677"/>
    <x v="67"/>
    <x v="8"/>
    <m/>
    <n v="82595"/>
    <m/>
    <n v="82595"/>
    <m/>
  </r>
  <r>
    <x v="677"/>
    <x v="25"/>
    <x v="3"/>
    <m/>
    <n v="1000"/>
    <m/>
    <n v="1000"/>
    <m/>
  </r>
  <r>
    <x v="678"/>
    <x v="50"/>
    <x v="11"/>
    <m/>
    <m/>
    <n v="25000"/>
    <n v="-25000"/>
    <s v="cash paid adjust"/>
  </r>
  <r>
    <x v="678"/>
    <x v="50"/>
    <x v="11"/>
    <m/>
    <m/>
    <n v="10000"/>
    <n v="-10000"/>
    <m/>
  </r>
  <r>
    <x v="678"/>
    <x v="50"/>
    <x v="11"/>
    <m/>
    <m/>
    <n v="1200"/>
    <n v="-1200"/>
    <s v="adjusted"/>
  </r>
  <r>
    <x v="678"/>
    <x v="68"/>
    <x v="12"/>
    <m/>
    <m/>
    <n v="100000"/>
    <n v="-100000"/>
    <s v="paid thru DIB 02290536"/>
  </r>
  <r>
    <x v="678"/>
    <x v="67"/>
    <x v="9"/>
    <s v="32"/>
    <n v="128600"/>
    <m/>
    <n v="128600"/>
    <m/>
  </r>
  <r>
    <x v="677"/>
    <x v="71"/>
    <x v="5"/>
    <m/>
    <n v="13200"/>
    <m/>
    <n v="13200"/>
    <m/>
  </r>
  <r>
    <x v="677"/>
    <x v="67"/>
    <x v="5"/>
    <m/>
    <n v="13000"/>
    <m/>
    <n v="13000"/>
    <m/>
  </r>
  <r>
    <x v="671"/>
    <x v="67"/>
    <x v="7"/>
    <m/>
    <n v="50037"/>
    <m/>
    <n v="50037"/>
    <m/>
  </r>
  <r>
    <x v="679"/>
    <x v="25"/>
    <x v="7"/>
    <m/>
    <n v="34937"/>
    <m/>
    <n v="34937"/>
    <m/>
  </r>
  <r>
    <x v="680"/>
    <x v="67"/>
    <x v="7"/>
    <m/>
    <n v="7734"/>
    <m/>
    <n v="7734"/>
    <m/>
  </r>
  <r>
    <x v="678"/>
    <x v="67"/>
    <x v="7"/>
    <m/>
    <n v="3019"/>
    <m/>
    <n v="3019"/>
    <m/>
  </r>
  <r>
    <x v="681"/>
    <x v="67"/>
    <x v="5"/>
    <m/>
    <n v="7920"/>
    <m/>
    <n v="7920"/>
    <m/>
  </r>
  <r>
    <x v="678"/>
    <x v="71"/>
    <x v="10"/>
    <m/>
    <n v="21000"/>
    <m/>
    <n v="21000"/>
    <m/>
  </r>
  <r>
    <x v="681"/>
    <x v="72"/>
    <x v="10"/>
    <m/>
    <n v="55300"/>
    <m/>
    <n v="55300"/>
    <m/>
  </r>
  <r>
    <x v="682"/>
    <x v="72"/>
    <x v="10"/>
    <m/>
    <n v="193500"/>
    <m/>
    <n v="193500"/>
    <m/>
  </r>
  <r>
    <x v="683"/>
    <x v="67"/>
    <x v="10"/>
    <m/>
    <n v="230800"/>
    <m/>
    <n v="230800"/>
    <m/>
  </r>
  <r>
    <x v="684"/>
    <x v="25"/>
    <x v="3"/>
    <m/>
    <n v="21211"/>
    <m/>
    <n v="21211"/>
    <m/>
  </r>
  <r>
    <x v="685"/>
    <x v="67"/>
    <x v="8"/>
    <m/>
    <n v="11119"/>
    <m/>
    <n v="11119"/>
    <m/>
  </r>
  <r>
    <x v="686"/>
    <x v="72"/>
    <x v="10"/>
    <m/>
    <n v="4000"/>
    <m/>
    <n v="4000"/>
    <m/>
  </r>
  <r>
    <x v="686"/>
    <x v="73"/>
    <x v="10"/>
    <m/>
    <n v="30000"/>
    <m/>
    <n v="30000"/>
    <m/>
  </r>
  <r>
    <x v="687"/>
    <x v="71"/>
    <x v="10"/>
    <m/>
    <n v="113360"/>
    <m/>
    <n v="113360"/>
    <m/>
  </r>
  <r>
    <x v="687"/>
    <x v="71"/>
    <x v="3"/>
    <m/>
    <n v="17710"/>
    <m/>
    <n v="17710"/>
    <m/>
  </r>
  <r>
    <x v="688"/>
    <x v="67"/>
    <x v="8"/>
    <m/>
    <m/>
    <n v="75000"/>
    <n v="-75000"/>
    <s v="cash paid"/>
  </r>
  <r>
    <x v="689"/>
    <x v="67"/>
    <x v="10"/>
    <m/>
    <n v="2710"/>
    <m/>
    <n v="2710"/>
    <m/>
  </r>
  <r>
    <x v="688"/>
    <x v="67"/>
    <x v="5"/>
    <m/>
    <m/>
    <n v="92178"/>
    <n v="-92178"/>
    <s v="This payment received from Total as JPMC retention money amount direct paid to Iqbal sons against GST invoice."/>
  </r>
  <r>
    <x v="688"/>
    <x v="71"/>
    <x v="5"/>
    <m/>
    <m/>
    <n v="34800"/>
    <n v="-34800"/>
    <m/>
  </r>
  <r>
    <x v="688"/>
    <x v="25"/>
    <x v="5"/>
    <m/>
    <m/>
    <n v="23022"/>
    <n v="-23022"/>
    <m/>
  </r>
  <r>
    <x v="688"/>
    <x v="67"/>
    <x v="10"/>
    <m/>
    <m/>
    <n v="441381"/>
    <n v="-441381"/>
    <s v="this payment rec from Total as Js bank shaheen Caferteria 2nd bill payment (this chq given to Shabbir borther against GSt invoice in the name of S A Khan raders"/>
  </r>
  <r>
    <x v="688"/>
    <x v="71"/>
    <x v="10"/>
    <m/>
    <m/>
    <n v="39410"/>
    <n v="-39410"/>
    <m/>
  </r>
  <r>
    <x v="688"/>
    <x v="65"/>
    <x v="10"/>
    <m/>
    <m/>
    <n v="40445"/>
    <n v="-40445"/>
    <m/>
  </r>
  <r>
    <x v="688"/>
    <x v="71"/>
    <x v="10"/>
    <m/>
    <m/>
    <n v="134360"/>
    <n v="-134360"/>
    <s v="This payment received from Total as JPMC retention money amount direct paid to shabbir brothers in the name of S. A Khan traders against GST invoice."/>
  </r>
  <r>
    <x v="688"/>
    <x v="25"/>
    <x v="10"/>
    <m/>
    <m/>
    <n v="79000"/>
    <n v="-79000"/>
    <m/>
  </r>
  <r>
    <x v="688"/>
    <x v="65"/>
    <x v="10"/>
    <m/>
    <m/>
    <n v="35561"/>
    <n v="-35561"/>
    <m/>
  </r>
  <r>
    <x v="688"/>
    <x v="72"/>
    <x v="10"/>
    <m/>
    <m/>
    <n v="252800"/>
    <n v="-252800"/>
    <m/>
  </r>
  <r>
    <x v="688"/>
    <x v="73"/>
    <x v="10"/>
    <m/>
    <m/>
    <n v="209"/>
    <n v="-209"/>
    <m/>
  </r>
  <r>
    <x v="688"/>
    <x v="67"/>
    <x v="5"/>
    <m/>
    <n v="4760"/>
    <m/>
    <n v="4760"/>
    <m/>
  </r>
  <r>
    <x v="687"/>
    <x v="70"/>
    <x v="0"/>
    <m/>
    <n v="246040"/>
    <m/>
    <n v="246040"/>
    <m/>
  </r>
  <r>
    <x v="690"/>
    <x v="25"/>
    <x v="3"/>
    <m/>
    <n v="10716"/>
    <m/>
    <n v="10716"/>
    <m/>
  </r>
  <r>
    <x v="690"/>
    <x v="50"/>
    <x v="3"/>
    <m/>
    <m/>
    <n v="10100"/>
    <n v="-10100"/>
    <m/>
  </r>
  <r>
    <x v="690"/>
    <x v="4"/>
    <x v="3"/>
    <m/>
    <m/>
    <n v="3293"/>
    <n v="-3293"/>
    <m/>
  </r>
  <r>
    <x v="690"/>
    <x v="46"/>
    <x v="3"/>
    <m/>
    <m/>
    <n v="813"/>
    <n v="-813"/>
    <s v="Paid thru MCb chq 1806422934 "/>
  </r>
  <r>
    <x v="690"/>
    <x v="71"/>
    <x v="3"/>
    <m/>
    <m/>
    <n v="17710"/>
    <n v="-17710"/>
    <m/>
  </r>
  <r>
    <x v="690"/>
    <x v="25"/>
    <x v="3"/>
    <m/>
    <m/>
    <n v="28084"/>
    <n v="-28084"/>
    <m/>
  </r>
  <r>
    <x v="681"/>
    <x v="67"/>
    <x v="7"/>
    <m/>
    <n v="12141"/>
    <m/>
    <n v="12141"/>
    <m/>
  </r>
  <r>
    <x v="682"/>
    <x v="70"/>
    <x v="7"/>
    <m/>
    <n v="87672"/>
    <m/>
    <n v="87672"/>
    <m/>
  </r>
  <r>
    <x v="685"/>
    <x v="70"/>
    <x v="7"/>
    <m/>
    <n v="15308"/>
    <m/>
    <n v="15308"/>
    <m/>
  </r>
  <r>
    <x v="682"/>
    <x v="70"/>
    <x v="7"/>
    <m/>
    <m/>
    <n v="19745"/>
    <n v="-19745"/>
    <s v="Sales return"/>
  </r>
  <r>
    <x v="691"/>
    <x v="71"/>
    <x v="3"/>
    <m/>
    <n v="9655"/>
    <m/>
    <n v="9655"/>
    <m/>
  </r>
  <r>
    <x v="690"/>
    <x v="71"/>
    <x v="10"/>
    <m/>
    <n v="56900"/>
    <m/>
    <n v="56900"/>
    <m/>
  </r>
  <r>
    <x v="692"/>
    <x v="71"/>
    <x v="10"/>
    <m/>
    <n v="22000"/>
    <m/>
    <n v="22000"/>
    <m/>
  </r>
  <r>
    <x v="693"/>
    <x v="25"/>
    <x v="9"/>
    <s v="34"/>
    <n v="3000"/>
    <m/>
    <n v="3000"/>
    <m/>
  </r>
  <r>
    <x v="693"/>
    <x v="65"/>
    <x v="9"/>
    <s v="33"/>
    <n v="9500"/>
    <m/>
    <n v="9500"/>
    <m/>
  </r>
  <r>
    <x v="693"/>
    <x v="65"/>
    <x v="13"/>
    <m/>
    <n v="2404"/>
    <m/>
    <n v="2404"/>
    <m/>
  </r>
  <r>
    <x v="693"/>
    <x v="25"/>
    <x v="13"/>
    <m/>
    <n v="17273"/>
    <m/>
    <n v="17273"/>
    <m/>
  </r>
  <r>
    <x v="693"/>
    <x v="74"/>
    <x v="13"/>
    <m/>
    <n v="153871"/>
    <m/>
    <n v="153871"/>
    <m/>
  </r>
  <r>
    <x v="693"/>
    <x v="71"/>
    <x v="13"/>
    <m/>
    <n v="253657"/>
    <m/>
    <n v="253657"/>
    <m/>
  </r>
  <r>
    <x v="694"/>
    <x v="71"/>
    <x v="13"/>
    <m/>
    <m/>
    <n v="200000"/>
    <n v="-200000"/>
    <s v="Paid thru MCb chq 1806422935"/>
  </r>
  <r>
    <x v="695"/>
    <x v="74"/>
    <x v="13"/>
    <m/>
    <m/>
    <n v="100000"/>
    <n v="-100000"/>
    <s v="paid thru MCB chq 1806422943"/>
  </r>
  <r>
    <x v="696"/>
    <x v="67"/>
    <x v="10"/>
    <m/>
    <m/>
    <n v="39410"/>
    <n v="-39410"/>
    <s v="Material returned"/>
  </r>
  <r>
    <x v="697"/>
    <x v="71"/>
    <x v="5"/>
    <m/>
    <n v="8175"/>
    <m/>
    <n v="8175"/>
    <m/>
  </r>
  <r>
    <x v="697"/>
    <x v="71"/>
    <x v="1"/>
    <m/>
    <n v="19000"/>
    <m/>
    <n v="19000"/>
    <m/>
  </r>
  <r>
    <x v="697"/>
    <x v="71"/>
    <x v="13"/>
    <m/>
    <n v="10800"/>
    <m/>
    <n v="10800"/>
    <m/>
  </r>
  <r>
    <x v="698"/>
    <x v="71"/>
    <x v="10"/>
    <m/>
    <n v="58300"/>
    <m/>
    <n v="58300"/>
    <m/>
  </r>
  <r>
    <x v="699"/>
    <x v="71"/>
    <x v="13"/>
    <m/>
    <m/>
    <n v="50000"/>
    <n v="-50000"/>
    <s v="paid thru MCB chq 1806422948"/>
  </r>
  <r>
    <x v="699"/>
    <x v="74"/>
    <x v="13"/>
    <m/>
    <m/>
    <n v="50000"/>
    <n v="-50000"/>
    <m/>
  </r>
  <r>
    <x v="691"/>
    <x v="67"/>
    <x v="10"/>
    <m/>
    <n v="18500"/>
    <m/>
    <n v="18500"/>
    <m/>
  </r>
  <r>
    <x v="700"/>
    <x v="67"/>
    <x v="10"/>
    <m/>
    <n v="10900"/>
    <m/>
    <n v="10900"/>
    <m/>
  </r>
  <r>
    <x v="700"/>
    <x v="67"/>
    <x v="10"/>
    <m/>
    <n v="15900"/>
    <m/>
    <n v="15900"/>
    <m/>
  </r>
  <r>
    <x v="701"/>
    <x v="71"/>
    <x v="10"/>
    <m/>
    <n v="44500"/>
    <m/>
    <n v="44500"/>
    <m/>
  </r>
  <r>
    <x v="702"/>
    <x v="65"/>
    <x v="10"/>
    <m/>
    <n v="87105"/>
    <m/>
    <n v="87105"/>
    <m/>
  </r>
  <r>
    <x v="695"/>
    <x v="25"/>
    <x v="10"/>
    <m/>
    <n v="170800"/>
    <m/>
    <n v="170800"/>
    <m/>
  </r>
  <r>
    <x v="695"/>
    <x v="25"/>
    <x v="7"/>
    <m/>
    <m/>
    <n v="485000"/>
    <n v="-485000"/>
    <s v="received against 4th bill JS bank the forum (this payment direct paid to Tahiri sanitry against GST invoive)"/>
  </r>
  <r>
    <x v="703"/>
    <x v="46"/>
    <x v="0"/>
    <m/>
    <m/>
    <n v="30210"/>
    <n v="-30210"/>
    <s v="waved off (I myself did that)"/>
  </r>
  <r>
    <x v="689"/>
    <x v="71"/>
    <x v="5"/>
    <m/>
    <n v="28800"/>
    <m/>
    <n v="28800"/>
    <m/>
  </r>
  <r>
    <x v="688"/>
    <x v="74"/>
    <x v="5"/>
    <m/>
    <n v="23400"/>
    <m/>
    <n v="23400"/>
    <m/>
  </r>
  <r>
    <x v="704"/>
    <x v="71"/>
    <x v="5"/>
    <m/>
    <n v="21000"/>
    <m/>
    <n v="21000"/>
    <m/>
  </r>
  <r>
    <x v="704"/>
    <x v="25"/>
    <x v="5"/>
    <m/>
    <n v="12780"/>
    <m/>
    <n v="12780"/>
    <m/>
  </r>
  <r>
    <x v="705"/>
    <x v="71"/>
    <x v="5"/>
    <m/>
    <n v="7380"/>
    <m/>
    <n v="7380"/>
    <m/>
  </r>
  <r>
    <x v="690"/>
    <x v="71"/>
    <x v="5"/>
    <m/>
    <n v="6800"/>
    <m/>
    <n v="6800"/>
    <m/>
  </r>
  <r>
    <x v="691"/>
    <x v="71"/>
    <x v="5"/>
    <m/>
    <n v="30725"/>
    <m/>
    <n v="30725"/>
    <m/>
  </r>
  <r>
    <x v="691"/>
    <x v="67"/>
    <x v="5"/>
    <m/>
    <n v="1995"/>
    <m/>
    <n v="1995"/>
    <m/>
  </r>
  <r>
    <x v="694"/>
    <x v="71"/>
    <x v="5"/>
    <m/>
    <n v="13000"/>
    <m/>
    <n v="13000"/>
    <m/>
  </r>
  <r>
    <x v="706"/>
    <x v="71"/>
    <x v="5"/>
    <m/>
    <n v="7800"/>
    <m/>
    <n v="7800"/>
    <m/>
  </r>
  <r>
    <x v="693"/>
    <x v="65"/>
    <x v="5"/>
    <m/>
    <n v="13600"/>
    <m/>
    <n v="13600"/>
    <m/>
  </r>
  <r>
    <x v="707"/>
    <x v="74"/>
    <x v="5"/>
    <m/>
    <n v="23400"/>
    <m/>
    <n v="23400"/>
    <m/>
  </r>
  <r>
    <x v="682"/>
    <x v="73"/>
    <x v="5"/>
    <m/>
    <n v="22290"/>
    <m/>
    <n v="22290"/>
    <m/>
  </r>
  <r>
    <x v="703"/>
    <x v="70"/>
    <x v="0"/>
    <m/>
    <m/>
    <n v="250000"/>
    <n v="-250000"/>
    <s v="paid thru dib chq 02290564"/>
  </r>
  <r>
    <x v="703"/>
    <x v="67"/>
    <x v="10"/>
    <m/>
    <n v="92500"/>
    <m/>
    <n v="92500"/>
    <m/>
  </r>
  <r>
    <x v="708"/>
    <x v="71"/>
    <x v="10"/>
    <m/>
    <m/>
    <n v="142290"/>
    <n v="-142290"/>
    <s v="This payment received fro, JS the Forum 4t bill paid to shabbir brother against GST invoice in the name of S.A Khan treaders"/>
  </r>
  <r>
    <x v="708"/>
    <x v="67"/>
    <x v="10"/>
    <m/>
    <m/>
    <n v="137800"/>
    <n v="-137800"/>
    <m/>
  </r>
  <r>
    <x v="708"/>
    <x v="73"/>
    <x v="10"/>
    <m/>
    <m/>
    <n v="29791"/>
    <n v="-29791"/>
    <m/>
  </r>
  <r>
    <x v="708"/>
    <x v="65"/>
    <x v="10"/>
    <m/>
    <m/>
    <n v="87105"/>
    <n v="-87105"/>
    <m/>
  </r>
  <r>
    <x v="708"/>
    <x v="25"/>
    <x v="10"/>
    <m/>
    <m/>
    <n v="3014"/>
    <n v="-3014"/>
    <m/>
  </r>
  <r>
    <x v="708"/>
    <x v="68"/>
    <x v="12"/>
    <m/>
    <m/>
    <n v="45000"/>
    <n v="-45000"/>
    <m/>
  </r>
  <r>
    <x v="709"/>
    <x v="25"/>
    <x v="6"/>
    <s v="02038"/>
    <n v="17148"/>
    <m/>
    <n v="17148"/>
    <m/>
  </r>
  <r>
    <x v="688"/>
    <x v="70"/>
    <x v="7"/>
    <m/>
    <n v="1664"/>
    <m/>
    <n v="1664"/>
    <m/>
  </r>
  <r>
    <x v="710"/>
    <x v="65"/>
    <x v="7"/>
    <m/>
    <n v="46108"/>
    <m/>
    <n v="46108"/>
    <m/>
  </r>
  <r>
    <x v="692"/>
    <x v="70"/>
    <x v="7"/>
    <m/>
    <n v="32518"/>
    <m/>
    <n v="32518"/>
    <m/>
  </r>
  <r>
    <x v="711"/>
    <x v="25"/>
    <x v="7"/>
    <m/>
    <n v="16360"/>
    <m/>
    <n v="16360"/>
    <m/>
  </r>
  <r>
    <x v="712"/>
    <x v="65"/>
    <x v="7"/>
    <m/>
    <n v="12103"/>
    <m/>
    <n v="12103"/>
    <m/>
  </r>
  <r>
    <x v="712"/>
    <x v="70"/>
    <x v="7"/>
    <m/>
    <n v="96855"/>
    <m/>
    <n v="96855"/>
    <m/>
  </r>
  <r>
    <x v="707"/>
    <x v="70"/>
    <x v="7"/>
    <m/>
    <n v="1756"/>
    <m/>
    <n v="1756"/>
    <m/>
  </r>
  <r>
    <x v="699"/>
    <x v="70"/>
    <x v="7"/>
    <m/>
    <n v="1343"/>
    <m/>
    <n v="1343"/>
    <m/>
  </r>
  <r>
    <x v="713"/>
    <x v="25"/>
    <x v="7"/>
    <m/>
    <n v="1827"/>
    <m/>
    <n v="1827"/>
    <m/>
  </r>
  <r>
    <x v="714"/>
    <x v="67"/>
    <x v="7"/>
    <m/>
    <m/>
    <n v="33680"/>
    <n v="-33680"/>
    <s v="Material returned"/>
  </r>
  <r>
    <x v="715"/>
    <x v="74"/>
    <x v="5"/>
    <m/>
    <m/>
    <n v="46800"/>
    <n v="-46800"/>
    <s v="This payment received from Total as JS the Forum 4th bill "/>
  </r>
  <r>
    <x v="715"/>
    <x v="71"/>
    <x v="5"/>
    <m/>
    <m/>
    <n v="123680"/>
    <n v="-123680"/>
    <m/>
  </r>
  <r>
    <x v="715"/>
    <x v="65"/>
    <x v="5"/>
    <m/>
    <m/>
    <n v="13600"/>
    <n v="-13600"/>
    <m/>
  </r>
  <r>
    <x v="715"/>
    <x v="67"/>
    <x v="5"/>
    <m/>
    <m/>
    <n v="6755"/>
    <n v="-6755"/>
    <m/>
  </r>
  <r>
    <x v="715"/>
    <x v="25"/>
    <x v="5"/>
    <m/>
    <m/>
    <n v="9165"/>
    <n v="-9165"/>
    <m/>
  </r>
  <r>
    <x v="716"/>
    <x v="73"/>
    <x v="0"/>
    <m/>
    <n v="234864"/>
    <m/>
    <n v="234864"/>
    <m/>
  </r>
  <r>
    <x v="717"/>
    <x v="25"/>
    <x v="6"/>
    <m/>
    <n v="63580"/>
    <m/>
    <n v="63580"/>
    <m/>
  </r>
  <r>
    <x v="718"/>
    <x v="73"/>
    <x v="5"/>
    <m/>
    <n v="13200"/>
    <m/>
    <n v="13200"/>
    <m/>
  </r>
  <r>
    <x v="719"/>
    <x v="25"/>
    <x v="13"/>
    <m/>
    <m/>
    <n v="17273"/>
    <n v="-17273"/>
    <s v="paid thru DIB chq 02290573"/>
  </r>
  <r>
    <x v="719"/>
    <x v="65"/>
    <x v="13"/>
    <m/>
    <m/>
    <n v="2404"/>
    <n v="-2404"/>
    <m/>
  </r>
  <r>
    <x v="719"/>
    <x v="71"/>
    <x v="13"/>
    <m/>
    <m/>
    <n v="14457"/>
    <n v="-14457"/>
    <m/>
  </r>
  <r>
    <x v="719"/>
    <x v="74"/>
    <x v="13"/>
    <m/>
    <m/>
    <n v="3866"/>
    <n v="-3866"/>
    <m/>
  </r>
  <r>
    <x v="719"/>
    <x v="74"/>
    <x v="13"/>
    <m/>
    <m/>
    <n v="5"/>
    <n v="-5"/>
    <s v="adjusted by bilal bhai due to rates difference "/>
  </r>
  <r>
    <x v="720"/>
    <x v="73"/>
    <x v="3"/>
    <m/>
    <n v="47966"/>
    <m/>
    <n v="47966"/>
    <m/>
  </r>
  <r>
    <x v="720"/>
    <x v="73"/>
    <x v="3"/>
    <m/>
    <n v="20787"/>
    <m/>
    <n v="20787"/>
    <m/>
  </r>
  <r>
    <x v="720"/>
    <x v="73"/>
    <x v="3"/>
    <m/>
    <n v="1063"/>
    <m/>
    <n v="1063"/>
    <m/>
  </r>
  <r>
    <x v="721"/>
    <x v="73"/>
    <x v="0"/>
    <m/>
    <n v="52200"/>
    <m/>
    <n v="52200"/>
    <m/>
  </r>
  <r>
    <x v="722"/>
    <x v="72"/>
    <x v="10"/>
    <n v="23090"/>
    <n v="161200"/>
    <m/>
    <n v="161200"/>
    <m/>
  </r>
  <r>
    <x v="723"/>
    <x v="62"/>
    <x v="10"/>
    <n v="23076"/>
    <n v="63000"/>
    <m/>
    <n v="63000"/>
    <m/>
  </r>
  <r>
    <x v="724"/>
    <x v="73"/>
    <x v="5"/>
    <n v="2772"/>
    <n v="22365"/>
    <m/>
    <n v="22365"/>
    <m/>
  </r>
  <r>
    <x v="724"/>
    <x v="73"/>
    <x v="5"/>
    <n v="2768"/>
    <n v="13200"/>
    <m/>
    <n v="13200"/>
    <m/>
  </r>
  <r>
    <x v="725"/>
    <x v="73"/>
    <x v="5"/>
    <n v="17495"/>
    <n v="112632"/>
    <m/>
    <n v="112632"/>
    <m/>
  </r>
  <r>
    <x v="726"/>
    <x v="73"/>
    <x v="5"/>
    <n v="17542"/>
    <n v="159144"/>
    <m/>
    <n v="159144"/>
    <m/>
  </r>
  <r>
    <x v="727"/>
    <x v="71"/>
    <x v="5"/>
    <n v="2821"/>
    <n v="1100"/>
    <m/>
    <n v="1100"/>
    <m/>
  </r>
  <r>
    <x v="728"/>
    <x v="73"/>
    <x v="5"/>
    <n v="2844"/>
    <n v="14875"/>
    <m/>
    <n v="14875"/>
    <m/>
  </r>
  <r>
    <x v="729"/>
    <x v="73"/>
    <x v="5"/>
    <n v="2849"/>
    <n v="5100"/>
    <m/>
    <n v="5100"/>
    <m/>
  </r>
  <r>
    <x v="728"/>
    <x v="73"/>
    <x v="3"/>
    <s v="01809"/>
    <n v="40225"/>
    <m/>
    <n v="40225"/>
    <m/>
  </r>
  <r>
    <x v="728"/>
    <x v="73"/>
    <x v="3"/>
    <s v="01820"/>
    <n v="1520"/>
    <m/>
    <n v="1520"/>
    <m/>
  </r>
  <r>
    <x v="729"/>
    <x v="25"/>
    <x v="10"/>
    <m/>
    <m/>
    <n v="75800"/>
    <n v="-75800"/>
    <s v="paid payment (this payment rec from total as Alhamd 1st bill) (CHQ AMOUNT 300,000)"/>
  </r>
  <r>
    <x v="729"/>
    <x v="62"/>
    <x v="10"/>
    <m/>
    <m/>
    <n v="63000"/>
    <n v="-63000"/>
    <m/>
  </r>
  <r>
    <x v="729"/>
    <x v="72"/>
    <x v="10"/>
    <m/>
    <m/>
    <n v="161200"/>
    <n v="-161200"/>
    <m/>
  </r>
  <r>
    <x v="730"/>
    <x v="73"/>
    <x v="3"/>
    <m/>
    <n v="1598"/>
    <m/>
    <n v="1598"/>
    <m/>
  </r>
  <r>
    <x v="731"/>
    <x v="75"/>
    <x v="3"/>
    <s v="01830"/>
    <n v="460774"/>
    <m/>
    <n v="460774"/>
    <m/>
  </r>
  <r>
    <x v="730"/>
    <x v="73"/>
    <x v="3"/>
    <s v="01927"/>
    <n v="15282"/>
    <m/>
    <n v="15282"/>
    <m/>
  </r>
  <r>
    <x v="732"/>
    <x v="73"/>
    <x v="3"/>
    <s v="01983"/>
    <n v="10984"/>
    <m/>
    <n v="10984"/>
    <m/>
  </r>
  <r>
    <x v="733"/>
    <x v="73"/>
    <x v="3"/>
    <s v="02014"/>
    <n v="1676"/>
    <m/>
    <n v="1676"/>
    <m/>
  </r>
  <r>
    <x v="734"/>
    <x v="74"/>
    <x v="3"/>
    <s v="02035"/>
    <n v="20030"/>
    <m/>
    <n v="20030"/>
    <m/>
  </r>
  <r>
    <x v="735"/>
    <x v="67"/>
    <x v="14"/>
    <n v="30000219"/>
    <n v="4660"/>
    <m/>
    <n v="4660"/>
    <m/>
  </r>
  <r>
    <x v="676"/>
    <x v="67"/>
    <x v="14"/>
    <n v="30000343"/>
    <n v="1800"/>
    <m/>
    <n v="1800"/>
    <m/>
  </r>
  <r>
    <x v="736"/>
    <x v="67"/>
    <x v="14"/>
    <n v="30000348"/>
    <n v="40553"/>
    <m/>
    <n v="40553"/>
    <m/>
  </r>
  <r>
    <x v="737"/>
    <x v="71"/>
    <x v="14"/>
    <n v="30000360"/>
    <n v="15081"/>
    <m/>
    <n v="15081"/>
    <m/>
  </r>
  <r>
    <x v="738"/>
    <x v="71"/>
    <x v="14"/>
    <n v="30000364"/>
    <n v="31311"/>
    <m/>
    <n v="31311"/>
    <m/>
  </r>
  <r>
    <x v="738"/>
    <x v="74"/>
    <x v="14"/>
    <n v="30000364"/>
    <n v="30988"/>
    <m/>
    <n v="30988"/>
    <m/>
  </r>
  <r>
    <x v="705"/>
    <x v="71"/>
    <x v="14"/>
    <n v="30000366"/>
    <n v="6930"/>
    <m/>
    <n v="6930"/>
    <m/>
  </r>
  <r>
    <x v="739"/>
    <x v="71"/>
    <x v="14"/>
    <n v="30000370"/>
    <n v="19829"/>
    <m/>
    <n v="19829"/>
    <m/>
  </r>
  <r>
    <x v="721"/>
    <x v="73"/>
    <x v="14"/>
    <n v="30000444"/>
    <n v="16800"/>
    <m/>
    <n v="16800"/>
    <m/>
  </r>
  <r>
    <x v="740"/>
    <x v="73"/>
    <x v="14"/>
    <n v="30000458"/>
    <n v="4505"/>
    <m/>
    <n v="4505"/>
    <m/>
  </r>
  <r>
    <x v="741"/>
    <x v="67"/>
    <x v="14"/>
    <m/>
    <m/>
    <n v="47013"/>
    <n v="-47013"/>
    <s v="paid thru dib chq 02290588 for insulation"/>
  </r>
  <r>
    <x v="741"/>
    <x v="74"/>
    <x v="14"/>
    <m/>
    <m/>
    <n v="30988"/>
    <n v="-30988"/>
    <m/>
  </r>
  <r>
    <x v="741"/>
    <x v="71"/>
    <x v="14"/>
    <m/>
    <m/>
    <n v="21999"/>
    <n v="-21999"/>
    <m/>
  </r>
  <r>
    <x v="742"/>
    <x v="73"/>
    <x v="5"/>
    <n v="2874"/>
    <n v="3000"/>
    <m/>
    <n v="3000"/>
    <m/>
  </r>
  <r>
    <x v="743"/>
    <x v="73"/>
    <x v="5"/>
    <n v="17622"/>
    <n v="104515"/>
    <m/>
    <n v="104515"/>
    <m/>
  </r>
  <r>
    <x v="734"/>
    <x v="73"/>
    <x v="5"/>
    <n v="2891"/>
    <n v="4200"/>
    <m/>
    <n v="4200"/>
    <m/>
  </r>
  <r>
    <x v="741"/>
    <x v="73"/>
    <x v="5"/>
    <n v="2910"/>
    <n v="4200"/>
    <m/>
    <n v="4200"/>
    <m/>
  </r>
  <r>
    <x v="744"/>
    <x v="75"/>
    <x v="3"/>
    <s v="02168"/>
    <n v="11822"/>
    <m/>
    <n v="11822"/>
    <m/>
  </r>
  <r>
    <x v="745"/>
    <x v="75"/>
    <x v="3"/>
    <s v="02229"/>
    <n v="1578"/>
    <m/>
    <n v="1578"/>
    <m/>
  </r>
  <r>
    <x v="746"/>
    <x v="73"/>
    <x v="5"/>
    <m/>
    <m/>
    <n v="5585"/>
    <n v="-5585"/>
    <m/>
  </r>
  <r>
    <x v="746"/>
    <x v="73"/>
    <x v="5"/>
    <m/>
    <m/>
    <n v="5900"/>
    <n v="-5900"/>
    <m/>
  </r>
  <r>
    <x v="747"/>
    <x v="73"/>
    <x v="12"/>
    <n v="2200"/>
    <n v="461142"/>
    <m/>
    <n v="461142"/>
    <m/>
  </r>
  <r>
    <x v="747"/>
    <x v="73"/>
    <x v="3"/>
    <s v="02064"/>
    <n v="4777"/>
    <m/>
    <n v="4777"/>
    <m/>
  </r>
  <r>
    <x v="748"/>
    <x v="73"/>
    <x v="5"/>
    <m/>
    <m/>
    <n v="150000"/>
    <n v="-150000"/>
    <s v="This chq rec from total as Cafeterial JS bank 3th &amp; 4th bill"/>
  </r>
  <r>
    <x v="748"/>
    <x v="73"/>
    <x v="0"/>
    <m/>
    <n v="9255"/>
    <m/>
    <n v="9255"/>
    <s v="Cartage remaining"/>
  </r>
  <r>
    <x v="748"/>
    <x v="73"/>
    <x v="0"/>
    <m/>
    <n v="12997"/>
    <m/>
    <n v="12997"/>
    <s v="4% cahrged on issue of GSt invoice"/>
  </r>
  <r>
    <x v="748"/>
    <x v="73"/>
    <x v="0"/>
    <m/>
    <m/>
    <n v="309316"/>
    <n v="-309316"/>
    <s v="This chq rec from total as Cafeterial JS bank 3th &amp; 4th bill"/>
  </r>
  <r>
    <x v="748"/>
    <x v="70"/>
    <x v="0"/>
    <m/>
    <m/>
    <n v="27915"/>
    <n v="-27915"/>
    <m/>
  </r>
  <r>
    <x v="749"/>
    <x v="65"/>
    <x v="7"/>
    <m/>
    <m/>
    <n v="110233"/>
    <n v="-110233"/>
    <s v="This chq rec from total as Cafeterial JS bank 3th &amp; 4th bill Chq amount 500,000"/>
  </r>
  <r>
    <x v="749"/>
    <x v="70"/>
    <x v="7"/>
    <m/>
    <m/>
    <n v="230169"/>
    <n v="-230169"/>
    <m/>
  </r>
  <r>
    <x v="749"/>
    <x v="67"/>
    <x v="7"/>
    <m/>
    <m/>
    <n v="136986"/>
    <n v="-136986"/>
    <m/>
  </r>
  <r>
    <x v="749"/>
    <x v="69"/>
    <x v="7"/>
    <m/>
    <m/>
    <n v="10112"/>
    <n v="-10112"/>
    <m/>
  </r>
  <r>
    <x v="750"/>
    <x v="73"/>
    <x v="5"/>
    <m/>
    <m/>
    <n v="250000"/>
    <n v="-250000"/>
    <s v="received Al Hamd payment against 1st bill  (Chq given to Iqbal Sons against GST invoice)"/>
  </r>
  <r>
    <x v="751"/>
    <x v="73"/>
    <x v="3"/>
    <s v="02608"/>
    <n v="3543"/>
    <m/>
    <n v="3543"/>
    <m/>
  </r>
  <r>
    <x v="752"/>
    <x v="25"/>
    <x v="9"/>
    <m/>
    <m/>
    <n v="9100"/>
    <n v="-9100"/>
    <s v="paid throu mcb chq 1815879096"/>
  </r>
  <r>
    <x v="752"/>
    <x v="46"/>
    <x v="9"/>
    <m/>
    <m/>
    <n v="72300"/>
    <n v="-72300"/>
    <m/>
  </r>
  <r>
    <x v="752"/>
    <x v="65"/>
    <x v="9"/>
    <m/>
    <m/>
    <n v="9500"/>
    <n v="-9500"/>
    <m/>
  </r>
  <r>
    <x v="752"/>
    <x v="67"/>
    <x v="9"/>
    <m/>
    <m/>
    <n v="59100"/>
    <n v="-59100"/>
    <m/>
  </r>
  <r>
    <x v="753"/>
    <x v="25"/>
    <x v="5"/>
    <n v="17687"/>
    <n v="62100"/>
    <m/>
    <n v="62100"/>
    <m/>
  </r>
  <r>
    <x v="754"/>
    <x v="73"/>
    <x v="5"/>
    <n v="17730"/>
    <n v="40856"/>
    <m/>
    <n v="40856"/>
    <m/>
  </r>
  <r>
    <x v="750"/>
    <x v="73"/>
    <x v="5"/>
    <n v="17785"/>
    <n v="11400"/>
    <m/>
    <n v="11400"/>
    <m/>
  </r>
  <r>
    <x v="755"/>
    <x v="71"/>
    <x v="5"/>
    <n v="2992"/>
    <n v="4400"/>
    <m/>
    <n v="4400"/>
    <m/>
  </r>
  <r>
    <x v="752"/>
    <x v="73"/>
    <x v="5"/>
    <n v="17804"/>
    <n v="33128"/>
    <m/>
    <n v="33128"/>
    <m/>
  </r>
  <r>
    <x v="756"/>
    <x v="25"/>
    <x v="5"/>
    <n v="17842"/>
    <n v="39330"/>
    <m/>
    <n v="39330"/>
    <m/>
  </r>
  <r>
    <x v="756"/>
    <x v="73"/>
    <x v="5"/>
    <n v="17838"/>
    <n v="4788"/>
    <m/>
    <n v="4788"/>
    <m/>
  </r>
  <r>
    <x v="757"/>
    <x v="73"/>
    <x v="5"/>
    <n v="3025"/>
    <n v="19116"/>
    <m/>
    <n v="19116"/>
    <m/>
  </r>
  <r>
    <x v="722"/>
    <x v="70"/>
    <x v="7"/>
    <n v="243"/>
    <n v="4340"/>
    <m/>
    <n v="4340"/>
    <m/>
  </r>
  <r>
    <x v="758"/>
    <x v="25"/>
    <x v="7"/>
    <n v="333"/>
    <n v="3096"/>
    <m/>
    <n v="3096"/>
    <m/>
  </r>
  <r>
    <x v="759"/>
    <x v="25"/>
    <x v="7"/>
    <n v="400"/>
    <n v="3856"/>
    <m/>
    <n v="3856"/>
    <m/>
  </r>
  <r>
    <x v="727"/>
    <x v="75"/>
    <x v="3"/>
    <m/>
    <m/>
    <n v="250000"/>
    <n v="-250000"/>
    <s v="mcb chq 1815879103"/>
  </r>
  <r>
    <x v="760"/>
    <x v="73"/>
    <x v="12"/>
    <m/>
    <m/>
    <n v="150000"/>
    <n v="-150000"/>
    <s v="mcb chq 1815879107 uptodate is 450,000"/>
  </r>
  <r>
    <x v="761"/>
    <x v="73"/>
    <x v="5"/>
    <m/>
    <m/>
    <n v="163897"/>
    <n v="-163897"/>
    <s v="This chq rec from total as Cafeterial JS bank 3th &amp; 4th bill"/>
  </r>
  <r>
    <x v="762"/>
    <x v="75"/>
    <x v="3"/>
    <m/>
    <m/>
    <n v="220000"/>
    <n v="-220000"/>
    <s v="paid thoru mcb chq 1830075544"/>
  </r>
  <r>
    <x v="763"/>
    <x v="25"/>
    <x v="5"/>
    <m/>
    <n v="73245"/>
    <m/>
    <n v="73245"/>
    <m/>
  </r>
  <r>
    <x v="764"/>
    <x v="74"/>
    <x v="15"/>
    <m/>
    <n v="118700"/>
    <m/>
    <n v="118700"/>
    <m/>
  </r>
  <r>
    <x v="765"/>
    <x v="73"/>
    <x v="12"/>
    <m/>
    <m/>
    <n v="100000"/>
    <n v="-100000"/>
    <s v="paid thoru mcb chq 1830075553"/>
  </r>
  <r>
    <x v="766"/>
    <x v="72"/>
    <x v="10"/>
    <n v="23218"/>
    <n v="2600"/>
    <m/>
    <n v="2600"/>
    <m/>
  </r>
  <r>
    <x v="767"/>
    <x v="74"/>
    <x v="10"/>
    <n v="32751"/>
    <n v="24420"/>
    <m/>
    <n v="24420"/>
    <m/>
  </r>
  <r>
    <x v="712"/>
    <x v="25"/>
    <x v="14"/>
    <n v="30000390"/>
    <n v="80990"/>
    <m/>
    <n v="80990"/>
    <m/>
  </r>
  <r>
    <x v="768"/>
    <x v="73"/>
    <x v="14"/>
    <n v="30000533"/>
    <n v="8800"/>
    <m/>
    <n v="8800"/>
    <m/>
  </r>
  <r>
    <x v="769"/>
    <x v="76"/>
    <x v="13"/>
    <s v="4"/>
    <n v="692945"/>
    <m/>
    <n v="692945"/>
    <m/>
  </r>
  <r>
    <x v="769"/>
    <x v="25"/>
    <x v="14"/>
    <m/>
    <m/>
    <n v="80990"/>
    <n v="-80990"/>
    <s v="paid thro dib chq 02290611"/>
  </r>
  <r>
    <x v="769"/>
    <x v="71"/>
    <x v="14"/>
    <m/>
    <m/>
    <n v="51152"/>
    <n v="-51152"/>
    <m/>
  </r>
  <r>
    <x v="769"/>
    <x v="73"/>
    <x v="14"/>
    <m/>
    <m/>
    <n v="30105"/>
    <n v="-30105"/>
    <m/>
  </r>
  <r>
    <x v="769"/>
    <x v="76"/>
    <x v="13"/>
    <m/>
    <m/>
    <n v="400000"/>
    <n v="-400000"/>
    <s v="MCB chq 1830075555"/>
  </r>
  <r>
    <x v="769"/>
    <x v="77"/>
    <x v="4"/>
    <m/>
    <m/>
    <m/>
    <n v="0"/>
    <m/>
  </r>
  <r>
    <x v="769"/>
    <x v="78"/>
    <x v="4"/>
    <m/>
    <m/>
    <m/>
    <n v="0"/>
    <m/>
  </r>
  <r>
    <x v="769"/>
    <x v="79"/>
    <x v="4"/>
    <m/>
    <m/>
    <m/>
    <n v="0"/>
    <m/>
  </r>
  <r>
    <x v="769"/>
    <x v="80"/>
    <x v="4"/>
    <m/>
    <m/>
    <m/>
    <n v="0"/>
    <m/>
  </r>
  <r>
    <x v="769"/>
    <x v="81"/>
    <x v="4"/>
    <m/>
    <m/>
    <m/>
    <n v="0"/>
    <m/>
  </r>
  <r>
    <x v="770"/>
    <x v="74"/>
    <x v="13"/>
    <n v="563"/>
    <n v="12000"/>
    <m/>
    <n v="12000"/>
    <s v="bill revised"/>
  </r>
  <r>
    <x v="771"/>
    <x v="76"/>
    <x v="13"/>
    <s v="05"/>
    <n v="250780"/>
    <m/>
    <n v="250780"/>
    <m/>
  </r>
  <r>
    <x v="771"/>
    <x v="82"/>
    <x v="13"/>
    <m/>
    <n v="66360"/>
    <m/>
    <n v="66360"/>
    <m/>
  </r>
  <r>
    <x v="771"/>
    <x v="75"/>
    <x v="13"/>
    <s v="06"/>
    <n v="140020"/>
    <m/>
    <n v="140020"/>
    <s v="Bethak area"/>
  </r>
  <r>
    <x v="772"/>
    <x v="76"/>
    <x v="5"/>
    <n v="18094"/>
    <n v="80000"/>
    <m/>
    <n v="80000"/>
    <s v="glass wool insulation 10 roll"/>
  </r>
  <r>
    <x v="773"/>
    <x v="76"/>
    <x v="13"/>
    <m/>
    <m/>
    <n v="233640"/>
    <n v="-233640"/>
    <s v="paid thro mcb chq 1830075564 amount 300,000"/>
  </r>
  <r>
    <x v="773"/>
    <x v="82"/>
    <x v="13"/>
    <m/>
    <m/>
    <n v="66360"/>
    <n v="-66360"/>
    <m/>
  </r>
  <r>
    <x v="773"/>
    <x v="25"/>
    <x v="5"/>
    <m/>
    <m/>
    <n v="204468"/>
    <n v="-204468"/>
    <s v="Payment rec from total as psychiartry depart adhoc"/>
  </r>
  <r>
    <x v="773"/>
    <x v="73"/>
    <x v="5"/>
    <m/>
    <m/>
    <n v="12627"/>
    <n v="-12627"/>
    <m/>
  </r>
  <r>
    <x v="773"/>
    <x v="76"/>
    <x v="5"/>
    <m/>
    <m/>
    <n v="80000"/>
    <n v="-80000"/>
    <m/>
  </r>
  <r>
    <x v="773"/>
    <x v="71"/>
    <x v="5"/>
    <m/>
    <m/>
    <n v="2905"/>
    <n v="-2905"/>
    <m/>
  </r>
  <r>
    <x v="774"/>
    <x v="10"/>
    <x v="10"/>
    <n v="23424"/>
    <n v="1080"/>
    <m/>
    <n v="1080"/>
    <m/>
  </r>
  <r>
    <x v="775"/>
    <x v="10"/>
    <x v="10"/>
    <n v="23440"/>
    <n v="313700"/>
    <m/>
    <n v="313700"/>
    <m/>
  </r>
  <r>
    <x v="776"/>
    <x v="10"/>
    <x v="10"/>
    <n v="23442"/>
    <n v="9010"/>
    <m/>
    <n v="9010"/>
    <m/>
  </r>
  <r>
    <x v="776"/>
    <x v="10"/>
    <x v="10"/>
    <n v="23444"/>
    <n v="600"/>
    <m/>
    <n v="600"/>
    <m/>
  </r>
  <r>
    <x v="773"/>
    <x v="10"/>
    <x v="10"/>
    <n v="23449"/>
    <n v="4800"/>
    <m/>
    <n v="4800"/>
    <m/>
  </r>
  <r>
    <x v="777"/>
    <x v="10"/>
    <x v="10"/>
    <n v="23451"/>
    <n v="86100"/>
    <m/>
    <n v="86100"/>
    <m/>
  </r>
  <r>
    <x v="773"/>
    <x v="75"/>
    <x v="13"/>
    <s v="7"/>
    <n v="25975"/>
    <m/>
    <n v="25975"/>
    <s v="Combined Bill"/>
  </r>
  <r>
    <x v="773"/>
    <x v="76"/>
    <x v="13"/>
    <s v="7"/>
    <n v="19800"/>
    <m/>
    <n v="19800"/>
    <m/>
  </r>
  <r>
    <x v="778"/>
    <x v="76"/>
    <x v="9"/>
    <n v="35"/>
    <n v="40900"/>
    <m/>
    <n v="40900"/>
    <s v="Combined Bill"/>
  </r>
  <r>
    <x v="778"/>
    <x v="75"/>
    <x v="9"/>
    <n v="35"/>
    <n v="11100"/>
    <m/>
    <n v="11100"/>
    <m/>
  </r>
  <r>
    <x v="779"/>
    <x v="76"/>
    <x v="5"/>
    <s v="18175"/>
    <n v="48000"/>
    <m/>
    <n v="48000"/>
    <m/>
  </r>
  <r>
    <x v="777"/>
    <x v="77"/>
    <x v="5"/>
    <s v="18190"/>
    <n v="51585"/>
    <m/>
    <n v="51585"/>
    <m/>
  </r>
  <r>
    <x v="777"/>
    <x v="76"/>
    <x v="5"/>
    <s v="18191"/>
    <n v="32000"/>
    <m/>
    <n v="32000"/>
    <m/>
  </r>
  <r>
    <x v="780"/>
    <x v="76"/>
    <x v="13"/>
    <m/>
    <m/>
    <n v="250000"/>
    <n v="-250000"/>
    <s v="paid thro mcb chq 1838586950 ptodate is 950,000"/>
  </r>
  <r>
    <x v="780"/>
    <x v="73"/>
    <x v="12"/>
    <m/>
    <m/>
    <n v="100000"/>
    <n v="-100000"/>
    <s v="paid thro mcb chq 1838586951 uptodate is 800,000"/>
  </r>
  <r>
    <x v="771"/>
    <x v="74"/>
    <x v="3"/>
    <n v="2122"/>
    <n v="154593"/>
    <m/>
    <n v="154593"/>
    <m/>
  </r>
  <r>
    <x v="771"/>
    <x v="74"/>
    <x v="3"/>
    <m/>
    <m/>
    <n v="37626"/>
    <n v="-37626"/>
    <m/>
  </r>
  <r>
    <x v="780"/>
    <x v="81"/>
    <x v="0"/>
    <n v="155"/>
    <n v="78490"/>
    <m/>
    <n v="78490"/>
    <m/>
  </r>
  <r>
    <x v="780"/>
    <x v="80"/>
    <x v="0"/>
    <n v="154"/>
    <n v="44990"/>
    <m/>
    <n v="44990"/>
    <m/>
  </r>
  <r>
    <x v="780"/>
    <x v="80"/>
    <x v="0"/>
    <n v="156"/>
    <n v="113720"/>
    <m/>
    <n v="113720"/>
    <m/>
  </r>
  <r>
    <x v="781"/>
    <x v="76"/>
    <x v="5"/>
    <n v="18237"/>
    <n v="42000"/>
    <m/>
    <n v="42000"/>
    <m/>
  </r>
  <r>
    <x v="782"/>
    <x v="81"/>
    <x v="5"/>
    <n v="18276"/>
    <n v="24000"/>
    <m/>
    <n v="24000"/>
    <m/>
  </r>
  <r>
    <x v="782"/>
    <x v="75"/>
    <x v="5"/>
    <n v="18274"/>
    <n v="16000"/>
    <m/>
    <n v="16000"/>
    <m/>
  </r>
  <r>
    <x v="782"/>
    <x v="82"/>
    <x v="5"/>
    <n v="18275"/>
    <n v="8000"/>
    <m/>
    <n v="8000"/>
    <m/>
  </r>
  <r>
    <x v="782"/>
    <x v="71"/>
    <x v="5"/>
    <m/>
    <m/>
    <n v="2595"/>
    <n v="-2595"/>
    <s v="This payment received from Total as JS bank the forum 5th bill"/>
  </r>
  <r>
    <x v="782"/>
    <x v="77"/>
    <x v="5"/>
    <m/>
    <m/>
    <n v="51585"/>
    <n v="-51585"/>
    <m/>
  </r>
  <r>
    <x v="782"/>
    <x v="76"/>
    <x v="5"/>
    <m/>
    <m/>
    <n v="122000"/>
    <n v="-122000"/>
    <m/>
  </r>
  <r>
    <x v="782"/>
    <x v="82"/>
    <x v="5"/>
    <m/>
    <m/>
    <n v="8000"/>
    <n v="-8000"/>
    <m/>
  </r>
  <r>
    <x v="782"/>
    <x v="75"/>
    <x v="5"/>
    <m/>
    <m/>
    <n v="7857"/>
    <n v="-7857"/>
    <m/>
  </r>
  <r>
    <x v="783"/>
    <x v="73"/>
    <x v="3"/>
    <m/>
    <m/>
    <n v="100000"/>
    <n v="-100000"/>
    <s v="Paid thru DIB chq 02290615"/>
  </r>
  <r>
    <x v="783"/>
    <x v="74"/>
    <x v="3"/>
    <m/>
    <m/>
    <n v="100000"/>
    <n v="-100000"/>
    <m/>
  </r>
  <r>
    <x v="784"/>
    <x v="76"/>
    <x v="13"/>
    <s v="08"/>
    <n v="84855"/>
    <m/>
    <n v="84855"/>
    <m/>
  </r>
  <r>
    <x v="784"/>
    <x v="75"/>
    <x v="13"/>
    <s v="08"/>
    <n v="16115"/>
    <m/>
    <n v="16115"/>
    <m/>
  </r>
  <r>
    <x v="784"/>
    <x v="81"/>
    <x v="13"/>
    <s v="08"/>
    <n v="109030"/>
    <m/>
    <n v="109030"/>
    <m/>
  </r>
  <r>
    <x v="783"/>
    <x v="74"/>
    <x v="15"/>
    <m/>
    <m/>
    <n v="25000"/>
    <n v="-25000"/>
    <s v="Paid thru mcb chq 1838586952"/>
  </r>
  <r>
    <x v="783"/>
    <x v="76"/>
    <x v="13"/>
    <m/>
    <m/>
    <n v="150000"/>
    <n v="-150000"/>
    <s v="Paid thru mcb chq 1838586953"/>
  </r>
  <r>
    <x v="783"/>
    <x v="80"/>
    <x v="0"/>
    <m/>
    <m/>
    <n v="158000"/>
    <n v="-158000"/>
    <s v="Paid thru mcb chq 1838586955"/>
  </r>
  <r>
    <x v="783"/>
    <x v="80"/>
    <x v="0"/>
    <s v="adjust"/>
    <m/>
    <n v="710"/>
    <n v="-710"/>
    <m/>
  </r>
  <r>
    <x v="785"/>
    <x v="81"/>
    <x v="9"/>
    <n v="36"/>
    <n v="74800"/>
    <m/>
    <n v="74800"/>
    <m/>
  </r>
  <r>
    <x v="786"/>
    <x v="81"/>
    <x v="2"/>
    <n v="170"/>
    <n v="33179"/>
    <m/>
    <n v="33179"/>
    <m/>
  </r>
  <r>
    <x v="786"/>
    <x v="80"/>
    <x v="2"/>
    <n v="171"/>
    <n v="44651"/>
    <m/>
    <n v="44651"/>
    <m/>
  </r>
  <r>
    <x v="787"/>
    <x v="77"/>
    <x v="16"/>
    <n v="10959"/>
    <n v="48520"/>
    <m/>
    <n v="48520"/>
    <m/>
  </r>
  <r>
    <x v="788"/>
    <x v="75"/>
    <x v="14"/>
    <n v="30000771"/>
    <n v="27115"/>
    <m/>
    <n v="27115"/>
    <m/>
  </r>
  <r>
    <x v="789"/>
    <x v="75"/>
    <x v="5"/>
    <n v="18366"/>
    <n v="8000"/>
    <m/>
    <n v="8000"/>
    <m/>
  </r>
  <r>
    <x v="790"/>
    <x v="46"/>
    <x v="1"/>
    <m/>
    <m/>
    <n v="928409"/>
    <n v="-928409"/>
    <s v="Assumed Nil as instructed by Nadeem bhai"/>
  </r>
  <r>
    <x v="791"/>
    <x v="75"/>
    <x v="13"/>
    <s v="09"/>
    <n v="32440"/>
    <m/>
    <n v="32440"/>
    <m/>
  </r>
  <r>
    <x v="790"/>
    <x v="75"/>
    <x v="13"/>
    <m/>
    <m/>
    <n v="150000"/>
    <n v="-150000"/>
    <s v="paid thru mcb chq 1838586968"/>
  </r>
  <r>
    <x v="790"/>
    <x v="81"/>
    <x v="13"/>
    <m/>
    <m/>
    <n v="109030"/>
    <n v="-109030"/>
    <s v="paid thru mcb chq 1838586968"/>
  </r>
  <r>
    <x v="790"/>
    <x v="76"/>
    <x v="13"/>
    <m/>
    <m/>
    <n v="14740"/>
    <n v="-14740"/>
    <m/>
  </r>
  <r>
    <x v="790"/>
    <x v="74"/>
    <x v="13"/>
    <m/>
    <m/>
    <n v="12000"/>
    <n v="-12000"/>
    <m/>
  </r>
  <r>
    <x v="790"/>
    <x v="75"/>
    <x v="13"/>
    <m/>
    <m/>
    <n v="14230"/>
    <n v="-14230"/>
    <m/>
  </r>
  <r>
    <x v="791"/>
    <x v="25"/>
    <x v="7"/>
    <m/>
    <n v="44000"/>
    <m/>
    <n v="44000"/>
    <s v="adjusted bill"/>
  </r>
  <r>
    <x v="792"/>
    <x v="70"/>
    <x v="7"/>
    <m/>
    <m/>
    <n v="4136"/>
    <n v="-4136"/>
    <s v="sales return"/>
  </r>
  <r>
    <x v="792"/>
    <x v="70"/>
    <x v="7"/>
    <s v="0668"/>
    <n v="1767"/>
    <m/>
    <n v="1767"/>
    <m/>
  </r>
  <r>
    <x v="792"/>
    <x v="70"/>
    <x v="7"/>
    <m/>
    <m/>
    <n v="47726"/>
    <n v="-47726"/>
    <s v="sales return"/>
  </r>
  <r>
    <x v="793"/>
    <x v="10"/>
    <x v="10"/>
    <m/>
    <m/>
    <n v="415290"/>
    <n v="-415290"/>
    <s v="CHQ received from JPMC IPC-51 chq amount 500,000"/>
  </r>
  <r>
    <x v="793"/>
    <x v="72"/>
    <x v="10"/>
    <m/>
    <m/>
    <n v="2600"/>
    <n v="-2600"/>
    <m/>
  </r>
  <r>
    <x v="793"/>
    <x v="74"/>
    <x v="10"/>
    <m/>
    <m/>
    <n v="24420"/>
    <n v="-24420"/>
    <m/>
  </r>
  <r>
    <x v="793"/>
    <x v="25"/>
    <x v="10"/>
    <m/>
    <m/>
    <n v="57690"/>
    <n v="-57690"/>
    <m/>
  </r>
  <r>
    <x v="793"/>
    <x v="74"/>
    <x v="15"/>
    <m/>
    <m/>
    <n v="90000"/>
    <n v="-90000"/>
    <s v="cash paid (online transfer by bilal bhai)"/>
  </r>
  <r>
    <x v="794"/>
    <x v="73"/>
    <x v="12"/>
    <m/>
    <m/>
    <n v="111000"/>
    <n v="-111000"/>
    <s v="Paid thru DIB chq 02290618 now deal closed"/>
  </r>
  <r>
    <x v="794"/>
    <x v="73"/>
    <x v="12"/>
    <m/>
    <m/>
    <n v="142"/>
    <n v="-142"/>
    <s v="adjusted"/>
  </r>
  <r>
    <x v="794"/>
    <x v="80"/>
    <x v="12"/>
    <s v="57"/>
    <n v="18000"/>
    <m/>
    <n v="18000"/>
    <s v="2 nos motorized valve"/>
  </r>
  <r>
    <x v="794"/>
    <x v="83"/>
    <x v="12"/>
    <s v="58"/>
    <n v="36000"/>
    <m/>
    <n v="36000"/>
    <s v="4 nos motorized valve"/>
  </r>
  <r>
    <x v="795"/>
    <x v="25"/>
    <x v="5"/>
    <n v="18372"/>
    <n v="32040"/>
    <m/>
    <n v="32040"/>
    <m/>
  </r>
  <r>
    <x v="796"/>
    <x v="75"/>
    <x v="5"/>
    <n v="18400"/>
    <n v="9000"/>
    <m/>
    <n v="9000"/>
    <m/>
  </r>
  <r>
    <x v="793"/>
    <x v="25"/>
    <x v="5"/>
    <n v="18425"/>
    <n v="85440"/>
    <m/>
    <n v="85440"/>
    <m/>
  </r>
  <r>
    <x v="797"/>
    <x v="74"/>
    <x v="5"/>
    <n v="3374"/>
    <n v="3880"/>
    <m/>
    <n v="3880"/>
    <m/>
  </r>
  <r>
    <x v="797"/>
    <x v="76"/>
    <x v="5"/>
    <n v="3367"/>
    <n v="3600"/>
    <m/>
    <n v="3600"/>
    <m/>
  </r>
  <r>
    <x v="798"/>
    <x v="83"/>
    <x v="5"/>
    <n v="18470"/>
    <n v="8200"/>
    <m/>
    <n v="8200"/>
    <m/>
  </r>
  <r>
    <x v="798"/>
    <x v="25"/>
    <x v="5"/>
    <m/>
    <m/>
    <n v="1000"/>
    <n v="-1000"/>
    <s v="adjusted"/>
  </r>
  <r>
    <x v="799"/>
    <x v="83"/>
    <x v="5"/>
    <n v="3403"/>
    <n v="7620"/>
    <m/>
    <n v="7620"/>
    <m/>
  </r>
  <r>
    <x v="799"/>
    <x v="76"/>
    <x v="5"/>
    <m/>
    <m/>
    <n v="3600"/>
    <n v="-3600"/>
    <s v="Received from Total construction Hashmani final Payment amount 278,975"/>
  </r>
  <r>
    <x v="799"/>
    <x v="74"/>
    <x v="5"/>
    <m/>
    <m/>
    <n v="3880"/>
    <n v="-3880"/>
    <m/>
  </r>
  <r>
    <x v="799"/>
    <x v="75"/>
    <x v="5"/>
    <m/>
    <m/>
    <n v="25143"/>
    <n v="-25143"/>
    <m/>
  </r>
  <r>
    <x v="799"/>
    <x v="25"/>
    <x v="5"/>
    <m/>
    <m/>
    <n v="116480"/>
    <n v="-116480"/>
    <m/>
  </r>
  <r>
    <x v="799"/>
    <x v="81"/>
    <x v="5"/>
    <m/>
    <m/>
    <n v="24000"/>
    <n v="-24000"/>
    <m/>
  </r>
  <r>
    <x v="799"/>
    <x v="83"/>
    <x v="5"/>
    <m/>
    <m/>
    <n v="15820"/>
    <n v="-15820"/>
    <m/>
  </r>
  <r>
    <x v="799"/>
    <x v="84"/>
    <x v="5"/>
    <m/>
    <m/>
    <n v="5200"/>
    <n v="-5200"/>
    <m/>
  </r>
  <r>
    <x v="799"/>
    <x v="25"/>
    <x v="5"/>
    <m/>
    <m/>
    <n v="84852"/>
    <n v="-84852"/>
    <m/>
  </r>
  <r>
    <x v="800"/>
    <x v="83"/>
    <x v="2"/>
    <m/>
    <n v="32024"/>
    <m/>
    <n v="32024"/>
    <m/>
  </r>
  <r>
    <x v="801"/>
    <x v="81"/>
    <x v="0"/>
    <m/>
    <m/>
    <n v="78400"/>
    <n v="-78400"/>
    <s v="Paid thru DIB chq 02290622 "/>
  </r>
  <r>
    <x v="801"/>
    <x v="81"/>
    <x v="0"/>
    <m/>
    <m/>
    <n v="90"/>
    <n v="-90"/>
    <s v="adjust"/>
  </r>
  <r>
    <x v="802"/>
    <x v="71"/>
    <x v="3"/>
    <m/>
    <m/>
    <n v="9655"/>
    <n v="-9655"/>
    <s v="Paid thru MCB chq 1838586990 amouint 100,000"/>
  </r>
  <r>
    <x v="802"/>
    <x v="73"/>
    <x v="3"/>
    <m/>
    <m/>
    <n v="49174"/>
    <n v="-49174"/>
    <m/>
  </r>
  <r>
    <x v="802"/>
    <x v="74"/>
    <x v="3"/>
    <m/>
    <m/>
    <n v="36997"/>
    <n v="-36997"/>
    <m/>
  </r>
  <r>
    <x v="802"/>
    <x v="75"/>
    <x v="3"/>
    <m/>
    <m/>
    <n v="4174"/>
    <n v="-4174"/>
    <m/>
  </r>
  <r>
    <x v="803"/>
    <x v="76"/>
    <x v="13"/>
    <m/>
    <n v="8180"/>
    <m/>
    <n v="8180"/>
    <m/>
  </r>
  <r>
    <x v="803"/>
    <x v="83"/>
    <x v="13"/>
    <m/>
    <n v="17000"/>
    <m/>
    <n v="17000"/>
    <m/>
  </r>
  <r>
    <x v="803"/>
    <x v="67"/>
    <x v="9"/>
    <m/>
    <m/>
    <n v="69500"/>
    <n v="-69500"/>
    <s v="Paid thru DIB chq 02290624"/>
  </r>
  <r>
    <x v="803"/>
    <x v="75"/>
    <x v="9"/>
    <m/>
    <m/>
    <n v="5700"/>
    <n v="-5700"/>
    <m/>
  </r>
  <r>
    <x v="803"/>
    <x v="81"/>
    <x v="9"/>
    <m/>
    <m/>
    <n v="74800"/>
    <n v="-74800"/>
    <m/>
  </r>
  <r>
    <x v="803"/>
    <x v="75"/>
    <x v="13"/>
    <m/>
    <m/>
    <n v="50320"/>
    <n v="-50320"/>
    <s v="Paid thru MCB chq 1838586992"/>
  </r>
  <r>
    <x v="803"/>
    <x v="76"/>
    <x v="13"/>
    <m/>
    <m/>
    <n v="8180"/>
    <n v="-8180"/>
    <m/>
  </r>
  <r>
    <x v="803"/>
    <x v="83"/>
    <x v="13"/>
    <m/>
    <m/>
    <n v="17000"/>
    <n v="-17000"/>
    <m/>
  </r>
  <r>
    <x v="804"/>
    <x v="75"/>
    <x v="14"/>
    <m/>
    <m/>
    <n v="27000"/>
    <n v="-27000"/>
    <s v="cash paid"/>
  </r>
  <r>
    <x v="804"/>
    <x v="75"/>
    <x v="14"/>
    <m/>
    <m/>
    <n v="115"/>
    <n v="-115"/>
    <s v="adjusted"/>
  </r>
  <r>
    <x v="805"/>
    <x v="59"/>
    <x v="8"/>
    <m/>
    <m/>
    <n v="16380"/>
    <n v="-16380"/>
    <s v="cash paid"/>
  </r>
  <r>
    <x v="805"/>
    <x v="65"/>
    <x v="8"/>
    <m/>
    <m/>
    <n v="28567"/>
    <n v="-28567"/>
    <m/>
  </r>
  <r>
    <x v="805"/>
    <x v="67"/>
    <x v="8"/>
    <m/>
    <m/>
    <n v="3053"/>
    <n v="-3053"/>
    <m/>
  </r>
  <r>
    <x v="805"/>
    <x v="84"/>
    <x v="5"/>
    <n v="3443"/>
    <n v="5200"/>
    <m/>
    <n v="5200"/>
    <m/>
  </r>
  <r>
    <x v="806"/>
    <x v="83"/>
    <x v="2"/>
    <n v="203"/>
    <n v="26506"/>
    <m/>
    <n v="26506"/>
    <m/>
  </r>
  <r>
    <x v="807"/>
    <x v="83"/>
    <x v="2"/>
    <n v="224"/>
    <n v="9095"/>
    <m/>
    <n v="9095"/>
    <m/>
  </r>
  <r>
    <x v="808"/>
    <x v="85"/>
    <x v="17"/>
    <s v="PO"/>
    <n v="3360000"/>
    <m/>
    <n v="3360000"/>
    <m/>
  </r>
  <r>
    <x v="809"/>
    <x v="25"/>
    <x v="5"/>
    <s v="0018618"/>
    <n v="110000"/>
    <m/>
    <n v="110000"/>
    <m/>
  </r>
  <r>
    <x v="810"/>
    <x v="75"/>
    <x v="13"/>
    <m/>
    <m/>
    <n v="150000"/>
    <n v="-150000"/>
    <s v="Paid thru DIB chq 02483778 advance in burhani cladding"/>
  </r>
  <r>
    <x v="811"/>
    <x v="25"/>
    <x v="5"/>
    <s v="0018631"/>
    <n v="70000"/>
    <m/>
    <n v="70000"/>
    <m/>
  </r>
  <r>
    <x v="811"/>
    <x v="85"/>
    <x v="17"/>
    <m/>
    <m/>
    <n v="750000"/>
    <n v="-750000"/>
    <s v="Advance paid online transfer by bilal bhai"/>
  </r>
  <r>
    <x v="811"/>
    <x v="85"/>
    <x v="17"/>
    <m/>
    <m/>
    <n v="1000000"/>
    <n v="-1000000"/>
    <s v="Cash paid by bilal bhai"/>
  </r>
  <r>
    <x v="812"/>
    <x v="25"/>
    <x v="5"/>
    <m/>
    <m/>
    <n v="155790"/>
    <n v="-155790"/>
    <s v="This payment received from Deluxe group as Deutsche bank advance  amount Rs 500,000"/>
  </r>
  <r>
    <x v="812"/>
    <x v="86"/>
    <x v="5"/>
    <m/>
    <m/>
    <n v="132000"/>
    <n v="-132000"/>
    <m/>
  </r>
  <r>
    <x v="812"/>
    <x v="86"/>
    <x v="5"/>
    <m/>
    <m/>
    <n v="151650"/>
    <n v="-151650"/>
    <m/>
  </r>
  <r>
    <x v="812"/>
    <x v="86"/>
    <x v="5"/>
    <m/>
    <m/>
    <n v="60560"/>
    <n v="-60560"/>
    <m/>
  </r>
  <r>
    <x v="812"/>
    <x v="50"/>
    <x v="2"/>
    <m/>
    <m/>
    <n v="21337"/>
    <n v="-21337"/>
    <s v="received from total as cafeteria 5th bill (online transfer to islamuddin account)"/>
  </r>
  <r>
    <x v="812"/>
    <x v="80"/>
    <x v="2"/>
    <m/>
    <m/>
    <n v="44651"/>
    <n v="-44651"/>
    <m/>
  </r>
  <r>
    <x v="812"/>
    <x v="81"/>
    <x v="2"/>
    <m/>
    <m/>
    <n v="33179"/>
    <n v="-33179"/>
    <m/>
  </r>
  <r>
    <x v="812"/>
    <x v="83"/>
    <x v="2"/>
    <m/>
    <m/>
    <n v="58530"/>
    <n v="-58530"/>
    <m/>
  </r>
  <r>
    <x v="812"/>
    <x v="85"/>
    <x v="0"/>
    <s v="228"/>
    <n v="28860"/>
    <m/>
    <n v="28860"/>
    <m/>
  </r>
  <r>
    <x v="813"/>
    <x v="25"/>
    <x v="16"/>
    <n v="11222"/>
    <n v="67780"/>
    <m/>
    <n v="67780"/>
    <m/>
  </r>
  <r>
    <x v="814"/>
    <x v="86"/>
    <x v="13"/>
    <m/>
    <m/>
    <n v="300000"/>
    <n v="-300000"/>
    <s v="Paid thru DIB chq 02483783 advance in Ethnic"/>
  </r>
  <r>
    <x v="815"/>
    <x v="25"/>
    <x v="16"/>
    <n v="11291"/>
    <n v="29640"/>
    <m/>
    <n v="29640"/>
    <m/>
  </r>
  <r>
    <x v="721"/>
    <x v="25"/>
    <x v="6"/>
    <s v="02029"/>
    <n v="7091"/>
    <m/>
    <n v="7091"/>
    <m/>
  </r>
  <r>
    <x v="721"/>
    <x v="25"/>
    <x v="6"/>
    <m/>
    <m/>
    <n v="24239"/>
    <n v="-24239"/>
    <s v="DIB chq 02290577"/>
  </r>
  <r>
    <x v="816"/>
    <x v="25"/>
    <x v="6"/>
    <s v="02457"/>
    <n v="29720"/>
    <m/>
    <n v="29720"/>
    <m/>
  </r>
  <r>
    <x v="817"/>
    <x v="86"/>
    <x v="5"/>
    <s v="0018753"/>
    <n v="132000"/>
    <m/>
    <n v="132000"/>
    <m/>
  </r>
  <r>
    <x v="817"/>
    <x v="25"/>
    <x v="5"/>
    <s v="0018783"/>
    <n v="6642"/>
    <m/>
    <n v="6642"/>
    <m/>
  </r>
  <r>
    <x v="818"/>
    <x v="25"/>
    <x v="5"/>
    <s v="0018785"/>
    <n v="54000"/>
    <m/>
    <n v="54000"/>
    <m/>
  </r>
  <r>
    <x v="819"/>
    <x v="85"/>
    <x v="15"/>
    <n v="652"/>
    <n v="101236"/>
    <m/>
    <n v="101236"/>
    <m/>
  </r>
  <r>
    <x v="820"/>
    <x v="87"/>
    <x v="14"/>
    <s v="30000963"/>
    <n v="9600"/>
    <m/>
    <n v="9600"/>
    <m/>
  </r>
  <r>
    <x v="821"/>
    <x v="75"/>
    <x v="13"/>
    <s v="13"/>
    <n v="252840"/>
    <m/>
    <n v="252840"/>
    <m/>
  </r>
  <r>
    <x v="821"/>
    <x v="86"/>
    <x v="13"/>
    <s v="11"/>
    <n v="635790"/>
    <m/>
    <n v="635790"/>
    <m/>
  </r>
  <r>
    <x v="821"/>
    <x v="87"/>
    <x v="13"/>
    <s v="12"/>
    <n v="390960"/>
    <m/>
    <n v="390960"/>
    <m/>
  </r>
  <r>
    <x v="822"/>
    <x v="87"/>
    <x v="2"/>
    <s v="9"/>
    <n v="60383"/>
    <m/>
    <n v="60383"/>
    <m/>
  </r>
  <r>
    <x v="823"/>
    <x v="75"/>
    <x v="13"/>
    <m/>
    <m/>
    <n v="100000"/>
    <n v="-100000"/>
    <s v="Paid thru DIB chq 02483789"/>
  </r>
  <r>
    <x v="824"/>
    <x v="74"/>
    <x v="15"/>
    <m/>
    <m/>
    <n v="3700"/>
    <n v="-3700"/>
    <s v="adjusted"/>
  </r>
  <r>
    <x v="824"/>
    <x v="85"/>
    <x v="15"/>
    <m/>
    <m/>
    <n v="95400"/>
    <n v="-95400"/>
    <s v="Paid thru MCB chq 1846111521"/>
  </r>
  <r>
    <x v="824"/>
    <x v="85"/>
    <x v="15"/>
    <m/>
    <m/>
    <n v="5836"/>
    <n v="-5836"/>
    <s v="adjusted"/>
  </r>
  <r>
    <x v="824"/>
    <x v="85"/>
    <x v="17"/>
    <m/>
    <m/>
    <n v="250000"/>
    <n v="-250000"/>
    <s v="Online transfer by bilal bhai "/>
  </r>
  <r>
    <x v="825"/>
    <x v="25"/>
    <x v="9"/>
    <s v="37"/>
    <n v="337580"/>
    <m/>
    <n v="337580"/>
    <m/>
  </r>
  <r>
    <x v="826"/>
    <x v="77"/>
    <x v="5"/>
    <s v="3679"/>
    <n v="17400"/>
    <m/>
    <n v="17400"/>
    <m/>
  </r>
  <r>
    <x v="827"/>
    <x v="77"/>
    <x v="5"/>
    <s v="3691"/>
    <n v="4000"/>
    <m/>
    <n v="4000"/>
    <m/>
  </r>
  <r>
    <x v="828"/>
    <x v="87"/>
    <x v="18"/>
    <m/>
    <m/>
    <n v="100000"/>
    <n v="-100000"/>
    <s v="MCB 1843111504 paid for VAV and CAV wiring work"/>
  </r>
  <r>
    <x v="823"/>
    <x v="86"/>
    <x v="10"/>
    <n v="23799"/>
    <n v="61200"/>
    <m/>
    <n v="61200"/>
    <m/>
  </r>
  <r>
    <x v="829"/>
    <x v="87"/>
    <x v="19"/>
    <m/>
    <n v="5250000"/>
    <m/>
    <n v="5250000"/>
    <m/>
  </r>
  <r>
    <x v="829"/>
    <x v="87"/>
    <x v="19"/>
    <m/>
    <m/>
    <n v="2400000"/>
    <n v="-2400000"/>
    <s v="Payment from IK associates and paid to IMS against of GST invoice CHQ 1 10000579 Rs 2,400,000"/>
  </r>
  <r>
    <x v="829"/>
    <x v="86"/>
    <x v="5"/>
    <m/>
    <n v="151650"/>
    <m/>
    <n v="151650"/>
    <m/>
  </r>
  <r>
    <x v="830"/>
    <x v="86"/>
    <x v="1"/>
    <m/>
    <n v="42000"/>
    <m/>
    <n v="42000"/>
    <m/>
  </r>
  <r>
    <x v="831"/>
    <x v="86"/>
    <x v="10"/>
    <n v="23816"/>
    <n v="60000"/>
    <m/>
    <n v="60000"/>
    <m/>
  </r>
  <r>
    <x v="831"/>
    <x v="87"/>
    <x v="8"/>
    <m/>
    <n v="74700"/>
    <m/>
    <n v="74700"/>
    <s v="415 Linked adapters"/>
  </r>
  <r>
    <x v="824"/>
    <x v="86"/>
    <x v="13"/>
    <m/>
    <m/>
    <n v="250000"/>
    <n v="-250000"/>
    <s v="Online transfer by bilal bhai"/>
  </r>
  <r>
    <x v="824"/>
    <x v="86"/>
    <x v="3"/>
    <n v="392"/>
    <n v="44979"/>
    <m/>
    <n v="44979"/>
    <m/>
  </r>
  <r>
    <x v="824"/>
    <x v="86"/>
    <x v="3"/>
    <n v="396"/>
    <n v="455"/>
    <m/>
    <n v="455"/>
    <m/>
  </r>
  <r>
    <x v="832"/>
    <x v="86"/>
    <x v="3"/>
    <n v="425"/>
    <n v="13280"/>
    <m/>
    <n v="13280"/>
    <m/>
  </r>
  <r>
    <x v="833"/>
    <x v="86"/>
    <x v="13"/>
    <n v="14"/>
    <n v="296380"/>
    <m/>
    <n v="296380"/>
    <m/>
  </r>
  <r>
    <x v="834"/>
    <x v="86"/>
    <x v="10"/>
    <n v="23826"/>
    <n v="61200"/>
    <m/>
    <n v="61200"/>
    <m/>
  </r>
  <r>
    <x v="834"/>
    <x v="86"/>
    <x v="5"/>
    <s v="0018909"/>
    <n v="46000"/>
    <m/>
    <n v="46000"/>
    <m/>
  </r>
  <r>
    <x v="835"/>
    <x v="87"/>
    <x v="1"/>
    <m/>
    <n v="114000"/>
    <m/>
    <n v="114000"/>
    <m/>
  </r>
  <r>
    <x v="836"/>
    <x v="87"/>
    <x v="2"/>
    <s v="30"/>
    <n v="52499"/>
    <m/>
    <n v="52499"/>
    <m/>
  </r>
  <r>
    <x v="837"/>
    <x v="86"/>
    <x v="1"/>
    <n v="273"/>
    <n v="126250"/>
    <m/>
    <n v="126250"/>
    <m/>
  </r>
  <r>
    <x v="837"/>
    <x v="86"/>
    <x v="3"/>
    <s v="2223"/>
    <n v="58635"/>
    <m/>
    <n v="58635"/>
    <m/>
  </r>
  <r>
    <x v="837"/>
    <x v="25"/>
    <x v="3"/>
    <m/>
    <n v="10762"/>
    <m/>
    <n v="10762"/>
    <s v="Adjustment"/>
  </r>
  <r>
    <x v="838"/>
    <x v="86"/>
    <x v="1"/>
    <s v="281"/>
    <n v="10750"/>
    <m/>
    <n v="10750"/>
    <m/>
  </r>
  <r>
    <x v="838"/>
    <x v="86"/>
    <x v="5"/>
    <s v="0018940"/>
    <n v="115000"/>
    <m/>
    <n v="115000"/>
    <m/>
  </r>
  <r>
    <x v="839"/>
    <x v="86"/>
    <x v="1"/>
    <n v="287"/>
    <n v="10750"/>
    <m/>
    <n v="10750"/>
    <m/>
  </r>
  <r>
    <x v="840"/>
    <x v="71"/>
    <x v="1"/>
    <m/>
    <m/>
    <n v="19000"/>
    <n v="-19000"/>
    <s v="Adjusted"/>
  </r>
  <r>
    <x v="840"/>
    <x v="68"/>
    <x v="1"/>
    <m/>
    <m/>
    <n v="16410"/>
    <n v="-16410"/>
    <s v="Adjusted"/>
  </r>
  <r>
    <x v="840"/>
    <x v="86"/>
    <x v="1"/>
    <m/>
    <m/>
    <n v="42000"/>
    <n v="-42000"/>
    <s v="Adjusted"/>
  </r>
  <r>
    <x v="840"/>
    <x v="87"/>
    <x v="1"/>
    <m/>
    <m/>
    <n v="114000"/>
    <n v="-114000"/>
    <s v="Adjusted"/>
  </r>
  <r>
    <x v="841"/>
    <x v="86"/>
    <x v="1"/>
    <s v="293"/>
    <n v="5885"/>
    <m/>
    <n v="5885"/>
    <m/>
  </r>
  <r>
    <x v="842"/>
    <x v="86"/>
    <x v="13"/>
    <m/>
    <m/>
    <n v="30000"/>
    <n v="-30000"/>
    <s v="cash paid"/>
  </r>
  <r>
    <x v="843"/>
    <x v="25"/>
    <x v="16"/>
    <m/>
    <m/>
    <n v="91480"/>
    <n v="-91480"/>
    <s v="MCB 1855423751 "/>
  </r>
  <r>
    <x v="843"/>
    <x v="77"/>
    <x v="16"/>
    <m/>
    <m/>
    <n v="48520"/>
    <n v="-48520"/>
    <m/>
  </r>
  <r>
    <x v="843"/>
    <x v="87"/>
    <x v="8"/>
    <m/>
    <n v="27000"/>
    <m/>
    <n v="27000"/>
    <s v="150 Linked adapters"/>
  </r>
  <r>
    <x v="843"/>
    <x v="87"/>
    <x v="8"/>
    <m/>
    <n v="129999"/>
    <m/>
    <n v="129999"/>
    <m/>
  </r>
  <r>
    <x v="844"/>
    <x v="86"/>
    <x v="13"/>
    <m/>
    <n v="-62900"/>
    <m/>
    <n v="-62900"/>
    <s v="Less 340 sqft as discussed with bilal bhai"/>
  </r>
  <r>
    <x v="844"/>
    <x v="86"/>
    <x v="13"/>
    <m/>
    <n v="47040"/>
    <m/>
    <n v="47040"/>
    <s v="Add 160 sqft as discussed with bilal bhai"/>
  </r>
  <r>
    <x v="844"/>
    <x v="75"/>
    <x v="13"/>
    <m/>
    <m/>
    <n v="2840"/>
    <n v="-2840"/>
    <s v="adjust"/>
  </r>
  <r>
    <x v="844"/>
    <x v="86"/>
    <x v="13"/>
    <n v="15"/>
    <n v="111730"/>
    <m/>
    <n v="111730"/>
    <m/>
  </r>
  <r>
    <x v="844"/>
    <x v="86"/>
    <x v="13"/>
    <m/>
    <m/>
    <n v="100000"/>
    <n v="-100000"/>
    <s v="MCB 1855423754"/>
  </r>
  <r>
    <x v="844"/>
    <x v="86"/>
    <x v="13"/>
    <m/>
    <m/>
    <n v="100000"/>
    <n v="-100000"/>
    <s v="MCB 1855423755"/>
  </r>
  <r>
    <x v="844"/>
    <x v="86"/>
    <x v="13"/>
    <m/>
    <m/>
    <n v="139000"/>
    <n v="-139000"/>
    <s v="MCB 1855423756"/>
  </r>
  <r>
    <x v="845"/>
    <x v="86"/>
    <x v="1"/>
    <s v="332"/>
    <n v="68150"/>
    <m/>
    <n v="68150"/>
    <m/>
  </r>
  <r>
    <x v="846"/>
    <x v="87"/>
    <x v="8"/>
    <m/>
    <m/>
    <n v="22500"/>
    <n v="-22500"/>
    <s v="cash paid"/>
  </r>
  <r>
    <x v="847"/>
    <x v="88"/>
    <x v="9"/>
    <m/>
    <m/>
    <n v="131000"/>
    <n v="-131000"/>
    <s v="adjust"/>
  </r>
  <r>
    <x v="848"/>
    <x v="25"/>
    <x v="9"/>
    <m/>
    <m/>
    <n v="150000"/>
    <n v="-150000"/>
    <s v="MCB 1855423758 "/>
  </r>
  <r>
    <x v="848"/>
    <x v="87"/>
    <x v="8"/>
    <m/>
    <n v="27000"/>
    <m/>
    <n v="27000"/>
    <s v="cash paid"/>
  </r>
  <r>
    <x v="848"/>
    <x v="87"/>
    <x v="8"/>
    <m/>
    <n v="45323"/>
    <m/>
    <n v="45323"/>
    <m/>
  </r>
  <r>
    <x v="848"/>
    <x v="87"/>
    <x v="14"/>
    <s v="1068"/>
    <n v="59395"/>
    <m/>
    <n v="59395"/>
    <m/>
  </r>
  <r>
    <x v="848"/>
    <x v="87"/>
    <x v="14"/>
    <s v="1067"/>
    <n v="935180"/>
    <m/>
    <n v="935180"/>
    <m/>
  </r>
  <r>
    <x v="848"/>
    <x v="87"/>
    <x v="14"/>
    <s v="1070"/>
    <n v="28800"/>
    <m/>
    <n v="28800"/>
    <m/>
  </r>
  <r>
    <x v="848"/>
    <x v="87"/>
    <x v="14"/>
    <s v="1071"/>
    <n v="421212"/>
    <m/>
    <n v="421212"/>
    <m/>
  </r>
  <r>
    <x v="848"/>
    <x v="87"/>
    <x v="14"/>
    <s v="1069"/>
    <n v="371865"/>
    <m/>
    <n v="371865"/>
    <m/>
  </r>
  <r>
    <x v="848"/>
    <x v="85"/>
    <x v="17"/>
    <m/>
    <m/>
    <n v="400000"/>
    <n v="-400000"/>
    <s v="paid (rec from ik associates via al madina steel works)"/>
  </r>
  <r>
    <x v="847"/>
    <x v="87"/>
    <x v="18"/>
    <s v="001"/>
    <n v="200000"/>
    <m/>
    <n v="200000"/>
    <s v="actual deal was 330,000 but finalized later at Rs 200,000"/>
  </r>
  <r>
    <x v="847"/>
    <x v="25"/>
    <x v="13"/>
    <s v="17"/>
    <n v="854151"/>
    <m/>
    <n v="854151"/>
    <m/>
  </r>
  <r>
    <x v="849"/>
    <x v="67"/>
    <x v="8"/>
    <m/>
    <m/>
    <n v="4661"/>
    <n v="-4661"/>
    <s v="adjust"/>
  </r>
  <r>
    <x v="849"/>
    <x v="87"/>
    <x v="14"/>
    <s v="1082"/>
    <n v="20800"/>
    <m/>
    <n v="20800"/>
    <m/>
  </r>
  <r>
    <x v="850"/>
    <x v="87"/>
    <x v="0"/>
    <s v="300"/>
    <n v="100800"/>
    <m/>
    <n v="100800"/>
    <m/>
  </r>
  <r>
    <x v="850"/>
    <x v="87"/>
    <x v="14"/>
    <s v="1083"/>
    <n v="274016"/>
    <m/>
    <n v="274016"/>
    <m/>
  </r>
  <r>
    <x v="851"/>
    <x v="85"/>
    <x v="14"/>
    <s v="1088"/>
    <n v="111043"/>
    <m/>
    <n v="111043"/>
    <m/>
  </r>
  <r>
    <x v="851"/>
    <x v="86"/>
    <x v="20"/>
    <s v="01"/>
    <n v="455186"/>
    <m/>
    <n v="455186"/>
    <m/>
  </r>
  <r>
    <x v="851"/>
    <x v="87"/>
    <x v="20"/>
    <s v="02"/>
    <n v="47092"/>
    <m/>
    <n v="47092"/>
    <m/>
  </r>
  <r>
    <x v="852"/>
    <x v="89"/>
    <x v="5"/>
    <s v="0019068"/>
    <n v="31200"/>
    <m/>
    <n v="31200"/>
    <m/>
  </r>
  <r>
    <x v="852"/>
    <x v="86"/>
    <x v="0"/>
    <s v="301"/>
    <n v="59880"/>
    <m/>
    <n v="59880"/>
    <m/>
  </r>
  <r>
    <x v="853"/>
    <x v="50"/>
    <x v="11"/>
    <s v="00031"/>
    <n v="76350"/>
    <m/>
    <n v="76350"/>
    <m/>
  </r>
  <r>
    <x v="854"/>
    <x v="87"/>
    <x v="14"/>
    <s v="30001105"/>
    <n v="41600"/>
    <m/>
    <n v="41600"/>
    <m/>
  </r>
  <r>
    <x v="854"/>
    <x v="87"/>
    <x v="14"/>
    <s v="30001104"/>
    <n v="255657"/>
    <m/>
    <n v="255657"/>
    <m/>
  </r>
  <r>
    <x v="854"/>
    <x v="89"/>
    <x v="12"/>
    <s v="61"/>
    <n v="17510"/>
    <m/>
    <n v="17510"/>
    <s v="1 no globe valve"/>
  </r>
  <r>
    <x v="855"/>
    <x v="72"/>
    <x v="10"/>
    <s v="23982"/>
    <n v="68000"/>
    <m/>
    <n v="68000"/>
    <m/>
  </r>
  <r>
    <x v="856"/>
    <x v="86"/>
    <x v="13"/>
    <m/>
    <m/>
    <n v="109040"/>
    <n v="-109040"/>
    <s v="Paid thru 2 MCB chqs 1855423773 Rs 250,000 &amp; 1855423774 Rs 250,000"/>
  </r>
  <r>
    <x v="856"/>
    <x v="87"/>
    <x v="13"/>
    <m/>
    <m/>
    <n v="390960"/>
    <n v="-390960"/>
    <m/>
  </r>
  <r>
    <x v="857"/>
    <x v="87"/>
    <x v="14"/>
    <s v="30001114"/>
    <n v="232416"/>
    <m/>
    <n v="232416"/>
    <m/>
  </r>
  <r>
    <x v="858"/>
    <x v="86"/>
    <x v="14"/>
    <s v="4738"/>
    <n v="651281"/>
    <m/>
    <n v="651281"/>
    <m/>
  </r>
  <r>
    <x v="858"/>
    <x v="86"/>
    <x v="10"/>
    <s v="24003"/>
    <n v="42000"/>
    <m/>
    <n v="42000"/>
    <m/>
  </r>
  <r>
    <x v="859"/>
    <x v="89"/>
    <x v="20"/>
    <s v="05"/>
    <n v="9067"/>
    <m/>
    <n v="9067"/>
    <m/>
  </r>
  <r>
    <x v="859"/>
    <x v="87"/>
    <x v="20"/>
    <s v="03"/>
    <n v="154641"/>
    <m/>
    <n v="154641"/>
    <m/>
  </r>
  <r>
    <x v="859"/>
    <x v="86"/>
    <x v="20"/>
    <s v="04"/>
    <n v="118082"/>
    <m/>
    <n v="118082"/>
    <m/>
  </r>
  <r>
    <x v="859"/>
    <x v="86"/>
    <x v="20"/>
    <m/>
    <m/>
    <n v="343867"/>
    <n v="-343867"/>
    <s v="Adv Rec from IK in DB Bank (Chq cleared in Al Madina Steel Market he then returned the chq and given to Noman Engineering"/>
  </r>
  <r>
    <x v="859"/>
    <x v="87"/>
    <x v="20"/>
    <m/>
    <m/>
    <n v="167000"/>
    <n v="-167000"/>
    <s v="MCB 1855423780"/>
  </r>
  <r>
    <x v="860"/>
    <x v="86"/>
    <x v="1"/>
    <s v="485"/>
    <n v="2400"/>
    <m/>
    <n v="2400"/>
    <s v="drain insulation 1-1/4 x 3/8 rec by abbas"/>
  </r>
  <r>
    <x v="860"/>
    <x v="86"/>
    <x v="14"/>
    <s v="4795"/>
    <n v="14601"/>
    <m/>
    <n v="14601"/>
    <m/>
  </r>
  <r>
    <x v="861"/>
    <x v="87"/>
    <x v="15"/>
    <m/>
    <m/>
    <n v="300000"/>
    <n v="-300000"/>
    <s v="MCB 1855423785"/>
  </r>
  <r>
    <x v="862"/>
    <x v="87"/>
    <x v="18"/>
    <s v="002"/>
    <n v="120000"/>
    <m/>
    <n v="120000"/>
    <s v="2 Nos beldon coil"/>
  </r>
  <r>
    <x v="863"/>
    <x v="90"/>
    <x v="16"/>
    <s v="11601"/>
    <n v="150728"/>
    <m/>
    <n v="150728"/>
    <s v="sprinkler pipe clamps and unique channels"/>
  </r>
  <r>
    <x v="864"/>
    <x v="87"/>
    <x v="18"/>
    <s v="003"/>
    <n v="162000"/>
    <m/>
    <n v="162000"/>
    <s v="2 Nos beldon coil + 1 coil beldon 2 core"/>
  </r>
  <r>
    <x v="865"/>
    <x v="90"/>
    <x v="13"/>
    <m/>
    <m/>
    <n v="300000"/>
    <n v="-300000"/>
    <s v="MCB chq 1855423787"/>
  </r>
  <r>
    <x v="866"/>
    <x v="87"/>
    <x v="2"/>
    <m/>
    <m/>
    <n v="52499"/>
    <n v="-52499"/>
    <s v="received advance from IK associates in Deutsche bank"/>
  </r>
  <r>
    <x v="866"/>
    <x v="86"/>
    <x v="1"/>
    <m/>
    <m/>
    <n v="224000"/>
    <n v="-224000"/>
    <s v="MCB chq 1855423788"/>
  </r>
  <r>
    <x v="866"/>
    <x v="87"/>
    <x v="15"/>
    <s v="675"/>
    <n v="861760"/>
    <m/>
    <n v="861760"/>
    <m/>
  </r>
  <r>
    <x v="867"/>
    <x v="86"/>
    <x v="1"/>
    <s v="490"/>
    <n v="30588"/>
    <m/>
    <n v="30588"/>
    <s v="insulation 1-5/8 and 2-3/8"/>
  </r>
  <r>
    <x v="868"/>
    <x v="86"/>
    <x v="5"/>
    <s v="19196"/>
    <n v="46700"/>
    <m/>
    <n v="46700"/>
    <s v="4 boxes flexible duct"/>
  </r>
  <r>
    <x v="869"/>
    <x v="89"/>
    <x v="15"/>
    <s v="677"/>
    <n v="63132"/>
    <m/>
    <n v="63132"/>
    <m/>
  </r>
  <r>
    <x v="869"/>
    <x v="87"/>
    <x v="14"/>
    <s v="30001126"/>
    <n v="85219"/>
    <m/>
    <n v="85219"/>
    <m/>
  </r>
  <r>
    <x v="870"/>
    <x v="87"/>
    <x v="14"/>
    <m/>
    <m/>
    <n v="300000"/>
    <n v="-300000"/>
    <s v="received advance from IK associates in Deutsche bank on 11 Oct 22 (BAH chq # 10642634"/>
  </r>
  <r>
    <x v="870"/>
    <x v="87"/>
    <x v="14"/>
    <m/>
    <m/>
    <n v="460000"/>
    <n v="-460000"/>
    <s v="received advance from IK associates in Deutsche bank on 11 Oct 22 (Meezan chq"/>
  </r>
  <r>
    <x v="870"/>
    <x v="87"/>
    <x v="18"/>
    <m/>
    <m/>
    <n v="200000"/>
    <n v="-200000"/>
    <s v="received advance from IK associates in Deutsche bank on 11 Oct 22 (Meezan chq 59923653)"/>
  </r>
  <r>
    <x v="870"/>
    <x v="87"/>
    <x v="20"/>
    <s v="06"/>
    <n v="77950"/>
    <m/>
    <n v="77950"/>
    <m/>
  </r>
  <r>
    <x v="870"/>
    <x v="86"/>
    <x v="20"/>
    <s v="07"/>
    <n v="113397"/>
    <m/>
    <n v="113397"/>
    <m/>
  </r>
  <r>
    <x v="870"/>
    <x v="86"/>
    <x v="1"/>
    <s v="495"/>
    <n v="4000"/>
    <m/>
    <n v="4000"/>
    <s v="insulation 1-1/4 x 3/8 x 6ft"/>
  </r>
  <r>
    <x v="871"/>
    <x v="90"/>
    <x v="14"/>
    <s v="30001139"/>
    <n v="196262"/>
    <m/>
    <n v="196262"/>
    <m/>
  </r>
  <r>
    <x v="872"/>
    <x v="87"/>
    <x v="15"/>
    <m/>
    <m/>
    <n v="300950"/>
    <n v="-300950"/>
    <s v="received advance from IK associates in Deutsche bank on 11 Oct 22 (Meezan chq D- 06299829)"/>
  </r>
  <r>
    <x v="873"/>
    <x v="86"/>
    <x v="20"/>
    <m/>
    <m/>
    <n v="200000"/>
    <n v="-200000"/>
    <s v="received advance from IK associates in Deutsche bank on 11 Oct 22 (Meezan chq A- 59923652)"/>
  </r>
  <r>
    <x v="873"/>
    <x v="86"/>
    <x v="12"/>
    <s v="40"/>
    <n v="27990"/>
    <m/>
    <n v="27990"/>
    <s v="Damper motor"/>
  </r>
  <r>
    <x v="873"/>
    <x v="86"/>
    <x v="5"/>
    <m/>
    <m/>
    <n v="147140"/>
    <n v="-147140"/>
    <s v="Final payment from JS the forum (given to iqbal sons)"/>
  </r>
  <r>
    <x v="873"/>
    <x v="89"/>
    <x v="5"/>
    <m/>
    <m/>
    <n v="31200"/>
    <n v="-31200"/>
    <m/>
  </r>
  <r>
    <x v="873"/>
    <x v="91"/>
    <x v="5"/>
    <m/>
    <m/>
    <n v="109718"/>
    <n v="-109718"/>
    <m/>
  </r>
  <r>
    <x v="874"/>
    <x v="77"/>
    <x v="16"/>
    <s v="11662"/>
    <n v="23920"/>
    <m/>
    <n v="23920"/>
    <m/>
  </r>
  <r>
    <x v="874"/>
    <x v="25"/>
    <x v="16"/>
    <m/>
    <m/>
    <m/>
    <n v="0"/>
    <m/>
  </r>
  <r>
    <x v="874"/>
    <x v="90"/>
    <x v="16"/>
    <m/>
    <m/>
    <n v="728"/>
    <n v="-728"/>
    <s v="Adjusted"/>
  </r>
  <r>
    <x v="874"/>
    <x v="90"/>
    <x v="16"/>
    <m/>
    <m/>
    <n v="150000"/>
    <n v="-150000"/>
    <s v="received advance from IK associates in Ethnic on 20 Oct 22 (Meezan chq D- 06299845) chq amount 185,000"/>
  </r>
  <r>
    <x v="874"/>
    <x v="77"/>
    <x v="16"/>
    <m/>
    <m/>
    <n v="23920"/>
    <n v="-23920"/>
    <m/>
  </r>
  <r>
    <x v="874"/>
    <x v="91"/>
    <x v="16"/>
    <m/>
    <m/>
    <n v="11080"/>
    <n v="-11080"/>
    <m/>
  </r>
  <r>
    <x v="874"/>
    <x v="91"/>
    <x v="5"/>
    <s v="19236"/>
    <n v="125000"/>
    <m/>
    <n v="125000"/>
    <s v="10 Roll insulation"/>
  </r>
  <r>
    <x v="874"/>
    <x v="86"/>
    <x v="18"/>
    <s v="004"/>
    <n v="42000"/>
    <m/>
    <n v="42000"/>
    <s v="1 coil cable 2 core"/>
  </r>
  <r>
    <x v="875"/>
    <x v="86"/>
    <x v="5"/>
    <s v="19252"/>
    <n v="25000"/>
    <m/>
    <n v="25000"/>
    <s v="2 roll insulation"/>
  </r>
  <r>
    <x v="876"/>
    <x v="85"/>
    <x v="17"/>
    <m/>
    <m/>
    <n v="495000"/>
    <n v="-495000"/>
    <s v="Paid (received from Total against Psychiatry IPC-11) uptodate is 2,895,000"/>
  </r>
  <r>
    <x v="876"/>
    <x v="87"/>
    <x v="8"/>
    <m/>
    <m/>
    <n v="150000"/>
    <n v="-150000"/>
    <s v="MCB 1855423791"/>
  </r>
  <r>
    <x v="875"/>
    <x v="90"/>
    <x v="13"/>
    <m/>
    <m/>
    <n v="192000"/>
    <n v="-192000"/>
    <s v="received advance from IK associates in Ethnic on 20 Oct 22 (Meezan chq D- 06299844) "/>
  </r>
  <r>
    <x v="877"/>
    <x v="92"/>
    <x v="5"/>
    <s v="19256"/>
    <n v="24000"/>
    <m/>
    <n v="24000"/>
    <s v="glass wool insulation 3 rolls"/>
  </r>
  <r>
    <x v="878"/>
    <x v="91"/>
    <x v="20"/>
    <s v="08"/>
    <n v="315599"/>
    <m/>
    <n v="315599"/>
    <m/>
  </r>
  <r>
    <x v="878"/>
    <x v="87"/>
    <x v="20"/>
    <s v="09"/>
    <n v="17676"/>
    <m/>
    <n v="17676"/>
    <m/>
  </r>
  <r>
    <x v="878"/>
    <x v="86"/>
    <x v="20"/>
    <s v="10"/>
    <n v="8421"/>
    <m/>
    <n v="8421"/>
    <m/>
  </r>
  <r>
    <x v="878"/>
    <x v="92"/>
    <x v="20"/>
    <s v="11"/>
    <n v="112292"/>
    <m/>
    <n v="112292"/>
    <m/>
  </r>
  <r>
    <x v="878"/>
    <x v="25"/>
    <x v="13"/>
    <m/>
    <m/>
    <n v="50000"/>
    <n v="-50000"/>
    <s v="cash paid"/>
  </r>
  <r>
    <x v="879"/>
    <x v="77"/>
    <x v="3"/>
    <s v="2223"/>
    <n v="7017"/>
    <m/>
    <n v="7017"/>
    <m/>
  </r>
  <r>
    <x v="879"/>
    <x v="91"/>
    <x v="16"/>
    <s v="11678"/>
    <n v="27000"/>
    <m/>
    <n v="27000"/>
    <m/>
  </r>
  <r>
    <x v="880"/>
    <x v="89"/>
    <x v="20"/>
    <s v="12"/>
    <n v="4429"/>
    <m/>
    <n v="4429"/>
    <m/>
  </r>
  <r>
    <x v="880"/>
    <x v="86"/>
    <x v="15"/>
    <s v="681"/>
    <n v="37944"/>
    <m/>
    <n v="37944"/>
    <s v="Fresh air intake louvers + SAG"/>
  </r>
  <r>
    <x v="881"/>
    <x v="90"/>
    <x v="13"/>
    <s v="18"/>
    <n v="1054245"/>
    <m/>
    <n v="1054245"/>
    <m/>
  </r>
  <r>
    <x v="882"/>
    <x v="90"/>
    <x v="13"/>
    <m/>
    <m/>
    <n v="200000"/>
    <n v="-200000"/>
    <s v="MCB chq 1855423796 "/>
  </r>
  <r>
    <x v="882"/>
    <x v="90"/>
    <x v="13"/>
    <m/>
    <m/>
    <n v="100000"/>
    <n v="-100000"/>
    <s v="MCB chq 1855423797"/>
  </r>
  <r>
    <x v="882"/>
    <x v="90"/>
    <x v="13"/>
    <m/>
    <m/>
    <n v="278000"/>
    <n v="-278000"/>
    <s v="cash adjusted against sheet purchased from Al madina steel"/>
  </r>
  <r>
    <x v="883"/>
    <x v="89"/>
    <x v="12"/>
    <s v="45"/>
    <n v="17510"/>
    <m/>
    <n v="17510"/>
    <m/>
  </r>
  <r>
    <x v="883"/>
    <x v="80"/>
    <x v="12"/>
    <m/>
    <m/>
    <n v="15000"/>
    <n v="-15000"/>
    <s v="MCB chq 1855423798 CHQ amount Rs 108,000"/>
  </r>
  <r>
    <x v="883"/>
    <x v="83"/>
    <x v="12"/>
    <m/>
    <m/>
    <n v="35000"/>
    <n v="-35000"/>
    <m/>
  </r>
  <r>
    <x v="883"/>
    <x v="86"/>
    <x v="12"/>
    <m/>
    <m/>
    <n v="26000"/>
    <n v="-26000"/>
    <m/>
  </r>
  <r>
    <x v="883"/>
    <x v="89"/>
    <x v="12"/>
    <m/>
    <m/>
    <n v="32000"/>
    <n v="-32000"/>
    <m/>
  </r>
  <r>
    <x v="883"/>
    <x v="80"/>
    <x v="12"/>
    <m/>
    <m/>
    <n v="3000"/>
    <n v="-3000"/>
    <s v="Adjusted"/>
  </r>
  <r>
    <x v="883"/>
    <x v="83"/>
    <x v="12"/>
    <m/>
    <m/>
    <n v="1000"/>
    <n v="-1000"/>
    <s v="Adjusted"/>
  </r>
  <r>
    <x v="883"/>
    <x v="86"/>
    <x v="12"/>
    <m/>
    <m/>
    <n v="1990"/>
    <n v="-1990"/>
    <s v="Adjusted"/>
  </r>
  <r>
    <x v="883"/>
    <x v="89"/>
    <x v="12"/>
    <m/>
    <m/>
    <n v="3020"/>
    <n v="-3020"/>
    <s v="Adjusted"/>
  </r>
  <r>
    <x v="884"/>
    <x v="90"/>
    <x v="16"/>
    <s v="11716"/>
    <n v="90000"/>
    <m/>
    <n v="90000"/>
    <s v="GI Channel 41 x 41 &amp; 27 x 18"/>
  </r>
  <r>
    <x v="885"/>
    <x v="85"/>
    <x v="17"/>
    <m/>
    <m/>
    <n v="300000"/>
    <n v="-300000"/>
    <s v="Paid chq (chq received from deluxe company on 28 Oct 22)"/>
  </r>
  <r>
    <x v="885"/>
    <x v="86"/>
    <x v="3"/>
    <m/>
    <m/>
    <n v="50000"/>
    <n v="-50000"/>
    <s v="cash paid"/>
  </r>
  <r>
    <x v="886"/>
    <x v="90"/>
    <x v="1"/>
    <s v="506"/>
    <n v="57500"/>
    <m/>
    <n v="57500"/>
    <s v="Sound liner 12mm 1 roll"/>
  </r>
  <r>
    <x v="887"/>
    <x v="91"/>
    <x v="16"/>
    <s v="11746"/>
    <n v="2530"/>
    <m/>
    <n v="2530"/>
    <s v="fire clamp rec by shahid"/>
  </r>
  <r>
    <x v="888"/>
    <x v="87"/>
    <x v="15"/>
    <s v="686"/>
    <n v="93600"/>
    <m/>
    <n v="93600"/>
    <s v="Suppply of round inside damper 6&quot; 72 nos"/>
  </r>
  <r>
    <x v="888"/>
    <x v="87"/>
    <x v="15"/>
    <m/>
    <m/>
    <n v="93600"/>
    <n v="-93600"/>
    <s v="MCB chq 1875278252"/>
  </r>
  <r>
    <x v="888"/>
    <x v="93"/>
    <x v="20"/>
    <s v="13"/>
    <n v="472224"/>
    <m/>
    <n v="472224"/>
    <m/>
  </r>
  <r>
    <x v="888"/>
    <x v="90"/>
    <x v="1"/>
    <s v="507"/>
    <n v="13900"/>
    <m/>
    <n v="13900"/>
    <s v="24 qty 1-1/4"/>
  </r>
  <r>
    <x v="889"/>
    <x v="92"/>
    <x v="5"/>
    <s v="19326"/>
    <n v="30800"/>
    <m/>
    <n v="30800"/>
    <m/>
  </r>
  <r>
    <x v="889"/>
    <x v="83"/>
    <x v="2"/>
    <m/>
    <m/>
    <n v="9000"/>
    <n v="-9000"/>
    <s v="MCB chq 1875278251"/>
  </r>
  <r>
    <x v="889"/>
    <x v="87"/>
    <x v="2"/>
    <m/>
    <m/>
    <n v="60000"/>
    <n v="-60000"/>
    <m/>
  </r>
  <r>
    <x v="889"/>
    <x v="83"/>
    <x v="2"/>
    <m/>
    <m/>
    <n v="95"/>
    <n v="-95"/>
    <s v="adjusted"/>
  </r>
  <r>
    <x v="889"/>
    <x v="87"/>
    <x v="2"/>
    <m/>
    <m/>
    <n v="383"/>
    <n v="-383"/>
    <m/>
  </r>
  <r>
    <x v="889"/>
    <x v="86"/>
    <x v="20"/>
    <m/>
    <m/>
    <n v="100000"/>
    <n v="-100000"/>
    <s v="cash adjusted against sheet purchased from Al madina steel"/>
  </r>
  <r>
    <x v="889"/>
    <x v="87"/>
    <x v="20"/>
    <m/>
    <m/>
    <n v="100000"/>
    <n v="-100000"/>
    <m/>
  </r>
  <r>
    <x v="889"/>
    <x v="91"/>
    <x v="20"/>
    <m/>
    <m/>
    <n v="200000"/>
    <n v="-200000"/>
    <m/>
  </r>
  <r>
    <x v="889"/>
    <x v="92"/>
    <x v="20"/>
    <m/>
    <m/>
    <n v="100000"/>
    <n v="-100000"/>
    <m/>
  </r>
  <r>
    <x v="890"/>
    <x v="93"/>
    <x v="20"/>
    <s v="14"/>
    <n v="259749"/>
    <m/>
    <n v="259749"/>
    <m/>
  </r>
  <r>
    <x v="890"/>
    <x v="93"/>
    <x v="5"/>
    <s v="019337"/>
    <n v="602000"/>
    <m/>
    <n v="602000"/>
    <s v="43 glass wool rolls 38mm thick"/>
  </r>
  <r>
    <x v="890"/>
    <x v="92"/>
    <x v="20"/>
    <s v="15"/>
    <n v="60270"/>
    <m/>
    <n v="60270"/>
    <m/>
  </r>
  <r>
    <x v="890"/>
    <x v="90"/>
    <x v="16"/>
    <s v="11771"/>
    <n v="40500"/>
    <m/>
    <n v="40500"/>
    <m/>
  </r>
  <r>
    <x v="890"/>
    <x v="77"/>
    <x v="3"/>
    <s v="2223"/>
    <n v="2311"/>
    <m/>
    <n v="2311"/>
    <m/>
  </r>
  <r>
    <x v="891"/>
    <x v="93"/>
    <x v="20"/>
    <s v="16"/>
    <n v="448149"/>
    <m/>
    <n v="448149"/>
    <m/>
  </r>
  <r>
    <x v="891"/>
    <x v="87"/>
    <x v="20"/>
    <s v="17"/>
    <n v="20236"/>
    <m/>
    <n v="20236"/>
    <m/>
  </r>
  <r>
    <x v="892"/>
    <x v="87"/>
    <x v="18"/>
    <m/>
    <m/>
    <n v="100000"/>
    <n v="-100000"/>
    <s v="cash paid"/>
  </r>
  <r>
    <x v="892"/>
    <x v="87"/>
    <x v="8"/>
    <m/>
    <m/>
    <n v="50000"/>
    <n v="-50000"/>
    <s v="paid cash (rec by fahad)"/>
  </r>
  <r>
    <x v="893"/>
    <x v="90"/>
    <x v="21"/>
    <m/>
    <n v="300000"/>
    <m/>
    <n v="300000"/>
    <s v="deal final"/>
  </r>
  <r>
    <x v="893"/>
    <x v="90"/>
    <x v="21"/>
    <m/>
    <m/>
    <n v="200000"/>
    <n v="-200000"/>
    <s v="Online transfer by bilal bhai"/>
  </r>
  <r>
    <x v="892"/>
    <x v="25"/>
    <x v="13"/>
    <m/>
    <m/>
    <n v="250000"/>
    <n v="-250000"/>
    <s v="MCB chq 1875278254"/>
  </r>
  <r>
    <x v="892"/>
    <x v="91"/>
    <x v="13"/>
    <m/>
    <m/>
    <n v="250000"/>
    <n v="-250000"/>
    <s v="MCB chq 1875278255"/>
  </r>
  <r>
    <x v="892"/>
    <x v="87"/>
    <x v="15"/>
    <m/>
    <m/>
    <n v="200000"/>
    <n v="-200000"/>
    <s v="MCB chq 1875278256"/>
  </r>
  <r>
    <x v="893"/>
    <x v="86"/>
    <x v="0"/>
    <m/>
    <m/>
    <n v="59000"/>
    <n v="-59000"/>
    <s v="MCB chq 1875278257"/>
  </r>
  <r>
    <x v="893"/>
    <x v="85"/>
    <x v="0"/>
    <m/>
    <m/>
    <n v="28000"/>
    <n v="-28000"/>
    <m/>
  </r>
  <r>
    <x v="893"/>
    <x v="87"/>
    <x v="0"/>
    <m/>
    <m/>
    <n v="100000"/>
    <n v="-100000"/>
    <m/>
  </r>
  <r>
    <x v="893"/>
    <x v="86"/>
    <x v="0"/>
    <m/>
    <m/>
    <n v="880"/>
    <n v="-880"/>
    <s v="adjusted"/>
  </r>
  <r>
    <x v="893"/>
    <x v="85"/>
    <x v="0"/>
    <m/>
    <m/>
    <n v="860"/>
    <n v="-860"/>
    <s v="adjusted"/>
  </r>
  <r>
    <x v="893"/>
    <x v="87"/>
    <x v="0"/>
    <m/>
    <m/>
    <n v="800"/>
    <n v="-800"/>
    <s v="adjusted"/>
  </r>
  <r>
    <x v="893"/>
    <x v="87"/>
    <x v="14"/>
    <m/>
    <m/>
    <n v="550000"/>
    <n v="-550000"/>
    <s v="Payment made received advance from IK associates (given to Al-Madina Steel Works) rec on 31 Oct 22"/>
  </r>
  <r>
    <x v="893"/>
    <x v="93"/>
    <x v="16"/>
    <s v="11778"/>
    <n v="28000"/>
    <m/>
    <n v="28000"/>
    <s v="27 x 18 channel 20 length"/>
  </r>
  <r>
    <x v="893"/>
    <x v="92"/>
    <x v="5"/>
    <s v="4091"/>
    <n v="8160"/>
    <m/>
    <n v="8160"/>
    <m/>
  </r>
  <r>
    <x v="893"/>
    <x v="90"/>
    <x v="14"/>
    <s v="30001214"/>
    <n v="1450496"/>
    <m/>
    <n v="1450496"/>
    <m/>
  </r>
  <r>
    <x v="894"/>
    <x v="93"/>
    <x v="20"/>
    <s v="18"/>
    <n v="451515"/>
    <m/>
    <n v="451515"/>
    <m/>
  </r>
  <r>
    <x v="894"/>
    <x v="93"/>
    <x v="20"/>
    <s v="19"/>
    <n v="118979"/>
    <m/>
    <n v="118979"/>
    <m/>
  </r>
  <r>
    <x v="894"/>
    <x v="93"/>
    <x v="5"/>
    <s v="19365"/>
    <n v="364000"/>
    <m/>
    <n v="364000"/>
    <m/>
  </r>
  <r>
    <x v="895"/>
    <x v="93"/>
    <x v="20"/>
    <s v="20"/>
    <n v="206663"/>
    <m/>
    <n v="206663"/>
    <m/>
  </r>
  <r>
    <x v="895"/>
    <x v="87"/>
    <x v="20"/>
    <s v="21"/>
    <n v="128076"/>
    <m/>
    <n v="128076"/>
    <m/>
  </r>
  <r>
    <x v="894"/>
    <x v="86"/>
    <x v="20"/>
    <m/>
    <m/>
    <n v="51219"/>
    <n v="-51219"/>
    <s v="cash adjusted against sheet purchased from Al madina steel"/>
  </r>
  <r>
    <x v="894"/>
    <x v="87"/>
    <x v="20"/>
    <m/>
    <m/>
    <n v="50117"/>
    <n v="-50117"/>
    <m/>
  </r>
  <r>
    <x v="894"/>
    <x v="89"/>
    <x v="20"/>
    <m/>
    <m/>
    <n v="13496"/>
    <n v="-13496"/>
    <m/>
  </r>
  <r>
    <x v="894"/>
    <x v="91"/>
    <x v="20"/>
    <m/>
    <m/>
    <n v="115599"/>
    <n v="-115599"/>
    <m/>
  </r>
  <r>
    <x v="894"/>
    <x v="92"/>
    <x v="20"/>
    <m/>
    <m/>
    <n v="72562"/>
    <n v="-72562"/>
    <m/>
  </r>
  <r>
    <x v="894"/>
    <x v="93"/>
    <x v="20"/>
    <m/>
    <m/>
    <n v="197007"/>
    <n v="-197007"/>
    <m/>
  </r>
  <r>
    <x v="896"/>
    <x v="90"/>
    <x v="1"/>
    <s v="517"/>
    <n v="4000"/>
    <m/>
    <n v="4000"/>
    <s v="10 qty 1-1/4 "/>
  </r>
  <r>
    <x v="896"/>
    <x v="90"/>
    <x v="16"/>
    <s v="11791"/>
    <n v="15000"/>
    <m/>
    <n v="15000"/>
    <s v="27 x 18 channel 10 length"/>
  </r>
  <r>
    <x v="896"/>
    <x v="90"/>
    <x v="16"/>
    <s v="11792"/>
    <n v="25200"/>
    <m/>
    <n v="25200"/>
    <s v="41 x 41 channel 6 length"/>
  </r>
  <r>
    <x v="897"/>
    <x v="90"/>
    <x v="5"/>
    <s v="19380"/>
    <n v="52000"/>
    <m/>
    <n v="52000"/>
    <m/>
  </r>
  <r>
    <x v="897"/>
    <x v="93"/>
    <x v="20"/>
    <s v="22"/>
    <n v="295403"/>
    <m/>
    <n v="295403"/>
    <m/>
  </r>
  <r>
    <x v="898"/>
    <x v="90"/>
    <x v="15"/>
    <s v="688"/>
    <n v="61900"/>
    <m/>
    <n v="61900"/>
    <m/>
  </r>
  <r>
    <x v="898"/>
    <x v="87"/>
    <x v="15"/>
    <s v="689"/>
    <n v="19520"/>
    <m/>
    <n v="19520"/>
    <m/>
  </r>
  <r>
    <x v="899"/>
    <x v="86"/>
    <x v="10"/>
    <m/>
    <m/>
    <n v="100000"/>
    <n v="-100000"/>
    <s v="Payment made received advance from IK associates (given to Al-Madina Steel Works) rec on 31 Oct 22"/>
  </r>
  <r>
    <x v="900"/>
    <x v="86"/>
    <x v="10"/>
    <m/>
    <m/>
    <n v="100000"/>
    <n v="-100000"/>
    <s v="Payment made received advance from IK associates (given to Al-Madina Steel Works) rec on 31 Oct 22"/>
  </r>
  <r>
    <x v="899"/>
    <x v="90"/>
    <x v="14"/>
    <s v="3001307"/>
    <n v="4000"/>
    <m/>
    <n v="4000"/>
    <m/>
  </r>
  <r>
    <x v="899"/>
    <x v="90"/>
    <x v="14"/>
    <s v="3001308"/>
    <n v="100742"/>
    <m/>
    <n v="100742"/>
    <m/>
  </r>
  <r>
    <x v="899"/>
    <x v="90"/>
    <x v="14"/>
    <s v="30001309"/>
    <n v="294393"/>
    <m/>
    <n v="294393"/>
    <m/>
  </r>
  <r>
    <x v="899"/>
    <x v="93"/>
    <x v="16"/>
    <s v="11805"/>
    <n v="42000"/>
    <m/>
    <n v="42000"/>
    <s v="27 x 18 channel 30 length"/>
  </r>
  <r>
    <x v="900"/>
    <x v="93"/>
    <x v="16"/>
    <s v="11818"/>
    <n v="10000"/>
    <m/>
    <n v="10000"/>
    <s v="10 Boxes drop in anchor m10"/>
  </r>
  <r>
    <x v="900"/>
    <x v="91"/>
    <x v="14"/>
    <s v="30001314"/>
    <n v="157044"/>
    <m/>
    <n v="157044"/>
    <m/>
  </r>
  <r>
    <x v="900"/>
    <x v="91"/>
    <x v="14"/>
    <s v="30001316"/>
    <n v="55248"/>
    <m/>
    <n v="55248"/>
    <m/>
  </r>
  <r>
    <x v="900"/>
    <x v="90"/>
    <x v="14"/>
    <s v="30001313"/>
    <n v="56000"/>
    <m/>
    <n v="56000"/>
    <m/>
  </r>
  <r>
    <x v="900"/>
    <x v="85"/>
    <x v="17"/>
    <m/>
    <m/>
    <n v="200000"/>
    <n v="-200000"/>
    <s v="Online transfer by bilal bhai"/>
  </r>
  <r>
    <x v="901"/>
    <x v="87"/>
    <x v="14"/>
    <s v="30001318"/>
    <n v="350364"/>
    <m/>
    <n v="350364"/>
    <m/>
  </r>
  <r>
    <x v="901"/>
    <x v="87"/>
    <x v="2"/>
    <s v="78"/>
    <n v="33213"/>
    <m/>
    <n v="33213"/>
    <s v="Pipe insulation 1&quot;  1-1/2 &amp; 3&quot;"/>
  </r>
  <r>
    <x v="902"/>
    <x v="72"/>
    <x v="15"/>
    <s v="690"/>
    <n v="21600"/>
    <m/>
    <n v="21600"/>
    <s v="6 nos 12 &quot; jet diffuser"/>
  </r>
  <r>
    <x v="902"/>
    <x v="93"/>
    <x v="20"/>
    <s v="23"/>
    <n v="333027"/>
    <m/>
    <n v="333027"/>
    <m/>
  </r>
  <r>
    <x v="903"/>
    <x v="25"/>
    <x v="10"/>
    <s v="24141"/>
    <n v="1900"/>
    <m/>
    <n v="1900"/>
    <s v="2 nos thermometers"/>
  </r>
  <r>
    <x v="903"/>
    <x v="90"/>
    <x v="14"/>
    <s v="30001322"/>
    <n v="100742"/>
    <m/>
    <n v="100742"/>
    <m/>
  </r>
  <r>
    <x v="903"/>
    <x v="90"/>
    <x v="14"/>
    <s v="30001321"/>
    <n v="147250"/>
    <m/>
    <n v="147250"/>
    <m/>
  </r>
  <r>
    <x v="904"/>
    <x v="25"/>
    <x v="16"/>
    <m/>
    <m/>
    <n v="5940"/>
    <n v="-5940"/>
    <s v="Payment made received advance from Total (given to Al-Madina Steel Works) rec on 30 Nov 22"/>
  </r>
  <r>
    <x v="904"/>
    <x v="90"/>
    <x v="16"/>
    <m/>
    <m/>
    <n v="39210"/>
    <n v="-39210"/>
    <m/>
  </r>
  <r>
    <x v="904"/>
    <x v="91"/>
    <x v="16"/>
    <m/>
    <m/>
    <n v="18450"/>
    <n v="-18450"/>
    <m/>
  </r>
  <r>
    <x v="904"/>
    <x v="93"/>
    <x v="16"/>
    <m/>
    <m/>
    <n v="80000"/>
    <n v="-80000"/>
    <m/>
  </r>
  <r>
    <x v="905"/>
    <x v="93"/>
    <x v="20"/>
    <m/>
    <m/>
    <n v="468530"/>
    <n v="-468530"/>
    <s v="Payment made received advance from Total (given to Al-Madina Steel Works) rec on 30 Nov 22 "/>
  </r>
  <r>
    <x v="905"/>
    <x v="93"/>
    <x v="13"/>
    <m/>
    <m/>
    <n v="790800"/>
    <n v="-790800"/>
    <s v="Adjusted with Al madina steel purcahsed G.I sheet"/>
  </r>
  <r>
    <x v="905"/>
    <x v="93"/>
    <x v="9"/>
    <m/>
    <m/>
    <n v="500000"/>
    <n v="-500000"/>
    <s v="Payment made received advance from Total (given to Al-Madina Steel Works) rec on 30 Nov 22 "/>
  </r>
  <r>
    <x v="905"/>
    <x v="93"/>
    <x v="9"/>
    <m/>
    <m/>
    <n v="350000"/>
    <n v="-350000"/>
    <s v="Payment made received advance from Total (given to Al-Madina Steel Works) rec on 30 Nov 22 "/>
  </r>
  <r>
    <x v="905"/>
    <x v="64"/>
    <x v="9"/>
    <m/>
    <m/>
    <n v="100"/>
    <n v="-100"/>
    <s v="adjusted"/>
  </r>
  <r>
    <x v="906"/>
    <x v="72"/>
    <x v="15"/>
    <m/>
    <m/>
    <n v="21600"/>
    <n v="-21600"/>
    <m/>
  </r>
  <r>
    <x v="906"/>
    <x v="86"/>
    <x v="10"/>
    <m/>
    <m/>
    <n v="24400"/>
    <n v="-24400"/>
    <s v="Rec from Deluxe company (given to Al-Madina Steel Works) rec on 25 Nov 22  chq amount 100,000"/>
  </r>
  <r>
    <x v="906"/>
    <x v="72"/>
    <x v="10"/>
    <m/>
    <m/>
    <n v="68000"/>
    <n v="-68000"/>
    <m/>
  </r>
  <r>
    <x v="906"/>
    <x v="25"/>
    <x v="10"/>
    <m/>
    <m/>
    <n v="7600"/>
    <n v="-7600"/>
    <m/>
  </r>
  <r>
    <x v="906"/>
    <x v="90"/>
    <x v="13"/>
    <s v="19"/>
    <n v="1603139"/>
    <m/>
    <n v="1603139"/>
    <m/>
  </r>
  <r>
    <x v="906"/>
    <x v="25"/>
    <x v="13"/>
    <s v="20"/>
    <n v="38000"/>
    <m/>
    <n v="38000"/>
    <m/>
  </r>
  <r>
    <x v="907"/>
    <x v="90"/>
    <x v="15"/>
    <s v="699"/>
    <n v="29568"/>
    <m/>
    <n v="29568"/>
    <m/>
  </r>
  <r>
    <x v="907"/>
    <x v="87"/>
    <x v="15"/>
    <s v="699"/>
    <n v="5040"/>
    <m/>
    <n v="5040"/>
    <m/>
  </r>
  <r>
    <x v="907"/>
    <x v="93"/>
    <x v="5"/>
    <s v="19326"/>
    <n v="23625"/>
    <m/>
    <n v="23625"/>
    <m/>
  </r>
  <r>
    <x v="908"/>
    <x v="77"/>
    <x v="3"/>
    <s v="2223"/>
    <n v="1320"/>
    <m/>
    <n v="1320"/>
    <s v="upvc elbow"/>
  </r>
  <r>
    <x v="908"/>
    <x v="90"/>
    <x v="16"/>
    <m/>
    <m/>
    <n v="100000"/>
    <n v="-100000"/>
    <s v="Payment made received advance from IK (given to Al-Madina Steel Works) rec on 01 Dec 22 "/>
  </r>
  <r>
    <x v="908"/>
    <x v="86"/>
    <x v="3"/>
    <m/>
    <m/>
    <n v="67349"/>
    <n v="-67349"/>
    <s v="Payment made received advance from IK (given to Al-Madina Steel Works) rec on 01 Dec 22 "/>
  </r>
  <r>
    <x v="908"/>
    <x v="77"/>
    <x v="3"/>
    <m/>
    <m/>
    <n v="9328"/>
    <n v="-9328"/>
    <m/>
  </r>
  <r>
    <x v="908"/>
    <x v="73"/>
    <x v="3"/>
    <m/>
    <m/>
    <n v="247"/>
    <n v="-247"/>
    <m/>
  </r>
  <r>
    <x v="908"/>
    <x v="25"/>
    <x v="3"/>
    <m/>
    <m/>
    <n v="23076"/>
    <n v="-23076"/>
    <m/>
  </r>
  <r>
    <x v="908"/>
    <x v="87"/>
    <x v="14"/>
    <m/>
    <m/>
    <n v="300000"/>
    <n v="-300000"/>
    <s v="Payment made received advance from IK (given to Al-Madina Steel Works) rec on 01 Dec 22 "/>
  </r>
  <r>
    <x v="908"/>
    <x v="87"/>
    <x v="14"/>
    <m/>
    <m/>
    <n v="300000"/>
    <n v="-300000"/>
    <s v="Payment made received advance from IK (given to Al-Madina Steel Works) rec on 01 Dec 22 "/>
  </r>
  <r>
    <x v="909"/>
    <x v="90"/>
    <x v="16"/>
    <s v="11853"/>
    <n v="17800"/>
    <m/>
    <n v="17800"/>
    <s v="channel 41 x 41 4 nos"/>
  </r>
  <r>
    <x v="909"/>
    <x v="93"/>
    <x v="15"/>
    <m/>
    <m/>
    <n v="216700"/>
    <n v="-216700"/>
    <s v="MCB chq 1875278268 "/>
  </r>
  <r>
    <x v="910"/>
    <x v="25"/>
    <x v="8"/>
    <m/>
    <m/>
    <n v="14000"/>
    <n v="-14000"/>
    <s v="MCB chq 1875278270 "/>
  </r>
  <r>
    <x v="910"/>
    <x v="67"/>
    <x v="8"/>
    <m/>
    <m/>
    <n v="11000"/>
    <n v="-11000"/>
    <m/>
  </r>
  <r>
    <x v="910"/>
    <x v="87"/>
    <x v="8"/>
    <m/>
    <m/>
    <n v="25000"/>
    <n v="-25000"/>
    <m/>
  </r>
  <r>
    <x v="911"/>
    <x v="94"/>
    <x v="5"/>
    <s v="19492"/>
    <n v="78000"/>
    <m/>
    <n v="78000"/>
    <s v="10 Roll insulation 16kg 1&quot;"/>
  </r>
  <r>
    <x v="911"/>
    <x v="95"/>
    <x v="0"/>
    <s v="353"/>
    <n v="247080"/>
    <m/>
    <n v="247080"/>
    <m/>
  </r>
  <r>
    <x v="912"/>
    <x v="93"/>
    <x v="20"/>
    <s v="24"/>
    <n v="118318"/>
    <m/>
    <n v="118318"/>
    <m/>
  </r>
  <r>
    <x v="912"/>
    <x v="94"/>
    <x v="0"/>
    <s v="354"/>
    <n v="164160"/>
    <m/>
    <n v="164160"/>
    <m/>
  </r>
  <r>
    <x v="913"/>
    <x v="94"/>
    <x v="15"/>
    <m/>
    <m/>
    <n v="190000"/>
    <n v="-190000"/>
    <s v="MCB chq 1875278280"/>
  </r>
  <r>
    <x v="914"/>
    <x v="91"/>
    <x v="14"/>
    <s v="1378"/>
    <n v="33571"/>
    <m/>
    <n v="33571"/>
    <s v="12 mm 1 roll xlpe"/>
  </r>
  <r>
    <x v="915"/>
    <x v="87"/>
    <x v="14"/>
    <m/>
    <m/>
    <n v="333000"/>
    <n v="-333000"/>
    <s v="Paid MCB chq 1875278283"/>
  </r>
  <r>
    <x v="915"/>
    <x v="87"/>
    <x v="14"/>
    <m/>
    <m/>
    <n v="333000"/>
    <n v="-333000"/>
    <s v="Paid MCB chq 1875278284"/>
  </r>
  <r>
    <x v="915"/>
    <x v="87"/>
    <x v="14"/>
    <m/>
    <m/>
    <n v="334000"/>
    <n v="-334000"/>
    <s v="Paid MCB chq 1875278285"/>
  </r>
  <r>
    <x v="915"/>
    <x v="93"/>
    <x v="5"/>
    <s v="19529"/>
    <n v="149500"/>
    <m/>
    <n v="149500"/>
    <s v="13 rolls glass wool "/>
  </r>
  <r>
    <x v="915"/>
    <x v="90"/>
    <x v="5"/>
    <s v="19528"/>
    <n v="17000"/>
    <m/>
    <n v="17000"/>
    <s v="1 carton china flexible duct connector"/>
  </r>
  <r>
    <x v="915"/>
    <x v="93"/>
    <x v="20"/>
    <s v="25"/>
    <n v="38995"/>
    <m/>
    <n v="38995"/>
    <m/>
  </r>
  <r>
    <x v="916"/>
    <x v="94"/>
    <x v="13"/>
    <m/>
    <m/>
    <n v="410600"/>
    <n v="-410600"/>
    <s v="Adjusted with Al madina steel purcahsed G.I sheet in payment from IK against sana safinaz advance"/>
  </r>
  <r>
    <x v="916"/>
    <x v="90"/>
    <x v="13"/>
    <m/>
    <m/>
    <n v="370200"/>
    <n v="-370200"/>
    <s v="Adjusted with Al madina steel purcahsed G.I sheet in payment from IK against sana safinaz advance"/>
  </r>
  <r>
    <x v="916"/>
    <x v="91"/>
    <x v="13"/>
    <m/>
    <m/>
    <n v="275600"/>
    <n v="-275600"/>
    <s v="Adjusted with Al madina steel purcahsed G.I sheet in payment from IK against sana safinaz advance"/>
  </r>
  <r>
    <x v="916"/>
    <x v="90"/>
    <x v="21"/>
    <m/>
    <m/>
    <n v="100000"/>
    <n v="-100000"/>
    <s v="Paid MCB chq 1875278287"/>
  </r>
  <r>
    <x v="917"/>
    <x v="90"/>
    <x v="16"/>
    <s v="11903"/>
    <n v="16800"/>
    <m/>
    <n v="16800"/>
    <s v="channel 41 x 41 4 nos"/>
  </r>
  <r>
    <x v="917"/>
    <x v="90"/>
    <x v="16"/>
    <s v="11904"/>
    <n v="40500"/>
    <m/>
    <n v="40500"/>
    <s v="channel 27 x 18 30 nos"/>
  </r>
  <r>
    <x v="918"/>
    <x v="91"/>
    <x v="13"/>
    <s v="21"/>
    <n v="704772"/>
    <m/>
    <n v="704772"/>
    <m/>
  </r>
  <r>
    <x v="918"/>
    <x v="93"/>
    <x v="13"/>
    <s v="22"/>
    <n v="480779"/>
    <m/>
    <n v="480779"/>
    <m/>
  </r>
  <r>
    <x v="918"/>
    <x v="94"/>
    <x v="13"/>
    <s v="23"/>
    <n v="353420"/>
    <m/>
    <n v="353420"/>
    <m/>
  </r>
  <r>
    <x v="918"/>
    <x v="87"/>
    <x v="13"/>
    <s v="24"/>
    <n v="83410"/>
    <m/>
    <n v="83410"/>
    <m/>
  </r>
  <r>
    <x v="919"/>
    <x v="90"/>
    <x v="16"/>
    <s v="11917"/>
    <n v="9450"/>
    <m/>
    <n v="9450"/>
    <s v="channel 27 x 18 7 nos"/>
  </r>
  <r>
    <x v="920"/>
    <x v="90"/>
    <x v="13"/>
    <m/>
    <m/>
    <n v="300000"/>
    <n v="-300000"/>
    <s v="Paid MCB chq 1875278290"/>
  </r>
  <r>
    <x v="920"/>
    <x v="90"/>
    <x v="13"/>
    <m/>
    <m/>
    <n v="300000"/>
    <n v="-300000"/>
    <s v="Paid MCB chq 1875278291"/>
  </r>
  <r>
    <x v="920"/>
    <x v="90"/>
    <x v="13"/>
    <m/>
    <m/>
    <n v="284875"/>
    <n v="-284875"/>
    <s v="adjusted"/>
  </r>
  <r>
    <x v="920"/>
    <x v="90"/>
    <x v="13"/>
    <m/>
    <n v="22990"/>
    <m/>
    <n v="22990"/>
    <s v="adjusted"/>
  </r>
  <r>
    <x v="921"/>
    <x v="87"/>
    <x v="18"/>
    <s v="007"/>
    <n v="120000"/>
    <m/>
    <n v="120000"/>
    <m/>
  </r>
  <r>
    <x v="921"/>
    <x v="94"/>
    <x v="16"/>
    <s v="11942"/>
    <n v="7360"/>
    <m/>
    <n v="7360"/>
    <s v="fire clamp "/>
  </r>
  <r>
    <x v="922"/>
    <x v="90"/>
    <x v="14"/>
    <s v="1398"/>
    <n v="33600"/>
    <m/>
    <n v="33600"/>
    <s v="Tapes 3&quot; 48 Nos"/>
  </r>
  <r>
    <x v="922"/>
    <x v="87"/>
    <x v="18"/>
    <m/>
    <m/>
    <n v="58000"/>
    <n v="-58000"/>
    <s v="Rec from IK on 31 Dec 22"/>
  </r>
  <r>
    <x v="922"/>
    <x v="86"/>
    <x v="18"/>
    <m/>
    <m/>
    <n v="42000"/>
    <n v="-42000"/>
    <m/>
  </r>
  <r>
    <x v="921"/>
    <x v="85"/>
    <x v="17"/>
    <m/>
    <n v="35000"/>
    <m/>
    <n v="35000"/>
    <s v="adjusted"/>
  </r>
  <r>
    <x v="921"/>
    <x v="93"/>
    <x v="5"/>
    <s v="19581"/>
    <n v="126500"/>
    <m/>
    <n v="126500"/>
    <s v="11 Roll insulation"/>
  </r>
  <r>
    <x v="921"/>
    <x v="93"/>
    <x v="20"/>
    <m/>
    <m/>
    <n v="1000000"/>
    <n v="-1000000"/>
    <s v="adjusted with Al Madina Steel traders"/>
  </r>
  <r>
    <x v="923"/>
    <x v="90"/>
    <x v="14"/>
    <s v="1407"/>
    <n v="49065"/>
    <m/>
    <n v="49065"/>
    <s v="XLPE insulation 20mm"/>
  </r>
  <r>
    <x v="924"/>
    <x v="95"/>
    <x v="16"/>
    <s v="11954"/>
    <n v="45500"/>
    <m/>
    <n v="45500"/>
    <s v="channel 27 x 18 &amp; Fishcer"/>
  </r>
  <r>
    <x v="924"/>
    <x v="93"/>
    <x v="5"/>
    <s v="19596"/>
    <n v="126500"/>
    <m/>
    <n v="126500"/>
    <s v="11 Roll insulation"/>
  </r>
  <r>
    <x v="925"/>
    <x v="95"/>
    <x v="1"/>
    <s v="579"/>
    <n v="25754"/>
    <m/>
    <n v="25754"/>
    <s v="Aeroflex tube 1-1/4 and 1-7/8"/>
  </r>
  <r>
    <x v="926"/>
    <x v="95"/>
    <x v="16"/>
    <s v="11961"/>
    <n v="47250"/>
    <m/>
    <n v="47250"/>
    <s v="channel 27 x 18 &amp; channel 41 x 21"/>
  </r>
  <r>
    <x v="927"/>
    <x v="77"/>
    <x v="5"/>
    <m/>
    <m/>
    <n v="21400"/>
    <n v="-21400"/>
    <s v="Rec final payment from JS Bank shaheen and Cefeteria area ) chq amount = 178573"/>
  </r>
  <r>
    <x v="927"/>
    <x v="86"/>
    <x v="5"/>
    <m/>
    <m/>
    <n v="25000"/>
    <n v="-25000"/>
    <m/>
  </r>
  <r>
    <x v="927"/>
    <x v="90"/>
    <x v="5"/>
    <m/>
    <m/>
    <n v="69000"/>
    <n v="-69000"/>
    <m/>
  </r>
  <r>
    <x v="927"/>
    <x v="91"/>
    <x v="5"/>
    <m/>
    <m/>
    <n v="15282"/>
    <n v="-15282"/>
    <m/>
  </r>
  <r>
    <x v="927"/>
    <x v="92"/>
    <x v="5"/>
    <m/>
    <m/>
    <n v="47891"/>
    <n v="-47891"/>
    <m/>
  </r>
  <r>
    <x v="927"/>
    <x v="93"/>
    <x v="15"/>
    <m/>
    <m/>
    <n v="150000"/>
    <n v="-150000"/>
    <s v="MCB chq 1875278299 advance paid in FD deal"/>
  </r>
  <r>
    <x v="928"/>
    <x v="95"/>
    <x v="0"/>
    <s v="363"/>
    <n v="263400"/>
    <m/>
    <n v="263400"/>
    <s v="M.s Pipe 1&quot; , 1-1/2 &amp; 2&quot;"/>
  </r>
  <r>
    <x v="929"/>
    <x v="95"/>
    <x v="5"/>
    <s v="19622"/>
    <n v="17000"/>
    <m/>
    <n v="17000"/>
    <s v="flexbiel connector 1 carton"/>
  </r>
  <r>
    <x v="929"/>
    <x v="95"/>
    <x v="5"/>
    <s v="19622"/>
    <n v="72000"/>
    <m/>
    <n v="72000"/>
    <s v="Tapes 2&quot; 5 carton"/>
  </r>
  <r>
    <x v="930"/>
    <x v="87"/>
    <x v="18"/>
    <m/>
    <m/>
    <n v="120000"/>
    <n v="-120000"/>
    <s v="MCB chq 1933400291 "/>
  </r>
  <r>
    <x v="931"/>
    <x v="86"/>
    <x v="1"/>
    <m/>
    <m/>
    <n v="34773"/>
    <n v="-34773"/>
    <s v="MCB chq 1933400293 "/>
  </r>
  <r>
    <x v="931"/>
    <x v="90"/>
    <x v="1"/>
    <m/>
    <m/>
    <n v="65227"/>
    <n v="-65227"/>
    <m/>
  </r>
  <r>
    <x v="931"/>
    <x v="90"/>
    <x v="16"/>
    <m/>
    <m/>
    <n v="100000"/>
    <n v="-100000"/>
    <s v="paid cash by nadeem bhai"/>
  </r>
  <r>
    <x v="932"/>
    <x v="91"/>
    <x v="13"/>
    <s v="27"/>
    <n v="605640"/>
    <m/>
    <n v="605640"/>
    <m/>
  </r>
  <r>
    <x v="932"/>
    <x v="90"/>
    <x v="13"/>
    <s v="26"/>
    <n v="274161"/>
    <m/>
    <n v="274161"/>
    <m/>
  </r>
  <r>
    <x v="932"/>
    <x v="87"/>
    <x v="13"/>
    <s v="25"/>
    <n v="23595"/>
    <m/>
    <n v="23595"/>
    <m/>
  </r>
  <r>
    <x v="933"/>
    <x v="95"/>
    <x v="16"/>
    <s v="12005"/>
    <n v="20250"/>
    <m/>
    <n v="20250"/>
    <s v="channel 27 x 18  15 nos"/>
  </r>
  <r>
    <x v="933"/>
    <x v="95"/>
    <x v="1"/>
    <s v="599"/>
    <n v="56500"/>
    <m/>
    <n v="56500"/>
    <s v="NBR roll 3/4&quot;"/>
  </r>
  <r>
    <x v="933"/>
    <x v="95"/>
    <x v="14"/>
    <s v="1436"/>
    <n v="536326"/>
    <m/>
    <n v="536326"/>
    <m/>
  </r>
  <r>
    <x v="933"/>
    <x v="25"/>
    <x v="3"/>
    <s v="2223"/>
    <n v="2495"/>
    <m/>
    <n v="2495"/>
    <s v="elbow"/>
  </r>
  <r>
    <x v="934"/>
    <x v="90"/>
    <x v="18"/>
    <s v="008"/>
    <n v="230000"/>
    <m/>
    <n v="230000"/>
    <m/>
  </r>
  <r>
    <x v="934"/>
    <x v="91"/>
    <x v="5"/>
    <s v="19645"/>
    <n v="3495"/>
    <m/>
    <n v="3495"/>
    <s v="super loan"/>
  </r>
  <r>
    <x v="934"/>
    <x v="91"/>
    <x v="5"/>
    <s v="19650"/>
    <n v="3420"/>
    <m/>
    <n v="3420"/>
    <s v="super loan"/>
  </r>
  <r>
    <x v="935"/>
    <x v="93"/>
    <x v="9"/>
    <s v="38"/>
    <n v="1535000"/>
    <m/>
    <n v="1535000"/>
    <m/>
  </r>
  <r>
    <x v="936"/>
    <x v="95"/>
    <x v="14"/>
    <s v="1439"/>
    <n v="240163"/>
    <m/>
    <n v="240163"/>
    <m/>
  </r>
  <r>
    <x v="937"/>
    <x v="25"/>
    <x v="13"/>
    <m/>
    <m/>
    <n v="443603"/>
    <n v="-443603"/>
    <s v="Received against GI sheet sold from the JPMC Site Total sheet amount is 887,205"/>
  </r>
  <r>
    <x v="937"/>
    <x v="93"/>
    <x v="13"/>
    <m/>
    <m/>
    <n v="443603"/>
    <n v="-443603"/>
    <m/>
  </r>
  <r>
    <x v="938"/>
    <x v="95"/>
    <x v="13"/>
    <m/>
    <m/>
    <n v="393200"/>
    <n v="-393200"/>
    <s v="paid - rec chq from Al madina steel via IK payment on 25 jan 23_x000a_chq amount = 330,000_x000a_cash             =    63,200"/>
  </r>
  <r>
    <x v="938"/>
    <x v="90"/>
    <x v="18"/>
    <m/>
    <m/>
    <n v="100000"/>
    <n v="-100000"/>
    <s v="MCB chq 1933400306"/>
  </r>
  <r>
    <x v="938"/>
    <x v="90"/>
    <x v="18"/>
    <m/>
    <m/>
    <n v="130000"/>
    <n v="-130000"/>
    <s v="MCB chq 1933400307"/>
  </r>
  <r>
    <x v="939"/>
    <x v="93"/>
    <x v="5"/>
    <s v="19688"/>
    <n v="154000"/>
    <m/>
    <n v="154000"/>
    <s v="8 roll fiber glass"/>
  </r>
  <r>
    <x v="940"/>
    <x v="90"/>
    <x v="14"/>
    <s v="1442"/>
    <n v="74889"/>
    <m/>
    <n v="74889"/>
    <m/>
  </r>
  <r>
    <x v="940"/>
    <x v="95"/>
    <x v="1"/>
    <s v="630"/>
    <n v="56000"/>
    <m/>
    <n v="56000"/>
    <s v="1 roll Combined bill for aeroflex sheet 1/2&quot;"/>
  </r>
  <r>
    <x v="940"/>
    <x v="87"/>
    <x v="1"/>
    <m/>
    <n v="56000"/>
    <m/>
    <n v="56000"/>
    <s v="1 roll Combined bill for aeroflex sheet 1/2&quot;"/>
  </r>
  <r>
    <x v="940"/>
    <x v="87"/>
    <x v="1"/>
    <m/>
    <m/>
    <n v="56000"/>
    <n v="-56000"/>
    <s v="MCB chq 1933400315  chq amount is 90,000"/>
  </r>
  <r>
    <x v="940"/>
    <x v="90"/>
    <x v="1"/>
    <m/>
    <m/>
    <n v="10173"/>
    <n v="-10173"/>
    <m/>
  </r>
  <r>
    <x v="940"/>
    <x v="95"/>
    <x v="1"/>
    <m/>
    <m/>
    <n v="23827"/>
    <n v="-23827"/>
    <m/>
  </r>
  <r>
    <x v="940"/>
    <x v="95"/>
    <x v="1"/>
    <m/>
    <m/>
    <n v="110000"/>
    <n v="-110000"/>
    <s v="MCB chq 1933400316"/>
  </r>
  <r>
    <x v="941"/>
    <x v="94"/>
    <x v="15"/>
    <s v="811"/>
    <n v="90816"/>
    <m/>
    <n v="90816"/>
    <s v="Combined bill"/>
  </r>
  <r>
    <x v="941"/>
    <x v="87"/>
    <x v="15"/>
    <m/>
    <n v="10628"/>
    <m/>
    <n v="10628"/>
    <m/>
  </r>
  <r>
    <x v="941"/>
    <x v="95"/>
    <x v="15"/>
    <s v="814"/>
    <n v="42000"/>
    <m/>
    <n v="42000"/>
    <m/>
  </r>
  <r>
    <x v="941"/>
    <x v="87"/>
    <x v="15"/>
    <s v="810"/>
    <n v="33552"/>
    <m/>
    <n v="33552"/>
    <s v="Combined bill"/>
  </r>
  <r>
    <x v="941"/>
    <x v="90"/>
    <x v="15"/>
    <m/>
    <n v="28080"/>
    <m/>
    <n v="28080"/>
    <m/>
  </r>
  <r>
    <x v="942"/>
    <x v="93"/>
    <x v="5"/>
    <s v="19699"/>
    <n v="192500"/>
    <m/>
    <n v="192500"/>
    <s v="10 Roll"/>
  </r>
  <r>
    <x v="943"/>
    <x v="94"/>
    <x v="15"/>
    <s v="815"/>
    <n v="306000"/>
    <m/>
    <n v="306000"/>
    <s v="swirl diffuser 36 nos"/>
  </r>
  <r>
    <x v="943"/>
    <x v="93"/>
    <x v="15"/>
    <s v="811"/>
    <n v="175176"/>
    <m/>
    <n v="175176"/>
    <s v="Fire dampers"/>
  </r>
  <r>
    <x v="943"/>
    <x v="93"/>
    <x v="15"/>
    <s v="813"/>
    <n v="257240"/>
    <m/>
    <n v="257240"/>
    <s v="VCDs"/>
  </r>
  <r>
    <x v="943"/>
    <x v="95"/>
    <x v="15"/>
    <s v="816"/>
    <n v="6480"/>
    <m/>
    <n v="6480"/>
    <m/>
  </r>
  <r>
    <x v="943"/>
    <x v="95"/>
    <x v="0"/>
    <s v="373"/>
    <n v="39160"/>
    <m/>
    <n v="39160"/>
    <s v="2-1/2&quot; pipe 40 rft"/>
  </r>
  <r>
    <x v="943"/>
    <x v="95"/>
    <x v="0"/>
    <s v="374"/>
    <n v="125580"/>
    <m/>
    <n v="125580"/>
    <s v="1&quot; and 3/4&quot; "/>
  </r>
  <r>
    <x v="944"/>
    <x v="93"/>
    <x v="20"/>
    <m/>
    <m/>
    <n v="650000"/>
    <n v="-650000"/>
    <s v="adjusted with Al Madina Steel traders"/>
  </r>
  <r>
    <x v="944"/>
    <x v="90"/>
    <x v="13"/>
    <m/>
    <m/>
    <n v="400000"/>
    <n v="-400000"/>
    <s v="adjusted with Al Madina Steel traders"/>
  </r>
  <r>
    <x v="944"/>
    <x v="90"/>
    <x v="13"/>
    <m/>
    <m/>
    <n v="1662"/>
    <n v="-1662"/>
    <s v="adjusment"/>
  </r>
  <r>
    <x v="944"/>
    <x v="95"/>
    <x v="16"/>
    <m/>
    <m/>
    <n v="100000"/>
    <n v="-100000"/>
    <s v="cash"/>
  </r>
  <r>
    <x v="944"/>
    <x v="93"/>
    <x v="9"/>
    <m/>
    <m/>
    <n v="250000"/>
    <n v="-250000"/>
    <s v="Received from IK associates on 7 Feb 23"/>
  </r>
  <r>
    <x v="944"/>
    <x v="93"/>
    <x v="9"/>
    <m/>
    <m/>
    <n v="60000"/>
    <n v="-60000"/>
    <s v="Received from IK associates on 7 Feb 23"/>
  </r>
  <r>
    <x v="944"/>
    <x v="90"/>
    <x v="14"/>
    <m/>
    <m/>
    <n v="600000"/>
    <n v="-600000"/>
    <s v="Received from IK associates on 7 Feb 23"/>
  </r>
  <r>
    <x v="945"/>
    <x v="95"/>
    <x v="5"/>
    <s v="19719"/>
    <n v="26000"/>
    <m/>
    <n v="26000"/>
    <s v="Meta flexbile 6&quot; 4 carton"/>
  </r>
  <r>
    <x v="946"/>
    <x v="90"/>
    <x v="14"/>
    <m/>
    <m/>
    <n v="400000"/>
    <n v="-400000"/>
    <s v="Online transfer by Al madina Via payment rec on 7 Feb 23"/>
  </r>
  <r>
    <x v="946"/>
    <x v="86"/>
    <x v="15"/>
    <m/>
    <m/>
    <n v="37944"/>
    <n v="-37944"/>
    <s v="Online transfer by Al madina Via payment rec on 7 Feb 23 Total amount is 200,000"/>
  </r>
  <r>
    <x v="946"/>
    <x v="89"/>
    <x v="15"/>
    <m/>
    <m/>
    <n v="63132"/>
    <n v="-63132"/>
    <m/>
  </r>
  <r>
    <x v="946"/>
    <x v="90"/>
    <x v="15"/>
    <m/>
    <m/>
    <n v="98924"/>
    <n v="-98924"/>
    <m/>
  </r>
  <r>
    <x v="947"/>
    <x v="87"/>
    <x v="15"/>
    <m/>
    <m/>
    <n v="50000"/>
    <n v="-50000"/>
    <s v="MCB chq 1933400320"/>
  </r>
  <r>
    <x v="948"/>
    <x v="93"/>
    <x v="5"/>
    <s v="19770"/>
    <n v="47400"/>
    <m/>
    <n v="47400"/>
    <s v="Flexible duxt 8&quot;"/>
  </r>
  <r>
    <x v="949"/>
    <x v="93"/>
    <x v="5"/>
    <s v="19775"/>
    <n v="192500"/>
    <m/>
    <n v="192500"/>
    <m/>
  </r>
  <r>
    <x v="950"/>
    <x v="91"/>
    <x v="13"/>
    <s v="28"/>
    <n v="49840"/>
    <m/>
    <n v="49840"/>
    <m/>
  </r>
  <r>
    <x v="950"/>
    <x v="93"/>
    <x v="13"/>
    <s v="29"/>
    <n v="896955"/>
    <m/>
    <n v="896955"/>
    <m/>
  </r>
  <r>
    <x v="950"/>
    <x v="94"/>
    <x v="13"/>
    <s v="30"/>
    <n v="61163"/>
    <m/>
    <n v="61163"/>
    <m/>
  </r>
  <r>
    <x v="950"/>
    <x v="87"/>
    <x v="13"/>
    <s v="31"/>
    <n v="34650"/>
    <m/>
    <n v="34650"/>
    <m/>
  </r>
  <r>
    <x v="950"/>
    <x v="93"/>
    <x v="13"/>
    <s v="32"/>
    <n v="44740"/>
    <m/>
    <n v="44740"/>
    <m/>
  </r>
  <r>
    <x v="950"/>
    <x v="91"/>
    <x v="13"/>
    <s v="33"/>
    <n v="16940"/>
    <m/>
    <n v="16940"/>
    <m/>
  </r>
  <r>
    <x v="950"/>
    <x v="95"/>
    <x v="13"/>
    <s v="34"/>
    <n v="610464"/>
    <m/>
    <n v="610464"/>
    <m/>
  </r>
  <r>
    <x v="951"/>
    <x v="93"/>
    <x v="20"/>
    <s v="26"/>
    <n v="17197"/>
    <m/>
    <n v="17197"/>
    <m/>
  </r>
  <r>
    <x v="952"/>
    <x v="93"/>
    <x v="20"/>
    <s v="27"/>
    <n v="90521"/>
    <m/>
    <n v="90521"/>
    <m/>
  </r>
  <r>
    <x v="952"/>
    <x v="87"/>
    <x v="18"/>
    <s v="10"/>
    <n v="189000"/>
    <m/>
    <n v="189000"/>
    <m/>
  </r>
  <r>
    <x v="953"/>
    <x v="93"/>
    <x v="9"/>
    <s v="39"/>
    <n v="857600"/>
    <m/>
    <n v="857600"/>
    <m/>
  </r>
  <r>
    <x v="954"/>
    <x v="91"/>
    <x v="5"/>
    <m/>
    <m/>
    <n v="6915"/>
    <n v="-6915"/>
    <s v="Rec from Total in acc of JPMC IPC-52 (Chq amount 1,063,674 against GST invoice)"/>
  </r>
  <r>
    <x v="954"/>
    <x v="92"/>
    <x v="5"/>
    <m/>
    <m/>
    <n v="15069"/>
    <n v="-15069"/>
    <m/>
  </r>
  <r>
    <x v="954"/>
    <x v="93"/>
    <x v="5"/>
    <m/>
    <m/>
    <n v="848690"/>
    <n v="-848690"/>
    <m/>
  </r>
  <r>
    <x v="954"/>
    <x v="94"/>
    <x v="5"/>
    <m/>
    <m/>
    <n v="78000"/>
    <n v="-78000"/>
    <m/>
  </r>
  <r>
    <x v="954"/>
    <x v="95"/>
    <x v="5"/>
    <m/>
    <m/>
    <n v="115000"/>
    <n v="-115000"/>
    <m/>
  </r>
  <r>
    <x v="954"/>
    <x v="25"/>
    <x v="10"/>
    <m/>
    <m/>
    <n v="28596"/>
    <n v="-28596"/>
    <s v="adjust"/>
  </r>
  <r>
    <x v="954"/>
    <x v="96"/>
    <x v="1"/>
    <s v="678"/>
    <n v="20500"/>
    <m/>
    <n v="20500"/>
    <s v="3500 gram glue"/>
  </r>
  <r>
    <x v="955"/>
    <x v="95"/>
    <x v="0"/>
    <m/>
    <m/>
    <n v="411820"/>
    <n v="-411820"/>
    <s v="Online transfer by Al madina via Ethnic payment rec on 13- mar 23 (total transfer amount is 575,980)"/>
  </r>
  <r>
    <x v="955"/>
    <x v="94"/>
    <x v="0"/>
    <m/>
    <m/>
    <n v="164160"/>
    <n v="-164160"/>
    <m/>
  </r>
  <r>
    <x v="955"/>
    <x v="96"/>
    <x v="0"/>
    <s v="392"/>
    <n v="670000"/>
    <m/>
    <n v="670000"/>
    <m/>
  </r>
  <r>
    <x v="955"/>
    <x v="95"/>
    <x v="0"/>
    <s v="393"/>
    <n v="117520"/>
    <m/>
    <n v="117520"/>
    <m/>
  </r>
  <r>
    <x v="956"/>
    <x v="93"/>
    <x v="20"/>
    <s v="28"/>
    <n v="20020"/>
    <m/>
    <n v="20020"/>
    <m/>
  </r>
  <r>
    <x v="957"/>
    <x v="87"/>
    <x v="20"/>
    <m/>
    <m/>
    <n v="128554"/>
    <n v="-128554"/>
    <s v="adjusted with Al Madina Steel traders"/>
  </r>
  <r>
    <x v="957"/>
    <x v="93"/>
    <x v="20"/>
    <m/>
    <m/>
    <n v="371446"/>
    <n v="-371446"/>
    <m/>
  </r>
  <r>
    <x v="957"/>
    <x v="95"/>
    <x v="1"/>
    <s v="687"/>
    <n v="9690"/>
    <m/>
    <n v="9690"/>
    <m/>
  </r>
  <r>
    <x v="958"/>
    <x v="87"/>
    <x v="18"/>
    <m/>
    <m/>
    <n v="100000"/>
    <n v="-100000"/>
    <s v="paid in labour against bill # 10"/>
  </r>
  <r>
    <x v="958"/>
    <x v="96"/>
    <x v="0"/>
    <s v="396"/>
    <n v="193000"/>
    <m/>
    <n v="193000"/>
    <s v="Gate valve 8&quot; N/R GALA 2 nos"/>
  </r>
  <r>
    <x v="958"/>
    <x v="93"/>
    <x v="20"/>
    <s v="29"/>
    <n v="331988"/>
    <m/>
    <n v="331988"/>
    <m/>
  </r>
  <r>
    <x v="958"/>
    <x v="93"/>
    <x v="20"/>
    <s v="30"/>
    <n v="59781"/>
    <m/>
    <n v="59781"/>
    <m/>
  </r>
  <r>
    <x v="959"/>
    <x v="95"/>
    <x v="1"/>
    <s v="691"/>
    <n v="4248"/>
    <m/>
    <n v="4248"/>
    <m/>
  </r>
  <r>
    <x v="959"/>
    <x v="96"/>
    <x v="1"/>
    <s v="692"/>
    <n v="20500"/>
    <m/>
    <n v="20500"/>
    <s v="Glue"/>
  </r>
  <r>
    <x v="959"/>
    <x v="96"/>
    <x v="1"/>
    <m/>
    <n v="6936"/>
    <m/>
    <n v="6936"/>
    <s v="adjustment"/>
  </r>
  <r>
    <x v="960"/>
    <x v="97"/>
    <x v="3"/>
    <s v="4626"/>
    <n v="3303"/>
    <m/>
    <n v="3303"/>
    <s v="PVC conduits"/>
  </r>
  <r>
    <x v="960"/>
    <x v="94"/>
    <x v="3"/>
    <s v="4627"/>
    <n v="2773"/>
    <m/>
    <n v="2773"/>
    <s v="PVC conduits"/>
  </r>
  <r>
    <x v="961"/>
    <x v="95"/>
    <x v="14"/>
    <s v="1490"/>
    <n v="11200"/>
    <m/>
    <n v="11200"/>
    <s v="16 pcs 3&quot; tapes"/>
  </r>
  <r>
    <x v="962"/>
    <x v="97"/>
    <x v="20"/>
    <s v="31"/>
    <n v="28496"/>
    <m/>
    <n v="28496"/>
    <s v="Combined bill"/>
  </r>
  <r>
    <x v="962"/>
    <x v="72"/>
    <x v="20"/>
    <m/>
    <n v="8745"/>
    <m/>
    <n v="8745"/>
    <m/>
  </r>
  <r>
    <x v="963"/>
    <x v="93"/>
    <x v="5"/>
    <s v="19891"/>
    <n v="115000"/>
    <m/>
    <n v="115000"/>
    <s v="10 roll glass wool insulation"/>
  </r>
  <r>
    <x v="964"/>
    <x v="95"/>
    <x v="20"/>
    <s v="32"/>
    <n v="17015"/>
    <m/>
    <n v="17015"/>
    <m/>
  </r>
  <r>
    <x v="964"/>
    <x v="93"/>
    <x v="20"/>
    <s v="33"/>
    <n v="119264"/>
    <m/>
    <n v="119264"/>
    <m/>
  </r>
  <r>
    <x v="965"/>
    <x v="95"/>
    <x v="15"/>
    <s v="826"/>
    <n v="20000"/>
    <m/>
    <n v="20000"/>
    <s v="Combined bill"/>
  </r>
  <r>
    <x v="965"/>
    <x v="87"/>
    <x v="15"/>
    <m/>
    <n v="15000"/>
    <m/>
    <n v="15000"/>
    <m/>
  </r>
  <r>
    <x v="965"/>
    <x v="95"/>
    <x v="15"/>
    <s v="829"/>
    <n v="5000"/>
    <m/>
    <n v="5000"/>
    <m/>
  </r>
  <r>
    <x v="965"/>
    <x v="87"/>
    <x v="1"/>
    <s v="715"/>
    <n v="67000"/>
    <m/>
    <n v="67000"/>
    <s v="2&quot; insulation"/>
  </r>
  <r>
    <x v="966"/>
    <x v="87"/>
    <x v="15"/>
    <m/>
    <m/>
    <n v="94550"/>
    <n v="-94550"/>
    <s v="cash paid = 150000"/>
  </r>
  <r>
    <x v="966"/>
    <x v="90"/>
    <x v="15"/>
    <m/>
    <m/>
    <n v="20624"/>
    <n v="-20624"/>
    <m/>
  </r>
  <r>
    <x v="966"/>
    <x v="95"/>
    <x v="15"/>
    <m/>
    <m/>
    <n v="34826"/>
    <n v="-34826"/>
    <m/>
  </r>
  <r>
    <x v="967"/>
    <x v="98"/>
    <x v="20"/>
    <s v="34"/>
    <n v="93883"/>
    <m/>
    <n v="93883"/>
    <m/>
  </r>
  <r>
    <x v="967"/>
    <x v="93"/>
    <x v="20"/>
    <m/>
    <m/>
    <n v="300000"/>
    <n v="-300000"/>
    <s v="adjusted with Al Madina Steel traders"/>
  </r>
  <r>
    <x v="967"/>
    <x v="90"/>
    <x v="14"/>
    <m/>
    <m/>
    <n v="800000"/>
    <n v="-800000"/>
    <s v="2 cheques paid via al madina"/>
  </r>
  <r>
    <x v="968"/>
    <x v="93"/>
    <x v="9"/>
    <m/>
    <m/>
    <n v="208180"/>
    <n v="-208180"/>
    <s v="paid via Al madina steel "/>
  </r>
  <r>
    <x v="968"/>
    <x v="76"/>
    <x v="9"/>
    <m/>
    <m/>
    <n v="40900"/>
    <n v="-40900"/>
    <m/>
  </r>
  <r>
    <x v="968"/>
    <x v="75"/>
    <x v="9"/>
    <m/>
    <m/>
    <n v="5400"/>
    <n v="-5400"/>
    <m/>
  </r>
  <r>
    <x v="968"/>
    <x v="93"/>
    <x v="9"/>
    <m/>
    <m/>
    <n v="40520"/>
    <n v="-40520"/>
    <m/>
  </r>
  <r>
    <x v="969"/>
    <x v="99"/>
    <x v="3"/>
    <s v="4893"/>
    <n v="64935"/>
    <m/>
    <n v="64935"/>
    <s v="UPVC pipe and fittings"/>
  </r>
  <r>
    <x v="969"/>
    <x v="87"/>
    <x v="1"/>
    <m/>
    <m/>
    <n v="67000"/>
    <n v="-67000"/>
    <s v="paid via Al madina steel "/>
  </r>
  <r>
    <x v="969"/>
    <x v="95"/>
    <x v="1"/>
    <m/>
    <m/>
    <n v="18365"/>
    <n v="-18365"/>
    <m/>
  </r>
  <r>
    <x v="969"/>
    <x v="96"/>
    <x v="1"/>
    <m/>
    <m/>
    <n v="20500"/>
    <n v="-20500"/>
    <m/>
  </r>
  <r>
    <x v="969"/>
    <x v="96"/>
    <x v="1"/>
    <m/>
    <m/>
    <n v="4135"/>
    <n v="-4135"/>
    <m/>
  </r>
  <r>
    <x v="970"/>
    <x v="100"/>
    <x v="5"/>
    <s v="19932"/>
    <n v="15800"/>
    <m/>
    <n v="15800"/>
    <s v="Flexible duct 8&quot; 2 carton"/>
  </r>
  <r>
    <x v="970"/>
    <x v="91"/>
    <x v="13"/>
    <m/>
    <m/>
    <n v="300000"/>
    <n v="-300000"/>
    <s v="Chq given Via al madina steel"/>
  </r>
  <r>
    <x v="970"/>
    <x v="93"/>
    <x v="5"/>
    <m/>
    <m/>
    <n v="500000"/>
    <n v="-500000"/>
    <s v="CHQ received from NEC in acc of Tri fit "/>
  </r>
  <r>
    <x v="971"/>
    <x v="72"/>
    <x v="20"/>
    <m/>
    <m/>
    <n v="8745"/>
    <n v="-8745"/>
    <s v="Online transfer by bilal bhai thru konnect transfer amount is 200,000"/>
  </r>
  <r>
    <x v="971"/>
    <x v="93"/>
    <x v="20"/>
    <m/>
    <m/>
    <n v="51861"/>
    <n v="-51861"/>
    <m/>
  </r>
  <r>
    <x v="971"/>
    <x v="95"/>
    <x v="20"/>
    <m/>
    <m/>
    <n v="17015"/>
    <n v="-17015"/>
    <m/>
  </r>
  <r>
    <x v="971"/>
    <x v="97"/>
    <x v="20"/>
    <m/>
    <m/>
    <n v="28496"/>
    <n v="-28496"/>
    <m/>
  </r>
  <r>
    <x v="971"/>
    <x v="98"/>
    <x v="20"/>
    <m/>
    <m/>
    <n v="93883"/>
    <n v="-93883"/>
    <m/>
  </r>
  <r>
    <x v="972"/>
    <x v="95"/>
    <x v="15"/>
    <s v="836"/>
    <n v="150000"/>
    <m/>
    <n v="150000"/>
    <s v="verified bill"/>
  </r>
  <r>
    <x v="973"/>
    <x v="93"/>
    <x v="20"/>
    <s v="35"/>
    <n v="410656"/>
    <m/>
    <n v="410656"/>
    <m/>
  </r>
  <r>
    <x v="973"/>
    <x v="100"/>
    <x v="20"/>
    <s v="36"/>
    <n v="315888"/>
    <m/>
    <n v="315888"/>
    <m/>
  </r>
  <r>
    <x v="973"/>
    <x v="100"/>
    <x v="20"/>
    <m/>
    <m/>
    <n v="315888"/>
    <n v="-315888"/>
    <s v="Sheet adjustment from al madian Total = 763,500"/>
  </r>
  <r>
    <x v="973"/>
    <x v="93"/>
    <x v="20"/>
    <m/>
    <m/>
    <n v="447612"/>
    <n v="-447612"/>
    <m/>
  </r>
  <r>
    <x v="974"/>
    <x v="93"/>
    <x v="5"/>
    <s v="19945"/>
    <n v="115500"/>
    <m/>
    <n v="115500"/>
    <s v="38mm thick 6 rolls"/>
  </r>
  <r>
    <x v="975"/>
    <x v="90"/>
    <x v="14"/>
    <m/>
    <m/>
    <n v="441500"/>
    <n v="-441500"/>
    <s v="Chq received from AL madina"/>
  </r>
  <r>
    <x v="975"/>
    <x v="93"/>
    <x v="20"/>
    <s v="37"/>
    <n v="116547"/>
    <m/>
    <n v="116547"/>
    <m/>
  </r>
  <r>
    <x v="975"/>
    <x v="100"/>
    <x v="20"/>
    <s v="38"/>
    <n v="268519"/>
    <m/>
    <n v="268519"/>
    <m/>
  </r>
  <r>
    <x v="975"/>
    <x v="100"/>
    <x v="14"/>
    <s v="1515"/>
    <n v="441068"/>
    <m/>
    <n v="441068"/>
    <s v="XLPE N Clad 33 sheets &amp; 3&quot; Diamond tapes 2 carton "/>
  </r>
  <r>
    <x v="976"/>
    <x v="93"/>
    <x v="20"/>
    <m/>
    <m/>
    <n v="494907"/>
    <n v="-494907"/>
    <s v="Sheet adjustment from al madian Total = 730,000"/>
  </r>
  <r>
    <x v="976"/>
    <x v="100"/>
    <x v="20"/>
    <m/>
    <m/>
    <n v="235093"/>
    <n v="-235093"/>
    <m/>
  </r>
  <r>
    <x v="976"/>
    <x v="93"/>
    <x v="5"/>
    <s v="19955"/>
    <n v="95350"/>
    <m/>
    <n v="95350"/>
    <s v="Flexible duct 8&quot; 4 carton &amp; flexbile connector 75 mtr"/>
  </r>
  <r>
    <x v="977"/>
    <x v="98"/>
    <x v="1"/>
    <s v="767"/>
    <n v="125327"/>
    <m/>
    <n v="125327"/>
    <s v="aerofoam tube"/>
  </r>
  <r>
    <x v="978"/>
    <x v="93"/>
    <x v="20"/>
    <s v="39"/>
    <n v="72367"/>
    <m/>
    <n v="72367"/>
    <m/>
  </r>
  <r>
    <x v="978"/>
    <x v="101"/>
    <x v="20"/>
    <s v="40"/>
    <n v="1140427"/>
    <m/>
    <n v="1140427"/>
    <m/>
  </r>
  <r>
    <x v="978"/>
    <x v="100"/>
    <x v="20"/>
    <s v="41"/>
    <n v="354608"/>
    <m/>
    <n v="354608"/>
    <m/>
  </r>
  <r>
    <x v="978"/>
    <x v="98"/>
    <x v="3"/>
    <m/>
    <n v="5187"/>
    <m/>
    <n v="5187"/>
    <s v="PVC conduits"/>
  </r>
  <r>
    <x v="978"/>
    <x v="101"/>
    <x v="20"/>
    <m/>
    <m/>
    <n v="400000"/>
    <n v="-400000"/>
    <s v="Sheet adjustment from al madina"/>
  </r>
  <r>
    <x v="979"/>
    <x v="87"/>
    <x v="18"/>
    <m/>
    <m/>
    <n v="89000"/>
    <n v="-89000"/>
    <s v="MCB chq 1940090991 final amount in bill # 10"/>
  </r>
  <r>
    <x v="979"/>
    <x v="96"/>
    <x v="1"/>
    <m/>
    <m/>
    <n v="23301"/>
    <n v="-23301"/>
    <s v="Online transfer by bilal bhai amount is 148,000"/>
  </r>
  <r>
    <x v="979"/>
    <x v="98"/>
    <x v="1"/>
    <m/>
    <m/>
    <n v="124699"/>
    <n v="-124699"/>
    <m/>
  </r>
  <r>
    <x v="979"/>
    <x v="95"/>
    <x v="0"/>
    <m/>
    <m/>
    <n v="380920"/>
    <n v="-380920"/>
    <s v="Online transfer by bilal bhai amount is 573,000"/>
  </r>
  <r>
    <x v="979"/>
    <x v="96"/>
    <x v="0"/>
    <m/>
    <m/>
    <n v="192080"/>
    <n v="-192080"/>
    <m/>
  </r>
  <r>
    <x v="979"/>
    <x v="96"/>
    <x v="0"/>
    <m/>
    <m/>
    <n v="920"/>
    <n v="-920"/>
    <s v="adjustment"/>
  </r>
  <r>
    <x v="979"/>
    <x v="93"/>
    <x v="15"/>
    <m/>
    <m/>
    <n v="25176"/>
    <n v="-25176"/>
    <s v="MCB 1940090992 4 bills paid against this cheque amount Rs 215761"/>
  </r>
  <r>
    <x v="979"/>
    <x v="95"/>
    <x v="15"/>
    <m/>
    <m/>
    <n v="150000"/>
    <n v="-150000"/>
    <m/>
  </r>
  <r>
    <x v="979"/>
    <x v="95"/>
    <x v="15"/>
    <m/>
    <m/>
    <n v="35000"/>
    <n v="-35000"/>
    <m/>
  </r>
  <r>
    <x v="979"/>
    <x v="95"/>
    <x v="15"/>
    <m/>
    <m/>
    <n v="5000"/>
    <n v="-5000"/>
    <m/>
  </r>
  <r>
    <x v="979"/>
    <x v="96"/>
    <x v="13"/>
    <s v="35"/>
    <n v="164970"/>
    <m/>
    <n v="164970"/>
    <m/>
  </r>
  <r>
    <x v="979"/>
    <x v="98"/>
    <x v="3"/>
    <s v="5121"/>
    <n v="5187"/>
    <m/>
    <n v="5187"/>
    <m/>
  </r>
  <r>
    <x v="979"/>
    <x v="102"/>
    <x v="22"/>
    <m/>
    <m/>
    <n v="3563280"/>
    <n v="-3563280"/>
    <s v="Advance paid in Meezan bank deal (payment rec from IK in acc of Ethnic) 50 lac chq but condiser 45 lac 5 lac adjust in previous balance as decided"/>
  </r>
  <r>
    <x v="979"/>
    <x v="103"/>
    <x v="22"/>
    <m/>
    <m/>
    <n v="217052"/>
    <n v="-217052"/>
    <m/>
  </r>
  <r>
    <x v="979"/>
    <x v="104"/>
    <x v="22"/>
    <m/>
    <m/>
    <n v="234500"/>
    <n v="-234500"/>
    <m/>
  </r>
  <r>
    <x v="979"/>
    <x v="105"/>
    <x v="22"/>
    <m/>
    <m/>
    <n v="165590"/>
    <n v="-165590"/>
    <m/>
  </r>
  <r>
    <x v="979"/>
    <x v="106"/>
    <x v="22"/>
    <m/>
    <m/>
    <n v="99840"/>
    <n v="-99840"/>
    <m/>
  </r>
  <r>
    <x v="979"/>
    <x v="107"/>
    <x v="22"/>
    <m/>
    <m/>
    <n v="18160"/>
    <n v="-18160"/>
    <m/>
  </r>
  <r>
    <x v="979"/>
    <x v="108"/>
    <x v="22"/>
    <m/>
    <m/>
    <n v="5731"/>
    <n v="-5731"/>
    <m/>
  </r>
  <r>
    <x v="979"/>
    <x v="109"/>
    <x v="22"/>
    <m/>
    <m/>
    <n v="82500"/>
    <n v="-82500"/>
    <m/>
  </r>
  <r>
    <x v="979"/>
    <x v="5"/>
    <x v="22"/>
    <m/>
    <m/>
    <n v="113347"/>
    <n v="-113347"/>
    <m/>
  </r>
  <r>
    <x v="980"/>
    <x v="98"/>
    <x v="1"/>
    <s v="786"/>
    <n v="38050"/>
    <m/>
    <n v="38050"/>
    <s v="aerofoam tube"/>
  </r>
  <r>
    <x v="981"/>
    <x v="100"/>
    <x v="14"/>
    <s v="1528"/>
    <n v="77980"/>
    <m/>
    <n v="77980"/>
    <s v="N clad sheet + tapes"/>
  </r>
  <r>
    <x v="982"/>
    <x v="101"/>
    <x v="20"/>
    <s v="42"/>
    <n v="345118"/>
    <m/>
    <n v="345118"/>
    <m/>
  </r>
  <r>
    <x v="982"/>
    <x v="100"/>
    <x v="20"/>
    <s v="43"/>
    <n v="354772"/>
    <m/>
    <n v="354772"/>
    <m/>
  </r>
  <r>
    <x v="982"/>
    <x v="100"/>
    <x v="15"/>
    <s v="839"/>
    <n v="37560"/>
    <m/>
    <n v="37560"/>
    <m/>
  </r>
  <r>
    <x v="983"/>
    <x v="110"/>
    <x v="5"/>
    <s v="4465"/>
    <n v="15800"/>
    <m/>
    <n v="15800"/>
    <s v="super loan"/>
  </r>
  <r>
    <x v="983"/>
    <x v="101"/>
    <x v="15"/>
    <m/>
    <m/>
    <n v="250000"/>
    <n v="-250000"/>
    <s v="Online transfer by bilal bhai (advance to raeees brothers)"/>
  </r>
  <r>
    <x v="983"/>
    <x v="101"/>
    <x v="15"/>
    <m/>
    <m/>
    <n v="250000"/>
    <n v="-250000"/>
    <s v="Online transfer by bilal bhai (advance to raeees brothers)"/>
  </r>
  <r>
    <x v="984"/>
    <x v="101"/>
    <x v="20"/>
    <m/>
    <m/>
    <n v="250000"/>
    <n v="-250000"/>
    <s v="MCB chq 1940091002"/>
  </r>
  <r>
    <x v="984"/>
    <x v="101"/>
    <x v="20"/>
    <m/>
    <m/>
    <n v="250000"/>
    <n v="-250000"/>
    <s v="MCB chq 1940091002"/>
  </r>
  <r>
    <x v="984"/>
    <x v="100"/>
    <x v="20"/>
    <m/>
    <m/>
    <n v="250000"/>
    <n v="-250000"/>
    <s v="Given by bilal bhai"/>
  </r>
  <r>
    <x v="984"/>
    <x v="100"/>
    <x v="20"/>
    <m/>
    <m/>
    <n v="250000"/>
    <n v="-250000"/>
    <s v="Given by bilal bhai"/>
  </r>
  <r>
    <x v="984"/>
    <x v="101"/>
    <x v="20"/>
    <s v="44"/>
    <n v="308829"/>
    <m/>
    <n v="308829"/>
    <m/>
  </r>
  <r>
    <x v="984"/>
    <x v="100"/>
    <x v="20"/>
    <s v="45"/>
    <n v="92285"/>
    <m/>
    <n v="92285"/>
    <m/>
  </r>
  <r>
    <x v="984"/>
    <x v="100"/>
    <x v="5"/>
    <s v="4473"/>
    <n v="6900"/>
    <m/>
    <n v="6900"/>
    <s v="rock wool"/>
  </r>
  <r>
    <x v="985"/>
    <x v="100"/>
    <x v="14"/>
    <s v="1534"/>
    <n v="51648"/>
    <m/>
    <n v="51648"/>
    <s v="go flex xlpe foam"/>
  </r>
  <r>
    <x v="985"/>
    <x v="110"/>
    <x v="7"/>
    <m/>
    <n v="12591"/>
    <m/>
    <n v="12591"/>
    <m/>
  </r>
  <r>
    <x v="986"/>
    <x v="98"/>
    <x v="1"/>
    <s v="836"/>
    <n v="9004"/>
    <m/>
    <n v="9004"/>
    <m/>
  </r>
  <r>
    <x v="987"/>
    <x v="101"/>
    <x v="20"/>
    <s v="46"/>
    <n v="329527"/>
    <m/>
    <n v="329527"/>
    <m/>
  </r>
  <r>
    <x v="987"/>
    <x v="100"/>
    <x v="20"/>
    <s v="47"/>
    <n v="154261"/>
    <m/>
    <n v="154261"/>
    <m/>
  </r>
  <r>
    <x v="987"/>
    <x v="110"/>
    <x v="7"/>
    <m/>
    <n v="873"/>
    <m/>
    <n v="873"/>
    <m/>
  </r>
  <r>
    <x v="987"/>
    <x v="98"/>
    <x v="1"/>
    <s v="848"/>
    <n v="7880"/>
    <m/>
    <n v="7880"/>
    <m/>
  </r>
  <r>
    <x v="988"/>
    <x v="101"/>
    <x v="20"/>
    <s v="48"/>
    <n v="334037"/>
    <m/>
    <n v="334037"/>
    <m/>
  </r>
  <r>
    <x v="988"/>
    <x v="98"/>
    <x v="3"/>
    <s v="5348"/>
    <n v="2537"/>
    <m/>
    <n v="2537"/>
    <m/>
  </r>
  <r>
    <x v="989"/>
    <x v="100"/>
    <x v="14"/>
    <s v="1548"/>
    <n v="10200"/>
    <m/>
    <n v="10200"/>
    <s v="2&quot; tapes"/>
  </r>
  <r>
    <x v="989"/>
    <x v="102"/>
    <x v="22"/>
    <m/>
    <m/>
    <n v="3000000"/>
    <n v="-3000000"/>
    <s v="Advance paid (rec from IK on 26 may 23)"/>
  </r>
  <r>
    <x v="990"/>
    <x v="91"/>
    <x v="13"/>
    <m/>
    <m/>
    <n v="536250"/>
    <n v="-536250"/>
    <s v="Against Sheet"/>
  </r>
  <r>
    <x v="990"/>
    <x v="25"/>
    <x v="13"/>
    <m/>
    <m/>
    <n v="148548"/>
    <n v="-148548"/>
    <s v="Received against GI sheet sold from the JPMC Site Total sheet amount is 671,550"/>
  </r>
  <r>
    <x v="990"/>
    <x v="87"/>
    <x v="13"/>
    <m/>
    <m/>
    <n v="141655"/>
    <n v="-141655"/>
    <m/>
  </r>
  <r>
    <x v="990"/>
    <x v="90"/>
    <x v="13"/>
    <m/>
    <m/>
    <n v="27798"/>
    <n v="-27798"/>
    <m/>
  </r>
  <r>
    <x v="990"/>
    <x v="91"/>
    <x v="13"/>
    <m/>
    <m/>
    <n v="65342"/>
    <n v="-65342"/>
    <m/>
  </r>
  <r>
    <x v="990"/>
    <x v="93"/>
    <x v="13"/>
    <m/>
    <m/>
    <n v="188071"/>
    <n v="-188071"/>
    <m/>
  </r>
  <r>
    <x v="990"/>
    <x v="94"/>
    <x v="13"/>
    <m/>
    <m/>
    <n v="3983"/>
    <n v="-3983"/>
    <m/>
  </r>
  <r>
    <x v="990"/>
    <x v="95"/>
    <x v="13"/>
    <m/>
    <m/>
    <n v="48076"/>
    <n v="-48076"/>
    <m/>
  </r>
  <r>
    <x v="990"/>
    <x v="96"/>
    <x v="13"/>
    <m/>
    <m/>
    <n v="48076"/>
    <n v="-48076"/>
    <m/>
  </r>
  <r>
    <x v="990"/>
    <x v="91"/>
    <x v="13"/>
    <s v="36"/>
    <n v="100000"/>
    <m/>
    <n v="100000"/>
    <m/>
  </r>
  <r>
    <x v="990"/>
    <x v="110"/>
    <x v="7"/>
    <m/>
    <n v="31540"/>
    <m/>
    <n v="31540"/>
    <m/>
  </r>
  <r>
    <x v="988"/>
    <x v="90"/>
    <x v="13"/>
    <m/>
    <m/>
    <n v="200000"/>
    <n v="-200000"/>
    <s v="MCB chq 1940091009"/>
  </r>
  <r>
    <x v="988"/>
    <x v="91"/>
    <x v="13"/>
    <m/>
    <m/>
    <n v="50000"/>
    <n v="-50000"/>
    <s v="MCB chq 1940091010"/>
  </r>
  <r>
    <x v="991"/>
    <x v="101"/>
    <x v="5"/>
    <s v="10020"/>
    <n v="44000"/>
    <m/>
    <n v="44000"/>
    <s v="flexible duct connector"/>
  </r>
  <r>
    <x v="989"/>
    <x v="100"/>
    <x v="5"/>
    <s v="4488"/>
    <n v="9200"/>
    <m/>
    <n v="9200"/>
    <s v="rock wool"/>
  </r>
  <r>
    <x v="992"/>
    <x v="101"/>
    <x v="20"/>
    <s v="49"/>
    <n v="114314"/>
    <m/>
    <n v="114314"/>
    <m/>
  </r>
  <r>
    <x v="992"/>
    <x v="100"/>
    <x v="15"/>
    <s v="847"/>
    <n v="68320"/>
    <m/>
    <n v="68320"/>
    <m/>
  </r>
  <r>
    <x v="992"/>
    <x v="100"/>
    <x v="15"/>
    <s v="849"/>
    <n v="75000"/>
    <m/>
    <n v="75000"/>
    <m/>
  </r>
  <r>
    <x v="992"/>
    <x v="93"/>
    <x v="15"/>
    <s v="845"/>
    <n v="217008"/>
    <m/>
    <n v="217008"/>
    <m/>
  </r>
  <r>
    <x v="992"/>
    <x v="99"/>
    <x v="15"/>
    <s v="846"/>
    <n v="15000"/>
    <m/>
    <n v="15000"/>
    <m/>
  </r>
  <r>
    <x v="992"/>
    <x v="95"/>
    <x v="15"/>
    <s v="848"/>
    <n v="15600"/>
    <m/>
    <n v="15600"/>
    <m/>
  </r>
  <r>
    <x v="992"/>
    <x v="95"/>
    <x v="15"/>
    <s v="844"/>
    <n v="960"/>
    <m/>
    <n v="960"/>
    <m/>
  </r>
  <r>
    <x v="992"/>
    <x v="106"/>
    <x v="1"/>
    <s v="872"/>
    <n v="7092"/>
    <m/>
    <n v="7092"/>
    <m/>
  </r>
  <r>
    <x v="993"/>
    <x v="87"/>
    <x v="19"/>
    <m/>
    <m/>
    <n v="1500000"/>
    <n v="-1500000"/>
    <s v="(rec from IK on 26 may 23)"/>
  </r>
  <r>
    <x v="993"/>
    <x v="93"/>
    <x v="5"/>
    <m/>
    <m/>
    <n v="600000"/>
    <n v="-600000"/>
    <s v="(rec from IK on 26 may 23)"/>
  </r>
  <r>
    <x v="993"/>
    <x v="100"/>
    <x v="5"/>
    <s v="4495"/>
    <n v="4600"/>
    <m/>
    <n v="4600"/>
    <s v="rock wool"/>
  </r>
  <r>
    <x v="993"/>
    <x v="101"/>
    <x v="0"/>
    <s v="426"/>
    <n v="1849080"/>
    <m/>
    <n v="1849080"/>
    <s v="MS pipe"/>
  </r>
  <r>
    <x v="993"/>
    <x v="100"/>
    <x v="14"/>
    <s v="1523"/>
    <n v="32000"/>
    <m/>
    <n v="32000"/>
    <s v="3&quot; tapes"/>
  </r>
  <r>
    <x v="993"/>
    <x v="106"/>
    <x v="14"/>
    <s v="1549"/>
    <n v="25630"/>
    <m/>
    <n v="25630"/>
    <s v="NBR tube"/>
  </r>
  <r>
    <x v="993"/>
    <x v="100"/>
    <x v="20"/>
    <s v="50"/>
    <n v="197917"/>
    <m/>
    <n v="197917"/>
    <m/>
  </r>
  <r>
    <x v="990"/>
    <x v="88"/>
    <x v="20"/>
    <s v="51"/>
    <n v="69785"/>
    <m/>
    <n v="69785"/>
    <m/>
  </r>
  <r>
    <x v="990"/>
    <x v="93"/>
    <x v="20"/>
    <s v="52"/>
    <n v="44259"/>
    <m/>
    <n v="44259"/>
    <m/>
  </r>
  <r>
    <x v="990"/>
    <x v="100"/>
    <x v="20"/>
    <s v="53"/>
    <n v="63065"/>
    <m/>
    <n v="63065"/>
    <m/>
  </r>
  <r>
    <x v="994"/>
    <x v="100"/>
    <x v="5"/>
    <s v="4500"/>
    <n v="11500"/>
    <m/>
    <n v="11500"/>
    <s v="rock wool"/>
  </r>
  <r>
    <x v="990"/>
    <x v="101"/>
    <x v="20"/>
    <m/>
    <m/>
    <n v="500000"/>
    <n v="-500000"/>
    <s v="MCB chq 1940091015"/>
  </r>
  <r>
    <x v="995"/>
    <x v="110"/>
    <x v="7"/>
    <m/>
    <n v="4215"/>
    <m/>
    <n v="4215"/>
    <m/>
  </r>
  <r>
    <x v="995"/>
    <x v="101"/>
    <x v="20"/>
    <s v="54"/>
    <n v="272244"/>
    <m/>
    <n v="272244"/>
    <m/>
  </r>
  <r>
    <x v="995"/>
    <x v="98"/>
    <x v="20"/>
    <s v="55"/>
    <n v="101572"/>
    <m/>
    <n v="101572"/>
    <m/>
  </r>
  <r>
    <x v="996"/>
    <x v="100"/>
    <x v="5"/>
    <s v="4507"/>
    <n v="16100"/>
    <m/>
    <n v="16100"/>
    <m/>
  </r>
  <r>
    <x v="996"/>
    <x v="110"/>
    <x v="7"/>
    <m/>
    <n v="14792"/>
    <m/>
    <n v="14792"/>
    <m/>
  </r>
  <r>
    <x v="997"/>
    <x v="88"/>
    <x v="20"/>
    <s v="56"/>
    <n v="352684"/>
    <m/>
    <n v="352684"/>
    <m/>
  </r>
  <r>
    <x v="997"/>
    <x v="100"/>
    <x v="20"/>
    <s v="57"/>
    <n v="71932"/>
    <m/>
    <n v="71932"/>
    <m/>
  </r>
  <r>
    <x v="997"/>
    <x v="93"/>
    <x v="20"/>
    <s v="58"/>
    <n v="19825"/>
    <m/>
    <n v="19825"/>
    <m/>
  </r>
  <r>
    <x v="998"/>
    <x v="100"/>
    <x v="20"/>
    <s v="59"/>
    <n v="106851"/>
    <m/>
    <n v="106851"/>
    <m/>
  </r>
  <r>
    <x v="999"/>
    <x v="98"/>
    <x v="14"/>
    <s v="1563"/>
    <n v="59395"/>
    <m/>
    <n v="59395"/>
    <m/>
  </r>
  <r>
    <x v="999"/>
    <x v="93"/>
    <x v="9"/>
    <m/>
    <m/>
    <n v="200000"/>
    <n v="-200000"/>
    <s v="cash paid"/>
  </r>
  <r>
    <x v="999"/>
    <x v="101"/>
    <x v="0"/>
    <m/>
    <m/>
    <n v="1800000"/>
    <n v="-1800000"/>
    <s v="cash paid"/>
  </r>
  <r>
    <x v="1000"/>
    <x v="88"/>
    <x v="20"/>
    <s v="60"/>
    <n v="131823"/>
    <m/>
    <n v="131823"/>
    <m/>
  </r>
  <r>
    <x v="1000"/>
    <x v="110"/>
    <x v="7"/>
    <m/>
    <n v="10679"/>
    <m/>
    <n v="10679"/>
    <m/>
  </r>
  <r>
    <x v="1001"/>
    <x v="100"/>
    <x v="20"/>
    <s v="61"/>
    <n v="146079"/>
    <m/>
    <n v="146079"/>
    <m/>
  </r>
  <r>
    <x v="1001"/>
    <x v="93"/>
    <x v="20"/>
    <s v="62"/>
    <n v="201282"/>
    <m/>
    <n v="201282"/>
    <m/>
  </r>
  <r>
    <x v="1002"/>
    <x v="85"/>
    <x v="14"/>
    <m/>
    <m/>
    <n v="111043"/>
    <n v="-111043"/>
    <s v="Given cash through Al madina steel"/>
  </r>
  <r>
    <x v="1002"/>
    <x v="87"/>
    <x v="14"/>
    <m/>
    <m/>
    <n v="176124"/>
    <n v="-176124"/>
    <m/>
  </r>
  <r>
    <x v="1002"/>
    <x v="90"/>
    <x v="14"/>
    <m/>
    <m/>
    <n v="265939"/>
    <n v="-265939"/>
    <m/>
  </r>
  <r>
    <x v="1002"/>
    <x v="91"/>
    <x v="14"/>
    <m/>
    <m/>
    <n v="245863"/>
    <n v="-245863"/>
    <m/>
  </r>
  <r>
    <x v="1002"/>
    <x v="95"/>
    <x v="14"/>
    <m/>
    <m/>
    <n v="201031"/>
    <n v="-201031"/>
    <m/>
  </r>
  <r>
    <x v="1002"/>
    <x v="111"/>
    <x v="15"/>
    <m/>
    <m/>
    <n v="80000"/>
    <n v="-80000"/>
    <s v="MCB chq"/>
  </r>
  <r>
    <x v="1003"/>
    <x v="93"/>
    <x v="20"/>
    <s v="63"/>
    <n v="100747"/>
    <m/>
    <n v="100747"/>
    <m/>
  </r>
  <r>
    <x v="1003"/>
    <x v="101"/>
    <x v="20"/>
    <m/>
    <m/>
    <n v="1050000"/>
    <n v="-1050000"/>
    <s v="Given cash through Al madina steel"/>
  </r>
  <r>
    <x v="1003"/>
    <x v="100"/>
    <x v="20"/>
    <m/>
    <m/>
    <n v="100000"/>
    <n v="-100000"/>
    <m/>
  </r>
  <r>
    <x v="1003"/>
    <x v="93"/>
    <x v="20"/>
    <m/>
    <m/>
    <n v="350000"/>
    <n v="-350000"/>
    <m/>
  </r>
  <r>
    <x v="1004"/>
    <x v="110"/>
    <x v="1"/>
    <s v="991"/>
    <n v="23382"/>
    <m/>
    <n v="23382"/>
    <m/>
  </r>
  <r>
    <x v="1005"/>
    <x v="93"/>
    <x v="9"/>
    <m/>
    <m/>
    <n v="342000"/>
    <n v="-342000"/>
    <s v="Payment received from Al Madina Steel traders"/>
  </r>
  <r>
    <x v="1005"/>
    <x v="98"/>
    <x v="14"/>
    <s v="1577"/>
    <n v="94595"/>
    <m/>
    <n v="94595"/>
    <m/>
  </r>
  <r>
    <x v="1005"/>
    <x v="110"/>
    <x v="7"/>
    <m/>
    <n v="1177"/>
    <m/>
    <n v="1177"/>
    <m/>
  </r>
  <r>
    <x v="1006"/>
    <x v="93"/>
    <x v="20"/>
    <s v="64"/>
    <n v="72442"/>
    <m/>
    <n v="72442"/>
    <m/>
  </r>
  <r>
    <x v="1006"/>
    <x v="88"/>
    <x v="20"/>
    <s v="65"/>
    <n v="10332"/>
    <m/>
    <n v="10332"/>
    <m/>
  </r>
  <r>
    <x v="1006"/>
    <x v="110"/>
    <x v="22"/>
    <s v="1342"/>
    <n v="82924"/>
    <m/>
    <n v="82924"/>
    <m/>
  </r>
  <r>
    <x v="1007"/>
    <x v="98"/>
    <x v="14"/>
    <s v="1583"/>
    <n v="118790"/>
    <m/>
    <n v="118790"/>
    <m/>
  </r>
  <r>
    <x v="1008"/>
    <x v="110"/>
    <x v="3"/>
    <s v="5733"/>
    <n v="3287"/>
    <m/>
    <n v="3287"/>
    <m/>
  </r>
  <r>
    <x v="1008"/>
    <x v="96"/>
    <x v="0"/>
    <m/>
    <m/>
    <n v="670000"/>
    <n v="-670000"/>
    <s v="Chq given from Total (meezan advance) chq amount is 875,000"/>
  </r>
  <r>
    <x v="1008"/>
    <x v="101"/>
    <x v="0"/>
    <m/>
    <m/>
    <n v="49080"/>
    <n v="-49080"/>
    <m/>
  </r>
  <r>
    <x v="1008"/>
    <x v="112"/>
    <x v="0"/>
    <m/>
    <m/>
    <n v="151960"/>
    <n v="-151960"/>
    <m/>
  </r>
  <r>
    <x v="1008"/>
    <x v="108"/>
    <x v="0"/>
    <m/>
    <m/>
    <n v="3960"/>
    <n v="-3960"/>
    <m/>
  </r>
  <r>
    <x v="1008"/>
    <x v="106"/>
    <x v="1"/>
    <s v="1021"/>
    <n v="95762"/>
    <m/>
    <n v="95762"/>
    <m/>
  </r>
  <r>
    <x v="1008"/>
    <x v="106"/>
    <x v="3"/>
    <s v="5744"/>
    <n v="5855"/>
    <m/>
    <n v="5855"/>
    <m/>
  </r>
  <r>
    <x v="1008"/>
    <x v="98"/>
    <x v="20"/>
    <s v="66"/>
    <n v="194536"/>
    <m/>
    <n v="194536"/>
    <m/>
  </r>
  <r>
    <x v="1009"/>
    <x v="93"/>
    <x v="20"/>
    <s v="67"/>
    <n v="23532"/>
    <m/>
    <n v="23532"/>
    <m/>
  </r>
  <r>
    <x v="1009"/>
    <x v="110"/>
    <x v="3"/>
    <s v="5758"/>
    <n v="1786"/>
    <m/>
    <n v="1786"/>
    <m/>
  </r>
  <r>
    <x v="1009"/>
    <x v="102"/>
    <x v="22"/>
    <s v="1365"/>
    <m/>
    <m/>
    <n v="0"/>
    <m/>
  </r>
  <r>
    <x v="1009"/>
    <x v="106"/>
    <x v="22"/>
    <s v="1366"/>
    <n v="399840"/>
    <m/>
    <n v="399840"/>
    <m/>
  </r>
  <r>
    <x v="1009"/>
    <x v="106"/>
    <x v="1"/>
    <s v="1028"/>
    <n v="5187"/>
    <m/>
    <n v="5187"/>
    <m/>
  </r>
  <r>
    <x v="1009"/>
    <x v="110"/>
    <x v="1"/>
    <s v="1029"/>
    <n v="23382"/>
    <m/>
    <n v="23382"/>
    <m/>
  </r>
  <r>
    <x v="1009"/>
    <x v="98"/>
    <x v="1"/>
    <s v="1030"/>
    <n v="616374"/>
    <m/>
    <n v="616374"/>
    <m/>
  </r>
  <r>
    <x v="1009"/>
    <x v="102"/>
    <x v="22"/>
    <s v="1365"/>
    <n v="1523704"/>
    <m/>
    <n v="1523704"/>
    <m/>
  </r>
  <r>
    <x v="1009"/>
    <x v="98"/>
    <x v="1"/>
    <m/>
    <m/>
    <n v="55562"/>
    <n v="-55562"/>
    <s v="MCB chq 1949327577  Rs 181,798"/>
  </r>
  <r>
    <x v="1009"/>
    <x v="110"/>
    <x v="1"/>
    <m/>
    <m/>
    <n v="23382"/>
    <n v="-23382"/>
    <m/>
  </r>
  <r>
    <x v="1009"/>
    <x v="106"/>
    <x v="1"/>
    <m/>
    <m/>
    <n v="102854"/>
    <n v="-102854"/>
    <m/>
  </r>
  <r>
    <x v="1010"/>
    <x v="98"/>
    <x v="1"/>
    <m/>
    <m/>
    <n v="250000"/>
    <n v="-250000"/>
    <s v="Online transfer by BH"/>
  </r>
  <r>
    <x v="1010"/>
    <x v="98"/>
    <x v="1"/>
    <m/>
    <m/>
    <n v="250000"/>
    <n v="-250000"/>
    <s v="Online transfer by BH"/>
  </r>
  <r>
    <x v="1009"/>
    <x v="25"/>
    <x v="3"/>
    <m/>
    <m/>
    <n v="7264"/>
    <n v="-7264"/>
    <s v="Chq given from Al madina amount is 100,000"/>
  </r>
  <r>
    <x v="1009"/>
    <x v="77"/>
    <x v="3"/>
    <m/>
    <m/>
    <n v="1320"/>
    <n v="-1320"/>
    <m/>
  </r>
  <r>
    <x v="1009"/>
    <x v="94"/>
    <x v="3"/>
    <m/>
    <m/>
    <n v="2773"/>
    <n v="-2773"/>
    <m/>
  </r>
  <r>
    <x v="1009"/>
    <x v="98"/>
    <x v="3"/>
    <m/>
    <m/>
    <n v="12911"/>
    <n v="-12911"/>
    <m/>
  </r>
  <r>
    <x v="1009"/>
    <x v="97"/>
    <x v="3"/>
    <m/>
    <m/>
    <n v="3303"/>
    <n v="-3303"/>
    <m/>
  </r>
  <r>
    <x v="1009"/>
    <x v="99"/>
    <x v="3"/>
    <m/>
    <m/>
    <n v="64935"/>
    <n v="-64935"/>
    <m/>
  </r>
  <r>
    <x v="1009"/>
    <x v="110"/>
    <x v="3"/>
    <m/>
    <m/>
    <n v="5073"/>
    <n v="-5073"/>
    <m/>
  </r>
  <r>
    <x v="1009"/>
    <x v="106"/>
    <x v="3"/>
    <m/>
    <m/>
    <n v="2239"/>
    <n v="-2239"/>
    <m/>
  </r>
  <r>
    <x v="1010"/>
    <x v="110"/>
    <x v="22"/>
    <s v="1374"/>
    <n v="48749"/>
    <m/>
    <n v="48749"/>
    <s v="FOAM PIPE"/>
  </r>
  <r>
    <x v="1010"/>
    <x v="101"/>
    <x v="5"/>
    <s v="20063"/>
    <n v="22000"/>
    <m/>
    <n v="22000"/>
    <s v="flexible duct"/>
  </r>
  <r>
    <x v="1011"/>
    <x v="94"/>
    <x v="22"/>
    <s v="1392"/>
    <n v="214220"/>
    <m/>
    <n v="214220"/>
    <s v="MS PIPE"/>
  </r>
  <r>
    <x v="1011"/>
    <x v="100"/>
    <x v="20"/>
    <m/>
    <m/>
    <n v="500000"/>
    <n v="-500000"/>
    <s v="Given cash through Al madina steel"/>
  </r>
  <r>
    <x v="1011"/>
    <x v="101"/>
    <x v="20"/>
    <m/>
    <m/>
    <n v="500000"/>
    <n v="-500000"/>
    <m/>
  </r>
  <r>
    <x v="1012"/>
    <x v="93"/>
    <x v="9"/>
    <m/>
    <m/>
    <n v="200000"/>
    <n v="-200000"/>
    <s v="Payment given through Al madina steel"/>
  </r>
  <r>
    <x v="1012"/>
    <x v="94"/>
    <x v="22"/>
    <s v="1405"/>
    <n v="13500"/>
    <m/>
    <n v="13500"/>
    <s v="SPRINKLER"/>
  </r>
  <r>
    <x v="1013"/>
    <x v="112"/>
    <x v="0"/>
    <s v="444"/>
    <n v="151960"/>
    <m/>
    <n v="151960"/>
    <s v="Proteck pipe"/>
  </r>
  <r>
    <x v="1013"/>
    <x v="110"/>
    <x v="7"/>
    <m/>
    <m/>
    <n v="65000"/>
    <n v="-65000"/>
    <s v="Online transfer by BH"/>
  </r>
  <r>
    <x v="1014"/>
    <x v="95"/>
    <x v="13"/>
    <m/>
    <m/>
    <n v="169188"/>
    <n v="-169188"/>
    <s v="Cheque received from Al Madina Steel traders amount 300,000"/>
  </r>
  <r>
    <x v="1014"/>
    <x v="96"/>
    <x v="13"/>
    <m/>
    <m/>
    <n v="116894"/>
    <n v="-116894"/>
    <m/>
  </r>
  <r>
    <x v="1014"/>
    <x v="5"/>
    <x v="13"/>
    <m/>
    <m/>
    <n v="13918"/>
    <n v="-13918"/>
    <m/>
  </r>
  <r>
    <x v="1015"/>
    <x v="88"/>
    <x v="20"/>
    <s v="68"/>
    <n v="461789"/>
    <m/>
    <n v="461789"/>
    <m/>
  </r>
  <r>
    <x v="1011"/>
    <x v="88"/>
    <x v="14"/>
    <s v="1591"/>
    <n v="149260"/>
    <m/>
    <n v="149260"/>
    <s v="12 xlpe 2 rolls  48 nos tapes 2&quot;"/>
  </r>
  <r>
    <x v="1016"/>
    <x v="94"/>
    <x v="20"/>
    <s v="69"/>
    <n v="243048"/>
    <m/>
    <n v="243048"/>
    <m/>
  </r>
  <r>
    <x v="1016"/>
    <x v="101"/>
    <x v="20"/>
    <s v="70"/>
    <n v="113981"/>
    <m/>
    <n v="113981"/>
    <m/>
  </r>
  <r>
    <x v="1017"/>
    <x v="113"/>
    <x v="5"/>
    <s v="20090"/>
    <n v="13260"/>
    <m/>
    <n v="13260"/>
    <s v="super loan"/>
  </r>
  <r>
    <x v="1018"/>
    <x v="93"/>
    <x v="20"/>
    <m/>
    <m/>
    <n v="100000"/>
    <n v="-100000"/>
    <s v="Cheque received from Total in Meezan bank adv chqw amount 1,050,000"/>
  </r>
  <r>
    <x v="1018"/>
    <x v="94"/>
    <x v="20"/>
    <m/>
    <m/>
    <n v="200000"/>
    <n v="-200000"/>
    <m/>
  </r>
  <r>
    <x v="1018"/>
    <x v="98"/>
    <x v="20"/>
    <m/>
    <m/>
    <n v="270000"/>
    <n v="-270000"/>
    <m/>
  </r>
  <r>
    <x v="1018"/>
    <x v="100"/>
    <x v="20"/>
    <m/>
    <m/>
    <n v="430000"/>
    <n v="-430000"/>
    <m/>
  </r>
  <r>
    <x v="1018"/>
    <x v="88"/>
    <x v="20"/>
    <m/>
    <m/>
    <n v="50000"/>
    <n v="-50000"/>
    <m/>
  </r>
  <r>
    <x v="1019"/>
    <x v="113"/>
    <x v="3"/>
    <s v="0032"/>
    <n v="2840"/>
    <m/>
    <n v="2840"/>
    <m/>
  </r>
  <r>
    <x v="1020"/>
    <x v="88"/>
    <x v="20"/>
    <s v="71"/>
    <n v="333836"/>
    <m/>
    <n v="333836"/>
    <m/>
  </r>
  <r>
    <x v="1021"/>
    <x v="94"/>
    <x v="20"/>
    <s v="72"/>
    <n v="86737"/>
    <m/>
    <n v="86737"/>
    <m/>
  </r>
  <r>
    <x v="1021"/>
    <x v="112"/>
    <x v="20"/>
    <s v="73"/>
    <n v="164549"/>
    <m/>
    <n v="164549"/>
    <m/>
  </r>
  <r>
    <x v="1021"/>
    <x v="88"/>
    <x v="14"/>
    <s v="1598"/>
    <n v="35200"/>
    <m/>
    <n v="35200"/>
    <s v="32 nos 3&quot; tapes"/>
  </r>
  <r>
    <x v="1021"/>
    <x v="98"/>
    <x v="1"/>
    <s v="24"/>
    <n v="7580"/>
    <m/>
    <n v="7580"/>
    <m/>
  </r>
  <r>
    <x v="1022"/>
    <x v="113"/>
    <x v="5"/>
    <s v="20102"/>
    <n v="130000"/>
    <m/>
    <n v="130000"/>
    <s v="super loan"/>
  </r>
  <r>
    <x v="1022"/>
    <x v="94"/>
    <x v="5"/>
    <m/>
    <n v="115000"/>
    <m/>
    <n v="115000"/>
    <s v="afico 8 rolls"/>
  </r>
  <r>
    <x v="1023"/>
    <x v="101"/>
    <x v="20"/>
    <s v="74"/>
    <n v="407933"/>
    <m/>
    <n v="407933"/>
    <m/>
  </r>
  <r>
    <x v="1023"/>
    <x v="94"/>
    <x v="20"/>
    <s v="75"/>
    <n v="94569"/>
    <m/>
    <n v="94569"/>
    <m/>
  </r>
  <r>
    <x v="1024"/>
    <x v="110"/>
    <x v="7"/>
    <s v="194"/>
    <n v="7782"/>
    <m/>
    <n v="7782"/>
    <m/>
  </r>
  <r>
    <x v="1024"/>
    <x v="108"/>
    <x v="23"/>
    <m/>
    <n v="4226000"/>
    <m/>
    <n v="4226000"/>
    <m/>
  </r>
  <r>
    <x v="1024"/>
    <x v="108"/>
    <x v="23"/>
    <m/>
    <m/>
    <n v="975000"/>
    <n v="-975000"/>
    <s v="Adv chq given for VAVs (Chq rec from Total in Meezan Bank Adv)"/>
  </r>
  <r>
    <x v="1024"/>
    <x v="25"/>
    <x v="9"/>
    <m/>
    <m/>
    <n v="200000"/>
    <n v="-200000"/>
    <s v="Advance paid in OT area (Cash took from Al madina steel)"/>
  </r>
  <r>
    <x v="1025"/>
    <x v="88"/>
    <x v="20"/>
    <s v="76"/>
    <n v="306968"/>
    <m/>
    <n v="306968"/>
    <m/>
  </r>
  <r>
    <x v="1025"/>
    <x v="112"/>
    <x v="20"/>
    <s v="77"/>
    <n v="100000"/>
    <m/>
    <n v="100000"/>
    <m/>
  </r>
  <r>
    <x v="1025"/>
    <x v="98"/>
    <x v="20"/>
    <s v="78"/>
    <n v="140886"/>
    <m/>
    <n v="140886"/>
    <m/>
  </r>
  <r>
    <x v="1025"/>
    <x v="100"/>
    <x v="5"/>
    <m/>
    <m/>
    <n v="64100"/>
    <n v="-64100"/>
    <s v="Rec fron NEC in acc of Trifit chq amount is 450,000"/>
  </r>
  <r>
    <x v="1025"/>
    <x v="101"/>
    <x v="5"/>
    <m/>
    <m/>
    <n v="66000"/>
    <n v="-66000"/>
    <m/>
  </r>
  <r>
    <x v="1025"/>
    <x v="110"/>
    <x v="5"/>
    <m/>
    <m/>
    <n v="15800"/>
    <n v="-15800"/>
    <m/>
  </r>
  <r>
    <x v="1025"/>
    <x v="113"/>
    <x v="5"/>
    <m/>
    <m/>
    <n v="13260"/>
    <n v="-13260"/>
    <m/>
  </r>
  <r>
    <x v="1025"/>
    <x v="93"/>
    <x v="5"/>
    <m/>
    <m/>
    <n v="290840"/>
    <n v="-290840"/>
    <m/>
  </r>
  <r>
    <x v="1025"/>
    <x v="114"/>
    <x v="22"/>
    <s v="1470"/>
    <n v="100000"/>
    <m/>
    <n v="100000"/>
    <s v="8 rolls kimmco fiberglass 1-1/2&quot;"/>
  </r>
  <r>
    <x v="1025"/>
    <x v="113"/>
    <x v="22"/>
    <s v="1476"/>
    <n v="1039700"/>
    <m/>
    <n v="1039700"/>
    <m/>
  </r>
  <r>
    <x v="1025"/>
    <x v="113"/>
    <x v="22"/>
    <m/>
    <m/>
    <n v="1039700"/>
    <n v="-1039700"/>
    <s v="cash payment"/>
  </r>
  <r>
    <x v="1025"/>
    <x v="108"/>
    <x v="0"/>
    <s v="454"/>
    <n v="278840"/>
    <m/>
    <n v="278840"/>
    <m/>
  </r>
  <r>
    <x v="1026"/>
    <x v="112"/>
    <x v="7"/>
    <s v="278"/>
    <n v="286220"/>
    <m/>
    <n v="286220"/>
    <m/>
  </r>
  <r>
    <x v="1026"/>
    <x v="97"/>
    <x v="22"/>
    <s v="1489"/>
    <n v="9820"/>
    <m/>
    <n v="9820"/>
    <s v="ball vavle"/>
  </r>
  <r>
    <x v="1026"/>
    <x v="113"/>
    <x v="22"/>
    <s v="1490"/>
    <n v="91053"/>
    <m/>
    <n v="91053"/>
    <s v="armaflex"/>
  </r>
  <r>
    <x v="1026"/>
    <x v="114"/>
    <x v="22"/>
    <s v="1491"/>
    <n v="92000"/>
    <m/>
    <n v="92000"/>
    <s v="gate valve stainer"/>
  </r>
  <r>
    <x v="1026"/>
    <x v="94"/>
    <x v="5"/>
    <m/>
    <m/>
    <n v="115000"/>
    <n v="-115000"/>
    <s v="cash paid for super loan and afico roll (Total amount is 245,000)"/>
  </r>
  <r>
    <x v="1026"/>
    <x v="113"/>
    <x v="5"/>
    <m/>
    <m/>
    <n v="130000"/>
    <n v="-130000"/>
    <m/>
  </r>
  <r>
    <x v="1027"/>
    <x v="114"/>
    <x v="0"/>
    <s v="455"/>
    <n v="18720"/>
    <m/>
    <n v="18720"/>
    <m/>
  </r>
  <r>
    <x v="1028"/>
    <x v="94"/>
    <x v="20"/>
    <s v="79"/>
    <n v="30441"/>
    <m/>
    <n v="30441"/>
    <m/>
  </r>
  <r>
    <x v="1028"/>
    <x v="88"/>
    <x v="20"/>
    <s v="80"/>
    <n v="70032"/>
    <m/>
    <n v="70032"/>
    <m/>
  </r>
  <r>
    <x v="1028"/>
    <x v="101"/>
    <x v="20"/>
    <s v="81"/>
    <n v="145910"/>
    <m/>
    <n v="145910"/>
    <m/>
  </r>
  <r>
    <x v="1028"/>
    <x v="98"/>
    <x v="20"/>
    <s v="82"/>
    <n v="78349"/>
    <m/>
    <n v="78349"/>
    <m/>
  </r>
  <r>
    <x v="1028"/>
    <x v="93"/>
    <x v="20"/>
    <m/>
    <m/>
    <n v="12087"/>
    <n v="-12087"/>
    <s v="Rec from Al madina steel amount 1000,000"/>
  </r>
  <r>
    <x v="1028"/>
    <x v="94"/>
    <x v="20"/>
    <m/>
    <m/>
    <n v="182717"/>
    <n v="-182717"/>
    <m/>
  </r>
  <r>
    <x v="1028"/>
    <x v="98"/>
    <x v="20"/>
    <m/>
    <m/>
    <n v="190000"/>
    <n v="-190000"/>
    <m/>
  </r>
  <r>
    <x v="1028"/>
    <x v="100"/>
    <x v="20"/>
    <m/>
    <m/>
    <n v="45196"/>
    <n v="-45196"/>
    <m/>
  </r>
  <r>
    <x v="1028"/>
    <x v="101"/>
    <x v="20"/>
    <m/>
    <m/>
    <n v="190000"/>
    <n v="-190000"/>
    <m/>
  </r>
  <r>
    <x v="1028"/>
    <x v="88"/>
    <x v="20"/>
    <m/>
    <m/>
    <n v="190000"/>
    <n v="-190000"/>
    <m/>
  </r>
  <r>
    <x v="1028"/>
    <x v="112"/>
    <x v="20"/>
    <m/>
    <m/>
    <n v="190000"/>
    <n v="-190000"/>
    <m/>
  </r>
  <r>
    <x v="1028"/>
    <x v="115"/>
    <x v="0"/>
    <s v="456"/>
    <n v="120960"/>
    <m/>
    <n v="120960"/>
    <m/>
  </r>
  <r>
    <x v="1029"/>
    <x v="113"/>
    <x v="5"/>
    <s v="4565"/>
    <n v="27640"/>
    <m/>
    <n v="27640"/>
    <s v="Flexble"/>
  </r>
  <r>
    <x v="1029"/>
    <x v="94"/>
    <x v="5"/>
    <s v="4564"/>
    <n v="22500"/>
    <m/>
    <n v="22500"/>
    <s v="Flexble"/>
  </r>
  <r>
    <x v="1030"/>
    <x v="112"/>
    <x v="22"/>
    <s v="1516"/>
    <n v="188000"/>
    <m/>
    <n v="188000"/>
    <m/>
  </r>
  <r>
    <x v="1031"/>
    <x v="98"/>
    <x v="1"/>
    <s v="201"/>
    <n v="76250"/>
    <m/>
    <n v="76250"/>
    <m/>
  </r>
  <r>
    <x v="1031"/>
    <x v="95"/>
    <x v="14"/>
    <m/>
    <m/>
    <n v="385000"/>
    <n v="-385000"/>
    <s v="Rec from Al madina steel "/>
  </r>
  <r>
    <x v="1032"/>
    <x v="110"/>
    <x v="7"/>
    <s v="390"/>
    <n v="54431"/>
    <m/>
    <n v="54431"/>
    <m/>
  </r>
  <r>
    <x v="1032"/>
    <x v="113"/>
    <x v="22"/>
    <s v="1523"/>
    <n v="24000"/>
    <m/>
    <n v="24000"/>
    <m/>
  </r>
  <r>
    <x v="1032"/>
    <x v="112"/>
    <x v="22"/>
    <s v="1524"/>
    <m/>
    <m/>
    <n v="0"/>
    <m/>
  </r>
  <r>
    <x v="1032"/>
    <x v="91"/>
    <x v="22"/>
    <s v="1529"/>
    <n v="83200"/>
    <m/>
    <n v="83200"/>
    <m/>
  </r>
  <r>
    <x v="1033"/>
    <x v="98"/>
    <x v="14"/>
    <s v="1619"/>
    <n v="136390"/>
    <m/>
    <n v="136390"/>
    <m/>
  </r>
  <r>
    <x v="1033"/>
    <x v="106"/>
    <x v="14"/>
    <s v="1616"/>
    <n v="10125"/>
    <m/>
    <n v="10125"/>
    <m/>
  </r>
  <r>
    <x v="1033"/>
    <x v="97"/>
    <x v="20"/>
    <s v="83"/>
    <n v="28019"/>
    <m/>
    <n v="28019"/>
    <m/>
  </r>
  <r>
    <x v="1033"/>
    <x v="98"/>
    <x v="20"/>
    <s v="84"/>
    <n v="92172"/>
    <m/>
    <n v="92172"/>
    <m/>
  </r>
  <r>
    <x v="1034"/>
    <x v="108"/>
    <x v="20"/>
    <s v="85"/>
    <n v="149586"/>
    <m/>
    <n v="149586"/>
    <m/>
  </r>
  <r>
    <x v="1035"/>
    <x v="114"/>
    <x v="5"/>
    <s v="4580"/>
    <n v="13755"/>
    <m/>
    <n v="13755"/>
    <m/>
  </r>
  <r>
    <x v="1035"/>
    <x v="102"/>
    <x v="22"/>
    <s v="1544"/>
    <n v="1741376"/>
    <m/>
    <n v="1741376"/>
    <m/>
  </r>
  <r>
    <x v="1036"/>
    <x v="115"/>
    <x v="1"/>
    <s v="373"/>
    <n v="7580"/>
    <m/>
    <n v="7580"/>
    <m/>
  </r>
  <r>
    <x v="1036"/>
    <x v="88"/>
    <x v="20"/>
    <m/>
    <m/>
    <n v="895000"/>
    <n v="-895000"/>
    <s v="Chq given from Al madina steel"/>
  </r>
  <r>
    <x v="1036"/>
    <x v="108"/>
    <x v="0"/>
    <s v="468"/>
    <n v="99200"/>
    <m/>
    <n v="99200"/>
    <m/>
  </r>
  <r>
    <x v="1037"/>
    <x v="113"/>
    <x v="3"/>
    <s v="0407"/>
    <n v="34252"/>
    <m/>
    <n v="34252"/>
    <m/>
  </r>
  <r>
    <x v="1038"/>
    <x v="115"/>
    <x v="14"/>
    <s v="1625"/>
    <n v="752630"/>
    <m/>
    <n v="752630"/>
    <m/>
  </r>
  <r>
    <x v="1038"/>
    <x v="107"/>
    <x v="7"/>
    <s v="53"/>
    <n v="75050"/>
    <m/>
    <n v="75050"/>
    <m/>
  </r>
  <r>
    <x v="1038"/>
    <x v="108"/>
    <x v="20"/>
    <s v="86"/>
    <n v="447395"/>
    <m/>
    <n v="447395"/>
    <m/>
  </r>
  <r>
    <x v="1038"/>
    <x v="88"/>
    <x v="20"/>
    <s v="87"/>
    <n v="51609"/>
    <m/>
    <n v="51609"/>
    <m/>
  </r>
  <r>
    <x v="1038"/>
    <x v="98"/>
    <x v="20"/>
    <s v="88"/>
    <n v="24550"/>
    <m/>
    <n v="24550"/>
    <m/>
  </r>
  <r>
    <x v="1038"/>
    <x v="115"/>
    <x v="20"/>
    <s v="89"/>
    <n v="11574"/>
    <m/>
    <n v="11574"/>
    <m/>
  </r>
  <r>
    <x v="1038"/>
    <x v="114"/>
    <x v="20"/>
    <s v="90"/>
    <n v="118168"/>
    <m/>
    <n v="118168"/>
    <m/>
  </r>
  <r>
    <x v="1039"/>
    <x v="113"/>
    <x v="3"/>
    <s v="0446"/>
    <n v="14831"/>
    <m/>
    <n v="14831"/>
    <m/>
  </r>
  <r>
    <x v="1039"/>
    <x v="106"/>
    <x v="1"/>
    <s v="434"/>
    <n v="32035"/>
    <m/>
    <n v="32035"/>
    <m/>
  </r>
  <r>
    <x v="1040"/>
    <x v="112"/>
    <x v="7"/>
    <m/>
    <m/>
    <n v="16490"/>
    <n v="-16490"/>
    <s v="sales return"/>
  </r>
  <r>
    <x v="1040"/>
    <x v="98"/>
    <x v="14"/>
    <s v="1635"/>
    <n v="153990"/>
    <m/>
    <n v="153990"/>
    <m/>
  </r>
  <r>
    <x v="1040"/>
    <x v="108"/>
    <x v="20"/>
    <s v="91"/>
    <n v="119072"/>
    <m/>
    <n v="119072"/>
    <m/>
  </r>
  <r>
    <x v="1040"/>
    <x v="112"/>
    <x v="7"/>
    <m/>
    <m/>
    <n v="231000"/>
    <n v="-231000"/>
    <s v="Online transfer by BH"/>
  </r>
  <r>
    <x v="1041"/>
    <x v="113"/>
    <x v="22"/>
    <s v="1597"/>
    <n v="88971"/>
    <m/>
    <n v="88971"/>
    <m/>
  </r>
  <r>
    <x v="1042"/>
    <x v="88"/>
    <x v="20"/>
    <s v="92"/>
    <n v="49067"/>
    <m/>
    <n v="49067"/>
    <m/>
  </r>
  <r>
    <x v="1043"/>
    <x v="114"/>
    <x v="20"/>
    <s v="93"/>
    <n v="70850"/>
    <m/>
    <n v="70850"/>
    <m/>
  </r>
  <r>
    <x v="1043"/>
    <x v="88"/>
    <x v="5"/>
    <s v="20168"/>
    <n v="20300"/>
    <m/>
    <n v="20300"/>
    <m/>
  </r>
  <r>
    <x v="1043"/>
    <x v="108"/>
    <x v="14"/>
    <s v="1645"/>
    <n v="67956"/>
    <m/>
    <n v="67956"/>
    <m/>
  </r>
  <r>
    <x v="1044"/>
    <x v="88"/>
    <x v="20"/>
    <s v="94"/>
    <n v="30498"/>
    <m/>
    <n v="30498"/>
    <m/>
  </r>
  <r>
    <x v="1044"/>
    <x v="88"/>
    <x v="3"/>
    <s v="623"/>
    <n v="6023"/>
    <m/>
    <n v="6023"/>
    <m/>
  </r>
  <r>
    <x v="1045"/>
    <x v="86"/>
    <x v="14"/>
    <m/>
    <m/>
    <n v="665882"/>
    <n v="-665882"/>
    <s v="Chq receivd from Total construction (chq amt = 1350,000)"/>
  </r>
  <r>
    <x v="1045"/>
    <x v="95"/>
    <x v="14"/>
    <m/>
    <m/>
    <n v="201658"/>
    <n v="-201658"/>
    <m/>
  </r>
  <r>
    <x v="1045"/>
    <x v="100"/>
    <x v="14"/>
    <m/>
    <m/>
    <n v="482460"/>
    <n v="-482460"/>
    <m/>
  </r>
  <r>
    <x v="1045"/>
    <x v="93"/>
    <x v="9"/>
    <m/>
    <m/>
    <n v="200000"/>
    <n v="-200000"/>
    <s v="MCB chq 1949327604 "/>
  </r>
  <r>
    <x v="1046"/>
    <x v="94"/>
    <x v="20"/>
    <m/>
    <m/>
    <n v="72078"/>
    <n v="-72078"/>
    <s v="Chq given from Al madina steel = 1000,000"/>
  </r>
  <r>
    <x v="1046"/>
    <x v="98"/>
    <x v="20"/>
    <m/>
    <m/>
    <n v="150000"/>
    <n v="-150000"/>
    <m/>
  </r>
  <r>
    <x v="1046"/>
    <x v="101"/>
    <x v="20"/>
    <m/>
    <m/>
    <n v="372320"/>
    <n v="-372320"/>
    <m/>
  </r>
  <r>
    <x v="1046"/>
    <x v="88"/>
    <x v="20"/>
    <m/>
    <m/>
    <n v="300000"/>
    <n v="-300000"/>
    <m/>
  </r>
  <r>
    <x v="1046"/>
    <x v="114"/>
    <x v="20"/>
    <m/>
    <m/>
    <n v="100000"/>
    <n v="-100000"/>
    <m/>
  </r>
  <r>
    <x v="1046"/>
    <x v="108"/>
    <x v="20"/>
    <m/>
    <m/>
    <n v="5602"/>
    <n v="-5602"/>
    <m/>
  </r>
  <r>
    <x v="1046"/>
    <x v="112"/>
    <x v="1"/>
    <s v="610"/>
    <n v="117640"/>
    <m/>
    <n v="117640"/>
    <m/>
  </r>
  <r>
    <x v="1046"/>
    <x v="112"/>
    <x v="1"/>
    <s v="638"/>
    <n v="12252"/>
    <m/>
    <n v="12252"/>
    <m/>
  </r>
  <r>
    <x v="1046"/>
    <x v="113"/>
    <x v="5"/>
    <s v="4602"/>
    <n v="7000"/>
    <m/>
    <n v="7000"/>
    <m/>
  </r>
  <r>
    <x v="1046"/>
    <x v="112"/>
    <x v="3"/>
    <s v="679"/>
    <n v="6055"/>
    <m/>
    <n v="6055"/>
    <m/>
  </r>
  <r>
    <x v="1046"/>
    <x v="110"/>
    <x v="3"/>
    <s v="680"/>
    <n v="1260"/>
    <m/>
    <n v="1260"/>
    <m/>
  </r>
  <r>
    <x v="1047"/>
    <x v="88"/>
    <x v="5"/>
    <s v="4604"/>
    <n v="20300"/>
    <m/>
    <n v="20300"/>
    <s v="Combined bill"/>
  </r>
  <r>
    <x v="1047"/>
    <x v="114"/>
    <x v="5"/>
    <m/>
    <n v="45000"/>
    <m/>
    <n v="45000"/>
    <m/>
  </r>
  <r>
    <x v="1047"/>
    <x v="93"/>
    <x v="5"/>
    <m/>
    <m/>
    <n v="64845"/>
    <n v="-64845"/>
    <s v="Chq receivd from NEC in tri fit = 200000"/>
  </r>
  <r>
    <x v="1047"/>
    <x v="94"/>
    <x v="5"/>
    <m/>
    <m/>
    <n v="22500"/>
    <n v="-22500"/>
    <m/>
  </r>
  <r>
    <x v="1047"/>
    <x v="88"/>
    <x v="5"/>
    <m/>
    <m/>
    <n v="19260"/>
    <n v="-19260"/>
    <m/>
  </r>
  <r>
    <x v="1047"/>
    <x v="113"/>
    <x v="5"/>
    <m/>
    <m/>
    <n v="34640"/>
    <n v="-34640"/>
    <m/>
  </r>
  <r>
    <x v="1047"/>
    <x v="114"/>
    <x v="5"/>
    <m/>
    <m/>
    <n v="58755"/>
    <n v="-58755"/>
    <m/>
  </r>
  <r>
    <x v="1047"/>
    <x v="110"/>
    <x v="22"/>
    <s v="1636"/>
    <n v="16864"/>
    <m/>
    <n v="16864"/>
    <m/>
  </r>
  <r>
    <x v="1047"/>
    <x v="116"/>
    <x v="22"/>
    <s v="1637"/>
    <n v="10980"/>
    <m/>
    <n v="10980"/>
    <m/>
  </r>
  <r>
    <x v="1048"/>
    <x v="96"/>
    <x v="3"/>
    <s v="727"/>
    <n v="4370"/>
    <m/>
    <n v="4370"/>
    <m/>
  </r>
  <r>
    <x v="1049"/>
    <x v="88"/>
    <x v="20"/>
    <s v="95"/>
    <n v="25073"/>
    <m/>
    <n v="25073"/>
    <m/>
  </r>
  <r>
    <x v="1049"/>
    <x v="114"/>
    <x v="20"/>
    <s v="96"/>
    <n v="246912"/>
    <m/>
    <n v="246912"/>
    <m/>
  </r>
  <r>
    <x v="1049"/>
    <x v="112"/>
    <x v="20"/>
    <s v="97"/>
    <n v="37586"/>
    <m/>
    <n v="37586"/>
    <m/>
  </r>
  <r>
    <x v="1049"/>
    <x v="108"/>
    <x v="20"/>
    <s v="98"/>
    <n v="197733"/>
    <m/>
    <n v="197733"/>
    <m/>
  </r>
  <r>
    <x v="1049"/>
    <x v="114"/>
    <x v="5"/>
    <s v="20184"/>
    <n v="28250"/>
    <m/>
    <n v="28250"/>
    <m/>
  </r>
  <r>
    <x v="1050"/>
    <x v="114"/>
    <x v="3"/>
    <s v="761"/>
    <n v="7210"/>
    <m/>
    <n v="7210"/>
    <m/>
  </r>
  <r>
    <x v="1051"/>
    <x v="103"/>
    <x v="0"/>
    <s v="481"/>
    <n v="268800"/>
    <m/>
    <n v="268800"/>
    <m/>
  </r>
  <r>
    <x v="1051"/>
    <x v="103"/>
    <x v="0"/>
    <s v="482"/>
    <n v="1415820"/>
    <m/>
    <n v="1415820"/>
    <m/>
  </r>
  <r>
    <x v="1051"/>
    <x v="103"/>
    <x v="22"/>
    <s v="1662"/>
    <n v="104470"/>
    <m/>
    <n v="104470"/>
    <m/>
  </r>
  <r>
    <x v="1051"/>
    <x v="114"/>
    <x v="22"/>
    <s v="1663"/>
    <n v="14520"/>
    <m/>
    <n v="14520"/>
    <m/>
  </r>
  <r>
    <x v="1051"/>
    <x v="115"/>
    <x v="22"/>
    <s v="1665"/>
    <n v="22800"/>
    <m/>
    <n v="22800"/>
    <m/>
  </r>
  <r>
    <x v="1051"/>
    <x v="97"/>
    <x v="20"/>
    <m/>
    <m/>
    <n v="28019"/>
    <n v="-28019"/>
    <s v="Chq given from Al madina steel = 1000,000"/>
  </r>
  <r>
    <x v="1051"/>
    <x v="112"/>
    <x v="20"/>
    <m/>
    <m/>
    <n v="112135"/>
    <n v="-112135"/>
    <m/>
  </r>
  <r>
    <x v="1051"/>
    <x v="98"/>
    <x v="20"/>
    <m/>
    <m/>
    <n v="22065"/>
    <n v="-22065"/>
    <m/>
  </r>
  <r>
    <x v="1051"/>
    <x v="88"/>
    <x v="20"/>
    <m/>
    <m/>
    <n v="300000"/>
    <n v="-300000"/>
    <m/>
  </r>
  <r>
    <x v="1051"/>
    <x v="114"/>
    <x v="20"/>
    <m/>
    <m/>
    <n v="200000"/>
    <n v="-200000"/>
    <m/>
  </r>
  <r>
    <x v="1051"/>
    <x v="108"/>
    <x v="20"/>
    <m/>
    <m/>
    <n v="337781"/>
    <n v="-337781"/>
    <m/>
  </r>
  <r>
    <x v="1051"/>
    <x v="115"/>
    <x v="14"/>
    <s v="3001657"/>
    <n v="334758"/>
    <m/>
    <n v="334758"/>
    <m/>
  </r>
  <r>
    <x v="1052"/>
    <x v="112"/>
    <x v="14"/>
    <s v="3001660"/>
    <n v="82636"/>
    <m/>
    <n v="82636"/>
    <m/>
  </r>
  <r>
    <x v="1052"/>
    <x v="114"/>
    <x v="5"/>
    <s v="4612"/>
    <n v="3350"/>
    <m/>
    <n v="3350"/>
    <m/>
  </r>
  <r>
    <x v="1052"/>
    <x v="115"/>
    <x v="5"/>
    <s v="4814"/>
    <n v="45000"/>
    <m/>
    <n v="45000"/>
    <m/>
  </r>
  <r>
    <x v="1053"/>
    <x v="114"/>
    <x v="3"/>
    <s v="835"/>
    <n v="7714"/>
    <m/>
    <n v="7714"/>
    <m/>
  </r>
  <r>
    <x v="1053"/>
    <x v="113"/>
    <x v="5"/>
    <s v="4617"/>
    <n v="12500"/>
    <m/>
    <n v="12500"/>
    <m/>
  </r>
  <r>
    <x v="1053"/>
    <x v="115"/>
    <x v="22"/>
    <s v="1678"/>
    <n v="13500"/>
    <m/>
    <n v="13500"/>
    <m/>
  </r>
  <r>
    <x v="1053"/>
    <x v="98"/>
    <x v="16"/>
    <s v="13106"/>
    <n v="105000"/>
    <m/>
    <n v="105000"/>
    <s v="Through bolt"/>
  </r>
  <r>
    <x v="1054"/>
    <x v="98"/>
    <x v="1"/>
    <m/>
    <m/>
    <n v="200204"/>
    <n v="-200204"/>
    <s v="2 MCB chqs_x000a_1949327617 = 150,000_x000a_1949327618 = 248,000_x000a_grand total is 398,000"/>
  </r>
  <r>
    <x v="1054"/>
    <x v="110"/>
    <x v="1"/>
    <m/>
    <m/>
    <n v="23382"/>
    <n v="-23382"/>
    <m/>
  </r>
  <r>
    <x v="1054"/>
    <x v="106"/>
    <x v="1"/>
    <m/>
    <m/>
    <n v="37222"/>
    <n v="-37222"/>
    <m/>
  </r>
  <r>
    <x v="1054"/>
    <x v="112"/>
    <x v="1"/>
    <m/>
    <m/>
    <n v="129892"/>
    <n v="-129892"/>
    <m/>
  </r>
  <r>
    <x v="1054"/>
    <x v="115"/>
    <x v="1"/>
    <m/>
    <m/>
    <n v="7300"/>
    <n v="-7300"/>
    <m/>
  </r>
  <r>
    <x v="1054"/>
    <x v="115"/>
    <x v="1"/>
    <m/>
    <m/>
    <n v="280"/>
    <n v="-280"/>
    <s v="adjusted"/>
  </r>
  <r>
    <x v="1054"/>
    <x v="110"/>
    <x v="7"/>
    <m/>
    <m/>
    <n v="73080"/>
    <n v="-73080"/>
    <s v="Online by BH = 153,000"/>
  </r>
  <r>
    <x v="1054"/>
    <x v="112"/>
    <x v="7"/>
    <m/>
    <m/>
    <n v="4870"/>
    <n v="-4870"/>
    <m/>
  </r>
  <r>
    <x v="1054"/>
    <x v="107"/>
    <x v="7"/>
    <m/>
    <m/>
    <n v="75050"/>
    <n v="-75050"/>
    <m/>
  </r>
  <r>
    <x v="1054"/>
    <x v="115"/>
    <x v="1"/>
    <s v="812"/>
    <n v="178080"/>
    <m/>
    <n v="178080"/>
    <m/>
  </r>
  <r>
    <x v="1054"/>
    <x v="98"/>
    <x v="1"/>
    <s v="813"/>
    <n v="73333"/>
    <m/>
    <n v="73333"/>
    <m/>
  </r>
  <r>
    <x v="1055"/>
    <x v="114"/>
    <x v="20"/>
    <s v="99"/>
    <n v="37567"/>
    <m/>
    <n v="37567"/>
    <m/>
  </r>
  <r>
    <x v="1055"/>
    <x v="98"/>
    <x v="20"/>
    <s v="100"/>
    <n v="29368"/>
    <m/>
    <n v="29368"/>
    <m/>
  </r>
  <r>
    <x v="1055"/>
    <x v="108"/>
    <x v="20"/>
    <s v="101"/>
    <n v="275805"/>
    <m/>
    <n v="275805"/>
    <m/>
  </r>
  <r>
    <x v="1055"/>
    <x v="103"/>
    <x v="20"/>
    <s v="102"/>
    <n v="1759647"/>
    <m/>
    <n v="1759647"/>
    <m/>
  </r>
  <r>
    <x v="1056"/>
    <x v="114"/>
    <x v="5"/>
    <s v="4622"/>
    <n v="32000"/>
    <m/>
    <n v="32000"/>
    <m/>
  </r>
  <r>
    <x v="1056"/>
    <x v="113"/>
    <x v="5"/>
    <s v="4623"/>
    <n v="76455"/>
    <m/>
    <n v="76455"/>
    <m/>
  </r>
  <r>
    <x v="1056"/>
    <x v="115"/>
    <x v="1"/>
    <s v="852"/>
    <n v="85500"/>
    <m/>
    <n v="85500"/>
    <m/>
  </r>
  <r>
    <x v="1056"/>
    <x v="103"/>
    <x v="1"/>
    <s v="853"/>
    <n v="85500"/>
    <m/>
    <n v="85500"/>
    <m/>
  </r>
  <r>
    <x v="1057"/>
    <x v="108"/>
    <x v="22"/>
    <s v="1702"/>
    <n v="529131"/>
    <m/>
    <n v="529131"/>
    <m/>
  </r>
  <r>
    <x v="1057"/>
    <x v="87"/>
    <x v="19"/>
    <m/>
    <m/>
    <n v="800000"/>
    <n v="-800000"/>
    <s v="Online by BH"/>
  </r>
  <r>
    <x v="1057"/>
    <x v="87"/>
    <x v="19"/>
    <m/>
    <m/>
    <n v="200000"/>
    <n v="-200000"/>
    <s v="Material returned (Sensors returned) 04 nos"/>
  </r>
  <r>
    <x v="1057"/>
    <x v="87"/>
    <x v="19"/>
    <m/>
    <m/>
    <n v="202000"/>
    <n v="-202000"/>
    <s v="adjustment of WHT amount"/>
  </r>
  <r>
    <x v="1057"/>
    <x v="87"/>
    <x v="19"/>
    <m/>
    <m/>
    <n v="148000"/>
    <n v="-148000"/>
    <s v="MCB chq 1958702583 full n final payment"/>
  </r>
  <r>
    <x v="1057"/>
    <x v="107"/>
    <x v="24"/>
    <m/>
    <m/>
    <n v="2500000"/>
    <n v="-2500000"/>
    <s v="Received adv from NEC in acc of Engro (This payment will given to Thumb International in advance of XLPE insulation material))"/>
  </r>
  <r>
    <x v="1057"/>
    <x v="115"/>
    <x v="14"/>
    <s v="1663"/>
    <n v="32000"/>
    <m/>
    <n v="32000"/>
    <m/>
  </r>
  <r>
    <x v="1058"/>
    <x v="98"/>
    <x v="14"/>
    <s v="1666"/>
    <n v="119294"/>
    <m/>
    <n v="119294"/>
    <m/>
  </r>
  <r>
    <x v="1058"/>
    <x v="103"/>
    <x v="20"/>
    <m/>
    <m/>
    <n v="657900"/>
    <n v="-657900"/>
    <s v="sheet purchased from Al madina"/>
  </r>
  <r>
    <x v="1058"/>
    <x v="113"/>
    <x v="5"/>
    <s v="4631"/>
    <n v="25300"/>
    <m/>
    <n v="25300"/>
    <m/>
  </r>
  <r>
    <x v="1058"/>
    <x v="113"/>
    <x v="3"/>
    <s v="2324"/>
    <n v="8079"/>
    <m/>
    <n v="8079"/>
    <m/>
  </r>
  <r>
    <x v="1059"/>
    <x v="98"/>
    <x v="14"/>
    <s v="1672"/>
    <n v="119296"/>
    <m/>
    <n v="119296"/>
    <m/>
  </r>
  <r>
    <x v="1060"/>
    <x v="108"/>
    <x v="3"/>
    <s v="1033"/>
    <n v="9551"/>
    <m/>
    <n v="9551"/>
    <m/>
  </r>
  <r>
    <x v="1060"/>
    <x v="108"/>
    <x v="0"/>
    <m/>
    <m/>
    <n v="374080"/>
    <n v="-374080"/>
    <s v="From AL madian = 500,000"/>
  </r>
  <r>
    <x v="1060"/>
    <x v="115"/>
    <x v="0"/>
    <m/>
    <m/>
    <n v="120960"/>
    <n v="-120960"/>
    <m/>
  </r>
  <r>
    <x v="1060"/>
    <x v="114"/>
    <x v="0"/>
    <m/>
    <m/>
    <n v="4960"/>
    <n v="-4960"/>
    <m/>
  </r>
  <r>
    <x v="1059"/>
    <x v="117"/>
    <x v="5"/>
    <s v="4636"/>
    <n v="23500"/>
    <m/>
    <n v="23500"/>
    <s v="glass wool 16 kg 25mm"/>
  </r>
  <r>
    <x v="1059"/>
    <x v="98"/>
    <x v="1"/>
    <s v="927"/>
    <n v="439558"/>
    <m/>
    <n v="439558"/>
    <m/>
  </r>
  <r>
    <x v="1059"/>
    <x v="101"/>
    <x v="15"/>
    <s v="884"/>
    <n v="613647"/>
    <m/>
    <n v="613647"/>
    <m/>
  </r>
  <r>
    <x v="1059"/>
    <x v="95"/>
    <x v="15"/>
    <s v="885"/>
    <n v="19540"/>
    <m/>
    <n v="19540"/>
    <m/>
  </r>
  <r>
    <x v="1059"/>
    <x v="112"/>
    <x v="15"/>
    <s v="886"/>
    <n v="127320"/>
    <m/>
    <n v="127320"/>
    <m/>
  </r>
  <r>
    <x v="1059"/>
    <x v="112"/>
    <x v="15"/>
    <s v="887"/>
    <n v="40720"/>
    <m/>
    <n v="40720"/>
    <m/>
  </r>
  <r>
    <x v="1059"/>
    <x v="111"/>
    <x v="15"/>
    <s v="888"/>
    <n v="80000"/>
    <m/>
    <n v="80000"/>
    <m/>
  </r>
  <r>
    <x v="1059"/>
    <x v="112"/>
    <x v="15"/>
    <s v="889"/>
    <n v="48600"/>
    <m/>
    <n v="48600"/>
    <m/>
  </r>
  <r>
    <x v="1059"/>
    <x v="95"/>
    <x v="15"/>
    <s v="890"/>
    <n v="30240"/>
    <m/>
    <n v="30240"/>
    <m/>
  </r>
  <r>
    <x v="1059"/>
    <x v="95"/>
    <x v="15"/>
    <s v="891"/>
    <n v="13120"/>
    <m/>
    <n v="13120"/>
    <m/>
  </r>
  <r>
    <x v="1059"/>
    <x v="103"/>
    <x v="22"/>
    <m/>
    <m/>
    <n v="500000"/>
    <n v="-500000"/>
    <s v="MCB chq 1958702588 - against NOVEC 1230 system"/>
  </r>
  <r>
    <x v="1059"/>
    <x v="103"/>
    <x v="22"/>
    <m/>
    <m/>
    <n v="500000"/>
    <n v="-500000"/>
    <s v="MCB chq 1958702589 - against NOVEC 1230 system"/>
  </r>
  <r>
    <x v="1061"/>
    <x v="98"/>
    <x v="1"/>
    <s v="928"/>
    <n v="13278"/>
    <m/>
    <n v="13278"/>
    <m/>
  </r>
  <r>
    <x v="1061"/>
    <x v="106"/>
    <x v="1"/>
    <s v="948"/>
    <n v="189003"/>
    <m/>
    <n v="189003"/>
    <m/>
  </r>
  <r>
    <x v="1061"/>
    <x v="114"/>
    <x v="5"/>
    <s v="4640"/>
    <n v="35715"/>
    <m/>
    <n v="35715"/>
    <m/>
  </r>
  <r>
    <x v="1061"/>
    <x v="98"/>
    <x v="1"/>
    <m/>
    <m/>
    <n v="36500"/>
    <n v="-36500"/>
    <s v="Cash by vender after SS sheet material returned in VISA Site"/>
  </r>
  <r>
    <x v="1061"/>
    <x v="108"/>
    <x v="20"/>
    <s v="103"/>
    <n v="107536"/>
    <m/>
    <n v="107536"/>
    <m/>
  </r>
  <r>
    <x v="1061"/>
    <x v="107"/>
    <x v="25"/>
    <m/>
    <m/>
    <n v="938219"/>
    <n v="-938219"/>
    <s v="CHQ rec from NEC in tri fit account"/>
  </r>
  <r>
    <x v="1061"/>
    <x v="107"/>
    <x v="25"/>
    <s v="22488"/>
    <n v="808745"/>
    <m/>
    <n v="808745"/>
    <m/>
  </r>
  <r>
    <x v="1062"/>
    <x v="98"/>
    <x v="14"/>
    <s v="1677"/>
    <n v="222592"/>
    <m/>
    <n v="222592"/>
    <m/>
  </r>
  <r>
    <x v="1062"/>
    <x v="103"/>
    <x v="20"/>
    <m/>
    <m/>
    <n v="1000000"/>
    <n v="-1000000"/>
    <s v="From AL madina"/>
  </r>
  <r>
    <x v="1062"/>
    <x v="106"/>
    <x v="3"/>
    <s v="1117"/>
    <n v="6010"/>
    <m/>
    <n v="6010"/>
    <m/>
  </r>
  <r>
    <x v="1062"/>
    <x v="103"/>
    <x v="14"/>
    <s v="1681"/>
    <n v="804137"/>
    <m/>
    <n v="804137"/>
    <m/>
  </r>
  <r>
    <x v="1063"/>
    <x v="98"/>
    <x v="14"/>
    <s v="1684"/>
    <n v="119296"/>
    <m/>
    <n v="119296"/>
    <m/>
  </r>
  <r>
    <x v="1063"/>
    <x v="103"/>
    <x v="14"/>
    <s v="1689"/>
    <n v="891939"/>
    <m/>
    <n v="891939"/>
    <m/>
  </r>
  <r>
    <x v="1063"/>
    <x v="118"/>
    <x v="14"/>
    <s v="1692"/>
    <n v="235504"/>
    <m/>
    <n v="235504"/>
    <m/>
  </r>
  <r>
    <x v="1063"/>
    <x v="114"/>
    <x v="5"/>
    <s v="4647"/>
    <n v="14940"/>
    <m/>
    <n v="14940"/>
    <m/>
  </r>
  <r>
    <x v="1064"/>
    <x v="103"/>
    <x v="22"/>
    <s v="1755"/>
    <n v="38500"/>
    <m/>
    <n v="38500"/>
    <m/>
  </r>
  <r>
    <x v="1065"/>
    <x v="103"/>
    <x v="22"/>
    <s v="1764"/>
    <n v="1600"/>
    <m/>
    <n v="1600"/>
    <m/>
  </r>
  <r>
    <x v="1065"/>
    <x v="103"/>
    <x v="22"/>
    <s v="1765"/>
    <n v="15000"/>
    <m/>
    <n v="15000"/>
    <m/>
  </r>
  <r>
    <x v="1066"/>
    <x v="98"/>
    <x v="3"/>
    <s v="2324"/>
    <n v="20807"/>
    <m/>
    <n v="20807"/>
    <m/>
  </r>
  <r>
    <x v="1067"/>
    <x v="98"/>
    <x v="14"/>
    <s v="1695"/>
    <n v="103296"/>
    <m/>
    <n v="103296"/>
    <m/>
  </r>
  <r>
    <x v="1067"/>
    <x v="103"/>
    <x v="14"/>
    <s v="1697"/>
    <n v="804137"/>
    <m/>
    <n v="804137"/>
    <m/>
  </r>
  <r>
    <x v="1068"/>
    <x v="108"/>
    <x v="20"/>
    <s v="104"/>
    <n v="772607"/>
    <m/>
    <n v="772607"/>
    <m/>
  </r>
  <r>
    <x v="1068"/>
    <x v="98"/>
    <x v="20"/>
    <s v="105"/>
    <n v="86838"/>
    <m/>
    <n v="86838"/>
    <m/>
  </r>
  <r>
    <x v="1069"/>
    <x v="117"/>
    <x v="5"/>
    <s v="4663"/>
    <n v="30250"/>
    <m/>
    <n v="30250"/>
    <m/>
  </r>
  <r>
    <x v="1069"/>
    <x v="103"/>
    <x v="14"/>
    <s v="1698"/>
    <n v="1011740"/>
    <m/>
    <n v="1011740"/>
    <m/>
  </r>
  <r>
    <x v="1069"/>
    <x v="107"/>
    <x v="22"/>
    <s v="1784"/>
    <n v="34690"/>
    <m/>
    <n v="34690"/>
    <m/>
  </r>
  <r>
    <x v="1069"/>
    <x v="107"/>
    <x v="22"/>
    <s v="1785"/>
    <n v="49170"/>
    <m/>
    <n v="49170"/>
    <m/>
  </r>
  <r>
    <x v="1070"/>
    <x v="114"/>
    <x v="20"/>
    <s v="106"/>
    <n v="35941"/>
    <m/>
    <n v="35941"/>
    <m/>
  </r>
  <r>
    <x v="1070"/>
    <x v="118"/>
    <x v="20"/>
    <m/>
    <n v="158865"/>
    <m/>
    <n v="158865"/>
    <m/>
  </r>
  <r>
    <x v="1070"/>
    <x v="103"/>
    <x v="20"/>
    <s v="107"/>
    <n v="909670"/>
    <m/>
    <n v="909670"/>
    <m/>
  </r>
  <r>
    <x v="1070"/>
    <x v="98"/>
    <x v="20"/>
    <s v="108"/>
    <n v="3870"/>
    <m/>
    <n v="3870"/>
    <m/>
  </r>
  <r>
    <x v="1070"/>
    <x v="118"/>
    <x v="20"/>
    <m/>
    <n v="44691"/>
    <m/>
    <n v="44691"/>
    <m/>
  </r>
  <r>
    <x v="1070"/>
    <x v="107"/>
    <x v="17"/>
    <m/>
    <n v="1375000"/>
    <m/>
    <n v="1375000"/>
    <s v="Remaining amount of fire and Fire suppression deal"/>
  </r>
  <r>
    <x v="1070"/>
    <x v="98"/>
    <x v="14"/>
    <s v="1703"/>
    <n v="113296"/>
    <m/>
    <n v="113296"/>
    <m/>
  </r>
  <r>
    <x v="1070"/>
    <x v="102"/>
    <x v="22"/>
    <s v="1800"/>
    <n v="1554800"/>
    <m/>
    <n v="1554800"/>
    <m/>
  </r>
  <r>
    <x v="1070"/>
    <x v="5"/>
    <x v="13"/>
    <m/>
    <n v="13918"/>
    <m/>
    <n v="13918"/>
    <s v="adjustements)"/>
  </r>
  <r>
    <x v="1071"/>
    <x v="98"/>
    <x v="14"/>
    <s v="1704"/>
    <n v="16000"/>
    <m/>
    <n v="16000"/>
    <m/>
  </r>
  <r>
    <x v="1071"/>
    <x v="108"/>
    <x v="14"/>
    <s v="1705"/>
    <n v="684336"/>
    <m/>
    <n v="684336"/>
    <m/>
  </r>
  <r>
    <x v="1071"/>
    <x v="88"/>
    <x v="14"/>
    <s v="1706"/>
    <n v="43900"/>
    <m/>
    <n v="43900"/>
    <m/>
  </r>
  <r>
    <x v="1071"/>
    <x v="98"/>
    <x v="14"/>
    <s v="1707"/>
    <n v="67648"/>
    <m/>
    <n v="67648"/>
    <m/>
  </r>
  <r>
    <x v="1071"/>
    <x v="103"/>
    <x v="14"/>
    <s v="1708"/>
    <n v="804137"/>
    <m/>
    <n v="804137"/>
    <m/>
  </r>
  <r>
    <x v="1072"/>
    <x v="108"/>
    <x v="3"/>
    <s v="1364"/>
    <n v="5649"/>
    <m/>
    <n v="5649"/>
    <m/>
  </r>
  <r>
    <x v="1072"/>
    <x v="102"/>
    <x v="22"/>
    <s v="1812"/>
    <n v="90200"/>
    <m/>
    <n v="90200"/>
    <m/>
  </r>
  <r>
    <x v="1073"/>
    <x v="117"/>
    <x v="5"/>
    <s v="4689"/>
    <n v="11750"/>
    <m/>
    <n v="11750"/>
    <m/>
  </r>
  <r>
    <x v="1074"/>
    <x v="108"/>
    <x v="3"/>
    <s v="1430"/>
    <n v="12678"/>
    <m/>
    <n v="12678"/>
    <m/>
  </r>
  <r>
    <x v="1075"/>
    <x v="96"/>
    <x v="3"/>
    <m/>
    <m/>
    <n v="4370"/>
    <n v="-4370"/>
    <s v="Online transfer by Al madina = 133,000"/>
  </r>
  <r>
    <x v="1075"/>
    <x v="110"/>
    <x v="3"/>
    <m/>
    <m/>
    <n v="1260"/>
    <n v="-1260"/>
    <m/>
  </r>
  <r>
    <x v="1075"/>
    <x v="106"/>
    <x v="3"/>
    <m/>
    <m/>
    <n v="9626"/>
    <n v="-9626"/>
    <m/>
  </r>
  <r>
    <x v="1075"/>
    <x v="88"/>
    <x v="3"/>
    <m/>
    <m/>
    <n v="6023"/>
    <n v="-6023"/>
    <m/>
  </r>
  <r>
    <x v="1075"/>
    <x v="112"/>
    <x v="3"/>
    <m/>
    <m/>
    <n v="6055"/>
    <n v="-6055"/>
    <m/>
  </r>
  <r>
    <x v="1075"/>
    <x v="113"/>
    <x v="3"/>
    <m/>
    <m/>
    <n v="60002"/>
    <n v="-60002"/>
    <m/>
  </r>
  <r>
    <x v="1075"/>
    <x v="108"/>
    <x v="3"/>
    <m/>
    <m/>
    <n v="9551"/>
    <n v="-9551"/>
    <m/>
  </r>
  <r>
    <x v="1075"/>
    <x v="98"/>
    <x v="3"/>
    <m/>
    <m/>
    <n v="20807"/>
    <n v="-20807"/>
    <m/>
  </r>
  <r>
    <x v="1075"/>
    <x v="114"/>
    <x v="3"/>
    <m/>
    <m/>
    <n v="14924"/>
    <n v="-14924"/>
    <m/>
  </r>
  <r>
    <x v="1075"/>
    <x v="98"/>
    <x v="1"/>
    <s v="1142"/>
    <n v="44544"/>
    <m/>
    <n v="44544"/>
    <m/>
  </r>
  <r>
    <x v="1071"/>
    <x v="103"/>
    <x v="0"/>
    <m/>
    <m/>
    <n v="1000000"/>
    <n v="-1000000"/>
    <s v="cash given from Al madina steel"/>
  </r>
  <r>
    <x v="1070"/>
    <x v="106"/>
    <x v="1"/>
    <m/>
    <m/>
    <n v="100000"/>
    <n v="-100000"/>
    <s v="Online transfer by al madina = 500,000"/>
  </r>
  <r>
    <x v="1070"/>
    <x v="115"/>
    <x v="1"/>
    <m/>
    <m/>
    <n v="100000"/>
    <n v="-100000"/>
    <m/>
  </r>
  <r>
    <x v="1070"/>
    <x v="98"/>
    <x v="1"/>
    <m/>
    <m/>
    <n v="300000"/>
    <n v="-300000"/>
    <m/>
  </r>
  <r>
    <x v="1070"/>
    <x v="108"/>
    <x v="20"/>
    <m/>
    <m/>
    <n v="500000"/>
    <n v="-500000"/>
    <s v="Chq rec from Al madina steel"/>
  </r>
  <r>
    <x v="1072"/>
    <x v="98"/>
    <x v="14"/>
    <s v="1709"/>
    <n v="16000"/>
    <m/>
    <n v="16000"/>
    <m/>
  </r>
  <r>
    <x v="1073"/>
    <x v="108"/>
    <x v="0"/>
    <s v="499"/>
    <n v="18060"/>
    <m/>
    <n v="18060"/>
    <m/>
  </r>
  <r>
    <x v="1073"/>
    <x v="110"/>
    <x v="1"/>
    <s v="1204"/>
    <n v="15350"/>
    <m/>
    <n v="15350"/>
    <m/>
  </r>
  <r>
    <x v="1073"/>
    <x v="108"/>
    <x v="23"/>
    <m/>
    <m/>
    <n v="1000000"/>
    <n v="-1000000"/>
    <s v="from al madina"/>
  </r>
  <r>
    <x v="1073"/>
    <x v="115"/>
    <x v="14"/>
    <m/>
    <m/>
    <n v="500000"/>
    <n v="-500000"/>
    <s v="Online transfer by al madina"/>
  </r>
  <r>
    <x v="1076"/>
    <x v="88"/>
    <x v="20"/>
    <m/>
    <m/>
    <n v="158496"/>
    <n v="-158496"/>
    <s v="Sheet given to Noman engr from Al madina steel) = 1000,000"/>
  </r>
  <r>
    <x v="1076"/>
    <x v="115"/>
    <x v="20"/>
    <m/>
    <m/>
    <n v="11574"/>
    <n v="-11574"/>
    <m/>
  </r>
  <r>
    <x v="1076"/>
    <x v="98"/>
    <x v="20"/>
    <m/>
    <m/>
    <n v="120076"/>
    <n v="-120076"/>
    <m/>
  </r>
  <r>
    <x v="1076"/>
    <x v="114"/>
    <x v="20"/>
    <m/>
    <m/>
    <n v="209438"/>
    <n v="-209438"/>
    <m/>
  </r>
  <r>
    <x v="1076"/>
    <x v="118"/>
    <x v="20"/>
    <m/>
    <m/>
    <n v="203556"/>
    <n v="-203556"/>
    <m/>
  </r>
  <r>
    <x v="1076"/>
    <x v="103"/>
    <x v="20"/>
    <m/>
    <m/>
    <n v="296860"/>
    <n v="-296860"/>
    <m/>
  </r>
  <r>
    <x v="1076"/>
    <x v="115"/>
    <x v="14"/>
    <m/>
    <m/>
    <n v="586928"/>
    <n v="-586928"/>
    <s v="Online transfer by al madina = 800,000"/>
  </r>
  <r>
    <x v="1076"/>
    <x v="100"/>
    <x v="14"/>
    <m/>
    <m/>
    <n v="130436"/>
    <n v="-130436"/>
    <m/>
  </r>
  <r>
    <x v="1076"/>
    <x v="112"/>
    <x v="14"/>
    <m/>
    <m/>
    <n v="82636"/>
    <n v="-82636"/>
    <m/>
  </r>
  <r>
    <x v="1076"/>
    <x v="108"/>
    <x v="14"/>
    <s v="1712"/>
    <n v="716336"/>
    <m/>
    <n v="716336"/>
    <m/>
  </r>
  <r>
    <x v="1077"/>
    <x v="118"/>
    <x v="14"/>
    <s v="1718"/>
    <n v="147702"/>
    <m/>
    <n v="147702"/>
    <m/>
  </r>
  <r>
    <x v="1076"/>
    <x v="115"/>
    <x v="14"/>
    <m/>
    <m/>
    <n v="32460"/>
    <n v="-32460"/>
    <s v="Online transfer by al madina = 500,000"/>
  </r>
  <r>
    <x v="1076"/>
    <x v="88"/>
    <x v="14"/>
    <m/>
    <m/>
    <n v="228360"/>
    <n v="-228360"/>
    <m/>
  </r>
  <r>
    <x v="1076"/>
    <x v="106"/>
    <x v="14"/>
    <m/>
    <m/>
    <n v="35755"/>
    <n v="-35755"/>
    <m/>
  </r>
  <r>
    <x v="1076"/>
    <x v="118"/>
    <x v="14"/>
    <m/>
    <m/>
    <n v="203425"/>
    <n v="-203425"/>
    <m/>
  </r>
  <r>
    <x v="1077"/>
    <x v="103"/>
    <x v="20"/>
    <s v="109"/>
    <n v="198542"/>
    <m/>
    <n v="198542"/>
    <m/>
  </r>
  <r>
    <x v="1077"/>
    <x v="118"/>
    <x v="14"/>
    <m/>
    <m/>
    <n v="50000"/>
    <n v="-50000"/>
    <s v="discount from Global due to Rates issue"/>
  </r>
  <r>
    <x v="1077"/>
    <x v="103"/>
    <x v="20"/>
    <s v="110"/>
    <n v="43188"/>
    <m/>
    <n v="43188"/>
    <m/>
  </r>
  <r>
    <x v="1077"/>
    <x v="118"/>
    <x v="20"/>
    <s v="111"/>
    <n v="137198"/>
    <m/>
    <n v="137198"/>
    <m/>
  </r>
  <r>
    <x v="1077"/>
    <x v="98"/>
    <x v="20"/>
    <s v="112"/>
    <n v="3763"/>
    <m/>
    <n v="3763"/>
    <m/>
  </r>
  <r>
    <x v="1078"/>
    <x v="103"/>
    <x v="22"/>
    <s v="1837"/>
    <n v="3780"/>
    <m/>
    <n v="3780"/>
    <m/>
  </r>
  <r>
    <x v="1079"/>
    <x v="106"/>
    <x v="1"/>
    <m/>
    <n v="13532"/>
    <m/>
    <n v="13532"/>
    <m/>
  </r>
  <r>
    <x v="1079"/>
    <x v="103"/>
    <x v="15"/>
    <s v="899"/>
    <n v="198000"/>
    <m/>
    <n v="198000"/>
    <m/>
  </r>
  <r>
    <x v="1079"/>
    <x v="112"/>
    <x v="15"/>
    <s v="890"/>
    <n v="151948"/>
    <m/>
    <n v="151948"/>
    <m/>
  </r>
  <r>
    <x v="1080"/>
    <x v="88"/>
    <x v="20"/>
    <s v="113"/>
    <n v="75140"/>
    <m/>
    <n v="75140"/>
    <m/>
  </r>
  <r>
    <x v="1080"/>
    <x v="103"/>
    <x v="14"/>
    <s v="1721"/>
    <n v="64000"/>
    <m/>
    <n v="64000"/>
    <m/>
  </r>
  <r>
    <x v="1080"/>
    <x v="108"/>
    <x v="14"/>
    <s v="1722"/>
    <n v="683270"/>
    <m/>
    <n v="683270"/>
    <m/>
  </r>
  <r>
    <x v="1080"/>
    <x v="91"/>
    <x v="22"/>
    <m/>
    <m/>
    <n v="83200"/>
    <n v="-83200"/>
    <s v="Online transfer by al madina = 500,000"/>
  </r>
  <r>
    <x v="1080"/>
    <x v="94"/>
    <x v="22"/>
    <m/>
    <m/>
    <n v="227720"/>
    <n v="-227720"/>
    <m/>
  </r>
  <r>
    <x v="1080"/>
    <x v="97"/>
    <x v="22"/>
    <m/>
    <m/>
    <n v="9820"/>
    <n v="-9820"/>
    <m/>
  </r>
  <r>
    <x v="1080"/>
    <x v="112"/>
    <x v="22"/>
    <m/>
    <m/>
    <n v="179260"/>
    <n v="-179260"/>
    <m/>
  </r>
  <r>
    <x v="1080"/>
    <x v="98"/>
    <x v="14"/>
    <m/>
    <m/>
    <n v="200000"/>
    <n v="-200000"/>
    <s v="Online transfer by al madina"/>
  </r>
  <r>
    <x v="1081"/>
    <x v="103"/>
    <x v="0"/>
    <m/>
    <m/>
    <n v="500000"/>
    <n v="-500000"/>
    <s v="Online transfer by al madina"/>
  </r>
  <r>
    <x v="1082"/>
    <x v="106"/>
    <x v="1"/>
    <s v="1282"/>
    <n v="149219"/>
    <m/>
    <n v="149219"/>
    <m/>
  </r>
  <r>
    <x v="1083"/>
    <x v="108"/>
    <x v="14"/>
    <s v="1725"/>
    <n v="461969"/>
    <m/>
    <n v="461969"/>
    <m/>
  </r>
  <r>
    <x v="1083"/>
    <x v="103"/>
    <x v="14"/>
    <s v="1726"/>
    <n v="461969"/>
    <m/>
    <n v="461969"/>
    <m/>
  </r>
  <r>
    <x v="1084"/>
    <x v="106"/>
    <x v="3"/>
    <s v="1584"/>
    <n v="11352"/>
    <m/>
    <n v="11352"/>
    <m/>
  </r>
  <r>
    <x v="1084"/>
    <x v="108"/>
    <x v="22"/>
    <s v="1866"/>
    <n v="44000"/>
    <m/>
    <n v="44000"/>
    <m/>
  </r>
  <r>
    <x v="1084"/>
    <x v="108"/>
    <x v="20"/>
    <s v="114"/>
    <n v="324466"/>
    <m/>
    <n v="324466"/>
    <m/>
  </r>
  <r>
    <x v="1084"/>
    <x v="103"/>
    <x v="20"/>
    <s v="115"/>
    <n v="61576"/>
    <m/>
    <n v="61576"/>
    <m/>
  </r>
  <r>
    <x v="1084"/>
    <x v="114"/>
    <x v="20"/>
    <s v="116"/>
    <n v="17368"/>
    <m/>
    <n v="17368"/>
    <m/>
  </r>
  <r>
    <x v="1085"/>
    <x v="108"/>
    <x v="22"/>
    <s v="1874"/>
    <n v="44000"/>
    <m/>
    <n v="44000"/>
    <m/>
  </r>
  <r>
    <x v="1085"/>
    <x v="107"/>
    <x v="22"/>
    <s v="1875"/>
    <n v="53000"/>
    <m/>
    <n v="53000"/>
    <m/>
  </r>
  <r>
    <x v="1085"/>
    <x v="118"/>
    <x v="20"/>
    <s v="117"/>
    <n v="57660"/>
    <m/>
    <n v="57660"/>
    <m/>
  </r>
  <r>
    <x v="1085"/>
    <x v="107"/>
    <x v="20"/>
    <s v="118"/>
    <n v="352873"/>
    <m/>
    <n v="352873"/>
    <m/>
  </r>
  <r>
    <x v="1086"/>
    <x v="108"/>
    <x v="23"/>
    <m/>
    <m/>
    <n v="1000000"/>
    <n v="-1000000"/>
    <s v="from al madina "/>
  </r>
  <r>
    <x v="1086"/>
    <x v="107"/>
    <x v="15"/>
    <s v="061"/>
    <n v="291621.59999999998"/>
    <m/>
    <n v="291621.59999999998"/>
    <s v="after 10% discointed bill"/>
  </r>
  <r>
    <x v="1086"/>
    <x v="107"/>
    <x v="15"/>
    <s v="062"/>
    <n v="87097.5"/>
    <m/>
    <n v="87097.5"/>
    <s v="after 10% discointed bill"/>
  </r>
  <r>
    <x v="1086"/>
    <x v="107"/>
    <x v="15"/>
    <s v="063"/>
    <n v="214930.8"/>
    <m/>
    <n v="214930.8"/>
    <s v="after 10% discointed bill"/>
  </r>
  <r>
    <x v="1086"/>
    <x v="107"/>
    <x v="15"/>
    <s v="064"/>
    <n v="253933.2"/>
    <m/>
    <n v="253933.2"/>
    <s v="after 10% discointed bill"/>
  </r>
  <r>
    <x v="1087"/>
    <x v="107"/>
    <x v="15"/>
    <m/>
    <m/>
    <n v="300000"/>
    <n v="-300000"/>
    <s v="from al madina "/>
  </r>
  <r>
    <x v="1087"/>
    <x v="107"/>
    <x v="15"/>
    <m/>
    <m/>
    <n v="300000"/>
    <n v="-300000"/>
    <s v="MCB 1958702603 = adv paid in engrom Grills deal"/>
  </r>
  <r>
    <x v="1087"/>
    <x v="103"/>
    <x v="15"/>
    <m/>
    <m/>
    <n v="198000"/>
    <n v="-198000"/>
    <s v="MCB 1958702604 = full payment in UEP dampers 110 nos"/>
  </r>
  <r>
    <x v="1087"/>
    <x v="107"/>
    <x v="15"/>
    <m/>
    <m/>
    <n v="200000"/>
    <n v="-200000"/>
    <s v="MCB 1958702605 = adv paid in engro dampers deal"/>
  </r>
  <r>
    <x v="1088"/>
    <x v="101"/>
    <x v="26"/>
    <m/>
    <n v="300000"/>
    <m/>
    <n v="300000"/>
    <s v="Remaining bal"/>
  </r>
  <r>
    <x v="1088"/>
    <x v="101"/>
    <x v="26"/>
    <m/>
    <m/>
    <n v="100000"/>
    <n v="-100000"/>
    <s v="adjusted"/>
  </r>
  <r>
    <x v="1088"/>
    <x v="116"/>
    <x v="27"/>
    <m/>
    <n v="1061510"/>
    <m/>
    <n v="1061510"/>
    <s v="Remaining bal"/>
  </r>
  <r>
    <x v="1088"/>
    <x v="103"/>
    <x v="28"/>
    <m/>
    <n v="885000"/>
    <m/>
    <n v="885000"/>
    <s v="Remaining bal"/>
  </r>
  <r>
    <x v="1088"/>
    <x v="103"/>
    <x v="19"/>
    <m/>
    <n v="4000000"/>
    <m/>
    <n v="4000000"/>
    <s v="Remaining bal"/>
  </r>
  <r>
    <x v="1088"/>
    <x v="107"/>
    <x v="20"/>
    <s v="119"/>
    <n v="131554"/>
    <m/>
    <n v="131554"/>
    <m/>
  </r>
  <r>
    <x v="1089"/>
    <x v="103"/>
    <x v="20"/>
    <s v="120"/>
    <n v="64949"/>
    <m/>
    <n v="64949"/>
    <m/>
  </r>
  <r>
    <x v="1089"/>
    <x v="119"/>
    <x v="5"/>
    <s v="4729"/>
    <n v="43750"/>
    <m/>
    <n v="43750"/>
    <m/>
  </r>
  <r>
    <x v="1090"/>
    <x v="116"/>
    <x v="27"/>
    <m/>
    <m/>
    <n v="700000"/>
    <n v="-700000"/>
    <s v="Cash Given from Al madina steel"/>
  </r>
  <r>
    <x v="1090"/>
    <x v="46"/>
    <x v="9"/>
    <m/>
    <n v="9700"/>
    <m/>
    <n v="9700"/>
    <s v="adjusst"/>
  </r>
  <r>
    <x v="1090"/>
    <x v="25"/>
    <x v="9"/>
    <m/>
    <m/>
    <n v="8180"/>
    <n v="-8180"/>
    <s v="adjusst"/>
  </r>
  <r>
    <x v="1090"/>
    <x v="93"/>
    <x v="9"/>
    <m/>
    <m/>
    <n v="41900"/>
    <n v="-41900"/>
    <s v="adjusst"/>
  </r>
  <r>
    <x v="1090"/>
    <x v="88"/>
    <x v="9"/>
    <s v="40"/>
    <n v="105000"/>
    <m/>
    <n v="105000"/>
    <m/>
  </r>
  <r>
    <x v="1090"/>
    <x v="88"/>
    <x v="9"/>
    <s v="41"/>
    <n v="35400"/>
    <m/>
    <n v="35400"/>
    <m/>
  </r>
  <r>
    <x v="1090"/>
    <x v="101"/>
    <x v="9"/>
    <s v="42"/>
    <n v="57000"/>
    <m/>
    <n v="57000"/>
    <m/>
  </r>
  <r>
    <x v="1090"/>
    <x v="114"/>
    <x v="9"/>
    <s v="43"/>
    <n v="390000"/>
    <m/>
    <n v="390000"/>
    <m/>
  </r>
  <r>
    <x v="1090"/>
    <x v="115"/>
    <x v="9"/>
    <s v="44"/>
    <n v="93900"/>
    <m/>
    <n v="93900"/>
    <m/>
  </r>
  <r>
    <x v="1090"/>
    <x v="94"/>
    <x v="9"/>
    <s v="45"/>
    <n v="15600"/>
    <m/>
    <n v="15600"/>
    <m/>
  </r>
  <r>
    <x v="1090"/>
    <x v="98"/>
    <x v="9"/>
    <s v="46"/>
    <n v="529000"/>
    <m/>
    <n v="529000"/>
    <m/>
  </r>
  <r>
    <x v="1090"/>
    <x v="113"/>
    <x v="9"/>
    <s v="47"/>
    <n v="6000"/>
    <m/>
    <n v="6000"/>
    <m/>
  </r>
  <r>
    <x v="1090"/>
    <x v="108"/>
    <x v="9"/>
    <s v="48"/>
    <n v="72682"/>
    <m/>
    <n v="72682"/>
    <m/>
  </r>
  <r>
    <x v="1090"/>
    <x v="108"/>
    <x v="9"/>
    <s v="49"/>
    <n v="14170"/>
    <m/>
    <n v="14170"/>
    <m/>
  </r>
  <r>
    <x v="1090"/>
    <x v="103"/>
    <x v="20"/>
    <s v="121"/>
    <n v="102465"/>
    <m/>
    <n v="102465"/>
    <m/>
  </r>
  <r>
    <x v="1090"/>
    <x v="106"/>
    <x v="1"/>
    <s v="1320"/>
    <n v="206226"/>
    <m/>
    <n v="206226"/>
    <m/>
  </r>
  <r>
    <x v="1090"/>
    <x v="108"/>
    <x v="14"/>
    <s v="1729"/>
    <n v="48000"/>
    <m/>
    <n v="48000"/>
    <m/>
  </r>
  <r>
    <x v="1090"/>
    <x v="103"/>
    <x v="14"/>
    <s v="7130"/>
    <n v="374168"/>
    <m/>
    <n v="374168"/>
    <m/>
  </r>
  <r>
    <x v="1090"/>
    <x v="106"/>
    <x v="3"/>
    <s v="1703"/>
    <n v="29554"/>
    <m/>
    <n v="29554"/>
    <m/>
  </r>
  <r>
    <x v="1091"/>
    <x v="103"/>
    <x v="19"/>
    <m/>
    <m/>
    <n v="1000000"/>
    <n v="-1000000"/>
    <s v="Cash from Al madina steel"/>
  </r>
  <r>
    <x v="1092"/>
    <x v="88"/>
    <x v="20"/>
    <m/>
    <m/>
    <n v="75140"/>
    <n v="-75140"/>
    <s v="Sheet adjustement from al madina = 1500,000"/>
  </r>
  <r>
    <x v="1092"/>
    <x v="98"/>
    <x v="20"/>
    <m/>
    <m/>
    <n v="3763"/>
    <n v="-3763"/>
    <m/>
  </r>
  <r>
    <x v="1092"/>
    <x v="114"/>
    <x v="20"/>
    <m/>
    <m/>
    <n v="17368"/>
    <n v="-17368"/>
    <m/>
  </r>
  <r>
    <x v="1092"/>
    <x v="118"/>
    <x v="20"/>
    <m/>
    <m/>
    <n v="194858"/>
    <n v="-194858"/>
    <m/>
  </r>
  <r>
    <x v="1092"/>
    <x v="108"/>
    <x v="20"/>
    <m/>
    <m/>
    <n v="650000"/>
    <n v="-650000"/>
    <m/>
  </r>
  <r>
    <x v="1092"/>
    <x v="107"/>
    <x v="20"/>
    <m/>
    <m/>
    <n v="308871"/>
    <n v="-308871"/>
    <m/>
  </r>
  <r>
    <x v="1092"/>
    <x v="103"/>
    <x v="20"/>
    <m/>
    <m/>
    <n v="250000"/>
    <n v="-250000"/>
    <m/>
  </r>
  <r>
    <x v="1092"/>
    <x v="103"/>
    <x v="1"/>
    <s v="1331"/>
    <n v="161000"/>
    <m/>
    <n v="161000"/>
    <m/>
  </r>
  <r>
    <x v="1092"/>
    <x v="106"/>
    <x v="5"/>
    <s v="4738"/>
    <n v="23330"/>
    <m/>
    <n v="23330"/>
    <m/>
  </r>
  <r>
    <x v="1093"/>
    <x v="101"/>
    <x v="26"/>
    <m/>
    <m/>
    <n v="200000"/>
    <n v="-200000"/>
    <s v="MCB 1958702608"/>
  </r>
  <r>
    <x v="1093"/>
    <x v="108"/>
    <x v="14"/>
    <s v="1732"/>
    <n v="374168"/>
    <m/>
    <n v="374168"/>
    <m/>
  </r>
  <r>
    <x v="1093"/>
    <x v="103"/>
    <x v="14"/>
    <s v="1733"/>
    <n v="374168"/>
    <m/>
    <n v="374168"/>
    <m/>
  </r>
  <r>
    <x v="1093"/>
    <x v="110"/>
    <x v="3"/>
    <s v="1765"/>
    <n v="5520"/>
    <m/>
    <n v="5520"/>
    <m/>
  </r>
  <r>
    <x v="1094"/>
    <x v="106"/>
    <x v="5"/>
    <s v="4749"/>
    <n v="18575"/>
    <m/>
    <n v="18575"/>
    <m/>
  </r>
  <r>
    <x v="1094"/>
    <x v="108"/>
    <x v="20"/>
    <s v="122"/>
    <n v="306092"/>
    <m/>
    <n v="306092"/>
    <m/>
  </r>
  <r>
    <x v="1094"/>
    <x v="106"/>
    <x v="5"/>
    <s v="4750"/>
    <n v="11875"/>
    <m/>
    <n v="11875"/>
    <m/>
  </r>
  <r>
    <x v="1094"/>
    <x v="107"/>
    <x v="1"/>
    <s v="1340"/>
    <n v="76000"/>
    <m/>
    <n v="76000"/>
    <m/>
  </r>
  <r>
    <x v="1095"/>
    <x v="107"/>
    <x v="20"/>
    <s v="123"/>
    <n v="120971"/>
    <m/>
    <n v="120971"/>
    <m/>
  </r>
  <r>
    <x v="1095"/>
    <x v="119"/>
    <x v="20"/>
    <s v="124"/>
    <n v="20103"/>
    <m/>
    <n v="20103"/>
    <m/>
  </r>
  <r>
    <x v="1095"/>
    <x v="117"/>
    <x v="20"/>
    <m/>
    <n v="4390"/>
    <m/>
    <n v="4390"/>
    <m/>
  </r>
  <r>
    <x v="1095"/>
    <x v="103"/>
    <x v="20"/>
    <s v="125"/>
    <n v="294107"/>
    <m/>
    <n v="294107"/>
    <m/>
  </r>
  <r>
    <x v="1095"/>
    <x v="108"/>
    <x v="22"/>
    <s v="1931"/>
    <n v="90200"/>
    <m/>
    <n v="90200"/>
    <m/>
  </r>
  <r>
    <x v="1095"/>
    <x v="107"/>
    <x v="0"/>
    <s v="504"/>
    <n v="148500"/>
    <m/>
    <n v="148500"/>
    <m/>
  </r>
  <r>
    <x v="1095"/>
    <x v="108"/>
    <x v="0"/>
    <s v="505"/>
    <n v="89600"/>
    <m/>
    <n v="89600"/>
    <m/>
  </r>
  <r>
    <x v="1096"/>
    <x v="119"/>
    <x v="20"/>
    <s v="126"/>
    <n v="186677"/>
    <m/>
    <n v="186677"/>
    <m/>
  </r>
  <r>
    <x v="1096"/>
    <x v="113"/>
    <x v="22"/>
    <s v="1935"/>
    <n v="55094"/>
    <m/>
    <n v="55094"/>
    <m/>
  </r>
  <r>
    <x v="1096"/>
    <x v="107"/>
    <x v="25"/>
    <s v="22713"/>
    <n v="602000"/>
    <m/>
    <n v="602000"/>
    <s v="GST invoice in the name of NEC"/>
  </r>
  <r>
    <x v="1096"/>
    <x v="106"/>
    <x v="5"/>
    <s v="4759"/>
    <n v="20485"/>
    <m/>
    <n v="20485"/>
    <m/>
  </r>
  <r>
    <x v="1097"/>
    <x v="119"/>
    <x v="5"/>
    <s v="4761"/>
    <n v="101145"/>
    <m/>
    <n v="101145"/>
    <m/>
  </r>
  <r>
    <x v="1097"/>
    <x v="115"/>
    <x v="22"/>
    <s v="1942"/>
    <n v="55000"/>
    <m/>
    <n v="55000"/>
    <s v="test and drain valve"/>
  </r>
  <r>
    <x v="1098"/>
    <x v="119"/>
    <x v="20"/>
    <s v="127"/>
    <n v="251153"/>
    <m/>
    <n v="251153"/>
    <m/>
  </r>
  <r>
    <x v="1098"/>
    <x v="112"/>
    <x v="20"/>
    <s v="128"/>
    <n v="25780"/>
    <m/>
    <n v="25780"/>
    <m/>
  </r>
  <r>
    <x v="1098"/>
    <x v="113"/>
    <x v="5"/>
    <s v="4770"/>
    <n v="18060"/>
    <m/>
    <n v="18060"/>
    <m/>
  </r>
  <r>
    <x v="1098"/>
    <x v="108"/>
    <x v="5"/>
    <s v="4771"/>
    <n v="15980"/>
    <m/>
    <n v="15980"/>
    <m/>
  </r>
  <r>
    <x v="1098"/>
    <x v="113"/>
    <x v="5"/>
    <s v="4773"/>
    <n v="8670"/>
    <m/>
    <n v="8670"/>
    <m/>
  </r>
  <r>
    <x v="1098"/>
    <x v="107"/>
    <x v="15"/>
    <s v="720"/>
    <n v="416400"/>
    <m/>
    <n v="416400"/>
    <m/>
  </r>
  <r>
    <x v="1098"/>
    <x v="108"/>
    <x v="3"/>
    <s v="1926"/>
    <n v="7240"/>
    <m/>
    <n v="7240"/>
    <m/>
  </r>
  <r>
    <x v="1099"/>
    <x v="103"/>
    <x v="20"/>
    <s v="129"/>
    <n v="82305"/>
    <m/>
    <n v="82305"/>
    <m/>
  </r>
  <r>
    <x v="1099"/>
    <x v="107"/>
    <x v="20"/>
    <s v="130"/>
    <n v="43922"/>
    <m/>
    <n v="43922"/>
    <m/>
  </r>
  <r>
    <x v="1100"/>
    <x v="119"/>
    <x v="3"/>
    <s v="1988"/>
    <n v="40947"/>
    <m/>
    <n v="40947"/>
    <m/>
  </r>
  <r>
    <x v="1100"/>
    <x v="114"/>
    <x v="9"/>
    <m/>
    <m/>
    <n v="200000"/>
    <n v="-200000"/>
    <s v="MCB chq 1958702618"/>
  </r>
  <r>
    <x v="1100"/>
    <x v="88"/>
    <x v="9"/>
    <m/>
    <m/>
    <n v="9400"/>
    <n v="-9400"/>
    <s v="adjusst"/>
  </r>
  <r>
    <x v="1100"/>
    <x v="101"/>
    <x v="9"/>
    <m/>
    <m/>
    <n v="57000"/>
    <n v="-57000"/>
    <s v="adjusst"/>
  </r>
  <r>
    <x v="1100"/>
    <x v="113"/>
    <x v="9"/>
    <m/>
    <m/>
    <n v="1500"/>
    <n v="-1500"/>
    <s v="adjusst"/>
  </r>
  <r>
    <x v="1101"/>
    <x v="108"/>
    <x v="14"/>
    <s v="1743"/>
    <n v="437436"/>
    <m/>
    <n v="437436"/>
    <m/>
  </r>
  <r>
    <x v="1101"/>
    <x v="119"/>
    <x v="20"/>
    <s v="131"/>
    <n v="83101"/>
    <m/>
    <n v="83101"/>
    <m/>
  </r>
  <r>
    <x v="1102"/>
    <x v="118"/>
    <x v="14"/>
    <s v="1744"/>
    <n v="43900"/>
    <m/>
    <n v="43900"/>
    <m/>
  </r>
  <r>
    <x v="1102"/>
    <x v="108"/>
    <x v="20"/>
    <s v="132"/>
    <n v="48244"/>
    <m/>
    <n v="48244"/>
    <m/>
  </r>
  <r>
    <x v="1102"/>
    <x v="106"/>
    <x v="5"/>
    <s v="4778"/>
    <n v="13200"/>
    <m/>
    <n v="13200"/>
    <m/>
  </r>
  <r>
    <x v="1103"/>
    <x v="98"/>
    <x v="14"/>
    <m/>
    <m/>
    <n v="350000"/>
    <n v="-350000"/>
    <s v="MCB 1958702623"/>
  </r>
  <r>
    <x v="1103"/>
    <x v="98"/>
    <x v="14"/>
    <m/>
    <m/>
    <n v="350000"/>
    <n v="-350000"/>
    <s v="MCB 1958702624"/>
  </r>
  <r>
    <x v="1103"/>
    <x v="103"/>
    <x v="14"/>
    <s v="1749"/>
    <n v="168867"/>
    <m/>
    <n v="168867"/>
    <m/>
  </r>
  <r>
    <x v="1103"/>
    <x v="110"/>
    <x v="3"/>
    <s v="2058"/>
    <n v="3140"/>
    <m/>
    <n v="3140"/>
    <m/>
  </r>
  <r>
    <x v="1104"/>
    <x v="118"/>
    <x v="20"/>
    <s v="133"/>
    <n v="75122"/>
    <m/>
    <n v="75122"/>
    <m/>
  </r>
  <r>
    <x v="1105"/>
    <x v="98"/>
    <x v="14"/>
    <m/>
    <m/>
    <n v="350000"/>
    <n v="-350000"/>
    <s v="MCB 1968625796"/>
  </r>
  <r>
    <x v="1105"/>
    <x v="98"/>
    <x v="14"/>
    <m/>
    <m/>
    <n v="176319"/>
    <n v="-176319"/>
    <s v="MCB 1968625797 * 350,000"/>
  </r>
  <r>
    <x v="1105"/>
    <x v="118"/>
    <x v="14"/>
    <m/>
    <m/>
    <n v="173681"/>
    <n v="-173681"/>
    <m/>
  </r>
  <r>
    <x v="1105"/>
    <x v="103"/>
    <x v="28"/>
    <m/>
    <m/>
    <n v="400000"/>
    <n v="-400000"/>
    <s v="MCB 1968625802"/>
  </r>
  <r>
    <x v="1105"/>
    <x v="103"/>
    <x v="28"/>
    <m/>
    <m/>
    <n v="485000"/>
    <n v="-485000"/>
    <s v="MCB 1968625803 final payment"/>
  </r>
  <r>
    <x v="1105"/>
    <x v="103"/>
    <x v="14"/>
    <s v="1753"/>
    <n v="224668"/>
    <m/>
    <n v="224668"/>
    <m/>
  </r>
  <r>
    <x v="1105"/>
    <x v="108"/>
    <x v="14"/>
    <s v="1754"/>
    <n v="32000"/>
    <m/>
    <n v="32000"/>
    <m/>
  </r>
  <r>
    <x v="1105"/>
    <x v="107"/>
    <x v="5"/>
    <s v="4788"/>
    <n v="9240"/>
    <m/>
    <n v="9240"/>
    <m/>
  </r>
  <r>
    <x v="1105"/>
    <x v="107"/>
    <x v="24"/>
    <s v="8"/>
    <n v="1724483"/>
    <m/>
    <n v="1724483"/>
    <m/>
  </r>
  <r>
    <x v="1106"/>
    <x v="103"/>
    <x v="20"/>
    <m/>
    <m/>
    <n v="1300000"/>
    <n v="-1300000"/>
    <s v="Sheet adjustement from al madina"/>
  </r>
  <r>
    <x v="1106"/>
    <x v="103"/>
    <x v="20"/>
    <s v="134"/>
    <n v="85030"/>
    <m/>
    <n v="85030"/>
    <m/>
  </r>
  <r>
    <x v="1106"/>
    <x v="119"/>
    <x v="20"/>
    <s v="135"/>
    <n v="33426"/>
    <m/>
    <n v="33426"/>
    <m/>
  </r>
  <r>
    <x v="1106"/>
    <x v="120"/>
    <x v="22"/>
    <s v="1982"/>
    <n v="19640"/>
    <m/>
    <n v="19640"/>
    <m/>
  </r>
  <r>
    <x v="1107"/>
    <x v="108"/>
    <x v="14"/>
    <s v="1757"/>
    <n v="32000"/>
    <m/>
    <n v="32000"/>
    <m/>
  </r>
  <r>
    <x v="1107"/>
    <x v="119"/>
    <x v="5"/>
    <s v="20429"/>
    <n v="36420"/>
    <m/>
    <n v="36420"/>
    <m/>
  </r>
  <r>
    <x v="1108"/>
    <x v="107"/>
    <x v="14"/>
    <s v="1758"/>
    <n v="32600"/>
    <m/>
    <n v="32600"/>
    <m/>
  </r>
  <r>
    <x v="1108"/>
    <x v="108"/>
    <x v="20"/>
    <s v="136"/>
    <n v="203960"/>
    <m/>
    <n v="203960"/>
    <m/>
  </r>
  <r>
    <x v="1108"/>
    <x v="107"/>
    <x v="20"/>
    <s v="137"/>
    <n v="20685"/>
    <m/>
    <n v="20685"/>
    <m/>
  </r>
  <r>
    <x v="1108"/>
    <x v="103"/>
    <x v="22"/>
    <s v="1990"/>
    <n v="74282"/>
    <m/>
    <n v="74282"/>
    <m/>
  </r>
  <r>
    <x v="1108"/>
    <x v="108"/>
    <x v="14"/>
    <m/>
    <m/>
    <n v="350000"/>
    <n v="-350000"/>
    <s v="MCB 1968625806"/>
  </r>
  <r>
    <x v="1108"/>
    <x v="108"/>
    <x v="14"/>
    <m/>
    <m/>
    <n v="350000"/>
    <n v="-350000"/>
    <s v="MCB 1968625807"/>
  </r>
  <r>
    <x v="1108"/>
    <x v="106"/>
    <x v="5"/>
    <s v="4791"/>
    <n v="4515"/>
    <m/>
    <n v="4515"/>
    <m/>
  </r>
  <r>
    <x v="1108"/>
    <x v="120"/>
    <x v="3"/>
    <s v="2150"/>
    <n v="1420"/>
    <m/>
    <n v="1420"/>
    <m/>
  </r>
  <r>
    <x v="1109"/>
    <x v="108"/>
    <x v="3"/>
    <s v="2182"/>
    <n v="6739"/>
    <m/>
    <n v="6739"/>
    <m/>
  </r>
  <r>
    <x v="1110"/>
    <x v="120"/>
    <x v="20"/>
    <s v="138"/>
    <n v="13416"/>
    <m/>
    <n v="13416"/>
    <m/>
  </r>
  <r>
    <x v="1110"/>
    <x v="107"/>
    <x v="24"/>
    <s v="10"/>
    <n v="836282"/>
    <m/>
    <n v="836282"/>
    <m/>
  </r>
  <r>
    <x v="1110"/>
    <x v="106"/>
    <x v="3"/>
    <s v="2192"/>
    <n v="168"/>
    <m/>
    <n v="168"/>
    <m/>
  </r>
  <r>
    <x v="1110"/>
    <x v="119"/>
    <x v="5"/>
    <s v="4798"/>
    <n v="20875"/>
    <m/>
    <n v="20875"/>
    <m/>
  </r>
  <r>
    <x v="1111"/>
    <x v="102"/>
    <x v="22"/>
    <s v="2008"/>
    <n v="98400"/>
    <m/>
    <n v="98400"/>
    <m/>
  </r>
  <r>
    <x v="1111"/>
    <x v="112"/>
    <x v="14"/>
    <s v="1760"/>
    <n v="43900"/>
    <m/>
    <n v="43900"/>
    <m/>
  </r>
  <r>
    <x v="1111"/>
    <x v="103"/>
    <x v="22"/>
    <s v="2007"/>
    <n v="386760"/>
    <m/>
    <n v="386760"/>
    <m/>
  </r>
  <r>
    <x v="1111"/>
    <x v="103"/>
    <x v="0"/>
    <s v="509"/>
    <n v="62400"/>
    <m/>
    <n v="62400"/>
    <m/>
  </r>
  <r>
    <x v="1112"/>
    <x v="103"/>
    <x v="20"/>
    <s v="139"/>
    <n v="61469"/>
    <m/>
    <n v="61469"/>
    <m/>
  </r>
  <r>
    <x v="1112"/>
    <x v="119"/>
    <x v="3"/>
    <s v="2257"/>
    <n v="11157"/>
    <m/>
    <n v="11157"/>
    <m/>
  </r>
  <r>
    <x v="1112"/>
    <x v="107"/>
    <x v="15"/>
    <s v="075"/>
    <n v="135900"/>
    <m/>
    <n v="135900"/>
    <s v="10% discounted bill"/>
  </r>
  <r>
    <x v="1112"/>
    <x v="107"/>
    <x v="24"/>
    <s v="11"/>
    <n v="417642"/>
    <m/>
    <n v="417642"/>
    <m/>
  </r>
  <r>
    <x v="1112"/>
    <x v="107"/>
    <x v="24"/>
    <s v="12"/>
    <n v="20015"/>
    <m/>
    <n v="20015"/>
    <m/>
  </r>
  <r>
    <x v="1112"/>
    <x v="107"/>
    <x v="24"/>
    <m/>
    <m/>
    <n v="20000"/>
    <n v="-20000"/>
    <s v="cash from office"/>
  </r>
  <r>
    <x v="1112"/>
    <x v="107"/>
    <x v="15"/>
    <s v="076"/>
    <n v="213854.4"/>
    <m/>
    <n v="213854.4"/>
    <s v="10% discounted bill"/>
  </r>
  <r>
    <x v="1112"/>
    <x v="107"/>
    <x v="15"/>
    <m/>
    <m/>
    <n v="100000"/>
    <n v="-100000"/>
    <s v="cash paid"/>
  </r>
  <r>
    <x v="1113"/>
    <x v="108"/>
    <x v="22"/>
    <s v="2014"/>
    <n v="59680"/>
    <m/>
    <n v="59680"/>
    <m/>
  </r>
  <r>
    <x v="1113"/>
    <x v="103"/>
    <x v="22"/>
    <s v="2015"/>
    <n v="67140"/>
    <m/>
    <n v="67140"/>
    <m/>
  </r>
  <r>
    <x v="1113"/>
    <x v="103"/>
    <x v="14"/>
    <s v="1763"/>
    <n v="152867"/>
    <m/>
    <n v="152867"/>
    <m/>
  </r>
  <r>
    <x v="1114"/>
    <x v="103"/>
    <x v="14"/>
    <m/>
    <m/>
    <n v="350000"/>
    <n v="-350000"/>
    <s v="MCB 1968625816"/>
  </r>
  <r>
    <x v="1114"/>
    <x v="103"/>
    <x v="14"/>
    <m/>
    <m/>
    <n v="350000"/>
    <n v="-350000"/>
    <s v="MCB 1968625817"/>
  </r>
  <r>
    <x v="1114"/>
    <x v="103"/>
    <x v="19"/>
    <m/>
    <m/>
    <n v="500000"/>
    <n v="-500000"/>
    <s v="MCB 1968625818"/>
  </r>
  <r>
    <x v="1114"/>
    <x v="103"/>
    <x v="19"/>
    <m/>
    <m/>
    <n v="500000"/>
    <n v="-500000"/>
    <s v="MCB 1968625819"/>
  </r>
  <r>
    <x v="1114"/>
    <x v="103"/>
    <x v="19"/>
    <m/>
    <m/>
    <n v="500000"/>
    <n v="-500000"/>
    <s v="MCB 1968625820"/>
  </r>
  <r>
    <x v="1114"/>
    <x v="107"/>
    <x v="5"/>
    <s v="4802"/>
    <n v="7990"/>
    <m/>
    <n v="7990"/>
    <m/>
  </r>
  <r>
    <x v="1114"/>
    <x v="119"/>
    <x v="9"/>
    <s v="50"/>
    <n v="188300"/>
    <m/>
    <n v="188300"/>
    <m/>
  </r>
  <r>
    <x v="1115"/>
    <x v="108"/>
    <x v="22"/>
    <s v="2023"/>
    <n v="24200"/>
    <m/>
    <n v="24200"/>
    <m/>
  </r>
  <r>
    <x v="1115"/>
    <x v="103"/>
    <x v="20"/>
    <s v="140"/>
    <n v="93159"/>
    <m/>
    <n v="93159"/>
    <m/>
  </r>
  <r>
    <x v="1115"/>
    <x v="103"/>
    <x v="14"/>
    <s v="1765"/>
    <n v="34290"/>
    <m/>
    <n v="34290"/>
    <m/>
  </r>
  <r>
    <x v="1115"/>
    <x v="107"/>
    <x v="15"/>
    <m/>
    <m/>
    <n v="300000"/>
    <n v="-300000"/>
    <s v="MCB chq"/>
  </r>
  <r>
    <x v="1115"/>
    <x v="107"/>
    <x v="15"/>
    <m/>
    <m/>
    <n v="197000"/>
    <n v="-197000"/>
    <s v="MCB chq"/>
  </r>
  <r>
    <x v="1116"/>
    <x v="103"/>
    <x v="14"/>
    <s v="1766"/>
    <n v="212768"/>
    <m/>
    <n v="212768"/>
    <m/>
  </r>
  <r>
    <x v="1116"/>
    <x v="103"/>
    <x v="14"/>
    <m/>
    <m/>
    <n v="500000"/>
    <n v="-500000"/>
    <s v="MCB 1968625827"/>
  </r>
  <r>
    <x v="1116"/>
    <x v="103"/>
    <x v="14"/>
    <m/>
    <m/>
    <n v="500000"/>
    <n v="-500000"/>
    <s v="MCB 1968625828"/>
  </r>
  <r>
    <x v="1116"/>
    <x v="121"/>
    <x v="20"/>
    <s v="141"/>
    <n v="49822"/>
    <m/>
    <n v="49822"/>
    <m/>
  </r>
  <r>
    <x v="1116"/>
    <x v="104"/>
    <x v="20"/>
    <s v="1422"/>
    <n v="106322"/>
    <m/>
    <n v="106322"/>
    <m/>
  </r>
  <r>
    <x v="1117"/>
    <x v="108"/>
    <x v="23"/>
    <m/>
    <m/>
    <n v="495000"/>
    <n v="-495000"/>
    <s v="Paid chq received from Universal traders"/>
  </r>
  <r>
    <x v="1117"/>
    <x v="108"/>
    <x v="23"/>
    <m/>
    <m/>
    <n v="490000"/>
    <n v="-490000"/>
    <s v="Paid chq received from Universal traders"/>
  </r>
  <r>
    <x v="1117"/>
    <x v="103"/>
    <x v="22"/>
    <s v="2036"/>
    <n v="78000"/>
    <m/>
    <n v="78000"/>
    <m/>
  </r>
  <r>
    <x v="1117"/>
    <x v="108"/>
    <x v="22"/>
    <m/>
    <m/>
    <n v="500000"/>
    <n v="-500000"/>
    <s v="Paid chq received from Universal traders"/>
  </r>
  <r>
    <x v="1117"/>
    <x v="103"/>
    <x v="22"/>
    <m/>
    <m/>
    <n v="500000"/>
    <n v="-500000"/>
    <s v="Paid chq received from Universal traders"/>
  </r>
  <r>
    <x v="1117"/>
    <x v="105"/>
    <x v="22"/>
    <m/>
    <m/>
    <n v="500000"/>
    <n v="-500000"/>
    <s v="Paid chq received from Universal traders"/>
  </r>
  <r>
    <x v="1117"/>
    <x v="105"/>
    <x v="22"/>
    <m/>
    <m/>
    <n v="250000"/>
    <n v="-250000"/>
    <s v="Paid chq received from Universal traders amt = 500,000"/>
  </r>
  <r>
    <x v="1117"/>
    <x v="104"/>
    <x v="22"/>
    <m/>
    <m/>
    <n v="250000"/>
    <n v="-250000"/>
    <m/>
  </r>
  <r>
    <x v="1117"/>
    <x v="107"/>
    <x v="22"/>
    <m/>
    <m/>
    <n v="400000"/>
    <n v="-400000"/>
    <s v="Paid chq received from Universal traders"/>
  </r>
  <r>
    <x v="1117"/>
    <x v="108"/>
    <x v="22"/>
    <m/>
    <m/>
    <n v="300000"/>
    <n v="-300000"/>
    <s v="Paid chq received from Universal traders"/>
  </r>
  <r>
    <x v="1117"/>
    <x v="106"/>
    <x v="22"/>
    <m/>
    <m/>
    <n v="300000"/>
    <n v="-300000"/>
    <s v="Paid chq received from Universal traders"/>
  </r>
  <r>
    <x v="1118"/>
    <x v="108"/>
    <x v="14"/>
    <s v="1768"/>
    <n v="221300"/>
    <m/>
    <n v="221300"/>
    <m/>
  </r>
  <r>
    <x v="1118"/>
    <x v="98"/>
    <x v="1"/>
    <m/>
    <m/>
    <n v="234213"/>
    <n v="-234213"/>
    <s v="cash paid total amt = 500,000"/>
  </r>
  <r>
    <x v="1118"/>
    <x v="115"/>
    <x v="1"/>
    <m/>
    <m/>
    <n v="163580"/>
    <n v="-163580"/>
    <s v="cash paid total amt = 500,000"/>
  </r>
  <r>
    <x v="1118"/>
    <x v="106"/>
    <x v="1"/>
    <m/>
    <m/>
    <n v="102207"/>
    <n v="-102207"/>
    <s v="cash paid total amt = 500,000"/>
  </r>
  <r>
    <x v="1119"/>
    <x v="108"/>
    <x v="0"/>
    <m/>
    <m/>
    <n v="107660"/>
    <n v="-107660"/>
    <s v="cash paid from Al madina steel total amt = 500,000"/>
  </r>
  <r>
    <x v="1119"/>
    <x v="103"/>
    <x v="0"/>
    <m/>
    <m/>
    <n v="247020"/>
    <n v="-247020"/>
    <s v="cash paid from Al madina steel total amt = 500,000"/>
  </r>
  <r>
    <x v="1119"/>
    <x v="107"/>
    <x v="0"/>
    <m/>
    <m/>
    <n v="145320"/>
    <n v="-145320"/>
    <s v="cash paid from Al madina steel total amt = 500,000"/>
  </r>
  <r>
    <x v="1119"/>
    <x v="107"/>
    <x v="20"/>
    <s v="143"/>
    <n v="49712"/>
    <m/>
    <n v="49712"/>
    <m/>
  </r>
  <r>
    <x v="1119"/>
    <x v="119"/>
    <x v="20"/>
    <s v="144"/>
    <n v="40419"/>
    <m/>
    <n v="40419"/>
    <m/>
  </r>
  <r>
    <x v="1119"/>
    <x v="122"/>
    <x v="20"/>
    <s v="145"/>
    <n v="73043"/>
    <m/>
    <n v="73043"/>
    <m/>
  </r>
  <r>
    <x v="1119"/>
    <x v="103"/>
    <x v="14"/>
    <s v="1770"/>
    <n v="59900"/>
    <m/>
    <n v="59900"/>
    <m/>
  </r>
  <r>
    <x v="1119"/>
    <x v="102"/>
    <x v="22"/>
    <s v="2042"/>
    <n v="1554800"/>
    <m/>
    <n v="1554800"/>
    <m/>
  </r>
  <r>
    <x v="1119"/>
    <x v="107"/>
    <x v="5"/>
    <s v="4810"/>
    <n v="45000"/>
    <m/>
    <n v="45000"/>
    <m/>
  </r>
  <r>
    <x v="1119"/>
    <x v="119"/>
    <x v="5"/>
    <s v="4809"/>
    <n v="10965"/>
    <m/>
    <n v="10965"/>
    <m/>
  </r>
  <r>
    <x v="1120"/>
    <x v="108"/>
    <x v="20"/>
    <m/>
    <m/>
    <n v="1000000"/>
    <n v="-1000000"/>
    <s v="sheet from al madina steel"/>
  </r>
  <r>
    <x v="1120"/>
    <x v="103"/>
    <x v="14"/>
    <m/>
    <m/>
    <n v="850000"/>
    <n v="-850000"/>
    <s v="CHQ rec from NEC in acc of Engro rec on 24 Nov 23"/>
  </r>
  <r>
    <x v="1121"/>
    <x v="107"/>
    <x v="1"/>
    <s v="1495"/>
    <n v="4500"/>
    <m/>
    <n v="4500"/>
    <m/>
  </r>
  <r>
    <x v="1121"/>
    <x v="115"/>
    <x v="13"/>
    <s v="42"/>
    <n v="233085"/>
    <m/>
    <n v="233085"/>
    <m/>
  </r>
  <r>
    <x v="1122"/>
    <x v="107"/>
    <x v="24"/>
    <s v="14"/>
    <n v="196267"/>
    <m/>
    <n v="196267"/>
    <m/>
  </r>
  <r>
    <x v="1122"/>
    <x v="121"/>
    <x v="20"/>
    <s v="146"/>
    <n v="6351"/>
    <m/>
    <n v="6351"/>
    <m/>
  </r>
  <r>
    <x v="1122"/>
    <x v="108"/>
    <x v="20"/>
    <s v="147"/>
    <n v="10508"/>
    <m/>
    <n v="10508"/>
    <m/>
  </r>
  <r>
    <x v="1122"/>
    <x v="104"/>
    <x v="20"/>
    <s v="148"/>
    <n v="42998"/>
    <m/>
    <n v="42998"/>
    <m/>
  </r>
  <r>
    <x v="1123"/>
    <x v="107"/>
    <x v="0"/>
    <s v="519"/>
    <n v="124800"/>
    <m/>
    <n v="124800"/>
    <m/>
  </r>
  <r>
    <x v="1123"/>
    <x v="103"/>
    <x v="3"/>
    <s v="2495"/>
    <n v="5887"/>
    <m/>
    <n v="5887"/>
    <m/>
  </r>
  <r>
    <x v="1124"/>
    <x v="119"/>
    <x v="5"/>
    <s v="4827"/>
    <n v="2920"/>
    <m/>
    <n v="2920"/>
    <m/>
  </r>
  <r>
    <x v="1124"/>
    <x v="107"/>
    <x v="5"/>
    <s v="4826"/>
    <n v="21300"/>
    <m/>
    <n v="21300"/>
    <m/>
  </r>
  <r>
    <x v="1125"/>
    <x v="4"/>
    <x v="29"/>
    <s v="10390"/>
    <n v="18551"/>
    <m/>
    <n v="18551"/>
    <m/>
  </r>
  <r>
    <x v="1126"/>
    <x v="119"/>
    <x v="5"/>
    <s v="4836"/>
    <n v="12900"/>
    <m/>
    <n v="12900"/>
    <m/>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6"/>
    <x v="104"/>
    <x v="20"/>
    <s v="149"/>
    <n v="30958"/>
    <m/>
    <n v="30958"/>
    <m/>
  </r>
  <r>
    <x v="1126"/>
    <x v="107"/>
    <x v="25"/>
    <s v="22948"/>
    <n v="189553"/>
    <m/>
    <n v="189553"/>
    <m/>
  </r>
  <r>
    <x v="1127"/>
    <x v="103"/>
    <x v="14"/>
    <m/>
    <m/>
    <n v="1000000"/>
    <n v="-1000000"/>
    <s v="Cash from Al madina steel"/>
  </r>
  <r>
    <x v="1127"/>
    <x v="103"/>
    <x v="14"/>
    <m/>
    <m/>
    <n v="600000"/>
    <n v="-600000"/>
    <s v="Online transfer by al madina"/>
  </r>
  <r>
    <x v="1127"/>
    <x v="104"/>
    <x v="0"/>
    <s v="522"/>
    <n v="52800"/>
    <m/>
    <n v="52800"/>
    <m/>
  </r>
  <r>
    <x v="1128"/>
    <x v="103"/>
    <x v="22"/>
    <s v="2087"/>
    <n v="2952685"/>
    <m/>
    <n v="2952685"/>
    <m/>
  </r>
  <r>
    <x v="1128"/>
    <x v="107"/>
    <x v="22"/>
    <s v="2092"/>
    <n v="45000"/>
    <m/>
    <n v="45000"/>
    <m/>
  </r>
  <r>
    <x v="1128"/>
    <x v="119"/>
    <x v="5"/>
    <s v="4846"/>
    <n v="17500"/>
    <m/>
    <n v="17500"/>
    <m/>
  </r>
  <r>
    <x v="1129"/>
    <x v="108"/>
    <x v="14"/>
    <s v="1777"/>
    <n v="144334"/>
    <m/>
    <n v="144334"/>
    <m/>
  </r>
  <r>
    <x v="1129"/>
    <x v="107"/>
    <x v="24"/>
    <s v="16"/>
    <n v="113438"/>
    <m/>
    <n v="113438"/>
    <m/>
  </r>
  <r>
    <x v="1130"/>
    <x v="108"/>
    <x v="20"/>
    <s v="150"/>
    <n v="40849"/>
    <m/>
    <n v="40849"/>
    <m/>
  </r>
  <r>
    <x v="1130"/>
    <x v="104"/>
    <x v="20"/>
    <s v="151"/>
    <n v="18196"/>
    <m/>
    <n v="18196"/>
    <m/>
  </r>
  <r>
    <x v="1131"/>
    <x v="104"/>
    <x v="3"/>
    <s v="2699"/>
    <n v="16400"/>
    <m/>
    <n v="16400"/>
    <m/>
  </r>
  <r>
    <x v="1131"/>
    <x v="107"/>
    <x v="22"/>
    <s v="2105"/>
    <n v="55000"/>
    <m/>
    <n v="55000"/>
    <m/>
  </r>
  <r>
    <x v="1131"/>
    <x v="104"/>
    <x v="5"/>
    <s v="4853"/>
    <n v="25430"/>
    <m/>
    <n v="25430"/>
    <m/>
  </r>
  <r>
    <x v="1131"/>
    <x v="104"/>
    <x v="0"/>
    <s v="526"/>
    <n v="214720"/>
    <m/>
    <n v="214720"/>
    <m/>
  </r>
  <r>
    <x v="1132"/>
    <x v="110"/>
    <x v="3"/>
    <s v="2704"/>
    <n v="6047"/>
    <m/>
    <n v="6047"/>
    <m/>
  </r>
  <r>
    <x v="1133"/>
    <x v="116"/>
    <x v="27"/>
    <m/>
    <m/>
    <n v="340000"/>
    <n v="-340000"/>
    <s v="Cash from Al madina steel"/>
  </r>
  <r>
    <x v="1133"/>
    <x v="116"/>
    <x v="27"/>
    <m/>
    <m/>
    <n v="21510"/>
    <n v="-21510"/>
    <s v="adjusted"/>
  </r>
  <r>
    <x v="1134"/>
    <x v="104"/>
    <x v="20"/>
    <s v="152"/>
    <n v="32566"/>
    <m/>
    <n v="32566"/>
    <m/>
  </r>
  <r>
    <x v="1134"/>
    <x v="107"/>
    <x v="22"/>
    <s v="2129"/>
    <n v="55000"/>
    <m/>
    <n v="55000"/>
    <m/>
  </r>
  <r>
    <x v="1134"/>
    <x v="107"/>
    <x v="22"/>
    <s v="2130"/>
    <n v="45000"/>
    <m/>
    <n v="45000"/>
    <m/>
  </r>
  <r>
    <x v="1135"/>
    <x v="119"/>
    <x v="5"/>
    <s v="4869"/>
    <n v="4380"/>
    <m/>
    <n v="4380"/>
    <m/>
  </r>
  <r>
    <x v="1136"/>
    <x v="104"/>
    <x v="3"/>
    <s v="2842"/>
    <n v="5396"/>
    <m/>
    <n v="5396"/>
    <m/>
  </r>
  <r>
    <x v="1136"/>
    <x v="104"/>
    <x v="5"/>
    <s v="4873"/>
    <n v="9125"/>
    <m/>
    <n v="9125"/>
    <m/>
  </r>
  <r>
    <x v="1136"/>
    <x v="105"/>
    <x v="0"/>
    <m/>
    <m/>
    <n v="1500000"/>
    <n v="-1500000"/>
    <s v="Online By Total Construction in ac of BAH (rec on 15- Dec 23)"/>
  </r>
  <r>
    <x v="1136"/>
    <x v="108"/>
    <x v="20"/>
    <m/>
    <m/>
    <n v="250000"/>
    <n v="-250000"/>
    <s v="Online By Total Construction in ac of BAH (rec on 15- Dec 23)"/>
  </r>
  <r>
    <x v="1136"/>
    <x v="103"/>
    <x v="20"/>
    <m/>
    <m/>
    <n v="250000"/>
    <n v="-250000"/>
    <s v="Online By Total Construction in ac of BAH (rec on 15- Dec 23)"/>
  </r>
  <r>
    <x v="1136"/>
    <x v="107"/>
    <x v="20"/>
    <m/>
    <m/>
    <n v="250000"/>
    <n v="-250000"/>
    <s v="Online By Total Construction in ac of BAH (rec on 15- Dec 23)"/>
  </r>
  <r>
    <x v="1136"/>
    <x v="119"/>
    <x v="20"/>
    <m/>
    <m/>
    <n v="250000"/>
    <n v="-250000"/>
    <s v="Online By Total Construction in ac of BAH (rec on 15- Dec 23)"/>
  </r>
  <r>
    <x v="1136"/>
    <x v="108"/>
    <x v="14"/>
    <m/>
    <m/>
    <n v="1000000"/>
    <n v="-1000000"/>
    <s v="Online By Total Construction in ac of BAH (rec on 15- Dec 23)"/>
  </r>
  <r>
    <x v="1137"/>
    <x v="110"/>
    <x v="3"/>
    <m/>
    <m/>
    <n v="14707"/>
    <n v="-14707"/>
    <s v="Online by al madina sttel = 160,000"/>
  </r>
  <r>
    <x v="1137"/>
    <x v="106"/>
    <x v="3"/>
    <m/>
    <m/>
    <n v="41074"/>
    <n v="-41074"/>
    <s v="Online by al madina sttel = 160,000"/>
  </r>
  <r>
    <x v="1137"/>
    <x v="108"/>
    <x v="3"/>
    <m/>
    <m/>
    <n v="32306"/>
    <n v="-32306"/>
    <s v="Online by al madina sttel = 160,000"/>
  </r>
  <r>
    <x v="1137"/>
    <x v="103"/>
    <x v="3"/>
    <m/>
    <m/>
    <n v="5887"/>
    <n v="-5887"/>
    <s v="Online by al madina sttel = 160,000"/>
  </r>
  <r>
    <x v="1137"/>
    <x v="119"/>
    <x v="3"/>
    <m/>
    <m/>
    <n v="52104"/>
    <n v="-52104"/>
    <s v="Online by al madina sttel = 160,000"/>
  </r>
  <r>
    <x v="1137"/>
    <x v="120"/>
    <x v="3"/>
    <m/>
    <m/>
    <n v="1420"/>
    <n v="-1420"/>
    <s v="Online by al madina sttel = 160,000"/>
  </r>
  <r>
    <x v="1137"/>
    <x v="104"/>
    <x v="3"/>
    <m/>
    <m/>
    <n v="12502"/>
    <n v="-12502"/>
    <s v="Online by al madina sttel = 160,000"/>
  </r>
  <r>
    <x v="1137"/>
    <x v="105"/>
    <x v="0"/>
    <s v="533"/>
    <n v="1343560"/>
    <m/>
    <n v="1343560"/>
    <m/>
  </r>
  <r>
    <x v="1137"/>
    <x v="104"/>
    <x v="3"/>
    <s v="2858"/>
    <n v="1113"/>
    <m/>
    <n v="1113"/>
    <m/>
  </r>
  <r>
    <x v="1138"/>
    <x v="104"/>
    <x v="5"/>
    <s v="4875"/>
    <n v="6580"/>
    <m/>
    <n v="6580"/>
    <m/>
  </r>
  <r>
    <x v="1139"/>
    <x v="107"/>
    <x v="22"/>
    <s v="2166"/>
    <n v="44000"/>
    <m/>
    <n v="44000"/>
    <m/>
  </r>
  <r>
    <x v="1140"/>
    <x v="105"/>
    <x v="0"/>
    <s v="538"/>
    <n v="987960"/>
    <m/>
    <n v="987960"/>
    <m/>
  </r>
  <r>
    <x v="1141"/>
    <x v="107"/>
    <x v="25"/>
    <m/>
    <m/>
    <n v="189553"/>
    <n v="-189553"/>
    <s v="CHQ rec from NEC in Engro Acc"/>
  </r>
  <r>
    <x v="1142"/>
    <x v="104"/>
    <x v="20"/>
    <s v="153"/>
    <n v="717268"/>
    <m/>
    <n v="717268"/>
    <m/>
  </r>
  <r>
    <x v="1142"/>
    <x v="107"/>
    <x v="25"/>
    <m/>
    <m/>
    <n v="472526"/>
    <n v="-472526"/>
    <s v="CHQ rec from NEC in Engro Acc"/>
  </r>
  <r>
    <x v="1143"/>
    <x v="107"/>
    <x v="15"/>
    <s v="742"/>
    <n v="11148"/>
    <m/>
    <n v="11148"/>
    <s v="discounted bill"/>
  </r>
  <r>
    <x v="1143"/>
    <x v="108"/>
    <x v="22"/>
    <s v="2175"/>
    <n v="14520"/>
    <m/>
    <n v="14520"/>
    <m/>
  </r>
  <r>
    <x v="1143"/>
    <x v="104"/>
    <x v="22"/>
    <s v="2176"/>
    <n v="382500"/>
    <m/>
    <n v="382500"/>
    <m/>
  </r>
  <r>
    <x v="1143"/>
    <x v="98"/>
    <x v="9"/>
    <m/>
    <m/>
    <n v="500000"/>
    <n v="-500000"/>
    <s v="online by adeel steel"/>
  </r>
  <r>
    <x v="1143"/>
    <x v="106"/>
    <x v="1"/>
    <m/>
    <m/>
    <n v="250000"/>
    <n v="-250000"/>
    <s v="online by adeel steel"/>
  </r>
  <r>
    <x v="1143"/>
    <x v="106"/>
    <x v="5"/>
    <m/>
    <m/>
    <n v="91980"/>
    <n v="-91980"/>
    <s v="CHQ given to sheikh traders care off Adeel steel (Rec from Total in BAH deal) = 1,075,700"/>
  </r>
  <r>
    <x v="1143"/>
    <x v="88"/>
    <x v="5"/>
    <m/>
    <m/>
    <n v="21340"/>
    <n v="-21340"/>
    <m/>
  </r>
  <r>
    <x v="1143"/>
    <x v="113"/>
    <x v="5"/>
    <m/>
    <m/>
    <n v="140985"/>
    <n v="-140985"/>
    <m/>
  </r>
  <r>
    <x v="1143"/>
    <x v="108"/>
    <x v="5"/>
    <m/>
    <m/>
    <n v="15980"/>
    <n v="-15980"/>
    <m/>
  </r>
  <r>
    <x v="1143"/>
    <x v="115"/>
    <x v="5"/>
    <m/>
    <m/>
    <n v="45000"/>
    <n v="-45000"/>
    <m/>
  </r>
  <r>
    <x v="1143"/>
    <x v="114"/>
    <x v="5"/>
    <m/>
    <m/>
    <n v="114255"/>
    <n v="-114255"/>
    <m/>
  </r>
  <r>
    <x v="1143"/>
    <x v="107"/>
    <x v="5"/>
    <m/>
    <m/>
    <n v="83530"/>
    <n v="-83530"/>
    <m/>
  </r>
  <r>
    <x v="1143"/>
    <x v="117"/>
    <x v="5"/>
    <m/>
    <m/>
    <n v="65500"/>
    <n v="-65500"/>
    <m/>
  </r>
  <r>
    <x v="1143"/>
    <x v="119"/>
    <x v="5"/>
    <m/>
    <m/>
    <n v="250855"/>
    <n v="-250855"/>
    <m/>
  </r>
  <r>
    <x v="1143"/>
    <x v="104"/>
    <x v="5"/>
    <m/>
    <m/>
    <n v="41135"/>
    <n v="-41135"/>
    <m/>
  </r>
  <r>
    <x v="1143"/>
    <x v="5"/>
    <x v="5"/>
    <m/>
    <m/>
    <n v="205140"/>
    <n v="-205140"/>
    <m/>
  </r>
  <r>
    <x v="1143"/>
    <x v="107"/>
    <x v="5"/>
    <s v="4893"/>
    <n v="3500"/>
    <m/>
    <n v="3500"/>
    <m/>
  </r>
  <r>
    <x v="1144"/>
    <x v="105"/>
    <x v="30"/>
    <m/>
    <n v="1044000"/>
    <m/>
    <n v="1044000"/>
    <m/>
  </r>
  <r>
    <x v="1144"/>
    <x v="107"/>
    <x v="20"/>
    <s v="154"/>
    <n v="26569"/>
    <m/>
    <n v="26569"/>
    <m/>
  </r>
  <r>
    <x v="1144"/>
    <x v="119"/>
    <x v="20"/>
    <s v="155"/>
    <n v="15289"/>
    <m/>
    <n v="15289"/>
    <m/>
  </r>
  <r>
    <x v="1144"/>
    <x v="105"/>
    <x v="30"/>
    <m/>
    <m/>
    <n v="1000000"/>
    <n v="-1000000"/>
    <s v="CHQ Paid (CHQ given from Total in BAH deal Rec)"/>
  </r>
  <r>
    <x v="1144"/>
    <x v="5"/>
    <x v="7"/>
    <m/>
    <m/>
    <n v="250000"/>
    <n v="-250000"/>
    <s v="Online by al madina steel "/>
  </r>
  <r>
    <x v="1145"/>
    <x v="103"/>
    <x v="14"/>
    <m/>
    <m/>
    <n v="1500000"/>
    <n v="-1500000"/>
    <s v="CHQ Paid (CHQ given from Total in BAH deal Rec)"/>
  </r>
  <r>
    <x v="1145"/>
    <x v="107"/>
    <x v="5"/>
    <s v="4897"/>
    <n v="7000"/>
    <m/>
    <n v="7000"/>
    <m/>
  </r>
  <r>
    <x v="1146"/>
    <x v="103"/>
    <x v="19"/>
    <m/>
    <m/>
    <n v="1000000"/>
    <n v="-1000000"/>
    <s v="CHQ Paid (CHQ given from Total in BAH deal Rec)"/>
  </r>
  <r>
    <x v="1146"/>
    <x v="104"/>
    <x v="0"/>
    <m/>
    <m/>
    <n v="250000"/>
    <n v="-250000"/>
    <s v="Online by al madina steel "/>
  </r>
  <r>
    <x v="1146"/>
    <x v="108"/>
    <x v="14"/>
    <m/>
    <m/>
    <n v="1000000"/>
    <n v="-1000000"/>
    <s v="CHQ Paid (CHQ given from Total in BAH deal Rec)"/>
  </r>
  <r>
    <x v="1146"/>
    <x v="105"/>
    <x v="19"/>
    <m/>
    <n v="2000000"/>
    <m/>
    <n v="2000000"/>
    <s v="deal lock in eY"/>
  </r>
  <r>
    <x v="1146"/>
    <x v="105"/>
    <x v="19"/>
    <m/>
    <m/>
    <n v="1000000"/>
    <n v="-1000000"/>
    <s v="Advance given in EY deal (Cash collect by tajammul from Al madina steel)"/>
  </r>
  <r>
    <x v="1146"/>
    <x v="105"/>
    <x v="19"/>
    <m/>
    <m/>
    <n v="250000"/>
    <n v="-250000"/>
    <s v="Online by adeel steel"/>
  </r>
  <r>
    <x v="1146"/>
    <x v="105"/>
    <x v="19"/>
    <m/>
    <m/>
    <n v="250000"/>
    <n v="-250000"/>
    <s v="Online by adeel steel"/>
  </r>
  <r>
    <x v="1147"/>
    <x v="102"/>
    <x v="0"/>
    <m/>
    <n v="199500"/>
    <m/>
    <n v="199500"/>
    <m/>
  </r>
  <r>
    <x v="1148"/>
    <x v="115"/>
    <x v="9"/>
    <m/>
    <m/>
    <n v="60000"/>
    <n v="-60000"/>
    <s v="online by adeel steel"/>
  </r>
  <r>
    <x v="1148"/>
    <x v="114"/>
    <x v="9"/>
    <m/>
    <m/>
    <n v="190000"/>
    <n v="-190000"/>
    <m/>
  </r>
  <r>
    <x v="1148"/>
    <x v="107"/>
    <x v="24"/>
    <m/>
    <m/>
    <n v="500000"/>
    <n v="-500000"/>
    <s v="Online by adeel steel"/>
  </r>
  <r>
    <x v="1148"/>
    <x v="102"/>
    <x v="0"/>
    <s v="5660"/>
    <n v="1154145"/>
    <m/>
    <n v="1154145"/>
    <s v="GST invoice in the name of IK Associates"/>
  </r>
  <r>
    <x v="1149"/>
    <x v="102"/>
    <x v="0"/>
    <m/>
    <m/>
    <n v="1154145"/>
    <n v="-1154145"/>
    <s v="CHq rec from IK in Dawood center"/>
  </r>
  <r>
    <x v="1149"/>
    <x v="91"/>
    <x v="3"/>
    <s v="3182"/>
    <n v="111994"/>
    <m/>
    <n v="111994"/>
    <m/>
  </r>
  <r>
    <x v="1149"/>
    <x v="105"/>
    <x v="13"/>
    <m/>
    <m/>
    <n v="750000"/>
    <n v="-750000"/>
    <s v="sheet hawala from al madia steel"/>
  </r>
  <r>
    <x v="1149"/>
    <x v="108"/>
    <x v="20"/>
    <m/>
    <m/>
    <n v="250000"/>
    <n v="-250000"/>
    <s v="sheet hawala from al madina steel"/>
  </r>
  <r>
    <x v="1149"/>
    <x v="119"/>
    <x v="20"/>
    <m/>
    <m/>
    <n v="250000"/>
    <n v="-250000"/>
    <m/>
  </r>
  <r>
    <x v="1149"/>
    <x v="104"/>
    <x v="20"/>
    <m/>
    <m/>
    <n v="500000"/>
    <n v="-500000"/>
    <m/>
  </r>
  <r>
    <x v="1149"/>
    <x v="105"/>
    <x v="0"/>
    <s v="545"/>
    <n v="94520"/>
    <m/>
    <n v="94520"/>
    <m/>
  </r>
  <r>
    <x v="1149"/>
    <x v="107"/>
    <x v="22"/>
    <s v="2212"/>
    <n v="8400"/>
    <m/>
    <n v="8400"/>
    <m/>
  </r>
  <r>
    <x v="1150"/>
    <x v="105"/>
    <x v="0"/>
    <s v="547"/>
    <n v="9630"/>
    <m/>
    <n v="9630"/>
    <m/>
  </r>
  <r>
    <x v="1151"/>
    <x v="102"/>
    <x v="5"/>
    <s v="4918"/>
    <n v="33840"/>
    <m/>
    <n v="33840"/>
    <m/>
  </r>
  <r>
    <x v="1151"/>
    <x v="104"/>
    <x v="22"/>
    <s v="2228"/>
    <n v="102000"/>
    <m/>
    <n v="102000"/>
    <m/>
  </r>
  <r>
    <x v="1151"/>
    <x v="109"/>
    <x v="22"/>
    <s v="2229"/>
    <n v="82500"/>
    <m/>
    <n v="82500"/>
    <m/>
  </r>
  <r>
    <x v="1151"/>
    <x v="5"/>
    <x v="3"/>
    <s v="3242"/>
    <n v="34317"/>
    <m/>
    <n v="34317"/>
    <m/>
  </r>
  <r>
    <x v="1152"/>
    <x v="112"/>
    <x v="20"/>
    <m/>
    <m/>
    <n v="25780"/>
    <n v="-25780"/>
    <s v="sheet hawala adjust from al madina steel = 900,000"/>
  </r>
  <r>
    <x v="1152"/>
    <x v="108"/>
    <x v="20"/>
    <m/>
    <m/>
    <n v="10470"/>
    <n v="-10470"/>
    <m/>
  </r>
  <r>
    <x v="1152"/>
    <x v="103"/>
    <x v="20"/>
    <m/>
    <m/>
    <n v="1347"/>
    <n v="-1347"/>
    <m/>
  </r>
  <r>
    <x v="1152"/>
    <x v="107"/>
    <x v="20"/>
    <m/>
    <m/>
    <n v="187415"/>
    <n v="-187415"/>
    <m/>
  </r>
  <r>
    <x v="1152"/>
    <x v="117"/>
    <x v="20"/>
    <m/>
    <m/>
    <n v="4390"/>
    <n v="-4390"/>
    <m/>
  </r>
  <r>
    <x v="1152"/>
    <x v="118"/>
    <x v="20"/>
    <m/>
    <m/>
    <n v="75122"/>
    <n v="-75122"/>
    <m/>
  </r>
  <r>
    <x v="1152"/>
    <x v="119"/>
    <x v="20"/>
    <m/>
    <m/>
    <n v="130168"/>
    <n v="-130168"/>
    <m/>
  </r>
  <r>
    <x v="1152"/>
    <x v="120"/>
    <x v="20"/>
    <m/>
    <m/>
    <n v="13416"/>
    <n v="-13416"/>
    <m/>
  </r>
  <r>
    <x v="1152"/>
    <x v="121"/>
    <x v="20"/>
    <m/>
    <m/>
    <n v="56173"/>
    <n v="-56173"/>
    <m/>
  </r>
  <r>
    <x v="1152"/>
    <x v="122"/>
    <x v="20"/>
    <m/>
    <m/>
    <n v="73043"/>
    <n v="-73043"/>
    <m/>
  </r>
  <r>
    <x v="1152"/>
    <x v="104"/>
    <x v="20"/>
    <m/>
    <m/>
    <n v="322676"/>
    <n v="-322676"/>
    <m/>
  </r>
  <r>
    <x v="1152"/>
    <x v="102"/>
    <x v="3"/>
    <s v="3282"/>
    <n v="30000"/>
    <m/>
    <n v="30000"/>
    <m/>
  </r>
  <r>
    <x v="1153"/>
    <x v="107"/>
    <x v="5"/>
    <s v="4924"/>
    <n v="10500"/>
    <m/>
    <n v="10500"/>
    <m/>
  </r>
  <r>
    <x v="1153"/>
    <x v="105"/>
    <x v="22"/>
    <s v="2235"/>
    <n v="239352"/>
    <m/>
    <n v="239352"/>
    <m/>
  </r>
  <r>
    <x v="1153"/>
    <x v="105"/>
    <x v="22"/>
    <s v="2236"/>
    <n v="115501"/>
    <m/>
    <n v="115501"/>
    <m/>
  </r>
  <r>
    <x v="1154"/>
    <x v="105"/>
    <x v="13"/>
    <m/>
    <m/>
    <n v="306300"/>
    <n v="-306300"/>
    <s v="sheet purchased from adeel steel (973 Kgs)"/>
  </r>
  <r>
    <x v="1155"/>
    <x v="110"/>
    <x v="22"/>
    <m/>
    <m/>
    <n v="148537"/>
    <n v="-148537"/>
    <s v="Cash given by Bilal bhai = 750,000"/>
  </r>
  <r>
    <x v="1155"/>
    <x v="112"/>
    <x v="22"/>
    <m/>
    <m/>
    <n v="8740"/>
    <n v="-8740"/>
    <m/>
  </r>
  <r>
    <x v="1155"/>
    <x v="115"/>
    <x v="22"/>
    <m/>
    <m/>
    <n v="91300"/>
    <n v="-91300"/>
    <m/>
  </r>
  <r>
    <x v="1155"/>
    <x v="116"/>
    <x v="22"/>
    <m/>
    <m/>
    <n v="10980"/>
    <n v="-10980"/>
    <m/>
  </r>
  <r>
    <x v="1155"/>
    <x v="114"/>
    <x v="22"/>
    <m/>
    <m/>
    <n v="206520"/>
    <n v="-206520"/>
    <m/>
  </r>
  <r>
    <x v="1155"/>
    <x v="120"/>
    <x v="22"/>
    <m/>
    <m/>
    <n v="19640"/>
    <n v="-19640"/>
    <m/>
  </r>
  <r>
    <x v="1155"/>
    <x v="113"/>
    <x v="22"/>
    <m/>
    <m/>
    <n v="259118"/>
    <n v="-259118"/>
    <m/>
  </r>
  <r>
    <x v="1155"/>
    <x v="103"/>
    <x v="22"/>
    <m/>
    <m/>
    <n v="5165"/>
    <n v="-5165"/>
    <m/>
  </r>
  <r>
    <x v="1156"/>
    <x v="105"/>
    <x v="14"/>
    <s v="1805"/>
    <n v="816740"/>
    <m/>
    <n v="816740"/>
    <m/>
  </r>
  <r>
    <x v="1156"/>
    <x v="105"/>
    <x v="22"/>
    <s v="2256"/>
    <n v="328130"/>
    <m/>
    <n v="328130"/>
    <m/>
  </r>
  <r>
    <x v="1156"/>
    <x v="105"/>
    <x v="22"/>
    <s v="2257"/>
    <n v="151031"/>
    <m/>
    <n v="151031"/>
    <m/>
  </r>
  <r>
    <x v="1156"/>
    <x v="105"/>
    <x v="0"/>
    <s v="553"/>
    <n v="408700"/>
    <m/>
    <n v="408700"/>
    <m/>
  </r>
  <r>
    <x v="1157"/>
    <x v="105"/>
    <x v="31"/>
    <m/>
    <m/>
    <n v="550000"/>
    <n v="-550000"/>
    <s v="CHQ given (rec from Total in BAH project)"/>
  </r>
  <r>
    <x v="1157"/>
    <x v="105"/>
    <x v="14"/>
    <s v="1808"/>
    <n v="831940"/>
    <m/>
    <n v="831940"/>
    <m/>
  </r>
  <r>
    <x v="1157"/>
    <x v="105"/>
    <x v="22"/>
    <s v="2263"/>
    <n v="57332"/>
    <m/>
    <n v="57332"/>
    <m/>
  </r>
  <r>
    <x v="1158"/>
    <x v="107"/>
    <x v="0"/>
    <s v="554"/>
    <n v="36300"/>
    <m/>
    <n v="36300"/>
    <m/>
  </r>
  <r>
    <x v="1158"/>
    <x v="107"/>
    <x v="24"/>
    <s v="24"/>
    <n v="57719"/>
    <m/>
    <n v="57719"/>
    <m/>
  </r>
  <r>
    <x v="1159"/>
    <x v="105"/>
    <x v="22"/>
    <s v="2271"/>
    <n v="24244"/>
    <m/>
    <n v="24244"/>
    <m/>
  </r>
  <r>
    <x v="1159"/>
    <x v="107"/>
    <x v="22"/>
    <s v="2272"/>
    <n v="28900"/>
    <m/>
    <n v="28900"/>
    <m/>
  </r>
  <r>
    <x v="1159"/>
    <x v="107"/>
    <x v="5"/>
    <s v="4938"/>
    <n v="5100"/>
    <m/>
    <n v="5100"/>
    <m/>
  </r>
  <r>
    <x v="1160"/>
    <x v="107"/>
    <x v="5"/>
    <s v="4940"/>
    <n v="7000"/>
    <m/>
    <n v="7000"/>
    <m/>
  </r>
  <r>
    <x v="1160"/>
    <x v="5"/>
    <x v="15"/>
    <m/>
    <m/>
    <n v="400000"/>
    <n v="-400000"/>
    <s v="CHQ rec from Adeel steel (meezan cross chq A-87074027"/>
  </r>
  <r>
    <x v="1160"/>
    <x v="105"/>
    <x v="31"/>
    <m/>
    <n v="1680000"/>
    <m/>
    <n v="1680000"/>
    <m/>
  </r>
  <r>
    <x v="1160"/>
    <x v="105"/>
    <x v="31"/>
    <m/>
    <m/>
    <n v="600000"/>
    <n v="-600000"/>
    <s v="CHQ rec from Total construction in BAH project"/>
  </r>
  <r>
    <x v="1160"/>
    <x v="87"/>
    <x v="8"/>
    <m/>
    <m/>
    <n v="56522"/>
    <n v="-56522"/>
    <s v="adjusted"/>
  </r>
  <r>
    <x v="1160"/>
    <x v="87"/>
    <x v="18"/>
    <m/>
    <m/>
    <n v="24000"/>
    <n v="-24000"/>
    <s v="adjusted"/>
  </r>
  <r>
    <x v="1160"/>
    <x v="50"/>
    <x v="11"/>
    <m/>
    <m/>
    <n v="76350"/>
    <n v="-76350"/>
    <s v="adjusted"/>
  </r>
  <r>
    <x v="1160"/>
    <x v="87"/>
    <x v="2"/>
    <m/>
    <m/>
    <n v="33213"/>
    <n v="-33213"/>
    <s v="adjusted"/>
  </r>
  <r>
    <x v="1160"/>
    <x v="25"/>
    <x v="6"/>
    <m/>
    <m/>
    <n v="101800"/>
    <n v="-101800"/>
    <s v="adjusted"/>
  </r>
  <r>
    <x v="1160"/>
    <x v="51"/>
    <x v="6"/>
    <m/>
    <m/>
    <n v="99334"/>
    <n v="-99334"/>
    <s v="adjusted"/>
  </r>
  <r>
    <x v="1160"/>
    <x v="108"/>
    <x v="23"/>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20"/>
    <s v="157"/>
    <n v="128444"/>
    <m/>
    <n v="128444"/>
    <m/>
  </r>
  <r>
    <x v="1162"/>
    <x v="123"/>
    <x v="5"/>
    <s v="20652"/>
    <n v="140000"/>
    <m/>
    <n v="140000"/>
    <m/>
  </r>
  <r>
    <x v="1163"/>
    <x v="123"/>
    <x v="5"/>
    <s v="20651"/>
    <n v="140000"/>
    <m/>
    <n v="140000"/>
    <m/>
  </r>
  <r>
    <x v="1163"/>
    <x v="105"/>
    <x v="14"/>
    <s v="1813"/>
    <n v="816740"/>
    <m/>
    <n v="816740"/>
    <m/>
  </r>
  <r>
    <x v="1164"/>
    <x v="105"/>
    <x v="14"/>
    <s v="1814"/>
    <n v="45600"/>
    <m/>
    <n v="45600"/>
    <m/>
  </r>
  <r>
    <x v="1164"/>
    <x v="123"/>
    <x v="5"/>
    <s v="20653"/>
    <n v="140000"/>
    <m/>
    <n v="140000"/>
    <m/>
  </r>
  <r>
    <x v="1164"/>
    <x v="108"/>
    <x v="14"/>
    <m/>
    <m/>
    <n v="1000000"/>
    <n v="-1000000"/>
    <s v="Online by adeel steel"/>
  </r>
  <r>
    <x v="1164"/>
    <x v="123"/>
    <x v="26"/>
    <m/>
    <n v="312552"/>
    <m/>
    <n v="312552"/>
    <m/>
  </r>
  <r>
    <x v="1164"/>
    <x v="123"/>
    <x v="26"/>
    <m/>
    <m/>
    <n v="150000"/>
    <n v="-150000"/>
    <s v="Online by Al  madina"/>
  </r>
  <r>
    <x v="1164"/>
    <x v="105"/>
    <x v="20"/>
    <s v="156"/>
    <n v="2308000"/>
    <m/>
    <n v="2308000"/>
    <m/>
  </r>
  <r>
    <x v="1164"/>
    <x v="107"/>
    <x v="20"/>
    <s v="158"/>
    <n v="20637"/>
    <m/>
    <n v="20637"/>
    <m/>
  </r>
  <r>
    <x v="1164"/>
    <x v="102"/>
    <x v="20"/>
    <s v="159"/>
    <n v="15317"/>
    <m/>
    <n v="15317"/>
    <m/>
  </r>
  <r>
    <x v="1165"/>
    <x v="108"/>
    <x v="3"/>
    <s v="3611"/>
    <n v="6729"/>
    <m/>
    <n v="6729"/>
    <m/>
  </r>
  <r>
    <x v="1165"/>
    <x v="107"/>
    <x v="24"/>
    <s v="27"/>
    <n v="27608"/>
    <m/>
    <n v="27608"/>
    <m/>
  </r>
  <r>
    <x v="1165"/>
    <x v="105"/>
    <x v="32"/>
    <m/>
    <n v="903164"/>
    <m/>
    <n v="903164"/>
    <m/>
  </r>
  <r>
    <x v="1165"/>
    <x v="105"/>
    <x v="32"/>
    <m/>
    <m/>
    <n v="500000"/>
    <n v="-500000"/>
    <s v="Online by adeel steel"/>
  </r>
  <r>
    <x v="1165"/>
    <x v="105"/>
    <x v="20"/>
    <m/>
    <m/>
    <n v="1000000"/>
    <n v="-1000000"/>
    <s v="Sheet hawala from al madina steel "/>
  </r>
  <r>
    <x v="1166"/>
    <x v="107"/>
    <x v="17"/>
    <m/>
    <m/>
    <n v="500000"/>
    <n v="-500000"/>
    <s v="Cash collect from al madina"/>
  </r>
  <r>
    <x v="1166"/>
    <x v="107"/>
    <x v="5"/>
    <s v="4952"/>
    <n v="22950"/>
    <m/>
    <n v="22950"/>
    <m/>
  </r>
  <r>
    <x v="1166"/>
    <x v="103"/>
    <x v="19"/>
    <m/>
    <m/>
    <n v="500000"/>
    <n v="-500000"/>
    <s v="Online transfer in Naveed ali nawab acc"/>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5"/>
    <s v="20681"/>
    <n v="140000"/>
    <m/>
    <n v="140000"/>
    <m/>
  </r>
  <r>
    <x v="1168"/>
    <x v="123"/>
    <x v="5"/>
    <s v="20682"/>
    <n v="140000"/>
    <m/>
    <n v="140000"/>
    <m/>
  </r>
  <r>
    <x v="1168"/>
    <x v="105"/>
    <x v="22"/>
    <s v="2318"/>
    <n v="169119"/>
    <m/>
    <n v="169119"/>
    <m/>
  </r>
  <r>
    <x v="1168"/>
    <x v="105"/>
    <x v="1"/>
    <s v="1707"/>
    <n v="73000"/>
    <m/>
    <n v="73000"/>
    <m/>
  </r>
  <r>
    <x v="1169"/>
    <x v="5"/>
    <x v="1"/>
    <m/>
    <m/>
    <n v="300000"/>
    <n v="-300000"/>
    <s v="Online by Al madina steel"/>
  </r>
  <r>
    <x v="1169"/>
    <x v="105"/>
    <x v="5"/>
    <s v="4965"/>
    <n v="56000"/>
    <m/>
    <n v="56000"/>
    <m/>
  </r>
  <r>
    <x v="1170"/>
    <x v="105"/>
    <x v="20"/>
    <s v="160"/>
    <n v="294353"/>
    <m/>
    <n v="294353"/>
    <m/>
  </r>
  <r>
    <x v="1170"/>
    <x v="102"/>
    <x v="20"/>
    <s v="161"/>
    <n v="186369"/>
    <m/>
    <n v="186369"/>
    <m/>
  </r>
  <r>
    <x v="1171"/>
    <x v="51"/>
    <x v="20"/>
    <s v="162"/>
    <n v="162620"/>
    <m/>
    <n v="162620"/>
    <m/>
  </r>
  <r>
    <x v="1171"/>
    <x v="107"/>
    <x v="3"/>
    <s v="3791"/>
    <n v="756"/>
    <m/>
    <n v="756"/>
    <m/>
  </r>
  <r>
    <x v="1171"/>
    <x v="123"/>
    <x v="20"/>
    <s v="163"/>
    <n v="220142"/>
    <m/>
    <n v="220142"/>
    <m/>
  </r>
  <r>
    <x v="1171"/>
    <x v="102"/>
    <x v="14"/>
    <s v="1825"/>
    <n v="138352"/>
    <m/>
    <n v="138352"/>
    <m/>
  </r>
  <r>
    <x v="1171"/>
    <x v="102"/>
    <x v="14"/>
    <s v="1827"/>
    <n v="131702"/>
    <m/>
    <n v="131702"/>
    <m/>
  </r>
  <r>
    <x v="1172"/>
    <x v="105"/>
    <x v="22"/>
    <m/>
    <m/>
    <n v="158688"/>
    <n v="-158688"/>
    <s v="cash paid"/>
  </r>
  <r>
    <x v="1173"/>
    <x v="105"/>
    <x v="14"/>
    <s v="1828"/>
    <n v="704112"/>
    <m/>
    <n v="704112"/>
    <m/>
  </r>
  <r>
    <x v="1173"/>
    <x v="123"/>
    <x v="26"/>
    <m/>
    <m/>
    <n v="162500"/>
    <n v="-162500"/>
    <s v="Online by adeel steel"/>
  </r>
  <r>
    <x v="1173"/>
    <x v="123"/>
    <x v="26"/>
    <m/>
    <m/>
    <n v="52"/>
    <n v="-52"/>
    <s v="adjust"/>
  </r>
  <r>
    <x v="1173"/>
    <x v="105"/>
    <x v="22"/>
    <s v="2343"/>
    <n v="158688"/>
    <m/>
    <n v="158688"/>
    <m/>
  </r>
  <r>
    <x v="1174"/>
    <x v="105"/>
    <x v="30"/>
    <m/>
    <n v="850000"/>
    <m/>
    <n v="850000"/>
    <s v="Special basin 12 Nos"/>
  </r>
  <r>
    <x v="1174"/>
    <x v="107"/>
    <x v="5"/>
    <s v="4987"/>
    <n v="8000"/>
    <m/>
    <n v="8000"/>
    <m/>
  </r>
  <r>
    <x v="1175"/>
    <x v="105"/>
    <x v="30"/>
    <m/>
    <m/>
    <n v="500000"/>
    <n v="-500000"/>
    <s v="Online by adeel steel"/>
  </r>
  <r>
    <x v="1176"/>
    <x v="105"/>
    <x v="19"/>
    <m/>
    <m/>
    <n v="500000"/>
    <n v="-500000"/>
    <s v="cash from al madina steel"/>
  </r>
  <r>
    <x v="1177"/>
    <x v="105"/>
    <x v="14"/>
    <s v="1830"/>
    <n v="688912"/>
    <m/>
    <n v="688912"/>
    <m/>
  </r>
  <r>
    <x v="1177"/>
    <x v="91"/>
    <x v="14"/>
    <s v="1835"/>
    <n v="52109"/>
    <m/>
    <n v="52109"/>
    <m/>
  </r>
  <r>
    <x v="1177"/>
    <x v="105"/>
    <x v="14"/>
    <s v="1837"/>
    <n v="90000"/>
    <m/>
    <n v="90000"/>
    <m/>
  </r>
  <r>
    <x v="1178"/>
    <x v="105"/>
    <x v="20"/>
    <m/>
    <m/>
    <n v="1000000"/>
    <n v="-1000000"/>
    <s v="Sheet hawala from al madina steel "/>
  </r>
  <r>
    <x v="1178"/>
    <x v="91"/>
    <x v="20"/>
    <s v="164"/>
    <n v="38932"/>
    <m/>
    <n v="38932"/>
    <m/>
  </r>
  <r>
    <x v="1179"/>
    <x v="105"/>
    <x v="20"/>
    <s v="165"/>
    <n v="23692"/>
    <m/>
    <n v="23692"/>
    <m/>
  </r>
  <r>
    <x v="1179"/>
    <x v="122"/>
    <x v="20"/>
    <s v="166"/>
    <n v="59502"/>
    <m/>
    <n v="59502"/>
    <m/>
  </r>
  <r>
    <x v="1179"/>
    <x v="123"/>
    <x v="20"/>
    <s v="167"/>
    <n v="136842"/>
    <m/>
    <n v="136842"/>
    <m/>
  </r>
  <r>
    <x v="1179"/>
    <x v="109"/>
    <x v="22"/>
    <s v="2365"/>
    <n v="27500"/>
    <m/>
    <n v="27500"/>
    <m/>
  </r>
  <r>
    <x v="1180"/>
    <x v="105"/>
    <x v="14"/>
    <s v="1836"/>
    <n v="549168"/>
    <m/>
    <n v="549168"/>
    <m/>
  </r>
  <r>
    <x v="1180"/>
    <x v="105"/>
    <x v="14"/>
    <s v="1842"/>
    <n v="336414"/>
    <m/>
    <n v="336414"/>
    <m/>
  </r>
  <r>
    <x v="1181"/>
    <x v="105"/>
    <x v="20"/>
    <s v="168"/>
    <n v="23879"/>
    <m/>
    <n v="23879"/>
    <m/>
  </r>
  <r>
    <x v="1181"/>
    <x v="121"/>
    <x v="20"/>
    <s v="169"/>
    <n v="6768"/>
    <m/>
    <n v="6768"/>
    <m/>
  </r>
  <r>
    <x v="1181"/>
    <x v="105"/>
    <x v="13"/>
    <m/>
    <m/>
    <n v="400000"/>
    <n v="-400000"/>
    <s v="Sheet hawala from al madina steel "/>
  </r>
  <r>
    <x v="1181"/>
    <x v="102"/>
    <x v="22"/>
    <m/>
    <m/>
    <n v="480000"/>
    <n v="-480000"/>
    <s v="CHQ rec from Adeel steel on 25-1-24 (P3 ducting from fakhri)"/>
  </r>
  <r>
    <x v="1181"/>
    <x v="102"/>
    <x v="22"/>
    <m/>
    <m/>
    <n v="370000"/>
    <n v="-370000"/>
    <s v="CHQ rec from Adeel steel on 25-1-24 (P3 ducting from fakhri)"/>
  </r>
  <r>
    <x v="1181"/>
    <x v="102"/>
    <x v="22"/>
    <m/>
    <m/>
    <n v="704800"/>
    <n v="-704800"/>
    <s v="Online by adeel steel (P3 ducting from fakhri)"/>
  </r>
  <r>
    <x v="1181"/>
    <x v="102"/>
    <x v="0"/>
    <s v="573"/>
    <n v="427400"/>
    <m/>
    <n v="427400"/>
    <m/>
  </r>
  <r>
    <x v="1182"/>
    <x v="5"/>
    <x v="15"/>
    <m/>
    <m/>
    <n v="300000"/>
    <n v="-300000"/>
    <s v="Online by BH"/>
  </r>
  <r>
    <x v="1183"/>
    <x v="102"/>
    <x v="22"/>
    <s v="2378"/>
    <n v="1554800"/>
    <m/>
    <n v="1554800"/>
    <m/>
  </r>
  <r>
    <x v="1183"/>
    <x v="107"/>
    <x v="5"/>
    <s v="5007"/>
    <n v="3300"/>
    <m/>
    <n v="3300"/>
    <m/>
  </r>
  <r>
    <x v="1184"/>
    <x v="107"/>
    <x v="17"/>
    <m/>
    <m/>
    <n v="275000"/>
    <n v="-275000"/>
    <s v="Online by adeel steel"/>
  </r>
  <r>
    <x v="1184"/>
    <x v="105"/>
    <x v="14"/>
    <m/>
    <m/>
    <n v="1000000"/>
    <n v="-1000000"/>
    <s v="Online to Global Technologies (by adeel)"/>
  </r>
  <r>
    <x v="1184"/>
    <x v="124"/>
    <x v="14"/>
    <s v="1831"/>
    <n v="45459"/>
    <m/>
    <n v="45459"/>
    <m/>
  </r>
  <r>
    <x v="1185"/>
    <x v="105"/>
    <x v="20"/>
    <m/>
    <m/>
    <n v="500000"/>
    <n v="-500000"/>
    <s v="Sheet hawala from al madina steel "/>
  </r>
  <r>
    <x v="1185"/>
    <x v="114"/>
    <x v="0"/>
    <m/>
    <m/>
    <n v="13760"/>
    <n v="-13760"/>
    <s v="Cash took from al madina steel = 500,000"/>
  </r>
  <r>
    <x v="1185"/>
    <x v="107"/>
    <x v="0"/>
    <m/>
    <m/>
    <n v="164280"/>
    <n v="-164280"/>
    <m/>
  </r>
  <r>
    <x v="1185"/>
    <x v="104"/>
    <x v="0"/>
    <m/>
    <m/>
    <n v="145230"/>
    <n v="-145230"/>
    <m/>
  </r>
  <r>
    <x v="1185"/>
    <x v="105"/>
    <x v="0"/>
    <m/>
    <m/>
    <n v="176730"/>
    <n v="-176730"/>
    <m/>
  </r>
  <r>
    <x v="1182"/>
    <x v="5"/>
    <x v="5"/>
    <m/>
    <m/>
    <n v="653892"/>
    <n v="-653892"/>
    <s v="MCB Chq"/>
  </r>
  <r>
    <x v="1183"/>
    <x v="91"/>
    <x v="3"/>
    <s v="4062"/>
    <n v="75279"/>
    <m/>
    <n v="75279"/>
    <m/>
  </r>
  <r>
    <x v="1185"/>
    <x v="102"/>
    <x v="3"/>
    <s v="4135"/>
    <n v="4290"/>
    <m/>
    <n v="4290"/>
    <m/>
  </r>
  <r>
    <x v="1186"/>
    <x v="107"/>
    <x v="24"/>
    <s v="27"/>
    <n v="27608"/>
    <m/>
    <n v="27608"/>
    <m/>
  </r>
  <r>
    <x v="1186"/>
    <x v="123"/>
    <x v="20"/>
    <s v="170"/>
    <n v="64376"/>
    <m/>
    <n v="64376"/>
    <m/>
  </r>
  <r>
    <x v="1186"/>
    <x v="102"/>
    <x v="20"/>
    <s v="171"/>
    <n v="40701"/>
    <m/>
    <n v="40701"/>
    <m/>
  </r>
  <r>
    <x v="1186"/>
    <x v="108"/>
    <x v="23"/>
    <m/>
    <m/>
    <n v="146000"/>
    <n v="-146000"/>
    <s v="Online in Imran shafqaut acc (online by adeel)"/>
  </r>
  <r>
    <x v="1186"/>
    <x v="105"/>
    <x v="1"/>
    <s v="1830"/>
    <n v="82734"/>
    <m/>
    <n v="82734"/>
    <m/>
  </r>
  <r>
    <x v="1186"/>
    <x v="102"/>
    <x v="3"/>
    <s v="4156"/>
    <n v="2660"/>
    <m/>
    <n v="2660"/>
    <m/>
  </r>
  <r>
    <x v="1186"/>
    <x v="102"/>
    <x v="3"/>
    <s v="4157"/>
    <n v="3588"/>
    <m/>
    <n v="3588"/>
    <m/>
  </r>
  <r>
    <x v="1187"/>
    <x v="107"/>
    <x v="24"/>
    <m/>
    <m/>
    <n v="200000"/>
    <n v="-200000"/>
    <s v="received from BAF 10 floor but actually rec from J.B Interor care off Jaffar brother (This payment online to Thumb international in acc of S. Abdur Rehman ahmed acc in engro deal)"/>
  </r>
  <r>
    <x v="1187"/>
    <x v="105"/>
    <x v="14"/>
    <m/>
    <m/>
    <n v="1000000"/>
    <n v="-1000000"/>
    <s v="by al madina"/>
  </r>
  <r>
    <x v="1187"/>
    <x v="105"/>
    <x v="14"/>
    <s v="1849"/>
    <n v="123660"/>
    <m/>
    <n v="123660"/>
    <m/>
  </r>
  <r>
    <x v="1187"/>
    <x v="105"/>
    <x v="14"/>
    <s v="1850"/>
    <n v="270563"/>
    <m/>
    <n v="270563"/>
    <m/>
  </r>
  <r>
    <x v="1188"/>
    <x v="105"/>
    <x v="1"/>
    <s v="1837"/>
    <n v="4657"/>
    <m/>
    <n v="4657"/>
    <m/>
  </r>
  <r>
    <x v="1189"/>
    <x v="105"/>
    <x v="20"/>
    <s v="172"/>
    <n v="25644"/>
    <m/>
    <n v="25644"/>
    <m/>
  </r>
  <r>
    <x v="1189"/>
    <x v="123"/>
    <x v="20"/>
    <s v="173"/>
    <n v="20455"/>
    <m/>
    <n v="20455"/>
    <m/>
  </r>
  <r>
    <x v="1189"/>
    <x v="107"/>
    <x v="5"/>
    <s v="5029"/>
    <n v="1460"/>
    <m/>
    <n v="1460"/>
    <m/>
  </r>
  <r>
    <x v="1190"/>
    <x v="105"/>
    <x v="14"/>
    <s v="1855"/>
    <n v="30400"/>
    <m/>
    <n v="30400"/>
    <m/>
  </r>
  <r>
    <x v="1191"/>
    <x v="115"/>
    <x v="22"/>
    <s v="2428"/>
    <n v="22000"/>
    <m/>
    <n v="22000"/>
    <m/>
  </r>
  <r>
    <x v="1191"/>
    <x v="102"/>
    <x v="3"/>
    <m/>
    <m/>
    <n v="2776"/>
    <n v="-2776"/>
    <s v="sales return"/>
  </r>
  <r>
    <x v="1192"/>
    <x v="107"/>
    <x v="5"/>
    <s v="5146"/>
    <n v="34680"/>
    <m/>
    <n v="34680"/>
    <m/>
  </r>
  <r>
    <x v="1192"/>
    <x v="91"/>
    <x v="5"/>
    <s v="5047"/>
    <n v="3390"/>
    <m/>
    <n v="3390"/>
    <m/>
  </r>
  <r>
    <x v="1193"/>
    <x v="91"/>
    <x v="20"/>
    <s v="174"/>
    <n v="35310"/>
    <m/>
    <n v="35310"/>
    <m/>
  </r>
  <r>
    <x v="1194"/>
    <x v="105"/>
    <x v="20"/>
    <s v="175"/>
    <n v="27143"/>
    <m/>
    <n v="27143"/>
    <m/>
  </r>
  <r>
    <x v="1194"/>
    <x v="123"/>
    <x v="20"/>
    <s v="176"/>
    <n v="6740"/>
    <m/>
    <n v="6740"/>
    <m/>
  </r>
  <r>
    <x v="1195"/>
    <x v="105"/>
    <x v="14"/>
    <m/>
    <m/>
    <n v="2000000"/>
    <n v="-2000000"/>
    <s v="Online by AL madina steel"/>
  </r>
  <r>
    <x v="1195"/>
    <x v="105"/>
    <x v="14"/>
    <s v="1862"/>
    <n v="30400"/>
    <m/>
    <n v="30400"/>
    <m/>
  </r>
  <r>
    <x v="1195"/>
    <x v="105"/>
    <x v="14"/>
    <s v="1863"/>
    <n v="131702"/>
    <m/>
    <n v="131702"/>
    <m/>
  </r>
  <r>
    <x v="1195"/>
    <x v="102"/>
    <x v="5"/>
    <s v="5063"/>
    <n v="60200"/>
    <m/>
    <n v="60200"/>
    <m/>
  </r>
  <r>
    <x v="1196"/>
    <x v="5"/>
    <x v="20"/>
    <m/>
    <m/>
    <n v="1000000"/>
    <n v="-1000000"/>
    <s v="by al madina"/>
  </r>
  <r>
    <x v="1197"/>
    <x v="105"/>
    <x v="14"/>
    <s v="1866"/>
    <n v="9000"/>
    <m/>
    <n v="9000"/>
    <m/>
  </r>
  <r>
    <x v="1198"/>
    <x v="105"/>
    <x v="14"/>
    <s v="1869"/>
    <n v="227953"/>
    <m/>
    <n v="227953"/>
    <m/>
  </r>
  <r>
    <x v="1198"/>
    <x v="115"/>
    <x v="22"/>
    <s v="2461"/>
    <n v="11000"/>
    <m/>
    <n v="11000"/>
    <m/>
  </r>
  <r>
    <x v="1199"/>
    <x v="123"/>
    <x v="0"/>
    <m/>
    <m/>
    <n v="712701"/>
    <n v="-712701"/>
    <s v="rec from IK"/>
  </r>
  <r>
    <x v="1200"/>
    <x v="105"/>
    <x v="20"/>
    <s v="177"/>
    <n v="11306"/>
    <m/>
    <n v="11306"/>
    <m/>
  </r>
  <r>
    <x v="1201"/>
    <x v="107"/>
    <x v="24"/>
    <m/>
    <m/>
    <n v="100000"/>
    <n v="-100000"/>
    <s v="by adeel"/>
  </r>
  <r>
    <x v="1201"/>
    <x v="107"/>
    <x v="17"/>
    <m/>
    <m/>
    <n v="200000"/>
    <n v="-200000"/>
    <s v="by adeel"/>
  </r>
  <r>
    <x v="1201"/>
    <x v="107"/>
    <x v="17"/>
    <m/>
    <m/>
    <n v="100000"/>
    <n v="-100000"/>
    <s v="by adeel"/>
  </r>
  <r>
    <x v="1202"/>
    <x v="125"/>
    <x v="5"/>
    <s v="5095"/>
    <n v="14000"/>
    <m/>
    <n v="14000"/>
    <m/>
  </r>
  <r>
    <x v="1203"/>
    <x v="126"/>
    <x v="14"/>
    <s v="1885"/>
    <n v="87507"/>
    <m/>
    <n v="87507"/>
    <m/>
  </r>
  <r>
    <x v="1204"/>
    <x v="105"/>
    <x v="13"/>
    <s v="43"/>
    <n v="2720330"/>
    <m/>
    <n v="2720330"/>
    <m/>
  </r>
  <r>
    <x v="1205"/>
    <x v="125"/>
    <x v="22"/>
    <s v="2497"/>
    <n v="38500"/>
    <m/>
    <n v="38500"/>
    <m/>
  </r>
  <r>
    <x v="1205"/>
    <x v="105"/>
    <x v="13"/>
    <m/>
    <m/>
    <n v="700000"/>
    <n v="-700000"/>
    <s v="Sheet adjust from Al madina steel"/>
  </r>
  <r>
    <x v="1205"/>
    <x v="125"/>
    <x v="20"/>
    <s v="178"/>
    <n v="153139"/>
    <m/>
    <n v="153139"/>
    <m/>
  </r>
  <r>
    <x v="1206"/>
    <x v="105"/>
    <x v="13"/>
    <m/>
    <m/>
    <n v="200000"/>
    <n v="-200000"/>
    <s v="Online to Sami ducting (online by BH)"/>
  </r>
  <r>
    <x v="1207"/>
    <x v="125"/>
    <x v="13"/>
    <s v="1018"/>
    <n v="8500"/>
    <m/>
    <n v="8500"/>
    <m/>
  </r>
  <r>
    <x v="1208"/>
    <x v="5"/>
    <x v="3"/>
    <m/>
    <m/>
    <n v="300000"/>
    <n v="-300000"/>
    <s v="Online by adeel"/>
  </r>
  <r>
    <x v="1209"/>
    <x v="105"/>
    <x v="14"/>
    <m/>
    <m/>
    <n v="900000"/>
    <n v="-900000"/>
    <s v="chq from mughal"/>
  </r>
  <r>
    <x v="1209"/>
    <x v="105"/>
    <x v="14"/>
    <m/>
    <m/>
    <n v="924000"/>
    <n v="-924000"/>
    <s v="chq from mughal"/>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8"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19" firstHeaderRow="0" firstDataRow="1" firstDataCol="1" rowPageCount="3" colPageCount="1"/>
  <pivotFields count="8">
    <pivotField axis="axisPage" showAll="0">
      <items count="2307">
        <item x="249"/>
        <item m="1" x="2304"/>
        <item m="1" x="2259"/>
        <item m="1" x="2258"/>
        <item m="1" x="2272"/>
        <item m="1" x="2262"/>
        <item m="1" x="2224"/>
        <item m="1" x="2243"/>
        <item m="1" x="2250"/>
        <item m="1" x="2270"/>
        <item m="1" x="2249"/>
        <item m="1" x="2278"/>
        <item m="1" x="2286"/>
        <item m="1" x="2247"/>
        <item m="1" x="2293"/>
        <item m="1" x="2240"/>
        <item m="1" x="2298"/>
        <item m="1" x="2253"/>
        <item m="1" x="2213"/>
        <item m="1" x="2302"/>
        <item m="1" x="2305"/>
        <item m="1" x="2220"/>
        <item m="1" x="2261"/>
        <item m="1" x="2215"/>
        <item m="1" x="2216"/>
        <item m="1" x="2218"/>
        <item m="1" x="2232"/>
        <item m="1" x="2233"/>
        <item m="1" x="2279"/>
        <item m="1" x="2267"/>
        <item m="1" x="2268"/>
        <item m="1" x="2273"/>
        <item m="1" x="2284"/>
        <item m="1" x="2263"/>
        <item m="1" x="2225"/>
        <item m="1" x="2230"/>
        <item m="1" x="2237"/>
        <item m="1" x="2287"/>
        <item x="0"/>
        <item m="1" x="2274"/>
        <item m="1" x="2280"/>
        <item m="1" x="2238"/>
        <item x="1"/>
        <item m="1" x="2281"/>
        <item m="1" x="2300"/>
        <item x="2"/>
        <item x="3"/>
        <item m="1" x="2244"/>
        <item m="1" x="2295"/>
        <item m="1" x="2241"/>
        <item m="1" x="2291"/>
        <item m="1" x="2299"/>
        <item m="1" x="2303"/>
        <item x="4"/>
        <item m="1" x="2214"/>
        <item x="5"/>
        <item x="6"/>
        <item m="1" x="225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66"/>
        <item x="157"/>
        <item x="158"/>
        <item x="159"/>
        <item x="160"/>
        <item x="161"/>
        <item x="162"/>
        <item x="163"/>
        <item x="164"/>
        <item x="165"/>
        <item x="166"/>
        <item x="167"/>
        <item x="168"/>
        <item x="169"/>
        <item m="1" x="2248"/>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01"/>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46"/>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54"/>
        <item x="276"/>
        <item x="277"/>
        <item x="278"/>
        <item x="275"/>
        <item m="1" x="2251"/>
        <item x="279"/>
        <item x="280"/>
        <item x="281"/>
        <item x="282"/>
        <item x="283"/>
        <item x="284"/>
        <item x="285"/>
        <item x="286"/>
        <item x="287"/>
        <item x="288"/>
        <item x="289"/>
        <item x="290"/>
        <item x="291"/>
        <item x="292"/>
        <item x="293"/>
        <item x="294"/>
        <item x="295"/>
        <item x="296"/>
        <item m="1" x="2255"/>
        <item x="297"/>
        <item x="298"/>
        <item x="299"/>
        <item m="1" x="2257"/>
        <item x="300"/>
        <item x="302"/>
        <item x="303"/>
        <item x="301"/>
        <item x="304"/>
        <item x="305"/>
        <item x="306"/>
        <item x="307"/>
        <item x="308"/>
        <item x="309"/>
        <item x="310"/>
        <item x="311"/>
        <item x="312"/>
        <item m="1" x="2221"/>
        <item x="313"/>
        <item m="1" x="2223"/>
        <item x="314"/>
        <item x="315"/>
        <item x="316"/>
        <item x="317"/>
        <item x="318"/>
        <item x="319"/>
        <item x="320"/>
        <item x="321"/>
        <item m="1" x="2269"/>
        <item x="323"/>
        <item x="324"/>
        <item x="325"/>
        <item x="326"/>
        <item x="322"/>
        <item x="327"/>
        <item x="328"/>
        <item x="329"/>
        <item x="330"/>
        <item x="331"/>
        <item m="1" x="2260"/>
        <item x="332"/>
        <item m="1" x="2222"/>
        <item x="333"/>
        <item x="334"/>
        <item x="335"/>
        <item x="336"/>
        <item x="337"/>
        <item x="338"/>
        <item x="344"/>
        <item m="1" x="2229"/>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19"/>
        <item x="375"/>
        <item x="376"/>
        <item x="373"/>
        <item x="377"/>
        <item x="378"/>
        <item x="379"/>
        <item x="380"/>
        <item m="1" x="2264"/>
        <item x="381"/>
        <item x="382"/>
        <item x="383"/>
        <item x="384"/>
        <item x="385"/>
        <item x="386"/>
        <item x="387"/>
        <item x="388"/>
        <item x="389"/>
        <item x="390"/>
        <item x="391"/>
        <item x="392"/>
        <item x="393"/>
        <item x="394"/>
        <item x="395"/>
        <item x="396"/>
        <item x="397"/>
        <item x="399"/>
        <item x="400"/>
        <item x="401"/>
        <item x="398"/>
        <item x="402"/>
        <item m="1" x="2265"/>
        <item x="403"/>
        <item x="404"/>
        <item x="405"/>
        <item x="406"/>
        <item x="407"/>
        <item x="408"/>
        <item x="409"/>
        <item m="1" x="2231"/>
        <item x="410"/>
        <item x="411"/>
        <item x="421"/>
        <item x="412"/>
        <item x="413"/>
        <item x="414"/>
        <item x="415"/>
        <item x="416"/>
        <item x="417"/>
        <item m="1" x="2285"/>
        <item x="418"/>
        <item x="419"/>
        <item x="420"/>
        <item x="423"/>
        <item x="443"/>
        <item x="424"/>
        <item x="422"/>
        <item x="425"/>
        <item x="426"/>
        <item x="427"/>
        <item x="428"/>
        <item x="429"/>
        <item x="430"/>
        <item x="431"/>
        <item x="432"/>
        <item m="1" x="2277"/>
        <item x="433"/>
        <item x="434"/>
        <item x="435"/>
        <item x="436"/>
        <item x="438"/>
        <item x="437"/>
        <item x="439"/>
        <item x="440"/>
        <item x="442"/>
        <item x="441"/>
        <item x="445"/>
        <item x="446"/>
        <item x="447"/>
        <item x="444"/>
        <item x="448"/>
        <item x="449"/>
        <item x="450"/>
        <item x="451"/>
        <item x="452"/>
        <item x="453"/>
        <item x="454"/>
        <item x="455"/>
        <item x="456"/>
        <item x="457"/>
        <item m="1" x="2239"/>
        <item x="458"/>
        <item x="459"/>
        <item m="1" x="2288"/>
        <item x="460"/>
        <item x="461"/>
        <item x="462"/>
        <item x="463"/>
        <item m="1" x="2297"/>
        <item x="464"/>
        <item x="465"/>
        <item x="466"/>
        <item x="467"/>
        <item x="468"/>
        <item x="469"/>
        <item x="470"/>
        <item m="1" x="2276"/>
        <item x="471"/>
        <item x="472"/>
        <item x="473"/>
        <item x="474"/>
        <item x="475"/>
        <item x="476"/>
        <item x="477"/>
        <item x="478"/>
        <item x="479"/>
        <item x="480"/>
        <item x="481"/>
        <item x="482"/>
        <item x="483"/>
        <item x="484"/>
        <item m="1" x="2252"/>
        <item x="490"/>
        <item x="485"/>
        <item x="486"/>
        <item x="487"/>
        <item x="488"/>
        <item x="489"/>
        <item x="491"/>
        <item x="492"/>
        <item m="1" x="2245"/>
        <item m="1" x="2289"/>
        <item x="503"/>
        <item m="1" x="2292"/>
        <item x="493"/>
        <item x="494"/>
        <item x="504"/>
        <item x="495"/>
        <item x="496"/>
        <item x="497"/>
        <item x="498"/>
        <item x="499"/>
        <item x="500"/>
        <item x="501"/>
        <item x="502"/>
        <item x="505"/>
        <item x="506"/>
        <item x="507"/>
        <item x="508"/>
        <item m="1" x="2242"/>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11"/>
        <item x="564"/>
        <item x="565"/>
        <item x="566"/>
        <item x="567"/>
        <item x="568"/>
        <item x="569"/>
        <item x="570"/>
        <item x="571"/>
        <item x="572"/>
        <item x="573"/>
        <item x="574"/>
        <item m="1" x="2217"/>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26"/>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28"/>
        <item x="698"/>
        <item x="708"/>
        <item x="709"/>
        <item x="710"/>
        <item x="699"/>
        <item x="700"/>
        <item x="701"/>
        <item x="702"/>
        <item x="703"/>
        <item x="704"/>
        <item x="705"/>
        <item x="706"/>
        <item x="707"/>
        <item x="711"/>
        <item x="726"/>
        <item x="727"/>
        <item x="734"/>
        <item x="712"/>
        <item x="728"/>
        <item x="729"/>
        <item m="1" x="2275"/>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34"/>
        <item x="753"/>
        <item m="1" x="2236"/>
        <item x="740"/>
        <item x="754"/>
        <item x="741"/>
        <item x="742"/>
        <item x="743"/>
        <item x="744"/>
        <item x="745"/>
        <item x="746"/>
        <item x="747"/>
        <item x="755"/>
        <item x="748"/>
        <item x="757"/>
        <item x="758"/>
        <item x="769"/>
        <item x="759"/>
        <item m="1" x="2283"/>
        <item x="760"/>
        <item x="761"/>
        <item x="770"/>
        <item m="1" x="2290"/>
        <item x="762"/>
        <item x="771"/>
        <item x="763"/>
        <item x="764"/>
        <item x="765"/>
        <item x="766"/>
        <item x="772"/>
        <item x="773"/>
        <item x="767"/>
        <item x="768"/>
        <item x="774"/>
        <item x="775"/>
        <item x="790"/>
        <item x="776"/>
        <item x="791"/>
        <item x="777"/>
        <item x="778"/>
        <item x="792"/>
        <item x="779"/>
        <item x="780"/>
        <item x="781"/>
        <item x="782"/>
        <item x="793"/>
        <item x="783"/>
        <item x="794"/>
        <item x="795"/>
        <item x="2209"/>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96"/>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71"/>
        <item x="944"/>
        <item m="1" x="2235"/>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82"/>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94"/>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12"/>
        <item x="1583"/>
        <item x="1577"/>
        <item x="1578"/>
        <item x="1576"/>
        <item x="1579"/>
        <item x="1580"/>
        <item x="1586"/>
        <item x="1587"/>
        <item x="1581"/>
        <item x="1582"/>
        <item x="1588"/>
        <item x="1589"/>
        <item x="1590"/>
        <item x="1602"/>
        <item x="1612"/>
        <item m="1" x="2227"/>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10"/>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08"/>
        <item t="default"/>
      </items>
    </pivotField>
    <pivotField axis="axisRow" showAll="0">
      <items count="243">
        <item sd="0" x="105"/>
        <item sd="0" x="106"/>
        <item sd="0" x="104"/>
        <item sd="0" x="110"/>
        <item sd="0" x="108"/>
        <item sd="0" x="100"/>
        <item sd="0" x="103"/>
        <item sd="0" x="101"/>
        <item sd="0" x="99"/>
        <item sd="0" x="95"/>
        <item sd="0" x="97"/>
        <item sd="0" m="1" x="114"/>
        <item sd="0" x="94"/>
        <item sd="0" x="92"/>
        <item sd="0" x="91"/>
        <item sd="0" x="90"/>
        <item sd="0" x="52"/>
        <item sd="0" x="89"/>
        <item sd="0" x="87"/>
        <item sd="0" x="88"/>
        <item sd="0" x="85"/>
        <item sd="0" x="72"/>
        <item sd="0" x="79"/>
        <item sd="0" x="84"/>
        <item sd="0" x="83"/>
        <item sd="0" m="1" x="113"/>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40"/>
        <item sd="0" x="49"/>
        <item sd="0" x="24"/>
        <item sd="0" x="33"/>
        <item sd="0" x="23"/>
        <item sd="0" x="22"/>
        <item sd="0" x="34"/>
        <item n="JPMC (Main Project)" sd="0" x="11"/>
        <item sd="0" x="18"/>
        <item sd="0" x="48"/>
        <item sd="0" x="46"/>
        <item sd="0" x="45"/>
        <item sd="0" x="37"/>
        <item sd="0" x="47"/>
        <item sd="0" m="1" x="154"/>
        <item sd="0" x="44"/>
        <item sd="0" m="1" x="168"/>
        <item sd="0" x="42"/>
        <item sd="0" x="40"/>
        <item sd="0" x="15"/>
        <item sd="0" x="27"/>
        <item sd="0" x="30"/>
        <item sd="0" x="25"/>
        <item sd="0" x="29"/>
        <item sd="0" x="8"/>
        <item sd="0" x="9"/>
        <item sd="0" m="1" x="163"/>
        <item sd="0" m="1" x="133"/>
        <item sd="0" m="1" x="184"/>
        <item sd="0" m="1" x="128"/>
        <item sd="0" m="1" x="140"/>
        <item sd="0" m="1" x="169"/>
        <item sd="0" x="13"/>
        <item sd="0" m="1" x="239"/>
        <item sd="0" m="1" x="219"/>
        <item sd="0" m="1" x="210"/>
        <item sd="0" m="1" x="148"/>
        <item sd="0" m="1" x="145"/>
        <item sd="0" m="1" x="235"/>
        <item sd="0" m="1" x="213"/>
        <item sd="0" m="1" x="222"/>
        <item sd="0" m="1" x="206"/>
        <item sd="0" m="1" x="196"/>
        <item sd="0" m="1" x="131"/>
        <item sd="0" m="1" x="159"/>
        <item sd="0" x="17"/>
        <item sd="0" m="1" x="165"/>
        <item sd="0" m="1" x="179"/>
        <item sd="0" m="1" x="132"/>
        <item sd="0" x="14"/>
        <item sd="0" m="1" x="229"/>
        <item sd="0" x="86"/>
        <item sd="0" m="1" x="174"/>
        <item sd="0" m="1" x="232"/>
        <item sd="0" m="1" x="167"/>
        <item sd="0" m="1" x="188"/>
        <item sd="0" m="1" x="186"/>
        <item sd="0" m="1" x="139"/>
        <item sd="0" m="1" x="177"/>
        <item sd="0" m="1" x="143"/>
        <item sd="0" m="1" x="183"/>
        <item sd="0" m="1" x="221"/>
        <item sd="0" m="1" x="178"/>
        <item sd="0" m="1" x="191"/>
        <item sd="0" x="10"/>
        <item sd="0" m="1" x="194"/>
        <item sd="0" x="1"/>
        <item sd="0" m="1" x="141"/>
        <item sd="0" m="1" x="195"/>
        <item sd="0" m="1" x="164"/>
        <item sd="0" m="1" x="223"/>
        <item sd="0" m="1" x="226"/>
        <item sd="0" m="1" x="198"/>
        <item sd="0" m="1" x="126"/>
        <item sd="0" m="1" x="147"/>
        <item sd="0" m="1" x="189"/>
        <item sd="0" m="1" x="182"/>
        <item sd="0" m="1" x="136"/>
        <item sd="0" m="1" x="130"/>
        <item sd="0" m="1" x="217"/>
        <item sd="0" x="3"/>
        <item sd="0" m="1" x="155"/>
        <item sd="0" x="7"/>
        <item sd="0" m="1" x="170"/>
        <item sd="0" x="2"/>
        <item sd="0" m="1" x="220"/>
        <item sd="0" m="1" x="176"/>
        <item sd="0" x="12"/>
        <item sd="0" m="1" x="158"/>
        <item sd="0" x="4"/>
        <item sd="0" m="1" x="238"/>
        <item sd="0" m="1" x="144"/>
        <item sd="0" m="1" x="152"/>
        <item sd="0" m="1" x="204"/>
        <item sd="0" m="1" x="212"/>
        <item sd="0" m="1" x="216"/>
        <item sd="0" m="1" x="135"/>
        <item sd="0" m="1" x="230"/>
        <item sd="0" m="1" x="146"/>
        <item sd="0" m="1" x="151"/>
        <item sd="0" x="6"/>
        <item sd="0" m="1" x="207"/>
        <item sd="0" m="1" x="211"/>
        <item sd="0" m="1" x="227"/>
        <item sd="0" m="1" x="233"/>
        <item sd="0" m="1" x="228"/>
        <item sd="0" x="16"/>
        <item sd="0" m="1" x="125"/>
        <item sd="0" m="1" x="200"/>
        <item sd="0" m="1" x="193"/>
        <item sd="0" m="1" x="209"/>
        <item sd="0" m="1" x="171"/>
        <item m="1" x="185"/>
        <item sd="0" m="1" x="149"/>
        <item sd="0" m="1" x="214"/>
        <item sd="0" m="1" x="172"/>
        <item sd="0" m="1" x="199"/>
        <item sd="0" m="1" x="225"/>
        <item sd="0" x="28"/>
        <item sd="0" m="1" x="187"/>
        <item sd="0" m="1" x="215"/>
        <item sd="0" m="1" x="241"/>
        <item sd="0" m="1" x="162"/>
        <item m="1" x="202"/>
        <item sd="0" m="1" x="201"/>
        <item sd="0" m="1" x="236"/>
        <item sd="0" m="1" x="157"/>
        <item m="1" x="224"/>
        <item sd="0" m="1" x="134"/>
        <item sd="0" m="1" x="180"/>
        <item sd="0" x="41"/>
        <item sd="0" m="1" x="190"/>
        <item sd="0" x="20"/>
        <item sd="0" x="36"/>
        <item sd="0" x="32"/>
        <item sd="0" x="31"/>
        <item sd="0" m="1" x="218"/>
        <item m="1" x="150"/>
        <item sd="0" x="51"/>
        <item sd="0" m="1" x="208"/>
        <item sd="0" m="1" x="173"/>
        <item sd="0" m="1" x="166"/>
        <item sd="0" m="1" x="138"/>
        <item sd="0" x="0"/>
        <item sd="0" x="26"/>
        <item sd="0" x="19"/>
        <item sd="0" m="1" x="160"/>
        <item sd="0" x="21"/>
        <item sd="0" m="1" x="231"/>
        <item sd="0" x="63"/>
        <item sd="0" x="64"/>
        <item sd="0" m="1" x="122"/>
        <item m="1" x="175"/>
        <item sd="0" x="70"/>
        <item m="1" x="205"/>
        <item m="1" x="137"/>
        <item m="1" x="142"/>
        <item sd="0" m="1" x="127"/>
        <item sd="0" m="1" x="197"/>
        <item sd="0" m="1" x="129"/>
        <item sd="0" m="1" x="124"/>
        <item m="1" x="192"/>
        <item sd="0" m="1" x="234"/>
        <item sd="0" x="82"/>
        <item sd="0" m="1" x="237"/>
        <item sd="0" m="1" x="181"/>
        <item sd="0" m="1" x="153"/>
        <item sd="0" x="98"/>
        <item sd="0" m="1" x="156"/>
        <item sd="0" m="1" x="203"/>
        <item sd="0" m="1" x="161"/>
        <item sd="0" m="1" x="118"/>
        <item sd="0" x="93"/>
        <item sd="0" m="1" x="121"/>
        <item sd="0" m="1" x="120"/>
        <item sd="0" m="1" x="119"/>
        <item m="1" x="123"/>
        <item sd="0" m="1" x="111"/>
        <item sd="0" x="96"/>
        <item m="1" x="115"/>
        <item m="1" x="117"/>
        <item sd="0" m="1" x="112"/>
        <item sd="0" x="102"/>
        <item m="1" x="116"/>
        <item x="109"/>
        <item x="107"/>
        <item t="default"/>
      </items>
    </pivotField>
    <pivotField axis="axisRow" showAll="0">
      <items count="1081">
        <item sd="0" x="60"/>
        <item sd="0" x="149"/>
        <item sd="0" m="1" x="923"/>
        <item sd="0" m="1" x="1021"/>
        <item sd="0" m="1" x="885"/>
        <item sd="0" x="18"/>
        <item sd="0" x="288"/>
        <item sd="0" m="1" x="1062"/>
        <item sd="0" x="146"/>
        <item sd="0" x="179"/>
        <item sd="0" m="1" x="1059"/>
        <item sd="0" x="623"/>
        <item sd="0" x="100"/>
        <item sd="0" m="1" x="870"/>
        <item sd="0" m="1" x="1025"/>
        <item sd="0" x="137"/>
        <item sd="0" m="1" x="1007"/>
        <item sd="0" x="231"/>
        <item sd="0" m="1" x="841"/>
        <item sd="0" m="1" x="1012"/>
        <item sd="0" x="363"/>
        <item sd="0" x="375"/>
        <item sd="0" m="1" x="899"/>
        <item sd="0" x="208"/>
        <item sd="0" x="159"/>
        <item sd="0" x="258"/>
        <item sd="0" x="282"/>
        <item sd="0" x="144"/>
        <item sd="0" x="191"/>
        <item sd="0" x="217"/>
        <item sd="0" x="322"/>
        <item sd="0" x="256"/>
        <item sd="0" x="189"/>
        <item sd="0" m="1" x="962"/>
        <item sd="0" x="325"/>
        <item sd="0" m="1" x="1063"/>
        <item sd="0" m="1" x="960"/>
        <item sd="0" x="630"/>
        <item sd="0" x="223"/>
        <item sd="0" m="1" x="853"/>
        <item sd="0" x="239"/>
        <item sd="0" x="135"/>
        <item sd="0" x="140"/>
        <item sd="0" m="1" x="1036"/>
        <item sd="0" m="1" x="966"/>
        <item sd="0" x="219"/>
        <item sd="0" x="562"/>
        <item sd="0" x="93"/>
        <item sd="0" m="1" x="1033"/>
        <item sd="0" x="222"/>
        <item sd="0" m="1" x="866"/>
        <item sd="0" x="337"/>
        <item sd="0" x="207"/>
        <item sd="0" x="184"/>
        <item sd="0" x="152"/>
        <item sd="0" m="1" x="1046"/>
        <item sd="0" x="40"/>
        <item sd="0" x="281"/>
        <item sd="0" x="170"/>
        <item sd="0" x="317"/>
        <item sd="0" x="358"/>
        <item sd="0" x="214"/>
        <item sd="0" x="370"/>
        <item sd="0" x="279"/>
        <item sd="0" x="156"/>
        <item sd="0" x="700"/>
        <item sd="0" x="253"/>
        <item sd="0" m="1" x="1022"/>
        <item sd="0" m="1" x="832"/>
        <item sd="0" x="365"/>
        <item sd="0" m="1" x="884"/>
        <item sd="0" m="1" x="849"/>
        <item sd="0" x="259"/>
        <item sd="0" x="252"/>
        <item sd="0" m="1" x="965"/>
        <item sd="0" x="12"/>
        <item sd="0" x="352"/>
        <item sd="0" x="218"/>
        <item sd="0" x="224"/>
        <item sd="0" x="63"/>
        <item sd="0" x="8"/>
        <item sd="0" x="102"/>
        <item sd="0" m="1" x="871"/>
        <item sd="0" m="1" x="1065"/>
        <item sd="0" x="319"/>
        <item sd="0" m="1" x="876"/>
        <item sd="0" m="1" x="1076"/>
        <item sd="0" x="386"/>
        <item sd="0" x="31"/>
        <item sd="0" x="55"/>
        <item sd="0" x="227"/>
        <item sd="0" x="356"/>
        <item sd="0" x="161"/>
        <item sd="0" x="153"/>
        <item sd="0" m="1" x="950"/>
        <item sd="0" x="133"/>
        <item sd="0" m="1" x="857"/>
        <item sd="0" m="1" x="850"/>
        <item sd="0" m="1" x="1051"/>
        <item sd="0" x="46"/>
        <item sd="0" x="374"/>
        <item sd="0" m="1" x="859"/>
        <item sd="0" x="270"/>
        <item sd="0" m="1" x="940"/>
        <item sd="0" m="1" x="905"/>
        <item sd="0" m="1" x="941"/>
        <item sd="0" m="1" x="921"/>
        <item sd="0" m="1" x="1032"/>
        <item sd="0" m="1" x="975"/>
        <item sd="0" m="1" x="937"/>
        <item sd="0" x="366"/>
        <item sd="0" x="318"/>
        <item sd="0" m="1" x="898"/>
        <item sd="0" x="273"/>
        <item sd="0" m="1" x="997"/>
        <item sd="0" x="201"/>
        <item sd="0" m="1" x="925"/>
        <item sd="0" x="160"/>
        <item sd="0" m="1" x="1029"/>
        <item sd="0" m="1" x="989"/>
        <item sd="0" m="1" x="883"/>
        <item sd="0" x="277"/>
        <item sd="0" m="1" x="983"/>
        <item sd="0" x="225"/>
        <item sd="0" m="1" x="855"/>
        <item sd="0" m="1" x="858"/>
        <item sd="0" m="1" x="869"/>
        <item sd="0" x="292"/>
        <item sd="0" x="15"/>
        <item sd="0" m="1" x="896"/>
        <item sd="0" m="1" x="911"/>
        <item sd="0" x="0"/>
        <item sd="0" x="232"/>
        <item sd="0" x="213"/>
        <item sd="0" m="1" x="1031"/>
        <item sd="0" x="316"/>
        <item sd="0" m="1" x="840"/>
        <item sd="0" x="291"/>
        <item sd="0" x="333"/>
        <item sd="0" x="339"/>
        <item sd="0" x="275"/>
        <item sd="0" m="1" x="872"/>
        <item sd="0" x="174"/>
        <item sd="0" x="171"/>
        <item sd="0" x="233"/>
        <item sd="0" x="78"/>
        <item sd="0" m="1" x="931"/>
        <item sd="0" x="236"/>
        <item sd="0" x="58"/>
        <item sd="0" x="240"/>
        <item sd="0" m="1" x="865"/>
        <item sd="0" x="182"/>
        <item sd="0" x="307"/>
        <item sd="0" x="782"/>
        <item sd="0" x="290"/>
        <item sd="0" m="1" x="957"/>
        <item sd="0" m="1" x="1018"/>
        <item sd="0" x="132"/>
        <item sd="0" x="56"/>
        <item sd="0" x="126"/>
        <item sd="0" x="22"/>
        <item sd="0" x="187"/>
        <item sd="0" m="1" x="846"/>
        <item sd="0" m="1" x="1049"/>
        <item sd="0" m="1" x="852"/>
        <item sd="0" x="11"/>
        <item sd="0" x="353"/>
        <item sd="0" m="1" x="936"/>
        <item sd="0" x="124"/>
        <item sd="0" m="1" x="1079"/>
        <item sd="0" x="77"/>
        <item sd="0" m="1" x="961"/>
        <item sd="0" x="92"/>
        <item sd="0" x="35"/>
        <item sd="0" x="196"/>
        <item sd="0" m="1" x="1058"/>
        <item sd="0" x="1"/>
        <item sd="0" x="180"/>
        <item sd="0" x="285"/>
        <item sd="0" m="1" x="978"/>
        <item sd="0" x="42"/>
        <item sd="0" m="1" x="999"/>
        <item sd="0" m="1" x="969"/>
        <item sd="0" m="1" x="986"/>
        <item sd="0" m="1" x="919"/>
        <item sd="0" x="84"/>
        <item sd="0" x="106"/>
        <item sd="0" m="1" x="831"/>
        <item sd="0" x="336"/>
        <item sd="0" m="1" x="992"/>
        <item sd="0" m="1" x="833"/>
        <item sd="0" m="1" x="828"/>
        <item sd="0" m="1" x="979"/>
        <item sd="0" m="1" x="861"/>
        <item sd="0" m="1" x="1009"/>
        <item sd="0" m="1" x="862"/>
        <item sd="0" x="16"/>
        <item sd="0" m="1" x="988"/>
        <item sd="0" m="1" x="901"/>
        <item sd="0" x="280"/>
        <item sd="0" x="104"/>
        <item sd="0" x="332"/>
        <item sd="0" m="1" x="924"/>
        <item sd="0" x="348"/>
        <item sd="0" x="23"/>
        <item sd="0" x="362"/>
        <item sd="0" x="237"/>
        <item sd="0" x="91"/>
        <item sd="0" x="13"/>
        <item sd="0" x="175"/>
        <item sd="0" x="343"/>
        <item sd="0" m="1" x="1069"/>
        <item sd="0" m="1" x="1044"/>
        <item sd="0" x="87"/>
        <item sd="0" x="690"/>
        <item sd="0" x="33"/>
        <item sd="0" x="19"/>
        <item sd="0" m="1" x="835"/>
        <item sd="0" x="20"/>
        <item sd="0" m="1" x="847"/>
        <item sd="0" x="96"/>
        <item sd="0" m="1" x="1061"/>
        <item sd="0" m="1" x="1038"/>
        <item sd="0" m="1" x="912"/>
        <item sd="0" x="120"/>
        <item sd="0" x="131"/>
        <item sd="0" x="119"/>
        <item sd="0" m="1" x="990"/>
        <item sd="0" m="1" x="981"/>
        <item sd="0" m="1" x="845"/>
        <item sd="0" m="1" x="967"/>
        <item sd="0" x="228"/>
        <item sd="0" x="39"/>
        <item sd="0" x="108"/>
        <item sd="0" x="24"/>
        <item sd="0" x="139"/>
        <item sd="0" m="1" x="1048"/>
        <item sd="0" x="17"/>
        <item sd="0" x="248"/>
        <item sd="0" x="48"/>
        <item sd="0" m="1" x="963"/>
        <item sd="0" m="1" x="1023"/>
        <item sd="0" x="134"/>
        <item sd="0" x="596"/>
        <item sd="0" m="1" x="933"/>
        <item sd="0" x="69"/>
        <item sd="0" x="34"/>
        <item sd="0" x="206"/>
        <item sd="0" m="1" x="1064"/>
        <item sd="0" m="1" x="939"/>
        <item sd="0" m="1" x="958"/>
        <item sd="0" m="1" x="900"/>
        <item sd="0" x="268"/>
        <item sd="0" x="376"/>
        <item sd="0" x="331"/>
        <item sd="0" m="1" x="892"/>
        <item sd="0" x="360"/>
        <item sd="0" m="1" x="1039"/>
        <item sd="0" x="89"/>
        <item sd="0" x="355"/>
        <item sd="0" m="1" x="938"/>
        <item sd="0" x="168"/>
        <item sd="0" m="1" x="836"/>
        <item sd="0" m="1" x="829"/>
        <item sd="0" x="272"/>
        <item sd="0" x="51"/>
        <item sd="0" x="190"/>
        <item sd="0" x="50"/>
        <item sd="0" x="79"/>
        <item sd="0" x="32"/>
        <item sd="0" m="1" x="1026"/>
        <item sd="0" x="188"/>
        <item sd="0" x="110"/>
        <item sd="0" m="1" x="1045"/>
        <item sd="0" m="1" x="1042"/>
        <item sd="0" m="1" x="948"/>
        <item sd="0" m="1" x="894"/>
        <item sd="0" m="1" x="943"/>
        <item sd="0" m="1" x="915"/>
        <item sd="0" x="226"/>
        <item sd="0" x="57"/>
        <item sd="0" m="1" x="946"/>
        <item sd="0" x="340"/>
        <item sd="0" x="265"/>
        <item sd="0" x="294"/>
        <item sd="0" m="1" x="973"/>
        <item sd="0" x="62"/>
        <item sd="0" x="295"/>
        <item sd="0" x="3"/>
        <item sd="0" x="151"/>
        <item sd="0" x="210"/>
        <item sd="0" x="54"/>
        <item sd="0" m="1" x="1004"/>
        <item sd="0" m="1" x="987"/>
        <item sd="0" x="323"/>
        <item sd="0" m="1" x="881"/>
        <item sd="0" x="75"/>
        <item sd="0" m="1" x="910"/>
        <item sd="0" x="186"/>
        <item sd="0" x="361"/>
        <item sd="0" x="368"/>
        <item sd="0" x="327"/>
        <item sd="0" x="195"/>
        <item sd="0" m="1" x="977"/>
        <item sd="0" m="1" x="1017"/>
        <item sd="0" x="123"/>
        <item sd="0" m="1" x="907"/>
        <item sd="0" x="194"/>
        <item sd="0" x="121"/>
        <item sd="0" x="53"/>
        <item sd="0" m="1" x="1034"/>
        <item sd="0" x="278"/>
        <item sd="0" x="212"/>
        <item sd="0" m="1" x="1019"/>
        <item sd="0" m="1" x="1010"/>
        <item sd="0" m="1" x="1077"/>
        <item sd="0" m="1" x="863"/>
        <item sd="0" m="1" x="1071"/>
        <item sd="0" x="117"/>
        <item sd="0" x="111"/>
        <item sd="0" x="81"/>
        <item sd="0" x="7"/>
        <item sd="0" x="235"/>
        <item sd="0" x="287"/>
        <item sd="0" m="1" x="1008"/>
        <item sd="0" m="1" x="1055"/>
        <item sd="0" x="2"/>
        <item sd="0" m="1" x="1070"/>
        <item sd="0" m="1" x="929"/>
        <item sd="0" x="163"/>
        <item sd="0" m="1" x="1002"/>
        <item sd="0" m="1" x="875"/>
        <item sd="0" m="1" x="1078"/>
        <item sd="0" m="1" x="842"/>
        <item sd="0" m="1" x="839"/>
        <item sd="0" x="130"/>
        <item sd="0" x="88"/>
        <item sd="0" m="1" x="1073"/>
        <item sd="0" x="204"/>
        <item sd="0" x="72"/>
        <item sd="0" x="73"/>
        <item sd="0" x="28"/>
        <item sd="0" x="47"/>
        <item sd="0" x="181"/>
        <item sd="0" x="26"/>
        <item sd="0" x="86"/>
        <item sd="0" x="230"/>
        <item sd="0" m="1" x="945"/>
        <item sd="0" m="1" x="928"/>
        <item sd="0" m="1" x="964"/>
        <item sd="0" x="94"/>
        <item sd="0" x="107"/>
        <item sd="0" x="309"/>
        <item sd="0" x="38"/>
        <item sd="0" x="145"/>
        <item sd="0" x="101"/>
        <item sd="0" x="369"/>
        <item sd="0" x="10"/>
        <item sd="0" x="74"/>
        <item sd="0" x="264"/>
        <item sd="0" m="1" x="914"/>
        <item sd="0" x="178"/>
        <item sd="0" x="266"/>
        <item sd="0" x="364"/>
        <item sd="0" x="98"/>
        <item sd="0" x="165"/>
        <item sd="0" x="66"/>
        <item sd="0" x="5"/>
        <item sd="0" m="1" x="888"/>
        <item sd="0" x="359"/>
        <item sd="0" m="1" x="1068"/>
        <item sd="0" x="269"/>
        <item sd="0" x="215"/>
        <item sd="0" x="349"/>
        <item sd="0" x="283"/>
        <item sd="0" x="185"/>
        <item sd="0" x="220"/>
        <item sd="0" m="1" x="1056"/>
        <item sd="0" m="1" x="834"/>
        <item sd="0" x="4"/>
        <item sd="0" x="377"/>
        <item sd="0" x="262"/>
        <item sd="0" x="326"/>
        <item sd="0" x="173"/>
        <item sd="0" x="200"/>
        <item sd="0" m="1" x="873"/>
        <item sd="0" x="345"/>
        <item sd="0" x="30"/>
        <item sd="0" m="1" x="1005"/>
        <item sd="0" x="242"/>
        <item sd="0" m="1" x="935"/>
        <item sd="0" m="1" x="843"/>
        <item sd="0" x="243"/>
        <item sd="0" m="1" x="1050"/>
        <item sd="0" m="1" x="1053"/>
        <item sd="0" x="303"/>
        <item sd="0" x="37"/>
        <item sd="0" x="357"/>
        <item sd="0" m="1" x="947"/>
        <item sd="0" m="1" x="998"/>
        <item sd="0" x="115"/>
        <item sd="0" m="1" x="1047"/>
        <item sd="0" m="1" x="854"/>
        <item sd="0" m="1" x="917"/>
        <item sd="0" x="128"/>
        <item sd="0" m="1" x="1054"/>
        <item sd="0" m="1" x="1030"/>
        <item sd="0" x="255"/>
        <item sd="0" x="199"/>
        <item sd="0" x="329"/>
        <item sd="0" x="297"/>
        <item sd="0" x="310"/>
        <item sd="0" x="83"/>
        <item sd="0" m="1" x="954"/>
        <item sd="0" m="1" x="837"/>
        <item sd="0" x="80"/>
        <item sd="0" m="1" x="906"/>
        <item sd="0" m="1" x="1043"/>
        <item sd="0" x="97"/>
        <item sd="0" x="289"/>
        <item sd="0" m="1" x="993"/>
        <item sd="0" x="116"/>
        <item sd="0" x="209"/>
        <item sd="0" x="198"/>
        <item sd="0" x="150"/>
        <item sd="0" x="136"/>
        <item sd="0" m="1" x="934"/>
        <item sd="0" x="109"/>
        <item sd="0" x="524"/>
        <item sd="0" m="1" x="913"/>
        <item sd="0" m="1" x="1014"/>
        <item sd="0" x="284"/>
        <item sd="0" x="296"/>
        <item sd="0" x="211"/>
        <item sd="0" x="45"/>
        <item sd="0" m="1" x="994"/>
        <item sd="0" m="1" x="985"/>
        <item sd="0" x="155"/>
        <item sd="0" m="1" x="1015"/>
        <item sd="0" x="61"/>
        <item sd="0" x="129"/>
        <item sd="0" x="105"/>
        <item sd="0" m="1" x="860"/>
        <item sd="0" x="157"/>
        <item sd="0" x="14"/>
        <item sd="0" x="43"/>
        <item sd="0" x="250"/>
        <item sd="0" x="238"/>
        <item sd="0" x="103"/>
        <item sd="0" x="70"/>
        <item sd="0" x="299"/>
        <item sd="0" x="127"/>
        <item sd="0" m="1" x="830"/>
        <item sd="0" x="193"/>
        <item sd="0" x="147"/>
        <item sd="0" m="1" x="949"/>
        <item sd="0" x="99"/>
        <item sd="0" x="344"/>
        <item sd="0" x="221"/>
        <item sd="0" m="1" x="1067"/>
        <item sd="0" m="1" x="1072"/>
        <item sd="0" x="271"/>
        <item sd="0" x="166"/>
        <item sd="0" x="286"/>
        <item sd="0" x="304"/>
        <item sd="0" m="1" x="942"/>
        <item sd="0" x="138"/>
        <item sd="0" x="41"/>
        <item sd="0" x="229"/>
        <item sd="0" m="1" x="1001"/>
        <item sd="0" x="71"/>
        <item sd="0" x="64"/>
        <item sd="0" m="1" x="926"/>
        <item sd="0" m="1" x="920"/>
        <item sd="0" x="540"/>
        <item sd="0" x="44"/>
        <item sd="0" x="114"/>
        <item sd="0" x="52"/>
        <item sd="0" x="142"/>
        <item sd="0" x="82"/>
        <item sd="0" x="245"/>
        <item sd="0" x="314"/>
        <item sd="0" m="1" x="1040"/>
        <item sd="0" m="1" x="1011"/>
        <item sd="0" x="308"/>
        <item sd="0" m="1" x="971"/>
        <item sd="0" m="1" x="1037"/>
        <item sd="0" x="122"/>
        <item sd="0" x="118"/>
        <item sd="0" m="1" x="991"/>
        <item sd="0" x="169"/>
        <item sd="0" x="197"/>
        <item sd="0" x="125"/>
        <item sd="0" x="203"/>
        <item sd="0" x="267"/>
        <item sd="0" x="301"/>
        <item sd="0" x="85"/>
        <item sd="0" x="25"/>
        <item sd="0" x="244"/>
        <item sd="0" x="112"/>
        <item sd="0" x="192"/>
        <item sd="0" x="302"/>
        <item sd="0" x="260"/>
        <item sd="0" x="261"/>
        <item sd="0" m="1" x="976"/>
        <item sd="0" x="328"/>
        <item sd="0" x="350"/>
        <item sd="0" x="254"/>
        <item sd="0" x="320"/>
        <item sd="0" x="241"/>
        <item sd="0" x="158"/>
        <item sd="0" m="1" x="968"/>
        <item sd="0" m="1" x="932"/>
        <item sd="0" m="1" x="1024"/>
        <item sd="0" m="1" x="838"/>
        <item sd="0" m="1" x="890"/>
        <item sd="0" x="143"/>
        <item sd="0" m="1" x="1028"/>
        <item sd="0" x="276"/>
        <item sd="0" x="298"/>
        <item sd="0" x="424"/>
        <item sd="0" x="346"/>
        <item sd="0" x="306"/>
        <item sd="0" m="1" x="1052"/>
        <item sd="0" x="321"/>
        <item sd="0" x="313"/>
        <item sd="0" x="49"/>
        <item sd="0" x="315"/>
        <item sd="0" x="59"/>
        <item sd="0" x="183"/>
        <item sd="0" x="330"/>
        <item sd="0" x="274"/>
        <item sd="0" x="311"/>
        <item sd="0" x="249"/>
        <item sd="0" m="1" x="868"/>
        <item sd="0" m="1" x="972"/>
        <item sd="0" m="1" x="1074"/>
        <item sd="0" m="1" x="927"/>
        <item sd="0" m="1" x="909"/>
        <item sd="0" m="1" x="908"/>
        <item sd="0" x="90"/>
        <item sd="0" x="202"/>
        <item sd="0" x="67"/>
        <item sd="0" m="1" x="1003"/>
        <item sd="0" x="65"/>
        <item sd="0" x="247"/>
        <item sd="0" m="1" x="879"/>
        <item sd="0" x="216"/>
        <item sd="0" m="1" x="891"/>
        <item sd="0" x="141"/>
        <item sd="0" x="177"/>
        <item sd="0" x="305"/>
        <item sd="0" m="1" x="887"/>
        <item sd="0" x="347"/>
        <item sd="0" m="1" x="1066"/>
        <item sd="0" m="1" x="952"/>
        <item sd="0" x="293"/>
        <item sd="0" x="148"/>
        <item sd="0" x="354"/>
        <item sd="0" m="1" x="1006"/>
        <item sd="0" x="27"/>
        <item sd="0" m="1" x="1016"/>
        <item sd="0" x="68"/>
        <item sd="0" x="6"/>
        <item sd="0" x="263"/>
        <item sd="0" x="154"/>
        <item sd="0" x="164"/>
        <item sd="0" x="172"/>
        <item sd="0" x="205"/>
        <item sd="0" x="351"/>
        <item sd="0" m="1" x="893"/>
        <item sd="0" x="29"/>
        <item sd="0" m="1" x="1060"/>
        <item sd="0" x="9"/>
        <item sd="0" x="335"/>
        <item sd="0" m="1" x="956"/>
        <item sd="0" m="1" x="982"/>
        <item sd="0" m="1" x="922"/>
        <item sd="0" x="234"/>
        <item sd="0" x="162"/>
        <item sd="0" m="1" x="895"/>
        <item sd="0" m="1" x="1027"/>
        <item sd="0" m="1" x="1057"/>
        <item sd="0" m="1" x="1041"/>
        <item sd="0" x="300"/>
        <item sd="0" x="167"/>
        <item sd="0" x="76"/>
        <item sd="0" m="1" x="1020"/>
        <item sd="0" x="342"/>
        <item sd="0" x="341"/>
        <item sd="0" m="1" x="856"/>
        <item sd="0" m="1" x="918"/>
        <item sd="0" m="1" x="995"/>
        <item sd="0" m="1" x="974"/>
        <item sd="0" x="113"/>
        <item sd="0" x="251"/>
        <item sd="0" x="176"/>
        <item sd="0" x="372"/>
        <item sd="0" x="246"/>
        <item sd="0" m="1" x="844"/>
        <item sd="0" x="257"/>
        <item sd="0" x="95"/>
        <item sd="0" x="338"/>
        <item sd="0" x="36"/>
        <item sd="0" m="1" x="897"/>
        <item sd="0" x="21"/>
        <item sd="0" x="378"/>
        <item sd="0" x="381"/>
        <item sd="0" x="382"/>
        <item sd="0" x="379"/>
        <item sd="0" x="383"/>
        <item sd="0" x="380"/>
        <item sd="0" x="384"/>
        <item sd="0" x="385"/>
        <item sd="0" x="387"/>
        <item sd="0" m="1" x="877"/>
        <item sd="0" m="1" x="916"/>
        <item sd="0" x="388"/>
        <item sd="0" m="1" x="848"/>
        <item sd="0" x="389"/>
        <item sd="0" x="390"/>
        <item sd="0" x="391"/>
        <item sd="0" x="392"/>
        <item sd="0" x="393"/>
        <item sd="0" x="394"/>
        <item sd="0" x="396"/>
        <item sd="0" x="397"/>
        <item sd="0" x="398"/>
        <item sd="0" x="395"/>
        <item sd="0" x="373"/>
        <item sd="0" x="399"/>
        <item sd="0" m="1" x="864"/>
        <item sd="0" x="401"/>
        <item sd="0" x="400"/>
        <item sd="0" m="1" x="882"/>
        <item sd="0" x="402"/>
        <item sd="0" x="403"/>
        <item sd="0" x="404"/>
        <item sd="0" x="405"/>
        <item sd="0" x="406"/>
        <item sd="0" x="411"/>
        <item sd="0" m="1" x="944"/>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02"/>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84"/>
        <item sd="0" x="465"/>
        <item sd="0" x="469"/>
        <item sd="0" x="466"/>
        <item sd="0" x="467"/>
        <item sd="0" m="1" x="874"/>
        <item sd="0" x="470"/>
        <item sd="0" m="1" x="851"/>
        <item sd="0" x="472"/>
        <item sd="0" x="475"/>
        <item sd="0" x="476"/>
        <item sd="0" x="371"/>
        <item sd="0" m="1" x="955"/>
        <item sd="0" x="477"/>
        <item sd="0" x="478"/>
        <item sd="0" x="479"/>
        <item sd="0" x="473"/>
        <item sd="0" x="474"/>
        <item sd="0" x="480"/>
        <item sd="0" x="481"/>
        <item sd="0" x="482"/>
        <item sd="0" x="483"/>
        <item sd="0" x="484"/>
        <item sd="0" x="485"/>
        <item sd="0" x="486"/>
        <item sd="0" m="1" x="1013"/>
        <item sd="0" x="488"/>
        <item sd="0" x="489"/>
        <item sd="0" x="487"/>
        <item sd="0" x="492"/>
        <item sd="0" x="491"/>
        <item sd="0" x="312"/>
        <item sd="0" m="1" x="996"/>
        <item sd="0" x="490"/>
        <item sd="0" x="493"/>
        <item sd="0" x="471"/>
        <item sd="0" x="494"/>
        <item sd="0" x="495"/>
        <item sd="0" m="1" x="980"/>
        <item sd="0" x="497"/>
        <item sd="0" x="499"/>
        <item sd="0" x="500"/>
        <item sd="0" x="503"/>
        <item sd="0" m="1" x="953"/>
        <item sd="0" m="1" x="889"/>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80"/>
        <item sd="0" x="547"/>
        <item sd="0" x="548"/>
        <item sd="0" x="549"/>
        <item sd="0" x="543"/>
        <item sd="0" x="544"/>
        <item sd="0" x="546"/>
        <item sd="0" x="550"/>
        <item sd="0" x="551"/>
        <item sd="0" x="545"/>
        <item sd="0" x="556"/>
        <item sd="0" x="557"/>
        <item sd="0" x="558"/>
        <item sd="0" x="559"/>
        <item sd="0" x="552"/>
        <item sd="0" x="553"/>
        <item sd="0" x="554"/>
        <item sd="0" m="1" x="930"/>
        <item sd="0" x="431"/>
        <item sd="0" x="555"/>
        <item sd="0" x="560"/>
        <item sd="0" x="561"/>
        <item sd="0" x="563"/>
        <item sd="0" x="564"/>
        <item sd="0" x="565"/>
        <item sd="0" m="1" x="1035"/>
        <item sd="0" x="566"/>
        <item sd="0" x="567"/>
        <item sd="0" x="571"/>
        <item sd="0" x="572"/>
        <item sd="0" x="573"/>
        <item sd="0" x="574"/>
        <item sd="0" x="568"/>
        <item sd="0" x="569"/>
        <item sd="0" x="575"/>
        <item sd="0" x="570"/>
        <item sd="0" m="1" x="951"/>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904"/>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70"/>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25"/>
        <item x="683"/>
        <item x="687"/>
        <item x="689"/>
        <item x="685"/>
        <item x="686"/>
        <item x="691"/>
        <item x="684"/>
        <item x="692"/>
        <item x="693"/>
        <item x="694"/>
        <item x="695"/>
        <item x="696"/>
        <item m="1" x="878"/>
        <item x="698"/>
        <item x="699"/>
        <item x="697"/>
        <item x="701"/>
        <item x="702"/>
        <item m="1" x="1000"/>
        <item x="705"/>
        <item m="1" x="826"/>
        <item x="703"/>
        <item x="704"/>
        <item x="706"/>
        <item x="707"/>
        <item x="720"/>
        <item x="708"/>
        <item x="709"/>
        <item x="710"/>
        <item x="711"/>
        <item x="712"/>
        <item x="713"/>
        <item x="714"/>
        <item x="715"/>
        <item x="716"/>
        <item x="717"/>
        <item x="718"/>
        <item x="719"/>
        <item x="721"/>
        <item x="722"/>
        <item x="723"/>
        <item x="724"/>
        <item x="725"/>
        <item m="1" x="903"/>
        <item x="726"/>
        <item x="727"/>
        <item x="730"/>
        <item m="1" x="1075"/>
        <item m="1" x="867"/>
        <item x="731"/>
        <item x="728"/>
        <item x="334"/>
        <item x="729"/>
        <item x="732"/>
        <item x="733"/>
        <item x="734"/>
        <item x="735"/>
        <item x="736"/>
        <item x="737"/>
        <item x="738"/>
        <item x="794"/>
        <item x="739"/>
        <item x="740"/>
        <item x="741"/>
        <item x="742"/>
        <item x="787"/>
        <item x="743"/>
        <item x="744"/>
        <item x="745"/>
        <item x="746"/>
        <item x="747"/>
        <item x="748"/>
        <item m="1" x="886"/>
        <item x="749"/>
        <item x="756"/>
        <item x="750"/>
        <item x="751"/>
        <item m="1" x="959"/>
        <item x="752"/>
        <item x="753"/>
        <item x="754"/>
        <item x="755"/>
        <item x="757"/>
        <item x="594"/>
        <item x="758"/>
        <item x="759"/>
        <item x="760"/>
        <item x="761"/>
        <item x="762"/>
        <item x="763"/>
        <item x="764"/>
        <item x="765"/>
        <item x="766"/>
        <item x="767"/>
        <item x="768"/>
        <item m="1" x="827"/>
        <item x="770"/>
        <item x="771"/>
        <item x="772"/>
        <item x="773"/>
        <item x="769"/>
        <item x="774"/>
        <item x="775"/>
        <item x="776"/>
        <item x="777"/>
        <item x="778"/>
        <item x="779"/>
        <item x="780"/>
        <item x="781"/>
        <item x="783"/>
        <item x="784"/>
        <item x="785"/>
        <item x="786"/>
        <item x="788"/>
        <item x="789"/>
        <item x="790"/>
        <item x="791"/>
        <item x="792"/>
        <item x="793"/>
        <item x="795"/>
        <item x="796"/>
        <item x="797"/>
        <item x="798"/>
        <item x="799"/>
        <item x="800"/>
        <item x="801"/>
        <item x="802"/>
        <item x="808"/>
        <item x="803"/>
        <item x="804"/>
        <item x="805"/>
        <item x="806"/>
        <item x="807"/>
        <item x="809"/>
        <item x="810"/>
        <item x="811"/>
        <item x="812"/>
        <item x="819"/>
        <item x="813"/>
        <item x="814"/>
        <item x="815"/>
        <item x="816"/>
        <item x="817"/>
        <item m="1" x="824"/>
        <item x="818"/>
        <item x="820"/>
        <item x="821"/>
        <item x="822"/>
        <item x="823"/>
        <item t="default" sd="0"/>
      </items>
    </pivotField>
    <pivotField axis="axisPage" showAll="0">
      <items count="9901">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52"/>
        <item x="9330"/>
        <item x="9331"/>
        <item x="9356"/>
        <item x="9374"/>
        <item x="9375"/>
        <item x="9376"/>
        <item x="9377"/>
        <item x="9378"/>
        <item x="9379"/>
        <item x="9380"/>
        <item x="9381"/>
        <item x="9382"/>
        <item x="9383"/>
        <item x="9384"/>
        <item x="9385"/>
        <item x="9386"/>
        <item x="9540"/>
        <item x="9541"/>
        <item x="9542"/>
        <item x="9543"/>
        <item x="9544"/>
        <item x="9545"/>
        <item x="9546"/>
        <item x="9371"/>
        <item x="9373"/>
        <item x="9553"/>
        <item x="9554"/>
        <item x="9555"/>
        <item x="9556"/>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47"/>
        <item x="9557"/>
        <item x="9558"/>
        <item x="9411"/>
        <item x="9412"/>
        <item x="9419"/>
        <item x="9420"/>
        <item x="9421"/>
        <item x="9548"/>
        <item x="9549"/>
        <item x="9561"/>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62"/>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50"/>
        <item x="9559"/>
        <item x="9563"/>
        <item x="9564"/>
        <item x="9565"/>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67"/>
        <item x="9450"/>
        <item x="9506"/>
        <item x="9507"/>
        <item x="9508"/>
        <item x="9509"/>
        <item x="9510"/>
        <item x="9511"/>
        <item x="9512"/>
        <item x="9513"/>
        <item x="9362"/>
        <item x="9560"/>
        <item x="9363"/>
        <item x="9514"/>
        <item x="9364"/>
        <item x="9365"/>
        <item x="9366"/>
        <item x="9515"/>
        <item x="9516"/>
        <item x="9517"/>
        <item x="9518"/>
        <item x="9519"/>
        <item x="9520"/>
        <item x="9521"/>
        <item x="9522"/>
        <item x="9523"/>
        <item x="9524"/>
        <item x="9525"/>
        <item x="9526"/>
        <item x="9527"/>
        <item x="9528"/>
        <item x="9529"/>
        <item x="9530"/>
        <item x="9533"/>
        <item x="9534"/>
        <item x="9535"/>
        <item x="9536"/>
        <item x="9537"/>
        <item x="9538"/>
        <item x="9539"/>
        <item x="9551"/>
        <item x="9568"/>
        <item x="9569"/>
        <item x="9570"/>
        <item x="9571"/>
        <item x="9572"/>
        <item x="9573"/>
        <item x="9574"/>
        <item x="9575"/>
        <item x="9576"/>
        <item x="9577"/>
        <item x="9578"/>
        <item x="9579"/>
        <item x="9580"/>
        <item x="9581"/>
        <item x="9582"/>
        <item x="9583"/>
        <item x="9584"/>
        <item x="9585"/>
        <item x="9586"/>
        <item x="9587"/>
        <item x="9715"/>
        <item x="9716"/>
        <item x="9717"/>
        <item x="9727"/>
        <item x="9728"/>
        <item x="9729"/>
        <item x="9730"/>
        <item x="9732"/>
        <item x="9588"/>
        <item x="9589"/>
        <item x="9590"/>
        <item x="9591"/>
        <item x="9592"/>
        <item x="9593"/>
        <item x="9594"/>
        <item x="9595"/>
        <item x="9596"/>
        <item x="9597"/>
        <item x="9598"/>
        <item x="9599"/>
        <item x="9600"/>
        <item x="9601"/>
        <item x="9602"/>
        <item x="9603"/>
        <item x="9604"/>
        <item x="9605"/>
        <item x="9607"/>
        <item x="9606"/>
        <item x="9566"/>
        <item x="9608"/>
        <item x="9609"/>
        <item x="9610"/>
        <item x="9611"/>
        <item x="9613"/>
        <item x="9614"/>
        <item x="9615"/>
        <item x="9616"/>
        <item x="9617"/>
        <item x="9618"/>
        <item x="9619"/>
        <item x="9620"/>
        <item x="9621"/>
        <item x="9622"/>
        <item x="9623"/>
        <item x="9624"/>
        <item x="9625"/>
        <item x="9626"/>
        <item x="9627"/>
        <item x="9531"/>
        <item x="9628"/>
        <item x="9629"/>
        <item x="9630"/>
        <item x="9631"/>
        <item x="9734"/>
        <item x="9735"/>
        <item x="9736"/>
        <item x="9737"/>
        <item x="9632"/>
        <item x="9633"/>
        <item x="9634"/>
        <item x="9635"/>
        <item x="9636"/>
        <item x="9637"/>
        <item x="9638"/>
        <item x="9639"/>
        <item x="9532"/>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718"/>
        <item x="9719"/>
        <item x="9720"/>
        <item x="9721"/>
        <item x="9722"/>
        <item x="9723"/>
        <item x="9724"/>
        <item x="9674"/>
        <item x="9675"/>
        <item x="9676"/>
        <item x="9677"/>
        <item x="9678"/>
        <item x="9679"/>
        <item x="9680"/>
        <item x="9681"/>
        <item x="9682"/>
        <item x="9691"/>
        <item x="9692"/>
        <item x="9693"/>
        <item x="9694"/>
        <item x="9725"/>
        <item x="9739"/>
        <item x="9695"/>
        <item x="9696"/>
        <item x="9697"/>
        <item x="9698"/>
        <item x="9699"/>
        <item x="9700"/>
        <item x="9701"/>
        <item x="9702"/>
        <item x="9703"/>
        <item x="9726"/>
        <item x="9683"/>
        <item x="9684"/>
        <item x="9685"/>
        <item x="9686"/>
        <item x="9704"/>
        <item x="9705"/>
        <item x="9706"/>
        <item x="9707"/>
        <item x="9708"/>
        <item x="9709"/>
        <item x="9710"/>
        <item x="9711"/>
        <item x="9712"/>
        <item x="9713"/>
        <item x="9714"/>
        <item x="9733"/>
        <item x="9740"/>
        <item x="9741"/>
        <item x="9742"/>
        <item x="9743"/>
        <item x="9744"/>
        <item x="9745"/>
        <item x="9746"/>
        <item x="9747"/>
        <item x="9748"/>
        <item x="9751"/>
        <item x="9753"/>
        <item x="9754"/>
        <item x="9837"/>
        <item x="9838"/>
        <item x="9839"/>
        <item x="9731"/>
        <item x="9840"/>
        <item x="9844"/>
        <item x="9845"/>
        <item x="9687"/>
        <item x="9688"/>
        <item x="9752"/>
        <item x="9755"/>
        <item x="9756"/>
        <item x="9757"/>
        <item x="9758"/>
        <item x="9759"/>
        <item x="9847"/>
        <item x="9760"/>
        <item x="9761"/>
        <item x="9762"/>
        <item x="9763"/>
        <item x="9765"/>
        <item x="9766"/>
        <item x="9767"/>
        <item x="9848"/>
        <item x="9849"/>
        <item x="9850"/>
        <item x="9841"/>
        <item x="9749"/>
        <item x="9750"/>
        <item x="9768"/>
        <item x="9769"/>
        <item x="9770"/>
        <item x="9771"/>
        <item x="9772"/>
        <item x="9773"/>
        <item x="9774"/>
        <item x="9775"/>
        <item x="9776"/>
        <item x="9777"/>
        <item x="9778"/>
        <item x="9779"/>
        <item x="9780"/>
        <item x="9781"/>
        <item x="9842"/>
        <item x="9783"/>
        <item x="9689"/>
        <item x="9690"/>
        <item x="9784"/>
        <item x="9785"/>
        <item x="9786"/>
        <item x="9787"/>
        <item x="9788"/>
        <item x="9789"/>
        <item x="9790"/>
        <item x="9792"/>
        <item x="9793"/>
        <item x="9794"/>
        <item x="9795"/>
        <item x="9796"/>
        <item x="9851"/>
        <item x="9764"/>
        <item x="9797"/>
        <item x="9798"/>
        <item x="9799"/>
        <item x="9801"/>
        <item x="9802"/>
        <item x="9803"/>
        <item x="9804"/>
        <item x="9805"/>
        <item x="9806"/>
        <item x="9807"/>
        <item x="9808"/>
        <item x="9800"/>
        <item x="9809"/>
        <item x="9810"/>
        <item x="9811"/>
        <item x="9812"/>
        <item x="9813"/>
        <item x="9814"/>
        <item x="9843"/>
        <item x="9612"/>
        <item x="9815"/>
        <item x="9816"/>
        <item x="9817"/>
        <item x="9818"/>
        <item x="9819"/>
        <item x="9821"/>
        <item x="9822"/>
        <item x="9823"/>
        <item x="9824"/>
        <item x="9825"/>
        <item x="9826"/>
        <item x="9828"/>
        <item x="9829"/>
        <item x="9830"/>
        <item x="9846"/>
        <item x="9853"/>
        <item x="9738"/>
        <item x="9820"/>
        <item x="9831"/>
        <item x="9832"/>
        <item x="9833"/>
        <item x="9834"/>
        <item x="9835"/>
        <item x="9836"/>
        <item x="9852"/>
        <item x="9891"/>
        <item x="9827"/>
        <item x="9854"/>
        <item x="9855"/>
        <item x="9856"/>
        <item x="9865"/>
        <item x="9866"/>
        <item x="9868"/>
        <item x="9869"/>
        <item x="9870"/>
        <item x="9871"/>
        <item x="9872"/>
        <item x="9892"/>
        <item x="9893"/>
        <item x="9782"/>
        <item x="9857"/>
        <item x="9858"/>
        <item x="9859"/>
        <item x="9860"/>
        <item x="9861"/>
        <item x="9862"/>
        <item x="9863"/>
        <item x="9864"/>
        <item x="9867"/>
        <item x="9873"/>
        <item x="9874"/>
        <item x="9875"/>
        <item x="9876"/>
        <item x="9877"/>
        <item x="9878"/>
        <item x="9879"/>
        <item x="9880"/>
        <item x="9881"/>
        <item x="9890"/>
        <item x="9894"/>
        <item x="9882"/>
        <item x="9883"/>
        <item x="9884"/>
        <item x="9895"/>
        <item x="9885"/>
        <item x="9886"/>
        <item x="9887"/>
        <item x="9896"/>
        <item x="9791"/>
        <item x="9888"/>
        <item x="9889"/>
        <item x="9897"/>
        <item x="9898"/>
        <item x="9899"/>
        <item t="default"/>
      </items>
    </pivotField>
    <pivotField dataField="1" showAll="0"/>
    <pivotField dataField="1" showAll="0"/>
    <pivotField dataField="1" showAll="0"/>
    <pivotField axis="axisPage" multipleItemSelectionAllowed="1" showAll="0">
      <items count="150">
        <item m="1" x="131"/>
        <item m="1" x="118"/>
        <item m="1" x="117"/>
        <item m="1" x="135"/>
        <item m="1" x="147"/>
        <item m="1" x="115"/>
        <item m="1" x="148"/>
        <item m="1" x="120"/>
        <item m="1" x="128"/>
        <item m="1" x="125"/>
        <item m="1" x="130"/>
        <item m="1" x="132"/>
        <item x="8"/>
        <item x="20"/>
        <item x="32"/>
        <item x="1"/>
        <item x="12"/>
        <item x="24"/>
        <item x="37"/>
        <item x="4"/>
        <item x="16"/>
        <item x="28"/>
        <item x="41"/>
        <item x="6"/>
        <item x="18"/>
        <item x="30"/>
        <item x="5"/>
        <item x="17"/>
        <item x="29"/>
        <item m="1" x="143"/>
        <item x="11"/>
        <item x="23"/>
        <item x="35"/>
        <item x="0"/>
        <item x="10"/>
        <item x="22"/>
        <item x="34"/>
        <item x="7"/>
        <item x="19"/>
        <item x="31"/>
        <item x="9"/>
        <item x="21"/>
        <item x="33"/>
        <item x="3"/>
        <item x="15"/>
        <item x="27"/>
        <item x="40"/>
        <item m="1" x="123"/>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6"/>
        <item m="1" x="129"/>
        <item m="1" x="133"/>
        <item m="1" x="136"/>
        <item m="1" x="138"/>
        <item m="1" x="137"/>
        <item m="1" x="139"/>
        <item m="1" x="141"/>
        <item m="1" x="144"/>
        <item m="1" x="145"/>
        <item m="1" x="116"/>
        <item m="1" x="119"/>
        <item m="1" x="122"/>
        <item m="1" x="124"/>
        <item x="83"/>
        <item x="84"/>
        <item x="85"/>
        <item x="86"/>
        <item x="87"/>
        <item x="88"/>
        <item x="89"/>
        <item x="90"/>
        <item x="92"/>
        <item x="93"/>
        <item x="91"/>
        <item x="95"/>
        <item x="96"/>
        <item x="97"/>
        <item x="106"/>
        <item x="98"/>
        <item x="99"/>
        <item x="100"/>
        <item x="101"/>
        <item x="102"/>
        <item x="103"/>
        <item x="104"/>
        <item x="105"/>
        <item x="107"/>
        <item x="108"/>
        <item m="1" x="140"/>
        <item m="1" x="127"/>
        <item m="1" x="146"/>
        <item m="1" x="134"/>
        <item m="1" x="121"/>
        <item m="1" x="142"/>
        <item x="109"/>
        <item x="110"/>
        <item x="111"/>
        <item x="112"/>
        <item x="113"/>
        <item t="default"/>
      </items>
    </pivotField>
  </pivotFields>
  <rowFields count="2">
    <field x="1"/>
    <field x="2"/>
  </rowFields>
  <rowItems count="114">
    <i>
      <x/>
    </i>
    <i>
      <x v="1"/>
    </i>
    <i>
      <x v="2"/>
    </i>
    <i>
      <x v="3"/>
    </i>
    <i>
      <x v="4"/>
    </i>
    <i>
      <x v="5"/>
    </i>
    <i>
      <x v="6"/>
    </i>
    <i>
      <x v="7"/>
    </i>
    <i>
      <x v="8"/>
    </i>
    <i>
      <x v="9"/>
    </i>
    <i>
      <x v="10"/>
    </i>
    <i>
      <x v="12"/>
    </i>
    <i>
      <x v="13"/>
    </i>
    <i>
      <x v="14"/>
    </i>
    <i>
      <x v="15"/>
    </i>
    <i>
      <x v="16"/>
    </i>
    <i>
      <x v="17"/>
    </i>
    <i>
      <x v="18"/>
    </i>
    <i>
      <x v="19"/>
    </i>
    <i>
      <x v="20"/>
    </i>
    <i>
      <x v="21"/>
    </i>
    <i>
      <x v="22"/>
    </i>
    <i>
      <x v="23"/>
    </i>
    <i>
      <x v="24"/>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7"/>
    </i>
    <i>
      <x v="58"/>
    </i>
    <i>
      <x v="59"/>
    </i>
    <i>
      <x v="60"/>
    </i>
    <i>
      <x v="61"/>
    </i>
    <i>
      <x v="62"/>
    </i>
    <i>
      <x v="63"/>
    </i>
    <i>
      <x v="64"/>
    </i>
    <i>
      <x v="65"/>
    </i>
    <i>
      <x v="66"/>
    </i>
    <i>
      <x v="67"/>
    </i>
    <i>
      <x v="68"/>
    </i>
    <i>
      <x v="69"/>
    </i>
    <i>
      <x v="71"/>
    </i>
    <i>
      <x v="73"/>
    </i>
    <i>
      <x v="74"/>
    </i>
    <i>
      <x v="75"/>
    </i>
    <i>
      <x v="76"/>
    </i>
    <i>
      <x v="77"/>
    </i>
    <i>
      <x v="78"/>
    </i>
    <i>
      <x v="79"/>
    </i>
    <i>
      <x v="80"/>
    </i>
    <i>
      <x v="81"/>
    </i>
    <i>
      <x v="88"/>
    </i>
    <i>
      <x v="101"/>
    </i>
    <i>
      <x v="105"/>
    </i>
    <i>
      <x v="107"/>
    </i>
    <i>
      <x v="120"/>
    </i>
    <i>
      <x v="122"/>
    </i>
    <i>
      <x v="136"/>
    </i>
    <i>
      <x v="138"/>
    </i>
    <i>
      <x v="140"/>
    </i>
    <i>
      <x v="143"/>
    </i>
    <i>
      <x v="145"/>
    </i>
    <i>
      <x v="156"/>
    </i>
    <i>
      <x v="162"/>
    </i>
    <i>
      <x v="174"/>
    </i>
    <i>
      <x v="186"/>
    </i>
    <i>
      <x v="188"/>
    </i>
    <i>
      <x v="189"/>
    </i>
    <i>
      <x v="190"/>
    </i>
    <i>
      <x v="191"/>
    </i>
    <i>
      <x v="194"/>
    </i>
    <i>
      <x v="199"/>
    </i>
    <i>
      <x v="200"/>
    </i>
    <i>
      <x v="201"/>
    </i>
    <i>
      <x v="203"/>
    </i>
    <i>
      <x v="205"/>
    </i>
    <i>
      <x v="206"/>
    </i>
    <i>
      <x v="209"/>
    </i>
    <i>
      <x v="219"/>
    </i>
    <i>
      <x v="223"/>
    </i>
    <i>
      <x v="228"/>
    </i>
    <i>
      <x v="234"/>
    </i>
    <i>
      <x v="238"/>
    </i>
    <i>
      <x v="240"/>
    </i>
    <i r="1">
      <x v="1068"/>
    </i>
    <i>
      <x v="241"/>
    </i>
    <i r="1">
      <x v="107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24">
    <format dxfId="689">
      <pivotArea type="all" dataOnly="0" outline="0" fieldPosition="0"/>
    </format>
    <format dxfId="688">
      <pivotArea outline="0" collapsedLevelsAreSubtotals="1" fieldPosition="0"/>
    </format>
    <format dxfId="687">
      <pivotArea dataOnly="0" labelOnly="1" outline="0" fieldPosition="0">
        <references count="1">
          <reference field="4294967294" count="3">
            <x v="0"/>
            <x v="1"/>
            <x v="2"/>
          </reference>
        </references>
      </pivotArea>
    </format>
    <format dxfId="686">
      <pivotArea type="all" dataOnly="0" outline="0" fieldPosition="0"/>
    </format>
    <format dxfId="685">
      <pivotArea outline="0" collapsedLevelsAreSubtotals="1" fieldPosition="0"/>
    </format>
    <format dxfId="684">
      <pivotArea field="1" type="button" dataOnly="0" labelOnly="1" outline="0" axis="axisRow" fieldPosition="0"/>
    </format>
    <format dxfId="683">
      <pivotArea dataOnly="0" labelOnly="1" fieldPosition="0">
        <references count="1">
          <reference field="1" count="49">
            <x v="63"/>
            <x v="64"/>
            <x v="80"/>
            <x v="81"/>
            <x v="82"/>
            <x v="83"/>
            <x v="84"/>
            <x v="85"/>
            <x v="86"/>
            <x v="87"/>
            <x v="88"/>
            <x v="89"/>
            <x v="90"/>
            <x v="91"/>
            <x v="93"/>
            <x v="94"/>
            <x v="95"/>
            <x v="96"/>
            <x v="97"/>
            <x v="98"/>
            <x v="108"/>
            <x v="109"/>
            <x v="110"/>
            <x v="111"/>
            <x v="112"/>
            <x v="113"/>
            <x v="114"/>
            <x v="115"/>
            <x v="116"/>
            <x v="117"/>
            <x v="118"/>
            <x v="119"/>
            <x v="120"/>
            <x v="121"/>
            <x v="122"/>
            <x v="123"/>
            <x v="124"/>
            <x v="125"/>
            <x v="126"/>
            <x v="127"/>
            <x v="128"/>
            <x v="129"/>
            <x v="130"/>
            <x v="161"/>
            <x v="162"/>
            <x v="195"/>
            <x v="196"/>
            <x v="197"/>
            <x v="199"/>
          </reference>
        </references>
      </pivotArea>
    </format>
    <format dxfId="682">
      <pivotArea dataOnly="0" labelOnly="1" fieldPosition="0">
        <references count="1">
          <reference field="1" count="47">
            <x v="53"/>
            <x v="60"/>
            <x v="61"/>
            <x v="75"/>
            <x v="92"/>
            <x v="99"/>
            <x v="100"/>
            <x v="101"/>
            <x v="102"/>
            <x v="103"/>
            <x v="104"/>
            <x v="105"/>
            <x v="106"/>
            <x v="107"/>
            <x v="131"/>
            <x v="132"/>
            <x v="133"/>
            <x v="134"/>
            <x v="135"/>
            <x v="136"/>
            <x v="137"/>
            <x v="138"/>
            <x v="139"/>
            <x v="140"/>
            <x v="141"/>
            <x v="142"/>
            <x v="143"/>
            <x v="144"/>
            <x v="145"/>
            <x v="146"/>
            <x v="147"/>
            <x v="148"/>
            <x v="149"/>
            <x v="150"/>
            <x v="151"/>
            <x v="152"/>
            <x v="153"/>
            <x v="154"/>
            <x v="155"/>
            <x v="156"/>
            <x v="157"/>
            <x v="158"/>
            <x v="159"/>
            <x v="160"/>
            <x v="198"/>
            <x v="201"/>
            <x v="203"/>
          </reference>
        </references>
      </pivotArea>
    </format>
    <format dxfId="681">
      <pivotArea dataOnly="0" labelOnly="1" grandRow="1" outline="0" fieldPosition="0"/>
    </format>
    <format dxfId="680">
      <pivotArea dataOnly="0" labelOnly="1" outline="0" fieldPosition="0">
        <references count="1">
          <reference field="4294967294" count="3">
            <x v="0"/>
            <x v="1"/>
            <x v="2"/>
          </reference>
        </references>
      </pivotArea>
    </format>
    <format dxfId="679">
      <pivotArea type="all" dataOnly="0" outline="0" fieldPosition="0"/>
    </format>
    <format dxfId="678">
      <pivotArea outline="0" collapsedLevelsAreSubtotals="1" fieldPosition="0"/>
    </format>
    <format dxfId="677">
      <pivotArea field="1" type="button" dataOnly="0" labelOnly="1" outline="0" axis="axisRow" fieldPosition="0"/>
    </format>
    <format dxfId="676">
      <pivotArea dataOnly="0" labelOnly="1" fieldPosition="0">
        <references count="1">
          <reference field="1" count="49">
            <x v="63"/>
            <x v="64"/>
            <x v="80"/>
            <x v="81"/>
            <x v="82"/>
            <x v="83"/>
            <x v="84"/>
            <x v="85"/>
            <x v="86"/>
            <x v="87"/>
            <x v="88"/>
            <x v="89"/>
            <x v="90"/>
            <x v="91"/>
            <x v="93"/>
            <x v="94"/>
            <x v="95"/>
            <x v="96"/>
            <x v="97"/>
            <x v="98"/>
            <x v="108"/>
            <x v="109"/>
            <x v="110"/>
            <x v="111"/>
            <x v="112"/>
            <x v="113"/>
            <x v="114"/>
            <x v="115"/>
            <x v="116"/>
            <x v="117"/>
            <x v="118"/>
            <x v="119"/>
            <x v="120"/>
            <x v="121"/>
            <x v="122"/>
            <x v="123"/>
            <x v="124"/>
            <x v="125"/>
            <x v="126"/>
            <x v="127"/>
            <x v="128"/>
            <x v="129"/>
            <x v="130"/>
            <x v="161"/>
            <x v="162"/>
            <x v="195"/>
            <x v="196"/>
            <x v="197"/>
            <x v="199"/>
          </reference>
        </references>
      </pivotArea>
    </format>
    <format dxfId="675">
      <pivotArea dataOnly="0" labelOnly="1" fieldPosition="0">
        <references count="1">
          <reference field="1" count="47">
            <x v="53"/>
            <x v="60"/>
            <x v="61"/>
            <x v="75"/>
            <x v="92"/>
            <x v="99"/>
            <x v="100"/>
            <x v="101"/>
            <x v="102"/>
            <x v="103"/>
            <x v="104"/>
            <x v="105"/>
            <x v="106"/>
            <x v="107"/>
            <x v="131"/>
            <x v="132"/>
            <x v="133"/>
            <x v="134"/>
            <x v="135"/>
            <x v="136"/>
            <x v="137"/>
            <x v="138"/>
            <x v="139"/>
            <x v="140"/>
            <x v="141"/>
            <x v="142"/>
            <x v="143"/>
            <x v="144"/>
            <x v="145"/>
            <x v="146"/>
            <x v="147"/>
            <x v="148"/>
            <x v="149"/>
            <x v="150"/>
            <x v="151"/>
            <x v="152"/>
            <x v="153"/>
            <x v="154"/>
            <x v="155"/>
            <x v="156"/>
            <x v="157"/>
            <x v="158"/>
            <x v="159"/>
            <x v="160"/>
            <x v="198"/>
            <x v="201"/>
            <x v="203"/>
          </reference>
        </references>
      </pivotArea>
    </format>
    <format dxfId="674">
      <pivotArea dataOnly="0" labelOnly="1" grandRow="1" outline="0" fieldPosition="0"/>
    </format>
    <format dxfId="673">
      <pivotArea dataOnly="0" labelOnly="1" outline="0" fieldPosition="0">
        <references count="1">
          <reference field="4294967294" count="3">
            <x v="0"/>
            <x v="1"/>
            <x v="2"/>
          </reference>
        </references>
      </pivotArea>
    </format>
    <format dxfId="672">
      <pivotArea type="all" dataOnly="0" outline="0" fieldPosition="0"/>
    </format>
    <format dxfId="671">
      <pivotArea field="1" type="button" dataOnly="0" labelOnly="1" outline="0" axis="axisRow" fieldPosition="0"/>
    </format>
    <format dxfId="670">
      <pivotArea dataOnly="0" labelOnly="1" fieldPosition="0">
        <references count="1">
          <reference field="1" count="49">
            <x v="63"/>
            <x v="64"/>
            <x v="80"/>
            <x v="81"/>
            <x v="82"/>
            <x v="83"/>
            <x v="84"/>
            <x v="85"/>
            <x v="86"/>
            <x v="87"/>
            <x v="88"/>
            <x v="89"/>
            <x v="90"/>
            <x v="91"/>
            <x v="93"/>
            <x v="94"/>
            <x v="95"/>
            <x v="96"/>
            <x v="97"/>
            <x v="98"/>
            <x v="108"/>
            <x v="109"/>
            <x v="110"/>
            <x v="111"/>
            <x v="112"/>
            <x v="113"/>
            <x v="114"/>
            <x v="115"/>
            <x v="116"/>
            <x v="117"/>
            <x v="118"/>
            <x v="119"/>
            <x v="120"/>
            <x v="121"/>
            <x v="122"/>
            <x v="123"/>
            <x v="124"/>
            <x v="125"/>
            <x v="126"/>
            <x v="127"/>
            <x v="128"/>
            <x v="129"/>
            <x v="130"/>
            <x v="161"/>
            <x v="162"/>
            <x v="195"/>
            <x v="196"/>
            <x v="197"/>
            <x v="199"/>
          </reference>
        </references>
      </pivotArea>
    </format>
    <format dxfId="669">
      <pivotArea dataOnly="0" labelOnly="1" fieldPosition="0">
        <references count="1">
          <reference field="1" count="47">
            <x v="53"/>
            <x v="60"/>
            <x v="61"/>
            <x v="75"/>
            <x v="92"/>
            <x v="99"/>
            <x v="100"/>
            <x v="101"/>
            <x v="102"/>
            <x v="103"/>
            <x v="104"/>
            <x v="105"/>
            <x v="106"/>
            <x v="107"/>
            <x v="131"/>
            <x v="132"/>
            <x v="133"/>
            <x v="134"/>
            <x v="135"/>
            <x v="136"/>
            <x v="137"/>
            <x v="138"/>
            <x v="139"/>
            <x v="140"/>
            <x v="141"/>
            <x v="142"/>
            <x v="143"/>
            <x v="144"/>
            <x v="145"/>
            <x v="146"/>
            <x v="147"/>
            <x v="148"/>
            <x v="149"/>
            <x v="150"/>
            <x v="151"/>
            <x v="152"/>
            <x v="153"/>
            <x v="154"/>
            <x v="155"/>
            <x v="156"/>
            <x v="157"/>
            <x v="158"/>
            <x v="159"/>
            <x v="160"/>
            <x v="198"/>
            <x v="201"/>
            <x v="203"/>
          </reference>
        </references>
      </pivotArea>
    </format>
    <format dxfId="668">
      <pivotArea dataOnly="0" labelOnly="1" outline="0" fieldPosition="0">
        <references count="1">
          <reference field="4294967294" count="3">
            <x v="0"/>
            <x v="1"/>
            <x v="2"/>
          </reference>
        </references>
      </pivotArea>
    </format>
    <format dxfId="667">
      <pivotArea dataOnly="0" labelOnly="1" outline="0" fieldPosition="0">
        <references count="1">
          <reference field="4294967294" count="1">
            <x v="2"/>
          </reference>
        </references>
      </pivotArea>
    </format>
    <format dxfId="666">
      <pivotArea dataOnly="0" labelOnly="1" outline="0" fieldPosition="0">
        <references count="1">
          <reference field="4294967294" count="1">
            <x v="2"/>
          </reference>
        </references>
      </pivotArea>
    </format>
    <format dxfId="665">
      <pivotArea dataOnly="0" labelOnly="1" outline="0" fieldPosition="0">
        <references count="1">
          <reference field="4294967294" count="2">
            <x v="0"/>
            <x v="1"/>
          </reference>
        </references>
      </pivotArea>
    </format>
    <format dxfId="664">
      <pivotArea dataOnly="0" labelOnly="1" outline="0" fieldPosition="0">
        <references count="1">
          <reference field="4294967294" count="2">
            <x v="0"/>
            <x v="1"/>
          </reference>
        </references>
      </pivotArea>
    </format>
    <format dxfId="663">
      <pivotArea dataOnly="0" labelOnly="1" outline="0" fieldPosition="0">
        <references count="1">
          <reference field="4294967294" count="2">
            <x v="0"/>
            <x v="1"/>
          </reference>
        </references>
      </pivotArea>
    </format>
    <format dxfId="662">
      <pivotArea dataOnly="0" labelOnly="1" outline="0" fieldPosition="0">
        <references count="1">
          <reference field="4294967294" count="2">
            <x v="0"/>
            <x v="1"/>
          </reference>
        </references>
      </pivotArea>
    </format>
    <format dxfId="661">
      <pivotArea field="1" type="button" dataOnly="0" labelOnly="1" outline="0" axis="axisRow" fieldPosition="0"/>
    </format>
    <format dxfId="660">
      <pivotArea field="1" type="button" dataOnly="0" labelOnly="1" outline="0" axis="axisRow" fieldPosition="0"/>
    </format>
    <format dxfId="659">
      <pivotArea field="1" type="button" dataOnly="0" labelOnly="1" outline="0" axis="axisRow" fieldPosition="0"/>
    </format>
    <format dxfId="658">
      <pivotArea dataOnly="0" labelOnly="1" outline="0" fieldPosition="0">
        <references count="1">
          <reference field="4294967294" count="3">
            <x v="0"/>
            <x v="1"/>
            <x v="2"/>
          </reference>
        </references>
      </pivotArea>
    </format>
    <format dxfId="657">
      <pivotArea field="1" type="button" dataOnly="0" labelOnly="1" outline="0" axis="axisRow" fieldPosition="0"/>
    </format>
    <format dxfId="656">
      <pivotArea dataOnly="0" labelOnly="1" outline="0" fieldPosition="0">
        <references count="1">
          <reference field="4294967294" count="3">
            <x v="0"/>
            <x v="1"/>
            <x v="2"/>
          </reference>
        </references>
      </pivotArea>
    </format>
    <format dxfId="655">
      <pivotArea dataOnly="0" labelOnly="1" fieldPosition="0">
        <references count="1">
          <reference field="1" count="49">
            <x v="63"/>
            <x v="64"/>
            <x v="80"/>
            <x v="81"/>
            <x v="82"/>
            <x v="83"/>
            <x v="84"/>
            <x v="85"/>
            <x v="86"/>
            <x v="87"/>
            <x v="88"/>
            <x v="89"/>
            <x v="90"/>
            <x v="91"/>
            <x v="93"/>
            <x v="94"/>
            <x v="95"/>
            <x v="96"/>
            <x v="97"/>
            <x v="98"/>
            <x v="108"/>
            <x v="109"/>
            <x v="110"/>
            <x v="111"/>
            <x v="112"/>
            <x v="113"/>
            <x v="114"/>
            <x v="115"/>
            <x v="116"/>
            <x v="117"/>
            <x v="118"/>
            <x v="119"/>
            <x v="120"/>
            <x v="121"/>
            <x v="122"/>
            <x v="123"/>
            <x v="124"/>
            <x v="125"/>
            <x v="126"/>
            <x v="127"/>
            <x v="128"/>
            <x v="129"/>
            <x v="130"/>
            <x v="161"/>
            <x v="162"/>
            <x v="195"/>
            <x v="196"/>
            <x v="197"/>
            <x v="199"/>
          </reference>
        </references>
      </pivotArea>
    </format>
    <format dxfId="654">
      <pivotArea dataOnly="0" labelOnly="1" fieldPosition="0">
        <references count="1">
          <reference field="1" count="47">
            <x v="53"/>
            <x v="60"/>
            <x v="61"/>
            <x v="75"/>
            <x v="92"/>
            <x v="99"/>
            <x v="100"/>
            <x v="101"/>
            <x v="102"/>
            <x v="103"/>
            <x v="104"/>
            <x v="105"/>
            <x v="106"/>
            <x v="107"/>
            <x v="131"/>
            <x v="132"/>
            <x v="133"/>
            <x v="134"/>
            <x v="135"/>
            <x v="136"/>
            <x v="137"/>
            <x v="138"/>
            <x v="139"/>
            <x v="140"/>
            <x v="141"/>
            <x v="142"/>
            <x v="143"/>
            <x v="144"/>
            <x v="145"/>
            <x v="146"/>
            <x v="147"/>
            <x v="148"/>
            <x v="149"/>
            <x v="150"/>
            <x v="151"/>
            <x v="152"/>
            <x v="153"/>
            <x v="154"/>
            <x v="155"/>
            <x v="156"/>
            <x v="157"/>
            <x v="158"/>
            <x v="159"/>
            <x v="160"/>
            <x v="198"/>
            <x v="201"/>
            <x v="203"/>
          </reference>
        </references>
      </pivotArea>
    </format>
    <format dxfId="653">
      <pivotArea collapsedLevelsAreSubtotals="1" fieldPosition="0">
        <references count="1">
          <reference field="1" count="1">
            <x v="108"/>
          </reference>
        </references>
      </pivotArea>
    </format>
    <format dxfId="652">
      <pivotArea collapsedLevelsAreSubtotals="1" fieldPosition="0">
        <references count="1">
          <reference field="1" count="1">
            <x v="109"/>
          </reference>
        </references>
      </pivotArea>
    </format>
    <format dxfId="651">
      <pivotArea collapsedLevelsAreSubtotals="1" fieldPosition="0">
        <references count="1">
          <reference field="1" count="1">
            <x v="110"/>
          </reference>
        </references>
      </pivotArea>
    </format>
    <format dxfId="650">
      <pivotArea collapsedLevelsAreSubtotals="1" fieldPosition="0">
        <references count="1">
          <reference field="1" count="1">
            <x v="111"/>
          </reference>
        </references>
      </pivotArea>
    </format>
    <format dxfId="649">
      <pivotArea collapsedLevelsAreSubtotals="1" fieldPosition="0">
        <references count="1">
          <reference field="1" count="1">
            <x v="112"/>
          </reference>
        </references>
      </pivotArea>
    </format>
    <format dxfId="648">
      <pivotArea collapsedLevelsAreSubtotals="1" fieldPosition="0">
        <references count="1">
          <reference field="1" count="1">
            <x v="113"/>
          </reference>
        </references>
      </pivotArea>
    </format>
    <format dxfId="647">
      <pivotArea collapsedLevelsAreSubtotals="1" fieldPosition="0">
        <references count="1">
          <reference field="1" count="1">
            <x v="114"/>
          </reference>
        </references>
      </pivotArea>
    </format>
    <format dxfId="646">
      <pivotArea collapsedLevelsAreSubtotals="1" fieldPosition="0">
        <references count="1">
          <reference field="1" count="1">
            <x v="115"/>
          </reference>
        </references>
      </pivotArea>
    </format>
    <format dxfId="645">
      <pivotArea collapsedLevelsAreSubtotals="1" fieldPosition="0">
        <references count="1">
          <reference field="1" count="1">
            <x v="116"/>
          </reference>
        </references>
      </pivotArea>
    </format>
    <format dxfId="644">
      <pivotArea collapsedLevelsAreSubtotals="1" fieldPosition="0">
        <references count="1">
          <reference field="1" count="1">
            <x v="117"/>
          </reference>
        </references>
      </pivotArea>
    </format>
    <format dxfId="643">
      <pivotArea collapsedLevelsAreSubtotals="1" fieldPosition="0">
        <references count="1">
          <reference field="1" count="1">
            <x v="118"/>
          </reference>
        </references>
      </pivotArea>
    </format>
    <format dxfId="642">
      <pivotArea collapsedLevelsAreSubtotals="1" fieldPosition="0">
        <references count="1">
          <reference field="1" count="1">
            <x v="119"/>
          </reference>
        </references>
      </pivotArea>
    </format>
    <format dxfId="641">
      <pivotArea collapsedLevelsAreSubtotals="1" fieldPosition="0">
        <references count="1">
          <reference field="1" count="1">
            <x v="120"/>
          </reference>
        </references>
      </pivotArea>
    </format>
    <format dxfId="640">
      <pivotArea collapsedLevelsAreSubtotals="1" fieldPosition="0">
        <references count="1">
          <reference field="1" count="1">
            <x v="121"/>
          </reference>
        </references>
      </pivotArea>
    </format>
    <format dxfId="639">
      <pivotArea collapsedLevelsAreSubtotals="1" fieldPosition="0">
        <references count="1">
          <reference field="1" count="1">
            <x v="122"/>
          </reference>
        </references>
      </pivotArea>
    </format>
    <format dxfId="638">
      <pivotArea collapsedLevelsAreSubtotals="1" fieldPosition="0">
        <references count="1">
          <reference field="1" count="1">
            <x v="123"/>
          </reference>
        </references>
      </pivotArea>
    </format>
    <format dxfId="637">
      <pivotArea collapsedLevelsAreSubtotals="1" fieldPosition="0">
        <references count="1">
          <reference field="1" count="1">
            <x v="124"/>
          </reference>
        </references>
      </pivotArea>
    </format>
    <format dxfId="636">
      <pivotArea collapsedLevelsAreSubtotals="1" fieldPosition="0">
        <references count="1">
          <reference field="1" count="1">
            <x v="125"/>
          </reference>
        </references>
      </pivotArea>
    </format>
    <format dxfId="635">
      <pivotArea collapsedLevelsAreSubtotals="1" fieldPosition="0">
        <references count="1">
          <reference field="1" count="1">
            <x v="126"/>
          </reference>
        </references>
      </pivotArea>
    </format>
    <format dxfId="634">
      <pivotArea collapsedLevelsAreSubtotals="1" fieldPosition="0">
        <references count="1">
          <reference field="1" count="1">
            <x v="127"/>
          </reference>
        </references>
      </pivotArea>
    </format>
    <format dxfId="633">
      <pivotArea collapsedLevelsAreSubtotals="1" fieldPosition="0">
        <references count="1">
          <reference field="1" count="1">
            <x v="128"/>
          </reference>
        </references>
      </pivotArea>
    </format>
    <format dxfId="632">
      <pivotArea collapsedLevelsAreSubtotals="1" fieldPosition="0">
        <references count="1">
          <reference field="1" count="1">
            <x v="129"/>
          </reference>
        </references>
      </pivotArea>
    </format>
    <format dxfId="631">
      <pivotArea collapsedLevelsAreSubtotals="1" fieldPosition="0">
        <references count="1">
          <reference field="1" count="1">
            <x v="130"/>
          </reference>
        </references>
      </pivotArea>
    </format>
    <format dxfId="630">
      <pivotArea collapsedLevelsAreSubtotals="1" fieldPosition="0">
        <references count="1">
          <reference field="1" count="1">
            <x v="131"/>
          </reference>
        </references>
      </pivotArea>
    </format>
    <format dxfId="629">
      <pivotArea collapsedLevelsAreSubtotals="1" fieldPosition="0">
        <references count="1">
          <reference field="1" count="1">
            <x v="132"/>
          </reference>
        </references>
      </pivotArea>
    </format>
    <format dxfId="628">
      <pivotArea collapsedLevelsAreSubtotals="1" fieldPosition="0">
        <references count="1">
          <reference field="1" count="1">
            <x v="133"/>
          </reference>
        </references>
      </pivotArea>
    </format>
    <format dxfId="627">
      <pivotArea collapsedLevelsAreSubtotals="1" fieldPosition="0">
        <references count="1">
          <reference field="1" count="1">
            <x v="134"/>
          </reference>
        </references>
      </pivotArea>
    </format>
    <format dxfId="626">
      <pivotArea collapsedLevelsAreSubtotals="1" fieldPosition="0">
        <references count="1">
          <reference field="1" count="1">
            <x v="135"/>
          </reference>
        </references>
      </pivotArea>
    </format>
    <format dxfId="625">
      <pivotArea collapsedLevelsAreSubtotals="1" fieldPosition="0">
        <references count="1">
          <reference field="1" count="1">
            <x v="136"/>
          </reference>
        </references>
      </pivotArea>
    </format>
    <format dxfId="624">
      <pivotArea collapsedLevelsAreSubtotals="1" fieldPosition="0">
        <references count="1">
          <reference field="1" count="1">
            <x v="137"/>
          </reference>
        </references>
      </pivotArea>
    </format>
    <format dxfId="623">
      <pivotArea collapsedLevelsAreSubtotals="1" fieldPosition="0">
        <references count="1">
          <reference field="1" count="1">
            <x v="138"/>
          </reference>
        </references>
      </pivotArea>
    </format>
    <format dxfId="622">
      <pivotArea collapsedLevelsAreSubtotals="1" fieldPosition="0">
        <references count="1">
          <reference field="1" count="1">
            <x v="139"/>
          </reference>
        </references>
      </pivotArea>
    </format>
    <format dxfId="621">
      <pivotArea collapsedLevelsAreSubtotals="1" fieldPosition="0">
        <references count="1">
          <reference field="1" count="1">
            <x v="140"/>
          </reference>
        </references>
      </pivotArea>
    </format>
    <format dxfId="620">
      <pivotArea collapsedLevelsAreSubtotals="1" fieldPosition="0">
        <references count="1">
          <reference field="1" count="1">
            <x v="141"/>
          </reference>
        </references>
      </pivotArea>
    </format>
    <format dxfId="619">
      <pivotArea collapsedLevelsAreSubtotals="1" fieldPosition="0">
        <references count="1">
          <reference field="1" count="1">
            <x v="142"/>
          </reference>
        </references>
      </pivotArea>
    </format>
    <format dxfId="618">
      <pivotArea collapsedLevelsAreSubtotals="1" fieldPosition="0">
        <references count="1">
          <reference field="1" count="1">
            <x v="143"/>
          </reference>
        </references>
      </pivotArea>
    </format>
    <format dxfId="617">
      <pivotArea collapsedLevelsAreSubtotals="1" fieldPosition="0">
        <references count="1">
          <reference field="1" count="1">
            <x v="53"/>
          </reference>
        </references>
      </pivotArea>
    </format>
    <format dxfId="616">
      <pivotArea collapsedLevelsAreSubtotals="1" fieldPosition="0">
        <references count="1">
          <reference field="1" count="1">
            <x v="144"/>
          </reference>
        </references>
      </pivotArea>
    </format>
    <format dxfId="615">
      <pivotArea collapsedLevelsAreSubtotals="1" fieldPosition="0">
        <references count="1">
          <reference field="1" count="1">
            <x v="145"/>
          </reference>
        </references>
      </pivotArea>
    </format>
    <format dxfId="614">
      <pivotArea collapsedLevelsAreSubtotals="1" fieldPosition="0">
        <references count="1">
          <reference field="1" count="1">
            <x v="146"/>
          </reference>
        </references>
      </pivotArea>
    </format>
    <format dxfId="613">
      <pivotArea collapsedLevelsAreSubtotals="1" fieldPosition="0">
        <references count="1">
          <reference field="1" count="1">
            <x v="147"/>
          </reference>
        </references>
      </pivotArea>
    </format>
    <format dxfId="612">
      <pivotArea collapsedLevelsAreSubtotals="1" fieldPosition="0">
        <references count="1">
          <reference field="1" count="1">
            <x v="148"/>
          </reference>
        </references>
      </pivotArea>
    </format>
    <format dxfId="611">
      <pivotArea collapsedLevelsAreSubtotals="1" fieldPosition="0">
        <references count="1">
          <reference field="1" count="1">
            <x v="149"/>
          </reference>
        </references>
      </pivotArea>
    </format>
    <format dxfId="610">
      <pivotArea collapsedLevelsAreSubtotals="1" fieldPosition="0">
        <references count="1">
          <reference field="1" count="1">
            <x v="150"/>
          </reference>
        </references>
      </pivotArea>
    </format>
    <format dxfId="609">
      <pivotArea collapsedLevelsAreSubtotals="1" fieldPosition="0">
        <references count="1">
          <reference field="1" count="1">
            <x v="151"/>
          </reference>
        </references>
      </pivotArea>
    </format>
    <format dxfId="608">
      <pivotArea collapsedLevelsAreSubtotals="1" fieldPosition="0">
        <references count="1">
          <reference field="1" count="1">
            <x v="152"/>
          </reference>
        </references>
      </pivotArea>
    </format>
    <format dxfId="607">
      <pivotArea collapsedLevelsAreSubtotals="1" fieldPosition="0">
        <references count="1">
          <reference field="1" count="1">
            <x v="153"/>
          </reference>
        </references>
      </pivotArea>
    </format>
    <format dxfId="606">
      <pivotArea collapsedLevelsAreSubtotals="1" fieldPosition="0">
        <references count="1">
          <reference field="1" count="1">
            <x v="154"/>
          </reference>
        </references>
      </pivotArea>
    </format>
    <format dxfId="605">
      <pivotArea collapsedLevelsAreSubtotals="1" fieldPosition="0">
        <references count="1">
          <reference field="1" count="1">
            <x v="155"/>
          </reference>
        </references>
      </pivotArea>
    </format>
    <format dxfId="604">
      <pivotArea collapsedLevelsAreSubtotals="1" fieldPosition="0">
        <references count="1">
          <reference field="1" count="1">
            <x v="156"/>
          </reference>
        </references>
      </pivotArea>
    </format>
    <format dxfId="603">
      <pivotArea collapsedLevelsAreSubtotals="1" fieldPosition="0">
        <references count="1">
          <reference field="1" count="1">
            <x v="157"/>
          </reference>
        </references>
      </pivotArea>
    </format>
    <format dxfId="602">
      <pivotArea collapsedLevelsAreSubtotals="1" fieldPosition="0">
        <references count="1">
          <reference field="1" count="1">
            <x v="158"/>
          </reference>
        </references>
      </pivotArea>
    </format>
    <format dxfId="601">
      <pivotArea collapsedLevelsAreSubtotals="1" fieldPosition="0">
        <references count="1">
          <reference field="1" count="1">
            <x v="159"/>
          </reference>
        </references>
      </pivotArea>
    </format>
    <format dxfId="600">
      <pivotArea collapsedLevelsAreSubtotals="1" fieldPosition="0">
        <references count="1">
          <reference field="1" count="1">
            <x v="160"/>
          </reference>
        </references>
      </pivotArea>
    </format>
    <format dxfId="599">
      <pivotArea collapsedLevelsAreSubtotals="1" fieldPosition="0">
        <references count="1">
          <reference field="1" count="1">
            <x v="161"/>
          </reference>
        </references>
      </pivotArea>
    </format>
    <format dxfId="598">
      <pivotArea dataOnly="0" labelOnly="1" fieldPosition="0">
        <references count="1">
          <reference field="1" count="50">
            <x v="53"/>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reference>
        </references>
      </pivotArea>
    </format>
    <format dxfId="597">
      <pivotArea dataOnly="0" labelOnly="1" fieldPosition="0">
        <references count="1">
          <reference field="1" count="5">
            <x v="157"/>
            <x v="158"/>
            <x v="159"/>
            <x v="160"/>
            <x v="161"/>
          </reference>
        </references>
      </pivotArea>
    </format>
    <format dxfId="596">
      <pivotArea dataOnly="0" labelOnly="1" outline="0" fieldPosition="0">
        <references count="1">
          <reference field="4294967294" count="1">
            <x v="2"/>
          </reference>
        </references>
      </pivotArea>
    </format>
    <format dxfId="595">
      <pivotArea dataOnly="0" labelOnly="1" fieldPosition="0">
        <references count="1">
          <reference field="1" count="7">
            <x v="162"/>
            <x v="163"/>
            <x v="164"/>
            <x v="165"/>
            <x v="166"/>
            <x v="167"/>
            <x v="169"/>
          </reference>
        </references>
      </pivotArea>
    </format>
    <format dxfId="594">
      <pivotArea dataOnly="0" labelOnly="1" fieldPosition="0">
        <references count="1">
          <reference field="1" count="7">
            <x v="162"/>
            <x v="163"/>
            <x v="164"/>
            <x v="165"/>
            <x v="166"/>
            <x v="167"/>
            <x v="169"/>
          </reference>
        </references>
      </pivotArea>
    </format>
    <format dxfId="593">
      <pivotArea collapsedLevelsAreSubtotals="1" fieldPosition="0">
        <references count="1">
          <reference field="1" count="1">
            <x v="162"/>
          </reference>
        </references>
      </pivotArea>
    </format>
    <format dxfId="592">
      <pivotArea collapsedLevelsAreSubtotals="1" fieldPosition="0">
        <references count="1">
          <reference field="1" count="1">
            <x v="163"/>
          </reference>
        </references>
      </pivotArea>
    </format>
    <format dxfId="591">
      <pivotArea collapsedLevelsAreSubtotals="1" fieldPosition="0">
        <references count="1">
          <reference field="1" count="1">
            <x v="164"/>
          </reference>
        </references>
      </pivotArea>
    </format>
    <format dxfId="590">
      <pivotArea collapsedLevelsAreSubtotals="1" fieldPosition="0">
        <references count="1">
          <reference field="1" count="1">
            <x v="165"/>
          </reference>
        </references>
      </pivotArea>
    </format>
    <format dxfId="589">
      <pivotArea collapsedLevelsAreSubtotals="1" fieldPosition="0">
        <references count="1">
          <reference field="1" count="1">
            <x v="166"/>
          </reference>
        </references>
      </pivotArea>
    </format>
    <format dxfId="588">
      <pivotArea collapsedLevelsAreSubtotals="1" fieldPosition="0">
        <references count="1">
          <reference field="1" count="1">
            <x v="167"/>
          </reference>
        </references>
      </pivotArea>
    </format>
    <format dxfId="587">
      <pivotArea collapsedLevelsAreSubtotals="1" fieldPosition="0">
        <references count="1">
          <reference field="1" count="1">
            <x v="169"/>
          </reference>
        </references>
      </pivotArea>
    </format>
    <format dxfId="586">
      <pivotArea dataOnly="0" labelOnly="1" fieldPosition="0">
        <references count="1">
          <reference field="1" count="4">
            <x v="63"/>
            <x v="64"/>
            <x v="199"/>
            <x v="201"/>
          </reference>
        </references>
      </pivotArea>
    </format>
    <format dxfId="585">
      <pivotArea dataOnly="0" labelOnly="1" fieldPosition="0">
        <references count="1">
          <reference field="1" count="3">
            <x v="60"/>
            <x v="61"/>
            <x v="75"/>
          </reference>
        </references>
      </pivotArea>
    </format>
    <format dxfId="584">
      <pivotArea collapsedLevelsAreSubtotals="1" fieldPosition="0">
        <references count="1">
          <reference field="1" count="1">
            <x v="197"/>
          </reference>
        </references>
      </pivotArea>
    </format>
    <format dxfId="583">
      <pivotArea collapsedLevelsAreSubtotals="1" fieldPosition="0">
        <references count="1">
          <reference field="1" count="1">
            <x v="196"/>
          </reference>
        </references>
      </pivotArea>
    </format>
    <format dxfId="582">
      <pivotArea collapsedLevelsAreSubtotals="1" fieldPosition="0">
        <references count="1">
          <reference field="1" count="1">
            <x v="80"/>
          </reference>
        </references>
      </pivotArea>
    </format>
    <format dxfId="581">
      <pivotArea collapsedLevelsAreSubtotals="1" fieldPosition="0">
        <references count="1">
          <reference field="1" count="1">
            <x v="81"/>
          </reference>
        </references>
      </pivotArea>
    </format>
    <format dxfId="580">
      <pivotArea collapsedLevelsAreSubtotals="1" fieldPosition="0">
        <references count="1">
          <reference field="1" count="1">
            <x v="82"/>
          </reference>
        </references>
      </pivotArea>
    </format>
    <format dxfId="579">
      <pivotArea collapsedLevelsAreSubtotals="1" fieldPosition="0">
        <references count="1">
          <reference field="1" count="1">
            <x v="83"/>
          </reference>
        </references>
      </pivotArea>
    </format>
    <format dxfId="578">
      <pivotArea collapsedLevelsAreSubtotals="1" fieldPosition="0">
        <references count="1">
          <reference field="1" count="1">
            <x v="84"/>
          </reference>
        </references>
      </pivotArea>
    </format>
    <format dxfId="577">
      <pivotArea collapsedLevelsAreSubtotals="1" fieldPosition="0">
        <references count="1">
          <reference field="1" count="1">
            <x v="85"/>
          </reference>
        </references>
      </pivotArea>
    </format>
    <format dxfId="576">
      <pivotArea collapsedLevelsAreSubtotals="1" fieldPosition="0">
        <references count="1">
          <reference field="1" count="1">
            <x v="86"/>
          </reference>
        </references>
      </pivotArea>
    </format>
    <format dxfId="575">
      <pivotArea collapsedLevelsAreSubtotals="1" fieldPosition="0">
        <references count="1">
          <reference field="1" count="1">
            <x v="87"/>
          </reference>
        </references>
      </pivotArea>
    </format>
    <format dxfId="574">
      <pivotArea collapsedLevelsAreSubtotals="1" fieldPosition="0">
        <references count="1">
          <reference field="1" count="1">
            <x v="88"/>
          </reference>
        </references>
      </pivotArea>
    </format>
    <format dxfId="573">
      <pivotArea collapsedLevelsAreSubtotals="1" fieldPosition="0">
        <references count="1">
          <reference field="1" count="1">
            <x v="89"/>
          </reference>
        </references>
      </pivotArea>
    </format>
    <format dxfId="572">
      <pivotArea collapsedLevelsAreSubtotals="1" fieldPosition="0">
        <references count="1">
          <reference field="1" count="1">
            <x v="90"/>
          </reference>
        </references>
      </pivotArea>
    </format>
    <format dxfId="571">
      <pivotArea collapsedLevelsAreSubtotals="1" fieldPosition="0">
        <references count="1">
          <reference field="1" count="1">
            <x v="91"/>
          </reference>
        </references>
      </pivotArea>
    </format>
    <format dxfId="570">
      <pivotArea collapsedLevelsAreSubtotals="1" fieldPosition="0">
        <references count="1">
          <reference field="1" count="1">
            <x v="92"/>
          </reference>
        </references>
      </pivotArea>
    </format>
    <format dxfId="569">
      <pivotArea collapsedLevelsAreSubtotals="1" fieldPosition="0">
        <references count="1">
          <reference field="1" count="1">
            <x v="93"/>
          </reference>
        </references>
      </pivotArea>
    </format>
    <format dxfId="568">
      <pivotArea collapsedLevelsAreSubtotals="1" fieldPosition="0">
        <references count="1">
          <reference field="1" count="1">
            <x v="94"/>
          </reference>
        </references>
      </pivotArea>
    </format>
    <format dxfId="567">
      <pivotArea collapsedLevelsAreSubtotals="1" fieldPosition="0">
        <references count="1">
          <reference field="1" count="1">
            <x v="95"/>
          </reference>
        </references>
      </pivotArea>
    </format>
    <format dxfId="566">
      <pivotArea collapsedLevelsAreSubtotals="1" fieldPosition="0">
        <references count="1">
          <reference field="1" count="1">
            <x v="96"/>
          </reference>
        </references>
      </pivotArea>
    </format>
    <format dxfId="565">
      <pivotArea collapsedLevelsAreSubtotals="1" fieldPosition="0">
        <references count="1">
          <reference field="1" count="1">
            <x v="97"/>
          </reference>
        </references>
      </pivotArea>
    </format>
    <format dxfId="564">
      <pivotArea collapsedLevelsAreSubtotals="1" fieldPosition="0">
        <references count="1">
          <reference field="1" count="1">
            <x v="98"/>
          </reference>
        </references>
      </pivotArea>
    </format>
    <format dxfId="563">
      <pivotArea collapsedLevelsAreSubtotals="1" fieldPosition="0">
        <references count="1">
          <reference field="1" count="1">
            <x v="99"/>
          </reference>
        </references>
      </pivotArea>
    </format>
    <format dxfId="562">
      <pivotArea collapsedLevelsAreSubtotals="1" fieldPosition="0">
        <references count="1">
          <reference field="1" count="1">
            <x v="100"/>
          </reference>
        </references>
      </pivotArea>
    </format>
    <format dxfId="561">
      <pivotArea collapsedLevelsAreSubtotals="1" fieldPosition="0">
        <references count="1">
          <reference field="1" count="1">
            <x v="101"/>
          </reference>
        </references>
      </pivotArea>
    </format>
    <format dxfId="560">
      <pivotArea collapsedLevelsAreSubtotals="1" fieldPosition="0">
        <references count="1">
          <reference field="1" count="1">
            <x v="102"/>
          </reference>
        </references>
      </pivotArea>
    </format>
    <format dxfId="559">
      <pivotArea collapsedLevelsAreSubtotals="1" fieldPosition="0">
        <references count="1">
          <reference field="1" count="1">
            <x v="103"/>
          </reference>
        </references>
      </pivotArea>
    </format>
    <format dxfId="558">
      <pivotArea collapsedLevelsAreSubtotals="1" fieldPosition="0">
        <references count="1">
          <reference field="1" count="1">
            <x v="104"/>
          </reference>
        </references>
      </pivotArea>
    </format>
    <format dxfId="557">
      <pivotArea collapsedLevelsAreSubtotals="1" fieldPosition="0">
        <references count="1">
          <reference field="1" count="1">
            <x v="105"/>
          </reference>
        </references>
      </pivotArea>
    </format>
    <format dxfId="556">
      <pivotArea collapsedLevelsAreSubtotals="1" fieldPosition="0">
        <references count="1">
          <reference field="1" count="1">
            <x v="106"/>
          </reference>
        </references>
      </pivotArea>
    </format>
    <format dxfId="555">
      <pivotArea collapsedLevelsAreSubtotals="1" fieldPosition="0">
        <references count="1">
          <reference field="1" count="1">
            <x v="107"/>
          </reference>
        </references>
      </pivotArea>
    </format>
    <format dxfId="554">
      <pivotArea dataOnly="0" labelOnly="1" fieldPosition="0">
        <references count="1">
          <reference field="1" count="30">
            <x v="80"/>
            <x v="81"/>
            <x v="82"/>
            <x v="83"/>
            <x v="84"/>
            <x v="85"/>
            <x v="86"/>
            <x v="87"/>
            <x v="88"/>
            <x v="89"/>
            <x v="90"/>
            <x v="91"/>
            <x v="92"/>
            <x v="93"/>
            <x v="94"/>
            <x v="95"/>
            <x v="96"/>
            <x v="97"/>
            <x v="98"/>
            <x v="99"/>
            <x v="100"/>
            <x v="101"/>
            <x v="102"/>
            <x v="103"/>
            <x v="104"/>
            <x v="105"/>
            <x v="106"/>
            <x v="107"/>
            <x v="196"/>
            <x v="197"/>
          </reference>
        </references>
      </pivotArea>
    </format>
    <format dxfId="553">
      <pivotArea collapsedLevelsAreSubtotals="1" fieldPosition="0">
        <references count="2">
          <reference field="4294967294" count="2" selected="0">
            <x v="0"/>
            <x v="1"/>
          </reference>
          <reference field="1" count="1">
            <x v="170"/>
          </reference>
        </references>
      </pivotArea>
    </format>
    <format dxfId="552">
      <pivotArea collapsedLevelsAreSubtotals="1" fieldPosition="0">
        <references count="2">
          <reference field="4294967294" count="2" selected="0">
            <x v="0"/>
            <x v="1"/>
          </reference>
          <reference field="1" count="1">
            <x v="171"/>
          </reference>
        </references>
      </pivotArea>
    </format>
    <format dxfId="551">
      <pivotArea collapsedLevelsAreSubtotals="1" fieldPosition="0">
        <references count="2">
          <reference field="4294967294" count="2" selected="0">
            <x v="0"/>
            <x v="1"/>
          </reference>
          <reference field="1" count="1">
            <x v="174"/>
          </reference>
        </references>
      </pivotArea>
    </format>
    <format dxfId="550">
      <pivotArea collapsedLevelsAreSubtotals="1" fieldPosition="0">
        <references count="2">
          <reference field="4294967294" count="2" selected="0">
            <x v="0"/>
            <x v="1"/>
          </reference>
          <reference field="1" count="1">
            <x v="175"/>
          </reference>
        </references>
      </pivotArea>
    </format>
    <format dxfId="549">
      <pivotArea collapsedLevelsAreSubtotals="1" fieldPosition="0">
        <references count="2">
          <reference field="4294967294" count="2" selected="0">
            <x v="0"/>
            <x v="1"/>
          </reference>
          <reference field="1" count="1">
            <x v="176"/>
          </reference>
        </references>
      </pivotArea>
    </format>
    <format dxfId="548">
      <pivotArea collapsedLevelsAreSubtotals="1" fieldPosition="0">
        <references count="2">
          <reference field="4294967294" count="2" selected="0">
            <x v="0"/>
            <x v="1"/>
          </reference>
          <reference field="1" count="1">
            <x v="177"/>
          </reference>
        </references>
      </pivotArea>
    </format>
    <format dxfId="547">
      <pivotArea collapsedLevelsAreSubtotals="1" fieldPosition="0">
        <references count="2">
          <reference field="4294967294" count="2" selected="0">
            <x v="0"/>
            <x v="1"/>
          </reference>
          <reference field="1" count="1">
            <x v="178"/>
          </reference>
        </references>
      </pivotArea>
    </format>
    <format dxfId="546">
      <pivotArea collapsedLevelsAreSubtotals="1" fieldPosition="0">
        <references count="2">
          <reference field="4294967294" count="2" selected="0">
            <x v="0"/>
            <x v="1"/>
          </reference>
          <reference field="1" count="1">
            <x v="181"/>
          </reference>
        </references>
      </pivotArea>
    </format>
    <format dxfId="545">
      <pivotArea dataOnly="0" labelOnly="1" fieldPosition="0">
        <references count="1">
          <reference field="1" count="8">
            <x v="170"/>
            <x v="171"/>
            <x v="174"/>
            <x v="175"/>
            <x v="176"/>
            <x v="177"/>
            <x v="178"/>
            <x v="181"/>
          </reference>
        </references>
      </pivotArea>
    </format>
    <format dxfId="544">
      <pivotArea collapsedLevelsAreSubtotals="1" fieldPosition="0">
        <references count="2">
          <reference field="4294967294" count="1" selected="0">
            <x v="2"/>
          </reference>
          <reference field="1" count="1">
            <x v="170"/>
          </reference>
        </references>
      </pivotArea>
    </format>
    <format dxfId="543">
      <pivotArea collapsedLevelsAreSubtotals="1" fieldPosition="0">
        <references count="2">
          <reference field="4294967294" count="1" selected="0">
            <x v="2"/>
          </reference>
          <reference field="1" count="1">
            <x v="171"/>
          </reference>
        </references>
      </pivotArea>
    </format>
    <format dxfId="542">
      <pivotArea collapsedLevelsAreSubtotals="1" fieldPosition="0">
        <references count="2">
          <reference field="4294967294" count="1" selected="0">
            <x v="2"/>
          </reference>
          <reference field="1" count="1">
            <x v="174"/>
          </reference>
        </references>
      </pivotArea>
    </format>
    <format dxfId="541">
      <pivotArea collapsedLevelsAreSubtotals="1" fieldPosition="0">
        <references count="2">
          <reference field="4294967294" count="1" selected="0">
            <x v="2"/>
          </reference>
          <reference field="1" count="1">
            <x v="175"/>
          </reference>
        </references>
      </pivotArea>
    </format>
    <format dxfId="540">
      <pivotArea collapsedLevelsAreSubtotals="1" fieldPosition="0">
        <references count="2">
          <reference field="4294967294" count="1" selected="0">
            <x v="2"/>
          </reference>
          <reference field="1" count="1">
            <x v="176"/>
          </reference>
        </references>
      </pivotArea>
    </format>
    <format dxfId="539">
      <pivotArea collapsedLevelsAreSubtotals="1" fieldPosition="0">
        <references count="2">
          <reference field="4294967294" count="1" selected="0">
            <x v="2"/>
          </reference>
          <reference field="1" count="1">
            <x v="177"/>
          </reference>
        </references>
      </pivotArea>
    </format>
    <format dxfId="538">
      <pivotArea collapsedLevelsAreSubtotals="1" fieldPosition="0">
        <references count="2">
          <reference field="4294967294" count="1" selected="0">
            <x v="2"/>
          </reference>
          <reference field="1" count="1">
            <x v="178"/>
          </reference>
        </references>
      </pivotArea>
    </format>
    <format dxfId="537">
      <pivotArea collapsedLevelsAreSubtotals="1" fieldPosition="0">
        <references count="2">
          <reference field="4294967294" count="1" selected="0">
            <x v="2"/>
          </reference>
          <reference field="1" count="1">
            <x v="181"/>
          </reference>
        </references>
      </pivotArea>
    </format>
    <format dxfId="536">
      <pivotArea dataOnly="0" labelOnly="1" fieldPosition="0">
        <references count="1">
          <reference field="1" count="3">
            <x v="63"/>
            <x v="64"/>
            <x v="75"/>
          </reference>
        </references>
      </pivotArea>
    </format>
    <format dxfId="535">
      <pivotArea dataOnly="0" labelOnly="1" fieldPosition="0">
        <references count="1">
          <reference field="1" count="8">
            <x v="170"/>
            <x v="171"/>
            <x v="174"/>
            <x v="175"/>
            <x v="176"/>
            <x v="177"/>
            <x v="178"/>
            <x v="181"/>
          </reference>
        </references>
      </pivotArea>
    </format>
    <format dxfId="534">
      <pivotArea collapsedLevelsAreSubtotals="1" fieldPosition="0">
        <references count="1">
          <reference field="1" count="1">
            <x v="186"/>
          </reference>
        </references>
      </pivotArea>
    </format>
    <format dxfId="533">
      <pivotArea dataOnly="0" labelOnly="1" fieldPosition="0">
        <references count="1">
          <reference field="1" count="1">
            <x v="186"/>
          </reference>
        </references>
      </pivotArea>
    </format>
    <format dxfId="532">
      <pivotArea collapsedLevelsAreSubtotals="1" fieldPosition="0">
        <references count="1">
          <reference field="1" count="1">
            <x v="186"/>
          </reference>
        </references>
      </pivotArea>
    </format>
    <format dxfId="531">
      <pivotArea collapsedLevelsAreSubtotals="1" fieldPosition="0">
        <references count="1">
          <reference field="1" count="1">
            <x v="187"/>
          </reference>
        </references>
      </pivotArea>
    </format>
    <format dxfId="530">
      <pivotArea collapsedLevelsAreSubtotals="1" fieldPosition="0">
        <references count="1">
          <reference field="1" count="1">
            <x v="187"/>
          </reference>
        </references>
      </pivotArea>
    </format>
    <format dxfId="529">
      <pivotArea collapsedLevelsAreSubtotals="1" fieldPosition="0">
        <references count="1">
          <reference field="1" count="1">
            <x v="187"/>
          </reference>
        </references>
      </pivotArea>
    </format>
    <format dxfId="528">
      <pivotArea collapsedLevelsAreSubtotals="1" fieldPosition="0">
        <references count="1">
          <reference field="1" count="1">
            <x v="187"/>
          </reference>
        </references>
      </pivotArea>
    </format>
    <format dxfId="527">
      <pivotArea collapsedLevelsAreSubtotals="1" fieldPosition="0">
        <references count="1">
          <reference field="1" count="1">
            <x v="187"/>
          </reference>
        </references>
      </pivotArea>
    </format>
    <format dxfId="526">
      <pivotArea collapsedLevelsAreSubtotals="1" fieldPosition="0">
        <references count="1">
          <reference field="1" count="1">
            <x v="187"/>
          </reference>
        </references>
      </pivotArea>
    </format>
    <format dxfId="525">
      <pivotArea collapsedLevelsAreSubtotals="1" fieldPosition="0">
        <references count="1">
          <reference field="1" count="1">
            <x v="202"/>
          </reference>
        </references>
      </pivotArea>
    </format>
    <format dxfId="524">
      <pivotArea collapsedLevelsAreSubtotals="1" fieldPosition="0">
        <references count="1">
          <reference field="1" count="1">
            <x v="79"/>
          </reference>
        </references>
      </pivotArea>
    </format>
    <format dxfId="523">
      <pivotArea collapsedLevelsAreSubtotals="1" fieldPosition="0">
        <references count="1">
          <reference field="1" count="1">
            <x v="200"/>
          </reference>
        </references>
      </pivotArea>
    </format>
    <format dxfId="522">
      <pivotArea collapsedLevelsAreSubtotals="1" fieldPosition="0">
        <references count="1">
          <reference field="1" count="1">
            <x v="199"/>
          </reference>
        </references>
      </pivotArea>
    </format>
    <format dxfId="521">
      <pivotArea collapsedLevelsAreSubtotals="1" fieldPosition="0">
        <references count="1">
          <reference field="1" count="1">
            <x v="201"/>
          </reference>
        </references>
      </pivotArea>
    </format>
    <format dxfId="520">
      <pivotArea collapsedLevelsAreSubtotals="1" fieldPosition="0">
        <references count="1">
          <reference field="1" count="1">
            <x v="198"/>
          </reference>
        </references>
      </pivotArea>
    </format>
    <format dxfId="519">
      <pivotArea collapsedLevelsAreSubtotals="1" fieldPosition="0">
        <references count="1">
          <reference field="1" count="1">
            <x v="203"/>
          </reference>
        </references>
      </pivotArea>
    </format>
    <format dxfId="518">
      <pivotArea collapsedLevelsAreSubtotals="1" fieldPosition="0">
        <references count="1">
          <reference field="1" count="1">
            <x v="195"/>
          </reference>
        </references>
      </pivotArea>
    </format>
    <format dxfId="517">
      <pivotArea dataOnly="0" labelOnly="1" fieldPosition="0">
        <references count="1">
          <reference field="1" count="8">
            <x v="79"/>
            <x v="195"/>
            <x v="198"/>
            <x v="199"/>
            <x v="200"/>
            <x v="201"/>
            <x v="202"/>
            <x v="203"/>
          </reference>
        </references>
      </pivotArea>
    </format>
    <format dxfId="516">
      <pivotArea collapsedLevelsAreSubtotals="1" fieldPosition="0">
        <references count="1">
          <reference field="1" count="1">
            <x v="202"/>
          </reference>
        </references>
      </pivotArea>
    </format>
    <format dxfId="515">
      <pivotArea collapsedLevelsAreSubtotals="1" fieldPosition="0">
        <references count="1">
          <reference field="1" count="1">
            <x v="79"/>
          </reference>
        </references>
      </pivotArea>
    </format>
    <format dxfId="514">
      <pivotArea collapsedLevelsAreSubtotals="1" fieldPosition="0">
        <references count="1">
          <reference field="1" count="1">
            <x v="200"/>
          </reference>
        </references>
      </pivotArea>
    </format>
    <format dxfId="513">
      <pivotArea collapsedLevelsAreSubtotals="1" fieldPosition="0">
        <references count="1">
          <reference field="1" count="1">
            <x v="199"/>
          </reference>
        </references>
      </pivotArea>
    </format>
    <format dxfId="512">
      <pivotArea collapsedLevelsAreSubtotals="1" fieldPosition="0">
        <references count="1">
          <reference field="1" count="1">
            <x v="201"/>
          </reference>
        </references>
      </pivotArea>
    </format>
    <format dxfId="511">
      <pivotArea collapsedLevelsAreSubtotals="1" fieldPosition="0">
        <references count="1">
          <reference field="1" count="1">
            <x v="198"/>
          </reference>
        </references>
      </pivotArea>
    </format>
    <format dxfId="510">
      <pivotArea collapsedLevelsAreSubtotals="1" fieldPosition="0">
        <references count="1">
          <reference field="1" count="1">
            <x v="203"/>
          </reference>
        </references>
      </pivotArea>
    </format>
    <format dxfId="509">
      <pivotArea collapsedLevelsAreSubtotals="1" fieldPosition="0">
        <references count="1">
          <reference field="1" count="1">
            <x v="195"/>
          </reference>
        </references>
      </pivotArea>
    </format>
    <format dxfId="508">
      <pivotArea dataOnly="0" labelOnly="1" fieldPosition="0">
        <references count="1">
          <reference field="1" count="8">
            <x v="79"/>
            <x v="195"/>
            <x v="198"/>
            <x v="199"/>
            <x v="200"/>
            <x v="201"/>
            <x v="202"/>
            <x v="203"/>
          </reference>
        </references>
      </pivotArea>
    </format>
    <format dxfId="507">
      <pivotArea collapsedLevelsAreSubtotals="1" fieldPosition="0">
        <references count="1">
          <reference field="1" count="1">
            <x v="202"/>
          </reference>
        </references>
      </pivotArea>
    </format>
    <format dxfId="506">
      <pivotArea collapsedLevelsAreSubtotals="1" fieldPosition="0">
        <references count="1">
          <reference field="1" count="1">
            <x v="79"/>
          </reference>
        </references>
      </pivotArea>
    </format>
    <format dxfId="505">
      <pivotArea collapsedLevelsAreSubtotals="1" fieldPosition="0">
        <references count="1">
          <reference field="1" count="1">
            <x v="200"/>
          </reference>
        </references>
      </pivotArea>
    </format>
    <format dxfId="504">
      <pivotArea collapsedLevelsAreSubtotals="1" fieldPosition="0">
        <references count="1">
          <reference field="1" count="1">
            <x v="199"/>
          </reference>
        </references>
      </pivotArea>
    </format>
    <format dxfId="503">
      <pivotArea collapsedLevelsAreSubtotals="1" fieldPosition="0">
        <references count="1">
          <reference field="1" count="1">
            <x v="201"/>
          </reference>
        </references>
      </pivotArea>
    </format>
    <format dxfId="502">
      <pivotArea collapsedLevelsAreSubtotals="1" fieldPosition="0">
        <references count="1">
          <reference field="1" count="1">
            <x v="198"/>
          </reference>
        </references>
      </pivotArea>
    </format>
    <format dxfId="501">
      <pivotArea collapsedLevelsAreSubtotals="1" fieldPosition="0">
        <references count="1">
          <reference field="1" count="1">
            <x v="203"/>
          </reference>
        </references>
      </pivotArea>
    </format>
    <format dxfId="500">
      <pivotArea collapsedLevelsAreSubtotals="1" fieldPosition="0">
        <references count="1">
          <reference field="1" count="1">
            <x v="195"/>
          </reference>
        </references>
      </pivotArea>
    </format>
    <format dxfId="499">
      <pivotArea dataOnly="0" labelOnly="1" fieldPosition="0">
        <references count="1">
          <reference field="1" count="8">
            <x v="79"/>
            <x v="195"/>
            <x v="198"/>
            <x v="199"/>
            <x v="200"/>
            <x v="201"/>
            <x v="202"/>
            <x v="203"/>
          </reference>
        </references>
      </pivotArea>
    </format>
    <format dxfId="498">
      <pivotArea collapsedLevelsAreSubtotals="1" fieldPosition="0">
        <references count="1">
          <reference field="1" count="1">
            <x v="187"/>
          </reference>
        </references>
      </pivotArea>
    </format>
    <format dxfId="497">
      <pivotArea collapsedLevelsAreSubtotals="1" fieldPosition="0">
        <references count="1">
          <reference field="1" count="1">
            <x v="188"/>
          </reference>
        </references>
      </pivotArea>
    </format>
    <format dxfId="496">
      <pivotArea collapsedLevelsAreSubtotals="1" fieldPosition="0">
        <references count="1">
          <reference field="1" count="1">
            <x v="189"/>
          </reference>
        </references>
      </pivotArea>
    </format>
    <format dxfId="495">
      <pivotArea collapsedLevelsAreSubtotals="1" fieldPosition="0">
        <references count="1">
          <reference field="1" count="1">
            <x v="187"/>
          </reference>
        </references>
      </pivotArea>
    </format>
    <format dxfId="494">
      <pivotArea collapsedLevelsAreSubtotals="1" fieldPosition="0">
        <references count="1">
          <reference field="1" count="1">
            <x v="187"/>
          </reference>
        </references>
      </pivotArea>
    </format>
    <format dxfId="493">
      <pivotArea collapsedLevelsAreSubtotals="1" fieldPosition="0">
        <references count="1">
          <reference field="1" count="1">
            <x v="187"/>
          </reference>
        </references>
      </pivotArea>
    </format>
    <format dxfId="492">
      <pivotArea collapsedLevelsAreSubtotals="1" fieldPosition="0">
        <references count="1">
          <reference field="1" count="1">
            <x v="187"/>
          </reference>
        </references>
      </pivotArea>
    </format>
    <format dxfId="491">
      <pivotArea collapsedLevelsAreSubtotals="1" fieldPosition="0">
        <references count="1">
          <reference field="1" count="1">
            <x v="188"/>
          </reference>
        </references>
      </pivotArea>
    </format>
    <format dxfId="490">
      <pivotArea collapsedLevelsAreSubtotals="1" fieldPosition="0">
        <references count="1">
          <reference field="1" count="1">
            <x v="189"/>
          </reference>
        </references>
      </pivotArea>
    </format>
    <format dxfId="489">
      <pivotArea collapsedLevelsAreSubtotals="1" fieldPosition="0">
        <references count="1">
          <reference field="1" count="1">
            <x v="190"/>
          </reference>
        </references>
      </pivotArea>
    </format>
    <format dxfId="488">
      <pivotArea collapsedLevelsAreSubtotals="1" fieldPosition="0">
        <references count="1">
          <reference field="1" count="1">
            <x v="191"/>
          </reference>
        </references>
      </pivotArea>
    </format>
    <format dxfId="487">
      <pivotArea dataOnly="0" labelOnly="1" fieldPosition="0">
        <references count="1">
          <reference field="1" count="17">
            <x v="51"/>
            <x v="52"/>
            <x v="57"/>
            <x v="58"/>
            <x v="59"/>
            <x v="60"/>
            <x v="61"/>
            <x v="62"/>
            <x v="63"/>
            <x v="64"/>
            <x v="65"/>
            <x v="66"/>
            <x v="67"/>
            <x v="68"/>
            <x v="69"/>
            <x v="71"/>
            <x v="73"/>
          </reference>
        </references>
      </pivotArea>
    </format>
    <format dxfId="486">
      <pivotArea outline="0" collapsedLevelsAreSubtotals="1" fieldPosition="0"/>
    </format>
    <format dxfId="485">
      <pivotArea dataOnly="0" labelOnly="1" fieldPosition="0">
        <references count="1">
          <reference field="1" count="21">
            <x v="45"/>
            <x v="47"/>
            <x v="48"/>
            <x v="54"/>
            <x v="56"/>
            <x v="60"/>
            <x v="61"/>
            <x v="63"/>
            <x v="64"/>
            <x v="65"/>
            <x v="66"/>
            <x v="67"/>
            <x v="68"/>
            <x v="69"/>
            <x v="71"/>
            <x v="74"/>
            <x v="80"/>
            <x v="122"/>
            <x v="136"/>
            <x v="138"/>
            <x v="145"/>
          </reference>
        </references>
      </pivotArea>
    </format>
    <format dxfId="484">
      <pivotArea outline="0" collapsedLevelsAreSubtotals="1" fieldPosition="0"/>
    </format>
    <format dxfId="483">
      <pivotArea type="all" dataOnly="0" outline="0" fieldPosition="0"/>
    </format>
    <format dxfId="482">
      <pivotArea outline="0" collapsedLevelsAreSubtotals="1" fieldPosition="0"/>
    </format>
    <format dxfId="481">
      <pivotArea field="1" type="button" dataOnly="0" labelOnly="1" outline="0" axis="axisRow" fieldPosition="0"/>
    </format>
    <format dxfId="480">
      <pivotArea dataOnly="0" labelOnly="1" fieldPosition="0">
        <references count="1">
          <reference field="1" count="50">
            <x v="47"/>
            <x v="48"/>
            <x v="49"/>
            <x v="50"/>
            <x v="51"/>
            <x v="52"/>
            <x v="54"/>
            <x v="55"/>
            <x v="56"/>
            <x v="57"/>
            <x v="58"/>
            <x v="59"/>
            <x v="60"/>
            <x v="61"/>
            <x v="62"/>
            <x v="63"/>
            <x v="64"/>
            <x v="65"/>
            <x v="66"/>
            <x v="67"/>
            <x v="68"/>
            <x v="69"/>
            <x v="71"/>
            <x v="73"/>
            <x v="74"/>
            <x v="75"/>
            <x v="76"/>
            <x v="77"/>
            <x v="78"/>
            <x v="79"/>
            <x v="80"/>
            <x v="81"/>
            <x v="82"/>
            <x v="83"/>
            <x v="84"/>
            <x v="85"/>
            <x v="86"/>
            <x v="87"/>
            <x v="88"/>
            <x v="89"/>
            <x v="90"/>
            <x v="195"/>
            <x v="196"/>
            <x v="197"/>
            <x v="198"/>
            <x v="199"/>
            <x v="200"/>
            <x v="201"/>
            <x v="202"/>
            <x v="203"/>
          </reference>
        </references>
      </pivotArea>
    </format>
    <format dxfId="479">
      <pivotArea dataOnly="0" labelOnly="1" fieldPosition="0">
        <references count="1">
          <reference field="1" count="5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reference>
        </references>
      </pivotArea>
    </format>
    <format dxfId="478">
      <pivotArea dataOnly="0" labelOnly="1" fieldPosition="0">
        <references count="1">
          <reference field="1" count="48">
            <x v="16"/>
            <x v="45"/>
            <x v="46"/>
            <x v="53"/>
            <x v="141"/>
            <x v="142"/>
            <x v="143"/>
            <x v="144"/>
            <x v="145"/>
            <x v="146"/>
            <x v="147"/>
            <x v="148"/>
            <x v="149"/>
            <x v="150"/>
            <x v="151"/>
            <x v="152"/>
            <x v="153"/>
            <x v="154"/>
            <x v="155"/>
            <x v="156"/>
            <x v="157"/>
            <x v="158"/>
            <x v="159"/>
            <x v="160"/>
            <x v="161"/>
            <x v="162"/>
            <x v="163"/>
            <x v="164"/>
            <x v="165"/>
            <x v="166"/>
            <x v="167"/>
            <x v="169"/>
            <x v="170"/>
            <x v="171"/>
            <x v="174"/>
            <x v="175"/>
            <x v="176"/>
            <x v="177"/>
            <x v="178"/>
            <x v="181"/>
            <x v="186"/>
            <x v="187"/>
            <x v="188"/>
            <x v="189"/>
            <x v="190"/>
            <x v="191"/>
            <x v="194"/>
            <x v="204"/>
          </reference>
        </references>
      </pivotArea>
    </format>
    <format dxfId="477">
      <pivotArea dataOnly="0" labelOnly="1" grandRow="1" outline="0" fieldPosition="0"/>
    </format>
    <format dxfId="476">
      <pivotArea dataOnly="0" labelOnly="1" fieldPosition="0">
        <references count="2">
          <reference field="1" count="1" selected="0">
            <x v="46"/>
          </reference>
          <reference field="2" count="7">
            <x v="311"/>
            <x v="326"/>
            <x v="415"/>
            <x v="418"/>
            <x v="446"/>
            <x v="648"/>
            <x v="788"/>
          </reference>
        </references>
      </pivotArea>
    </format>
    <format dxfId="475">
      <pivotArea dataOnly="0" labelOnly="1" outline="0" fieldPosition="0">
        <references count="1">
          <reference field="4294967294" count="3">
            <x v="0"/>
            <x v="1"/>
            <x v="2"/>
          </reference>
        </references>
      </pivotArea>
    </format>
    <format dxfId="474">
      <pivotArea type="all" dataOnly="0" outline="0" fieldPosition="0"/>
    </format>
    <format dxfId="473">
      <pivotArea outline="0" collapsedLevelsAreSubtotals="1" fieldPosition="0"/>
    </format>
    <format dxfId="472">
      <pivotArea field="1" type="button" dataOnly="0" labelOnly="1" outline="0" axis="axisRow" fieldPosition="0"/>
    </format>
    <format dxfId="471">
      <pivotArea dataOnly="0" labelOnly="1" fieldPosition="0">
        <references count="1">
          <reference field="1" count="50">
            <x v="47"/>
            <x v="48"/>
            <x v="49"/>
            <x v="50"/>
            <x v="51"/>
            <x v="52"/>
            <x v="54"/>
            <x v="55"/>
            <x v="56"/>
            <x v="57"/>
            <x v="58"/>
            <x v="59"/>
            <x v="60"/>
            <x v="61"/>
            <x v="62"/>
            <x v="63"/>
            <x v="64"/>
            <x v="65"/>
            <x v="66"/>
            <x v="67"/>
            <x v="68"/>
            <x v="69"/>
            <x v="71"/>
            <x v="73"/>
            <x v="74"/>
            <x v="75"/>
            <x v="76"/>
            <x v="77"/>
            <x v="78"/>
            <x v="79"/>
            <x v="80"/>
            <x v="81"/>
            <x v="82"/>
            <x v="83"/>
            <x v="84"/>
            <x v="85"/>
            <x v="86"/>
            <x v="87"/>
            <x v="88"/>
            <x v="89"/>
            <x v="90"/>
            <x v="195"/>
            <x v="196"/>
            <x v="197"/>
            <x v="198"/>
            <x v="199"/>
            <x v="200"/>
            <x v="201"/>
            <x v="202"/>
            <x v="203"/>
          </reference>
        </references>
      </pivotArea>
    </format>
    <format dxfId="470">
      <pivotArea dataOnly="0" labelOnly="1" fieldPosition="0">
        <references count="1">
          <reference field="1" count="5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reference>
        </references>
      </pivotArea>
    </format>
    <format dxfId="469">
      <pivotArea dataOnly="0" labelOnly="1" fieldPosition="0">
        <references count="1">
          <reference field="1" count="48">
            <x v="16"/>
            <x v="45"/>
            <x v="46"/>
            <x v="53"/>
            <x v="141"/>
            <x v="142"/>
            <x v="143"/>
            <x v="144"/>
            <x v="145"/>
            <x v="146"/>
            <x v="147"/>
            <x v="148"/>
            <x v="149"/>
            <x v="150"/>
            <x v="151"/>
            <x v="152"/>
            <x v="153"/>
            <x v="154"/>
            <x v="155"/>
            <x v="156"/>
            <x v="157"/>
            <x v="158"/>
            <x v="159"/>
            <x v="160"/>
            <x v="161"/>
            <x v="162"/>
            <x v="163"/>
            <x v="164"/>
            <x v="165"/>
            <x v="166"/>
            <x v="167"/>
            <x v="169"/>
            <x v="170"/>
            <x v="171"/>
            <x v="174"/>
            <x v="175"/>
            <x v="176"/>
            <x v="177"/>
            <x v="178"/>
            <x v="181"/>
            <x v="186"/>
            <x v="187"/>
            <x v="188"/>
            <x v="189"/>
            <x v="190"/>
            <x v="191"/>
            <x v="194"/>
            <x v="204"/>
          </reference>
        </references>
      </pivotArea>
    </format>
    <format dxfId="468">
      <pivotArea dataOnly="0" labelOnly="1" grandRow="1" outline="0" fieldPosition="0"/>
    </format>
    <format dxfId="467">
      <pivotArea dataOnly="0" labelOnly="1" fieldPosition="0">
        <references count="2">
          <reference field="1" count="1" selected="0">
            <x v="46"/>
          </reference>
          <reference field="2" count="7">
            <x v="311"/>
            <x v="326"/>
            <x v="415"/>
            <x v="418"/>
            <x v="446"/>
            <x v="648"/>
            <x v="788"/>
          </reference>
        </references>
      </pivotArea>
    </format>
    <format dxfId="466">
      <pivotArea dataOnly="0" labelOnly="1" outline="0" fieldPosition="0">
        <references count="1">
          <reference field="4294967294" count="3">
            <x v="0"/>
            <x v="1"/>
            <x v="2"/>
          </reference>
        </references>
      </pivotArea>
    </format>
    <format dxfId="465">
      <pivotArea dataOnly="0" labelOnly="1" fieldPosition="0">
        <references count="1">
          <reference field="1" count="50">
            <x v="16"/>
            <x v="45"/>
            <x v="46"/>
            <x v="47"/>
            <x v="48"/>
            <x v="49"/>
            <x v="50"/>
            <x v="51"/>
            <x v="52"/>
            <x v="54"/>
            <x v="55"/>
            <x v="56"/>
            <x v="57"/>
            <x v="58"/>
            <x v="59"/>
            <x v="60"/>
            <x v="61"/>
            <x v="62"/>
            <x v="63"/>
            <x v="64"/>
            <x v="65"/>
            <x v="66"/>
            <x v="67"/>
            <x v="68"/>
            <x v="69"/>
            <x v="71"/>
            <x v="73"/>
            <x v="74"/>
            <x v="75"/>
            <x v="76"/>
            <x v="77"/>
            <x v="78"/>
            <x v="79"/>
            <x v="80"/>
            <x v="81"/>
            <x v="82"/>
            <x v="83"/>
            <x v="84"/>
            <x v="85"/>
            <x v="86"/>
            <x v="87"/>
            <x v="195"/>
            <x v="196"/>
            <x v="197"/>
            <x v="198"/>
            <x v="199"/>
            <x v="200"/>
            <x v="201"/>
            <x v="202"/>
            <x v="203"/>
          </reference>
        </references>
      </pivotArea>
    </format>
    <format dxfId="464">
      <pivotArea dataOnly="0" labelOnly="1" fieldPosition="0">
        <references count="1">
          <reference field="1" count="50">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reference>
        </references>
      </pivotArea>
    </format>
    <format dxfId="463">
      <pivotArea dataOnly="0" labelOnly="1" fieldPosition="0">
        <references count="1">
          <reference field="1" count="46">
            <x v="53"/>
            <x v="138"/>
            <x v="139"/>
            <x v="140"/>
            <x v="141"/>
            <x v="142"/>
            <x v="143"/>
            <x v="144"/>
            <x v="145"/>
            <x v="146"/>
            <x v="147"/>
            <x v="148"/>
            <x v="149"/>
            <x v="150"/>
            <x v="151"/>
            <x v="152"/>
            <x v="153"/>
            <x v="154"/>
            <x v="155"/>
            <x v="156"/>
            <x v="157"/>
            <x v="158"/>
            <x v="159"/>
            <x v="160"/>
            <x v="161"/>
            <x v="162"/>
            <x v="163"/>
            <x v="165"/>
            <x v="166"/>
            <x v="167"/>
            <x v="169"/>
            <x v="170"/>
            <x v="171"/>
            <x v="174"/>
            <x v="175"/>
            <x v="176"/>
            <x v="177"/>
            <x v="178"/>
            <x v="181"/>
            <x v="186"/>
            <x v="187"/>
            <x v="188"/>
            <x v="189"/>
            <x v="190"/>
            <x v="191"/>
            <x v="194"/>
          </reference>
        </references>
      </pivotArea>
    </format>
    <format dxfId="462">
      <pivotArea outline="0" collapsedLevelsAreSubtotals="1" fieldPosition="0"/>
    </format>
    <format dxfId="461">
      <pivotArea dataOnly="0" labelOnly="1" fieldPosition="0">
        <references count="1">
          <reference field="1" count="50">
            <x v="16"/>
            <x v="45"/>
            <x v="46"/>
            <x v="47"/>
            <x v="48"/>
            <x v="49"/>
            <x v="50"/>
            <x v="51"/>
            <x v="52"/>
            <x v="53"/>
            <x v="54"/>
            <x v="55"/>
            <x v="56"/>
            <x v="57"/>
            <x v="58"/>
            <x v="59"/>
            <x v="60"/>
            <x v="61"/>
            <x v="62"/>
            <x v="63"/>
            <x v="64"/>
            <x v="65"/>
            <x v="66"/>
            <x v="67"/>
            <x v="68"/>
            <x v="69"/>
            <x v="71"/>
            <x v="73"/>
            <x v="74"/>
            <x v="75"/>
            <x v="76"/>
            <x v="77"/>
            <x v="78"/>
            <x v="79"/>
            <x v="80"/>
            <x v="81"/>
            <x v="82"/>
            <x v="83"/>
            <x v="84"/>
            <x v="85"/>
            <x v="86"/>
            <x v="87"/>
            <x v="88"/>
            <x v="89"/>
            <x v="90"/>
            <x v="91"/>
            <x v="92"/>
            <x v="93"/>
            <x v="94"/>
            <x v="95"/>
          </reference>
        </references>
      </pivotArea>
    </format>
    <format dxfId="460">
      <pivotArea dataOnly="0" labelOnly="1" fieldPosition="0">
        <references count="1">
          <reference field="1" count="50">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reference>
        </references>
      </pivotArea>
    </format>
    <format dxfId="459">
      <pivotArea dataOnly="0" labelOnly="1" fieldPosition="0">
        <references count="1">
          <reference field="1" count="46">
            <x v="146"/>
            <x v="147"/>
            <x v="148"/>
            <x v="149"/>
            <x v="150"/>
            <x v="151"/>
            <x v="152"/>
            <x v="153"/>
            <x v="154"/>
            <x v="155"/>
            <x v="156"/>
            <x v="157"/>
            <x v="158"/>
            <x v="159"/>
            <x v="160"/>
            <x v="161"/>
            <x v="162"/>
            <x v="163"/>
            <x v="165"/>
            <x v="166"/>
            <x v="167"/>
            <x v="169"/>
            <x v="170"/>
            <x v="171"/>
            <x v="174"/>
            <x v="175"/>
            <x v="176"/>
            <x v="177"/>
            <x v="178"/>
            <x v="181"/>
            <x v="186"/>
            <x v="187"/>
            <x v="188"/>
            <x v="189"/>
            <x v="190"/>
            <x v="191"/>
            <x v="194"/>
            <x v="195"/>
            <x v="196"/>
            <x v="197"/>
            <x v="198"/>
            <x v="199"/>
            <x v="200"/>
            <x v="201"/>
            <x v="202"/>
            <x v="203"/>
          </reference>
        </references>
      </pivotArea>
    </format>
    <format dxfId="458">
      <pivotArea dataOnly="0" labelOnly="1" grandRow="1" outline="0" fieldPosition="0"/>
    </format>
    <format dxfId="457">
      <pivotArea collapsedLevelsAreSubtotals="1" fieldPosition="0">
        <references count="1">
          <reference field="1" count="1">
            <x v="46"/>
          </reference>
        </references>
      </pivotArea>
    </format>
    <format dxfId="456">
      <pivotArea collapsedLevelsAreSubtotals="1" fieldPosition="0">
        <references count="1">
          <reference field="1" count="1">
            <x v="47"/>
          </reference>
        </references>
      </pivotArea>
    </format>
    <format dxfId="455">
      <pivotArea collapsedLevelsAreSubtotals="1" fieldPosition="0">
        <references count="1">
          <reference field="1" count="1">
            <x v="48"/>
          </reference>
        </references>
      </pivotArea>
    </format>
    <format dxfId="454">
      <pivotArea dataOnly="0" labelOnly="1" fieldPosition="0">
        <references count="1">
          <reference field="1" count="3">
            <x v="46"/>
            <x v="47"/>
            <x v="48"/>
          </reference>
        </references>
      </pivotArea>
    </format>
    <format dxfId="453">
      <pivotArea collapsedLevelsAreSubtotals="1" fieldPosition="0">
        <references count="1">
          <reference field="1" count="1">
            <x v="45"/>
          </reference>
        </references>
      </pivotArea>
    </format>
    <format dxfId="452">
      <pivotArea dataOnly="0" labelOnly="1" fieldPosition="0">
        <references count="1">
          <reference field="1" count="1">
            <x v="45"/>
          </reference>
        </references>
      </pivotArea>
    </format>
    <format dxfId="451">
      <pivotArea collapsedLevelsAreSubtotals="1" fieldPosition="0">
        <references count="1">
          <reference field="1" count="1">
            <x v="44"/>
          </reference>
        </references>
      </pivotArea>
    </format>
    <format dxfId="450">
      <pivotArea dataOnly="0" labelOnly="1" fieldPosition="0">
        <references count="1">
          <reference field="1" count="1">
            <x v="44"/>
          </reference>
        </references>
      </pivotArea>
    </format>
    <format dxfId="449">
      <pivotArea collapsedLevelsAreSubtotals="1" fieldPosition="0">
        <references count="1">
          <reference field="1" count="1">
            <x v="44"/>
          </reference>
        </references>
      </pivotArea>
    </format>
    <format dxfId="448">
      <pivotArea dataOnly="0" labelOnly="1" fieldPosition="0">
        <references count="1">
          <reference field="1" count="1">
            <x v="44"/>
          </reference>
        </references>
      </pivotArea>
    </format>
    <format dxfId="447">
      <pivotArea dataOnly="0" labelOnly="1" fieldPosition="0">
        <references count="1">
          <reference field="1" count="1">
            <x v="43"/>
          </reference>
        </references>
      </pivotArea>
    </format>
    <format dxfId="446">
      <pivotArea dataOnly="0" labelOnly="1" fieldPosition="0">
        <references count="1">
          <reference field="1" count="1">
            <x v="42"/>
          </reference>
        </references>
      </pivotArea>
    </format>
    <format dxfId="445">
      <pivotArea collapsedLevelsAreSubtotals="1" fieldPosition="0">
        <references count="1">
          <reference field="1" count="1">
            <x v="42"/>
          </reference>
        </references>
      </pivotArea>
    </format>
    <format dxfId="444">
      <pivotArea collapsedLevelsAreSubtotals="1" fieldPosition="0">
        <references count="1">
          <reference field="1" count="1">
            <x v="43"/>
          </reference>
        </references>
      </pivotArea>
    </format>
    <format dxfId="443">
      <pivotArea collapsedLevelsAreSubtotals="1" fieldPosition="0">
        <references count="1">
          <reference field="1" count="1">
            <x v="40"/>
          </reference>
        </references>
      </pivotArea>
    </format>
    <format dxfId="442">
      <pivotArea collapsedLevelsAreSubtotals="1" fieldPosition="0">
        <references count="1">
          <reference field="1" count="1">
            <x v="41"/>
          </reference>
        </references>
      </pivotArea>
    </format>
    <format dxfId="441">
      <pivotArea dataOnly="0" labelOnly="1" fieldPosition="0">
        <references count="1">
          <reference field="1" count="2">
            <x v="40"/>
            <x v="41"/>
          </reference>
        </references>
      </pivotArea>
    </format>
    <format dxfId="440">
      <pivotArea dataOnly="0" labelOnly="1" fieldPosition="0">
        <references count="1">
          <reference field="1" count="2">
            <x v="205"/>
            <x v="206"/>
          </reference>
        </references>
      </pivotArea>
    </format>
    <format dxfId="439">
      <pivotArea dataOnly="0" labelOnly="1" fieldPosition="0">
        <references count="1">
          <reference field="1" count="3">
            <x v="37"/>
            <x v="38"/>
            <x v="39"/>
          </reference>
        </references>
      </pivotArea>
    </format>
    <format dxfId="438">
      <pivotArea collapsedLevelsAreSubtotals="1" fieldPosition="0">
        <references count="1">
          <reference field="1" count="1">
            <x v="37"/>
          </reference>
        </references>
      </pivotArea>
    </format>
    <format dxfId="437">
      <pivotArea collapsedLevelsAreSubtotals="1" fieldPosition="0">
        <references count="1">
          <reference field="1" count="1">
            <x v="38"/>
          </reference>
        </references>
      </pivotArea>
    </format>
    <format dxfId="436">
      <pivotArea collapsedLevelsAreSubtotals="1" fieldPosition="0">
        <references count="1">
          <reference field="1" count="1">
            <x v="39"/>
          </reference>
        </references>
      </pivotArea>
    </format>
    <format dxfId="435">
      <pivotArea collapsedLevelsAreSubtotals="1" fieldPosition="0">
        <references count="1">
          <reference field="1" count="1">
            <x v="35"/>
          </reference>
        </references>
      </pivotArea>
    </format>
    <format dxfId="434">
      <pivotArea collapsedLevelsAreSubtotals="1" fieldPosition="0">
        <references count="1">
          <reference field="1" count="1">
            <x v="36"/>
          </reference>
        </references>
      </pivotArea>
    </format>
    <format dxfId="433">
      <pivotArea dataOnly="0" labelOnly="1" fieldPosition="0">
        <references count="1">
          <reference field="1" count="2">
            <x v="35"/>
            <x v="36"/>
          </reference>
        </references>
      </pivotArea>
    </format>
    <format dxfId="432">
      <pivotArea collapsedLevelsAreSubtotals="1" fieldPosition="0">
        <references count="1">
          <reference field="1" count="1">
            <x v="33"/>
          </reference>
        </references>
      </pivotArea>
    </format>
    <format dxfId="431">
      <pivotArea collapsedLevelsAreSubtotals="1" fieldPosition="0">
        <references count="1">
          <reference field="1" count="1">
            <x v="34"/>
          </reference>
        </references>
      </pivotArea>
    </format>
    <format dxfId="430">
      <pivotArea dataOnly="0" labelOnly="1" fieldPosition="0">
        <references count="1">
          <reference field="1" count="2">
            <x v="33"/>
            <x v="34"/>
          </reference>
        </references>
      </pivotArea>
    </format>
    <format dxfId="429">
      <pivotArea collapsedLevelsAreSubtotals="1" fieldPosition="0">
        <references count="1">
          <reference field="1" count="1">
            <x v="32"/>
          </reference>
        </references>
      </pivotArea>
    </format>
    <format dxfId="428">
      <pivotArea dataOnly="0" labelOnly="1" fieldPosition="0">
        <references count="1">
          <reference field="1" count="1">
            <x v="32"/>
          </reference>
        </references>
      </pivotArea>
    </format>
    <format dxfId="427">
      <pivotArea collapsedLevelsAreSubtotals="1" fieldPosition="0">
        <references count="1">
          <reference field="1" count="1">
            <x v="31"/>
          </reference>
        </references>
      </pivotArea>
    </format>
    <format dxfId="426">
      <pivotArea dataOnly="0" labelOnly="1" fieldPosition="0">
        <references count="1">
          <reference field="1" count="1">
            <x v="31"/>
          </reference>
        </references>
      </pivotArea>
    </format>
    <format dxfId="425">
      <pivotArea collapsedLevelsAreSubtotals="1" fieldPosition="0">
        <references count="1">
          <reference field="1" count="1">
            <x v="29"/>
          </reference>
        </references>
      </pivotArea>
    </format>
    <format dxfId="424">
      <pivotArea collapsedLevelsAreSubtotals="1" fieldPosition="0">
        <references count="1">
          <reference field="1" count="1">
            <x v="30"/>
          </reference>
        </references>
      </pivotArea>
    </format>
    <format dxfId="423">
      <pivotArea dataOnly="0" labelOnly="1" fieldPosition="0">
        <references count="1">
          <reference field="1" count="2">
            <x v="29"/>
            <x v="30"/>
          </reference>
        </references>
      </pivotArea>
    </format>
    <format dxfId="422">
      <pivotArea collapsedLevelsAreSubtotals="1" fieldPosition="0">
        <references count="1">
          <reference field="1" count="1">
            <x v="28"/>
          </reference>
        </references>
      </pivotArea>
    </format>
    <format dxfId="421">
      <pivotArea dataOnly="0" labelOnly="1" fieldPosition="0">
        <references count="1">
          <reference field="1" count="1">
            <x v="28"/>
          </reference>
        </references>
      </pivotArea>
    </format>
    <format dxfId="420">
      <pivotArea collapsedLevelsAreSubtotals="1" fieldPosition="0">
        <references count="1">
          <reference field="1" count="1">
            <x v="27"/>
          </reference>
        </references>
      </pivotArea>
    </format>
    <format dxfId="419">
      <pivotArea dataOnly="0" labelOnly="1" fieldPosition="0">
        <references count="1">
          <reference field="1" count="1">
            <x v="27"/>
          </reference>
        </references>
      </pivotArea>
    </format>
    <format dxfId="418">
      <pivotArea collapsedLevelsAreSubtotals="1" fieldPosition="0">
        <references count="1">
          <reference field="1" count="1">
            <x v="25"/>
          </reference>
        </references>
      </pivotArea>
    </format>
    <format dxfId="417">
      <pivotArea collapsedLevelsAreSubtotals="1" fieldPosition="0">
        <references count="1">
          <reference field="1" count="1">
            <x v="26"/>
          </reference>
        </references>
      </pivotArea>
    </format>
    <format dxfId="416">
      <pivotArea dataOnly="0" labelOnly="1" fieldPosition="0">
        <references count="1">
          <reference field="1" count="2">
            <x v="25"/>
            <x v="26"/>
          </reference>
        </references>
      </pivotArea>
    </format>
    <format dxfId="415">
      <pivotArea collapsedLevelsAreSubtotals="1" fieldPosition="0">
        <references count="1">
          <reference field="1" count="1">
            <x v="24"/>
          </reference>
        </references>
      </pivotArea>
    </format>
    <format dxfId="414">
      <pivotArea dataOnly="0" labelOnly="1" fieldPosition="0">
        <references count="1">
          <reference field="1" count="1">
            <x v="24"/>
          </reference>
        </references>
      </pivotArea>
    </format>
    <format dxfId="413">
      <pivotArea collapsedLevelsAreSubtotals="1" fieldPosition="0">
        <references count="1">
          <reference field="1" count="1">
            <x v="209"/>
          </reference>
        </references>
      </pivotArea>
    </format>
    <format dxfId="412">
      <pivotArea collapsedLevelsAreSubtotals="1" fieldPosition="0">
        <references count="1">
          <reference field="1" count="1">
            <x v="21"/>
          </reference>
        </references>
      </pivotArea>
    </format>
    <format dxfId="411">
      <pivotArea collapsedLevelsAreSubtotals="1" fieldPosition="0">
        <references count="1">
          <reference field="1" count="1">
            <x v="219"/>
          </reference>
        </references>
      </pivotArea>
    </format>
    <format dxfId="410">
      <pivotArea dataOnly="0" labelOnly="1" fieldPosition="0">
        <references count="1">
          <reference field="1" count="3">
            <x v="21"/>
            <x v="209"/>
            <x v="219"/>
          </reference>
        </references>
      </pivotArea>
    </format>
    <format dxfId="409">
      <pivotArea collapsedLevelsAreSubtotals="1" fieldPosition="0">
        <references count="1">
          <reference field="1" count="1">
            <x v="23"/>
          </reference>
        </references>
      </pivotArea>
    </format>
    <format dxfId="408">
      <pivotArea dataOnly="0" labelOnly="1" fieldPosition="0">
        <references count="1">
          <reference field="1" count="1">
            <x v="23"/>
          </reference>
        </references>
      </pivotArea>
    </format>
    <format dxfId="407">
      <pivotArea collapsedLevelsAreSubtotals="1" fieldPosition="0">
        <references count="1">
          <reference field="1" count="1">
            <x v="21"/>
          </reference>
        </references>
      </pivotArea>
    </format>
    <format dxfId="406">
      <pivotArea collapsedLevelsAreSubtotals="1" fieldPosition="0">
        <references count="1">
          <reference field="1" count="1">
            <x v="22"/>
          </reference>
        </references>
      </pivotArea>
    </format>
    <format dxfId="405">
      <pivotArea dataOnly="0" labelOnly="1" fieldPosition="0">
        <references count="1">
          <reference field="1" count="2">
            <x v="21"/>
            <x v="22"/>
          </reference>
        </references>
      </pivotArea>
    </format>
    <format dxfId="404">
      <pivotArea dataOnly="0" labelOnly="1" fieldPosition="0">
        <references count="1">
          <reference field="1" count="1">
            <x v="22"/>
          </reference>
        </references>
      </pivotArea>
    </format>
    <format dxfId="403">
      <pivotArea collapsedLevelsAreSubtotals="1" fieldPosition="0">
        <references count="1">
          <reference field="1" count="1">
            <x v="20"/>
          </reference>
        </references>
      </pivotArea>
    </format>
    <format dxfId="402">
      <pivotArea dataOnly="0" labelOnly="1" fieldPosition="0">
        <references count="1">
          <reference field="1" count="1">
            <x v="20"/>
          </reference>
        </references>
      </pivotArea>
    </format>
    <format dxfId="401">
      <pivotArea collapsedLevelsAreSubtotals="1" fieldPosition="0">
        <references count="1">
          <reference field="1" count="1">
            <x v="18"/>
          </reference>
        </references>
      </pivotArea>
    </format>
    <format dxfId="400">
      <pivotArea dataOnly="0" labelOnly="1" fieldPosition="0">
        <references count="1">
          <reference field="1" count="1">
            <x v="18"/>
          </reference>
        </references>
      </pivotArea>
    </format>
    <format dxfId="399">
      <pivotArea collapsedLevelsAreSubtotals="1" fieldPosition="0">
        <references count="1">
          <reference field="1" count="1">
            <x v="19"/>
          </reference>
        </references>
      </pivotArea>
    </format>
    <format dxfId="398">
      <pivotArea dataOnly="0" labelOnly="1" fieldPosition="0">
        <references count="1">
          <reference field="1" count="1">
            <x v="19"/>
          </reference>
        </references>
      </pivotArea>
    </format>
    <format dxfId="397">
      <pivotArea dataOnly="0" labelOnly="1" fieldPosition="0">
        <references count="1">
          <reference field="1" count="1">
            <x v="17"/>
          </reference>
        </references>
      </pivotArea>
    </format>
    <format dxfId="396">
      <pivotArea collapsedLevelsAreSubtotals="1" fieldPosition="0">
        <references count="1">
          <reference field="1" count="1">
            <x v="17"/>
          </reference>
        </references>
      </pivotArea>
    </format>
    <format dxfId="395">
      <pivotArea collapsedLevelsAreSubtotals="1" fieldPosition="0">
        <references count="1">
          <reference field="1" count="1">
            <x v="18"/>
          </reference>
        </references>
      </pivotArea>
    </format>
    <format dxfId="394">
      <pivotArea dataOnly="0" labelOnly="1" fieldPosition="0">
        <references count="1">
          <reference field="1" count="2">
            <x v="17"/>
            <x v="18"/>
          </reference>
        </references>
      </pivotArea>
    </format>
    <format dxfId="393">
      <pivotArea collapsedLevelsAreSubtotals="1" fieldPosition="0">
        <references count="1">
          <reference field="1" count="1">
            <x v="16"/>
          </reference>
        </references>
      </pivotArea>
    </format>
    <format dxfId="392">
      <pivotArea dataOnly="0" labelOnly="1" fieldPosition="0">
        <references count="1">
          <reference field="1" count="1">
            <x v="16"/>
          </reference>
        </references>
      </pivotArea>
    </format>
    <format dxfId="391">
      <pivotArea collapsedLevelsAreSubtotals="1" fieldPosition="0">
        <references count="1">
          <reference field="1" count="1">
            <x v="14"/>
          </reference>
        </references>
      </pivotArea>
    </format>
    <format dxfId="390">
      <pivotArea collapsedLevelsAreSubtotals="1" fieldPosition="0">
        <references count="1">
          <reference field="1" count="1">
            <x v="15"/>
          </reference>
        </references>
      </pivotArea>
    </format>
    <format dxfId="389">
      <pivotArea dataOnly="0" labelOnly="1" fieldPosition="0">
        <references count="1">
          <reference field="1" count="2">
            <x v="14"/>
            <x v="15"/>
          </reference>
        </references>
      </pivotArea>
    </format>
    <format dxfId="388">
      <pivotArea collapsedLevelsAreSubtotals="1" fieldPosition="0">
        <references count="1">
          <reference field="1" count="1">
            <x v="13"/>
          </reference>
        </references>
      </pivotArea>
    </format>
    <format dxfId="387">
      <pivotArea dataOnly="0" labelOnly="1" fieldPosition="0">
        <references count="1">
          <reference field="1" count="1">
            <x v="13"/>
          </reference>
        </references>
      </pivotArea>
    </format>
    <format dxfId="386">
      <pivotArea collapsedLevelsAreSubtotals="1" fieldPosition="0">
        <references count="1">
          <reference field="1" count="1">
            <x v="12"/>
          </reference>
        </references>
      </pivotArea>
    </format>
    <format dxfId="385">
      <pivotArea dataOnly="0" labelOnly="1" fieldPosition="0">
        <references count="1">
          <reference field="1" count="1">
            <x v="12"/>
          </reference>
        </references>
      </pivotArea>
    </format>
    <format dxfId="384">
      <pivotArea collapsedLevelsAreSubtotals="1" fieldPosition="0">
        <references count="1">
          <reference field="1" count="1">
            <x v="10"/>
          </reference>
        </references>
      </pivotArea>
    </format>
    <format dxfId="383">
      <pivotArea collapsedLevelsAreSubtotals="1" fieldPosition="0">
        <references count="1">
          <reference field="1" count="1">
            <x v="11"/>
          </reference>
        </references>
      </pivotArea>
    </format>
    <format dxfId="382">
      <pivotArea dataOnly="0" labelOnly="1" fieldPosition="0">
        <references count="1">
          <reference field="1" count="2">
            <x v="10"/>
            <x v="11"/>
          </reference>
        </references>
      </pivotArea>
    </format>
    <format dxfId="381">
      <pivotArea collapsedLevelsAreSubtotals="1" fieldPosition="0">
        <references count="1">
          <reference field="1" count="1">
            <x v="228"/>
          </reference>
        </references>
      </pivotArea>
    </format>
    <format dxfId="380">
      <pivotArea dataOnly="0" labelOnly="1" fieldPosition="0">
        <references count="1">
          <reference field="1" count="1">
            <x v="228"/>
          </reference>
        </references>
      </pivotArea>
    </format>
    <format dxfId="379">
      <pivotArea collapsedLevelsAreSubtotals="1" fieldPosition="0">
        <references count="1">
          <reference field="1" count="1">
            <x v="6"/>
          </reference>
        </references>
      </pivotArea>
    </format>
    <format dxfId="378">
      <pivotArea collapsedLevelsAreSubtotals="1" fieldPosition="0">
        <references count="1">
          <reference field="1" count="1">
            <x v="7"/>
          </reference>
        </references>
      </pivotArea>
    </format>
    <format dxfId="377">
      <pivotArea collapsedLevelsAreSubtotals="1" fieldPosition="0">
        <references count="1">
          <reference field="1" count="1">
            <x v="8"/>
          </reference>
        </references>
      </pivotArea>
    </format>
    <format dxfId="376">
      <pivotArea collapsedLevelsAreSubtotals="1" fieldPosition="0">
        <references count="1">
          <reference field="1" count="1">
            <x v="9"/>
          </reference>
        </references>
      </pivotArea>
    </format>
    <format dxfId="375">
      <pivotArea dataOnly="0" labelOnly="1" fieldPosition="0">
        <references count="1">
          <reference field="1" count="4">
            <x v="6"/>
            <x v="7"/>
            <x v="8"/>
            <x v="9"/>
          </reference>
        </references>
      </pivotArea>
    </format>
    <format dxfId="374">
      <pivotArea collapsedLevelsAreSubtotals="1" fieldPosition="0">
        <references count="1">
          <reference field="1" count="1">
            <x v="5"/>
          </reference>
        </references>
      </pivotArea>
    </format>
    <format dxfId="373">
      <pivotArea dataOnly="0" labelOnly="1" fieldPosition="0">
        <references count="1">
          <reference field="1" count="1">
            <x v="5"/>
          </reference>
        </references>
      </pivotArea>
    </format>
    <format dxfId="372">
      <pivotArea collapsedLevelsAreSubtotals="1" fieldPosition="0">
        <references count="1">
          <reference field="1" count="1">
            <x v="1"/>
          </reference>
        </references>
      </pivotArea>
    </format>
    <format dxfId="371">
      <pivotArea collapsedLevelsAreSubtotals="1" fieldPosition="0">
        <references count="1">
          <reference field="1" count="1">
            <x v="2"/>
          </reference>
        </references>
      </pivotArea>
    </format>
    <format dxfId="370">
      <pivotArea collapsedLevelsAreSubtotals="1" fieldPosition="0">
        <references count="1">
          <reference field="1" count="1">
            <x v="3"/>
          </reference>
        </references>
      </pivotArea>
    </format>
    <format dxfId="369">
      <pivotArea collapsedLevelsAreSubtotals="1" fieldPosition="0">
        <references count="1">
          <reference field="1" count="1">
            <x v="4"/>
          </reference>
        </references>
      </pivotArea>
    </format>
    <format dxfId="368">
      <pivotArea dataOnly="0" labelOnly="1" fieldPosition="0">
        <references count="1">
          <reference field="1" count="4">
            <x v="1"/>
            <x v="2"/>
            <x v="3"/>
            <x v="4"/>
          </reference>
        </references>
      </pivotArea>
    </format>
    <format dxfId="367">
      <pivotArea collapsedLevelsAreSubtotals="1" fieldPosition="0">
        <references count="1">
          <reference field="1" count="1">
            <x v="0"/>
          </reference>
        </references>
      </pivotArea>
    </format>
    <format dxfId="366">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9"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39" firstHeaderRow="0" firstDataRow="1" firstDataCol="1" rowPageCount="1" colPageCount="1"/>
  <pivotFields count="8">
    <pivotField axis="axisPage" showAll="0">
      <items count="1358">
        <item x="0"/>
        <item x="1"/>
        <item x="2"/>
        <item x="4"/>
        <item x="5"/>
        <item x="7"/>
        <item x="8"/>
        <item x="9"/>
        <item x="10"/>
        <item x="11"/>
        <item x="12"/>
        <item m="1" x="1213"/>
        <item x="13"/>
        <item x="14"/>
        <item x="15"/>
        <item x="17"/>
        <item x="19"/>
        <item x="3"/>
        <item x="6"/>
        <item x="18"/>
        <item x="16"/>
        <item m="1" x="1215"/>
        <item m="1" x="1214"/>
        <item x="22"/>
        <item x="20"/>
        <item x="24"/>
        <item m="1" x="1216"/>
        <item x="25"/>
        <item x="21"/>
        <item x="29"/>
        <item m="1" x="1217"/>
        <item x="23"/>
        <item x="40"/>
        <item x="26"/>
        <item x="30"/>
        <item x="36"/>
        <item x="27"/>
        <item x="28"/>
        <item x="39"/>
        <item x="31"/>
        <item x="32"/>
        <item x="33"/>
        <item m="1" x="1218"/>
        <item x="38"/>
        <item m="1" x="1219"/>
        <item m="1" x="1220"/>
        <item x="45"/>
        <item x="35"/>
        <item x="41"/>
        <item x="34"/>
        <item x="37"/>
        <item x="61"/>
        <item x="43"/>
        <item m="1" x="1222"/>
        <item x="42"/>
        <item x="48"/>
        <item x="44"/>
        <item m="1" x="1221"/>
        <item x="51"/>
        <item x="46"/>
        <item x="47"/>
        <item x="53"/>
        <item m="1" x="1223"/>
        <item x="54"/>
        <item x="57"/>
        <item x="50"/>
        <item x="49"/>
        <item m="1" x="1224"/>
        <item x="52"/>
        <item m="1" x="1225"/>
        <item x="55"/>
        <item x="56"/>
        <item x="63"/>
        <item x="58"/>
        <item x="59"/>
        <item x="60"/>
        <item x="62"/>
        <item x="64"/>
        <item x="65"/>
        <item x="66"/>
        <item x="67"/>
        <item x="68"/>
        <item x="69"/>
        <item m="1" x="1226"/>
        <item m="1" x="1227"/>
        <item x="70"/>
        <item x="71"/>
        <item x="77"/>
        <item m="1" x="1228"/>
        <item m="1" x="1229"/>
        <item m="1" x="1230"/>
        <item x="72"/>
        <item x="73"/>
        <item x="74"/>
        <item x="75"/>
        <item x="76"/>
        <item x="78"/>
        <item x="79"/>
        <item x="80"/>
        <item m="1" x="1231"/>
        <item x="88"/>
        <item x="81"/>
        <item m="1" x="1232"/>
        <item x="82"/>
        <item x="83"/>
        <item x="84"/>
        <item x="85"/>
        <item x="86"/>
        <item x="87"/>
        <item x="89"/>
        <item x="90"/>
        <item x="91"/>
        <item x="92"/>
        <item m="1" x="1233"/>
        <item x="93"/>
        <item x="94"/>
        <item x="95"/>
        <item x="96"/>
        <item m="1" x="1234"/>
        <item x="97"/>
        <item m="1" x="1235"/>
        <item x="98"/>
        <item x="105"/>
        <item x="99"/>
        <item x="110"/>
        <item x="100"/>
        <item x="101"/>
        <item x="102"/>
        <item x="103"/>
        <item x="104"/>
        <item x="106"/>
        <item x="107"/>
        <item x="108"/>
        <item x="109"/>
        <item x="111"/>
        <item x="112"/>
        <item m="1" x="1236"/>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237"/>
        <item m="1" x="1238"/>
        <item x="141"/>
        <item x="167"/>
        <item x="146"/>
        <item x="143"/>
        <item x="191"/>
        <item x="144"/>
        <item m="1" x="1239"/>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40"/>
        <item x="179"/>
        <item x="180"/>
        <item x="181"/>
        <item x="182"/>
        <item x="142"/>
        <item x="155"/>
        <item x="169"/>
        <item x="183"/>
        <item x="185"/>
        <item x="217"/>
        <item m="1" x="1241"/>
        <item x="187"/>
        <item x="186"/>
        <item x="188"/>
        <item x="189"/>
        <item x="192"/>
        <item x="193"/>
        <item x="194"/>
        <item x="195"/>
        <item x="196"/>
        <item x="197"/>
        <item x="198"/>
        <item x="200"/>
        <item x="201"/>
        <item x="202"/>
        <item m="1" x="1321"/>
        <item m="1" x="1322"/>
        <item m="1" x="1346"/>
        <item m="1" x="1275"/>
        <item x="205"/>
        <item x="203"/>
        <item x="204"/>
        <item x="206"/>
        <item x="207"/>
        <item x="184"/>
        <item x="208"/>
        <item x="209"/>
        <item x="210"/>
        <item x="211"/>
        <item x="212"/>
        <item m="1" x="1276"/>
        <item m="1" x="1277"/>
        <item m="1" x="1278"/>
        <item m="1" x="1279"/>
        <item x="223"/>
        <item x="213"/>
        <item x="214"/>
        <item x="215"/>
        <item x="216"/>
        <item x="218"/>
        <item m="1" x="1347"/>
        <item x="219"/>
        <item x="220"/>
        <item x="221"/>
        <item m="1" x="1242"/>
        <item m="1" x="1243"/>
        <item x="222"/>
        <item x="224"/>
        <item x="225"/>
        <item x="229"/>
        <item x="230"/>
        <item x="231"/>
        <item x="232"/>
        <item x="233"/>
        <item x="234"/>
        <item x="235"/>
        <item x="236"/>
        <item x="242"/>
        <item x="237"/>
        <item x="238"/>
        <item x="239"/>
        <item x="240"/>
        <item x="241"/>
        <item x="243"/>
        <item x="244"/>
        <item m="1" x="1244"/>
        <item x="245"/>
        <item x="246"/>
        <item m="1" x="1332"/>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80"/>
        <item x="374"/>
        <item x="115"/>
        <item x="280"/>
        <item x="281"/>
        <item x="227"/>
        <item m="1" x="1245"/>
        <item x="282"/>
        <item x="283"/>
        <item m="1" x="1335"/>
        <item x="284"/>
        <item x="285"/>
        <item x="286"/>
        <item x="287"/>
        <item x="288"/>
        <item x="289"/>
        <item x="136"/>
        <item x="290"/>
        <item x="291"/>
        <item x="292"/>
        <item x="293"/>
        <item x="294"/>
        <item x="295"/>
        <item x="296"/>
        <item x="297"/>
        <item x="371"/>
        <item x="298"/>
        <item x="299"/>
        <item x="300"/>
        <item x="301"/>
        <item x="302"/>
        <item m="1" x="1340"/>
        <item x="304"/>
        <item x="303"/>
        <item x="305"/>
        <item m="1" x="1331"/>
        <item x="313"/>
        <item x="310"/>
        <item x="309"/>
        <item m="1" x="1353"/>
        <item x="306"/>
        <item x="312"/>
        <item x="307"/>
        <item x="308"/>
        <item x="228"/>
        <item x="311"/>
        <item x="314"/>
        <item x="315"/>
        <item x="316"/>
        <item x="317"/>
        <item x="322"/>
        <item x="318"/>
        <item x="319"/>
        <item x="321"/>
        <item x="320"/>
        <item x="323"/>
        <item x="324"/>
        <item x="325"/>
        <item x="326"/>
        <item x="327"/>
        <item x="328"/>
        <item x="329"/>
        <item m="1" x="1281"/>
        <item x="330"/>
        <item x="331"/>
        <item x="332"/>
        <item x="333"/>
        <item x="334"/>
        <item x="335"/>
        <item m="1" x="1271"/>
        <item m="1" x="1272"/>
        <item m="1" x="1273"/>
        <item m="1" x="1274"/>
        <item m="1" x="1334"/>
        <item x="337"/>
        <item x="336"/>
        <item x="338"/>
        <item x="339"/>
        <item x="340"/>
        <item x="352"/>
        <item x="341"/>
        <item x="342"/>
        <item x="343"/>
        <item m="1" x="1246"/>
        <item x="344"/>
        <item x="345"/>
        <item x="346"/>
        <item x="347"/>
        <item x="362"/>
        <item x="348"/>
        <item x="349"/>
        <item x="350"/>
        <item x="351"/>
        <item x="356"/>
        <item x="353"/>
        <item x="355"/>
        <item x="354"/>
        <item x="372"/>
        <item x="363"/>
        <item x="357"/>
        <item x="358"/>
        <item x="359"/>
        <item x="360"/>
        <item x="361"/>
        <item m="1" x="1247"/>
        <item x="364"/>
        <item x="365"/>
        <item x="366"/>
        <item x="367"/>
        <item x="368"/>
        <item x="369"/>
        <item x="370"/>
        <item m="1" x="1248"/>
        <item m="1" x="1341"/>
        <item m="1" x="1342"/>
        <item x="373"/>
        <item x="375"/>
        <item m="1" x="1249"/>
        <item x="379"/>
        <item x="382"/>
        <item x="376"/>
        <item x="377"/>
        <item x="378"/>
        <item m="1" x="1250"/>
        <item x="380"/>
        <item x="381"/>
        <item x="383"/>
        <item x="384"/>
        <item x="385"/>
        <item x="386"/>
        <item m="1" x="1348"/>
        <item m="1" x="1343"/>
        <item x="387"/>
        <item x="388"/>
        <item x="389"/>
        <item m="1" x="1251"/>
        <item m="1" x="1252"/>
        <item x="390"/>
        <item x="391"/>
        <item x="394"/>
        <item x="392"/>
        <item x="393"/>
        <item x="395"/>
        <item x="396"/>
        <item x="397"/>
        <item x="398"/>
        <item x="399"/>
        <item x="400"/>
        <item m="1" x="1253"/>
        <item x="401"/>
        <item x="402"/>
        <item x="403"/>
        <item x="404"/>
        <item x="405"/>
        <item x="406"/>
        <item m="1" x="1254"/>
        <item x="407"/>
        <item x="408"/>
        <item x="410"/>
        <item x="411"/>
        <item x="412"/>
        <item x="413"/>
        <item m="1" x="1282"/>
        <item x="414"/>
        <item x="415"/>
        <item x="416"/>
        <item x="409"/>
        <item x="417"/>
        <item m="1" x="1355"/>
        <item x="422"/>
        <item m="1" x="1326"/>
        <item x="418"/>
        <item x="419"/>
        <item x="421"/>
        <item m="1" x="1349"/>
        <item x="420"/>
        <item m="1" x="1283"/>
        <item x="423"/>
        <item x="424"/>
        <item x="425"/>
        <item x="426"/>
        <item x="427"/>
        <item x="428"/>
        <item x="429"/>
        <item x="430"/>
        <item x="431"/>
        <item x="432"/>
        <item x="433"/>
        <item x="434"/>
        <item x="435"/>
        <item x="436"/>
        <item x="437"/>
        <item x="438"/>
        <item x="439"/>
        <item x="440"/>
        <item x="441"/>
        <item x="442"/>
        <item x="443"/>
        <item x="444"/>
        <item m="1" x="1337"/>
        <item x="445"/>
        <item x="446"/>
        <item x="447"/>
        <item m="1" x="1336"/>
        <item x="448"/>
        <item m="1" x="1339"/>
        <item x="449"/>
        <item m="1" x="1351"/>
        <item x="450"/>
        <item x="451"/>
        <item m="1" x="1255"/>
        <item x="452"/>
        <item x="453"/>
        <item x="454"/>
        <item x="455"/>
        <item x="456"/>
        <item m="1" x="1284"/>
        <item x="457"/>
        <item x="458"/>
        <item x="459"/>
        <item x="460"/>
        <item x="461"/>
        <item x="462"/>
        <item x="463"/>
        <item m="1" x="1256"/>
        <item x="464"/>
        <item x="465"/>
        <item x="466"/>
        <item x="467"/>
        <item x="468"/>
        <item x="469"/>
        <item x="470"/>
        <item x="471"/>
        <item x="472"/>
        <item x="473"/>
        <item m="1" x="1305"/>
        <item x="474"/>
        <item x="475"/>
        <item x="476"/>
        <item x="477"/>
        <item x="478"/>
        <item m="1" x="1306"/>
        <item x="479"/>
        <item x="480"/>
        <item x="481"/>
        <item x="482"/>
        <item m="1" x="1285"/>
        <item x="483"/>
        <item x="484"/>
        <item x="485"/>
        <item x="486"/>
        <item x="487"/>
        <item x="488"/>
        <item x="489"/>
        <item x="490"/>
        <item x="491"/>
        <item x="492"/>
        <item x="493"/>
        <item x="494"/>
        <item x="495"/>
        <item x="496"/>
        <item x="497"/>
        <item m="1" x="1266"/>
        <item x="499"/>
        <item x="498"/>
        <item x="500"/>
        <item x="501"/>
        <item x="502"/>
        <item x="503"/>
        <item x="504"/>
        <item m="1" x="1267"/>
        <item x="506"/>
        <item x="507"/>
        <item x="508"/>
        <item x="509"/>
        <item x="510"/>
        <item x="511"/>
        <item x="512"/>
        <item m="1" x="1286"/>
        <item m="1" x="1287"/>
        <item m="1" x="1288"/>
        <item m="1" x="1289"/>
        <item m="1" x="1290"/>
        <item x="513"/>
        <item x="514"/>
        <item x="515"/>
        <item x="516"/>
        <item x="517"/>
        <item x="518"/>
        <item x="519"/>
        <item x="520"/>
        <item x="521"/>
        <item x="522"/>
        <item x="523"/>
        <item x="524"/>
        <item x="525"/>
        <item x="526"/>
        <item x="527"/>
        <item x="528"/>
        <item x="529"/>
        <item x="530"/>
        <item x="531"/>
        <item x="532"/>
        <item x="533"/>
        <item m="1" x="1291"/>
        <item x="539"/>
        <item x="534"/>
        <item x="535"/>
        <item x="536"/>
        <item x="537"/>
        <item x="538"/>
        <item x="543"/>
        <item x="540"/>
        <item x="541"/>
        <item x="542"/>
        <item x="544"/>
        <item x="545"/>
        <item x="546"/>
        <item x="547"/>
        <item x="548"/>
        <item x="550"/>
        <item x="551"/>
        <item x="552"/>
        <item x="553"/>
        <item x="554"/>
        <item x="555"/>
        <item x="556"/>
        <item m="1" x="1307"/>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308"/>
        <item x="608"/>
        <item x="612"/>
        <item x="613"/>
        <item x="614"/>
        <item x="615"/>
        <item x="609"/>
        <item x="610"/>
        <item x="611"/>
        <item x="616"/>
        <item x="617"/>
        <item m="1" x="1309"/>
        <item x="618"/>
        <item x="619"/>
        <item m="1" x="1310"/>
        <item x="620"/>
        <item x="621"/>
        <item x="622"/>
        <item m="1" x="1311"/>
        <item x="623"/>
        <item m="1" x="1312"/>
        <item x="625"/>
        <item x="624"/>
        <item x="626"/>
        <item x="628"/>
        <item x="630"/>
        <item x="631"/>
        <item x="632"/>
        <item x="633"/>
        <item x="634"/>
        <item x="635"/>
        <item m="1" x="1292"/>
        <item x="649"/>
        <item x="636"/>
        <item m="1" x="1268"/>
        <item m="1" x="1293"/>
        <item x="637"/>
        <item x="638"/>
        <item x="627"/>
        <item x="642"/>
        <item x="643"/>
        <item x="644"/>
        <item m="1" x="1294"/>
        <item x="629"/>
        <item x="645"/>
        <item x="646"/>
        <item x="647"/>
        <item m="1" x="1257"/>
        <item x="648"/>
        <item x="650"/>
        <item x="651"/>
        <item x="641"/>
        <item x="652"/>
        <item x="653"/>
        <item m="1" x="1345"/>
        <item x="654"/>
        <item m="1" x="1313"/>
        <item m="1" x="1314"/>
        <item m="1" x="1295"/>
        <item x="655"/>
        <item m="1" x="1296"/>
        <item x="656"/>
        <item x="657"/>
        <item x="658"/>
        <item x="659"/>
        <item x="660"/>
        <item x="640"/>
        <item x="661"/>
        <item x="663"/>
        <item x="666"/>
        <item x="664"/>
        <item x="665"/>
        <item x="639"/>
        <item x="662"/>
        <item x="667"/>
        <item x="668"/>
        <item x="669"/>
        <item x="670"/>
        <item x="671"/>
        <item x="672"/>
        <item x="673"/>
        <item x="674"/>
        <item x="675"/>
        <item m="1" x="1258"/>
        <item x="676"/>
        <item m="1" x="1259"/>
        <item x="680"/>
        <item x="677"/>
        <item x="678"/>
        <item x="679"/>
        <item x="681"/>
        <item m="1" x="1328"/>
        <item x="683"/>
        <item x="682"/>
        <item x="684"/>
        <item x="685"/>
        <item x="686"/>
        <item x="687"/>
        <item x="688"/>
        <item x="689"/>
        <item x="698"/>
        <item x="690"/>
        <item x="691"/>
        <item x="692"/>
        <item x="706"/>
        <item x="701"/>
        <item x="693"/>
        <item x="694"/>
        <item x="695"/>
        <item m="1" x="1330"/>
        <item x="696"/>
        <item x="697"/>
        <item x="699"/>
        <item x="700"/>
        <item x="702"/>
        <item m="1" x="1262"/>
        <item x="703"/>
        <item x="707"/>
        <item x="704"/>
        <item x="705"/>
        <item x="708"/>
        <item x="718"/>
        <item x="710"/>
        <item x="711"/>
        <item x="712"/>
        <item x="713"/>
        <item x="714"/>
        <item x="715"/>
        <item x="716"/>
        <item x="717"/>
        <item m="1" x="1297"/>
        <item x="719"/>
        <item x="720"/>
        <item x="721"/>
        <item m="1" x="1260"/>
        <item m="1" x="1261"/>
        <item m="1" x="1263"/>
        <item x="727"/>
        <item x="722"/>
        <item x="723"/>
        <item x="724"/>
        <item x="725"/>
        <item x="726"/>
        <item x="728"/>
        <item x="759"/>
        <item x="729"/>
        <item x="730"/>
        <item x="731"/>
        <item m="1" x="1344"/>
        <item m="1" x="1324"/>
        <item x="732"/>
        <item x="733"/>
        <item x="734"/>
        <item m="1" x="1333"/>
        <item x="735"/>
        <item x="736"/>
        <item x="737"/>
        <item x="738"/>
        <item x="739"/>
        <item x="740"/>
        <item x="741"/>
        <item x="742"/>
        <item x="743"/>
        <item x="766"/>
        <item x="744"/>
        <item x="745"/>
        <item x="746"/>
        <item x="747"/>
        <item x="754"/>
        <item x="748"/>
        <item m="1" x="1264"/>
        <item x="749"/>
        <item x="750"/>
        <item x="751"/>
        <item x="752"/>
        <item x="768"/>
        <item x="753"/>
        <item x="755"/>
        <item x="756"/>
        <item x="757"/>
        <item x="758"/>
        <item m="1" x="1298"/>
        <item x="760"/>
        <item m="1" x="1315"/>
        <item x="761"/>
        <item m="1" x="1299"/>
        <item x="762"/>
        <item x="763"/>
        <item m="1" x="1325"/>
        <item x="764"/>
        <item m="1" x="1323"/>
        <item x="765"/>
        <item x="767"/>
        <item x="769"/>
        <item m="1" x="1320"/>
        <item x="770"/>
        <item x="771"/>
        <item x="772"/>
        <item x="773"/>
        <item x="774"/>
        <item x="775"/>
        <item x="776"/>
        <item x="777"/>
        <item x="778"/>
        <item x="779"/>
        <item x="780"/>
        <item x="781"/>
        <item x="782"/>
        <item x="783"/>
        <item x="784"/>
        <item x="785"/>
        <item x="786"/>
        <item x="787"/>
        <item x="788"/>
        <item x="789"/>
        <item x="790"/>
        <item x="791"/>
        <item x="792"/>
        <item m="1" x="1300"/>
        <item x="793"/>
        <item m="1" x="1301"/>
        <item x="794"/>
        <item x="800"/>
        <item x="795"/>
        <item x="796"/>
        <item x="797"/>
        <item x="798"/>
        <item x="799"/>
        <item x="801"/>
        <item x="803"/>
        <item x="802"/>
        <item m="1" x="1302"/>
        <item x="804"/>
        <item x="805"/>
        <item x="806"/>
        <item x="810"/>
        <item x="812"/>
        <item x="811"/>
        <item m="1" x="1329"/>
        <item x="814"/>
        <item x="809"/>
        <item m="1" x="1327"/>
        <item x="821"/>
        <item m="1" x="1352"/>
        <item x="813"/>
        <item x="815"/>
        <item x="817"/>
        <item x="818"/>
        <item x="807"/>
        <item x="816"/>
        <item x="819"/>
        <item m="1" x="1269"/>
        <item x="823"/>
        <item x="824"/>
        <item m="1" x="1316"/>
        <item x="826"/>
        <item x="831"/>
        <item x="829"/>
        <item x="825"/>
        <item x="830"/>
        <item x="835"/>
        <item x="833"/>
        <item x="834"/>
        <item x="832"/>
        <item x="709"/>
        <item x="839"/>
        <item x="840"/>
        <item x="837"/>
        <item x="842"/>
        <item x="843"/>
        <item x="844"/>
        <item m="1" x="1350"/>
        <item x="836"/>
        <item m="1" x="1338"/>
        <item m="1" x="1270"/>
        <item x="822"/>
        <item x="838"/>
        <item x="841"/>
        <item x="848"/>
        <item x="847"/>
        <item x="849"/>
        <item x="846"/>
        <item m="1" x="1317"/>
        <item x="851"/>
        <item x="850"/>
        <item x="845"/>
        <item m="1" x="1354"/>
        <item x="852"/>
        <item x="854"/>
        <item x="855"/>
        <item x="856"/>
        <item x="858"/>
        <item x="859"/>
        <item x="853"/>
        <item x="860"/>
        <item x="861"/>
        <item x="808"/>
        <item x="820"/>
        <item x="857"/>
        <item x="828"/>
        <item x="862"/>
        <item x="864"/>
        <item x="863"/>
        <item x="865"/>
        <item x="866"/>
        <item x="867"/>
        <item x="870"/>
        <item x="868"/>
        <item x="869"/>
        <item x="872"/>
        <item x="873"/>
        <item x="874"/>
        <item x="876"/>
        <item m="1" x="1318"/>
        <item x="875"/>
        <item x="879"/>
        <item x="881"/>
        <item x="880"/>
        <item x="878"/>
        <item x="882"/>
        <item x="883"/>
        <item x="885"/>
        <item m="1" x="1319"/>
        <item x="877"/>
        <item x="884"/>
        <item x="886"/>
        <item x="888"/>
        <item x="889"/>
        <item x="887"/>
        <item x="827"/>
        <item x="890"/>
        <item x="891"/>
        <item x="892"/>
        <item x="893"/>
        <item m="1" x="1265"/>
        <item x="894"/>
        <item x="895"/>
        <item x="896"/>
        <item x="900"/>
        <item x="898"/>
        <item x="902"/>
        <item x="897"/>
        <item x="899"/>
        <item x="904"/>
        <item x="905"/>
        <item x="906"/>
        <item x="907"/>
        <item x="903"/>
        <item x="901"/>
        <item x="908"/>
        <item x="871"/>
        <item m="1" x="1303"/>
        <item x="910"/>
        <item x="909"/>
        <item x="911"/>
        <item m="1" x="1304"/>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56"/>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6"/>
        <item x="1128"/>
        <item x="1129"/>
        <item x="1137"/>
        <item x="1141"/>
        <item x="1139"/>
        <item x="1143"/>
        <item x="1144"/>
        <item x="1145"/>
        <item x="1146"/>
        <item x="1142"/>
        <item x="1140"/>
        <item x="1135"/>
        <item x="1138"/>
        <item x="1148"/>
        <item x="1149"/>
        <item x="1150"/>
        <item x="1151"/>
        <item x="1147"/>
        <item x="1160"/>
        <item x="1152"/>
        <item x="1155"/>
        <item x="1157"/>
        <item x="1154"/>
        <item x="1156"/>
        <item x="1153"/>
        <item x="1159"/>
        <item x="1158"/>
        <item x="1162"/>
        <item m="1" x="1210"/>
        <item x="1125"/>
        <item x="1164"/>
        <item x="1161"/>
        <item x="1163"/>
        <item x="1165"/>
        <item x="1166"/>
        <item x="1167"/>
        <item x="1168"/>
        <item x="1169"/>
        <item x="1171"/>
        <item x="1173"/>
        <item x="1174"/>
        <item x="1175"/>
        <item x="1176"/>
        <item x="1170"/>
        <item x="1172"/>
        <item x="1177"/>
        <item x="1178"/>
        <item x="1181"/>
        <item x="1184"/>
        <item x="1185"/>
        <item x="1182"/>
        <item x="1187"/>
        <item x="1186"/>
        <item x="1179"/>
        <item x="1180"/>
        <item x="1183"/>
        <item x="1189"/>
        <item x="1190"/>
        <item x="1192"/>
        <item x="1188"/>
        <item x="1191"/>
        <item x="1195"/>
        <item x="1196"/>
        <item x="1197"/>
        <item x="1198"/>
        <item x="1193"/>
        <item x="1194"/>
        <item x="1199"/>
        <item x="1201"/>
        <item x="1200"/>
        <item x="1203"/>
        <item x="1205"/>
        <item x="1202"/>
        <item m="1" x="1211"/>
        <item x="1204"/>
        <item m="1" x="1212"/>
        <item x="1206"/>
        <item x="1207"/>
        <item x="1208"/>
        <item x="1209"/>
        <item t="default"/>
      </items>
    </pivotField>
    <pivotField axis="axisRow" showAll="0">
      <items count="148">
        <item x="48"/>
        <item x="50"/>
        <item x="40"/>
        <item x="38"/>
        <item x="41"/>
        <item x="0"/>
        <item x="25"/>
        <item x="35"/>
        <item x="32"/>
        <item x="21"/>
        <item x="26"/>
        <item x="30"/>
        <item x="17"/>
        <item m="1" x="129"/>
        <item x="18"/>
        <item x="22"/>
        <item x="24"/>
        <item x="3"/>
        <item x="20"/>
        <item x="9"/>
        <item x="2"/>
        <item x="7"/>
        <item x="4"/>
        <item x="8"/>
        <item x="42"/>
        <item x="1"/>
        <item x="6"/>
        <item x="5"/>
        <item x="11"/>
        <item x="19"/>
        <item x="10"/>
        <item x="12"/>
        <item x="14"/>
        <item x="15"/>
        <item x="13"/>
        <item x="16"/>
        <item x="23"/>
        <item x="33"/>
        <item x="27"/>
        <item x="29"/>
        <item x="31"/>
        <item x="34"/>
        <item x="39"/>
        <item x="36"/>
        <item x="37"/>
        <item x="44"/>
        <item m="1" x="141"/>
        <item x="46"/>
        <item x="43"/>
        <item m="1" x="131"/>
        <item x="45"/>
        <item x="47"/>
        <item x="49"/>
        <item m="1" x="132"/>
        <item x="28"/>
        <item x="52"/>
        <item x="51"/>
        <item x="53"/>
        <item x="54"/>
        <item x="55"/>
        <item x="56"/>
        <item x="57"/>
        <item x="58"/>
        <item x="59"/>
        <item x="60"/>
        <item x="61"/>
        <item x="62"/>
        <item x="63"/>
        <item x="64"/>
        <item x="65"/>
        <item x="66"/>
        <item x="70"/>
        <item m="1" x="135"/>
        <item x="67"/>
        <item x="69"/>
        <item m="1" x="130"/>
        <item x="71"/>
        <item x="72"/>
        <item x="73"/>
        <item m="1" x="138"/>
        <item m="1" x="146"/>
        <item m="1" x="140"/>
        <item x="77"/>
        <item x="76"/>
        <item x="82"/>
        <item x="74"/>
        <item x="75"/>
        <item x="68"/>
        <item x="78"/>
        <item x="79"/>
        <item m="1" x="137"/>
        <item x="80"/>
        <item x="81"/>
        <item m="1" x="139"/>
        <item sd="0" x="83"/>
        <item sd="0" x="86"/>
        <item x="84"/>
        <item x="85"/>
        <item x="87"/>
        <item x="89"/>
        <item x="90"/>
        <item x="91"/>
        <item x="92"/>
        <item x="93"/>
        <item x="94"/>
        <item x="95"/>
        <item x="96"/>
        <item m="1" x="143"/>
        <item m="1" x="144"/>
        <item m="1" x="134"/>
        <item x="97"/>
        <item x="100"/>
        <item m="1" x="142"/>
        <item x="101"/>
        <item x="110"/>
        <item x="106"/>
        <item x="88"/>
        <item x="102"/>
        <item x="112"/>
        <item x="113"/>
        <item m="1" x="145"/>
        <item x="108"/>
        <item x="115"/>
        <item m="1" x="136"/>
        <item x="116"/>
        <item x="98"/>
        <item x="99"/>
        <item x="103"/>
        <item x="114"/>
        <item x="107"/>
        <item x="117"/>
        <item x="118"/>
        <item x="119"/>
        <item x="120"/>
        <item m="1" x="133"/>
        <item x="121"/>
        <item x="104"/>
        <item x="122"/>
        <item x="105"/>
        <item x="111"/>
        <item x="109"/>
        <item m="1" x="128"/>
        <item x="123"/>
        <item m="1" x="127"/>
        <item x="124"/>
        <item x="125"/>
        <item x="126"/>
        <item t="default"/>
      </items>
    </pivotField>
    <pivotField axis="axisRow" showAll="0" sortType="descending">
      <items count="78">
        <item sd="0" m="1" x="44"/>
        <item sd="0" m="1" x="56"/>
        <item sd="0" m="1" x="43"/>
        <item sd="0" m="1" x="51"/>
        <item sd="0" x="5"/>
        <item sd="0" x="6"/>
        <item sd="0" x="8"/>
        <item sd="0" x="3"/>
        <item sd="0" x="2"/>
        <item sd="0" x="22"/>
        <item sd="0" x="0"/>
        <item sd="0" x="1"/>
        <item sd="0" x="12"/>
        <item sd="0" x="16"/>
        <item sd="0" x="7"/>
        <item sd="0" m="1" x="42"/>
        <item sd="0" m="1" x="46"/>
        <item sd="0" m="1" x="33"/>
        <item sd="0" x="11"/>
        <item sd="0" x="4"/>
        <item sd="0" x="29"/>
        <item sd="0" m="1" x="35"/>
        <item sd="0" x="9"/>
        <item sd="0" x="10"/>
        <item sd="0" m="1" x="45"/>
        <item sd="0" m="1" x="47"/>
        <item sd="0" m="1" x="36"/>
        <item sd="0" m="1" x="48"/>
        <item sd="0" m="1" x="68"/>
        <item sd="0" m="1" x="49"/>
        <item sd="0" x="13"/>
        <item sd="0" m="1" x="69"/>
        <item sd="0" m="1" x="76"/>
        <item sd="0" x="14"/>
        <item sd="0" m="1" x="38"/>
        <item sd="0" m="1" x="67"/>
        <item sd="0" m="1" x="50"/>
        <item sd="0" m="1" x="59"/>
        <item sd="0" m="1" x="52"/>
        <item sd="0" m="1" x="57"/>
        <item sd="0" m="1" x="39"/>
        <item sd="0" m="1" x="71"/>
        <item sd="0" m="1" x="66"/>
        <item sd="0" m="1" x="73"/>
        <item sd="0" x="19"/>
        <item sd="0" x="17"/>
        <item sd="0" m="1" x="58"/>
        <item sd="0" m="1" x="65"/>
        <item sd="0" m="1" x="53"/>
        <item sd="0" m="1" x="37"/>
        <item sd="0" m="1" x="54"/>
        <item sd="0" m="1" x="40"/>
        <item sd="0" x="20"/>
        <item sd="0" x="18"/>
        <item sd="0" x="21"/>
        <item sd="0" m="1" x="74"/>
        <item sd="0" m="1" x="55"/>
        <item sd="0" m="1" x="72"/>
        <item sd="0" m="1" x="41"/>
        <item sd="0" x="23"/>
        <item sd="0" x="15"/>
        <item sd="0" m="1" x="62"/>
        <item sd="0" m="1" x="34"/>
        <item sd="0" x="26"/>
        <item sd="0" x="27"/>
        <item sd="0" x="28"/>
        <item m="1" x="64"/>
        <item sd="0" m="1" x="63"/>
        <item sd="0" m="1" x="75"/>
        <item sd="0" m="1" x="70"/>
        <item sd="0" m="1" x="60"/>
        <item sd="0" x="25"/>
        <item sd="0" m="1" x="61"/>
        <item sd="0" x="30"/>
        <item sd="0" x="31"/>
        <item sd="0" x="32"/>
        <item sd="0"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4">
    <i>
      <x v="33"/>
    </i>
    <i>
      <x v="60"/>
    </i>
    <i>
      <x v="52"/>
    </i>
    <i>
      <x v="30"/>
    </i>
    <i>
      <x v="74"/>
    </i>
    <i>
      <x v="75"/>
    </i>
    <i>
      <x v="73"/>
    </i>
    <i>
      <x v="22"/>
    </i>
    <i>
      <x v="11"/>
    </i>
    <i>
      <x v="45"/>
    </i>
    <i>
      <x v="10"/>
    </i>
    <i>
      <x v="9"/>
    </i>
    <i>
      <x v="13"/>
    </i>
    <i>
      <x v="4"/>
    </i>
    <i>
      <x v="76"/>
    </i>
    <i>
      <x v="14"/>
    </i>
    <i>
      <x v="20"/>
    </i>
    <i>
      <x v="19"/>
    </i>
    <i>
      <x v="65"/>
    </i>
    <i>
      <x v="63"/>
    </i>
    <i>
      <x v="23"/>
    </i>
    <i>
      <x v="6"/>
    </i>
    <i>
      <x v="64"/>
    </i>
    <i>
      <x v="18"/>
    </i>
    <i>
      <x v="71"/>
    </i>
    <i>
      <x v="5"/>
    </i>
    <i>
      <x v="59"/>
    </i>
    <i>
      <x v="53"/>
    </i>
    <i>
      <x v="12"/>
    </i>
    <i>
      <x v="54"/>
    </i>
    <i>
      <x v="44"/>
    </i>
    <i>
      <x v="8"/>
    </i>
    <i>
      <x v="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5">
    <format dxfId="365">
      <pivotArea collapsedLevelsAreSubtotals="1" fieldPosition="0">
        <references count="1">
          <reference field="2" count="1">
            <x v="9"/>
          </reference>
        </references>
      </pivotArea>
    </format>
    <format dxfId="364">
      <pivotArea collapsedLevelsAreSubtotals="1" fieldPosition="0">
        <references count="1">
          <reference field="2" count="1">
            <x v="4"/>
          </reference>
        </references>
      </pivotArea>
    </format>
    <format dxfId="363">
      <pivotArea grandRow="1" outline="0" collapsedLevelsAreSubtotals="1" fieldPosition="0"/>
    </format>
    <format dxfId="362">
      <pivotArea dataOnly="0" labelOnly="1" grandRow="1" outline="0" fieldPosition="0"/>
    </format>
    <format dxfId="361">
      <pivotArea grandRow="1" outline="0" collapsedLevelsAreSubtotals="1" fieldPosition="0"/>
    </format>
    <format dxfId="360">
      <pivotArea dataOnly="0" labelOnly="1" grandRow="1" outline="0" fieldPosition="0"/>
    </format>
    <format dxfId="359">
      <pivotArea grandRow="1" outline="0" collapsedLevelsAreSubtotals="1" fieldPosition="0"/>
    </format>
    <format dxfId="358">
      <pivotArea dataOnly="0" labelOnly="1" grandRow="1" outline="0" fieldPosition="0"/>
    </format>
    <format dxfId="357">
      <pivotArea outline="0" collapsedLevelsAreSubtotals="1" fieldPosition="0">
        <references count="1">
          <reference field="4294967294" count="1" selected="0">
            <x v="0"/>
          </reference>
        </references>
      </pivotArea>
    </format>
    <format dxfId="356">
      <pivotArea dataOnly="0" labelOnly="1" outline="0" fieldPosition="0">
        <references count="1">
          <reference field="0" count="0"/>
        </references>
      </pivotArea>
    </format>
    <format dxfId="355">
      <pivotArea dataOnly="0" labelOnly="1" outline="0" fieldPosition="0">
        <references count="1">
          <reference field="4294967294" count="1">
            <x v="0"/>
          </reference>
        </references>
      </pivotArea>
    </format>
    <format dxfId="354">
      <pivotArea outline="0" collapsedLevelsAreSubtotals="1" fieldPosition="0">
        <references count="1">
          <reference field="4294967294" count="1" selected="0">
            <x v="1"/>
          </reference>
        </references>
      </pivotArea>
    </format>
    <format dxfId="353">
      <pivotArea dataOnly="0" labelOnly="1" outline="0" fieldPosition="0">
        <references count="1">
          <reference field="4294967294" count="1">
            <x v="1"/>
          </reference>
        </references>
      </pivotArea>
    </format>
    <format dxfId="352">
      <pivotArea outline="0" collapsedLevelsAreSubtotals="1" fieldPosition="0">
        <references count="1">
          <reference field="4294967294" count="1" selected="0">
            <x v="2"/>
          </reference>
        </references>
      </pivotArea>
    </format>
    <format dxfId="351">
      <pivotArea dataOnly="0" labelOnly="1" outline="0" fieldPosition="0">
        <references count="1">
          <reference field="4294967294" count="1">
            <x v="2"/>
          </reference>
        </references>
      </pivotArea>
    </format>
    <format dxfId="350">
      <pivotArea grandRow="1" outline="0" collapsedLevelsAreSubtotals="1" fieldPosition="0"/>
    </format>
    <format dxfId="349">
      <pivotArea dataOnly="0" labelOnly="1" grandRow="1" outline="0" fieldPosition="0"/>
    </format>
    <format dxfId="348">
      <pivotArea type="all" dataOnly="0" outline="0" fieldPosition="0"/>
    </format>
    <format dxfId="347">
      <pivotArea grandRow="1" outline="0" collapsedLevelsAreSubtotals="1" fieldPosition="0"/>
    </format>
    <format dxfId="346">
      <pivotArea dataOnly="0" labelOnly="1" grandRow="1" outline="0" fieldPosition="0"/>
    </format>
    <format dxfId="345">
      <pivotArea collapsedLevelsAreSubtotals="1" fieldPosition="0">
        <references count="2">
          <reference field="4294967294" count="1" selected="0">
            <x v="2"/>
          </reference>
          <reference field="1" count="1">
            <x v="22"/>
          </reference>
        </references>
      </pivotArea>
    </format>
    <format dxfId="344">
      <pivotArea collapsedLevelsAreSubtotals="1" fieldPosition="0">
        <references count="3">
          <reference field="4294967294" count="1" selected="0">
            <x v="2"/>
          </reference>
          <reference field="1" count="1">
            <x v="22"/>
          </reference>
          <reference field="2" count="1" selected="0">
            <x v="7"/>
          </reference>
        </references>
      </pivotArea>
    </format>
    <format dxfId="343">
      <pivotArea dataOnly="0" labelOnly="1" outline="0" fieldPosition="0">
        <references count="1">
          <reference field="4294967294" count="3">
            <x v="0"/>
            <x v="1"/>
            <x v="2"/>
          </reference>
        </references>
      </pivotArea>
    </format>
    <format dxfId="342">
      <pivotArea dataOnly="0" labelOnly="1" outline="0" fieldPosition="0">
        <references count="1">
          <reference field="4294967294" count="1">
            <x v="0"/>
          </reference>
        </references>
      </pivotArea>
    </format>
    <format dxfId="341">
      <pivotArea dataOnly="0" labelOnly="1" outline="0" fieldPosition="0">
        <references count="1">
          <reference field="4294967294" count="1">
            <x v="1"/>
          </reference>
        </references>
      </pivotArea>
    </format>
    <format dxfId="340">
      <pivotArea dataOnly="0" labelOnly="1" outline="0" fieldPosition="0">
        <references count="1">
          <reference field="4294967294" count="1">
            <x v="1"/>
          </reference>
        </references>
      </pivotArea>
    </format>
    <format dxfId="339">
      <pivotArea dataOnly="0" labelOnly="1" outline="0" fieldPosition="0">
        <references count="1">
          <reference field="4294967294" count="1">
            <x v="2"/>
          </reference>
        </references>
      </pivotArea>
    </format>
    <format dxfId="338">
      <pivotArea dataOnly="0" labelOnly="1" fieldPosition="0">
        <references count="1">
          <reference field="2" count="0"/>
        </references>
      </pivotArea>
    </format>
    <format dxfId="337">
      <pivotArea collapsedLevelsAreSubtotals="1" fieldPosition="0">
        <references count="2">
          <reference field="4294967294" count="1" selected="0">
            <x v="2"/>
          </reference>
          <reference field="2" count="1">
            <x v="4"/>
          </reference>
        </references>
      </pivotArea>
    </format>
    <format dxfId="336">
      <pivotArea collapsedLevelsAreSubtotals="1" fieldPosition="0">
        <references count="2">
          <reference field="4294967294" count="1" selected="0">
            <x v="2"/>
          </reference>
          <reference field="2" count="1">
            <x v="9"/>
          </reference>
        </references>
      </pivotArea>
    </format>
    <format dxfId="335">
      <pivotArea collapsedLevelsAreSubtotals="1" fieldPosition="0">
        <references count="2">
          <reference field="4294967294" count="1" selected="0">
            <x v="2"/>
          </reference>
          <reference field="2" count="1">
            <x v="14"/>
          </reference>
        </references>
      </pivotArea>
    </format>
    <format dxfId="334">
      <pivotArea collapsedLevelsAreSubtotals="1" fieldPosition="0">
        <references count="3">
          <reference field="4294967294" count="1" selected="0">
            <x v="2"/>
          </reference>
          <reference field="1" count="3">
            <x v="3"/>
            <x v="37"/>
            <x v="41"/>
          </reference>
          <reference field="2" count="1" selected="0">
            <x v="14"/>
          </reference>
        </references>
      </pivotArea>
    </format>
    <format dxfId="333">
      <pivotArea collapsedLevelsAreSubtotals="1" fieldPosition="0">
        <references count="3">
          <reference field="4294967294" count="1" selected="0">
            <x v="2"/>
          </reference>
          <reference field="1" count="1">
            <x v="6"/>
          </reference>
          <reference field="2" count="1" selected="0">
            <x v="14"/>
          </reference>
        </references>
      </pivotArea>
    </format>
    <format dxfId="332">
      <pivotArea collapsedLevelsAreSubtotals="1" fieldPosition="0">
        <references count="3">
          <reference field="4294967294" count="1" selected="0">
            <x v="2"/>
          </reference>
          <reference field="1" count="1">
            <x v="27"/>
          </reference>
          <reference field="2" count="1" selected="0">
            <x v="14"/>
          </reference>
        </references>
      </pivotArea>
    </format>
    <format dxfId="331">
      <pivotArea collapsedLevelsAreSubtotals="1" fieldPosition="0">
        <references count="1">
          <reference field="2" count="1">
            <x v="0"/>
          </reference>
        </references>
      </pivotArea>
    </format>
    <format dxfId="330">
      <pivotArea collapsedLevelsAreSubtotals="1" fieldPosition="0">
        <references count="1">
          <reference field="2" count="1">
            <x v="14"/>
          </reference>
        </references>
      </pivotArea>
    </format>
    <format dxfId="329">
      <pivotArea collapsedLevelsAreSubtotals="1" fieldPosition="0">
        <references count="1">
          <reference field="2" count="1">
            <x v="9"/>
          </reference>
        </references>
      </pivotArea>
    </format>
    <format dxfId="328">
      <pivotArea collapsedLevelsAreSubtotals="1" fieldPosition="0">
        <references count="1">
          <reference field="2" count="1">
            <x v="5"/>
          </reference>
        </references>
      </pivotArea>
    </format>
    <format dxfId="327">
      <pivotArea collapsedLevelsAreSubtotals="1" fieldPosition="0">
        <references count="1">
          <reference field="2" count="1">
            <x v="17"/>
          </reference>
        </references>
      </pivotArea>
    </format>
    <format dxfId="326">
      <pivotArea collapsedLevelsAreSubtotals="1" fieldPosition="0">
        <references count="1">
          <reference field="2" count="1">
            <x v="2"/>
          </reference>
        </references>
      </pivotArea>
    </format>
    <format dxfId="325">
      <pivotArea collapsedLevelsAreSubtotals="1" fieldPosition="0">
        <references count="1">
          <reference field="2" count="1">
            <x v="10"/>
          </reference>
        </references>
      </pivotArea>
    </format>
    <format dxfId="324">
      <pivotArea collapsedLevelsAreSubtotals="1" fieldPosition="0">
        <references count="1">
          <reference field="2" count="1">
            <x v="1"/>
          </reference>
        </references>
      </pivotArea>
    </format>
    <format dxfId="323">
      <pivotArea collapsedLevelsAreSubtotals="1" fieldPosition="0">
        <references count="1">
          <reference field="2" count="1">
            <x v="13"/>
          </reference>
        </references>
      </pivotArea>
    </format>
    <format dxfId="322">
      <pivotArea collapsedLevelsAreSubtotals="1" fieldPosition="0">
        <references count="1">
          <reference field="2" count="1">
            <x v="4"/>
          </reference>
        </references>
      </pivotArea>
    </format>
    <format dxfId="321">
      <pivotArea collapsedLevelsAreSubtotals="1" fieldPosition="0">
        <references count="1">
          <reference field="2" count="1">
            <x v="8"/>
          </reference>
        </references>
      </pivotArea>
    </format>
    <format dxfId="320">
      <pivotArea collapsedLevelsAreSubtotals="1" fieldPosition="0">
        <references count="1">
          <reference field="2" count="1">
            <x v="3"/>
          </reference>
        </references>
      </pivotArea>
    </format>
    <format dxfId="319">
      <pivotArea collapsedLevelsAreSubtotals="1" fieldPosition="0">
        <references count="1">
          <reference field="2" count="1">
            <x v="12"/>
          </reference>
        </references>
      </pivotArea>
    </format>
    <format dxfId="318">
      <pivotArea collapsedLevelsAreSubtotals="1" fieldPosition="0">
        <references count="1">
          <reference field="2" count="1">
            <x v="6"/>
          </reference>
        </references>
      </pivotArea>
    </format>
    <format dxfId="317">
      <pivotArea collapsedLevelsAreSubtotals="1" fieldPosition="0">
        <references count="1">
          <reference field="2" count="1">
            <x v="11"/>
          </reference>
        </references>
      </pivotArea>
    </format>
    <format dxfId="316">
      <pivotArea collapsedLevelsAreSubtotals="1" fieldPosition="0">
        <references count="1">
          <reference field="2" count="1">
            <x v="20"/>
          </reference>
        </references>
      </pivotArea>
    </format>
    <format dxfId="315">
      <pivotArea collapsedLevelsAreSubtotals="1" fieldPosition="0">
        <references count="2">
          <reference field="1" count="1">
            <x v="6"/>
          </reference>
          <reference field="2" count="1" selected="0">
            <x v="20"/>
          </reference>
        </references>
      </pivotArea>
    </format>
    <format dxfId="314">
      <pivotArea collapsedLevelsAreSubtotals="1" fieldPosition="0">
        <references count="1">
          <reference field="2" count="1">
            <x v="7"/>
          </reference>
        </references>
      </pivotArea>
    </format>
    <format dxfId="313">
      <pivotArea collapsedLevelsAreSubtotals="1" fieldPosition="0">
        <references count="1">
          <reference field="2" count="1">
            <x v="16"/>
          </reference>
        </references>
      </pivotArea>
    </format>
    <format dxfId="312">
      <pivotArea collapsedLevelsAreSubtotals="1" fieldPosition="0">
        <references count="1">
          <reference field="2" count="1">
            <x v="19"/>
          </reference>
        </references>
      </pivotArea>
    </format>
    <format dxfId="311">
      <pivotArea collapsedLevelsAreSubtotals="1" fieldPosition="0">
        <references count="1">
          <reference field="2" count="1">
            <x v="18"/>
          </reference>
        </references>
      </pivotArea>
    </format>
    <format dxfId="310">
      <pivotArea collapsedLevelsAreSubtotals="1" fieldPosition="0">
        <references count="1">
          <reference field="2" count="1">
            <x v="15"/>
          </reference>
        </references>
      </pivotArea>
    </format>
    <format dxfId="309">
      <pivotArea collapsedLevelsAreSubtotals="1" fieldPosition="0">
        <references count="1">
          <reference field="2" count="1">
            <x v="21"/>
          </reference>
        </references>
      </pivotArea>
    </format>
    <format dxfId="308">
      <pivotArea collapsedLevelsAreSubtotals="1" fieldPosition="0">
        <references count="1">
          <reference field="2" count="1">
            <x v="22"/>
          </reference>
        </references>
      </pivotArea>
    </format>
    <format dxfId="307">
      <pivotArea collapsedLevelsAreSubtotals="1" fieldPosition="0">
        <references count="1">
          <reference field="2" count="1">
            <x v="23"/>
          </reference>
        </references>
      </pivotArea>
    </format>
    <format dxfId="306">
      <pivotArea collapsedLevelsAreSubtotals="1" fieldPosition="0">
        <references count="2">
          <reference field="4294967294" count="1" selected="0">
            <x v="2"/>
          </reference>
          <reference field="2" count="1">
            <x v="24"/>
          </reference>
        </references>
      </pivotArea>
    </format>
    <format dxfId="305">
      <pivotArea collapsedLevelsAreSubtotals="1" fieldPosition="0">
        <references count="2">
          <reference field="4294967294" count="1" selected="0">
            <x v="2"/>
          </reference>
          <reference field="2" count="1">
            <x v="25"/>
          </reference>
        </references>
      </pivotArea>
    </format>
    <format dxfId="304">
      <pivotArea collapsedLevelsAreSubtotals="1" fieldPosition="0">
        <references count="2">
          <reference field="4294967294" count="1" selected="0">
            <x v="2"/>
          </reference>
          <reference field="2" count="1">
            <x v="26"/>
          </reference>
        </references>
      </pivotArea>
    </format>
    <format dxfId="303">
      <pivotArea collapsedLevelsAreSubtotals="1" fieldPosition="0">
        <references count="2">
          <reference field="4294967294" count="1" selected="0">
            <x v="2"/>
          </reference>
          <reference field="2" count="1">
            <x v="27"/>
          </reference>
        </references>
      </pivotArea>
    </format>
    <format dxfId="302">
      <pivotArea collapsedLevelsAreSubtotals="1" fieldPosition="0">
        <references count="2">
          <reference field="4294967294" count="1" selected="0">
            <x v="2"/>
          </reference>
          <reference field="2" count="1">
            <x v="27"/>
          </reference>
        </references>
      </pivotArea>
    </format>
    <format dxfId="301">
      <pivotArea collapsedLevelsAreSubtotals="1" fieldPosition="0">
        <references count="2">
          <reference field="4294967294" count="1" selected="0">
            <x v="2"/>
          </reference>
          <reference field="2" count="1">
            <x v="28"/>
          </reference>
        </references>
      </pivotArea>
    </format>
    <format dxfId="300">
      <pivotArea collapsedLevelsAreSubtotals="1" fieldPosition="0">
        <references count="2">
          <reference field="4294967294" count="1" selected="0">
            <x v="2"/>
          </reference>
          <reference field="2" count="1">
            <x v="28"/>
          </reference>
        </references>
      </pivotArea>
    </format>
    <format dxfId="299">
      <pivotArea collapsedLevelsAreSubtotals="1" fieldPosition="0">
        <references count="2">
          <reference field="4294967294" count="1" selected="0">
            <x v="2"/>
          </reference>
          <reference field="2" count="1">
            <x v="29"/>
          </reference>
        </references>
      </pivotArea>
    </format>
    <format dxfId="298">
      <pivotArea collapsedLevelsAreSubtotals="1" fieldPosition="0">
        <references count="2">
          <reference field="4294967294" count="1" selected="0">
            <x v="2"/>
          </reference>
          <reference field="2" count="1">
            <x v="29"/>
          </reference>
        </references>
      </pivotArea>
    </format>
    <format dxfId="297">
      <pivotArea collapsedLevelsAreSubtotals="1" fieldPosition="0">
        <references count="2">
          <reference field="4294967294" count="1" selected="0">
            <x v="2"/>
          </reference>
          <reference field="2" count="1">
            <x v="30"/>
          </reference>
        </references>
      </pivotArea>
    </format>
    <format dxfId="296">
      <pivotArea collapsedLevelsAreSubtotals="1" fieldPosition="0">
        <references count="2">
          <reference field="4294967294" count="1" selected="0">
            <x v="2"/>
          </reference>
          <reference field="2" count="1">
            <x v="31"/>
          </reference>
        </references>
      </pivotArea>
    </format>
    <format dxfId="295">
      <pivotArea collapsedLevelsAreSubtotals="1" fieldPosition="0">
        <references count="2">
          <reference field="4294967294" count="1" selected="0">
            <x v="2"/>
          </reference>
          <reference field="2" count="1">
            <x v="31"/>
          </reference>
        </references>
      </pivotArea>
    </format>
    <format dxfId="294">
      <pivotArea collapsedLevelsAreSubtotals="1" fieldPosition="0">
        <references count="2">
          <reference field="4294967294" count="1" selected="0">
            <x v="2"/>
          </reference>
          <reference field="2" count="1">
            <x v="32"/>
          </reference>
        </references>
      </pivotArea>
    </format>
    <format dxfId="293">
      <pivotArea collapsedLevelsAreSubtotals="1" fieldPosition="0">
        <references count="2">
          <reference field="4294967294" count="1" selected="0">
            <x v="2"/>
          </reference>
          <reference field="2" count="1">
            <x v="32"/>
          </reference>
        </references>
      </pivotArea>
    </format>
    <format dxfId="292">
      <pivotArea collapsedLevelsAreSubtotals="1" fieldPosition="0">
        <references count="2">
          <reference field="4294967294" count="1" selected="0">
            <x v="2"/>
          </reference>
          <reference field="2" count="1">
            <x v="33"/>
          </reference>
        </references>
      </pivotArea>
    </format>
    <format dxfId="291">
      <pivotArea collapsedLevelsAreSubtotals="1" fieldPosition="0">
        <references count="2">
          <reference field="4294967294" count="1" selected="0">
            <x v="2"/>
          </reference>
          <reference field="2" count="1">
            <x v="33"/>
          </reference>
        </references>
      </pivotArea>
    </format>
    <format dxfId="290">
      <pivotArea collapsedLevelsAreSubtotals="1" fieldPosition="0">
        <references count="2">
          <reference field="4294967294" count="1" selected="0">
            <x v="2"/>
          </reference>
          <reference field="2" count="1">
            <x v="34"/>
          </reference>
        </references>
      </pivotArea>
    </format>
    <format dxfId="289">
      <pivotArea collapsedLevelsAreSubtotals="1" fieldPosition="0">
        <references count="2">
          <reference field="4294967294" count="1" selected="0">
            <x v="2"/>
          </reference>
          <reference field="2" count="1">
            <x v="35"/>
          </reference>
        </references>
      </pivotArea>
    </format>
    <format dxfId="288">
      <pivotArea collapsedLevelsAreSubtotals="1" fieldPosition="0">
        <references count="2">
          <reference field="4294967294" count="1" selected="0">
            <x v="2"/>
          </reference>
          <reference field="2" count="1">
            <x v="36"/>
          </reference>
        </references>
      </pivotArea>
    </format>
    <format dxfId="287">
      <pivotArea collapsedLevelsAreSubtotals="1" fieldPosition="0">
        <references count="2">
          <reference field="4294967294" count="1" selected="0">
            <x v="2"/>
          </reference>
          <reference field="2" count="1">
            <x v="36"/>
          </reference>
        </references>
      </pivotArea>
    </format>
    <format dxfId="286">
      <pivotArea collapsedLevelsAreSubtotals="1" fieldPosition="0">
        <references count="2">
          <reference field="4294967294" count="1" selected="0">
            <x v="2"/>
          </reference>
          <reference field="2" count="1">
            <x v="38"/>
          </reference>
        </references>
      </pivotArea>
    </format>
    <format dxfId="285">
      <pivotArea collapsedLevelsAreSubtotals="1" fieldPosition="0">
        <references count="2">
          <reference field="4294967294" count="1" selected="0">
            <x v="2"/>
          </reference>
          <reference field="2" count="1">
            <x v="38"/>
          </reference>
        </references>
      </pivotArea>
    </format>
    <format dxfId="284">
      <pivotArea collapsedLevelsAreSubtotals="1" fieldPosition="0">
        <references count="2">
          <reference field="4294967294" count="1" selected="0">
            <x v="2"/>
          </reference>
          <reference field="2" count="1">
            <x v="39"/>
          </reference>
        </references>
      </pivotArea>
    </format>
    <format dxfId="283">
      <pivotArea collapsedLevelsAreSubtotals="1" fieldPosition="0">
        <references count="2">
          <reference field="4294967294" count="1" selected="0">
            <x v="2"/>
          </reference>
          <reference field="2" count="1">
            <x v="39"/>
          </reference>
        </references>
      </pivotArea>
    </format>
    <format dxfId="282">
      <pivotArea collapsedLevelsAreSubtotals="1" fieldPosition="0">
        <references count="2">
          <reference field="4294967294" count="1" selected="0">
            <x v="2"/>
          </reference>
          <reference field="2" count="1">
            <x v="40"/>
          </reference>
        </references>
      </pivotArea>
    </format>
    <format dxfId="281">
      <pivotArea collapsedLevelsAreSubtotals="1" fieldPosition="0">
        <references count="2">
          <reference field="4294967294" count="1" selected="0">
            <x v="2"/>
          </reference>
          <reference field="2" count="1">
            <x v="42"/>
          </reference>
        </references>
      </pivotArea>
    </format>
    <format dxfId="280">
      <pivotArea collapsedLevelsAreSubtotals="1" fieldPosition="0">
        <references count="2">
          <reference field="4294967294" count="1" selected="0">
            <x v="2"/>
          </reference>
          <reference field="2" count="1">
            <x v="41"/>
          </reference>
        </references>
      </pivotArea>
    </format>
    <format dxfId="279">
      <pivotArea collapsedLevelsAreSubtotals="1" fieldPosition="0">
        <references count="2">
          <reference field="4294967294" count="1" selected="0">
            <x v="2"/>
          </reference>
          <reference field="2" count="1">
            <x v="44"/>
          </reference>
        </references>
      </pivotArea>
    </format>
    <format dxfId="278">
      <pivotArea collapsedLevelsAreSubtotals="1" fieldPosition="0">
        <references count="2">
          <reference field="4294967294" count="1" selected="0">
            <x v="2"/>
          </reference>
          <reference field="2" count="1">
            <x v="45"/>
          </reference>
        </references>
      </pivotArea>
    </format>
    <format dxfId="277">
      <pivotArea collapsedLevelsAreSubtotals="1" fieldPosition="0">
        <references count="2">
          <reference field="4294967294" count="1" selected="0">
            <x v="2"/>
          </reference>
          <reference field="2" count="1">
            <x v="46"/>
          </reference>
        </references>
      </pivotArea>
    </format>
    <format dxfId="276">
      <pivotArea collapsedLevelsAreSubtotals="1" fieldPosition="0">
        <references count="2">
          <reference field="4294967294" count="1" selected="0">
            <x v="2"/>
          </reference>
          <reference field="2" count="1">
            <x v="47"/>
          </reference>
        </references>
      </pivotArea>
    </format>
    <format dxfId="275">
      <pivotArea collapsedLevelsAreSubtotals="1" fieldPosition="0">
        <references count="2">
          <reference field="4294967294" count="1" selected="0">
            <x v="2"/>
          </reference>
          <reference field="2" count="1">
            <x v="48"/>
          </reference>
        </references>
      </pivotArea>
    </format>
    <format dxfId="274">
      <pivotArea collapsedLevelsAreSubtotals="1" fieldPosition="0">
        <references count="2">
          <reference field="4294967294" count="1" selected="0">
            <x v="2"/>
          </reference>
          <reference field="2" count="1">
            <x v="49"/>
          </reference>
        </references>
      </pivotArea>
    </format>
    <format dxfId="273">
      <pivotArea collapsedLevelsAreSubtotals="1" fieldPosition="0">
        <references count="2">
          <reference field="4294967294" count="1" selected="0">
            <x v="2"/>
          </reference>
          <reference field="2" count="1">
            <x v="49"/>
          </reference>
        </references>
      </pivotArea>
    </format>
    <format dxfId="272">
      <pivotArea collapsedLevelsAreSubtotals="1" fieldPosition="0">
        <references count="2">
          <reference field="4294967294" count="1" selected="0">
            <x v="2"/>
          </reference>
          <reference field="2" count="1">
            <x v="50"/>
          </reference>
        </references>
      </pivotArea>
    </format>
    <format dxfId="271">
      <pivotArea collapsedLevelsAreSubtotals="1" fieldPosition="0">
        <references count="3">
          <reference field="4294967294" count="1" selected="0">
            <x v="2"/>
          </reference>
          <reference field="1" count="1" selected="0">
            <x v="95"/>
          </reference>
          <reference field="2" count="1">
            <x v="51"/>
          </reference>
        </references>
      </pivotArea>
    </format>
    <format dxfId="270">
      <pivotArea collapsedLevelsAreSubtotals="1" fieldPosition="0">
        <references count="3">
          <reference field="4294967294" count="1" selected="0">
            <x v="2"/>
          </reference>
          <reference field="1" count="1" selected="0">
            <x v="95"/>
          </reference>
          <reference field="2" count="1">
            <x v="51"/>
          </reference>
        </references>
      </pivotArea>
    </format>
    <format dxfId="269">
      <pivotArea collapsedLevelsAreSubtotals="1" fieldPosition="0">
        <references count="2">
          <reference field="4294967294" count="1" selected="0">
            <x v="2"/>
          </reference>
          <reference field="2" count="1">
            <x v="51"/>
          </reference>
        </references>
      </pivotArea>
    </format>
    <format dxfId="268">
      <pivotArea collapsedLevelsAreSubtotals="1" fieldPosition="0">
        <references count="2">
          <reference field="4294967294" count="1" selected="0">
            <x v="2"/>
          </reference>
          <reference field="2" count="1">
            <x v="51"/>
          </reference>
        </references>
      </pivotArea>
    </format>
    <format dxfId="267">
      <pivotArea collapsedLevelsAreSubtotals="1" fieldPosition="0">
        <references count="2">
          <reference field="4294967294" count="1" selected="0">
            <x v="2"/>
          </reference>
          <reference field="2" count="1">
            <x v="52"/>
          </reference>
        </references>
      </pivotArea>
    </format>
    <format dxfId="266">
      <pivotArea collapsedLevelsAreSubtotals="1" fieldPosition="0">
        <references count="2">
          <reference field="4294967294" count="1" selected="0">
            <x v="2"/>
          </reference>
          <reference field="2" count="1">
            <x v="52"/>
          </reference>
        </references>
      </pivotArea>
    </format>
    <format dxfId="265">
      <pivotArea collapsedLevelsAreSubtotals="1" fieldPosition="0">
        <references count="2">
          <reference field="4294967294" count="1" selected="0">
            <x v="2"/>
          </reference>
          <reference field="2" count="1">
            <x v="53"/>
          </reference>
        </references>
      </pivotArea>
    </format>
    <format dxfId="264">
      <pivotArea collapsedLevelsAreSubtotals="1" fieldPosition="0">
        <references count="2">
          <reference field="4294967294" count="1" selected="0">
            <x v="2"/>
          </reference>
          <reference field="2" count="1">
            <x v="54"/>
          </reference>
        </references>
      </pivotArea>
    </format>
    <format dxfId="263">
      <pivotArea collapsedLevelsAreSubtotals="1" fieldPosition="0">
        <references count="2">
          <reference field="4294967294" count="1" selected="0">
            <x v="2"/>
          </reference>
          <reference field="2" count="1">
            <x v="54"/>
          </reference>
        </references>
      </pivotArea>
    </format>
    <format dxfId="262">
      <pivotArea collapsedLevelsAreSubtotals="1" fieldPosition="0">
        <references count="2">
          <reference field="4294967294" count="1" selected="0">
            <x v="2"/>
          </reference>
          <reference field="2" count="1">
            <x v="55"/>
          </reference>
        </references>
      </pivotArea>
    </format>
    <format dxfId="261">
      <pivotArea collapsedLevelsAreSubtotals="1" fieldPosition="0">
        <references count="2">
          <reference field="4294967294" count="1" selected="0">
            <x v="2"/>
          </reference>
          <reference field="2" count="1">
            <x v="56"/>
          </reference>
        </references>
      </pivotArea>
    </format>
    <format dxfId="260">
      <pivotArea type="all" dataOnly="0" outline="0" fieldPosition="0"/>
    </format>
    <format dxfId="259">
      <pivotArea outline="0" collapsedLevelsAreSubtotals="1" fieldPosition="0"/>
    </format>
    <format dxfId="258">
      <pivotArea dataOnly="0" labelOnly="1" fieldPosition="0">
        <references count="1">
          <reference field="2" count="0"/>
        </references>
      </pivotArea>
    </format>
    <format dxfId="257">
      <pivotArea dataOnly="0" labelOnly="1" grandRow="1" outline="0" fieldPosition="0"/>
    </format>
    <format dxfId="256">
      <pivotArea dataOnly="0" labelOnly="1" outline="0" fieldPosition="0">
        <references count="1">
          <reference field="4294967294" count="3">
            <x v="0"/>
            <x v="1"/>
            <x v="2"/>
          </reference>
        </references>
      </pivotArea>
    </format>
    <format dxfId="255">
      <pivotArea collapsedLevelsAreSubtotals="1" fieldPosition="0">
        <references count="2">
          <reference field="4294967294" count="1" selected="0">
            <x v="2"/>
          </reference>
          <reference field="2" count="1">
            <x v="57"/>
          </reference>
        </references>
      </pivotArea>
    </format>
    <format dxfId="254">
      <pivotArea collapsedLevelsAreSubtotals="1" fieldPosition="0">
        <references count="2">
          <reference field="4294967294" count="1" selected="0">
            <x v="2"/>
          </reference>
          <reference field="2" count="1">
            <x v="53"/>
          </reference>
        </references>
      </pivotArea>
    </format>
    <format dxfId="253">
      <pivotArea collapsedLevelsAreSubtotals="1" fieldPosition="0">
        <references count="2">
          <reference field="4294967294" count="1" selected="0">
            <x v="2"/>
          </reference>
          <reference field="2" count="1">
            <x v="58"/>
          </reference>
        </references>
      </pivotArea>
    </format>
    <format dxfId="252">
      <pivotArea collapsedLevelsAreSubtotals="1" fieldPosition="0">
        <references count="2">
          <reference field="4294967294" count="1" selected="0">
            <x v="2"/>
          </reference>
          <reference field="2" count="1">
            <x v="37"/>
          </reference>
        </references>
      </pivotArea>
    </format>
    <format dxfId="251">
      <pivotArea collapsedLevelsAreSubtotals="1" fieldPosition="0">
        <references count="2">
          <reference field="4294967294" count="1" selected="0">
            <x v="2"/>
          </reference>
          <reference field="2" count="1">
            <x v="59"/>
          </reference>
        </references>
      </pivotArea>
    </format>
    <format dxfId="250">
      <pivotArea collapsedLevelsAreSubtotals="1" fieldPosition="0">
        <references count="2">
          <reference field="4294967294" count="1" selected="0">
            <x v="2"/>
          </reference>
          <reference field="2" count="1">
            <x v="64"/>
          </reference>
        </references>
      </pivotArea>
    </format>
    <format dxfId="249">
      <pivotArea collapsedLevelsAreSubtotals="1" fieldPosition="0">
        <references count="2">
          <reference field="4294967294" count="1" selected="0">
            <x v="2"/>
          </reference>
          <reference field="2" count="1">
            <x v="65"/>
          </reference>
        </references>
      </pivotArea>
    </format>
    <format dxfId="248">
      <pivotArea collapsedLevelsAreSubtotals="1" fieldPosition="0">
        <references count="2">
          <reference field="4294967294" count="1" selected="0">
            <x v="2"/>
          </reference>
          <reference field="2" count="1">
            <x v="59"/>
          </reference>
        </references>
      </pivotArea>
    </format>
    <format dxfId="247">
      <pivotArea collapsedLevelsAreSubtotals="1" fieldPosition="0">
        <references count="2">
          <reference field="4294967294" count="1" selected="0">
            <x v="2"/>
          </reference>
          <reference field="2" count="1">
            <x v="64"/>
          </reference>
        </references>
      </pivotArea>
    </format>
    <format dxfId="246">
      <pivotArea collapsedLevelsAreSubtotals="1" fieldPosition="0">
        <references count="2">
          <reference field="4294967294" count="1" selected="0">
            <x v="2"/>
          </reference>
          <reference field="2" count="1">
            <x v="65"/>
          </reference>
        </references>
      </pivotArea>
    </format>
    <format dxfId="245">
      <pivotArea collapsedLevelsAreSubtotals="1" fieldPosition="0">
        <references count="2">
          <reference field="4294967294" count="1" selected="0">
            <x v="2"/>
          </reference>
          <reference field="2" count="1">
            <x v="63"/>
          </reference>
        </references>
      </pivotArea>
    </format>
    <format dxfId="244">
      <pivotArea collapsedLevelsAreSubtotals="1" fieldPosition="0">
        <references count="2">
          <reference field="4294967294" count="1" selected="0">
            <x v="2"/>
          </reference>
          <reference field="2" count="1">
            <x v="61"/>
          </reference>
        </references>
      </pivotArea>
    </format>
    <format dxfId="243">
      <pivotArea collapsedLevelsAreSubtotals="1" fieldPosition="0">
        <references count="2">
          <reference field="4294967294" count="1" selected="0">
            <x v="2"/>
          </reference>
          <reference field="2" count="1">
            <x v="62"/>
          </reference>
        </references>
      </pivotArea>
    </format>
    <format dxfId="242">
      <pivotArea collapsedLevelsAreSubtotals="1" fieldPosition="0">
        <references count="2">
          <reference field="4294967294" count="1" selected="0">
            <x v="2"/>
          </reference>
          <reference field="2" count="1">
            <x v="66"/>
          </reference>
        </references>
      </pivotArea>
    </format>
    <format dxfId="241">
      <pivotArea collapsedLevelsAreSubtotals="1" fieldPosition="0">
        <references count="2">
          <reference field="4294967294" count="1" selected="0">
            <x v="2"/>
          </reference>
          <reference field="2" count="1">
            <x v="66"/>
          </reference>
        </references>
      </pivotArea>
    </format>
    <format dxfId="240">
      <pivotArea collapsedLevelsAreSubtotals="1" fieldPosition="0">
        <references count="2">
          <reference field="4294967294" count="1" selected="0">
            <x v="2"/>
          </reference>
          <reference field="2" count="1">
            <x v="67"/>
          </reference>
        </references>
      </pivotArea>
    </format>
    <format dxfId="239">
      <pivotArea collapsedLevelsAreSubtotals="1" fieldPosition="0">
        <references count="2">
          <reference field="4294967294" count="1" selected="0">
            <x v="2"/>
          </reference>
          <reference field="2" count="1">
            <x v="68"/>
          </reference>
        </references>
      </pivotArea>
    </format>
    <format dxfId="238">
      <pivotArea collapsedLevelsAreSubtotals="1" fieldPosition="0">
        <references count="2">
          <reference field="4294967294" count="1" selected="0">
            <x v="2"/>
          </reference>
          <reference field="2" count="1">
            <x v="71"/>
          </reference>
        </references>
      </pivotArea>
    </format>
    <format dxfId="237">
      <pivotArea collapsedLevelsAreSubtotals="1" fieldPosition="0">
        <references count="2">
          <reference field="4294967294" count="1" selected="0">
            <x v="2"/>
          </reference>
          <reference field="2" count="1">
            <x v="72"/>
          </reference>
        </references>
      </pivotArea>
    </format>
    <format dxfId="236">
      <pivotArea collapsedLevelsAreSubtotals="1" fieldPosition="0">
        <references count="2">
          <reference field="4294967294" count="1" selected="0">
            <x v="2"/>
          </reference>
          <reference field="2" count="1">
            <x v="60"/>
          </reference>
        </references>
      </pivotArea>
    </format>
    <format dxfId="235">
      <pivotArea collapsedLevelsAreSubtotals="1" fieldPosition="0">
        <references count="2">
          <reference field="4294967294" count="1" selected="0">
            <x v="2"/>
          </reference>
          <reference field="2" count="1">
            <x v="70"/>
          </reference>
        </references>
      </pivotArea>
    </format>
    <format dxfId="234">
      <pivotArea collapsedLevelsAreSubtotals="1" fieldPosition="0">
        <references count="2">
          <reference field="4294967294" count="1" selected="0">
            <x v="2"/>
          </reference>
          <reference field="2" count="1">
            <x v="73"/>
          </reference>
        </references>
      </pivotArea>
    </format>
    <format dxfId="233">
      <pivotArea collapsedLevelsAreSubtotals="1" fieldPosition="0">
        <references count="2">
          <reference field="4294967294" count="1" selected="0">
            <x v="2"/>
          </reference>
          <reference field="2" count="1">
            <x v="74"/>
          </reference>
        </references>
      </pivotArea>
    </format>
    <format dxfId="232">
      <pivotArea collapsedLevelsAreSubtotals="1" fieldPosition="0">
        <references count="2">
          <reference field="4294967294" count="1" selected="0">
            <x v="2"/>
          </reference>
          <reference field="2" count="1">
            <x v="75"/>
          </reference>
        </references>
      </pivotArea>
    </format>
    <format dxfId="231">
      <pivotArea collapsedLevelsAreSubtotals="1" fieldPosition="0">
        <references count="2">
          <reference field="4294967294" count="1" selected="0">
            <x v="2"/>
          </reference>
          <reference field="2" count="1">
            <x v="76"/>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8"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307">
        <item x="249"/>
        <item m="1" x="2304"/>
        <item m="1" x="2259"/>
        <item m="1" x="2258"/>
        <item m="1" x="2272"/>
        <item m="1" x="2262"/>
        <item m="1" x="2224"/>
        <item m="1" x="2243"/>
        <item m="1" x="2250"/>
        <item m="1" x="2270"/>
        <item m="1" x="2249"/>
        <item m="1" x="2278"/>
        <item m="1" x="2286"/>
        <item m="1" x="2247"/>
        <item m="1" x="2293"/>
        <item m="1" x="2240"/>
        <item m="1" x="2298"/>
        <item m="1" x="2253"/>
        <item m="1" x="2213"/>
        <item m="1" x="2302"/>
        <item m="1" x="2305"/>
        <item m="1" x="2220"/>
        <item m="1" x="2261"/>
        <item m="1" x="2215"/>
        <item m="1" x="2216"/>
        <item m="1" x="2218"/>
        <item m="1" x="2232"/>
        <item m="1" x="2233"/>
        <item m="1" x="2279"/>
        <item m="1" x="2267"/>
        <item m="1" x="2268"/>
        <item m="1" x="2273"/>
        <item m="1" x="2284"/>
        <item m="1" x="2263"/>
        <item m="1" x="2225"/>
        <item m="1" x="2230"/>
        <item m="1" x="2237"/>
        <item m="1" x="2287"/>
        <item x="0"/>
        <item m="1" x="2274"/>
        <item m="1" x="2280"/>
        <item m="1" x="2238"/>
        <item x="1"/>
        <item m="1" x="2281"/>
        <item m="1" x="2300"/>
        <item x="2"/>
        <item x="3"/>
        <item m="1" x="2244"/>
        <item m="1" x="2295"/>
        <item m="1" x="2241"/>
        <item m="1" x="2291"/>
        <item m="1" x="2299"/>
        <item m="1" x="2303"/>
        <item x="4"/>
        <item m="1" x="2214"/>
        <item x="5"/>
        <item x="6"/>
        <item m="1" x="225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66"/>
        <item x="157"/>
        <item x="158"/>
        <item x="159"/>
        <item x="160"/>
        <item x="161"/>
        <item x="162"/>
        <item x="163"/>
        <item x="164"/>
        <item x="165"/>
        <item x="166"/>
        <item x="167"/>
        <item x="168"/>
        <item x="169"/>
        <item m="1" x="2248"/>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01"/>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46"/>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54"/>
        <item x="276"/>
        <item x="277"/>
        <item x="278"/>
        <item x="275"/>
        <item m="1" x="2251"/>
        <item x="279"/>
        <item x="280"/>
        <item x="281"/>
        <item x="282"/>
        <item x="283"/>
        <item x="284"/>
        <item x="285"/>
        <item x="286"/>
        <item x="287"/>
        <item x="288"/>
        <item x="289"/>
        <item x="290"/>
        <item x="291"/>
        <item x="292"/>
        <item x="293"/>
        <item x="294"/>
        <item x="295"/>
        <item x="296"/>
        <item m="1" x="2255"/>
        <item x="297"/>
        <item x="298"/>
        <item x="299"/>
        <item m="1" x="2257"/>
        <item x="300"/>
        <item x="302"/>
        <item x="303"/>
        <item x="301"/>
        <item x="304"/>
        <item x="305"/>
        <item x="306"/>
        <item x="307"/>
        <item x="308"/>
        <item x="309"/>
        <item x="310"/>
        <item x="311"/>
        <item x="312"/>
        <item m="1" x="2221"/>
        <item x="313"/>
        <item m="1" x="2223"/>
        <item x="314"/>
        <item x="315"/>
        <item x="316"/>
        <item x="317"/>
        <item x="318"/>
        <item x="319"/>
        <item x="320"/>
        <item x="321"/>
        <item m="1" x="2269"/>
        <item x="323"/>
        <item x="324"/>
        <item x="325"/>
        <item x="326"/>
        <item x="322"/>
        <item x="327"/>
        <item x="328"/>
        <item x="329"/>
        <item x="330"/>
        <item x="331"/>
        <item m="1" x="2260"/>
        <item x="332"/>
        <item m="1" x="2222"/>
        <item x="333"/>
        <item x="334"/>
        <item x="335"/>
        <item x="336"/>
        <item x="337"/>
        <item x="338"/>
        <item x="344"/>
        <item m="1" x="2229"/>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19"/>
        <item x="375"/>
        <item x="376"/>
        <item x="373"/>
        <item x="377"/>
        <item x="378"/>
        <item x="379"/>
        <item x="380"/>
        <item m="1" x="2264"/>
        <item x="381"/>
        <item x="382"/>
        <item x="383"/>
        <item x="384"/>
        <item x="385"/>
        <item x="386"/>
        <item x="387"/>
        <item x="388"/>
        <item x="389"/>
        <item x="390"/>
        <item x="391"/>
        <item x="392"/>
        <item x="393"/>
        <item x="394"/>
        <item x="395"/>
        <item x="396"/>
        <item x="397"/>
        <item x="399"/>
        <item x="400"/>
        <item x="401"/>
        <item x="398"/>
        <item x="402"/>
        <item m="1" x="2265"/>
        <item x="403"/>
        <item x="404"/>
        <item x="405"/>
        <item x="406"/>
        <item x="407"/>
        <item x="408"/>
        <item x="409"/>
        <item m="1" x="2231"/>
        <item x="410"/>
        <item x="411"/>
        <item x="421"/>
        <item x="412"/>
        <item x="413"/>
        <item x="414"/>
        <item x="415"/>
        <item x="416"/>
        <item x="417"/>
        <item m="1" x="2285"/>
        <item x="418"/>
        <item x="419"/>
        <item x="420"/>
        <item x="423"/>
        <item x="443"/>
        <item x="424"/>
        <item x="422"/>
        <item x="425"/>
        <item x="426"/>
        <item x="427"/>
        <item x="428"/>
        <item x="429"/>
        <item x="430"/>
        <item x="431"/>
        <item x="432"/>
        <item m="1" x="2277"/>
        <item x="433"/>
        <item x="434"/>
        <item x="435"/>
        <item x="436"/>
        <item x="438"/>
        <item x="437"/>
        <item x="439"/>
        <item x="440"/>
        <item x="442"/>
        <item x="441"/>
        <item x="445"/>
        <item x="446"/>
        <item x="447"/>
        <item x="444"/>
        <item x="448"/>
        <item x="449"/>
        <item x="450"/>
        <item x="451"/>
        <item x="452"/>
        <item x="453"/>
        <item x="454"/>
        <item x="455"/>
        <item x="456"/>
        <item x="457"/>
        <item m="1" x="2239"/>
        <item x="458"/>
        <item x="459"/>
        <item m="1" x="2288"/>
        <item x="460"/>
        <item x="461"/>
        <item x="462"/>
        <item x="463"/>
        <item m="1" x="2297"/>
        <item x="464"/>
        <item x="465"/>
        <item x="466"/>
        <item x="467"/>
        <item x="468"/>
        <item x="469"/>
        <item x="470"/>
        <item m="1" x="2276"/>
        <item x="471"/>
        <item x="472"/>
        <item x="473"/>
        <item x="474"/>
        <item x="475"/>
        <item x="476"/>
        <item x="477"/>
        <item x="478"/>
        <item x="479"/>
        <item x="480"/>
        <item x="481"/>
        <item x="482"/>
        <item x="483"/>
        <item x="484"/>
        <item m="1" x="2252"/>
        <item x="490"/>
        <item x="485"/>
        <item x="486"/>
        <item x="487"/>
        <item x="488"/>
        <item x="489"/>
        <item x="491"/>
        <item x="492"/>
        <item m="1" x="2245"/>
        <item m="1" x="2289"/>
        <item x="503"/>
        <item m="1" x="2292"/>
        <item x="493"/>
        <item x="494"/>
        <item x="504"/>
        <item x="495"/>
        <item x="496"/>
        <item x="497"/>
        <item x="498"/>
        <item x="499"/>
        <item x="500"/>
        <item x="501"/>
        <item x="502"/>
        <item x="505"/>
        <item x="506"/>
        <item x="507"/>
        <item x="508"/>
        <item m="1" x="2242"/>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11"/>
        <item x="564"/>
        <item x="565"/>
        <item x="566"/>
        <item x="567"/>
        <item x="568"/>
        <item x="569"/>
        <item x="570"/>
        <item x="571"/>
        <item x="572"/>
        <item x="573"/>
        <item x="574"/>
        <item m="1" x="2217"/>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26"/>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28"/>
        <item x="698"/>
        <item x="708"/>
        <item x="709"/>
        <item x="710"/>
        <item x="699"/>
        <item x="700"/>
        <item x="701"/>
        <item x="702"/>
        <item x="703"/>
        <item x="704"/>
        <item x="705"/>
        <item x="706"/>
        <item x="707"/>
        <item x="711"/>
        <item x="726"/>
        <item x="727"/>
        <item x="734"/>
        <item x="712"/>
        <item x="728"/>
        <item x="729"/>
        <item m="1" x="2275"/>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34"/>
        <item x="753"/>
        <item m="1" x="2236"/>
        <item x="740"/>
        <item x="754"/>
        <item x="741"/>
        <item x="742"/>
        <item x="743"/>
        <item x="744"/>
        <item x="745"/>
        <item x="746"/>
        <item x="747"/>
        <item x="755"/>
        <item x="748"/>
        <item x="757"/>
        <item x="758"/>
        <item x="769"/>
        <item x="759"/>
        <item m="1" x="2283"/>
        <item x="760"/>
        <item x="761"/>
        <item x="770"/>
        <item m="1" x="2290"/>
        <item x="762"/>
        <item x="771"/>
        <item x="763"/>
        <item x="764"/>
        <item x="765"/>
        <item x="766"/>
        <item x="772"/>
        <item x="773"/>
        <item x="767"/>
        <item x="768"/>
        <item x="774"/>
        <item x="775"/>
        <item x="790"/>
        <item x="776"/>
        <item x="791"/>
        <item x="777"/>
        <item x="778"/>
        <item x="792"/>
        <item x="779"/>
        <item x="780"/>
        <item x="781"/>
        <item x="782"/>
        <item x="793"/>
        <item x="783"/>
        <item x="794"/>
        <item x="795"/>
        <item x="2209"/>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96"/>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71"/>
        <item x="944"/>
        <item m="1" x="2235"/>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82"/>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94"/>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12"/>
        <item x="1583"/>
        <item x="1577"/>
        <item x="1578"/>
        <item x="1576"/>
        <item x="1579"/>
        <item x="1580"/>
        <item x="1586"/>
        <item x="1587"/>
        <item x="1581"/>
        <item x="1582"/>
        <item x="1588"/>
        <item x="1589"/>
        <item x="1590"/>
        <item x="1602"/>
        <item x="1612"/>
        <item m="1" x="2227"/>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10"/>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08"/>
        <item t="default"/>
      </items>
    </pivotField>
    <pivotField axis="axisRow" showAll="0">
      <items count="243">
        <item sd="0" x="43"/>
        <item sd="0" x="46"/>
        <item sd="0" x="45"/>
        <item sd="0" x="35"/>
        <item sd="0" m="1" x="154"/>
        <item sd="0" x="44"/>
        <item sd="0" m="1" x="168"/>
        <item sd="0" m="1" x="190"/>
        <item sd="0" x="42"/>
        <item sd="0" x="41"/>
        <item sd="0" x="40"/>
        <item sd="0" x="39"/>
        <item sd="0" x="38"/>
        <item sd="0" x="37"/>
        <item sd="0" x="20"/>
        <item sd="0" x="36"/>
        <item sd="0" m="1" x="160"/>
        <item sd="0" x="15"/>
        <item sd="0" x="18"/>
        <item n="JPMC (Main Project)" sd="0" x="11"/>
        <item sd="0" x="32"/>
        <item sd="0" x="31"/>
        <item sd="0" x="33"/>
        <item sd="0" x="34"/>
        <item sd="0" x="27"/>
        <item sd="0" x="30"/>
        <item sd="0" x="29"/>
        <item sd="0" x="26"/>
        <item sd="0" x="24"/>
        <item sd="0" x="25"/>
        <item sd="0" x="0"/>
        <item sd="0" x="19"/>
        <item sd="0" x="22"/>
        <item sd="0" x="23"/>
        <item sd="0" m="1" x="138"/>
        <item sd="0" x="21"/>
        <item sd="0" m="1" x="208"/>
        <item sd="0" m="1" x="166"/>
        <item sd="0" m="1" x="173"/>
        <item sd="0" x="8"/>
        <item sd="0" x="9"/>
        <item sd="0" m="1" x="163"/>
        <item sd="0" m="1" x="133"/>
        <item sd="0" m="1" x="184"/>
        <item sd="0" m="1" x="128"/>
        <item sd="0" m="1" x="140"/>
        <item sd="0" m="1" x="169"/>
        <item sd="0" x="13"/>
        <item sd="0" m="1" x="239"/>
        <item sd="0" m="1" x="219"/>
        <item sd="0" m="1" x="210"/>
        <item sd="0" m="1" x="148"/>
        <item sd="0" m="1" x="145"/>
        <item sd="0" m="1" x="235"/>
        <item sd="0" m="1" x="213"/>
        <item sd="0" m="1" x="222"/>
        <item sd="0" m="1" x="206"/>
        <item sd="0" m="1" x="196"/>
        <item sd="0" m="1" x="131"/>
        <item sd="0" m="1" x="159"/>
        <item sd="0" x="17"/>
        <item sd="0" m="1" x="165"/>
        <item sd="0" m="1" x="179"/>
        <item sd="0" m="1" x="132"/>
        <item sd="0" x="14"/>
        <item sd="0" m="1" x="229"/>
        <item sd="0" x="86"/>
        <item sd="0" m="1" x="174"/>
        <item sd="0" m="1" x="232"/>
        <item sd="0" m="1" x="167"/>
        <item sd="0" m="1" x="188"/>
        <item sd="0" m="1" x="186"/>
        <item sd="0" m="1" x="139"/>
        <item sd="0" m="1" x="177"/>
        <item sd="0" m="1" x="143"/>
        <item sd="0" m="1" x="183"/>
        <item sd="0" m="1" x="221"/>
        <item sd="0" m="1" x="178"/>
        <item sd="0" m="1" x="191"/>
        <item sd="0" x="10"/>
        <item sd="0" m="1" x="194"/>
        <item sd="0" x="1"/>
        <item sd="0" m="1" x="141"/>
        <item sd="0" m="1" x="195"/>
        <item sd="0" m="1" x="164"/>
        <item sd="0" m="1" x="223"/>
        <item sd="0" m="1" x="226"/>
        <item sd="0" m="1" x="198"/>
        <item sd="0" m="1" x="126"/>
        <item sd="0" m="1" x="147"/>
        <item sd="0" m="1" x="189"/>
        <item sd="0" m="1" x="182"/>
        <item sd="0" m="1" x="136"/>
        <item sd="0" m="1" x="130"/>
        <item sd="0" m="1" x="217"/>
        <item sd="0" x="3"/>
        <item sd="0" m="1" x="155"/>
        <item sd="0" x="7"/>
        <item sd="0" m="1" x="170"/>
        <item sd="0" x="2"/>
        <item sd="0" m="1" x="220"/>
        <item sd="0" m="1" x="176"/>
        <item sd="0" x="12"/>
        <item sd="0" x="5"/>
        <item sd="0" m="1" x="158"/>
        <item sd="0" x="4"/>
        <item sd="0" m="1" x="238"/>
        <item sd="0" m="1" x="144"/>
        <item sd="0" m="1" x="152"/>
        <item sd="0" m="1" x="204"/>
        <item sd="0" m="1" x="212"/>
        <item sd="0" m="1" x="216"/>
        <item sd="0" m="1" x="135"/>
        <item sd="0" m="1" x="230"/>
        <item sd="0" m="1" x="146"/>
        <item sd="0" m="1" x="151"/>
        <item sd="0" x="6"/>
        <item sd="0" m="1" x="207"/>
        <item sd="0" m="1" x="211"/>
        <item sd="0" m="1" x="227"/>
        <item sd="0" m="1" x="233"/>
        <item sd="0" m="1" x="228"/>
        <item sd="0" x="16"/>
        <item sd="0" m="1" x="125"/>
        <item sd="0" m="1" x="200"/>
        <item sd="0" m="1" x="193"/>
        <item sd="0" m="1" x="209"/>
        <item sd="0" m="1" x="171"/>
        <item m="1" x="185"/>
        <item sd="0" m="1" x="149"/>
        <item sd="0" m="1" x="214"/>
        <item sd="0" m="1" x="172"/>
        <item sd="0" m="1" x="199"/>
        <item sd="0" m="1" x="225"/>
        <item sd="0" x="28"/>
        <item sd="0" m="1" x="187"/>
        <item sd="0" m="1" x="215"/>
        <item sd="0" m="1" x="241"/>
        <item sd="0" m="1" x="162"/>
        <item m="1" x="202"/>
        <item sd="0" m="1" x="201"/>
        <item sd="0" m="1" x="236"/>
        <item sd="0" m="1" x="157"/>
        <item m="1" x="224"/>
        <item sd="0" m="1" x="134"/>
        <item m="1" x="180"/>
        <item m="1" x="218"/>
        <item m="1" x="150"/>
        <item x="47"/>
        <item x="48"/>
        <item x="49"/>
        <item m="1" x="240"/>
        <item x="51"/>
        <item x="52"/>
        <item x="50"/>
        <item x="53"/>
        <item x="54"/>
        <item x="55"/>
        <item x="56"/>
        <item x="57"/>
        <item m="1" x="231"/>
        <item x="59"/>
        <item x="58"/>
        <item x="60"/>
        <item x="63"/>
        <item x="61"/>
        <item x="62"/>
        <item x="64"/>
        <item m="1" x="122"/>
        <item m="1" x="175"/>
        <item x="65"/>
        <item x="67"/>
        <item x="66"/>
        <item x="68"/>
        <item x="69"/>
        <item x="70"/>
        <item x="71"/>
        <item m="1" x="205"/>
        <item m="1" x="137"/>
        <item x="72"/>
        <item x="75"/>
        <item x="73"/>
        <item x="76"/>
        <item m="1" x="142"/>
        <item m="1" x="127"/>
        <item x="78"/>
        <item x="74"/>
        <item m="1" x="197"/>
        <item m="1" x="113"/>
        <item x="80"/>
        <item m="1" x="129"/>
        <item m="1" x="124"/>
        <item m="1" x="192"/>
        <item x="77"/>
        <item m="1" x="234"/>
        <item x="81"/>
        <item x="82"/>
        <item x="83"/>
        <item m="1" x="237"/>
        <item m="1" x="181"/>
        <item x="84"/>
        <item m="1" x="153"/>
        <item x="79"/>
        <item x="98"/>
        <item m="1" x="156"/>
        <item x="85"/>
        <item m="1" x="203"/>
        <item x="87"/>
        <item x="88"/>
        <item x="89"/>
        <item x="90"/>
        <item x="91"/>
        <item m="1" x="161"/>
        <item m="1" x="118"/>
        <item x="92"/>
        <item x="93"/>
        <item m="1" x="121"/>
        <item m="1" x="120"/>
        <item m="1" x="119"/>
        <item x="94"/>
        <item m="1" x="123"/>
        <item m="1" x="114"/>
        <item x="97"/>
        <item m="1" x="111"/>
        <item x="96"/>
        <item m="1" x="115"/>
        <item m="1" x="117"/>
        <item x="100"/>
        <item x="101"/>
        <item m="1" x="112"/>
        <item x="102"/>
        <item m="1" x="116"/>
        <item x="103"/>
        <item x="99"/>
        <item x="95"/>
        <item x="106"/>
        <item x="104"/>
        <item x="109"/>
        <item x="105"/>
        <item x="107"/>
        <item x="108"/>
        <item x="110"/>
        <item t="default"/>
      </items>
    </pivotField>
    <pivotField axis="axisRow" showAll="0" sortType="ascending">
      <items count="1081">
        <item h="1" sd="0" x="60"/>
        <item h="1" sd="0" x="149"/>
        <item h="1" x="755"/>
        <item h="1" sd="0" m="1" x="851"/>
        <item h="1" sd="0" x="724"/>
        <item h="1" sd="0" m="1" x="923"/>
        <item h="1" sd="0" x="572"/>
        <item h="1" sd="0" m="1" x="1021"/>
        <item h="1" sd="0" m="1" x="864"/>
        <item h="1" sd="0" x="464"/>
        <item h="1" sd="0" m="1" x="885"/>
        <item h="1" x="756"/>
        <item h="1" sd="0" x="18"/>
        <item h="1" sd="0" x="288"/>
        <item h="1" sd="0" m="1" x="1062"/>
        <item h="1" sd="0" x="146"/>
        <item h="1" sd="0" x="179"/>
        <item h="1" sd="0" x="490"/>
        <item h="1" sd="0" x="673"/>
        <item h="1" sd="0" m="1" x="1059"/>
        <item h="1" sd="0" x="641"/>
        <item h="1" sd="0" x="623"/>
        <item h="1" x="811"/>
        <item h="1" sd="0" x="100"/>
        <item h="1" sd="0" x="606"/>
        <item h="1" sd="0" m="1" x="870"/>
        <item h="1" sd="0" m="1" x="1025"/>
        <item h="1" sd="0" x="137"/>
        <item h="1" sd="0" m="1" x="1007"/>
        <item h="1" sd="0" x="231"/>
        <item h="1" sd="0" m="1" x="841"/>
        <item sd="0" x="758"/>
        <item h="1" sd="0" m="1" x="1012"/>
        <item h="1" sd="0" m="1" x="902"/>
        <item h="1" sd="0" x="363"/>
        <item h="1" sd="0" x="510"/>
        <item sd="0" x="563"/>
        <item h="1" sd="0" x="651"/>
        <item h="1" x="736"/>
        <item h="1" sd="0" x="375"/>
        <item h="1" sd="0" x="379"/>
        <item h="1" sd="0" m="1" x="899"/>
        <item h="1" sd="0" x="718"/>
        <item h="1" sd="0" m="1" x="877"/>
        <item h="1" sd="0" m="1" x="930"/>
        <item h="1" sd="0" x="208"/>
        <item h="1" sd="0" x="593"/>
        <item h="1" x="765"/>
        <item h="1" sd="0" x="422"/>
        <item h="1" x="759"/>
        <item h="1" sd="0" x="159"/>
        <item h="1" sd="0" x="616"/>
        <item h="1" sd="0" x="508"/>
        <item h="1" sd="0" x="471"/>
        <item h="1" sd="0" x="258"/>
        <item h="1" sd="0" x="282"/>
        <item h="1" x="778"/>
        <item h="1" sd="0" x="144"/>
        <item h="1" sd="0" x="191"/>
        <item h="1" sd="0" x="217"/>
        <item h="1" sd="0" x="322"/>
        <item h="1" sd="0" x="256"/>
        <item h="1" sd="0" x="533"/>
        <item h="1" sd="0" x="189"/>
        <item h="1" sd="0" m="1" x="962"/>
        <item h="1" sd="0" x="325"/>
        <item h="1" sd="0" x="481"/>
        <item h="1" sd="0" m="1" x="1063"/>
        <item h="1" sd="0" m="1" x="960"/>
        <item h="1" sd="0" x="528"/>
        <item h="1" sd="0" x="630"/>
        <item h="1" sd="0" x="223"/>
        <item h="1" sd="0" m="1" x="853"/>
        <item h="1" sd="0" x="239"/>
        <item h="1" sd="0" x="521"/>
        <item h="1" sd="0" x="135"/>
        <item h="1" sd="0" x="140"/>
        <item h="1" sd="0" x="479"/>
        <item h="1" sd="0" m="1" x="1036"/>
        <item h="1" sd="0" m="1" x="966"/>
        <item h="1" sd="0" x="219"/>
        <item h="1" sd="0" m="1" x="1075"/>
        <item h="1" sd="0" x="562"/>
        <item h="1" x="743"/>
        <item h="1" x="760"/>
        <item h="1" sd="0" x="711"/>
        <item h="1" sd="0" x="683"/>
        <item h="1" x="805"/>
        <item h="1" sd="0" x="93"/>
        <item h="1" sd="0" m="1" x="1033"/>
        <item h="1" sd="0" x="399"/>
        <item h="1" sd="0" x="222"/>
        <item h="1" sd="0" m="1" x="866"/>
        <item h="1" sd="0" x="337"/>
        <item h="1" sd="0" x="207"/>
        <item h="1" sd="0" x="517"/>
        <item h="1" sd="0" x="489"/>
        <item h="1" sd="0" x="184"/>
        <item h="1" sd="0" x="152"/>
        <item h="1" sd="0" m="1" x="1046"/>
        <item h="1" sd="0" x="40"/>
        <item h="1" sd="0" x="281"/>
        <item h="1" sd="0" x="170"/>
        <item h="1" x="803"/>
        <item h="1" sd="0" x="317"/>
        <item h="1" sd="0" x="358"/>
        <item h="1" sd="0" x="214"/>
        <item h="1" sd="0" x="370"/>
        <item h="1" sd="0" x="378"/>
        <item h="1" sd="0" x="279"/>
        <item h="1" sd="0" m="1" x="903"/>
        <item h="1" sd="0" x="156"/>
        <item h="1" sd="0" x="700"/>
        <item h="1" sd="0" x="639"/>
        <item h="1" sd="0" x="253"/>
        <item h="1" sd="0" m="1" x="1022"/>
        <item h="1" sd="0" x="442"/>
        <item h="1" sd="0" m="1" x="832"/>
        <item h="1" sd="0" x="409"/>
        <item h="1" sd="0" x="365"/>
        <item h="1" sd="0" m="1" x="884"/>
        <item h="1" sd="0" m="1" x="849"/>
        <item sd="0" x="666"/>
        <item h="1" sd="0" x="556"/>
        <item h="1" sd="0" x="383"/>
        <item h="1" sd="0" x="259"/>
        <item h="1" sd="0" x="463"/>
        <item h="1" sd="0" x="252"/>
        <item h="1" sd="0" x="643"/>
        <item h="1" sd="0" x="537"/>
        <item h="1" sd="0" m="1" x="965"/>
        <item h="1" sd="0" x="577"/>
        <item h="1" sd="0" x="597"/>
        <item h="1" sd="0" x="12"/>
        <item h="1" sd="0" x="571"/>
        <item h="1" sd="0" m="1" x="1035"/>
        <item h="1" sd="0" x="569"/>
        <item h="1" sd="0" x="352"/>
        <item h="1" sd="0" x="218"/>
        <item h="1" x="817"/>
        <item h="1" sd="0" x="371"/>
        <item h="1" sd="0" x="224"/>
        <item h="1" sd="0" x="63"/>
        <item h="1" sd="0" x="8"/>
        <item h="1" sd="0" x="102"/>
        <item h="1" sd="0" m="1" x="871"/>
        <item h="1" sd="0" m="1" x="1065"/>
        <item h="1" sd="0" x="550"/>
        <item h="1" sd="0" x="319"/>
        <item h="1" sd="0" m="1" x="876"/>
        <item h="1" sd="0" m="1" x="1076"/>
        <item h="1" x="815"/>
        <item h="1" sd="0" x="386"/>
        <item h="1" sd="0" x="634"/>
        <item h="1" sd="0" x="31"/>
        <item h="1" sd="0" x="55"/>
        <item h="1" sd="0" x="227"/>
        <item h="1" sd="0" x="453"/>
        <item h="1" sd="0" x="356"/>
        <item h="1" x="801"/>
        <item h="1" sd="0" x="161"/>
        <item h="1" sd="0" x="153"/>
        <item h="1" sd="0" x="653"/>
        <item h="1" sd="0" x="553"/>
        <item h="1" sd="0" x="704"/>
        <item h="1" sd="0" m="1" x="950"/>
        <item h="1" sd="0" x="133"/>
        <item h="1" sd="0" m="1" x="857"/>
        <item h="1" sd="0" m="1" x="850"/>
        <item h="1" sd="0" m="1" x="1051"/>
        <item h="1" sd="0" x="668"/>
        <item h="1" x="762"/>
        <item h="1" sd="0" x="681"/>
        <item h="1" sd="0" x="685"/>
        <item h="1" sd="0" x="46"/>
        <item h="1" sd="0" x="374"/>
        <item h="1" sd="0" m="1" x="859"/>
        <item h="1" sd="0" x="423"/>
        <item h="1" sd="0" x="574"/>
        <item h="1" sd="0" x="367"/>
        <item h="1" sd="0" x="270"/>
        <item h="1" sd="0" m="1" x="940"/>
        <item h="1" sd="0" m="1" x="905"/>
        <item h="1" sd="0" x="427"/>
        <item h="1" sd="0" x="411"/>
        <item h="1" sd="0" x="465"/>
        <item h="1" sd="0" m="1" x="941"/>
        <item h="1" sd="0" m="1" x="921"/>
        <item h="1" sd="0" m="1" x="1032"/>
        <item h="1" sd="0" m="1" x="975"/>
        <item h="1" sd="0" m="1" x="937"/>
        <item h="1" sd="0" x="366"/>
        <item h="1" sd="0" x="437"/>
        <item h="1" sd="0" x="506"/>
        <item h="1" sd="0" x="632"/>
        <item h="1" sd="0" m="1" x="951"/>
        <item h="1" sd="0" x="567"/>
        <item h="1" sd="0" x="665"/>
        <item h="1" x="797"/>
        <item h="1" sd="0" x="534"/>
        <item h="1" sd="0" x="456"/>
        <item h="1" sd="0" x="318"/>
        <item h="1" sd="0" m="1" x="898"/>
        <item h="1" x="800"/>
        <item h="1" sd="0" x="697"/>
        <item h="1" sd="0" x="312"/>
        <item h="1" sd="0" x="273"/>
        <item h="1" sd="0" x="428"/>
        <item h="1" sd="0" x="519"/>
        <item h="1" sd="0" m="1" x="997"/>
        <item h="1" sd="0" x="396"/>
        <item h="1" x="751"/>
        <item h="1" sd="0" x="605"/>
        <item h="1" sd="0" x="402"/>
        <item h="1" sd="0" x="710"/>
        <item h="1" sd="0" x="201"/>
        <item h="1" sd="0" m="1" x="925"/>
        <item h="1" x="779"/>
        <item h="1" sd="0" x="160"/>
        <item h="1" sd="0" x="443"/>
        <item h="1" sd="0" m="1" x="1029"/>
        <item h="1" sd="0" m="1" x="989"/>
        <item h="1" sd="0" m="1" x="883"/>
        <item h="1" x="746"/>
        <item h="1" sd="0" x="451"/>
        <item h="1" sd="0" x="538"/>
        <item h="1" sd="0" x="414"/>
        <item h="1" sd="0" x="413"/>
        <item h="1" sd="0" x="277"/>
        <item h="1" sd="0" x="467"/>
        <item h="1" sd="0" m="1" x="983"/>
        <item h="1" sd="0" x="225"/>
        <item h="1" sd="0" m="1" x="855"/>
        <item h="1" sd="0" m="1" x="858"/>
        <item h="1" sd="0" x="522"/>
        <item h="1" x="819"/>
        <item h="1" sd="0" x="468"/>
        <item h="1" sd="0" x="539"/>
        <item h="1" x="804"/>
        <item h="1" sd="0" x="633"/>
        <item h="1" sd="0" m="1" x="869"/>
        <item h="1" sd="0" x="292"/>
        <item h="1" sd="0" x="15"/>
        <item h="1" sd="0" m="1" x="896"/>
        <item h="1" sd="0" m="1" x="911"/>
        <item h="1" sd="0" x="662"/>
        <item h="1" sd="0" x="0"/>
        <item h="1" sd="0" x="232"/>
        <item h="1" sd="0" x="679"/>
        <item h="1" sd="0" x="213"/>
        <item h="1" sd="0" m="1" x="1031"/>
        <item h="1" sd="0" x="316"/>
        <item h="1" x="749"/>
        <item h="1" sd="0" x="702"/>
        <item h="1" sd="0" x="513"/>
        <item h="1" sd="0" x="436"/>
        <item h="1" sd="0" x="449"/>
        <item h="1" sd="0" m="1" x="840"/>
        <item h="1" sd="0" x="291"/>
        <item h="1" x="739"/>
        <item h="1" sd="0" x="391"/>
        <item h="1" sd="0" x="333"/>
        <item h="1" x="793"/>
        <item h="1" x="787"/>
        <item sd="0" x="339"/>
        <item h="1" sd="0" x="275"/>
        <item h="1" sd="0" m="1" x="872"/>
        <item sd="0" x="174"/>
        <item h="1" sd="0" x="171"/>
        <item h="1" sd="0" x="233"/>
        <item h="1" sd="0" x="78"/>
        <item h="1" sd="0" m="1" x="931"/>
        <item h="1" sd="0" x="236"/>
        <item h="1" sd="0" x="58"/>
        <item h="1" sd="0" m="1" x="1000"/>
        <item h="1" sd="0" x="474"/>
        <item h="1" sd="0" x="511"/>
        <item h="1" sd="0" x="408"/>
        <item h="1" x="812"/>
        <item h="1" sd="0" x="587"/>
        <item h="1" sd="0" x="240"/>
        <item h="1" sd="0" m="1" x="865"/>
        <item h="1" sd="0" x="182"/>
        <item h="1" x="806"/>
        <item h="1" sd="0" x="307"/>
        <item h="1" sd="0" x="782"/>
        <item h="1" sd="0" x="648"/>
        <item h="1" x="776"/>
        <item h="1" sd="0" x="290"/>
        <item h="1" sd="0" m="1" x="957"/>
        <item h="1" sd="0" m="1" x="1018"/>
        <item h="1" sd="0" x="636"/>
        <item h="1" sd="0" x="499"/>
        <item h="1" sd="0" x="447"/>
        <item h="1" sd="0" x="132"/>
        <item h="1" sd="0" x="56"/>
        <item h="1" sd="0" x="126"/>
        <item h="1" sd="0" x="22"/>
        <item h="1" sd="0" x="187"/>
        <item h="1" sd="0" m="1" x="846"/>
        <item h="1" sd="0" m="1" x="1049"/>
        <item h="1" sd="0" m="1" x="852"/>
        <item h="1" sd="0" x="11"/>
        <item h="1" sd="0" x="670"/>
        <item h="1" sd="0" x="353"/>
        <item h="1" sd="0" x="542"/>
        <item h="1" sd="0" m="1" x="936"/>
        <item h="1" sd="0" x="124"/>
        <item h="1" sd="0" x="646"/>
        <item h="1" sd="0" m="1" x="1079"/>
        <item h="1" sd="0" x="77"/>
        <item h="1" sd="0" m="1" x="961"/>
        <item h="1" sd="0" x="435"/>
        <item h="1" sd="0" x="92"/>
        <item h="1" sd="0" x="35"/>
        <item h="1" sd="0" x="196"/>
        <item h="1" sd="0" m="1" x="1058"/>
        <item h="1" sd="0" x="1"/>
        <item h="1" sd="0" x="180"/>
        <item h="1" sd="0" x="430"/>
        <item h="1" sd="0" x="285"/>
        <item h="1" x="747"/>
        <item h="1" sd="0" x="581"/>
        <item h="1" sd="0" m="1" x="978"/>
        <item h="1" sd="0" x="42"/>
        <item h="1" sd="0" x="469"/>
        <item h="1" sd="0" x="440"/>
        <item h="1" sd="0" m="1" x="999"/>
        <item h="1" sd="0" m="1" x="969"/>
        <item h="1" sd="0" m="1" x="986"/>
        <item h="1" sd="0" m="1" x="919"/>
        <item h="1" sd="0" x="84"/>
        <item h="1" sd="0" x="106"/>
        <item h="1" sd="0" x="727"/>
        <item h="1" sd="0" m="1" x="831"/>
        <item h="1" sd="0" x="526"/>
        <item h="1" sd="0" x="592"/>
        <item h="1" sd="0" x="484"/>
        <item h="1" sd="0" x="336"/>
        <item h="1" sd="0" x="659"/>
        <item h="1" sd="0" x="669"/>
        <item h="1" sd="0" m="1" x="992"/>
        <item h="1" sd="0" x="560"/>
        <item h="1" sd="0" x="714"/>
        <item sd="0" x="709"/>
        <item h="1" x="795"/>
        <item sd="0" x="599"/>
        <item h="1" sd="0" m="1" x="833"/>
        <item h="1" sd="0" m="1" x="828"/>
        <item h="1" sd="0" m="1" x="979"/>
        <item h="1" sd="0" m="1" x="861"/>
        <item h="1" sd="0" x="515"/>
        <item h="1" sd="0" x="715"/>
        <item h="1" sd="0" x="677"/>
        <item h="1" x="814"/>
        <item h="1" sd="0" x="698"/>
        <item h="1" sd="0" m="1" x="1009"/>
        <item h="1" x="783"/>
        <item h="1" x="802"/>
        <item h="1" sd="0" m="1" x="862"/>
        <item h="1" sd="0" x="16"/>
        <item h="1" sd="0" m="1" x="944"/>
        <item h="1" sd="0" x="407"/>
        <item h="1" sd="0" x="603"/>
        <item h="1" sd="0" m="1" x="988"/>
        <item h="1" sd="0" m="1" x="901"/>
        <item h="1" sd="0" x="280"/>
        <item h="1" sd="0" x="104"/>
        <item h="1" sd="0" x="332"/>
        <item h="1" sd="0" m="1" x="924"/>
        <item h="1" sd="0" x="348"/>
        <item h="1" sd="0" x="23"/>
        <item sd="0" x="693"/>
        <item h="1" sd="0" m="1" x="878"/>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69"/>
        <item h="1" sd="0" m="1" x="1044"/>
        <item h="1" sd="0" x="87"/>
        <item h="1" sd="0" x="501"/>
        <item h="1" sd="0" x="690"/>
        <item h="1" sd="0" x="450"/>
        <item h="1" sd="0" x="33"/>
        <item h="1" x="821"/>
        <item h="1" sd="0" x="19"/>
        <item h="1" sd="0" x="389"/>
        <item h="1" sd="0" m="1" x="835"/>
        <item h="1" sd="0" x="403"/>
        <item h="1" sd="0" x="20"/>
        <item h="1" sd="0" m="1" x="847"/>
        <item h="1" sd="0" x="584"/>
        <item h="1" sd="0" x="96"/>
        <item h="1" sd="0" x="555"/>
        <item h="1" sd="0" x="438"/>
        <item h="1" sd="0" m="1" x="874"/>
        <item h="1" sd="0" m="1" x="1061"/>
        <item h="1" sd="0" m="1" x="1038"/>
        <item h="1" sd="0" m="1" x="912"/>
        <item h="1" sd="0" x="588"/>
        <item h="1" sd="0" x="120"/>
        <item h="1" sd="0" x="590"/>
        <item h="1" sd="0" x="131"/>
        <item h="1" sd="0" x="119"/>
        <item h="1" sd="0" m="1" x="990"/>
        <item h="1" sd="0" m="1" x="955"/>
        <item h="1" sd="0" m="1" x="981"/>
        <item h="1" sd="0" m="1" x="845"/>
        <item h="1" sd="0" m="1" x="967"/>
        <item h="1" sd="0" x="228"/>
        <item h="1" sd="0" x="39"/>
        <item h="1" sd="0" x="619"/>
        <item h="1" sd="0" x="108"/>
        <item h="1" sd="0" x="24"/>
        <item h="1" x="729"/>
        <item h="1" sd="0" x="139"/>
        <item h="1" sd="0" x="393"/>
        <item h="1" sd="0" m="1" x="1048"/>
        <item h="1" sd="0" x="613"/>
        <item h="1" sd="0" x="17"/>
        <item h="1" sd="0" x="461"/>
        <item h="1" x="742"/>
        <item h="1" x="799"/>
        <item h="1" x="768"/>
        <item h="1" sd="0" x="441"/>
        <item h="1" sd="0" x="248"/>
        <item h="1" sd="0" x="48"/>
        <item h="1" sd="0" m="1" x="963"/>
        <item h="1" sd="0" m="1" x="1023"/>
        <item h="1" sd="0" x="134"/>
        <item h="1" sd="0" x="596"/>
        <item h="1" sd="0" m="1" x="933"/>
        <item h="1" sd="0" x="69"/>
        <item h="1" x="788"/>
        <item h="1" sd="0" x="654"/>
        <item h="1" sd="0" m="1" x="996"/>
        <item h="1" sd="0" x="34"/>
        <item h="1" sd="0" x="206"/>
        <item h="1" sd="0" m="1" x="1064"/>
        <item h="1" sd="0" m="1" x="939"/>
        <item h="1" sd="0" m="1" x="958"/>
        <item h="1" sd="0" m="1" x="900"/>
        <item h="1" x="786"/>
        <item h="1" sd="0" x="268"/>
        <item h="1" sd="0" x="376"/>
        <item h="1" sd="0" x="331"/>
        <item h="1" sd="0" m="1" x="892"/>
        <item h="1" sd="0" x="360"/>
        <item h="1" sd="0" m="1" x="1039"/>
        <item h="1" sd="0" x="89"/>
        <item h="1" sd="0" x="355"/>
        <item sd="0" x="642"/>
        <item h="1" sd="0" m="1" x="938"/>
        <item h="1" sd="0" x="168"/>
        <item h="1" sd="0" m="1" x="836"/>
        <item h="1" sd="0" m="1" x="829"/>
        <item h="1" sd="0" x="473"/>
        <item h="1" sd="0" x="272"/>
        <item h="1" sd="0" x="523"/>
        <item h="1" sd="0" x="51"/>
        <item h="1" sd="0" x="190"/>
        <item h="1" sd="0" x="625"/>
        <item h="1" sd="0" x="50"/>
        <item h="1" x="822"/>
        <item h="1" sd="0" x="79"/>
        <item h="1" sd="0" x="32"/>
        <item h="1" sd="0" m="1" x="1026"/>
        <item h="1" sd="0" x="667"/>
        <item h="1" sd="0" x="188"/>
        <item h="1" x="789"/>
        <item h="1" x="764"/>
        <item h="1" sd="0" x="110"/>
        <item h="1" sd="0" m="1" x="1045"/>
        <item h="1" x="775"/>
        <item h="1" sd="0" m="1" x="1042"/>
        <item h="1" sd="0" m="1" x="948"/>
        <item h="1" sd="0" m="1" x="894"/>
        <item h="1" sd="0" m="1" x="943"/>
        <item h="1" sd="0" m="1" x="915"/>
        <item h="1" sd="0" x="226"/>
        <item h="1" sd="0" x="57"/>
        <item h="1" sd="0" m="1" x="946"/>
        <item h="1" sd="0" x="530"/>
        <item h="1" sd="0" x="554"/>
        <item h="1" x="734"/>
        <item h="1" sd="0" x="340"/>
        <item h="1" sd="0" x="604"/>
        <item h="1" sd="0" x="265"/>
        <item h="1" sd="0" x="448"/>
        <item h="1" sd="0" x="628"/>
        <item h="1" x="770"/>
        <item h="1" sd="0" m="1" x="984"/>
        <item h="1" sd="0" x="294"/>
        <item h="1" sd="0" m="1" x="973"/>
        <item h="1" sd="0" x="585"/>
        <item h="1" sd="0" x="583"/>
        <item h="1" sd="0" x="62"/>
        <item h="1" sd="0" x="295"/>
        <item h="1" sd="0" x="3"/>
        <item h="1" sd="0" x="151"/>
        <item h="1" sd="0" x="415"/>
        <item h="1" sd="0" x="503"/>
        <item h="1" sd="0" x="210"/>
        <item h="1" sd="0" x="54"/>
        <item h="1" sd="0" m="1" x="1004"/>
        <item h="1" sd="0" m="1" x="987"/>
        <item h="1" sd="0" x="387"/>
        <item h="1" sd="0" m="1" x="848"/>
        <item h="1" sd="0" x="323"/>
        <item h="1" sd="0" x="713"/>
        <item h="1" sd="0" x="678"/>
        <item h="1" sd="0" m="1" x="881"/>
        <item h="1" sd="0" x="75"/>
        <item h="1" sd="0" x="476"/>
        <item h="1" sd="0" x="527"/>
        <item h="1" sd="0" m="1" x="910"/>
        <item h="1" sd="0" x="186"/>
        <item h="1" sd="0" x="486"/>
        <item h="1" sd="0" x="674"/>
        <item h="1" sd="0" x="429"/>
        <item h="1" sd="0" x="361"/>
        <item h="1" sd="0" x="368"/>
        <item h="1" x="820"/>
        <item sd="0" x="721"/>
        <item sd="0" x="766"/>
        <item h="1" sd="0" x="327"/>
        <item h="1" sd="0" x="195"/>
        <item h="1" sd="0" x="687"/>
        <item h="1" x="774"/>
        <item h="1" sd="0" x="566"/>
        <item h="1" sd="0" m="1" x="977"/>
        <item h="1" sd="0" m="1" x="1017"/>
        <item h="1" sd="0" x="123"/>
        <item h="1" sd="0" x="497"/>
        <item sd="0" x="719"/>
        <item h="1" sd="0" m="1" x="907"/>
        <item h="1" sd="0" x="194"/>
        <item h="1" sd="0" x="557"/>
        <item h="1" sd="0" x="663"/>
        <item h="1" sd="0" x="121"/>
        <item h="1" x="772"/>
        <item h="1" sd="0" x="53"/>
        <item h="1" sd="0" x="472"/>
        <item h="1" sd="0" x="549"/>
        <item h="1" sd="0" x="565"/>
        <item h="1" sd="0" m="1" x="1034"/>
        <item h="1" m="1" x="959"/>
        <item h="1" sd="0" x="278"/>
        <item h="1" x="750"/>
        <item h="1" sd="0" x="212"/>
        <item h="1" sd="0" m="1" x="916"/>
        <item h="1" sd="0" m="1" x="1019"/>
        <item h="1" sd="0" m="1" x="1010"/>
        <item h="1" sd="0" x="631"/>
        <item h="1" sd="0" m="1" x="1077"/>
        <item h="1" sd="0" m="1" x="863"/>
        <item h="1" sd="0" x="675"/>
        <item h="1" sd="0" m="1" x="1071"/>
        <item h="1" sd="0" x="691"/>
        <item h="1" sd="0" x="117"/>
        <item h="1" sd="0" x="111"/>
        <item h="1" x="796"/>
        <item h="1" sd="0" x="671"/>
        <item h="1" sd="0" x="502"/>
        <item h="1" sd="0" x="417"/>
        <item h="1" sd="0" x="81"/>
        <item h="1" sd="0" x="7"/>
        <item h="1" sd="0" x="235"/>
        <item h="1" sd="0" x="434"/>
        <item h="1" sd="0" x="287"/>
        <item h="1" sd="0" m="1" x="1008"/>
        <item h="1" sd="0" m="1" x="1055"/>
        <item h="1" sd="0" x="491"/>
        <item h="1" sd="0" x="722"/>
        <item h="1" sd="0" x="2"/>
        <item h="1" sd="0" x="637"/>
        <item h="1" sd="0" m="1" x="1070"/>
        <item h="1" sd="0" m="1" x="929"/>
        <item h="1" sd="0" x="692"/>
        <item h="1" sd="0" x="536"/>
        <item h="1" x="818"/>
        <item h="1" sd="0" x="163"/>
        <item h="1" sd="0" x="431"/>
        <item h="1" sd="0" m="1" x="1002"/>
        <item h="1" sd="0" x="650"/>
        <item h="1" sd="0" x="680"/>
        <item h="1" sd="0" x="478"/>
        <item h="1" sd="0" x="602"/>
        <item h="1" sd="0" m="1" x="889"/>
        <item h="1" sd="0" x="445"/>
        <item h="1" sd="0" m="1" x="875"/>
        <item h="1" sd="0" m="1" x="1078"/>
        <item h="1" sd="0" m="1" x="842"/>
        <item h="1" sd="0" m="1" x="839"/>
        <item h="1" sd="0" x="130"/>
        <item h="1" sd="0" x="88"/>
        <item h="1" sd="0" m="1" x="1073"/>
        <item h="1" sd="0" x="204"/>
        <item h="1" sd="0" x="72"/>
        <item h="1" sd="0" x="73"/>
        <item h="1" sd="0" x="28"/>
        <item h="1" sd="0" x="47"/>
        <item h="1" sd="0" x="181"/>
        <item h="1" sd="0" x="26"/>
        <item h="1" sd="0" x="86"/>
        <item h="1" sd="0" x="230"/>
        <item h="1" sd="0" m="1" x="945"/>
        <item h="1" sd="0" m="1" x="928"/>
        <item h="1" x="737"/>
        <item h="1" sd="0" m="1" x="964"/>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14"/>
        <item h="1" sd="0" x="178"/>
        <item h="1" sd="0" x="266"/>
        <item h="1" sd="0" x="364"/>
        <item h="1" x="777"/>
        <item h="1" sd="0" x="525"/>
        <item h="1" sd="0" x="98"/>
        <item h="1" sd="0" x="589"/>
        <item h="1" sd="0" x="165"/>
        <item h="1" sd="0" x="580"/>
        <item h="1" sd="0" x="66"/>
        <item sd="0" x="688"/>
        <item h="1" sd="0" x="5"/>
        <item h="1" sd="0" x="388"/>
        <item h="1" sd="0" x="545"/>
        <item h="1" sd="0" x="576"/>
        <item h="1" x="794"/>
        <item sd="0" x="635"/>
        <item h="1" sd="0" m="1" x="888"/>
        <item h="1" sd="0" x="359"/>
        <item h="1" sd="0" m="1" x="1068"/>
        <item h="1" sd="0" x="425"/>
        <item h="1" sd="0" x="269"/>
        <item h="1" sd="0" x="215"/>
        <item h="1" sd="0" x="349"/>
        <item h="1" sd="0" x="283"/>
        <item h="1" sd="0" x="185"/>
        <item h="1" sd="0" x="460"/>
        <item h="1" sd="0" x="220"/>
        <item h="1" x="807"/>
        <item h="1" sd="0" x="703"/>
        <item h="1" sd="0" x="598"/>
        <item h="1" sd="0" x="644"/>
        <item h="1" x="753"/>
        <item h="1" sd="0" x="624"/>
        <item h="1" sd="0" x="547"/>
        <item h="1" sd="0" m="1" x="1056"/>
        <item h="1" sd="0" m="1" x="834"/>
        <item h="1" sd="0" x="4"/>
        <item h="1" sd="0" x="377"/>
        <item h="1" x="808"/>
        <item h="1" sd="0" x="262"/>
        <item h="1" sd="0" x="454"/>
        <item h="1" sd="0" x="326"/>
        <item h="1" sd="0" x="173"/>
        <item h="1" sd="0" x="200"/>
        <item h="1" x="809"/>
        <item h="1" x="785"/>
        <item h="1" sd="0" m="1" x="873"/>
        <item h="1" sd="0" x="725"/>
        <item h="1" x="798"/>
        <item h="1" sd="0" x="495"/>
        <item h="1" sd="0" x="345"/>
        <item h="1" sd="0" x="717"/>
        <item h="1" sd="0" x="568"/>
        <item h="1" sd="0" x="640"/>
        <item h="1" sd="0" x="482"/>
        <item h="1" sd="0" x="726"/>
        <item h="1" sd="0" x="30"/>
        <item h="1" sd="0" m="1" x="1005"/>
        <item h="1" sd="0" x="242"/>
        <item h="1" sd="0" x="591"/>
        <item h="1" sd="0" x="645"/>
        <item h="1" sd="0" m="1" x="935"/>
        <item h="1" sd="0" m="1" x="843"/>
        <item h="1" sd="0" x="694"/>
        <item h="1" sd="0" x="470"/>
        <item h="1" sd="0" x="243"/>
        <item h="1" sd="0" m="1" x="1050"/>
        <item h="1" sd="0" x="622"/>
        <item h="1" sd="0" x="398"/>
        <item h="1" sd="0" m="1" x="882"/>
        <item h="1" sd="0" m="1" x="1053"/>
        <item h="1" sd="0" m="1" x="953"/>
        <item h="1" sd="0" x="551"/>
        <item h="1" sd="0" x="303"/>
        <item h="1" sd="0" x="532"/>
        <item h="1" sd="0" x="37"/>
        <item h="1" sd="0" x="357"/>
        <item h="1" sd="0" x="487"/>
        <item h="1" sd="0" x="658"/>
        <item h="1" sd="0" x="686"/>
        <item h="1" sd="0" x="512"/>
        <item h="1" x="780"/>
        <item h="1" sd="0" m="1" x="947"/>
        <item h="1" sd="0" m="1" x="998"/>
        <item h="1" sd="0" x="115"/>
        <item h="1" sd="0" m="1" x="1047"/>
        <item h="1" sd="0" m="1" x="854"/>
        <item h="1" sd="0" x="324"/>
        <item sd="0" x="518"/>
        <item h="1" sd="0" m="1" x="917"/>
        <item h="1" sd="0" x="128"/>
        <item h="1" sd="0" x="520"/>
        <item h="1" sd="0" m="1" x="1054"/>
        <item h="1" sd="0" m="1" x="1030"/>
        <item h="1" sd="0" x="255"/>
        <item h="1" sd="0" x="199"/>
        <item h="1" sd="0" x="329"/>
        <item h="1" sd="0" x="297"/>
        <item h="1" sd="0" x="310"/>
        <item h="1" x="741"/>
        <item h="1" sd="0" x="83"/>
        <item h="1" sd="0" m="1" x="954"/>
        <item h="1" sd="0" x="600"/>
        <item h="1" sd="0" m="1" x="837"/>
        <item h="1" sd="0" x="80"/>
        <item h="1" sd="0" m="1" x="906"/>
        <item h="1" sd="0" m="1" x="1043"/>
        <item h="1" sd="0" x="97"/>
        <item h="1" sd="0" x="564"/>
        <item h="1" sd="0" x="289"/>
        <item h="1" sd="0" m="1" x="993"/>
        <item h="1" sd="0" x="116"/>
        <item h="1" sd="0" x="209"/>
        <item h="1" sd="0" x="452"/>
        <item h="1" sd="0" x="684"/>
        <item h="1" sd="0" x="198"/>
        <item h="1" sd="0" x="401"/>
        <item h="1" sd="0" x="656"/>
        <item h="1" sd="0" x="150"/>
        <item h="1" sd="0" x="136"/>
        <item h="1" sd="0" m="1" x="934"/>
        <item h="1" sd="0" x="676"/>
        <item h="1" sd="0" m="1" x="867"/>
        <item h="1" sd="0" x="109"/>
        <item h="1" sd="0" x="397"/>
        <item sd="0" x="664"/>
        <item h="1" sd="0" x="498"/>
        <item h="1" sd="0" x="706"/>
        <item h="1" sd="0" x="649"/>
        <item h="1" sd="0" x="514"/>
        <item h="1" sd="0" x="558"/>
        <item h="1" sd="0" x="524"/>
        <item h="1" sd="0" m="1" x="913"/>
        <item h="1" sd="0" x="660"/>
        <item h="1" sd="0" m="1" x="1014"/>
        <item h="1" x="334"/>
        <item sd="0" x="757"/>
        <item h="1" sd="0" x="728"/>
        <item h="1" sd="0" x="284"/>
        <item h="1" sd="0" x="296"/>
        <item h="1" sd="0" x="211"/>
        <item h="1" sd="0" x="582"/>
        <item h="1" sd="0" x="45"/>
        <item h="1" sd="0" m="1" x="994"/>
        <item h="1" sd="0" m="1" x="985"/>
        <item h="1" sd="0" x="507"/>
        <item h="1" sd="0" x="155"/>
        <item h="1" sd="0" m="1" x="1015"/>
        <item h="1" sd="0" x="61"/>
        <item h="1" sd="0" x="129"/>
        <item h="1" sd="0" x="105"/>
        <item h="1" sd="0" x="614"/>
        <item sd="0" x="716"/>
        <item h="1" sd="0" m="1" x="860"/>
        <item h="1" sd="0" x="157"/>
        <item h="1" sd="0" x="14"/>
        <item h="1" sd="0" x="43"/>
        <item h="1" sd="0" x="250"/>
        <item h="1" sd="0" x="238"/>
        <item h="1" sd="0" x="103"/>
        <item h="1" sd="0" x="385"/>
        <item h="1" sd="0" x="70"/>
        <item h="1" sd="0" x="299"/>
        <item h="1" sd="0" x="127"/>
        <item h="1" sd="0" m="1" x="830"/>
        <item h="1" sd="0" x="193"/>
        <item h="1" sd="0" x="147"/>
        <item h="1" sd="0" m="1" x="949"/>
        <item h="1" sd="0" x="548"/>
        <item h="1" sd="0" m="1" x="970"/>
        <item h="1" sd="0" x="610"/>
        <item h="1" sd="0" x="405"/>
        <item sd="0" x="748"/>
        <item h="1" sd="0" m="1" x="904"/>
        <item h="1" m="1" x="886"/>
        <item h="1" x="594"/>
        <item h="1" sd="0" x="99"/>
        <item h="1" sd="0" x="344"/>
        <item h="1" sd="0" x="541"/>
        <item h="1" sd="0" x="689"/>
        <item h="1" x="781"/>
        <item h="1" sd="0" x="612"/>
        <item h="1" sd="0" x="221"/>
        <item h="1" sd="0" x="607"/>
        <item h="1" sd="0" m="1" x="1067"/>
        <item h="1" sd="0" m="1" x="1072"/>
        <item h="1" sd="0" x="271"/>
        <item h="1" sd="0" m="1" x="980"/>
        <item h="1" sd="0" x="166"/>
        <item h="1" sd="0" x="286"/>
        <item sd="0" x="611"/>
        <item h="1" sd="0" x="531"/>
        <item h="1" sd="0" x="621"/>
        <item h="1" sd="0" x="304"/>
        <item h="1" sd="0" m="1" x="942"/>
        <item h="1" sd="0" x="458"/>
        <item h="1" sd="0" x="439"/>
        <item h="1" sd="0" x="543"/>
        <item h="1" sd="0" x="609"/>
        <item h="1" sd="0" x="138"/>
        <item h="1" sd="0" x="41"/>
        <item h="1" sd="0" x="229"/>
        <item h="1" sd="0" x="420"/>
        <item h="1" sd="0" m="1" x="1001"/>
        <item h="1" sd="0" x="617"/>
        <item h="1" sd="0" x="71"/>
        <item h="1" sd="0" x="64"/>
        <item h="1" sd="0" x="492"/>
        <item h="1" sd="0" m="1" x="926"/>
        <item h="1" sd="0" m="1" x="920"/>
        <item h="1" x="732"/>
        <item h="1" sd="0" x="432"/>
        <item h="1" x="745"/>
        <item h="1" sd="0" x="540"/>
        <item h="1" sd="0" x="455"/>
        <item h="1" sd="0" x="44"/>
        <item h="1" sd="0" x="114"/>
        <item h="1" sd="0" x="52"/>
        <item h="1" sd="0" x="142"/>
        <item h="1" sd="0" x="579"/>
        <item h="1" sd="0" x="82"/>
        <item h="1" sd="0" x="245"/>
        <item h="1" sd="0" x="457"/>
        <item h="1" sd="0" x="314"/>
        <item h="1" sd="0" m="1" x="1040"/>
        <item h="1" sd="0" x="373"/>
        <item h="1" sd="0" m="1" x="1011"/>
        <item h="1" x="767"/>
        <item h="1" sd="0" x="720"/>
        <item h="1" sd="0" x="418"/>
        <item h="1" sd="0" x="308"/>
        <item h="1" sd="0" m="1" x="971"/>
        <item h="1" sd="0" m="1" x="1037"/>
        <item h="1" sd="0" x="122"/>
        <item h="1" sd="0" x="118"/>
        <item h="1" sd="0" x="661"/>
        <item h="1" sd="0" m="1" x="991"/>
        <item h="1" x="790"/>
        <item h="1" sd="0" x="169"/>
        <item h="1" sd="0" x="197"/>
        <item h="1" sd="0" x="723"/>
        <item h="1" x="752"/>
        <item h="1" sd="0" x="125"/>
        <item h="1" sd="0" x="483"/>
        <item h="1" sd="0" x="203"/>
        <item h="1" sd="0" x="267"/>
        <item h="1" sd="0" x="626"/>
        <item h="1" x="810"/>
        <item h="1" sd="0" x="301"/>
        <item h="1" sd="0" x="85"/>
        <item h="1" sd="0" x="25"/>
        <item h="1" sd="0" x="244"/>
        <item h="1" sd="0" x="112"/>
        <item h="1" sd="0" x="505"/>
        <item h="1" sd="0" x="192"/>
        <item h="1" sd="0" x="595"/>
        <item h="1" sd="0" x="708"/>
        <item h="1" x="754"/>
        <item h="1" sd="0" x="302"/>
        <item h="1" sd="0" x="260"/>
        <item h="1" sd="0" x="261"/>
        <item h="1" sd="0" m="1" x="976"/>
        <item h="1" sd="0" x="652"/>
        <item h="1" sd="0" x="647"/>
        <item h="1" sd="0" x="608"/>
        <item h="1" sd="0" x="328"/>
        <item h="1" sd="0" x="350"/>
        <item h="1" sd="0" x="254"/>
        <item h="1" sd="0" x="320"/>
        <item h="1" sd="0" x="620"/>
        <item h="1" x="823"/>
        <item h="1" sd="0" x="241"/>
        <item h="1" sd="0" x="158"/>
        <item h="1" sd="0" m="1" x="968"/>
        <item h="1" sd="0" x="475"/>
        <item h="1" x="784"/>
        <item h="1" sd="0" x="416"/>
        <item h="1" sd="0" m="1" x="932"/>
        <item h="1" sd="0" m="1" x="1024"/>
        <item h="1" sd="0" m="1" x="838"/>
        <item h="1" sd="0" x="529"/>
        <item h="1" sd="0" m="1" x="826"/>
        <item h="1" sd="0" x="657"/>
        <item h="1" x="740"/>
        <item h="1" sd="0" m="1" x="890"/>
        <item h="1" sd="0" x="143"/>
        <item h="1" sd="0" m="1" x="825"/>
        <item h="1" sd="0" m="1" x="1028"/>
        <item h="1" sd="0" x="276"/>
        <item h="1" sd="0" x="298"/>
        <item h="1" sd="0" x="424"/>
        <item h="1" sd="0" x="696"/>
        <item h="1" sd="0" x="346"/>
        <item h="1" sd="0" x="485"/>
        <item h="1" sd="0" x="306"/>
        <item h="1" sd="0" x="561"/>
        <item h="1" sd="0" m="1" x="1052"/>
        <item h="1" sd="0" x="321"/>
        <item h="1" sd="0" x="313"/>
        <item h="1" sd="0" x="49"/>
        <item h="1" sd="0" x="384"/>
        <item h="1" sd="0" x="315"/>
        <item h="1" sd="0" x="466"/>
        <item h="1" sd="0" x="59"/>
        <item h="1" sd="0" x="183"/>
        <item h="1" sd="0" x="707"/>
        <item h="1" sd="0" x="330"/>
        <item h="1" sd="0" x="573"/>
        <item h="1" sd="0" x="274"/>
        <item h="1" sd="0" x="730"/>
        <item h="1" sd="0" x="638"/>
        <item h="1" sd="0" x="731"/>
        <item h="1" sd="0" x="504"/>
        <item h="1" sd="0" x="311"/>
        <item h="1" sd="0" x="249"/>
        <item h="1" sd="0" m="1" x="868"/>
        <item h="1" sd="0" m="1" x="972"/>
        <item h="1" sd="0" x="578"/>
        <item h="1" sd="0" m="1" x="1074"/>
        <item h="1" sd="0" x="552"/>
        <item h="1" sd="0" m="1" x="927"/>
        <item h="1" sd="0" m="1" x="909"/>
        <item h="1" sd="0" m="1" x="908"/>
        <item h="1" sd="0" x="382"/>
        <item h="1" sd="0" x="90"/>
        <item h="1" sd="0" x="390"/>
        <item h="1" sd="0" x="202"/>
        <item h="1" sd="0" x="67"/>
        <item h="1" sd="0" m="1" x="1003"/>
        <item h="1" sd="0" x="701"/>
        <item h="1" sd="0" x="65"/>
        <item h="1" sd="0" x="247"/>
        <item h="1" sd="0" m="1" x="879"/>
        <item h="1" sd="0" x="712"/>
        <item h="1" sd="0" x="216"/>
        <item h="1" sd="0" m="1" x="891"/>
        <item h="1" sd="0" x="141"/>
        <item h="1" sd="0" x="177"/>
        <item h="1" sd="0" x="305"/>
        <item h="1" sd="0" m="1" x="887"/>
        <item h="1" sd="0" x="426"/>
        <item h="1" sd="0" x="404"/>
        <item sd="0" x="655"/>
        <item h="1" x="738"/>
        <item h="1" sd="0" x="400"/>
        <item h="1" sd="0" x="347"/>
        <item h="1" sd="0" m="1" x="1066"/>
        <item h="1" sd="0" m="1" x="952"/>
        <item h="1" sd="0" x="293"/>
        <item h="1" sd="0" x="148"/>
        <item h="1" sd="0" x="354"/>
        <item h="1" x="791"/>
        <item h="1" sd="0" m="1" x="1006"/>
        <item h="1" sd="0" x="27"/>
        <item h="1" sd="0" m="1" x="1016"/>
        <item h="1" sd="0" x="705"/>
        <item h="1" sd="0" x="68"/>
        <item h="1" sd="0" x="6"/>
        <item h="1" sd="0" x="263"/>
        <item h="1" sd="0" x="154"/>
        <item h="1" x="763"/>
        <item h="1" x="816"/>
        <item h="1" sd="0" x="493"/>
        <item h="1" sd="0" x="494"/>
        <item sd="0" x="744"/>
        <item h="1" sd="0" x="164"/>
        <item h="1" sd="0" x="172"/>
        <item h="1" x="792"/>
        <item h="1" sd="0" x="601"/>
        <item h="1" sd="0" x="205"/>
        <item h="1" sd="0" x="351"/>
        <item h="1" sd="0" x="480"/>
        <item h="1" sd="0" m="1" x="893"/>
        <item h="1" sd="0" x="586"/>
        <item h="1" sd="0" x="412"/>
        <item h="1" sd="0" x="516"/>
        <item h="1" sd="0" x="29"/>
        <item h="1" sd="0" m="1" x="1060"/>
        <item h="1" sd="0" x="9"/>
        <item h="1" x="761"/>
        <item h="1" sd="0" x="335"/>
        <item h="1" sd="0" m="1" x="956"/>
        <item h="1" sd="0" m="1" x="982"/>
        <item h="1" sd="0" m="1" x="922"/>
        <item h="1" sd="0" x="234"/>
        <item h="1" sd="0" x="162"/>
        <item h="1" sd="0" x="410"/>
        <item h="1" sd="0" m="1" x="895"/>
        <item h="1" sd="0" x="629"/>
        <item h="1" sd="0" m="1" x="1027"/>
        <item h="1" sd="0" m="1" x="1057"/>
        <item h="1" sd="0" x="477"/>
        <item h="1" sd="0" x="544"/>
        <item h="1" sd="0" x="546"/>
        <item h="1" sd="0" m="1" x="880"/>
        <item h="1" sd="0" x="615"/>
        <item h="1" sd="0" x="682"/>
        <item h="1" sd="0" m="1" x="1041"/>
        <item h="1" sd="0" x="300"/>
        <item h="1" sd="0" x="167"/>
        <item h="1" sd="0" x="76"/>
        <item h="1" sd="0" x="444"/>
        <item h="1" sd="0" m="1" x="1020"/>
        <item h="1" sd="0" x="342"/>
        <item sd="0" x="735"/>
        <item h="1" m="1" x="827"/>
        <item h="1" sd="0" x="341"/>
        <item h="1" x="769"/>
        <item h="1" sd="0" m="1" x="856"/>
        <item h="1" sd="0" m="1" x="918"/>
        <item h="1" sd="0" x="618"/>
        <item h="1" sd="0" m="1" x="995"/>
        <item h="1" sd="0" m="1" x="974"/>
        <item h="1" sd="0" x="380"/>
        <item h="1" m="1" x="824"/>
        <item h="1" sd="0" x="433"/>
        <item h="1" sd="0" m="1" x="1013"/>
        <item h="1" sd="0" x="113"/>
        <item h="1" x="771"/>
        <item h="1" sd="0" x="559"/>
        <item h="1" sd="0" x="251"/>
        <item h="1" sd="0" x="176"/>
        <item h="1" sd="0" x="446"/>
        <item h="1" sd="0" x="372"/>
        <item h="1" sd="0" x="246"/>
        <item h="1" x="733"/>
        <item h="1" sd="0" m="1" x="844"/>
        <item h="1" sd="0" x="257"/>
        <item h="1" sd="0" x="95"/>
        <item h="1" x="813"/>
        <item h="1" x="773"/>
        <item sd="0" x="338"/>
        <item h="1" sd="0" x="36"/>
        <item h="1" sd="0" m="1" x="897"/>
        <item h="1" sd="0" x="381"/>
        <item h="1" sd="0" x="21"/>
        <item t="default" sd="0"/>
      </items>
    </pivotField>
    <pivotField axis="axisPage" showAll="0">
      <items count="9901">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52"/>
        <item x="9330"/>
        <item x="9331"/>
        <item x="9356"/>
        <item x="9374"/>
        <item x="9375"/>
        <item x="9376"/>
        <item x="9377"/>
        <item x="9378"/>
        <item x="9379"/>
        <item x="9380"/>
        <item x="9381"/>
        <item x="9382"/>
        <item x="9383"/>
        <item x="9384"/>
        <item x="9385"/>
        <item x="9386"/>
        <item x="9540"/>
        <item x="9541"/>
        <item x="9542"/>
        <item x="9543"/>
        <item x="9544"/>
        <item x="9545"/>
        <item x="9546"/>
        <item x="9371"/>
        <item x="9373"/>
        <item x="9553"/>
        <item x="9554"/>
        <item x="9555"/>
        <item x="9556"/>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47"/>
        <item x="9557"/>
        <item x="9558"/>
        <item x="9411"/>
        <item x="9412"/>
        <item x="9419"/>
        <item x="9420"/>
        <item x="9421"/>
        <item x="9548"/>
        <item x="9549"/>
        <item x="9561"/>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62"/>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50"/>
        <item x="9559"/>
        <item x="9563"/>
        <item x="9564"/>
        <item x="9565"/>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67"/>
        <item x="9450"/>
        <item x="9506"/>
        <item x="9507"/>
        <item x="9508"/>
        <item x="9509"/>
        <item x="9510"/>
        <item x="9511"/>
        <item x="9512"/>
        <item x="9513"/>
        <item x="9362"/>
        <item x="9560"/>
        <item x="9363"/>
        <item x="9514"/>
        <item x="9364"/>
        <item x="9365"/>
        <item x="9366"/>
        <item x="9515"/>
        <item x="9516"/>
        <item x="9517"/>
        <item x="9518"/>
        <item x="9519"/>
        <item x="9520"/>
        <item x="9521"/>
        <item x="9522"/>
        <item x="9523"/>
        <item x="9524"/>
        <item x="9525"/>
        <item x="9526"/>
        <item x="9527"/>
        <item x="9528"/>
        <item x="9529"/>
        <item x="9530"/>
        <item x="9533"/>
        <item x="9534"/>
        <item x="9535"/>
        <item x="9536"/>
        <item x="9537"/>
        <item x="9538"/>
        <item x="9539"/>
        <item x="9551"/>
        <item x="9568"/>
        <item x="9569"/>
        <item x="9570"/>
        <item x="9571"/>
        <item x="9572"/>
        <item x="9573"/>
        <item x="9574"/>
        <item x="9575"/>
        <item x="9576"/>
        <item x="9577"/>
        <item x="9578"/>
        <item x="9579"/>
        <item x="9580"/>
        <item x="9581"/>
        <item x="9582"/>
        <item x="9583"/>
        <item x="9584"/>
        <item x="9585"/>
        <item x="9586"/>
        <item x="9587"/>
        <item x="9715"/>
        <item x="9716"/>
        <item x="9717"/>
        <item x="9727"/>
        <item x="9728"/>
        <item x="9729"/>
        <item x="9730"/>
        <item x="9732"/>
        <item x="9588"/>
        <item x="9589"/>
        <item x="9590"/>
        <item x="9591"/>
        <item x="9592"/>
        <item x="9593"/>
        <item x="9594"/>
        <item x="9595"/>
        <item x="9596"/>
        <item x="9597"/>
        <item x="9598"/>
        <item x="9599"/>
        <item x="9600"/>
        <item x="9601"/>
        <item x="9602"/>
        <item x="9603"/>
        <item x="9604"/>
        <item x="9605"/>
        <item x="9607"/>
        <item x="9606"/>
        <item x="9566"/>
        <item x="9608"/>
        <item x="9609"/>
        <item x="9610"/>
        <item x="9611"/>
        <item x="9613"/>
        <item x="9614"/>
        <item x="9615"/>
        <item x="9616"/>
        <item x="9617"/>
        <item x="9618"/>
        <item x="9619"/>
        <item x="9620"/>
        <item x="9621"/>
        <item x="9622"/>
        <item x="9623"/>
        <item x="9624"/>
        <item x="9625"/>
        <item x="9626"/>
        <item x="9627"/>
        <item x="9531"/>
        <item x="9628"/>
        <item x="9629"/>
        <item x="9630"/>
        <item x="9631"/>
        <item x="9734"/>
        <item x="9735"/>
        <item x="9736"/>
        <item x="9737"/>
        <item x="9632"/>
        <item x="9633"/>
        <item x="9634"/>
        <item x="9635"/>
        <item x="9636"/>
        <item x="9637"/>
        <item x="9638"/>
        <item x="9639"/>
        <item x="9532"/>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718"/>
        <item x="9719"/>
        <item x="9720"/>
        <item x="9721"/>
        <item x="9722"/>
        <item x="9723"/>
        <item x="9724"/>
        <item x="9674"/>
        <item x="9675"/>
        <item x="9676"/>
        <item x="9677"/>
        <item x="9678"/>
        <item x="9679"/>
        <item x="9680"/>
        <item x="9681"/>
        <item x="9682"/>
        <item x="9691"/>
        <item x="9692"/>
        <item x="9693"/>
        <item x="9694"/>
        <item x="9725"/>
        <item x="9739"/>
        <item x="9695"/>
        <item x="9696"/>
        <item x="9697"/>
        <item x="9698"/>
        <item x="9699"/>
        <item x="9700"/>
        <item x="9701"/>
        <item x="9702"/>
        <item x="9703"/>
        <item x="9726"/>
        <item x="9683"/>
        <item x="9684"/>
        <item x="9685"/>
        <item x="9686"/>
        <item x="9704"/>
        <item x="9705"/>
        <item x="9706"/>
        <item x="9707"/>
        <item x="9708"/>
        <item x="9709"/>
        <item x="9710"/>
        <item x="9711"/>
        <item x="9712"/>
        <item x="9713"/>
        <item x="9714"/>
        <item x="9733"/>
        <item x="9740"/>
        <item x="9741"/>
        <item x="9742"/>
        <item x="9743"/>
        <item x="9744"/>
        <item x="9745"/>
        <item x="9746"/>
        <item x="9747"/>
        <item x="9748"/>
        <item x="9751"/>
        <item x="9753"/>
        <item x="9754"/>
        <item x="9837"/>
        <item x="9838"/>
        <item x="9839"/>
        <item x="9731"/>
        <item x="9840"/>
        <item x="9844"/>
        <item x="9845"/>
        <item x="9687"/>
        <item x="9688"/>
        <item x="9752"/>
        <item x="9755"/>
        <item x="9756"/>
        <item x="9757"/>
        <item x="9758"/>
        <item x="9759"/>
        <item x="9847"/>
        <item x="9760"/>
        <item x="9761"/>
        <item x="9762"/>
        <item x="9763"/>
        <item x="9765"/>
        <item x="9766"/>
        <item x="9767"/>
        <item x="9848"/>
        <item x="9849"/>
        <item x="9850"/>
        <item x="9841"/>
        <item x="9749"/>
        <item x="9750"/>
        <item x="9768"/>
        <item x="9769"/>
        <item x="9770"/>
        <item x="9771"/>
        <item x="9772"/>
        <item x="9773"/>
        <item x="9774"/>
        <item x="9775"/>
        <item x="9776"/>
        <item x="9777"/>
        <item x="9778"/>
        <item x="9779"/>
        <item x="9780"/>
        <item x="9781"/>
        <item x="9842"/>
        <item x="9783"/>
        <item x="9689"/>
        <item x="9690"/>
        <item x="9784"/>
        <item x="9785"/>
        <item x="9786"/>
        <item x="9787"/>
        <item x="9788"/>
        <item x="9789"/>
        <item x="9790"/>
        <item x="9792"/>
        <item x="9793"/>
        <item x="9794"/>
        <item x="9795"/>
        <item x="9796"/>
        <item x="9851"/>
        <item x="9764"/>
        <item x="9797"/>
        <item x="9798"/>
        <item x="9799"/>
        <item x="9801"/>
        <item x="9802"/>
        <item x="9803"/>
        <item x="9804"/>
        <item x="9805"/>
        <item x="9806"/>
        <item x="9807"/>
        <item x="9808"/>
        <item x="9800"/>
        <item x="9809"/>
        <item x="9810"/>
        <item x="9811"/>
        <item x="9812"/>
        <item x="9813"/>
        <item x="9814"/>
        <item x="9843"/>
        <item x="9612"/>
        <item x="9815"/>
        <item x="9816"/>
        <item x="9817"/>
        <item x="9818"/>
        <item x="9819"/>
        <item x="9821"/>
        <item x="9822"/>
        <item x="9823"/>
        <item x="9824"/>
        <item x="9825"/>
        <item x="9826"/>
        <item x="9828"/>
        <item x="9829"/>
        <item x="9830"/>
        <item x="9846"/>
        <item x="9853"/>
        <item x="9738"/>
        <item x="9820"/>
        <item x="9831"/>
        <item x="9832"/>
        <item x="9833"/>
        <item x="9834"/>
        <item x="9835"/>
        <item x="9836"/>
        <item x="9852"/>
        <item x="9891"/>
        <item x="9827"/>
        <item x="9854"/>
        <item x="9855"/>
        <item x="9856"/>
        <item x="9865"/>
        <item x="9866"/>
        <item x="9868"/>
        <item x="9869"/>
        <item x="9870"/>
        <item x="9871"/>
        <item x="9872"/>
        <item x="9892"/>
        <item x="9893"/>
        <item x="9782"/>
        <item x="9857"/>
        <item x="9858"/>
        <item x="9859"/>
        <item x="9860"/>
        <item x="9861"/>
        <item x="9862"/>
        <item x="9863"/>
        <item x="9864"/>
        <item x="9867"/>
        <item x="9873"/>
        <item x="9874"/>
        <item x="9875"/>
        <item x="9876"/>
        <item x="9877"/>
        <item x="9878"/>
        <item x="9879"/>
        <item x="9880"/>
        <item x="9881"/>
        <item x="9890"/>
        <item x="9894"/>
        <item x="9882"/>
        <item x="9883"/>
        <item x="9884"/>
        <item x="9895"/>
        <item x="9885"/>
        <item x="9886"/>
        <item x="9887"/>
        <item x="9896"/>
        <item x="9791"/>
        <item x="9888"/>
        <item x="9889"/>
        <item x="9897"/>
        <item x="9898"/>
        <item x="9899"/>
        <item t="default"/>
      </items>
    </pivotField>
    <pivotField dataField="1" showAll="0"/>
    <pivotField dataField="1" showAll="0"/>
    <pivotField dataField="1" showAll="0"/>
    <pivotField axis="axisPage" showAll="0">
      <items count="150">
        <item m="1" x="131"/>
        <item m="1" x="118"/>
        <item m="1" x="117"/>
        <item m="1" x="135"/>
        <item m="1" x="147"/>
        <item m="1" x="115"/>
        <item m="1" x="148"/>
        <item m="1" x="120"/>
        <item m="1" x="128"/>
        <item m="1" x="125"/>
        <item m="1" x="130"/>
        <item m="1" x="132"/>
        <item x="8"/>
        <item x="20"/>
        <item x="32"/>
        <item x="1"/>
        <item x="12"/>
        <item x="24"/>
        <item x="37"/>
        <item x="4"/>
        <item x="16"/>
        <item x="28"/>
        <item x="41"/>
        <item x="6"/>
        <item x="18"/>
        <item x="30"/>
        <item x="5"/>
        <item x="17"/>
        <item x="29"/>
        <item m="1" x="143"/>
        <item x="11"/>
        <item x="23"/>
        <item x="35"/>
        <item x="0"/>
        <item x="10"/>
        <item x="22"/>
        <item x="34"/>
        <item x="7"/>
        <item x="19"/>
        <item x="31"/>
        <item x="9"/>
        <item x="21"/>
        <item x="33"/>
        <item x="3"/>
        <item x="15"/>
        <item x="27"/>
        <item x="40"/>
        <item m="1" x="123"/>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6"/>
        <item m="1" x="129"/>
        <item m="1" x="133"/>
        <item m="1" x="136"/>
        <item m="1" x="138"/>
        <item m="1" x="137"/>
        <item m="1" x="139"/>
        <item m="1" x="141"/>
        <item m="1" x="144"/>
        <item m="1" x="145"/>
        <item m="1" x="116"/>
        <item m="1" x="119"/>
        <item m="1" x="122"/>
        <item m="1" x="124"/>
        <item x="83"/>
        <item x="84"/>
        <item x="85"/>
        <item x="86"/>
        <item x="87"/>
        <item x="88"/>
        <item x="89"/>
        <item x="90"/>
        <item x="92"/>
        <item x="93"/>
        <item x="91"/>
        <item x="95"/>
        <item x="96"/>
        <item x="97"/>
        <item x="106"/>
        <item x="98"/>
        <item x="99"/>
        <item x="100"/>
        <item x="101"/>
        <item x="102"/>
        <item x="103"/>
        <item x="104"/>
        <item x="105"/>
        <item x="107"/>
        <item x="108"/>
        <item m="1" x="140"/>
        <item m="1" x="127"/>
        <item m="1" x="146"/>
        <item m="1" x="134"/>
        <item m="1" x="121"/>
        <item m="1" x="142"/>
        <item x="109"/>
        <item x="110"/>
        <item x="111"/>
        <item x="112"/>
        <item x="113"/>
        <item t="default"/>
      </items>
    </pivotField>
  </pivotFields>
  <rowFields count="2">
    <field x="2"/>
    <field x="1"/>
  </rowFields>
  <rowItems count="25">
    <i>
      <x v="31"/>
    </i>
    <i>
      <x v="36"/>
    </i>
    <i>
      <x v="122"/>
    </i>
    <i>
      <x v="264"/>
    </i>
    <i>
      <x v="267"/>
    </i>
    <i>
      <x v="344"/>
    </i>
    <i>
      <x v="346"/>
    </i>
    <i>
      <x v="372"/>
    </i>
    <i>
      <x v="464"/>
    </i>
    <i>
      <x v="536"/>
    </i>
    <i>
      <x v="537"/>
    </i>
    <i>
      <x v="547"/>
    </i>
    <i>
      <x v="653"/>
    </i>
    <i>
      <x v="659"/>
    </i>
    <i>
      <x v="732"/>
    </i>
    <i>
      <x v="769"/>
    </i>
    <i>
      <x v="780"/>
    </i>
    <i>
      <x v="796"/>
    </i>
    <i>
      <x v="816"/>
    </i>
    <i>
      <x v="834"/>
    </i>
    <i>
      <x v="986"/>
    </i>
    <i>
      <x v="1008"/>
    </i>
    <i>
      <x v="1048"/>
    </i>
    <i>
      <x v="1075"/>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732"/>
          </reference>
        </references>
      </pivotArea>
    </format>
    <format dxfId="70">
      <pivotArea dataOnly="0" labelOnly="1" fieldPosition="0">
        <references count="2">
          <reference field="1" count="2">
            <x v="39"/>
            <x v="103"/>
          </reference>
          <reference field="2" count="1" selected="0">
            <x v="732"/>
          </reference>
        </references>
      </pivotArea>
    </format>
    <format dxfId="69">
      <pivotArea dataOnly="0" labelOnly="1" fieldPosition="0">
        <references count="2">
          <reference field="1" count="9">
            <x v="0"/>
            <x v="1"/>
            <x v="2"/>
            <x v="3"/>
            <x v="17"/>
            <x v="25"/>
            <x v="33"/>
            <x v="39"/>
            <x v="103"/>
          </reference>
          <reference field="2" count="1" selected="0">
            <x v="73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9"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39" firstHeaderRow="0" firstDataRow="1" firstDataCol="1" rowPageCount="1" colPageCount="1"/>
  <pivotFields count="8">
    <pivotField axis="axisPage" showAll="0">
      <items count="1358">
        <item x="0"/>
        <item x="1"/>
        <item x="2"/>
        <item x="4"/>
        <item x="5"/>
        <item x="7"/>
        <item x="8"/>
        <item x="9"/>
        <item x="10"/>
        <item x="11"/>
        <item x="12"/>
        <item m="1" x="1213"/>
        <item x="13"/>
        <item x="14"/>
        <item x="15"/>
        <item x="17"/>
        <item x="19"/>
        <item x="3"/>
        <item x="6"/>
        <item x="18"/>
        <item x="16"/>
        <item m="1" x="1215"/>
        <item m="1" x="1214"/>
        <item x="22"/>
        <item x="20"/>
        <item x="24"/>
        <item m="1" x="1216"/>
        <item x="25"/>
        <item x="21"/>
        <item x="29"/>
        <item m="1" x="1217"/>
        <item x="23"/>
        <item x="40"/>
        <item x="26"/>
        <item x="30"/>
        <item x="36"/>
        <item x="27"/>
        <item x="28"/>
        <item x="39"/>
        <item x="31"/>
        <item x="32"/>
        <item x="33"/>
        <item m="1" x="1218"/>
        <item x="38"/>
        <item m="1" x="1219"/>
        <item m="1" x="1220"/>
        <item x="45"/>
        <item x="35"/>
        <item x="41"/>
        <item x="34"/>
        <item x="37"/>
        <item x="61"/>
        <item x="43"/>
        <item m="1" x="1222"/>
        <item x="42"/>
        <item x="48"/>
        <item x="44"/>
        <item m="1" x="1221"/>
        <item x="51"/>
        <item x="46"/>
        <item x="47"/>
        <item x="53"/>
        <item m="1" x="1223"/>
        <item x="54"/>
        <item x="57"/>
        <item x="50"/>
        <item x="49"/>
        <item m="1" x="1224"/>
        <item x="52"/>
        <item m="1" x="1225"/>
        <item x="55"/>
        <item x="56"/>
        <item x="63"/>
        <item x="58"/>
        <item x="59"/>
        <item x="60"/>
        <item x="62"/>
        <item x="64"/>
        <item x="65"/>
        <item x="66"/>
        <item x="67"/>
        <item x="68"/>
        <item x="69"/>
        <item m="1" x="1226"/>
        <item m="1" x="1227"/>
        <item x="70"/>
        <item x="71"/>
        <item x="77"/>
        <item m="1" x="1228"/>
        <item m="1" x="1229"/>
        <item m="1" x="1230"/>
        <item x="72"/>
        <item x="73"/>
        <item x="74"/>
        <item x="75"/>
        <item x="76"/>
        <item x="78"/>
        <item x="79"/>
        <item x="80"/>
        <item m="1" x="1231"/>
        <item x="88"/>
        <item x="81"/>
        <item m="1" x="1232"/>
        <item x="82"/>
        <item x="83"/>
        <item x="84"/>
        <item x="85"/>
        <item x="86"/>
        <item x="87"/>
        <item x="89"/>
        <item x="90"/>
        <item x="91"/>
        <item x="92"/>
        <item m="1" x="1233"/>
        <item x="93"/>
        <item x="94"/>
        <item x="95"/>
        <item x="96"/>
        <item m="1" x="1234"/>
        <item x="97"/>
        <item m="1" x="1235"/>
        <item x="98"/>
        <item x="105"/>
        <item x="99"/>
        <item x="110"/>
        <item x="100"/>
        <item x="101"/>
        <item x="102"/>
        <item x="103"/>
        <item x="104"/>
        <item x="106"/>
        <item x="107"/>
        <item x="108"/>
        <item x="109"/>
        <item x="111"/>
        <item x="112"/>
        <item m="1" x="1236"/>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237"/>
        <item m="1" x="1238"/>
        <item x="141"/>
        <item x="167"/>
        <item x="146"/>
        <item x="143"/>
        <item x="191"/>
        <item x="144"/>
        <item m="1" x="1239"/>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40"/>
        <item x="179"/>
        <item x="180"/>
        <item x="181"/>
        <item x="182"/>
        <item x="142"/>
        <item x="155"/>
        <item x="169"/>
        <item x="183"/>
        <item x="185"/>
        <item x="217"/>
        <item m="1" x="1241"/>
        <item x="187"/>
        <item x="186"/>
        <item x="188"/>
        <item x="189"/>
        <item x="192"/>
        <item x="193"/>
        <item x="194"/>
        <item x="195"/>
        <item x="196"/>
        <item x="197"/>
        <item x="198"/>
        <item x="200"/>
        <item x="201"/>
        <item x="202"/>
        <item m="1" x="1321"/>
        <item m="1" x="1322"/>
        <item m="1" x="1346"/>
        <item m="1" x="1275"/>
        <item x="205"/>
        <item x="203"/>
        <item x="204"/>
        <item x="206"/>
        <item x="207"/>
        <item x="184"/>
        <item x="208"/>
        <item x="209"/>
        <item x="210"/>
        <item x="211"/>
        <item x="212"/>
        <item m="1" x="1276"/>
        <item m="1" x="1277"/>
        <item m="1" x="1278"/>
        <item m="1" x="1279"/>
        <item x="223"/>
        <item x="213"/>
        <item x="214"/>
        <item x="215"/>
        <item x="216"/>
        <item x="218"/>
        <item m="1" x="1347"/>
        <item x="219"/>
        <item x="220"/>
        <item x="221"/>
        <item m="1" x="1242"/>
        <item m="1" x="1243"/>
        <item x="222"/>
        <item x="224"/>
        <item x="225"/>
        <item x="229"/>
        <item x="230"/>
        <item x="231"/>
        <item x="232"/>
        <item x="233"/>
        <item x="234"/>
        <item x="235"/>
        <item x="236"/>
        <item x="242"/>
        <item x="237"/>
        <item x="238"/>
        <item x="239"/>
        <item x="240"/>
        <item x="241"/>
        <item x="243"/>
        <item x="244"/>
        <item m="1" x="1244"/>
        <item x="245"/>
        <item x="246"/>
        <item m="1" x="1332"/>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80"/>
        <item x="374"/>
        <item x="115"/>
        <item x="280"/>
        <item x="281"/>
        <item x="227"/>
        <item m="1" x="1245"/>
        <item x="282"/>
        <item x="283"/>
        <item m="1" x="1335"/>
        <item x="284"/>
        <item x="285"/>
        <item x="286"/>
        <item x="287"/>
        <item x="288"/>
        <item x="289"/>
        <item x="136"/>
        <item x="290"/>
        <item x="291"/>
        <item x="292"/>
        <item x="293"/>
        <item x="294"/>
        <item x="295"/>
        <item x="296"/>
        <item x="297"/>
        <item x="371"/>
        <item x="298"/>
        <item x="299"/>
        <item x="300"/>
        <item x="301"/>
        <item x="302"/>
        <item m="1" x="1340"/>
        <item x="304"/>
        <item x="303"/>
        <item x="305"/>
        <item m="1" x="1331"/>
        <item x="313"/>
        <item x="310"/>
        <item x="309"/>
        <item m="1" x="1353"/>
        <item x="306"/>
        <item x="312"/>
        <item x="307"/>
        <item x="308"/>
        <item x="228"/>
        <item x="311"/>
        <item x="314"/>
        <item x="315"/>
        <item x="316"/>
        <item x="317"/>
        <item x="322"/>
        <item x="318"/>
        <item x="319"/>
        <item x="321"/>
        <item x="320"/>
        <item x="323"/>
        <item x="324"/>
        <item x="325"/>
        <item x="326"/>
        <item x="327"/>
        <item x="328"/>
        <item x="329"/>
        <item m="1" x="1281"/>
        <item x="330"/>
        <item x="331"/>
        <item x="332"/>
        <item x="333"/>
        <item x="334"/>
        <item x="335"/>
        <item m="1" x="1271"/>
        <item m="1" x="1272"/>
        <item m="1" x="1273"/>
        <item m="1" x="1274"/>
        <item m="1" x="1334"/>
        <item x="337"/>
        <item x="336"/>
        <item x="338"/>
        <item x="339"/>
        <item x="340"/>
        <item x="352"/>
        <item x="341"/>
        <item x="342"/>
        <item x="343"/>
        <item m="1" x="1246"/>
        <item x="344"/>
        <item x="345"/>
        <item x="346"/>
        <item x="347"/>
        <item x="362"/>
        <item x="348"/>
        <item x="349"/>
        <item x="350"/>
        <item x="351"/>
        <item x="356"/>
        <item x="353"/>
        <item x="355"/>
        <item x="354"/>
        <item x="372"/>
        <item x="363"/>
        <item x="357"/>
        <item x="358"/>
        <item x="359"/>
        <item x="360"/>
        <item x="361"/>
        <item m="1" x="1247"/>
        <item x="364"/>
        <item x="365"/>
        <item x="366"/>
        <item x="367"/>
        <item x="368"/>
        <item x="369"/>
        <item x="370"/>
        <item m="1" x="1248"/>
        <item m="1" x="1341"/>
        <item m="1" x="1342"/>
        <item x="373"/>
        <item x="375"/>
        <item m="1" x="1249"/>
        <item x="379"/>
        <item x="382"/>
        <item x="376"/>
        <item x="377"/>
        <item x="378"/>
        <item m="1" x="1250"/>
        <item x="380"/>
        <item x="381"/>
        <item x="383"/>
        <item x="384"/>
        <item x="385"/>
        <item x="386"/>
        <item m="1" x="1348"/>
        <item m="1" x="1343"/>
        <item x="387"/>
        <item x="388"/>
        <item x="389"/>
        <item m="1" x="1251"/>
        <item m="1" x="1252"/>
        <item x="390"/>
        <item x="391"/>
        <item x="394"/>
        <item x="392"/>
        <item x="393"/>
        <item x="395"/>
        <item x="396"/>
        <item x="397"/>
        <item x="398"/>
        <item x="399"/>
        <item x="400"/>
        <item m="1" x="1253"/>
        <item x="401"/>
        <item x="402"/>
        <item x="403"/>
        <item x="404"/>
        <item x="405"/>
        <item x="406"/>
        <item m="1" x="1254"/>
        <item x="407"/>
        <item x="408"/>
        <item x="410"/>
        <item x="411"/>
        <item x="412"/>
        <item x="413"/>
        <item m="1" x="1282"/>
        <item x="414"/>
        <item x="415"/>
        <item x="416"/>
        <item x="409"/>
        <item x="417"/>
        <item m="1" x="1355"/>
        <item x="422"/>
        <item m="1" x="1326"/>
        <item x="418"/>
        <item x="419"/>
        <item x="421"/>
        <item m="1" x="1349"/>
        <item x="420"/>
        <item m="1" x="1283"/>
        <item x="423"/>
        <item x="424"/>
        <item x="425"/>
        <item x="426"/>
        <item x="427"/>
        <item x="428"/>
        <item x="429"/>
        <item x="430"/>
        <item x="431"/>
        <item x="432"/>
        <item x="433"/>
        <item x="434"/>
        <item x="435"/>
        <item x="436"/>
        <item x="437"/>
        <item x="438"/>
        <item x="439"/>
        <item x="440"/>
        <item x="441"/>
        <item x="442"/>
        <item x="443"/>
        <item x="444"/>
        <item m="1" x="1337"/>
        <item x="445"/>
        <item x="446"/>
        <item x="447"/>
        <item m="1" x="1336"/>
        <item x="448"/>
        <item m="1" x="1339"/>
        <item x="449"/>
        <item m="1" x="1351"/>
        <item x="450"/>
        <item x="451"/>
        <item m="1" x="1255"/>
        <item x="452"/>
        <item x="453"/>
        <item x="454"/>
        <item x="455"/>
        <item x="456"/>
        <item m="1" x="1284"/>
        <item x="457"/>
        <item x="458"/>
        <item x="459"/>
        <item x="460"/>
        <item x="461"/>
        <item x="462"/>
        <item x="463"/>
        <item m="1" x="1256"/>
        <item x="464"/>
        <item x="465"/>
        <item x="466"/>
        <item x="467"/>
        <item x="468"/>
        <item x="469"/>
        <item x="470"/>
        <item x="471"/>
        <item x="472"/>
        <item x="473"/>
        <item m="1" x="1305"/>
        <item x="474"/>
        <item x="475"/>
        <item x="476"/>
        <item x="477"/>
        <item x="478"/>
        <item m="1" x="1306"/>
        <item x="479"/>
        <item x="480"/>
        <item x="481"/>
        <item x="482"/>
        <item m="1" x="1285"/>
        <item x="483"/>
        <item x="484"/>
        <item x="485"/>
        <item x="486"/>
        <item x="487"/>
        <item x="488"/>
        <item x="489"/>
        <item x="490"/>
        <item x="491"/>
        <item x="492"/>
        <item x="493"/>
        <item x="494"/>
        <item x="495"/>
        <item x="496"/>
        <item x="497"/>
        <item m="1" x="1266"/>
        <item x="499"/>
        <item x="498"/>
        <item x="500"/>
        <item x="501"/>
        <item x="502"/>
        <item x="503"/>
        <item x="504"/>
        <item m="1" x="1267"/>
        <item x="506"/>
        <item x="507"/>
        <item x="508"/>
        <item x="509"/>
        <item x="510"/>
        <item x="511"/>
        <item x="512"/>
        <item m="1" x="1286"/>
        <item m="1" x="1287"/>
        <item m="1" x="1288"/>
        <item m="1" x="1289"/>
        <item m="1" x="1290"/>
        <item x="513"/>
        <item x="514"/>
        <item x="515"/>
        <item x="516"/>
        <item x="517"/>
        <item x="518"/>
        <item x="519"/>
        <item x="520"/>
        <item x="521"/>
        <item x="522"/>
        <item x="523"/>
        <item x="524"/>
        <item x="525"/>
        <item x="526"/>
        <item x="527"/>
        <item x="528"/>
        <item x="529"/>
        <item x="530"/>
        <item x="531"/>
        <item x="532"/>
        <item x="533"/>
        <item m="1" x="1291"/>
        <item x="539"/>
        <item x="534"/>
        <item x="535"/>
        <item x="536"/>
        <item x="537"/>
        <item x="538"/>
        <item x="543"/>
        <item x="540"/>
        <item x="541"/>
        <item x="542"/>
        <item x="544"/>
        <item x="545"/>
        <item x="546"/>
        <item x="547"/>
        <item x="548"/>
        <item x="550"/>
        <item x="551"/>
        <item x="552"/>
        <item x="553"/>
        <item x="554"/>
        <item x="555"/>
        <item x="556"/>
        <item m="1" x="1307"/>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308"/>
        <item x="608"/>
        <item x="612"/>
        <item x="613"/>
        <item x="614"/>
        <item x="615"/>
        <item x="609"/>
        <item x="610"/>
        <item x="611"/>
        <item x="616"/>
        <item x="617"/>
        <item m="1" x="1309"/>
        <item x="618"/>
        <item x="619"/>
        <item m="1" x="1310"/>
        <item x="620"/>
        <item x="621"/>
        <item x="622"/>
        <item m="1" x="1311"/>
        <item x="623"/>
        <item m="1" x="1312"/>
        <item x="625"/>
        <item x="624"/>
        <item x="626"/>
        <item x="628"/>
        <item x="630"/>
        <item x="631"/>
        <item x="632"/>
        <item x="633"/>
        <item x="634"/>
        <item x="635"/>
        <item m="1" x="1292"/>
        <item x="649"/>
        <item x="636"/>
        <item m="1" x="1268"/>
        <item m="1" x="1293"/>
        <item x="637"/>
        <item x="638"/>
        <item x="627"/>
        <item x="642"/>
        <item x="643"/>
        <item x="644"/>
        <item m="1" x="1294"/>
        <item x="629"/>
        <item x="645"/>
        <item x="646"/>
        <item x="647"/>
        <item m="1" x="1257"/>
        <item x="648"/>
        <item x="650"/>
        <item x="651"/>
        <item x="641"/>
        <item x="652"/>
        <item x="653"/>
        <item m="1" x="1345"/>
        <item x="654"/>
        <item m="1" x="1313"/>
        <item m="1" x="1314"/>
        <item m="1" x="1295"/>
        <item x="655"/>
        <item m="1" x="1296"/>
        <item x="656"/>
        <item x="657"/>
        <item x="658"/>
        <item x="659"/>
        <item x="660"/>
        <item x="640"/>
        <item x="661"/>
        <item x="663"/>
        <item x="666"/>
        <item x="664"/>
        <item x="665"/>
        <item x="639"/>
        <item x="662"/>
        <item x="667"/>
        <item x="668"/>
        <item x="669"/>
        <item x="670"/>
        <item x="671"/>
        <item x="672"/>
        <item x="673"/>
        <item x="674"/>
        <item x="675"/>
        <item m="1" x="1258"/>
        <item x="676"/>
        <item m="1" x="1259"/>
        <item x="680"/>
        <item x="677"/>
        <item x="678"/>
        <item x="679"/>
        <item x="681"/>
        <item m="1" x="1328"/>
        <item x="683"/>
        <item x="682"/>
        <item x="684"/>
        <item x="685"/>
        <item x="686"/>
        <item x="687"/>
        <item x="688"/>
        <item x="689"/>
        <item x="698"/>
        <item x="690"/>
        <item x="691"/>
        <item x="692"/>
        <item x="706"/>
        <item x="701"/>
        <item x="693"/>
        <item x="694"/>
        <item x="695"/>
        <item m="1" x="1330"/>
        <item x="696"/>
        <item x="697"/>
        <item x="699"/>
        <item x="700"/>
        <item x="702"/>
        <item m="1" x="1262"/>
        <item x="703"/>
        <item x="707"/>
        <item x="704"/>
        <item x="705"/>
        <item x="708"/>
        <item x="718"/>
        <item x="710"/>
        <item x="711"/>
        <item x="712"/>
        <item x="713"/>
        <item x="714"/>
        <item x="715"/>
        <item x="716"/>
        <item x="717"/>
        <item m="1" x="1297"/>
        <item x="719"/>
        <item x="720"/>
        <item x="721"/>
        <item m="1" x="1260"/>
        <item m="1" x="1261"/>
        <item m="1" x="1263"/>
        <item x="727"/>
        <item x="722"/>
        <item x="723"/>
        <item x="724"/>
        <item x="725"/>
        <item x="726"/>
        <item x="728"/>
        <item x="759"/>
        <item x="729"/>
        <item x="730"/>
        <item x="731"/>
        <item m="1" x="1344"/>
        <item m="1" x="1324"/>
        <item x="732"/>
        <item x="733"/>
        <item x="734"/>
        <item m="1" x="1333"/>
        <item x="735"/>
        <item x="736"/>
        <item x="737"/>
        <item x="738"/>
        <item x="739"/>
        <item x="740"/>
        <item x="741"/>
        <item x="742"/>
        <item x="743"/>
        <item x="766"/>
        <item x="744"/>
        <item x="745"/>
        <item x="746"/>
        <item x="747"/>
        <item x="754"/>
        <item x="748"/>
        <item m="1" x="1264"/>
        <item x="749"/>
        <item x="750"/>
        <item x="751"/>
        <item x="752"/>
        <item x="768"/>
        <item x="753"/>
        <item x="755"/>
        <item x="756"/>
        <item x="757"/>
        <item x="758"/>
        <item m="1" x="1298"/>
        <item x="760"/>
        <item m="1" x="1315"/>
        <item x="761"/>
        <item m="1" x="1299"/>
        <item x="762"/>
        <item x="763"/>
        <item m="1" x="1325"/>
        <item x="764"/>
        <item m="1" x="1323"/>
        <item x="765"/>
        <item x="767"/>
        <item x="769"/>
        <item m="1" x="1320"/>
        <item x="770"/>
        <item x="771"/>
        <item x="772"/>
        <item x="773"/>
        <item x="774"/>
        <item x="775"/>
        <item x="776"/>
        <item x="777"/>
        <item x="778"/>
        <item x="779"/>
        <item x="780"/>
        <item x="781"/>
        <item x="782"/>
        <item x="783"/>
        <item x="784"/>
        <item x="785"/>
        <item x="786"/>
        <item x="787"/>
        <item x="788"/>
        <item x="789"/>
        <item x="790"/>
        <item x="791"/>
        <item x="792"/>
        <item m="1" x="1300"/>
        <item x="793"/>
        <item m="1" x="1301"/>
        <item x="794"/>
        <item x="800"/>
        <item x="795"/>
        <item x="796"/>
        <item x="797"/>
        <item x="798"/>
        <item x="799"/>
        <item x="801"/>
        <item x="803"/>
        <item x="802"/>
        <item m="1" x="1302"/>
        <item x="804"/>
        <item x="805"/>
        <item x="806"/>
        <item x="810"/>
        <item x="812"/>
        <item x="811"/>
        <item m="1" x="1329"/>
        <item x="814"/>
        <item x="809"/>
        <item m="1" x="1327"/>
        <item x="821"/>
        <item m="1" x="1352"/>
        <item x="813"/>
        <item x="815"/>
        <item x="817"/>
        <item x="818"/>
        <item x="807"/>
        <item x="816"/>
        <item x="819"/>
        <item m="1" x="1269"/>
        <item x="823"/>
        <item x="824"/>
        <item m="1" x="1316"/>
        <item x="826"/>
        <item x="831"/>
        <item x="829"/>
        <item x="825"/>
        <item x="830"/>
        <item x="835"/>
        <item x="833"/>
        <item x="834"/>
        <item x="832"/>
        <item x="709"/>
        <item x="839"/>
        <item x="840"/>
        <item x="837"/>
        <item x="842"/>
        <item x="843"/>
        <item x="844"/>
        <item m="1" x="1350"/>
        <item x="836"/>
        <item m="1" x="1338"/>
        <item m="1" x="1270"/>
        <item x="822"/>
        <item x="838"/>
        <item x="841"/>
        <item x="848"/>
        <item x="847"/>
        <item x="849"/>
        <item x="846"/>
        <item m="1" x="1317"/>
        <item x="851"/>
        <item x="850"/>
        <item x="845"/>
        <item m="1" x="1354"/>
        <item x="852"/>
        <item x="854"/>
        <item x="855"/>
        <item x="856"/>
        <item x="858"/>
        <item x="859"/>
        <item x="853"/>
        <item x="860"/>
        <item x="861"/>
        <item x="808"/>
        <item x="820"/>
        <item x="857"/>
        <item x="828"/>
        <item x="862"/>
        <item x="864"/>
        <item x="863"/>
        <item x="865"/>
        <item x="866"/>
        <item x="867"/>
        <item x="870"/>
        <item x="868"/>
        <item x="869"/>
        <item x="872"/>
        <item x="873"/>
        <item x="874"/>
        <item x="876"/>
        <item m="1" x="1318"/>
        <item x="875"/>
        <item x="879"/>
        <item x="881"/>
        <item x="880"/>
        <item x="878"/>
        <item x="882"/>
        <item x="883"/>
        <item x="885"/>
        <item m="1" x="1319"/>
        <item x="877"/>
        <item x="884"/>
        <item x="886"/>
        <item x="888"/>
        <item x="889"/>
        <item x="887"/>
        <item x="827"/>
        <item x="890"/>
        <item x="891"/>
        <item x="892"/>
        <item x="893"/>
        <item m="1" x="1265"/>
        <item x="894"/>
        <item x="895"/>
        <item x="896"/>
        <item x="900"/>
        <item x="898"/>
        <item x="902"/>
        <item x="897"/>
        <item x="899"/>
        <item x="904"/>
        <item x="905"/>
        <item x="906"/>
        <item x="907"/>
        <item x="903"/>
        <item x="901"/>
        <item x="908"/>
        <item x="871"/>
        <item m="1" x="1303"/>
        <item x="910"/>
        <item x="909"/>
        <item x="911"/>
        <item m="1" x="1304"/>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56"/>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6"/>
        <item x="1128"/>
        <item x="1129"/>
        <item x="1137"/>
        <item x="1141"/>
        <item x="1139"/>
        <item x="1143"/>
        <item x="1144"/>
        <item x="1145"/>
        <item x="1146"/>
        <item x="1142"/>
        <item x="1140"/>
        <item x="1135"/>
        <item x="1138"/>
        <item x="1148"/>
        <item x="1149"/>
        <item x="1150"/>
        <item x="1151"/>
        <item x="1147"/>
        <item x="1160"/>
        <item x="1152"/>
        <item x="1155"/>
        <item x="1157"/>
        <item x="1154"/>
        <item x="1156"/>
        <item x="1153"/>
        <item x="1159"/>
        <item x="1158"/>
        <item x="1162"/>
        <item m="1" x="1210"/>
        <item x="1125"/>
        <item x="1164"/>
        <item x="1161"/>
        <item x="1163"/>
        <item x="1165"/>
        <item x="1166"/>
        <item x="1167"/>
        <item x="1168"/>
        <item x="1169"/>
        <item x="1171"/>
        <item x="1173"/>
        <item x="1174"/>
        <item x="1175"/>
        <item x="1176"/>
        <item x="1170"/>
        <item x="1172"/>
        <item x="1177"/>
        <item x="1178"/>
        <item x="1181"/>
        <item x="1184"/>
        <item x="1185"/>
        <item x="1182"/>
        <item x="1187"/>
        <item x="1186"/>
        <item x="1179"/>
        <item x="1180"/>
        <item x="1183"/>
        <item x="1189"/>
        <item x="1190"/>
        <item x="1192"/>
        <item x="1188"/>
        <item x="1191"/>
        <item x="1195"/>
        <item x="1196"/>
        <item x="1197"/>
        <item x="1198"/>
        <item x="1193"/>
        <item x="1194"/>
        <item x="1199"/>
        <item x="1201"/>
        <item x="1200"/>
        <item x="1203"/>
        <item x="1205"/>
        <item x="1202"/>
        <item m="1" x="1211"/>
        <item x="1204"/>
        <item m="1" x="1212"/>
        <item x="1206"/>
        <item x="1207"/>
        <item x="1208"/>
        <item x="1209"/>
        <item t="default"/>
      </items>
    </pivotField>
    <pivotField axis="axisRow" showAll="0" sortType="descending">
      <items count="148">
        <item sd="0" x="48"/>
        <item sd="0" x="50"/>
        <item sd="0" x="40"/>
        <item sd="0" x="38"/>
        <item sd="0" x="41"/>
        <item sd="0" x="0"/>
        <item sd="0" x="25"/>
        <item sd="0" x="35"/>
        <item sd="0" x="32"/>
        <item sd="0" x="21"/>
        <item sd="0" x="26"/>
        <item sd="0" x="30"/>
        <item sd="0" x="17"/>
        <item sd="0" m="1" x="129"/>
        <item sd="0" x="18"/>
        <item sd="0" x="22"/>
        <item sd="0" x="24"/>
        <item sd="0" x="3"/>
        <item sd="0" x="20"/>
        <item sd="0" x="9"/>
        <item sd="0" x="2"/>
        <item sd="0" x="7"/>
        <item sd="0" x="4"/>
        <item sd="0" x="8"/>
        <item sd="0" x="42"/>
        <item sd="0" x="1"/>
        <item sd="0" x="6"/>
        <item sd="0" x="5"/>
        <item sd="0" x="11"/>
        <item sd="0" x="19"/>
        <item sd="0" x="10"/>
        <item sd="0" x="12"/>
        <item sd="0" x="14"/>
        <item sd="0" x="15"/>
        <item sd="0" x="13"/>
        <item sd="0" x="16"/>
        <item sd="0" x="23"/>
        <item sd="0" x="33"/>
        <item sd="0" x="27"/>
        <item sd="0" x="29"/>
        <item sd="0" x="31"/>
        <item sd="0" x="34"/>
        <item sd="0" x="39"/>
        <item sd="0" x="36"/>
        <item sd="0" x="37"/>
        <item sd="0" x="44"/>
        <item sd="0" m="1" x="141"/>
        <item sd="0" x="46"/>
        <item sd="0" x="43"/>
        <item sd="0" m="1" x="131"/>
        <item sd="0" x="45"/>
        <item sd="0" x="47"/>
        <item sd="0" x="49"/>
        <item sd="0" m="1" x="132"/>
        <item sd="0" x="28"/>
        <item sd="0" x="52"/>
        <item sd="0" x="51"/>
        <item sd="0" x="53"/>
        <item sd="0" x="54"/>
        <item sd="0" x="55"/>
        <item sd="0" x="56"/>
        <item sd="0" x="57"/>
        <item sd="0" x="58"/>
        <item sd="0" x="59"/>
        <item sd="0" x="60"/>
        <item sd="0" x="61"/>
        <item sd="0" x="62"/>
        <item sd="0" x="63"/>
        <item sd="0" x="64"/>
        <item sd="0" x="65"/>
        <item sd="0" x="66"/>
        <item sd="0" x="70"/>
        <item sd="0" m="1" x="135"/>
        <item sd="0" x="67"/>
        <item sd="0" x="69"/>
        <item sd="0" m="1" x="130"/>
        <item sd="0" x="71"/>
        <item sd="0" x="72"/>
        <item sd="0" x="73"/>
        <item sd="0" m="1" x="138"/>
        <item sd="0" m="1" x="146"/>
        <item sd="0" m="1" x="140"/>
        <item sd="0" x="77"/>
        <item sd="0" x="76"/>
        <item sd="0" x="82"/>
        <item sd="0" x="74"/>
        <item sd="0" x="75"/>
        <item sd="0" x="68"/>
        <item sd="0" x="78"/>
        <item sd="0" x="79"/>
        <item sd="0" m="1" x="137"/>
        <item sd="0" x="80"/>
        <item sd="0" x="81"/>
        <item sd="0" m="1" x="139"/>
        <item sd="0" x="83"/>
        <item sd="0" x="86"/>
        <item sd="0" x="84"/>
        <item sd="0" x="85"/>
        <item sd="0" x="87"/>
        <item sd="0" x="89"/>
        <item sd="0" x="90"/>
        <item sd="0" x="91"/>
        <item sd="0" x="92"/>
        <item sd="0" x="93"/>
        <item sd="0" x="94"/>
        <item sd="0" x="95"/>
        <item sd="0" x="96"/>
        <item sd="0" m="1" x="143"/>
        <item sd="0" m="1" x="144"/>
        <item sd="0" m="1" x="134"/>
        <item sd="0" x="97"/>
        <item sd="0" x="100"/>
        <item sd="0" m="1" x="142"/>
        <item sd="0" x="101"/>
        <item sd="0" x="110"/>
        <item sd="0" x="106"/>
        <item sd="0" x="88"/>
        <item sd="0" x="102"/>
        <item sd="0" x="112"/>
        <item sd="0" x="113"/>
        <item sd="0" m="1" x="145"/>
        <item sd="0" x="108"/>
        <item sd="0" x="115"/>
        <item sd="0" m="1" x="136"/>
        <item sd="0" x="116"/>
        <item sd="0" x="98"/>
        <item sd="0" x="99"/>
        <item sd="0" x="103"/>
        <item sd="0" x="114"/>
        <item sd="0" x="107"/>
        <item sd="0" x="117"/>
        <item sd="0" x="118"/>
        <item sd="0" x="119"/>
        <item sd="0" x="120"/>
        <item m="1" x="133"/>
        <item sd="0" x="121"/>
        <item sd="0" x="104"/>
        <item sd="0" x="122"/>
        <item sd="0" x="105"/>
        <item sd="0" x="111"/>
        <item sd="0" x="109"/>
        <item sd="0" m="1" x="128"/>
        <item sd="0" x="123"/>
        <item m="1" x="127"/>
        <item x="124"/>
        <item x="125"/>
        <item x="126"/>
        <item t="default" sd="0"/>
      </items>
      <autoSortScope>
        <pivotArea dataOnly="0" outline="0" fieldPosition="0">
          <references count="1">
            <reference field="4294967294" count="1" selected="0">
              <x v="2"/>
            </reference>
          </references>
        </pivotArea>
      </autoSortScope>
    </pivotField>
    <pivotField axis="axisRow" showAll="0" sortType="descending">
      <items count="78">
        <item sd="0" m="1" x="44"/>
        <item sd="0" m="1" x="56"/>
        <item sd="0" m="1" x="43"/>
        <item sd="0" m="1" x="51"/>
        <item sd="0" x="5"/>
        <item sd="0" x="6"/>
        <item sd="0" x="8"/>
        <item sd="0" x="3"/>
        <item sd="0" x="2"/>
        <item sd="0" x="22"/>
        <item sd="0" x="0"/>
        <item sd="0" x="1"/>
        <item sd="0" x="12"/>
        <item sd="0" x="16"/>
        <item sd="0" x="7"/>
        <item sd="0" m="1" x="42"/>
        <item sd="0" m="1" x="46"/>
        <item sd="0" m="1" x="33"/>
        <item sd="0" x="11"/>
        <item sd="0" x="4"/>
        <item sd="0" x="29"/>
        <item sd="0" m="1" x="35"/>
        <item sd="0" x="9"/>
        <item sd="0" x="10"/>
        <item sd="0" m="1" x="45"/>
        <item sd="0" m="1" x="47"/>
        <item m="1" x="36"/>
        <item m="1" x="48"/>
        <item m="1" x="68"/>
        <item m="1" x="49"/>
        <item x="13"/>
        <item m="1" x="69"/>
        <item m="1" x="76"/>
        <item x="14"/>
        <item m="1" x="38"/>
        <item m="1" x="67"/>
        <item m="1" x="50"/>
        <item m="1" x="59"/>
        <item m="1" x="52"/>
        <item m="1" x="57"/>
        <item m="1" x="39"/>
        <item m="1" x="71"/>
        <item m="1" x="66"/>
        <item m="1" x="73"/>
        <item x="19"/>
        <item x="17"/>
        <item m="1" x="58"/>
        <item m="1" x="65"/>
        <item m="1" x="53"/>
        <item m="1" x="37"/>
        <item m="1" x="54"/>
        <item m="1" x="40"/>
        <item x="20"/>
        <item x="18"/>
        <item x="21"/>
        <item m="1" x="74"/>
        <item m="1" x="55"/>
        <item m="1" x="72"/>
        <item m="1" x="41"/>
        <item x="23"/>
        <item x="15"/>
        <item m="1" x="62"/>
        <item m="1" x="34"/>
        <item x="26"/>
        <item x="27"/>
        <item x="28"/>
        <item m="1" x="64"/>
        <item m="1" x="63"/>
        <item m="1" x="75"/>
        <item m="1" x="70"/>
        <item m="1" x="60"/>
        <item x="25"/>
        <item m="1" x="61"/>
        <item x="30"/>
        <item x="31"/>
        <item x="32"/>
        <item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34">
    <i>
      <x v="138"/>
    </i>
    <i>
      <x v="142"/>
    </i>
    <i>
      <x v="129"/>
    </i>
    <i>
      <x v="117"/>
    </i>
    <i>
      <x v="101"/>
    </i>
    <i>
      <x v="118"/>
    </i>
    <i>
      <x v="127"/>
    </i>
    <i>
      <x v="122"/>
    </i>
    <i>
      <x v="121"/>
    </i>
    <i>
      <x v="103"/>
    </i>
    <i>
      <x v="104"/>
    </i>
    <i>
      <x v="145"/>
    </i>
    <i r="1">
      <x v="52"/>
    </i>
    <i r="1">
      <x v="9"/>
    </i>
    <i r="1">
      <x v="4"/>
    </i>
    <i r="1">
      <x v="30"/>
    </i>
    <i>
      <x v="132"/>
    </i>
    <i>
      <x v="111"/>
    </i>
    <i>
      <x v="125"/>
    </i>
    <i>
      <x v="56"/>
    </i>
    <i>
      <x v="6"/>
    </i>
    <i>
      <x v="136"/>
    </i>
    <i>
      <x v="113"/>
    </i>
    <i>
      <x v="115"/>
    </i>
    <i>
      <x v="105"/>
    </i>
    <i>
      <x v="146"/>
    </i>
    <i r="1">
      <x v="33"/>
    </i>
    <i>
      <x v="69"/>
    </i>
    <i>
      <x v="137"/>
    </i>
    <i>
      <x v="144"/>
    </i>
    <i r="1">
      <x v="33"/>
    </i>
    <i>
      <x v="140"/>
    </i>
    <i>
      <x v="22"/>
    </i>
    <i>
      <x v="100"/>
    </i>
    <i>
      <x v="114"/>
    </i>
    <i>
      <x v="126"/>
    </i>
    <i>
      <x v="135"/>
    </i>
    <i>
      <x v="119"/>
    </i>
    <i>
      <x v="71"/>
    </i>
    <i>
      <x v="10"/>
    </i>
    <i>
      <x v="92"/>
    </i>
    <i>
      <x v="34"/>
    </i>
    <i>
      <x v="37"/>
    </i>
    <i>
      <x v="4"/>
    </i>
    <i>
      <x v="38"/>
    </i>
    <i>
      <x v="17"/>
    </i>
    <i>
      <x v="39"/>
    </i>
    <i>
      <x v="87"/>
    </i>
    <i>
      <x v="40"/>
    </i>
    <i>
      <x v="97"/>
    </i>
    <i>
      <x v="41"/>
    </i>
    <i>
      <x v="8"/>
    </i>
    <i>
      <x v="42"/>
    </i>
    <i>
      <x v="12"/>
    </i>
    <i>
      <x v="43"/>
    </i>
    <i>
      <x v="19"/>
    </i>
    <i>
      <x v="44"/>
    </i>
    <i>
      <x v="85"/>
    </i>
    <i>
      <x v="45"/>
    </i>
    <i>
      <x v="89"/>
    </i>
    <i>
      <x v="47"/>
    </i>
    <i>
      <x v="95"/>
    </i>
    <i>
      <x v="48"/>
    </i>
    <i>
      <x v="99"/>
    </i>
    <i>
      <x v="50"/>
    </i>
    <i>
      <x v="1"/>
    </i>
    <i>
      <x v="51"/>
    </i>
    <i>
      <x v="110"/>
    </i>
    <i>
      <x v="52"/>
    </i>
    <i>
      <x v="11"/>
    </i>
    <i>
      <x v="54"/>
    </i>
    <i>
      <x v="16"/>
    </i>
    <i>
      <x v="55"/>
    </i>
    <i>
      <x v="18"/>
    </i>
    <i>
      <x v="2"/>
    </i>
    <i>
      <x v="131"/>
    </i>
    <i>
      <x v="57"/>
    </i>
    <i>
      <x v="84"/>
    </i>
    <i>
      <x v="58"/>
    </i>
    <i>
      <x v="86"/>
    </i>
    <i>
      <x v="59"/>
    </i>
    <i>
      <x v="88"/>
    </i>
    <i>
      <x v="60"/>
    </i>
    <i>
      <x v="91"/>
    </i>
    <i>
      <x v="61"/>
    </i>
    <i>
      <x v="94"/>
    </i>
    <i>
      <x v="62"/>
    </i>
    <i>
      <x v="96"/>
    </i>
    <i>
      <x v="63"/>
    </i>
    <i>
      <x v="98"/>
    </i>
    <i>
      <x v="64"/>
    </i>
    <i>
      <x v="31"/>
    </i>
    <i>
      <x v="65"/>
    </i>
    <i>
      <x v="102"/>
    </i>
    <i>
      <x v="66"/>
    </i>
    <i>
      <x v="7"/>
    </i>
    <i>
      <x v="3"/>
    </i>
    <i>
      <x v="106"/>
    </i>
    <i>
      <x v="68"/>
    </i>
    <i>
      <x v="9"/>
    </i>
    <i>
      <x v="25"/>
    </i>
    <i>
      <x v="32"/>
    </i>
    <i>
      <x v="70"/>
    </i>
    <i>
      <x v="116"/>
    </i>
    <i>
      <x v="14"/>
    </i>
    <i>
      <x v="36"/>
    </i>
    <i>
      <x v="35"/>
    </i>
    <i>
      <x v="15"/>
    </i>
    <i>
      <x v="73"/>
    </i>
    <i>
      <x v="124"/>
    </i>
    <i>
      <x v="74"/>
    </i>
    <i>
      <x v="33"/>
    </i>
    <i>
      <x v="76"/>
    </i>
    <i>
      <x v="128"/>
    </i>
    <i>
      <x v="133"/>
    </i>
    <i>
      <x v="130"/>
    </i>
    <i>
      <x v="21"/>
    </i>
    <i>
      <x v="20"/>
    </i>
    <i>
      <x v="29"/>
    </i>
    <i>
      <x v="30"/>
    </i>
    <i>
      <x v="77"/>
    </i>
    <i>
      <x v="26"/>
    </i>
    <i>
      <x v="78"/>
    </i>
    <i>
      <x v="139"/>
    </i>
    <i>
      <x v="23"/>
    </i>
    <i>
      <x v="28"/>
    </i>
    <i>
      <x v="24"/>
    </i>
    <i>
      <x v="82"/>
    </i>
    <i>
      <x v="83"/>
    </i>
    <i>
      <x/>
    </i>
    <i>
      <x v="67"/>
    </i>
    <i>
      <x v="5"/>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1.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16">
        <f ca="1">TODAY()</f>
        <v>45420</v>
      </c>
    </row>
    <row r="10" spans="20:20" x14ac:dyDescent="0.25">
      <c r="T10" s="101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9289"/>
  <sheetViews>
    <sheetView tabSelected="1" zoomScale="140" zoomScaleNormal="140" workbookViewId="0">
      <pane ySplit="1" topLeftCell="A19269" activePane="bottomLeft" state="frozen"/>
      <selection pane="bottomLeft" activeCell="D19291" sqref="D19291"/>
    </sheetView>
  </sheetViews>
  <sheetFormatPr defaultColWidth="9.140625" defaultRowHeight="12.75" x14ac:dyDescent="0.2"/>
  <cols>
    <col min="1" max="1" width="10.140625" style="108" customWidth="1"/>
    <col min="2" max="2" width="23" style="41" customWidth="1"/>
    <col min="3" max="3" width="19" style="41" customWidth="1"/>
    <col min="4" max="4" width="50" style="108" customWidth="1"/>
    <col min="5" max="5" width="11.5703125" style="42" customWidth="1"/>
    <col min="6" max="6" width="11.7109375" style="42" customWidth="1"/>
    <col min="7" max="7" width="13.28515625" style="42" customWidth="1"/>
    <col min="8" max="8" width="15.7109375" style="41" customWidth="1"/>
    <col min="9" max="9" width="10.28515625" style="36" bestFit="1" customWidth="1"/>
    <col min="10" max="10" width="12.85546875" style="36" bestFit="1" customWidth="1"/>
    <col min="11" max="11" width="19.42578125" style="36" bestFit="1" customWidth="1"/>
    <col min="12" max="13" width="9.140625" style="36"/>
    <col min="14" max="14" width="11.5703125" style="36" bestFit="1" customWidth="1"/>
    <col min="15" max="15" width="9.140625" style="36"/>
    <col min="16" max="16" width="10" style="36" bestFit="1" customWidth="1"/>
    <col min="17" max="17" width="14.42578125" style="36" bestFit="1" customWidth="1"/>
    <col min="18" max="16384" width="9.140625" style="36"/>
  </cols>
  <sheetData>
    <row r="1" spans="1:16" ht="15.75" thickBot="1" x14ac:dyDescent="0.3">
      <c r="A1" s="591" t="s">
        <v>0</v>
      </c>
      <c r="B1" s="61" t="s">
        <v>1</v>
      </c>
      <c r="C1" s="61" t="s">
        <v>60</v>
      </c>
      <c r="D1" s="591" t="s">
        <v>2</v>
      </c>
      <c r="E1" s="62" t="s">
        <v>3</v>
      </c>
      <c r="F1" s="62" t="s">
        <v>4</v>
      </c>
      <c r="G1" s="62" t="s">
        <v>5</v>
      </c>
      <c r="H1" s="1013" t="s">
        <v>840</v>
      </c>
      <c r="I1" s="1014" t="s">
        <v>10860</v>
      </c>
    </row>
    <row r="2" spans="1:16" x14ac:dyDescent="0.2">
      <c r="A2" s="16">
        <v>42158</v>
      </c>
      <c r="B2" s="43" t="s">
        <v>40</v>
      </c>
      <c r="C2" s="41" t="s">
        <v>107</v>
      </c>
      <c r="D2" s="787" t="s">
        <v>128</v>
      </c>
      <c r="E2" s="44"/>
      <c r="F2" s="44">
        <v>3351054</v>
      </c>
      <c r="G2" s="42">
        <f t="shared" ref="G2:G65" si="0">F2-E2</f>
        <v>3351054</v>
      </c>
      <c r="H2" s="49" t="s">
        <v>831</v>
      </c>
      <c r="K2" s="37" t="s">
        <v>127</v>
      </c>
      <c r="L2" s="38" t="s">
        <v>40</v>
      </c>
      <c r="M2" s="38" t="s">
        <v>40</v>
      </c>
      <c r="N2" s="38" t="s">
        <v>128</v>
      </c>
      <c r="O2" s="39"/>
      <c r="P2" s="39">
        <v>3351054</v>
      </c>
    </row>
    <row r="3" spans="1:16" x14ac:dyDescent="0.2">
      <c r="A3" s="592">
        <v>42185</v>
      </c>
      <c r="B3" s="43" t="s">
        <v>40</v>
      </c>
      <c r="C3" s="41" t="s">
        <v>40</v>
      </c>
      <c r="E3" s="42">
        <v>22477</v>
      </c>
      <c r="G3" s="42">
        <f t="shared" si="0"/>
        <v>-22477</v>
      </c>
      <c r="H3" s="49" t="s">
        <v>831</v>
      </c>
      <c r="N3" s="40"/>
    </row>
    <row r="4" spans="1:16" x14ac:dyDescent="0.2">
      <c r="A4" s="592">
        <v>42185</v>
      </c>
      <c r="B4" s="43" t="s">
        <v>37</v>
      </c>
      <c r="C4" s="41" t="s">
        <v>37</v>
      </c>
      <c r="F4" s="42">
        <v>2634651</v>
      </c>
      <c r="G4" s="42">
        <f t="shared" si="0"/>
        <v>2634651</v>
      </c>
      <c r="H4" s="49" t="s">
        <v>831</v>
      </c>
    </row>
    <row r="5" spans="1:16" x14ac:dyDescent="0.2">
      <c r="A5" s="16">
        <v>42185</v>
      </c>
      <c r="B5" s="41" t="s">
        <v>37</v>
      </c>
      <c r="C5" s="41" t="s">
        <v>37</v>
      </c>
      <c r="E5" s="42">
        <v>1899472</v>
      </c>
      <c r="G5" s="42">
        <f t="shared" si="0"/>
        <v>-1899472</v>
      </c>
      <c r="H5" s="49" t="s">
        <v>831</v>
      </c>
    </row>
    <row r="6" spans="1:16" x14ac:dyDescent="0.2">
      <c r="A6" s="592">
        <v>42221</v>
      </c>
      <c r="B6" s="43" t="s">
        <v>40</v>
      </c>
      <c r="C6" s="43" t="s">
        <v>40</v>
      </c>
      <c r="D6" s="787" t="s">
        <v>126</v>
      </c>
      <c r="E6" s="44"/>
      <c r="F6" s="44">
        <v>1484946</v>
      </c>
      <c r="G6" s="42">
        <f t="shared" si="0"/>
        <v>1484946</v>
      </c>
      <c r="H6" s="49" t="s">
        <v>830</v>
      </c>
    </row>
    <row r="7" spans="1:16" x14ac:dyDescent="0.2">
      <c r="A7" s="592">
        <v>42264</v>
      </c>
      <c r="B7" s="43" t="s">
        <v>40</v>
      </c>
      <c r="C7" s="43" t="s">
        <v>40</v>
      </c>
      <c r="D7" s="787" t="s">
        <v>125</v>
      </c>
      <c r="E7" s="44"/>
      <c r="F7" s="44">
        <v>744000</v>
      </c>
      <c r="G7" s="42">
        <f t="shared" si="0"/>
        <v>744000</v>
      </c>
      <c r="H7" s="49" t="s">
        <v>832</v>
      </c>
    </row>
    <row r="8" spans="1:16" x14ac:dyDescent="0.2">
      <c r="A8" s="592">
        <v>42327</v>
      </c>
      <c r="B8" s="43" t="s">
        <v>40</v>
      </c>
      <c r="C8" s="43" t="s">
        <v>40</v>
      </c>
      <c r="D8" s="787" t="s">
        <v>124</v>
      </c>
      <c r="E8" s="44"/>
      <c r="F8" s="44">
        <v>5000000</v>
      </c>
      <c r="G8" s="42">
        <f t="shared" si="0"/>
        <v>5000000</v>
      </c>
      <c r="H8" s="49" t="s">
        <v>833</v>
      </c>
    </row>
    <row r="9" spans="1:16" x14ac:dyDescent="0.2">
      <c r="A9" s="592">
        <v>42340</v>
      </c>
      <c r="B9" s="43" t="s">
        <v>40</v>
      </c>
      <c r="C9" s="43" t="s">
        <v>40</v>
      </c>
      <c r="D9" s="787" t="s">
        <v>123</v>
      </c>
      <c r="E9" s="44"/>
      <c r="F9" s="44">
        <v>2000000</v>
      </c>
      <c r="G9" s="42">
        <f t="shared" si="0"/>
        <v>2000000</v>
      </c>
      <c r="H9" s="49" t="s">
        <v>834</v>
      </c>
    </row>
    <row r="10" spans="1:16" ht="12.75" customHeight="1" x14ac:dyDescent="0.2">
      <c r="A10" s="592">
        <v>42353</v>
      </c>
      <c r="B10" s="43" t="s">
        <v>14</v>
      </c>
      <c r="C10" s="41" t="s">
        <v>14</v>
      </c>
      <c r="E10" s="42">
        <v>24500</v>
      </c>
      <c r="G10" s="42">
        <f t="shared" si="0"/>
        <v>-24500</v>
      </c>
      <c r="H10" s="49" t="s">
        <v>834</v>
      </c>
    </row>
    <row r="11" spans="1:16" ht="12.75" customHeight="1" x14ac:dyDescent="0.2">
      <c r="A11" s="592">
        <v>42353</v>
      </c>
      <c r="B11" s="43" t="s">
        <v>11</v>
      </c>
      <c r="C11" s="41" t="s">
        <v>11</v>
      </c>
      <c r="E11" s="42">
        <v>612655</v>
      </c>
      <c r="F11" s="42">
        <v>750000</v>
      </c>
      <c r="G11" s="42">
        <f t="shared" si="0"/>
        <v>137345</v>
      </c>
      <c r="H11" s="49" t="s">
        <v>834</v>
      </c>
    </row>
    <row r="12" spans="1:16" ht="12.75" customHeight="1" x14ac:dyDescent="0.2">
      <c r="A12" s="592">
        <v>42353</v>
      </c>
      <c r="B12" s="43" t="s">
        <v>14</v>
      </c>
      <c r="C12" s="41" t="s">
        <v>14</v>
      </c>
      <c r="E12" s="42">
        <v>193916</v>
      </c>
      <c r="G12" s="42">
        <f t="shared" si="0"/>
        <v>-193916</v>
      </c>
      <c r="H12" s="49" t="s">
        <v>834</v>
      </c>
    </row>
    <row r="13" spans="1:16" ht="12.75" customHeight="1" x14ac:dyDescent="0.2">
      <c r="A13" s="592">
        <v>42353</v>
      </c>
      <c r="B13" s="43" t="s">
        <v>16</v>
      </c>
      <c r="C13" s="41" t="s">
        <v>16</v>
      </c>
      <c r="E13" s="42">
        <v>793458</v>
      </c>
      <c r="G13" s="42">
        <f t="shared" si="0"/>
        <v>-793458</v>
      </c>
      <c r="H13" s="49" t="s">
        <v>834</v>
      </c>
    </row>
    <row r="14" spans="1:16" x14ac:dyDescent="0.2">
      <c r="A14" s="592">
        <v>42353</v>
      </c>
      <c r="B14" s="43" t="s">
        <v>18</v>
      </c>
      <c r="C14" s="41" t="s">
        <v>18</v>
      </c>
      <c r="E14" s="42">
        <v>138754</v>
      </c>
      <c r="F14" s="42">
        <v>200000</v>
      </c>
      <c r="G14" s="42">
        <f t="shared" si="0"/>
        <v>61246</v>
      </c>
      <c r="H14" s="49" t="s">
        <v>834</v>
      </c>
    </row>
    <row r="15" spans="1:16" x14ac:dyDescent="0.2">
      <c r="A15" s="592">
        <v>42353</v>
      </c>
      <c r="B15" s="41" t="s">
        <v>37</v>
      </c>
      <c r="C15" s="41" t="s">
        <v>37</v>
      </c>
      <c r="E15" s="42">
        <v>563065</v>
      </c>
      <c r="F15" s="42">
        <v>1133595</v>
      </c>
      <c r="G15" s="42">
        <f t="shared" si="0"/>
        <v>570530</v>
      </c>
      <c r="H15" s="49" t="s">
        <v>834</v>
      </c>
    </row>
    <row r="16" spans="1:16" x14ac:dyDescent="0.2">
      <c r="A16" s="592">
        <v>42353</v>
      </c>
      <c r="B16" s="43" t="s">
        <v>22</v>
      </c>
      <c r="C16" s="41" t="s">
        <v>22</v>
      </c>
      <c r="E16" s="42">
        <v>74620</v>
      </c>
      <c r="G16" s="42">
        <f t="shared" si="0"/>
        <v>-74620</v>
      </c>
      <c r="H16" s="49" t="s">
        <v>834</v>
      </c>
    </row>
    <row r="17" spans="1:8" x14ac:dyDescent="0.2">
      <c r="A17" s="592">
        <v>42353</v>
      </c>
      <c r="B17" s="43" t="s">
        <v>25</v>
      </c>
      <c r="C17" s="41" t="s">
        <v>1688</v>
      </c>
      <c r="E17" s="42">
        <v>1291692</v>
      </c>
      <c r="G17" s="42">
        <f t="shared" si="0"/>
        <v>-1291692</v>
      </c>
      <c r="H17" s="49" t="s">
        <v>834</v>
      </c>
    </row>
    <row r="18" spans="1:8" x14ac:dyDescent="0.2">
      <c r="A18" s="592">
        <v>42353</v>
      </c>
      <c r="B18" s="43" t="s">
        <v>37</v>
      </c>
      <c r="C18" s="41" t="s">
        <v>37</v>
      </c>
      <c r="E18" s="42">
        <v>261528</v>
      </c>
      <c r="F18" s="42">
        <v>982354</v>
      </c>
      <c r="G18" s="42">
        <f t="shared" si="0"/>
        <v>720826</v>
      </c>
      <c r="H18" s="49" t="s">
        <v>834</v>
      </c>
    </row>
    <row r="19" spans="1:8" x14ac:dyDescent="0.2">
      <c r="A19" s="592">
        <v>42353</v>
      </c>
      <c r="B19" s="41" t="s">
        <v>82</v>
      </c>
      <c r="C19" s="41" t="s">
        <v>82</v>
      </c>
      <c r="G19" s="42">
        <f t="shared" si="0"/>
        <v>0</v>
      </c>
      <c r="H19" s="49" t="s">
        <v>834</v>
      </c>
    </row>
    <row r="20" spans="1:8" x14ac:dyDescent="0.2">
      <c r="A20" s="592">
        <v>42353</v>
      </c>
      <c r="B20" s="43" t="s">
        <v>40</v>
      </c>
      <c r="C20" s="41" t="s">
        <v>40</v>
      </c>
      <c r="E20" s="42">
        <v>9654000</v>
      </c>
      <c r="G20" s="42">
        <f t="shared" si="0"/>
        <v>-9654000</v>
      </c>
      <c r="H20" s="49" t="s">
        <v>834</v>
      </c>
    </row>
    <row r="21" spans="1:8" x14ac:dyDescent="0.2">
      <c r="A21" s="592">
        <v>42380</v>
      </c>
      <c r="B21" s="41" t="s">
        <v>40</v>
      </c>
      <c r="C21" s="41" t="s">
        <v>63</v>
      </c>
      <c r="D21" s="108" t="s">
        <v>52</v>
      </c>
      <c r="E21" s="42">
        <v>4000</v>
      </c>
      <c r="G21" s="42">
        <f t="shared" si="0"/>
        <v>-4000</v>
      </c>
      <c r="H21" s="49" t="s">
        <v>835</v>
      </c>
    </row>
    <row r="22" spans="1:8" x14ac:dyDescent="0.2">
      <c r="A22" s="592">
        <v>42383</v>
      </c>
      <c r="B22" s="41" t="s">
        <v>40</v>
      </c>
      <c r="C22" s="41" t="s">
        <v>61</v>
      </c>
      <c r="D22" s="108" t="s">
        <v>48</v>
      </c>
      <c r="E22" s="42">
        <v>61232</v>
      </c>
      <c r="G22" s="42">
        <f t="shared" si="0"/>
        <v>-61232</v>
      </c>
      <c r="H22" s="49" t="s">
        <v>835</v>
      </c>
    </row>
    <row r="23" spans="1:8" x14ac:dyDescent="0.2">
      <c r="A23" s="592">
        <v>42384</v>
      </c>
      <c r="B23" s="41" t="s">
        <v>11</v>
      </c>
      <c r="C23" s="41" t="s">
        <v>11</v>
      </c>
      <c r="E23" s="42">
        <v>19360</v>
      </c>
      <c r="G23" s="42">
        <f t="shared" si="0"/>
        <v>-19360</v>
      </c>
      <c r="H23" s="49" t="s">
        <v>835</v>
      </c>
    </row>
    <row r="24" spans="1:8" x14ac:dyDescent="0.2">
      <c r="A24" s="592">
        <v>42384</v>
      </c>
      <c r="B24" s="43" t="s">
        <v>14</v>
      </c>
      <c r="C24" s="41" t="s">
        <v>14</v>
      </c>
      <c r="E24" s="42">
        <v>2460</v>
      </c>
      <c r="G24" s="42">
        <f t="shared" si="0"/>
        <v>-2460</v>
      </c>
      <c r="H24" s="49" t="s">
        <v>835</v>
      </c>
    </row>
    <row r="25" spans="1:8" x14ac:dyDescent="0.2">
      <c r="A25" s="592">
        <v>42384</v>
      </c>
      <c r="B25" s="41" t="s">
        <v>16</v>
      </c>
      <c r="C25" s="41" t="s">
        <v>16</v>
      </c>
      <c r="E25" s="42">
        <v>12011</v>
      </c>
      <c r="G25" s="42">
        <f t="shared" si="0"/>
        <v>-12011</v>
      </c>
      <c r="H25" s="49" t="s">
        <v>835</v>
      </c>
    </row>
    <row r="26" spans="1:8" x14ac:dyDescent="0.2">
      <c r="A26" s="592">
        <v>42384</v>
      </c>
      <c r="B26" s="41" t="s">
        <v>18</v>
      </c>
      <c r="C26" s="41" t="s">
        <v>18</v>
      </c>
      <c r="E26" s="42">
        <v>3950</v>
      </c>
      <c r="G26" s="42">
        <f t="shared" si="0"/>
        <v>-3950</v>
      </c>
      <c r="H26" s="49" t="s">
        <v>835</v>
      </c>
    </row>
    <row r="27" spans="1:8" x14ac:dyDescent="0.2">
      <c r="A27" s="592">
        <v>42384</v>
      </c>
      <c r="B27" s="41" t="s">
        <v>37</v>
      </c>
      <c r="C27" s="41" t="s">
        <v>37</v>
      </c>
      <c r="E27" s="42">
        <v>96520</v>
      </c>
      <c r="G27" s="42">
        <f t="shared" si="0"/>
        <v>-96520</v>
      </c>
      <c r="H27" s="49" t="s">
        <v>835</v>
      </c>
    </row>
    <row r="28" spans="1:8" x14ac:dyDescent="0.2">
      <c r="A28" s="592">
        <v>42384</v>
      </c>
      <c r="B28" s="41" t="s">
        <v>22</v>
      </c>
      <c r="C28" s="41" t="s">
        <v>22</v>
      </c>
      <c r="E28" s="42">
        <v>24451</v>
      </c>
      <c r="G28" s="42">
        <f t="shared" si="0"/>
        <v>-24451</v>
      </c>
      <c r="H28" s="49" t="s">
        <v>835</v>
      </c>
    </row>
    <row r="29" spans="1:8" x14ac:dyDescent="0.2">
      <c r="A29" s="592">
        <v>42384</v>
      </c>
      <c r="B29" s="41" t="s">
        <v>25</v>
      </c>
      <c r="C29" s="41" t="s">
        <v>1688</v>
      </c>
      <c r="E29" s="42">
        <v>28790</v>
      </c>
      <c r="G29" s="42">
        <f t="shared" si="0"/>
        <v>-28790</v>
      </c>
      <c r="H29" s="49" t="s">
        <v>835</v>
      </c>
    </row>
    <row r="30" spans="1:8" x14ac:dyDescent="0.2">
      <c r="A30" s="592">
        <v>42384</v>
      </c>
      <c r="B30" s="41" t="s">
        <v>37</v>
      </c>
      <c r="C30" s="41" t="s">
        <v>37</v>
      </c>
      <c r="E30" s="42">
        <v>10237</v>
      </c>
      <c r="G30" s="42">
        <f t="shared" si="0"/>
        <v>-10237</v>
      </c>
      <c r="H30" s="49" t="s">
        <v>835</v>
      </c>
    </row>
    <row r="31" spans="1:8" x14ac:dyDescent="0.2">
      <c r="A31" s="592">
        <v>42384</v>
      </c>
      <c r="B31" s="41" t="s">
        <v>82</v>
      </c>
      <c r="C31" s="41" t="s">
        <v>82</v>
      </c>
      <c r="E31" s="42">
        <v>3750</v>
      </c>
      <c r="G31" s="42">
        <f t="shared" si="0"/>
        <v>-3750</v>
      </c>
      <c r="H31" s="49" t="s">
        <v>835</v>
      </c>
    </row>
    <row r="32" spans="1:8" x14ac:dyDescent="0.2">
      <c r="A32" s="592">
        <v>42384</v>
      </c>
      <c r="B32" s="41" t="s">
        <v>40</v>
      </c>
      <c r="C32" s="41" t="s">
        <v>40</v>
      </c>
      <c r="E32" s="42">
        <v>1042605</v>
      </c>
      <c r="G32" s="42">
        <f t="shared" si="0"/>
        <v>-1042605</v>
      </c>
      <c r="H32" s="49" t="s">
        <v>835</v>
      </c>
    </row>
    <row r="33" spans="1:8" x14ac:dyDescent="0.2">
      <c r="A33" s="592">
        <v>42384</v>
      </c>
      <c r="B33" s="41" t="s">
        <v>40</v>
      </c>
      <c r="C33" s="41" t="s">
        <v>62</v>
      </c>
      <c r="D33" s="108" t="s">
        <v>50</v>
      </c>
      <c r="E33" s="42">
        <v>94510</v>
      </c>
      <c r="G33" s="42">
        <f t="shared" si="0"/>
        <v>-94510</v>
      </c>
      <c r="H33" s="49" t="s">
        <v>835</v>
      </c>
    </row>
    <row r="34" spans="1:8" x14ac:dyDescent="0.2">
      <c r="A34" s="592">
        <v>42384</v>
      </c>
      <c r="B34" s="41" t="s">
        <v>40</v>
      </c>
      <c r="C34" s="41" t="s">
        <v>14</v>
      </c>
      <c r="D34" s="108" t="s">
        <v>51</v>
      </c>
      <c r="E34" s="42">
        <v>1500</v>
      </c>
      <c r="G34" s="42">
        <f t="shared" si="0"/>
        <v>-1500</v>
      </c>
      <c r="H34" s="49" t="s">
        <v>835</v>
      </c>
    </row>
    <row r="35" spans="1:8" x14ac:dyDescent="0.2">
      <c r="A35" s="592">
        <v>42385</v>
      </c>
      <c r="B35" s="41" t="s">
        <v>40</v>
      </c>
      <c r="C35" s="41" t="s">
        <v>1501</v>
      </c>
      <c r="D35" s="108" t="s">
        <v>49</v>
      </c>
      <c r="E35" s="42">
        <v>26500</v>
      </c>
      <c r="G35" s="42">
        <f t="shared" si="0"/>
        <v>-26500</v>
      </c>
      <c r="H35" s="49" t="s">
        <v>835</v>
      </c>
    </row>
    <row r="36" spans="1:8" x14ac:dyDescent="0.2">
      <c r="A36" s="592">
        <v>42385</v>
      </c>
      <c r="B36" s="41" t="s">
        <v>82</v>
      </c>
      <c r="C36" s="41" t="s">
        <v>64</v>
      </c>
      <c r="D36" s="108" t="s">
        <v>54</v>
      </c>
      <c r="E36" s="42">
        <v>50000</v>
      </c>
      <c r="G36" s="42">
        <f t="shared" si="0"/>
        <v>-50000</v>
      </c>
      <c r="H36" s="49" t="s">
        <v>835</v>
      </c>
    </row>
    <row r="37" spans="1:8" x14ac:dyDescent="0.2">
      <c r="A37" s="592">
        <v>42385</v>
      </c>
      <c r="B37" s="41" t="s">
        <v>11</v>
      </c>
      <c r="C37" s="41" t="s">
        <v>1167</v>
      </c>
      <c r="D37" s="788" t="s">
        <v>56</v>
      </c>
      <c r="E37" s="42">
        <v>4000</v>
      </c>
      <c r="G37" s="42">
        <f t="shared" si="0"/>
        <v>-4000</v>
      </c>
      <c r="H37" s="49" t="s">
        <v>835</v>
      </c>
    </row>
    <row r="38" spans="1:8" x14ac:dyDescent="0.2">
      <c r="A38" s="592">
        <v>42385</v>
      </c>
      <c r="B38" s="41" t="s">
        <v>40</v>
      </c>
      <c r="C38" s="41" t="s">
        <v>1501</v>
      </c>
      <c r="D38" s="108" t="s">
        <v>84</v>
      </c>
      <c r="E38" s="42">
        <v>500</v>
      </c>
      <c r="G38" s="42">
        <f t="shared" si="0"/>
        <v>-500</v>
      </c>
      <c r="H38" s="49" t="s">
        <v>835</v>
      </c>
    </row>
    <row r="39" spans="1:8" ht="12.75" customHeight="1" x14ac:dyDescent="0.2">
      <c r="A39" s="592">
        <v>42385</v>
      </c>
      <c r="B39" s="41" t="s">
        <v>82</v>
      </c>
      <c r="C39" s="41" t="s">
        <v>85</v>
      </c>
      <c r="D39" s="108" t="s">
        <v>86</v>
      </c>
      <c r="E39" s="42">
        <v>530</v>
      </c>
      <c r="G39" s="42">
        <f t="shared" si="0"/>
        <v>-530</v>
      </c>
      <c r="H39" s="49" t="s">
        <v>835</v>
      </c>
    </row>
    <row r="40" spans="1:8" x14ac:dyDescent="0.2">
      <c r="A40" s="592">
        <v>42387</v>
      </c>
      <c r="B40" s="41" t="s">
        <v>25</v>
      </c>
      <c r="C40" s="41" t="s">
        <v>73</v>
      </c>
      <c r="D40" s="108" t="s">
        <v>72</v>
      </c>
      <c r="E40" s="42">
        <v>20738</v>
      </c>
      <c r="G40" s="42">
        <f t="shared" si="0"/>
        <v>-20738</v>
      </c>
      <c r="H40" s="49" t="s">
        <v>835</v>
      </c>
    </row>
    <row r="41" spans="1:8" x14ac:dyDescent="0.2">
      <c r="A41" s="592">
        <v>42387</v>
      </c>
      <c r="B41" s="41" t="s">
        <v>82</v>
      </c>
      <c r="C41" s="41" t="s">
        <v>85</v>
      </c>
      <c r="D41" s="108" t="s">
        <v>89</v>
      </c>
      <c r="E41" s="42">
        <v>3500</v>
      </c>
      <c r="G41" s="42">
        <f t="shared" si="0"/>
        <v>-3500</v>
      </c>
      <c r="H41" s="49" t="s">
        <v>835</v>
      </c>
    </row>
    <row r="42" spans="1:8" x14ac:dyDescent="0.2">
      <c r="A42" s="592">
        <v>42387</v>
      </c>
      <c r="B42" s="41" t="s">
        <v>40</v>
      </c>
      <c r="C42" s="41" t="s">
        <v>1167</v>
      </c>
      <c r="D42" s="789" t="s">
        <v>90</v>
      </c>
      <c r="E42" s="42">
        <v>10000</v>
      </c>
      <c r="G42" s="42">
        <f t="shared" si="0"/>
        <v>-10000</v>
      </c>
      <c r="H42" s="49" t="s">
        <v>835</v>
      </c>
    </row>
    <row r="43" spans="1:8" x14ac:dyDescent="0.2">
      <c r="A43" s="592">
        <v>42387</v>
      </c>
      <c r="B43" s="41" t="s">
        <v>40</v>
      </c>
      <c r="C43" s="41" t="s">
        <v>1167</v>
      </c>
      <c r="D43" s="789" t="s">
        <v>91</v>
      </c>
      <c r="E43" s="42">
        <v>6000</v>
      </c>
      <c r="G43" s="42">
        <f t="shared" si="0"/>
        <v>-6000</v>
      </c>
      <c r="H43" s="49" t="s">
        <v>835</v>
      </c>
    </row>
    <row r="44" spans="1:8" x14ac:dyDescent="0.2">
      <c r="A44" s="592">
        <v>42388</v>
      </c>
      <c r="B44" s="41" t="s">
        <v>40</v>
      </c>
      <c r="C44" s="41" t="s">
        <v>14</v>
      </c>
      <c r="D44" s="108" t="s">
        <v>14</v>
      </c>
      <c r="E44" s="42">
        <v>8045</v>
      </c>
      <c r="G44" s="42">
        <f t="shared" si="0"/>
        <v>-8045</v>
      </c>
      <c r="H44" s="49" t="s">
        <v>835</v>
      </c>
    </row>
    <row r="45" spans="1:8" x14ac:dyDescent="0.2">
      <c r="A45" s="592">
        <v>42388</v>
      </c>
      <c r="B45" s="41" t="s">
        <v>40</v>
      </c>
      <c r="C45" s="41" t="s">
        <v>68</v>
      </c>
      <c r="D45" s="108" t="s">
        <v>58</v>
      </c>
      <c r="E45" s="42">
        <f>11635+950</f>
        <v>12585</v>
      </c>
      <c r="G45" s="42">
        <f t="shared" si="0"/>
        <v>-12585</v>
      </c>
      <c r="H45" s="49" t="s">
        <v>835</v>
      </c>
    </row>
    <row r="46" spans="1:8" ht="12.75" customHeight="1" x14ac:dyDescent="0.2">
      <c r="A46" s="592">
        <v>42388</v>
      </c>
      <c r="B46" s="41" t="s">
        <v>22</v>
      </c>
      <c r="C46" s="41" t="s">
        <v>64</v>
      </c>
      <c r="D46" s="108" t="s">
        <v>92</v>
      </c>
      <c r="E46" s="42">
        <v>350</v>
      </c>
      <c r="G46" s="42">
        <f t="shared" si="0"/>
        <v>-350</v>
      </c>
      <c r="H46" s="49" t="s">
        <v>835</v>
      </c>
    </row>
    <row r="47" spans="1:8" ht="12.75" customHeight="1" x14ac:dyDescent="0.2">
      <c r="A47" s="592">
        <v>42388</v>
      </c>
      <c r="B47" s="41" t="s">
        <v>37</v>
      </c>
      <c r="C47" s="41" t="s">
        <v>1167</v>
      </c>
      <c r="D47" s="789" t="s">
        <v>93</v>
      </c>
      <c r="E47" s="42">
        <v>3000</v>
      </c>
      <c r="G47" s="42">
        <f t="shared" si="0"/>
        <v>-3000</v>
      </c>
      <c r="H47" s="49" t="s">
        <v>835</v>
      </c>
    </row>
    <row r="48" spans="1:8" ht="12.75" customHeight="1" x14ac:dyDescent="0.2">
      <c r="A48" s="592">
        <v>42388</v>
      </c>
      <c r="B48" s="41" t="s">
        <v>40</v>
      </c>
      <c r="C48" s="41" t="s">
        <v>929</v>
      </c>
      <c r="D48" s="108" t="s">
        <v>94</v>
      </c>
      <c r="E48" s="42">
        <v>5000</v>
      </c>
      <c r="G48" s="42">
        <f t="shared" si="0"/>
        <v>-5000</v>
      </c>
      <c r="H48" s="49" t="s">
        <v>835</v>
      </c>
    </row>
    <row r="49" spans="1:8" ht="12.75" customHeight="1" x14ac:dyDescent="0.2">
      <c r="A49" s="592">
        <v>42389</v>
      </c>
      <c r="B49" s="41" t="s">
        <v>11</v>
      </c>
      <c r="C49" s="41" t="s">
        <v>66</v>
      </c>
      <c r="D49" s="108" t="s">
        <v>55</v>
      </c>
      <c r="E49" s="42">
        <v>13748</v>
      </c>
      <c r="G49" s="42">
        <f t="shared" si="0"/>
        <v>-13748</v>
      </c>
      <c r="H49" s="49" t="s">
        <v>835</v>
      </c>
    </row>
    <row r="50" spans="1:8" x14ac:dyDescent="0.2">
      <c r="A50" s="592">
        <v>42389</v>
      </c>
      <c r="B50" s="41" t="s">
        <v>11</v>
      </c>
      <c r="C50" s="41" t="s">
        <v>67</v>
      </c>
      <c r="D50" s="108" t="s">
        <v>57</v>
      </c>
      <c r="E50" s="42">
        <v>31750</v>
      </c>
      <c r="G50" s="42">
        <f t="shared" si="0"/>
        <v>-31750</v>
      </c>
      <c r="H50" s="49" t="s">
        <v>835</v>
      </c>
    </row>
    <row r="51" spans="1:8" x14ac:dyDescent="0.2">
      <c r="A51" s="592">
        <v>42389</v>
      </c>
      <c r="B51" s="41" t="s">
        <v>16</v>
      </c>
      <c r="D51" s="108" t="s">
        <v>59</v>
      </c>
      <c r="E51" s="42">
        <v>4419</v>
      </c>
      <c r="G51" s="42">
        <f t="shared" si="0"/>
        <v>-4419</v>
      </c>
      <c r="H51" s="49" t="s">
        <v>835</v>
      </c>
    </row>
    <row r="52" spans="1:8" ht="12.75" customHeight="1" x14ac:dyDescent="0.2">
      <c r="A52" s="592">
        <v>42389</v>
      </c>
      <c r="B52" s="41" t="s">
        <v>40</v>
      </c>
      <c r="C52" s="41" t="s">
        <v>14</v>
      </c>
      <c r="D52" s="108" t="s">
        <v>72</v>
      </c>
      <c r="E52" s="42">
        <v>6490</v>
      </c>
      <c r="G52" s="42">
        <f t="shared" si="0"/>
        <v>-6490</v>
      </c>
      <c r="H52" s="49" t="s">
        <v>835</v>
      </c>
    </row>
    <row r="53" spans="1:8" x14ac:dyDescent="0.2">
      <c r="A53" s="592">
        <v>42389</v>
      </c>
      <c r="B53" s="41" t="s">
        <v>37</v>
      </c>
      <c r="C53" s="41" t="s">
        <v>95</v>
      </c>
      <c r="D53" s="108" t="s">
        <v>96</v>
      </c>
      <c r="E53" s="42">
        <v>535</v>
      </c>
      <c r="G53" s="42">
        <f t="shared" si="0"/>
        <v>-535</v>
      </c>
      <c r="H53" s="49" t="s">
        <v>835</v>
      </c>
    </row>
    <row r="54" spans="1:8" x14ac:dyDescent="0.2">
      <c r="A54" s="592">
        <v>42389</v>
      </c>
      <c r="B54" s="41" t="s">
        <v>22</v>
      </c>
      <c r="C54" s="41" t="s">
        <v>95</v>
      </c>
      <c r="D54" s="108" t="s">
        <v>97</v>
      </c>
      <c r="E54" s="42">
        <v>3850</v>
      </c>
      <c r="G54" s="42">
        <f t="shared" si="0"/>
        <v>-3850</v>
      </c>
      <c r="H54" s="49" t="s">
        <v>835</v>
      </c>
    </row>
    <row r="55" spans="1:8" ht="12.75" customHeight="1" x14ac:dyDescent="0.2">
      <c r="A55" s="592">
        <v>42389</v>
      </c>
      <c r="B55" s="41" t="s">
        <v>16</v>
      </c>
      <c r="C55" s="41" t="s">
        <v>95</v>
      </c>
      <c r="D55" s="108" t="s">
        <v>98</v>
      </c>
      <c r="E55" s="42">
        <v>3265</v>
      </c>
      <c r="G55" s="42">
        <f t="shared" si="0"/>
        <v>-3265</v>
      </c>
      <c r="H55" s="49" t="s">
        <v>835</v>
      </c>
    </row>
    <row r="56" spans="1:8" ht="12.75" customHeight="1" x14ac:dyDescent="0.2">
      <c r="A56" s="592">
        <v>42389</v>
      </c>
      <c r="B56" s="41" t="s">
        <v>40</v>
      </c>
      <c r="C56" s="41" t="s">
        <v>80</v>
      </c>
      <c r="D56" s="108" t="s">
        <v>99</v>
      </c>
      <c r="E56" s="42">
        <v>1930</v>
      </c>
      <c r="G56" s="42">
        <f t="shared" si="0"/>
        <v>-1930</v>
      </c>
      <c r="H56" s="49" t="s">
        <v>835</v>
      </c>
    </row>
    <row r="57" spans="1:8" ht="12.75" customHeight="1" x14ac:dyDescent="0.2">
      <c r="A57" s="592">
        <v>42389</v>
      </c>
      <c r="B57" s="41" t="s">
        <v>40</v>
      </c>
      <c r="C57" s="41" t="s">
        <v>1167</v>
      </c>
      <c r="D57" s="789" t="s">
        <v>100</v>
      </c>
      <c r="E57" s="42">
        <v>12000</v>
      </c>
      <c r="G57" s="42">
        <f t="shared" si="0"/>
        <v>-12000</v>
      </c>
      <c r="H57" s="49" t="s">
        <v>835</v>
      </c>
    </row>
    <row r="58" spans="1:8" ht="12.75" customHeight="1" x14ac:dyDescent="0.2">
      <c r="A58" s="592">
        <v>42390</v>
      </c>
      <c r="B58" s="41" t="s">
        <v>40</v>
      </c>
      <c r="C58" s="41" t="s">
        <v>1167</v>
      </c>
      <c r="D58" s="788" t="s">
        <v>79</v>
      </c>
      <c r="E58" s="42">
        <v>10000</v>
      </c>
      <c r="G58" s="42">
        <f t="shared" si="0"/>
        <v>-10000</v>
      </c>
      <c r="H58" s="49" t="s">
        <v>835</v>
      </c>
    </row>
    <row r="59" spans="1:8" x14ac:dyDescent="0.2">
      <c r="A59" s="592">
        <v>42390</v>
      </c>
      <c r="B59" s="41" t="s">
        <v>40</v>
      </c>
      <c r="C59" s="41" t="s">
        <v>1167</v>
      </c>
      <c r="D59" s="788" t="s">
        <v>53</v>
      </c>
      <c r="E59" s="42">
        <v>10000</v>
      </c>
      <c r="G59" s="42">
        <f t="shared" si="0"/>
        <v>-10000</v>
      </c>
      <c r="H59" s="49" t="s">
        <v>835</v>
      </c>
    </row>
    <row r="60" spans="1:8" x14ac:dyDescent="0.2">
      <c r="A60" s="592">
        <v>42390</v>
      </c>
      <c r="B60" s="41" t="s">
        <v>25</v>
      </c>
      <c r="C60" s="41" t="s">
        <v>70</v>
      </c>
      <c r="D60" s="108" t="s">
        <v>71</v>
      </c>
      <c r="E60" s="42">
        <v>49850</v>
      </c>
      <c r="G60" s="42">
        <f t="shared" si="0"/>
        <v>-49850</v>
      </c>
      <c r="H60" s="49" t="s">
        <v>835</v>
      </c>
    </row>
    <row r="61" spans="1:8" ht="12.75" customHeight="1" x14ac:dyDescent="0.2">
      <c r="A61" s="592">
        <v>42390</v>
      </c>
      <c r="B61" s="41" t="s">
        <v>82</v>
      </c>
      <c r="C61" s="41" t="s">
        <v>1894</v>
      </c>
      <c r="D61" s="108" t="s">
        <v>72</v>
      </c>
      <c r="E61" s="42">
        <v>4338</v>
      </c>
      <c r="G61" s="42">
        <f t="shared" si="0"/>
        <v>-4338</v>
      </c>
      <c r="H61" s="49" t="s">
        <v>835</v>
      </c>
    </row>
    <row r="62" spans="1:8" x14ac:dyDescent="0.2">
      <c r="A62" s="592">
        <v>42390</v>
      </c>
      <c r="B62" s="41" t="s">
        <v>11</v>
      </c>
      <c r="C62" s="41" t="s">
        <v>1167</v>
      </c>
      <c r="D62" s="789" t="s">
        <v>102</v>
      </c>
      <c r="E62" s="42">
        <v>3000</v>
      </c>
      <c r="G62" s="42">
        <f t="shared" si="0"/>
        <v>-3000</v>
      </c>
      <c r="H62" s="49" t="s">
        <v>835</v>
      </c>
    </row>
    <row r="63" spans="1:8" x14ac:dyDescent="0.2">
      <c r="A63" s="592">
        <v>42390</v>
      </c>
      <c r="B63" s="41" t="s">
        <v>16</v>
      </c>
      <c r="C63" s="41" t="s">
        <v>103</v>
      </c>
      <c r="D63" s="108" t="s">
        <v>104</v>
      </c>
      <c r="E63" s="42">
        <v>5445</v>
      </c>
      <c r="G63" s="42">
        <f t="shared" si="0"/>
        <v>-5445</v>
      </c>
      <c r="H63" s="49" t="s">
        <v>835</v>
      </c>
    </row>
    <row r="64" spans="1:8" ht="12.75" customHeight="1" x14ac:dyDescent="0.2">
      <c r="A64" s="592">
        <v>42390</v>
      </c>
      <c r="B64" s="41" t="s">
        <v>40</v>
      </c>
      <c r="C64" s="41" t="s">
        <v>1894</v>
      </c>
      <c r="D64" s="108" t="s">
        <v>105</v>
      </c>
      <c r="E64" s="42">
        <v>600</v>
      </c>
      <c r="G64" s="42">
        <f t="shared" si="0"/>
        <v>-600</v>
      </c>
      <c r="H64" s="49" t="s">
        <v>835</v>
      </c>
    </row>
    <row r="65" spans="1:8" ht="12.75" customHeight="1" x14ac:dyDescent="0.2">
      <c r="A65" s="592">
        <v>42391</v>
      </c>
      <c r="B65" s="41" t="s">
        <v>40</v>
      </c>
      <c r="C65" s="41" t="s">
        <v>107</v>
      </c>
      <c r="D65" s="108" t="s">
        <v>89</v>
      </c>
      <c r="E65" s="42">
        <v>410</v>
      </c>
      <c r="G65" s="42">
        <f t="shared" si="0"/>
        <v>-410</v>
      </c>
      <c r="H65" s="49" t="s">
        <v>835</v>
      </c>
    </row>
    <row r="66" spans="1:8" ht="12.75" customHeight="1" x14ac:dyDescent="0.2">
      <c r="A66" s="592">
        <v>42392</v>
      </c>
      <c r="B66" s="41" t="s">
        <v>40</v>
      </c>
      <c r="C66" s="41" t="s">
        <v>929</v>
      </c>
      <c r="D66" s="108" t="s">
        <v>76</v>
      </c>
      <c r="E66" s="42">
        <v>30000</v>
      </c>
      <c r="G66" s="42">
        <f t="shared" ref="G66:G129" si="1">F66-E66</f>
        <v>-30000</v>
      </c>
      <c r="H66" s="49" t="s">
        <v>835</v>
      </c>
    </row>
    <row r="67" spans="1:8" x14ac:dyDescent="0.2">
      <c r="A67" s="592">
        <v>42392</v>
      </c>
      <c r="B67" s="41" t="s">
        <v>11</v>
      </c>
      <c r="C67" s="41" t="s">
        <v>77</v>
      </c>
      <c r="D67" s="108" t="s">
        <v>78</v>
      </c>
      <c r="E67" s="42">
        <v>47775</v>
      </c>
      <c r="G67" s="42">
        <f t="shared" si="1"/>
        <v>-47775</v>
      </c>
      <c r="H67" s="49" t="s">
        <v>835</v>
      </c>
    </row>
    <row r="68" spans="1:8" x14ac:dyDescent="0.2">
      <c r="A68" s="592">
        <v>42392</v>
      </c>
      <c r="B68" s="41" t="s">
        <v>16</v>
      </c>
      <c r="C68" s="41" t="s">
        <v>1167</v>
      </c>
      <c r="D68" s="789" t="s">
        <v>108</v>
      </c>
      <c r="E68" s="42">
        <v>5000</v>
      </c>
      <c r="G68" s="42">
        <f t="shared" si="1"/>
        <v>-5000</v>
      </c>
      <c r="H68" s="49" t="s">
        <v>835</v>
      </c>
    </row>
    <row r="69" spans="1:8" x14ac:dyDescent="0.2">
      <c r="A69" s="592">
        <v>42394</v>
      </c>
      <c r="B69" s="41" t="s">
        <v>40</v>
      </c>
      <c r="C69" s="41" t="s">
        <v>80</v>
      </c>
      <c r="D69" s="108" t="s">
        <v>81</v>
      </c>
      <c r="E69" s="42">
        <v>13147</v>
      </c>
      <c r="G69" s="42">
        <f t="shared" si="1"/>
        <v>-13147</v>
      </c>
      <c r="H69" s="49" t="s">
        <v>835</v>
      </c>
    </row>
    <row r="70" spans="1:8" x14ac:dyDescent="0.2">
      <c r="A70" s="592">
        <v>42394</v>
      </c>
      <c r="B70" s="41" t="s">
        <v>82</v>
      </c>
      <c r="C70" s="41" t="s">
        <v>886</v>
      </c>
      <c r="D70" s="108" t="s">
        <v>83</v>
      </c>
      <c r="E70" s="42">
        <v>150000</v>
      </c>
      <c r="G70" s="42">
        <f t="shared" si="1"/>
        <v>-150000</v>
      </c>
      <c r="H70" s="49" t="s">
        <v>835</v>
      </c>
    </row>
    <row r="71" spans="1:8" x14ac:dyDescent="0.2">
      <c r="A71" s="592">
        <v>42394</v>
      </c>
      <c r="B71" s="41" t="s">
        <v>16</v>
      </c>
      <c r="C71" s="41" t="s">
        <v>67</v>
      </c>
      <c r="D71" s="108" t="s">
        <v>109</v>
      </c>
      <c r="E71" s="42">
        <v>1100</v>
      </c>
      <c r="G71" s="42">
        <f t="shared" si="1"/>
        <v>-1100</v>
      </c>
      <c r="H71" s="49" t="s">
        <v>835</v>
      </c>
    </row>
    <row r="72" spans="1:8" ht="16.5" customHeight="1" x14ac:dyDescent="0.2">
      <c r="A72" s="592">
        <v>42394</v>
      </c>
      <c r="B72" s="41" t="s">
        <v>40</v>
      </c>
      <c r="C72" s="41" t="s">
        <v>64</v>
      </c>
      <c r="D72" s="108" t="s">
        <v>110</v>
      </c>
      <c r="E72" s="42">
        <v>500</v>
      </c>
      <c r="G72" s="42">
        <f t="shared" si="1"/>
        <v>-500</v>
      </c>
      <c r="H72" s="49" t="s">
        <v>835</v>
      </c>
    </row>
    <row r="73" spans="1:8" x14ac:dyDescent="0.2">
      <c r="A73" s="592">
        <v>42394</v>
      </c>
      <c r="B73" s="41" t="s">
        <v>82</v>
      </c>
      <c r="C73" s="41" t="s">
        <v>64</v>
      </c>
      <c r="D73" s="108" t="s">
        <v>110</v>
      </c>
      <c r="E73" s="42">
        <v>500</v>
      </c>
      <c r="G73" s="42">
        <f t="shared" si="1"/>
        <v>-500</v>
      </c>
      <c r="H73" s="49" t="s">
        <v>835</v>
      </c>
    </row>
    <row r="74" spans="1:8" x14ac:dyDescent="0.2">
      <c r="A74" s="592">
        <v>42394</v>
      </c>
      <c r="B74" s="41" t="s">
        <v>25</v>
      </c>
      <c r="C74" s="41" t="s">
        <v>111</v>
      </c>
      <c r="D74" s="108" t="s">
        <v>112</v>
      </c>
      <c r="E74" s="42">
        <v>1590</v>
      </c>
      <c r="G74" s="42">
        <f t="shared" si="1"/>
        <v>-1590</v>
      </c>
      <c r="H74" s="49" t="s">
        <v>835</v>
      </c>
    </row>
    <row r="75" spans="1:8" x14ac:dyDescent="0.2">
      <c r="A75" s="592">
        <v>42394</v>
      </c>
      <c r="B75" s="41" t="s">
        <v>25</v>
      </c>
      <c r="C75" s="41" t="s">
        <v>1689</v>
      </c>
      <c r="D75" s="108" t="s">
        <v>113</v>
      </c>
      <c r="E75" s="42">
        <v>10421</v>
      </c>
      <c r="G75" s="42">
        <f t="shared" si="1"/>
        <v>-10421</v>
      </c>
      <c r="H75" s="49" t="s">
        <v>835</v>
      </c>
    </row>
    <row r="76" spans="1:8" x14ac:dyDescent="0.2">
      <c r="A76" s="592">
        <v>42394</v>
      </c>
      <c r="B76" s="41" t="s">
        <v>16</v>
      </c>
      <c r="C76" s="41" t="s">
        <v>1689</v>
      </c>
      <c r="D76" s="108" t="s">
        <v>113</v>
      </c>
      <c r="E76" s="42">
        <v>15561</v>
      </c>
      <c r="G76" s="42">
        <f t="shared" si="1"/>
        <v>-15561</v>
      </c>
      <c r="H76" s="49" t="s">
        <v>835</v>
      </c>
    </row>
    <row r="77" spans="1:8" x14ac:dyDescent="0.2">
      <c r="A77" s="592">
        <v>42395</v>
      </c>
      <c r="B77" s="41" t="s">
        <v>40</v>
      </c>
      <c r="C77" s="41" t="s">
        <v>1167</v>
      </c>
      <c r="D77" s="789" t="s">
        <v>114</v>
      </c>
      <c r="E77" s="42">
        <v>1000</v>
      </c>
      <c r="G77" s="42">
        <f t="shared" si="1"/>
        <v>-1000</v>
      </c>
      <c r="H77" s="49" t="s">
        <v>835</v>
      </c>
    </row>
    <row r="78" spans="1:8" x14ac:dyDescent="0.2">
      <c r="A78" s="592">
        <v>42395</v>
      </c>
      <c r="B78" s="41" t="s">
        <v>40</v>
      </c>
      <c r="C78" s="41" t="s">
        <v>107</v>
      </c>
      <c r="D78" s="108" t="s">
        <v>115</v>
      </c>
      <c r="F78" s="42">
        <v>1000000</v>
      </c>
      <c r="G78" s="42">
        <f t="shared" si="1"/>
        <v>1000000</v>
      </c>
      <c r="H78" s="49" t="s">
        <v>835</v>
      </c>
    </row>
    <row r="79" spans="1:8" x14ac:dyDescent="0.2">
      <c r="A79" s="592">
        <v>42395</v>
      </c>
      <c r="B79" s="41" t="s">
        <v>40</v>
      </c>
      <c r="C79" s="41" t="s">
        <v>107</v>
      </c>
      <c r="D79" s="108" t="s">
        <v>116</v>
      </c>
      <c r="F79" s="42">
        <v>1000000</v>
      </c>
      <c r="G79" s="42">
        <f t="shared" si="1"/>
        <v>1000000</v>
      </c>
      <c r="H79" s="49" t="s">
        <v>835</v>
      </c>
    </row>
    <row r="80" spans="1:8" x14ac:dyDescent="0.2">
      <c r="A80" s="592">
        <v>42395</v>
      </c>
      <c r="B80" s="41" t="s">
        <v>40</v>
      </c>
      <c r="C80" s="41" t="s">
        <v>64</v>
      </c>
      <c r="D80" s="108" t="s">
        <v>131</v>
      </c>
      <c r="E80" s="42">
        <v>500</v>
      </c>
      <c r="G80" s="42">
        <f t="shared" si="1"/>
        <v>-500</v>
      </c>
      <c r="H80" s="49" t="s">
        <v>835</v>
      </c>
    </row>
    <row r="81" spans="1:8" x14ac:dyDescent="0.2">
      <c r="A81" s="592">
        <v>42395</v>
      </c>
      <c r="B81" s="41" t="s">
        <v>82</v>
      </c>
      <c r="C81" s="41" t="s">
        <v>132</v>
      </c>
      <c r="D81" s="108" t="s">
        <v>133</v>
      </c>
      <c r="E81" s="42">
        <v>50000</v>
      </c>
      <c r="G81" s="42">
        <f t="shared" si="1"/>
        <v>-50000</v>
      </c>
      <c r="H81" s="49" t="s">
        <v>835</v>
      </c>
    </row>
    <row r="82" spans="1:8" x14ac:dyDescent="0.2">
      <c r="A82" s="592">
        <v>42395</v>
      </c>
      <c r="B82" s="41" t="s">
        <v>40</v>
      </c>
      <c r="C82" s="41" t="s">
        <v>1167</v>
      </c>
      <c r="D82" s="789" t="s">
        <v>134</v>
      </c>
      <c r="E82" s="42">
        <v>4000</v>
      </c>
      <c r="G82" s="42">
        <f t="shared" si="1"/>
        <v>-4000</v>
      </c>
      <c r="H82" s="49" t="s">
        <v>835</v>
      </c>
    </row>
    <row r="83" spans="1:8" x14ac:dyDescent="0.2">
      <c r="A83" s="592">
        <v>42395</v>
      </c>
      <c r="B83" s="41" t="s">
        <v>16</v>
      </c>
      <c r="C83" s="41" t="s">
        <v>1167</v>
      </c>
      <c r="D83" s="789" t="s">
        <v>136</v>
      </c>
      <c r="E83" s="42">
        <v>2000</v>
      </c>
      <c r="G83" s="42">
        <f t="shared" si="1"/>
        <v>-2000</v>
      </c>
      <c r="H83" s="49" t="s">
        <v>835</v>
      </c>
    </row>
    <row r="84" spans="1:8" x14ac:dyDescent="0.2">
      <c r="A84" s="592">
        <v>42395</v>
      </c>
      <c r="B84" s="41" t="s">
        <v>40</v>
      </c>
      <c r="C84" s="41" t="s">
        <v>895</v>
      </c>
      <c r="D84" s="108" t="s">
        <v>138</v>
      </c>
      <c r="E84" s="42">
        <v>570000</v>
      </c>
      <c r="G84" s="42">
        <f t="shared" si="1"/>
        <v>-570000</v>
      </c>
      <c r="H84" s="49" t="s">
        <v>835</v>
      </c>
    </row>
    <row r="85" spans="1:8" x14ac:dyDescent="0.2">
      <c r="A85" s="592">
        <v>42396</v>
      </c>
      <c r="B85" s="41" t="s">
        <v>40</v>
      </c>
      <c r="C85" s="41" t="s">
        <v>107</v>
      </c>
      <c r="D85" s="108" t="s">
        <v>117</v>
      </c>
      <c r="F85" s="42">
        <v>1000000</v>
      </c>
      <c r="G85" s="42">
        <f t="shared" si="1"/>
        <v>1000000</v>
      </c>
      <c r="H85" s="49" t="s">
        <v>835</v>
      </c>
    </row>
    <row r="86" spans="1:8" x14ac:dyDescent="0.2">
      <c r="A86" s="592">
        <v>42396</v>
      </c>
      <c r="B86" s="41" t="s">
        <v>37</v>
      </c>
      <c r="C86" s="41" t="s">
        <v>1167</v>
      </c>
      <c r="D86" s="789" t="s">
        <v>135</v>
      </c>
      <c r="E86" s="42">
        <v>5000</v>
      </c>
      <c r="G86" s="42">
        <f t="shared" si="1"/>
        <v>-5000</v>
      </c>
      <c r="H86" s="49" t="s">
        <v>835</v>
      </c>
    </row>
    <row r="87" spans="1:8" x14ac:dyDescent="0.2">
      <c r="A87" s="592">
        <v>42396</v>
      </c>
      <c r="B87" s="41" t="s">
        <v>40</v>
      </c>
      <c r="C87" s="41" t="s">
        <v>1894</v>
      </c>
      <c r="D87" s="108" t="s">
        <v>139</v>
      </c>
      <c r="E87" s="42">
        <v>8270</v>
      </c>
      <c r="G87" s="42">
        <f t="shared" si="1"/>
        <v>-8270</v>
      </c>
      <c r="H87" s="49" t="s">
        <v>835</v>
      </c>
    </row>
    <row r="88" spans="1:8" x14ac:dyDescent="0.2">
      <c r="A88" s="592">
        <v>42396</v>
      </c>
      <c r="B88" s="41" t="s">
        <v>16</v>
      </c>
      <c r="C88" s="41" t="s">
        <v>142</v>
      </c>
      <c r="D88" s="108" t="s">
        <v>143</v>
      </c>
      <c r="E88" s="42">
        <v>7500</v>
      </c>
      <c r="G88" s="42">
        <f t="shared" si="1"/>
        <v>-7500</v>
      </c>
      <c r="H88" s="49" t="s">
        <v>835</v>
      </c>
    </row>
    <row r="89" spans="1:8" x14ac:dyDescent="0.2">
      <c r="A89" s="592">
        <v>42397</v>
      </c>
      <c r="B89" s="41" t="s">
        <v>40</v>
      </c>
      <c r="C89" s="41" t="s">
        <v>40</v>
      </c>
      <c r="D89" s="108" t="s">
        <v>119</v>
      </c>
      <c r="F89" s="42">
        <v>1000000</v>
      </c>
      <c r="G89" s="42">
        <f t="shared" si="1"/>
        <v>1000000</v>
      </c>
      <c r="H89" s="49" t="s">
        <v>835</v>
      </c>
    </row>
    <row r="90" spans="1:8" x14ac:dyDescent="0.2">
      <c r="A90" s="592">
        <v>42397</v>
      </c>
      <c r="B90" s="41" t="s">
        <v>82</v>
      </c>
      <c r="C90" s="41" t="s">
        <v>1167</v>
      </c>
      <c r="D90" s="789" t="s">
        <v>140</v>
      </c>
      <c r="E90" s="42">
        <v>10000</v>
      </c>
      <c r="G90" s="42">
        <f t="shared" si="1"/>
        <v>-10000</v>
      </c>
      <c r="H90" s="49" t="s">
        <v>835</v>
      </c>
    </row>
    <row r="91" spans="1:8" x14ac:dyDescent="0.2">
      <c r="A91" s="592">
        <v>42397</v>
      </c>
      <c r="B91" s="41" t="s">
        <v>40</v>
      </c>
      <c r="C91" s="41" t="s">
        <v>551</v>
      </c>
      <c r="D91" s="108" t="s">
        <v>141</v>
      </c>
      <c r="E91" s="42">
        <v>25000</v>
      </c>
      <c r="G91" s="42">
        <f t="shared" si="1"/>
        <v>-25000</v>
      </c>
      <c r="H91" s="49" t="s">
        <v>835</v>
      </c>
    </row>
    <row r="92" spans="1:8" ht="16.5" customHeight="1" x14ac:dyDescent="0.2">
      <c r="A92" s="592">
        <v>42397</v>
      </c>
      <c r="B92" s="41" t="s">
        <v>82</v>
      </c>
      <c r="C92" s="41" t="s">
        <v>14</v>
      </c>
      <c r="D92" s="108" t="s">
        <v>144</v>
      </c>
      <c r="E92" s="42">
        <v>700</v>
      </c>
      <c r="G92" s="42">
        <f t="shared" si="1"/>
        <v>-700</v>
      </c>
      <c r="H92" s="49" t="s">
        <v>835</v>
      </c>
    </row>
    <row r="93" spans="1:8" ht="16.5" customHeight="1" x14ac:dyDescent="0.2">
      <c r="A93" s="592">
        <v>42397</v>
      </c>
      <c r="B93" s="41" t="s">
        <v>25</v>
      </c>
      <c r="C93" s="41" t="s">
        <v>64</v>
      </c>
      <c r="D93" s="108" t="s">
        <v>145</v>
      </c>
      <c r="E93" s="42">
        <v>1000</v>
      </c>
      <c r="G93" s="42">
        <f t="shared" si="1"/>
        <v>-1000</v>
      </c>
      <c r="H93" s="49" t="s">
        <v>835</v>
      </c>
    </row>
    <row r="94" spans="1:8" x14ac:dyDescent="0.2">
      <c r="A94" s="592">
        <v>42397</v>
      </c>
      <c r="B94" s="41" t="s">
        <v>40</v>
      </c>
      <c r="C94" s="41" t="s">
        <v>40</v>
      </c>
      <c r="D94" s="108" t="s">
        <v>1090</v>
      </c>
      <c r="E94" s="42">
        <v>1030000</v>
      </c>
      <c r="G94" s="42">
        <f t="shared" si="1"/>
        <v>-1030000</v>
      </c>
      <c r="H94" s="49" t="s">
        <v>835</v>
      </c>
    </row>
    <row r="95" spans="1:8" x14ac:dyDescent="0.2">
      <c r="A95" s="592">
        <v>42398</v>
      </c>
      <c r="B95" s="41" t="s">
        <v>40</v>
      </c>
      <c r="C95" s="41" t="s">
        <v>40</v>
      </c>
      <c r="D95" s="108" t="s">
        <v>118</v>
      </c>
      <c r="F95" s="42">
        <v>1000000</v>
      </c>
      <c r="G95" s="42">
        <f t="shared" si="1"/>
        <v>1000000</v>
      </c>
      <c r="H95" s="49" t="s">
        <v>835</v>
      </c>
    </row>
    <row r="96" spans="1:8" x14ac:dyDescent="0.2">
      <c r="A96" s="592">
        <v>42398</v>
      </c>
      <c r="B96" s="41" t="s">
        <v>40</v>
      </c>
      <c r="C96" s="41" t="s">
        <v>40</v>
      </c>
      <c r="D96" s="108" t="s">
        <v>120</v>
      </c>
      <c r="F96" s="42">
        <v>1000000</v>
      </c>
      <c r="G96" s="42">
        <f t="shared" si="1"/>
        <v>1000000</v>
      </c>
      <c r="H96" s="49" t="s">
        <v>835</v>
      </c>
    </row>
    <row r="97" spans="1:8" x14ac:dyDescent="0.2">
      <c r="A97" s="592">
        <v>42398</v>
      </c>
      <c r="B97" s="41" t="s">
        <v>40</v>
      </c>
      <c r="C97" s="41" t="s">
        <v>40</v>
      </c>
      <c r="D97" s="108" t="s">
        <v>121</v>
      </c>
      <c r="F97" s="42">
        <v>1000000</v>
      </c>
      <c r="G97" s="42">
        <f t="shared" si="1"/>
        <v>1000000</v>
      </c>
      <c r="H97" s="49" t="s">
        <v>835</v>
      </c>
    </row>
    <row r="98" spans="1:8" x14ac:dyDescent="0.2">
      <c r="A98" s="592">
        <v>42398</v>
      </c>
      <c r="B98" s="41" t="s">
        <v>40</v>
      </c>
      <c r="C98" s="41" t="s">
        <v>40</v>
      </c>
      <c r="D98" s="108" t="s">
        <v>122</v>
      </c>
      <c r="F98" s="42">
        <v>1000000</v>
      </c>
      <c r="G98" s="42">
        <f t="shared" si="1"/>
        <v>1000000</v>
      </c>
      <c r="H98" s="49" t="s">
        <v>835</v>
      </c>
    </row>
    <row r="99" spans="1:8" x14ac:dyDescent="0.2">
      <c r="A99" s="592">
        <v>42398</v>
      </c>
      <c r="B99" s="41" t="s">
        <v>40</v>
      </c>
      <c r="C99" s="41" t="s">
        <v>146</v>
      </c>
      <c r="D99" s="108" t="s">
        <v>147</v>
      </c>
      <c r="E99" s="42">
        <v>380</v>
      </c>
      <c r="G99" s="42">
        <f t="shared" si="1"/>
        <v>-380</v>
      </c>
      <c r="H99" s="49" t="s">
        <v>835</v>
      </c>
    </row>
    <row r="100" spans="1:8" x14ac:dyDescent="0.2">
      <c r="A100" s="592">
        <v>42398</v>
      </c>
      <c r="B100" s="41" t="s">
        <v>154</v>
      </c>
      <c r="C100" s="41" t="s">
        <v>148</v>
      </c>
      <c r="D100" s="108" t="s">
        <v>153</v>
      </c>
      <c r="E100" s="42">
        <v>15000</v>
      </c>
      <c r="G100" s="42">
        <f t="shared" si="1"/>
        <v>-15000</v>
      </c>
      <c r="H100" s="49" t="s">
        <v>835</v>
      </c>
    </row>
    <row r="101" spans="1:8" x14ac:dyDescent="0.2">
      <c r="A101" s="592">
        <v>42398</v>
      </c>
      <c r="B101" s="41" t="s">
        <v>82</v>
      </c>
      <c r="C101" s="41" t="s">
        <v>106</v>
      </c>
      <c r="D101" s="108" t="s">
        <v>144</v>
      </c>
      <c r="E101" s="42">
        <v>675</v>
      </c>
      <c r="G101" s="42">
        <f t="shared" si="1"/>
        <v>-675</v>
      </c>
      <c r="H101" s="49" t="s">
        <v>835</v>
      </c>
    </row>
    <row r="102" spans="1:8" x14ac:dyDescent="0.2">
      <c r="A102" s="592">
        <v>42398</v>
      </c>
      <c r="B102" s="41" t="s">
        <v>82</v>
      </c>
      <c r="C102" s="41" t="s">
        <v>1167</v>
      </c>
      <c r="D102" s="789" t="s">
        <v>150</v>
      </c>
      <c r="E102" s="42">
        <v>5000</v>
      </c>
      <c r="G102" s="42">
        <f t="shared" si="1"/>
        <v>-5000</v>
      </c>
      <c r="H102" s="49" t="s">
        <v>835</v>
      </c>
    </row>
    <row r="103" spans="1:8" x14ac:dyDescent="0.2">
      <c r="A103" s="592">
        <v>42398</v>
      </c>
      <c r="B103" s="41" t="s">
        <v>16</v>
      </c>
      <c r="C103" s="41" t="s">
        <v>1167</v>
      </c>
      <c r="D103" s="789" t="s">
        <v>151</v>
      </c>
      <c r="E103" s="42">
        <v>2000</v>
      </c>
      <c r="G103" s="42">
        <f t="shared" si="1"/>
        <v>-2000</v>
      </c>
      <c r="H103" s="49" t="s">
        <v>835</v>
      </c>
    </row>
    <row r="104" spans="1:8" x14ac:dyDescent="0.2">
      <c r="A104" s="592">
        <v>42398</v>
      </c>
      <c r="B104" s="41" t="s">
        <v>16</v>
      </c>
      <c r="C104" s="41" t="s">
        <v>1167</v>
      </c>
      <c r="D104" s="789" t="s">
        <v>152</v>
      </c>
      <c r="E104" s="42">
        <v>2000</v>
      </c>
      <c r="G104" s="42">
        <f t="shared" si="1"/>
        <v>-2000</v>
      </c>
      <c r="H104" s="49" t="s">
        <v>835</v>
      </c>
    </row>
    <row r="105" spans="1:8" x14ac:dyDescent="0.2">
      <c r="A105" s="16">
        <v>42401</v>
      </c>
      <c r="B105" s="41" t="s">
        <v>40</v>
      </c>
      <c r="C105" s="41" t="s">
        <v>40</v>
      </c>
      <c r="D105" s="108" t="s">
        <v>177</v>
      </c>
      <c r="F105" s="42">
        <v>1000000</v>
      </c>
      <c r="G105" s="42">
        <f t="shared" si="1"/>
        <v>1000000</v>
      </c>
      <c r="H105" s="49" t="s">
        <v>836</v>
      </c>
    </row>
    <row r="106" spans="1:8" x14ac:dyDescent="0.2">
      <c r="A106" s="16">
        <v>42401</v>
      </c>
      <c r="B106" s="41" t="s">
        <v>40</v>
      </c>
      <c r="C106" s="41" t="s">
        <v>40</v>
      </c>
      <c r="D106" s="108" t="s">
        <v>178</v>
      </c>
      <c r="F106" s="42">
        <v>1700000</v>
      </c>
      <c r="G106" s="42">
        <f t="shared" si="1"/>
        <v>1700000</v>
      </c>
      <c r="H106" s="49" t="s">
        <v>836</v>
      </c>
    </row>
    <row r="107" spans="1:8" ht="12.75" customHeight="1" x14ac:dyDescent="0.2">
      <c r="A107" s="16">
        <v>42401</v>
      </c>
      <c r="B107" s="41" t="s">
        <v>37</v>
      </c>
      <c r="C107" s="41" t="s">
        <v>182</v>
      </c>
      <c r="D107" s="108" t="s">
        <v>345</v>
      </c>
      <c r="F107" s="42">
        <v>314280</v>
      </c>
      <c r="G107" s="42">
        <f t="shared" si="1"/>
        <v>314280</v>
      </c>
      <c r="H107" s="49" t="s">
        <v>836</v>
      </c>
    </row>
    <row r="108" spans="1:8" ht="12.75" customHeight="1" x14ac:dyDescent="0.2">
      <c r="A108" s="16">
        <v>42401</v>
      </c>
      <c r="B108" s="41" t="s">
        <v>37</v>
      </c>
      <c r="C108" s="41" t="s">
        <v>194</v>
      </c>
      <c r="D108" s="108" t="s">
        <v>72</v>
      </c>
      <c r="E108" s="42">
        <v>1900</v>
      </c>
      <c r="G108" s="42">
        <f t="shared" si="1"/>
        <v>-1900</v>
      </c>
      <c r="H108" s="49" t="s">
        <v>836</v>
      </c>
    </row>
    <row r="109" spans="1:8" x14ac:dyDescent="0.2">
      <c r="A109" s="16">
        <v>42401</v>
      </c>
      <c r="B109" s="41" t="s">
        <v>11</v>
      </c>
      <c r="C109" s="41" t="s">
        <v>67</v>
      </c>
      <c r="D109" s="108" t="s">
        <v>240</v>
      </c>
      <c r="E109" s="42">
        <v>9920</v>
      </c>
      <c r="G109" s="42">
        <f t="shared" si="1"/>
        <v>-9920</v>
      </c>
      <c r="H109" s="49" t="s">
        <v>836</v>
      </c>
    </row>
    <row r="110" spans="1:8" x14ac:dyDescent="0.2">
      <c r="A110" s="16">
        <v>42401</v>
      </c>
      <c r="B110" s="41" t="s">
        <v>40</v>
      </c>
      <c r="C110" s="41" t="s">
        <v>551</v>
      </c>
      <c r="D110" s="108" t="s">
        <v>241</v>
      </c>
      <c r="E110" s="42">
        <v>2500</v>
      </c>
      <c r="G110" s="42">
        <f t="shared" si="1"/>
        <v>-2500</v>
      </c>
      <c r="H110" s="49" t="s">
        <v>836</v>
      </c>
    </row>
    <row r="111" spans="1:8" ht="12.75" customHeight="1" x14ac:dyDescent="0.2">
      <c r="A111" s="16">
        <v>42401</v>
      </c>
      <c r="B111" s="41" t="s">
        <v>154</v>
      </c>
      <c r="C111" s="41" t="s">
        <v>106</v>
      </c>
      <c r="D111" s="108" t="s">
        <v>242</v>
      </c>
      <c r="E111" s="42">
        <v>610</v>
      </c>
      <c r="G111" s="42">
        <f t="shared" si="1"/>
        <v>-610</v>
      </c>
      <c r="H111" s="49" t="s">
        <v>836</v>
      </c>
    </row>
    <row r="112" spans="1:8" ht="12.75" customHeight="1" x14ac:dyDescent="0.2">
      <c r="A112" s="16">
        <v>42401</v>
      </c>
      <c r="B112" s="41" t="s">
        <v>40</v>
      </c>
      <c r="C112" s="41" t="s">
        <v>298</v>
      </c>
      <c r="D112" s="108" t="s">
        <v>545</v>
      </c>
      <c r="E112" s="42">
        <v>650000</v>
      </c>
      <c r="G112" s="42">
        <f t="shared" si="1"/>
        <v>-650000</v>
      </c>
      <c r="H112" s="49" t="s">
        <v>836</v>
      </c>
    </row>
    <row r="113" spans="1:8" x14ac:dyDescent="0.2">
      <c r="A113" s="16">
        <v>42401</v>
      </c>
      <c r="B113" s="41" t="s">
        <v>40</v>
      </c>
      <c r="C113" s="41" t="s">
        <v>484</v>
      </c>
      <c r="D113" s="108" t="s">
        <v>245</v>
      </c>
      <c r="E113" s="42">
        <v>1500</v>
      </c>
      <c r="G113" s="42">
        <f t="shared" si="1"/>
        <v>-1500</v>
      </c>
      <c r="H113" s="49" t="s">
        <v>836</v>
      </c>
    </row>
    <row r="114" spans="1:8" x14ac:dyDescent="0.2">
      <c r="A114" s="16">
        <v>42401</v>
      </c>
      <c r="B114" s="41" t="s">
        <v>40</v>
      </c>
      <c r="C114" s="41" t="s">
        <v>555</v>
      </c>
      <c r="D114" s="108" t="s">
        <v>556</v>
      </c>
      <c r="E114" s="42">
        <v>1000000</v>
      </c>
      <c r="G114" s="42">
        <f t="shared" si="1"/>
        <v>-1000000</v>
      </c>
      <c r="H114" s="49" t="s">
        <v>836</v>
      </c>
    </row>
    <row r="115" spans="1:8" x14ac:dyDescent="0.2">
      <c r="A115" s="16">
        <v>42402</v>
      </c>
      <c r="B115" s="41" t="s">
        <v>37</v>
      </c>
      <c r="C115" s="41" t="s">
        <v>194</v>
      </c>
      <c r="D115" s="108" t="s">
        <v>243</v>
      </c>
      <c r="E115" s="42">
        <v>2000</v>
      </c>
      <c r="G115" s="42">
        <f t="shared" si="1"/>
        <v>-2000</v>
      </c>
      <c r="H115" s="49" t="s">
        <v>836</v>
      </c>
    </row>
    <row r="116" spans="1:8" ht="12.75" customHeight="1" x14ac:dyDescent="0.2">
      <c r="A116" s="16">
        <v>42402</v>
      </c>
      <c r="B116" s="41" t="s">
        <v>40</v>
      </c>
      <c r="C116" s="41" t="s">
        <v>1894</v>
      </c>
      <c r="D116" s="108" t="s">
        <v>244</v>
      </c>
      <c r="E116" s="42">
        <v>4280</v>
      </c>
      <c r="G116" s="42">
        <f t="shared" si="1"/>
        <v>-4280</v>
      </c>
      <c r="H116" s="49" t="s">
        <v>836</v>
      </c>
    </row>
    <row r="117" spans="1:8" ht="12.75" customHeight="1" x14ac:dyDescent="0.2">
      <c r="A117" s="16">
        <v>42402</v>
      </c>
      <c r="B117" s="41" t="s">
        <v>25</v>
      </c>
      <c r="C117" s="41" t="s">
        <v>1894</v>
      </c>
      <c r="D117" s="108" t="s">
        <v>246</v>
      </c>
      <c r="E117" s="42">
        <v>1330</v>
      </c>
      <c r="G117" s="42">
        <f t="shared" si="1"/>
        <v>-1330</v>
      </c>
      <c r="H117" s="49" t="s">
        <v>836</v>
      </c>
    </row>
    <row r="118" spans="1:8" x14ac:dyDescent="0.2">
      <c r="A118" s="16">
        <v>42402</v>
      </c>
      <c r="B118" s="41" t="s">
        <v>82</v>
      </c>
      <c r="C118" s="41" t="s">
        <v>14</v>
      </c>
      <c r="D118" s="108" t="s">
        <v>242</v>
      </c>
      <c r="E118" s="42">
        <v>735</v>
      </c>
      <c r="G118" s="42">
        <f t="shared" si="1"/>
        <v>-735</v>
      </c>
      <c r="H118" s="49" t="s">
        <v>836</v>
      </c>
    </row>
    <row r="119" spans="1:8" x14ac:dyDescent="0.2">
      <c r="A119" s="16">
        <v>42402</v>
      </c>
      <c r="B119" s="41" t="s">
        <v>40</v>
      </c>
      <c r="C119" s="41" t="s">
        <v>248</v>
      </c>
      <c r="D119" s="108" t="s">
        <v>249</v>
      </c>
      <c r="E119" s="42">
        <v>10000</v>
      </c>
      <c r="G119" s="42">
        <f t="shared" si="1"/>
        <v>-10000</v>
      </c>
      <c r="H119" s="49" t="s">
        <v>836</v>
      </c>
    </row>
    <row r="120" spans="1:8" ht="12.75" customHeight="1" x14ac:dyDescent="0.2">
      <c r="A120" s="16">
        <v>42402</v>
      </c>
      <c r="B120" s="41" t="s">
        <v>40</v>
      </c>
      <c r="C120" s="41" t="s">
        <v>251</v>
      </c>
      <c r="D120" s="108" t="s">
        <v>252</v>
      </c>
      <c r="E120" s="42">
        <v>100000</v>
      </c>
      <c r="G120" s="42">
        <f t="shared" si="1"/>
        <v>-100000</v>
      </c>
      <c r="H120" s="49" t="s">
        <v>836</v>
      </c>
    </row>
    <row r="121" spans="1:8" ht="12.75" customHeight="1" x14ac:dyDescent="0.2">
      <c r="A121" s="16">
        <v>42403</v>
      </c>
      <c r="B121" s="41" t="s">
        <v>25</v>
      </c>
      <c r="C121" s="41" t="s">
        <v>1894</v>
      </c>
      <c r="D121" s="108" t="s">
        <v>250</v>
      </c>
      <c r="E121" s="42">
        <v>3070</v>
      </c>
      <c r="G121" s="42">
        <f t="shared" si="1"/>
        <v>-3070</v>
      </c>
      <c r="H121" s="49" t="s">
        <v>836</v>
      </c>
    </row>
    <row r="122" spans="1:8" x14ac:dyDescent="0.2">
      <c r="A122" s="16">
        <v>42403</v>
      </c>
      <c r="B122" s="41" t="s">
        <v>16</v>
      </c>
      <c r="C122" s="41" t="s">
        <v>103</v>
      </c>
      <c r="D122" s="108" t="s">
        <v>253</v>
      </c>
      <c r="E122" s="42">
        <v>630</v>
      </c>
      <c r="G122" s="42">
        <f t="shared" si="1"/>
        <v>-630</v>
      </c>
      <c r="H122" s="49" t="s">
        <v>836</v>
      </c>
    </row>
    <row r="123" spans="1:8" x14ac:dyDescent="0.2">
      <c r="A123" s="16">
        <v>42404</v>
      </c>
      <c r="B123" s="41" t="s">
        <v>40</v>
      </c>
      <c r="C123" s="41" t="s">
        <v>254</v>
      </c>
      <c r="D123" s="108" t="s">
        <v>255</v>
      </c>
      <c r="E123" s="42">
        <v>1201239</v>
      </c>
      <c r="G123" s="42">
        <f t="shared" si="1"/>
        <v>-1201239</v>
      </c>
      <c r="H123" s="49" t="s">
        <v>836</v>
      </c>
    </row>
    <row r="124" spans="1:8" x14ac:dyDescent="0.2">
      <c r="A124" s="16">
        <v>42404</v>
      </c>
      <c r="B124" s="41" t="s">
        <v>40</v>
      </c>
      <c r="C124" s="41" t="s">
        <v>929</v>
      </c>
      <c r="D124" s="108" t="s">
        <v>76</v>
      </c>
      <c r="E124" s="42">
        <v>5000</v>
      </c>
      <c r="G124" s="42">
        <f t="shared" si="1"/>
        <v>-5000</v>
      </c>
      <c r="H124" s="49" t="s">
        <v>836</v>
      </c>
    </row>
    <row r="125" spans="1:8" x14ac:dyDescent="0.2">
      <c r="A125" s="16">
        <v>42404</v>
      </c>
      <c r="B125" s="41" t="s">
        <v>154</v>
      </c>
      <c r="C125" s="41" t="s">
        <v>61</v>
      </c>
      <c r="D125" s="108" t="s">
        <v>242</v>
      </c>
      <c r="E125" s="42">
        <v>10000</v>
      </c>
      <c r="G125" s="42">
        <f t="shared" si="1"/>
        <v>-10000</v>
      </c>
      <c r="H125" s="49" t="s">
        <v>836</v>
      </c>
    </row>
    <row r="126" spans="1:8" x14ac:dyDescent="0.2">
      <c r="A126" s="16">
        <v>42404</v>
      </c>
      <c r="B126" s="41" t="s">
        <v>40</v>
      </c>
      <c r="C126" s="41" t="s">
        <v>61</v>
      </c>
      <c r="D126" s="108" t="s">
        <v>242</v>
      </c>
      <c r="E126" s="42">
        <v>29940</v>
      </c>
      <c r="G126" s="42">
        <f t="shared" si="1"/>
        <v>-29940</v>
      </c>
      <c r="H126" s="49" t="s">
        <v>836</v>
      </c>
    </row>
    <row r="127" spans="1:8" x14ac:dyDescent="0.2">
      <c r="A127" s="16">
        <v>42405</v>
      </c>
      <c r="B127" s="41" t="s">
        <v>37</v>
      </c>
      <c r="C127" s="41" t="s">
        <v>1230</v>
      </c>
      <c r="D127" s="108" t="s">
        <v>194</v>
      </c>
      <c r="E127" s="42">
        <v>12454</v>
      </c>
      <c r="G127" s="42">
        <f t="shared" si="1"/>
        <v>-12454</v>
      </c>
      <c r="H127" s="49" t="s">
        <v>836</v>
      </c>
    </row>
    <row r="128" spans="1:8" x14ac:dyDescent="0.2">
      <c r="A128" s="16">
        <v>42405</v>
      </c>
      <c r="B128" s="41" t="s">
        <v>37</v>
      </c>
      <c r="C128" s="41" t="s">
        <v>1230</v>
      </c>
      <c r="D128" s="108" t="s">
        <v>195</v>
      </c>
      <c r="E128" s="42">
        <v>13000</v>
      </c>
      <c r="G128" s="42">
        <f t="shared" si="1"/>
        <v>-13000</v>
      </c>
      <c r="H128" s="49" t="s">
        <v>836</v>
      </c>
    </row>
    <row r="129" spans="1:8" ht="12.75" customHeight="1" x14ac:dyDescent="0.2">
      <c r="A129" s="16">
        <v>42405</v>
      </c>
      <c r="B129" s="41" t="s">
        <v>37</v>
      </c>
      <c r="C129" s="41" t="s">
        <v>1230</v>
      </c>
      <c r="D129" s="108" t="s">
        <v>196</v>
      </c>
      <c r="E129" s="42">
        <v>10234</v>
      </c>
      <c r="G129" s="42">
        <f t="shared" si="1"/>
        <v>-10234</v>
      </c>
      <c r="H129" s="49" t="s">
        <v>836</v>
      </c>
    </row>
    <row r="130" spans="1:8" ht="12.75" customHeight="1" x14ac:dyDescent="0.2">
      <c r="A130" s="16">
        <v>42405</v>
      </c>
      <c r="B130" s="41" t="s">
        <v>37</v>
      </c>
      <c r="C130" s="41" t="s">
        <v>1230</v>
      </c>
      <c r="D130" s="108" t="s">
        <v>197</v>
      </c>
      <c r="E130" s="42">
        <v>9109</v>
      </c>
      <c r="G130" s="42">
        <f t="shared" ref="G130:G193" si="2">F130-E130</f>
        <v>-9109</v>
      </c>
      <c r="H130" s="49" t="s">
        <v>836</v>
      </c>
    </row>
    <row r="131" spans="1:8" ht="12.75" customHeight="1" x14ac:dyDescent="0.2">
      <c r="A131" s="16">
        <v>42405</v>
      </c>
      <c r="B131" s="41" t="s">
        <v>37</v>
      </c>
      <c r="C131" s="41" t="s">
        <v>1230</v>
      </c>
      <c r="D131" s="108" t="s">
        <v>198</v>
      </c>
      <c r="E131" s="42">
        <v>6907</v>
      </c>
      <c r="G131" s="42">
        <f t="shared" si="2"/>
        <v>-6907</v>
      </c>
      <c r="H131" s="49" t="s">
        <v>836</v>
      </c>
    </row>
    <row r="132" spans="1:8" x14ac:dyDescent="0.2">
      <c r="A132" s="16">
        <v>42405</v>
      </c>
      <c r="B132" s="41" t="s">
        <v>37</v>
      </c>
      <c r="C132" s="41" t="s">
        <v>1230</v>
      </c>
      <c r="D132" s="108" t="s">
        <v>111</v>
      </c>
      <c r="E132" s="42">
        <v>20102</v>
      </c>
      <c r="G132" s="42">
        <f t="shared" si="2"/>
        <v>-20102</v>
      </c>
      <c r="H132" s="49" t="s">
        <v>836</v>
      </c>
    </row>
    <row r="133" spans="1:8" x14ac:dyDescent="0.2">
      <c r="A133" s="16">
        <v>42405</v>
      </c>
      <c r="B133" s="41" t="s">
        <v>16</v>
      </c>
      <c r="C133" s="41" t="s">
        <v>1230</v>
      </c>
      <c r="D133" s="108" t="s">
        <v>199</v>
      </c>
      <c r="E133" s="42">
        <v>18000</v>
      </c>
      <c r="G133" s="42">
        <f t="shared" si="2"/>
        <v>-18000</v>
      </c>
      <c r="H133" s="49" t="s">
        <v>836</v>
      </c>
    </row>
    <row r="134" spans="1:8" x14ac:dyDescent="0.2">
      <c r="A134" s="16">
        <v>42405</v>
      </c>
      <c r="B134" s="41" t="s">
        <v>16</v>
      </c>
      <c r="C134" s="41" t="s">
        <v>1230</v>
      </c>
      <c r="D134" s="108" t="s">
        <v>146</v>
      </c>
      <c r="E134" s="42">
        <v>12048</v>
      </c>
      <c r="G134" s="42">
        <f t="shared" si="2"/>
        <v>-12048</v>
      </c>
      <c r="H134" s="49" t="s">
        <v>836</v>
      </c>
    </row>
    <row r="135" spans="1:8" x14ac:dyDescent="0.2">
      <c r="A135" s="16">
        <v>42405</v>
      </c>
      <c r="B135" s="41" t="s">
        <v>40</v>
      </c>
      <c r="C135" s="41" t="s">
        <v>1230</v>
      </c>
      <c r="D135" s="108" t="s">
        <v>80</v>
      </c>
      <c r="E135" s="42">
        <v>38710</v>
      </c>
      <c r="G135" s="42">
        <f t="shared" si="2"/>
        <v>-38710</v>
      </c>
      <c r="H135" s="49" t="s">
        <v>836</v>
      </c>
    </row>
    <row r="136" spans="1:8" x14ac:dyDescent="0.2">
      <c r="A136" s="16">
        <v>42405</v>
      </c>
      <c r="B136" s="41" t="s">
        <v>154</v>
      </c>
      <c r="C136" s="41" t="s">
        <v>1230</v>
      </c>
      <c r="D136" s="108" t="s">
        <v>201</v>
      </c>
      <c r="E136" s="42">
        <v>16980</v>
      </c>
      <c r="G136" s="42">
        <f t="shared" si="2"/>
        <v>-16980</v>
      </c>
      <c r="H136" s="49" t="s">
        <v>836</v>
      </c>
    </row>
    <row r="137" spans="1:8" x14ac:dyDescent="0.2">
      <c r="A137" s="16">
        <v>42405</v>
      </c>
      <c r="B137" s="41" t="s">
        <v>154</v>
      </c>
      <c r="C137" s="41" t="s">
        <v>1230</v>
      </c>
      <c r="D137" s="108" t="s">
        <v>149</v>
      </c>
      <c r="E137" s="42">
        <v>22639</v>
      </c>
      <c r="G137" s="42">
        <f t="shared" si="2"/>
        <v>-22639</v>
      </c>
      <c r="H137" s="49" t="s">
        <v>836</v>
      </c>
    </row>
    <row r="138" spans="1:8" ht="12.75" customHeight="1" x14ac:dyDescent="0.2">
      <c r="A138" s="16">
        <v>42405</v>
      </c>
      <c r="B138" s="41" t="s">
        <v>40</v>
      </c>
      <c r="C138" s="41" t="s">
        <v>1230</v>
      </c>
      <c r="D138" s="108" t="s">
        <v>202</v>
      </c>
      <c r="E138" s="42">
        <v>13855</v>
      </c>
      <c r="G138" s="42">
        <f t="shared" si="2"/>
        <v>-13855</v>
      </c>
      <c r="H138" s="49" t="s">
        <v>836</v>
      </c>
    </row>
    <row r="139" spans="1:8" ht="12.75" customHeight="1" x14ac:dyDescent="0.2">
      <c r="A139" s="16">
        <v>42405</v>
      </c>
      <c r="B139" s="41" t="s">
        <v>40</v>
      </c>
      <c r="C139" s="41" t="s">
        <v>1230</v>
      </c>
      <c r="D139" s="108" t="s">
        <v>101</v>
      </c>
      <c r="E139" s="42">
        <v>2161</v>
      </c>
      <c r="G139" s="42">
        <f t="shared" si="2"/>
        <v>-2161</v>
      </c>
      <c r="H139" s="49" t="s">
        <v>836</v>
      </c>
    </row>
    <row r="140" spans="1:8" ht="12.75" customHeight="1" x14ac:dyDescent="0.2">
      <c r="A140" s="16">
        <v>42405</v>
      </c>
      <c r="B140" s="41" t="s">
        <v>40</v>
      </c>
      <c r="C140" s="41" t="s">
        <v>1230</v>
      </c>
      <c r="D140" s="108" t="s">
        <v>203</v>
      </c>
      <c r="E140" s="42">
        <v>8125</v>
      </c>
      <c r="G140" s="42">
        <f t="shared" si="2"/>
        <v>-8125</v>
      </c>
      <c r="H140" s="49" t="s">
        <v>836</v>
      </c>
    </row>
    <row r="141" spans="1:8" x14ac:dyDescent="0.2">
      <c r="A141" s="16">
        <v>42405</v>
      </c>
      <c r="B141" s="41" t="s">
        <v>40</v>
      </c>
      <c r="C141" s="41" t="s">
        <v>1230</v>
      </c>
      <c r="D141" s="108" t="s">
        <v>204</v>
      </c>
      <c r="E141" s="42">
        <v>29700</v>
      </c>
      <c r="G141" s="42">
        <f t="shared" si="2"/>
        <v>-29700</v>
      </c>
      <c r="H141" s="49" t="s">
        <v>836</v>
      </c>
    </row>
    <row r="142" spans="1:8" x14ac:dyDescent="0.2">
      <c r="A142" s="16">
        <v>42405</v>
      </c>
      <c r="B142" s="41" t="s">
        <v>40</v>
      </c>
      <c r="C142" s="41" t="s">
        <v>1230</v>
      </c>
      <c r="D142" s="108" t="s">
        <v>205</v>
      </c>
      <c r="E142" s="42">
        <v>22524</v>
      </c>
      <c r="G142" s="42">
        <f t="shared" si="2"/>
        <v>-22524</v>
      </c>
      <c r="H142" s="49" t="s">
        <v>836</v>
      </c>
    </row>
    <row r="143" spans="1:8" x14ac:dyDescent="0.2">
      <c r="A143" s="16">
        <v>42405</v>
      </c>
      <c r="B143" s="41" t="s">
        <v>40</v>
      </c>
      <c r="C143" s="41" t="s">
        <v>1230</v>
      </c>
      <c r="D143" s="108" t="s">
        <v>206</v>
      </c>
      <c r="E143" s="42">
        <v>10806</v>
      </c>
      <c r="G143" s="42">
        <f t="shared" si="2"/>
        <v>-10806</v>
      </c>
      <c r="H143" s="49" t="s">
        <v>836</v>
      </c>
    </row>
    <row r="144" spans="1:8" x14ac:dyDescent="0.2">
      <c r="A144" s="16">
        <v>42405</v>
      </c>
      <c r="B144" s="41" t="s">
        <v>40</v>
      </c>
      <c r="C144" s="41" t="s">
        <v>1230</v>
      </c>
      <c r="D144" s="108" t="s">
        <v>207</v>
      </c>
      <c r="E144" s="42">
        <v>10242</v>
      </c>
      <c r="G144" s="42">
        <f t="shared" si="2"/>
        <v>-10242</v>
      </c>
      <c r="H144" s="49" t="s">
        <v>836</v>
      </c>
    </row>
    <row r="145" spans="1:8" x14ac:dyDescent="0.2">
      <c r="A145" s="16">
        <v>42405</v>
      </c>
      <c r="B145" s="41" t="s">
        <v>40</v>
      </c>
      <c r="C145" s="41" t="s">
        <v>1230</v>
      </c>
      <c r="D145" s="108" t="s">
        <v>208</v>
      </c>
      <c r="E145" s="42">
        <v>9484</v>
      </c>
      <c r="G145" s="42">
        <f t="shared" si="2"/>
        <v>-9484</v>
      </c>
      <c r="H145" s="49" t="s">
        <v>836</v>
      </c>
    </row>
    <row r="146" spans="1:8" x14ac:dyDescent="0.2">
      <c r="A146" s="16">
        <v>42405</v>
      </c>
      <c r="B146" s="41" t="s">
        <v>40</v>
      </c>
      <c r="C146" s="41" t="s">
        <v>1230</v>
      </c>
      <c r="D146" s="108" t="s">
        <v>209</v>
      </c>
      <c r="E146" s="42">
        <v>3637</v>
      </c>
      <c r="G146" s="42">
        <f t="shared" si="2"/>
        <v>-3637</v>
      </c>
      <c r="H146" s="49" t="s">
        <v>836</v>
      </c>
    </row>
    <row r="147" spans="1:8" x14ac:dyDescent="0.2">
      <c r="A147" s="16">
        <v>42405</v>
      </c>
      <c r="B147" s="41" t="s">
        <v>40</v>
      </c>
      <c r="C147" s="41" t="s">
        <v>1230</v>
      </c>
      <c r="D147" s="108" t="s">
        <v>210</v>
      </c>
      <c r="E147" s="42">
        <v>6677</v>
      </c>
      <c r="G147" s="42">
        <f t="shared" si="2"/>
        <v>-6677</v>
      </c>
      <c r="H147" s="49" t="s">
        <v>836</v>
      </c>
    </row>
    <row r="148" spans="1:8" x14ac:dyDescent="0.2">
      <c r="A148" s="16">
        <v>42405</v>
      </c>
      <c r="B148" s="41" t="s">
        <v>40</v>
      </c>
      <c r="C148" s="41" t="s">
        <v>1230</v>
      </c>
      <c r="D148" s="108" t="s">
        <v>211</v>
      </c>
      <c r="E148" s="42">
        <v>14032</v>
      </c>
      <c r="G148" s="42">
        <f t="shared" si="2"/>
        <v>-14032</v>
      </c>
      <c r="H148" s="49" t="s">
        <v>836</v>
      </c>
    </row>
    <row r="149" spans="1:8" x14ac:dyDescent="0.2">
      <c r="A149" s="16">
        <v>42405</v>
      </c>
      <c r="B149" s="41" t="s">
        <v>40</v>
      </c>
      <c r="C149" s="41" t="s">
        <v>1230</v>
      </c>
      <c r="D149" s="108" t="s">
        <v>212</v>
      </c>
      <c r="E149" s="42">
        <v>4750</v>
      </c>
      <c r="G149" s="42">
        <f t="shared" si="2"/>
        <v>-4750</v>
      </c>
      <c r="H149" s="49" t="s">
        <v>836</v>
      </c>
    </row>
    <row r="150" spans="1:8" x14ac:dyDescent="0.2">
      <c r="A150" s="16">
        <v>42405</v>
      </c>
      <c r="B150" s="41" t="s">
        <v>16</v>
      </c>
      <c r="C150" s="41" t="s">
        <v>1230</v>
      </c>
      <c r="D150" s="108" t="s">
        <v>215</v>
      </c>
      <c r="E150" s="42">
        <v>4000</v>
      </c>
      <c r="G150" s="42">
        <f t="shared" si="2"/>
        <v>-4000</v>
      </c>
      <c r="H150" s="49" t="s">
        <v>836</v>
      </c>
    </row>
    <row r="151" spans="1:8" x14ac:dyDescent="0.2">
      <c r="A151" s="16">
        <v>42405</v>
      </c>
      <c r="B151" s="41" t="s">
        <v>16</v>
      </c>
      <c r="C151" s="41" t="s">
        <v>1230</v>
      </c>
      <c r="D151" s="108" t="s">
        <v>216</v>
      </c>
      <c r="E151" s="42">
        <v>9000</v>
      </c>
      <c r="G151" s="42">
        <f t="shared" si="2"/>
        <v>-9000</v>
      </c>
      <c r="H151" s="49" t="s">
        <v>836</v>
      </c>
    </row>
    <row r="152" spans="1:8" x14ac:dyDescent="0.2">
      <c r="A152" s="16">
        <v>42405</v>
      </c>
      <c r="B152" s="41" t="s">
        <v>16</v>
      </c>
      <c r="C152" s="41" t="s">
        <v>1230</v>
      </c>
      <c r="D152" s="108" t="s">
        <v>217</v>
      </c>
      <c r="E152" s="42">
        <v>5000</v>
      </c>
      <c r="G152" s="42">
        <f t="shared" si="2"/>
        <v>-5000</v>
      </c>
      <c r="H152" s="49" t="s">
        <v>836</v>
      </c>
    </row>
    <row r="153" spans="1:8" x14ac:dyDescent="0.2">
      <c r="A153" s="16">
        <v>42405</v>
      </c>
      <c r="B153" s="41" t="s">
        <v>16</v>
      </c>
      <c r="C153" s="41" t="s">
        <v>1230</v>
      </c>
      <c r="D153" s="108" t="s">
        <v>218</v>
      </c>
      <c r="E153" s="42">
        <v>2900</v>
      </c>
      <c r="G153" s="42">
        <f t="shared" si="2"/>
        <v>-2900</v>
      </c>
      <c r="H153" s="49" t="s">
        <v>836</v>
      </c>
    </row>
    <row r="154" spans="1:8" x14ac:dyDescent="0.2">
      <c r="A154" s="16">
        <v>42405</v>
      </c>
      <c r="B154" s="41" t="s">
        <v>16</v>
      </c>
      <c r="C154" s="41" t="s">
        <v>1230</v>
      </c>
      <c r="D154" s="108" t="s">
        <v>219</v>
      </c>
      <c r="E154" s="42">
        <v>20000</v>
      </c>
      <c r="G154" s="42">
        <f t="shared" si="2"/>
        <v>-20000</v>
      </c>
      <c r="H154" s="49" t="s">
        <v>836</v>
      </c>
    </row>
    <row r="155" spans="1:8" x14ac:dyDescent="0.2">
      <c r="A155" s="16">
        <v>42405</v>
      </c>
      <c r="B155" s="41" t="s">
        <v>40</v>
      </c>
      <c r="C155" s="41" t="s">
        <v>1230</v>
      </c>
      <c r="D155" s="108" t="s">
        <v>64</v>
      </c>
      <c r="E155" s="42">
        <v>7000</v>
      </c>
      <c r="G155" s="42">
        <f t="shared" si="2"/>
        <v>-7000</v>
      </c>
      <c r="H155" s="49" t="s">
        <v>836</v>
      </c>
    </row>
    <row r="156" spans="1:8" x14ac:dyDescent="0.2">
      <c r="A156" s="16">
        <v>42405</v>
      </c>
      <c r="B156" s="41" t="s">
        <v>82</v>
      </c>
      <c r="C156" s="41" t="s">
        <v>1230</v>
      </c>
      <c r="D156" s="108" t="s">
        <v>220</v>
      </c>
      <c r="E156" s="42">
        <v>7000</v>
      </c>
      <c r="G156" s="42">
        <f t="shared" si="2"/>
        <v>-7000</v>
      </c>
      <c r="H156" s="49" t="s">
        <v>836</v>
      </c>
    </row>
    <row r="157" spans="1:8" x14ac:dyDescent="0.2">
      <c r="A157" s="16">
        <v>42405</v>
      </c>
      <c r="B157" s="41" t="s">
        <v>40</v>
      </c>
      <c r="C157" s="41" t="s">
        <v>1230</v>
      </c>
      <c r="D157" s="108" t="s">
        <v>61</v>
      </c>
      <c r="E157" s="42">
        <v>50000</v>
      </c>
      <c r="G157" s="42">
        <f t="shared" si="2"/>
        <v>-50000</v>
      </c>
      <c r="H157" s="49" t="s">
        <v>836</v>
      </c>
    </row>
    <row r="158" spans="1:8" x14ac:dyDescent="0.2">
      <c r="A158" s="16">
        <v>42405</v>
      </c>
      <c r="B158" s="41" t="s">
        <v>16</v>
      </c>
      <c r="C158" s="41" t="s">
        <v>1230</v>
      </c>
      <c r="D158" s="108" t="s">
        <v>221</v>
      </c>
      <c r="E158" s="42">
        <v>13000</v>
      </c>
      <c r="G158" s="42">
        <f t="shared" si="2"/>
        <v>-13000</v>
      </c>
      <c r="H158" s="49" t="s">
        <v>836</v>
      </c>
    </row>
    <row r="159" spans="1:8" x14ac:dyDescent="0.2">
      <c r="A159" s="16">
        <v>42405</v>
      </c>
      <c r="B159" s="41" t="s">
        <v>40</v>
      </c>
      <c r="C159" s="41" t="s">
        <v>1230</v>
      </c>
      <c r="D159" s="108" t="s">
        <v>222</v>
      </c>
      <c r="E159" s="42">
        <v>4645</v>
      </c>
      <c r="G159" s="42">
        <f t="shared" si="2"/>
        <v>-4645</v>
      </c>
      <c r="H159" s="49" t="s">
        <v>836</v>
      </c>
    </row>
    <row r="160" spans="1:8" x14ac:dyDescent="0.2">
      <c r="A160" s="16">
        <v>42405</v>
      </c>
      <c r="B160" s="41" t="s">
        <v>16</v>
      </c>
      <c r="C160" s="41" t="s">
        <v>1230</v>
      </c>
      <c r="D160" s="108" t="s">
        <v>223</v>
      </c>
      <c r="E160" s="42">
        <v>16000</v>
      </c>
      <c r="G160" s="42">
        <f t="shared" si="2"/>
        <v>-16000</v>
      </c>
      <c r="H160" s="49" t="s">
        <v>836</v>
      </c>
    </row>
    <row r="161" spans="1:8" x14ac:dyDescent="0.2">
      <c r="A161" s="16">
        <v>42405</v>
      </c>
      <c r="B161" s="41" t="s">
        <v>40</v>
      </c>
      <c r="C161" s="41" t="s">
        <v>1167</v>
      </c>
      <c r="D161" s="788" t="s">
        <v>231</v>
      </c>
      <c r="E161" s="42">
        <v>4000</v>
      </c>
      <c r="G161" s="42">
        <f t="shared" si="2"/>
        <v>-4000</v>
      </c>
      <c r="H161" s="49" t="s">
        <v>836</v>
      </c>
    </row>
    <row r="162" spans="1:8" x14ac:dyDescent="0.2">
      <c r="A162" s="16">
        <v>42405</v>
      </c>
      <c r="B162" s="41" t="s">
        <v>40</v>
      </c>
      <c r="C162" s="41" t="s">
        <v>1167</v>
      </c>
      <c r="D162" s="788" t="s">
        <v>232</v>
      </c>
      <c r="E162" s="42">
        <v>1000</v>
      </c>
      <c r="G162" s="42">
        <f t="shared" si="2"/>
        <v>-1000</v>
      </c>
      <c r="H162" s="49" t="s">
        <v>836</v>
      </c>
    </row>
    <row r="163" spans="1:8" x14ac:dyDescent="0.2">
      <c r="A163" s="16">
        <v>42405</v>
      </c>
      <c r="B163" s="41" t="s">
        <v>40</v>
      </c>
      <c r="C163" s="41" t="s">
        <v>1167</v>
      </c>
      <c r="D163" s="788" t="s">
        <v>233</v>
      </c>
      <c r="E163" s="42">
        <v>3000</v>
      </c>
      <c r="G163" s="42">
        <f t="shared" si="2"/>
        <v>-3000</v>
      </c>
      <c r="H163" s="49" t="s">
        <v>836</v>
      </c>
    </row>
    <row r="164" spans="1:8" x14ac:dyDescent="0.2">
      <c r="A164" s="16">
        <v>42405</v>
      </c>
      <c r="B164" s="41" t="s">
        <v>40</v>
      </c>
      <c r="C164" s="41" t="s">
        <v>1167</v>
      </c>
      <c r="D164" s="788" t="s">
        <v>234</v>
      </c>
      <c r="E164" s="42">
        <v>5000</v>
      </c>
      <c r="G164" s="42">
        <f t="shared" si="2"/>
        <v>-5000</v>
      </c>
      <c r="H164" s="49" t="s">
        <v>836</v>
      </c>
    </row>
    <row r="165" spans="1:8" x14ac:dyDescent="0.2">
      <c r="A165" s="16">
        <v>42405</v>
      </c>
      <c r="B165" s="41" t="s">
        <v>16</v>
      </c>
      <c r="C165" s="41" t="s">
        <v>352</v>
      </c>
      <c r="D165" s="108" t="s">
        <v>353</v>
      </c>
      <c r="E165" s="42">
        <v>18383</v>
      </c>
      <c r="G165" s="42">
        <f t="shared" si="2"/>
        <v>-18383</v>
      </c>
      <c r="H165" s="49" t="s">
        <v>836</v>
      </c>
    </row>
    <row r="166" spans="1:8" x14ac:dyDescent="0.2">
      <c r="A166" s="16">
        <v>42406</v>
      </c>
      <c r="B166" s="41" t="s">
        <v>37</v>
      </c>
      <c r="C166" s="41" t="s">
        <v>1167</v>
      </c>
      <c r="D166" s="788" t="s">
        <v>224</v>
      </c>
      <c r="E166" s="42">
        <v>5000</v>
      </c>
      <c r="G166" s="42">
        <f t="shared" si="2"/>
        <v>-5000</v>
      </c>
      <c r="H166" s="49" t="s">
        <v>836</v>
      </c>
    </row>
    <row r="167" spans="1:8" ht="12.75" customHeight="1" x14ac:dyDescent="0.2">
      <c r="A167" s="16">
        <v>42406</v>
      </c>
      <c r="B167" s="45" t="s">
        <v>40</v>
      </c>
      <c r="C167" s="41" t="s">
        <v>256</v>
      </c>
      <c r="D167" s="108" t="s">
        <v>257</v>
      </c>
      <c r="E167" s="42">
        <v>1000047</v>
      </c>
      <c r="G167" s="42">
        <f t="shared" si="2"/>
        <v>-1000047</v>
      </c>
      <c r="H167" s="49" t="s">
        <v>836</v>
      </c>
    </row>
    <row r="168" spans="1:8" ht="12.75" customHeight="1" x14ac:dyDescent="0.2">
      <c r="A168" s="16">
        <v>42406</v>
      </c>
      <c r="B168" s="41" t="s">
        <v>16</v>
      </c>
      <c r="C168" s="41" t="s">
        <v>258</v>
      </c>
      <c r="D168" s="108" t="s">
        <v>259</v>
      </c>
      <c r="E168" s="42">
        <v>600</v>
      </c>
      <c r="G168" s="42">
        <f t="shared" si="2"/>
        <v>-600</v>
      </c>
      <c r="H168" s="49" t="s">
        <v>836</v>
      </c>
    </row>
    <row r="169" spans="1:8" ht="12.75" customHeight="1" x14ac:dyDescent="0.2">
      <c r="A169" s="16">
        <v>42406</v>
      </c>
      <c r="B169" s="41" t="s">
        <v>22</v>
      </c>
      <c r="C169" s="41" t="s">
        <v>260</v>
      </c>
      <c r="D169" s="108" t="s">
        <v>261</v>
      </c>
      <c r="E169" s="42">
        <v>8300</v>
      </c>
      <c r="G169" s="42">
        <f t="shared" si="2"/>
        <v>-8300</v>
      </c>
      <c r="H169" s="49" t="s">
        <v>836</v>
      </c>
    </row>
    <row r="170" spans="1:8" ht="12.75" customHeight="1" x14ac:dyDescent="0.2">
      <c r="A170" s="16">
        <v>42406</v>
      </c>
      <c r="B170" s="41" t="s">
        <v>16</v>
      </c>
      <c r="C170" s="41" t="s">
        <v>262</v>
      </c>
      <c r="D170" s="108" t="s">
        <v>110</v>
      </c>
      <c r="E170" s="42">
        <v>150</v>
      </c>
      <c r="G170" s="42">
        <f t="shared" si="2"/>
        <v>-150</v>
      </c>
      <c r="H170" s="49" t="s">
        <v>836</v>
      </c>
    </row>
    <row r="171" spans="1:8" x14ac:dyDescent="0.2">
      <c r="A171" s="16">
        <v>42407</v>
      </c>
      <c r="B171" s="41" t="s">
        <v>40</v>
      </c>
      <c r="C171" s="41" t="s">
        <v>263</v>
      </c>
      <c r="D171" s="108" t="s">
        <v>264</v>
      </c>
      <c r="E171" s="42">
        <v>300000</v>
      </c>
      <c r="G171" s="42">
        <f t="shared" si="2"/>
        <v>-300000</v>
      </c>
      <c r="H171" s="49" t="s">
        <v>836</v>
      </c>
    </row>
    <row r="172" spans="1:8" x14ac:dyDescent="0.2">
      <c r="A172" s="16">
        <v>42408</v>
      </c>
      <c r="B172" s="41" t="s">
        <v>40</v>
      </c>
      <c r="C172" s="41" t="s">
        <v>251</v>
      </c>
      <c r="D172" s="108" t="s">
        <v>265</v>
      </c>
      <c r="E172" s="42">
        <v>75000</v>
      </c>
      <c r="G172" s="42">
        <f t="shared" si="2"/>
        <v>-75000</v>
      </c>
      <c r="H172" s="49" t="s">
        <v>836</v>
      </c>
    </row>
    <row r="173" spans="1:8" x14ac:dyDescent="0.2">
      <c r="A173" s="16">
        <v>42408</v>
      </c>
      <c r="B173" s="41" t="s">
        <v>11</v>
      </c>
      <c r="C173" s="41" t="s">
        <v>794</v>
      </c>
      <c r="D173" s="108" t="s">
        <v>268</v>
      </c>
      <c r="E173" s="42">
        <v>5000</v>
      </c>
      <c r="G173" s="42">
        <f t="shared" si="2"/>
        <v>-5000</v>
      </c>
      <c r="H173" s="49" t="s">
        <v>836</v>
      </c>
    </row>
    <row r="174" spans="1:8" x14ac:dyDescent="0.2">
      <c r="A174" s="16">
        <v>42408</v>
      </c>
      <c r="B174" s="41" t="s">
        <v>40</v>
      </c>
      <c r="C174" s="41" t="s">
        <v>269</v>
      </c>
      <c r="D174" s="108" t="s">
        <v>270</v>
      </c>
      <c r="E174" s="42">
        <v>11430</v>
      </c>
      <c r="G174" s="42">
        <f t="shared" si="2"/>
        <v>-11430</v>
      </c>
      <c r="H174" s="49" t="s">
        <v>836</v>
      </c>
    </row>
    <row r="175" spans="1:8" x14ac:dyDescent="0.2">
      <c r="A175" s="16">
        <v>42408</v>
      </c>
      <c r="B175" s="41" t="s">
        <v>40</v>
      </c>
      <c r="C175" s="41" t="s">
        <v>929</v>
      </c>
      <c r="D175" s="108" t="s">
        <v>271</v>
      </c>
      <c r="E175" s="42">
        <v>34000</v>
      </c>
      <c r="G175" s="42">
        <f t="shared" si="2"/>
        <v>-34000</v>
      </c>
      <c r="H175" s="49" t="s">
        <v>836</v>
      </c>
    </row>
    <row r="176" spans="1:8" x14ac:dyDescent="0.2">
      <c r="A176" s="16">
        <v>42409</v>
      </c>
      <c r="B176" s="41" t="s">
        <v>154</v>
      </c>
      <c r="C176" s="41" t="s">
        <v>106</v>
      </c>
      <c r="D176" s="108" t="s">
        <v>273</v>
      </c>
      <c r="E176" s="42">
        <v>2305</v>
      </c>
      <c r="G176" s="42">
        <f t="shared" si="2"/>
        <v>-2305</v>
      </c>
      <c r="H176" s="49" t="s">
        <v>836</v>
      </c>
    </row>
    <row r="177" spans="1:8" x14ac:dyDescent="0.2">
      <c r="A177" s="16">
        <v>42409</v>
      </c>
      <c r="B177" s="41" t="s">
        <v>40</v>
      </c>
      <c r="C177" s="41" t="s">
        <v>1897</v>
      </c>
      <c r="D177" s="108" t="s">
        <v>244</v>
      </c>
      <c r="E177" s="42">
        <v>100</v>
      </c>
      <c r="G177" s="42">
        <f t="shared" si="2"/>
        <v>-100</v>
      </c>
      <c r="H177" s="49" t="s">
        <v>836</v>
      </c>
    </row>
    <row r="178" spans="1:8" ht="12.75" customHeight="1" x14ac:dyDescent="0.2">
      <c r="A178" s="16">
        <v>42409</v>
      </c>
      <c r="B178" s="41" t="s">
        <v>11</v>
      </c>
      <c r="C178" s="41" t="s">
        <v>67</v>
      </c>
      <c r="D178" s="108" t="s">
        <v>275</v>
      </c>
      <c r="E178" s="42">
        <v>9520</v>
      </c>
      <c r="G178" s="42">
        <f t="shared" si="2"/>
        <v>-9520</v>
      </c>
      <c r="H178" s="49" t="s">
        <v>836</v>
      </c>
    </row>
    <row r="179" spans="1:8" ht="12.75" customHeight="1" x14ac:dyDescent="0.2">
      <c r="A179" s="16">
        <v>42409</v>
      </c>
      <c r="B179" s="41" t="s">
        <v>18</v>
      </c>
      <c r="C179" s="41" t="s">
        <v>67</v>
      </c>
      <c r="D179" s="108" t="s">
        <v>276</v>
      </c>
      <c r="E179" s="42">
        <v>220</v>
      </c>
      <c r="G179" s="42">
        <f t="shared" si="2"/>
        <v>-220</v>
      </c>
      <c r="H179" s="49" t="s">
        <v>836</v>
      </c>
    </row>
    <row r="180" spans="1:8" ht="12.75" customHeight="1" x14ac:dyDescent="0.2">
      <c r="A180" s="16">
        <v>42409</v>
      </c>
      <c r="B180" s="41" t="s">
        <v>16</v>
      </c>
      <c r="C180" s="41" t="s">
        <v>103</v>
      </c>
      <c r="D180" s="108" t="s">
        <v>277</v>
      </c>
      <c r="E180" s="42">
        <v>370</v>
      </c>
      <c r="G180" s="42">
        <f t="shared" si="2"/>
        <v>-370</v>
      </c>
      <c r="H180" s="49" t="s">
        <v>836</v>
      </c>
    </row>
    <row r="181" spans="1:8" ht="12.75" customHeight="1" x14ac:dyDescent="0.2">
      <c r="A181" s="16">
        <v>42409</v>
      </c>
      <c r="B181" s="41" t="s">
        <v>11</v>
      </c>
      <c r="C181" s="41" t="s">
        <v>309</v>
      </c>
      <c r="D181" s="108" t="s">
        <v>278</v>
      </c>
      <c r="E181" s="42">
        <v>1790</v>
      </c>
      <c r="G181" s="42">
        <f t="shared" si="2"/>
        <v>-1790</v>
      </c>
      <c r="H181" s="49" t="s">
        <v>836</v>
      </c>
    </row>
    <row r="182" spans="1:8" x14ac:dyDescent="0.2">
      <c r="A182" s="16">
        <v>42409</v>
      </c>
      <c r="B182" s="41" t="s">
        <v>25</v>
      </c>
      <c r="C182" s="41" t="s">
        <v>1894</v>
      </c>
      <c r="D182" s="108" t="s">
        <v>279</v>
      </c>
      <c r="E182" s="42">
        <v>1608</v>
      </c>
      <c r="G182" s="42">
        <f t="shared" si="2"/>
        <v>-1608</v>
      </c>
      <c r="H182" s="49" t="s">
        <v>836</v>
      </c>
    </row>
    <row r="183" spans="1:8" x14ac:dyDescent="0.2">
      <c r="A183" s="16">
        <v>42409</v>
      </c>
      <c r="B183" s="41" t="s">
        <v>40</v>
      </c>
      <c r="C183" s="41" t="s">
        <v>1894</v>
      </c>
      <c r="D183" s="108" t="s">
        <v>242</v>
      </c>
      <c r="E183" s="42">
        <v>2800</v>
      </c>
      <c r="G183" s="42">
        <f t="shared" si="2"/>
        <v>-2800</v>
      </c>
      <c r="H183" s="49" t="s">
        <v>836</v>
      </c>
    </row>
    <row r="184" spans="1:8" x14ac:dyDescent="0.2">
      <c r="A184" s="592">
        <v>42409</v>
      </c>
      <c r="B184" s="41" t="s">
        <v>82</v>
      </c>
      <c r="C184" s="41" t="s">
        <v>67</v>
      </c>
      <c r="D184" s="108" t="s">
        <v>344</v>
      </c>
      <c r="E184" s="42">
        <v>6420</v>
      </c>
      <c r="G184" s="42">
        <f t="shared" si="2"/>
        <v>-6420</v>
      </c>
      <c r="H184" s="49" t="s">
        <v>836</v>
      </c>
    </row>
    <row r="185" spans="1:8" x14ac:dyDescent="0.2">
      <c r="A185" s="16">
        <v>42410</v>
      </c>
      <c r="B185" s="41" t="s">
        <v>40</v>
      </c>
      <c r="C185" s="41" t="s">
        <v>69</v>
      </c>
      <c r="D185" s="108" t="s">
        <v>280</v>
      </c>
      <c r="E185" s="42">
        <v>1470</v>
      </c>
      <c r="G185" s="42">
        <f t="shared" si="2"/>
        <v>-1470</v>
      </c>
      <c r="H185" s="49" t="s">
        <v>836</v>
      </c>
    </row>
    <row r="186" spans="1:8" x14ac:dyDescent="0.2">
      <c r="A186" s="16">
        <v>42410</v>
      </c>
      <c r="B186" s="41" t="s">
        <v>16</v>
      </c>
      <c r="C186" s="41" t="s">
        <v>221</v>
      </c>
      <c r="D186" s="108" t="s">
        <v>281</v>
      </c>
      <c r="E186" s="42">
        <v>60</v>
      </c>
      <c r="G186" s="42">
        <f t="shared" si="2"/>
        <v>-60</v>
      </c>
      <c r="H186" s="49" t="s">
        <v>836</v>
      </c>
    </row>
    <row r="187" spans="1:8" x14ac:dyDescent="0.2">
      <c r="A187" s="16">
        <v>42410</v>
      </c>
      <c r="B187" s="41" t="s">
        <v>40</v>
      </c>
      <c r="C187" s="41" t="s">
        <v>282</v>
      </c>
      <c r="D187" s="108" t="s">
        <v>283</v>
      </c>
      <c r="E187" s="42">
        <v>13000</v>
      </c>
      <c r="G187" s="42">
        <f t="shared" si="2"/>
        <v>-13000</v>
      </c>
      <c r="H187" s="49" t="s">
        <v>836</v>
      </c>
    </row>
    <row r="188" spans="1:8" x14ac:dyDescent="0.2">
      <c r="A188" s="16">
        <v>42411</v>
      </c>
      <c r="B188" s="41" t="s">
        <v>40</v>
      </c>
      <c r="C188" s="41" t="s">
        <v>220</v>
      </c>
      <c r="D188" s="108" t="s">
        <v>270</v>
      </c>
      <c r="E188" s="42">
        <v>4000</v>
      </c>
      <c r="G188" s="42">
        <f t="shared" si="2"/>
        <v>-4000</v>
      </c>
      <c r="H188" s="49" t="s">
        <v>836</v>
      </c>
    </row>
    <row r="189" spans="1:8" x14ac:dyDescent="0.2">
      <c r="A189" s="16">
        <v>42411</v>
      </c>
      <c r="B189" s="41" t="s">
        <v>82</v>
      </c>
      <c r="C189" s="41" t="s">
        <v>220</v>
      </c>
      <c r="D189" s="108" t="s">
        <v>270</v>
      </c>
      <c r="E189" s="42">
        <v>800</v>
      </c>
      <c r="G189" s="42">
        <f t="shared" si="2"/>
        <v>-800</v>
      </c>
      <c r="H189" s="49" t="s">
        <v>836</v>
      </c>
    </row>
    <row r="190" spans="1:8" x14ac:dyDescent="0.2">
      <c r="A190" s="16">
        <v>42411</v>
      </c>
      <c r="B190" s="41" t="s">
        <v>40</v>
      </c>
      <c r="C190" s="41" t="s">
        <v>284</v>
      </c>
      <c r="D190" s="108" t="s">
        <v>284</v>
      </c>
      <c r="E190" s="42">
        <v>391000</v>
      </c>
      <c r="G190" s="42">
        <f t="shared" si="2"/>
        <v>-391000</v>
      </c>
      <c r="H190" s="49" t="s">
        <v>836</v>
      </c>
    </row>
    <row r="191" spans="1:8" x14ac:dyDescent="0.2">
      <c r="A191" s="16">
        <v>42411</v>
      </c>
      <c r="B191" s="41" t="s">
        <v>154</v>
      </c>
      <c r="C191" s="41" t="s">
        <v>220</v>
      </c>
      <c r="D191" s="108" t="s">
        <v>285</v>
      </c>
      <c r="E191" s="42">
        <v>500</v>
      </c>
      <c r="G191" s="42">
        <f t="shared" si="2"/>
        <v>-500</v>
      </c>
      <c r="H191" s="49" t="s">
        <v>836</v>
      </c>
    </row>
    <row r="192" spans="1:8" x14ac:dyDescent="0.2">
      <c r="A192" s="16">
        <v>42411</v>
      </c>
      <c r="B192" s="41" t="s">
        <v>40</v>
      </c>
      <c r="C192" s="41" t="s">
        <v>551</v>
      </c>
      <c r="D192" s="108" t="s">
        <v>286</v>
      </c>
      <c r="E192" s="42">
        <v>6500</v>
      </c>
      <c r="G192" s="42">
        <f t="shared" si="2"/>
        <v>-6500</v>
      </c>
      <c r="H192" s="49" t="s">
        <v>836</v>
      </c>
    </row>
    <row r="193" spans="1:8" x14ac:dyDescent="0.2">
      <c r="A193" s="16">
        <v>42412</v>
      </c>
      <c r="B193" s="41" t="s">
        <v>11</v>
      </c>
      <c r="C193" s="41" t="s">
        <v>183</v>
      </c>
      <c r="D193" s="108" t="s">
        <v>184</v>
      </c>
      <c r="F193" s="42">
        <f>380000+13000+7000</f>
        <v>400000</v>
      </c>
      <c r="G193" s="42">
        <f t="shared" si="2"/>
        <v>400000</v>
      </c>
      <c r="H193" s="49" t="s">
        <v>836</v>
      </c>
    </row>
    <row r="194" spans="1:8" x14ac:dyDescent="0.2">
      <c r="A194" s="16">
        <v>42412</v>
      </c>
      <c r="B194" s="41" t="s">
        <v>37</v>
      </c>
      <c r="C194" s="41" t="s">
        <v>37</v>
      </c>
      <c r="D194" s="108" t="s">
        <v>185</v>
      </c>
      <c r="F194" s="42">
        <v>45000</v>
      </c>
      <c r="G194" s="42">
        <f t="shared" ref="G194:G257" si="3">F194-E194</f>
        <v>45000</v>
      </c>
      <c r="H194" s="49" t="s">
        <v>836</v>
      </c>
    </row>
    <row r="195" spans="1:8" x14ac:dyDescent="0.2">
      <c r="A195" s="16">
        <v>42412</v>
      </c>
      <c r="B195" s="41" t="s">
        <v>37</v>
      </c>
      <c r="C195" s="41" t="s">
        <v>1167</v>
      </c>
      <c r="D195" s="788" t="s">
        <v>225</v>
      </c>
      <c r="E195" s="42">
        <v>5000</v>
      </c>
      <c r="G195" s="42">
        <f t="shared" si="3"/>
        <v>-5000</v>
      </c>
      <c r="H195" s="49" t="s">
        <v>836</v>
      </c>
    </row>
    <row r="196" spans="1:8" x14ac:dyDescent="0.2">
      <c r="A196" s="16">
        <v>42412</v>
      </c>
      <c r="B196" s="41" t="s">
        <v>37</v>
      </c>
      <c r="C196" s="41" t="s">
        <v>111</v>
      </c>
      <c r="D196" s="108" t="s">
        <v>287</v>
      </c>
      <c r="E196" s="42">
        <v>6545</v>
      </c>
      <c r="G196" s="42">
        <f t="shared" si="3"/>
        <v>-6545</v>
      </c>
      <c r="H196" s="49" t="s">
        <v>836</v>
      </c>
    </row>
    <row r="197" spans="1:8" x14ac:dyDescent="0.2">
      <c r="A197" s="16">
        <v>42412</v>
      </c>
      <c r="B197" s="41" t="s">
        <v>37</v>
      </c>
      <c r="C197" s="41" t="s">
        <v>111</v>
      </c>
      <c r="D197" s="108" t="s">
        <v>288</v>
      </c>
      <c r="E197" s="42">
        <v>300</v>
      </c>
      <c r="G197" s="42">
        <f t="shared" si="3"/>
        <v>-300</v>
      </c>
      <c r="H197" s="49" t="s">
        <v>836</v>
      </c>
    </row>
    <row r="198" spans="1:8" x14ac:dyDescent="0.2">
      <c r="A198" s="16">
        <v>42412</v>
      </c>
      <c r="B198" s="41" t="s">
        <v>11</v>
      </c>
      <c r="C198" s="41" t="s">
        <v>163</v>
      </c>
      <c r="D198" s="108" t="s">
        <v>289</v>
      </c>
      <c r="E198" s="42">
        <v>100000</v>
      </c>
      <c r="G198" s="42">
        <f t="shared" si="3"/>
        <v>-100000</v>
      </c>
      <c r="H198" s="49" t="s">
        <v>836</v>
      </c>
    </row>
    <row r="199" spans="1:8" x14ac:dyDescent="0.2">
      <c r="A199" s="16">
        <v>42413</v>
      </c>
      <c r="B199" s="41" t="s">
        <v>82</v>
      </c>
      <c r="C199" s="41" t="s">
        <v>886</v>
      </c>
      <c r="D199" s="108" t="s">
        <v>83</v>
      </c>
      <c r="E199" s="42">
        <v>20000</v>
      </c>
      <c r="G199" s="42">
        <f t="shared" si="3"/>
        <v>-20000</v>
      </c>
      <c r="H199" s="49" t="s">
        <v>836</v>
      </c>
    </row>
    <row r="200" spans="1:8" x14ac:dyDescent="0.2">
      <c r="A200" s="16">
        <v>42413</v>
      </c>
      <c r="B200" s="41" t="s">
        <v>40</v>
      </c>
      <c r="C200" s="41" t="s">
        <v>1896</v>
      </c>
      <c r="D200" s="108" t="s">
        <v>291</v>
      </c>
      <c r="E200" s="42">
        <v>12045</v>
      </c>
      <c r="G200" s="42">
        <f t="shared" si="3"/>
        <v>-12045</v>
      </c>
      <c r="H200" s="49" t="s">
        <v>836</v>
      </c>
    </row>
    <row r="201" spans="1:8" x14ac:dyDescent="0.2">
      <c r="A201" s="16">
        <v>42413</v>
      </c>
      <c r="B201" s="41" t="s">
        <v>82</v>
      </c>
      <c r="C201" s="41" t="s">
        <v>220</v>
      </c>
      <c r="D201" s="108" t="s">
        <v>292</v>
      </c>
      <c r="E201" s="42">
        <v>4840</v>
      </c>
      <c r="G201" s="42">
        <f t="shared" si="3"/>
        <v>-4840</v>
      </c>
      <c r="H201" s="49" t="s">
        <v>836</v>
      </c>
    </row>
    <row r="202" spans="1:8" x14ac:dyDescent="0.2">
      <c r="A202" s="16">
        <v>42413</v>
      </c>
      <c r="B202" s="41" t="s">
        <v>40</v>
      </c>
      <c r="C202" s="41" t="s">
        <v>1896</v>
      </c>
      <c r="D202" s="108" t="s">
        <v>144</v>
      </c>
      <c r="E202" s="42">
        <v>4380</v>
      </c>
      <c r="G202" s="42">
        <f t="shared" si="3"/>
        <v>-4380</v>
      </c>
      <c r="H202" s="49" t="s">
        <v>836</v>
      </c>
    </row>
    <row r="203" spans="1:8" x14ac:dyDescent="0.2">
      <c r="A203" s="16">
        <v>42415</v>
      </c>
      <c r="B203" s="41" t="s">
        <v>40</v>
      </c>
      <c r="C203" s="41" t="s">
        <v>107</v>
      </c>
      <c r="D203" s="108" t="s">
        <v>513</v>
      </c>
      <c r="F203" s="42">
        <v>1000000</v>
      </c>
      <c r="G203" s="42">
        <f t="shared" si="3"/>
        <v>1000000</v>
      </c>
      <c r="H203" s="49" t="s">
        <v>836</v>
      </c>
    </row>
    <row r="204" spans="1:8" x14ac:dyDescent="0.2">
      <c r="A204" s="16">
        <v>42415</v>
      </c>
      <c r="B204" s="41" t="s">
        <v>40</v>
      </c>
      <c r="C204" s="41" t="s">
        <v>1894</v>
      </c>
      <c r="D204" s="108" t="s">
        <v>270</v>
      </c>
      <c r="E204" s="42">
        <v>4707</v>
      </c>
      <c r="G204" s="42">
        <f t="shared" si="3"/>
        <v>-4707</v>
      </c>
      <c r="H204" s="49" t="s">
        <v>836</v>
      </c>
    </row>
    <row r="205" spans="1:8" x14ac:dyDescent="0.2">
      <c r="A205" s="16">
        <v>42415</v>
      </c>
      <c r="B205" s="41" t="s">
        <v>25</v>
      </c>
      <c r="C205" s="41" t="s">
        <v>1894</v>
      </c>
      <c r="D205" s="108" t="s">
        <v>293</v>
      </c>
      <c r="E205" s="42">
        <v>7072</v>
      </c>
      <c r="G205" s="42">
        <f t="shared" si="3"/>
        <v>-7072</v>
      </c>
      <c r="H205" s="49" t="s">
        <v>836</v>
      </c>
    </row>
    <row r="206" spans="1:8" x14ac:dyDescent="0.2">
      <c r="A206" s="16">
        <v>42415</v>
      </c>
      <c r="B206" s="41" t="s">
        <v>40</v>
      </c>
      <c r="C206" s="41" t="s">
        <v>551</v>
      </c>
      <c r="D206" s="108" t="s">
        <v>286</v>
      </c>
      <c r="E206" s="42">
        <v>9156</v>
      </c>
      <c r="G206" s="42">
        <f t="shared" si="3"/>
        <v>-9156</v>
      </c>
      <c r="H206" s="49" t="s">
        <v>836</v>
      </c>
    </row>
    <row r="207" spans="1:8" x14ac:dyDescent="0.2">
      <c r="A207" s="16">
        <v>42415</v>
      </c>
      <c r="B207" s="41" t="s">
        <v>40</v>
      </c>
      <c r="C207" s="41" t="s">
        <v>248</v>
      </c>
      <c r="D207" s="108" t="s">
        <v>294</v>
      </c>
      <c r="E207" s="42">
        <v>5000</v>
      </c>
      <c r="G207" s="42">
        <f t="shared" si="3"/>
        <v>-5000</v>
      </c>
      <c r="H207" s="49" t="s">
        <v>836</v>
      </c>
    </row>
    <row r="208" spans="1:8" x14ac:dyDescent="0.2">
      <c r="A208" s="16">
        <v>42415</v>
      </c>
      <c r="B208" s="41" t="s">
        <v>16</v>
      </c>
      <c r="C208" s="41" t="s">
        <v>103</v>
      </c>
      <c r="D208" s="108" t="s">
        <v>295</v>
      </c>
      <c r="E208" s="42">
        <v>200</v>
      </c>
      <c r="G208" s="42">
        <f t="shared" si="3"/>
        <v>-200</v>
      </c>
      <c r="H208" s="49" t="s">
        <v>836</v>
      </c>
    </row>
    <row r="209" spans="1:8" x14ac:dyDescent="0.2">
      <c r="A209" s="16">
        <v>42415</v>
      </c>
      <c r="B209" s="41" t="s">
        <v>154</v>
      </c>
      <c r="C209" s="41" t="s">
        <v>670</v>
      </c>
      <c r="D209" s="108" t="s">
        <v>296</v>
      </c>
      <c r="E209" s="42">
        <v>10000</v>
      </c>
      <c r="G209" s="42">
        <f t="shared" si="3"/>
        <v>-10000</v>
      </c>
      <c r="H209" s="49" t="s">
        <v>836</v>
      </c>
    </row>
    <row r="210" spans="1:8" x14ac:dyDescent="0.2">
      <c r="A210" s="16">
        <v>42415</v>
      </c>
      <c r="B210" s="41" t="s">
        <v>40</v>
      </c>
      <c r="C210" s="41" t="s">
        <v>670</v>
      </c>
      <c r="D210" s="108" t="s">
        <v>297</v>
      </c>
      <c r="E210" s="42">
        <v>28000</v>
      </c>
      <c r="G210" s="42">
        <f t="shared" si="3"/>
        <v>-28000</v>
      </c>
      <c r="H210" s="49" t="s">
        <v>836</v>
      </c>
    </row>
    <row r="211" spans="1:8" x14ac:dyDescent="0.2">
      <c r="A211" s="16">
        <v>42415</v>
      </c>
      <c r="B211" s="41" t="s">
        <v>40</v>
      </c>
      <c r="C211" s="41" t="s">
        <v>298</v>
      </c>
      <c r="D211" s="108" t="s">
        <v>299</v>
      </c>
      <c r="E211" s="42">
        <v>400000</v>
      </c>
      <c r="G211" s="42">
        <f t="shared" si="3"/>
        <v>-400000</v>
      </c>
      <c r="H211" s="49" t="s">
        <v>836</v>
      </c>
    </row>
    <row r="212" spans="1:8" x14ac:dyDescent="0.2">
      <c r="A212" s="16">
        <v>42415</v>
      </c>
      <c r="B212" s="41" t="s">
        <v>37</v>
      </c>
      <c r="C212" s="41" t="s">
        <v>300</v>
      </c>
      <c r="D212" s="108" t="s">
        <v>300</v>
      </c>
      <c r="E212" s="42">
        <v>38880</v>
      </c>
      <c r="G212" s="42">
        <f t="shared" si="3"/>
        <v>-38880</v>
      </c>
      <c r="H212" s="49" t="s">
        <v>836</v>
      </c>
    </row>
    <row r="213" spans="1:8" x14ac:dyDescent="0.2">
      <c r="A213" s="16">
        <v>42415</v>
      </c>
      <c r="B213" s="41" t="s">
        <v>16</v>
      </c>
      <c r="C213" s="41" t="s">
        <v>103</v>
      </c>
      <c r="D213" s="108" t="s">
        <v>301</v>
      </c>
      <c r="E213" s="42">
        <v>3570</v>
      </c>
      <c r="G213" s="42">
        <f t="shared" si="3"/>
        <v>-3570</v>
      </c>
      <c r="H213" s="49" t="s">
        <v>836</v>
      </c>
    </row>
    <row r="214" spans="1:8" x14ac:dyDescent="0.2">
      <c r="A214" s="592">
        <v>42415</v>
      </c>
      <c r="B214" s="41" t="s">
        <v>40</v>
      </c>
      <c r="C214" s="41" t="s">
        <v>220</v>
      </c>
      <c r="D214" s="108" t="s">
        <v>342</v>
      </c>
      <c r="E214" s="42">
        <v>30200</v>
      </c>
      <c r="G214" s="42">
        <f t="shared" si="3"/>
        <v>-30200</v>
      </c>
      <c r="H214" s="49" t="s">
        <v>836</v>
      </c>
    </row>
    <row r="215" spans="1:8" x14ac:dyDescent="0.2">
      <c r="A215" s="16">
        <v>42416</v>
      </c>
      <c r="B215" s="41" t="s">
        <v>40</v>
      </c>
      <c r="C215" s="41" t="s">
        <v>1501</v>
      </c>
      <c r="D215" s="108" t="s">
        <v>302</v>
      </c>
      <c r="E215" s="42">
        <v>27900</v>
      </c>
      <c r="G215" s="42">
        <f t="shared" si="3"/>
        <v>-27900</v>
      </c>
      <c r="H215" s="49" t="s">
        <v>836</v>
      </c>
    </row>
    <row r="216" spans="1:8" x14ac:dyDescent="0.2">
      <c r="A216" s="16">
        <v>42416</v>
      </c>
      <c r="B216" s="41" t="s">
        <v>40</v>
      </c>
      <c r="C216" s="41" t="s">
        <v>80</v>
      </c>
      <c r="D216" s="108" t="s">
        <v>270</v>
      </c>
      <c r="E216" s="42">
        <v>15761</v>
      </c>
      <c r="G216" s="42">
        <f t="shared" si="3"/>
        <v>-15761</v>
      </c>
      <c r="H216" s="49" t="s">
        <v>836</v>
      </c>
    </row>
    <row r="217" spans="1:8" x14ac:dyDescent="0.2">
      <c r="A217" s="16">
        <v>42416</v>
      </c>
      <c r="B217" s="41" t="s">
        <v>40</v>
      </c>
      <c r="C217" s="41" t="s">
        <v>80</v>
      </c>
      <c r="D217" s="108" t="s">
        <v>270</v>
      </c>
      <c r="E217" s="42">
        <v>16048</v>
      </c>
      <c r="G217" s="42">
        <f t="shared" si="3"/>
        <v>-16048</v>
      </c>
      <c r="H217" s="49" t="s">
        <v>836</v>
      </c>
    </row>
    <row r="218" spans="1:8" x14ac:dyDescent="0.2">
      <c r="A218" s="16">
        <v>42416</v>
      </c>
      <c r="B218" s="41" t="s">
        <v>40</v>
      </c>
      <c r="C218" s="41" t="s">
        <v>80</v>
      </c>
      <c r="D218" s="108" t="s">
        <v>303</v>
      </c>
      <c r="E218" s="42">
        <v>800</v>
      </c>
      <c r="G218" s="42">
        <f t="shared" si="3"/>
        <v>-800</v>
      </c>
      <c r="H218" s="49" t="s">
        <v>836</v>
      </c>
    </row>
    <row r="219" spans="1:8" x14ac:dyDescent="0.2">
      <c r="A219" s="16">
        <v>42416</v>
      </c>
      <c r="B219" s="41" t="s">
        <v>40</v>
      </c>
      <c r="C219" s="41" t="s">
        <v>80</v>
      </c>
      <c r="D219" s="108" t="s">
        <v>270</v>
      </c>
      <c r="E219" s="42">
        <v>17539</v>
      </c>
      <c r="G219" s="42">
        <f t="shared" si="3"/>
        <v>-17539</v>
      </c>
      <c r="H219" s="49" t="s">
        <v>836</v>
      </c>
    </row>
    <row r="220" spans="1:8" x14ac:dyDescent="0.2">
      <c r="A220" s="16">
        <v>42417</v>
      </c>
      <c r="B220" s="41" t="s">
        <v>37</v>
      </c>
      <c r="C220" s="41" t="s">
        <v>1167</v>
      </c>
      <c r="D220" s="788" t="s">
        <v>226</v>
      </c>
      <c r="E220" s="42">
        <v>5000</v>
      </c>
      <c r="G220" s="42">
        <f t="shared" si="3"/>
        <v>-5000</v>
      </c>
      <c r="H220" s="49" t="s">
        <v>836</v>
      </c>
    </row>
    <row r="221" spans="1:8" x14ac:dyDescent="0.2">
      <c r="A221" s="16">
        <v>42417</v>
      </c>
      <c r="B221" s="41" t="s">
        <v>40</v>
      </c>
      <c r="C221" s="41" t="s">
        <v>67</v>
      </c>
      <c r="D221" s="108" t="s">
        <v>304</v>
      </c>
      <c r="E221" s="42">
        <v>20530</v>
      </c>
      <c r="G221" s="42">
        <f t="shared" si="3"/>
        <v>-20530</v>
      </c>
      <c r="H221" s="49" t="s">
        <v>836</v>
      </c>
    </row>
    <row r="222" spans="1:8" x14ac:dyDescent="0.2">
      <c r="A222" s="16">
        <v>42417</v>
      </c>
      <c r="B222" s="41" t="s">
        <v>25</v>
      </c>
      <c r="C222" s="41" t="s">
        <v>221</v>
      </c>
      <c r="D222" s="108" t="s">
        <v>305</v>
      </c>
      <c r="E222" s="42">
        <v>1200</v>
      </c>
      <c r="G222" s="42">
        <f t="shared" si="3"/>
        <v>-1200</v>
      </c>
      <c r="H222" s="49" t="s">
        <v>836</v>
      </c>
    </row>
    <row r="223" spans="1:8" x14ac:dyDescent="0.2">
      <c r="A223" s="16">
        <v>42417</v>
      </c>
      <c r="B223" s="41" t="s">
        <v>40</v>
      </c>
      <c r="C223" s="41" t="s">
        <v>248</v>
      </c>
      <c r="D223" s="108" t="s">
        <v>306</v>
      </c>
      <c r="E223" s="42">
        <v>20000</v>
      </c>
      <c r="G223" s="42">
        <f t="shared" si="3"/>
        <v>-20000</v>
      </c>
      <c r="H223" s="49" t="s">
        <v>836</v>
      </c>
    </row>
    <row r="224" spans="1:8" x14ac:dyDescent="0.2">
      <c r="A224" s="16">
        <v>42417</v>
      </c>
      <c r="B224" s="41" t="s">
        <v>40</v>
      </c>
      <c r="C224" s="41" t="s">
        <v>61</v>
      </c>
      <c r="D224" s="108" t="s">
        <v>244</v>
      </c>
      <c r="E224" s="42">
        <v>4120</v>
      </c>
      <c r="G224" s="42">
        <f t="shared" si="3"/>
        <v>-4120</v>
      </c>
      <c r="H224" s="49" t="s">
        <v>836</v>
      </c>
    </row>
    <row r="225" spans="1:8" x14ac:dyDescent="0.2">
      <c r="A225" s="16">
        <v>42418</v>
      </c>
      <c r="B225" s="41" t="s">
        <v>40</v>
      </c>
      <c r="C225" s="41" t="s">
        <v>1167</v>
      </c>
      <c r="D225" s="788" t="s">
        <v>237</v>
      </c>
      <c r="E225" s="42">
        <v>1000</v>
      </c>
      <c r="G225" s="42">
        <f t="shared" si="3"/>
        <v>-1000</v>
      </c>
      <c r="H225" s="49" t="s">
        <v>836</v>
      </c>
    </row>
    <row r="226" spans="1:8" x14ac:dyDescent="0.2">
      <c r="A226" s="16">
        <v>42418</v>
      </c>
      <c r="B226" s="41" t="s">
        <v>40</v>
      </c>
      <c r="C226" s="41" t="s">
        <v>1167</v>
      </c>
      <c r="D226" s="788" t="s">
        <v>230</v>
      </c>
      <c r="E226" s="42">
        <v>10000</v>
      </c>
      <c r="G226" s="42">
        <f t="shared" si="3"/>
        <v>-10000</v>
      </c>
      <c r="H226" s="49" t="s">
        <v>836</v>
      </c>
    </row>
    <row r="227" spans="1:8" x14ac:dyDescent="0.2">
      <c r="A227" s="16">
        <v>42418</v>
      </c>
      <c r="B227" s="41" t="s">
        <v>16</v>
      </c>
      <c r="C227" s="41" t="s">
        <v>1167</v>
      </c>
      <c r="D227" s="788" t="s">
        <v>238</v>
      </c>
      <c r="E227" s="42">
        <v>1000</v>
      </c>
      <c r="G227" s="42">
        <f t="shared" si="3"/>
        <v>-1000</v>
      </c>
      <c r="H227" s="49" t="s">
        <v>836</v>
      </c>
    </row>
    <row r="228" spans="1:8" x14ac:dyDescent="0.2">
      <c r="A228" s="16">
        <v>42418</v>
      </c>
      <c r="B228" s="41" t="s">
        <v>37</v>
      </c>
      <c r="C228" s="41" t="s">
        <v>1167</v>
      </c>
      <c r="D228" s="788" t="s">
        <v>239</v>
      </c>
      <c r="E228" s="42">
        <v>2000</v>
      </c>
      <c r="G228" s="42">
        <f t="shared" si="3"/>
        <v>-2000</v>
      </c>
      <c r="H228" s="49" t="s">
        <v>836</v>
      </c>
    </row>
    <row r="229" spans="1:8" x14ac:dyDescent="0.2">
      <c r="A229" s="16">
        <v>42418</v>
      </c>
      <c r="B229" s="41" t="s">
        <v>22</v>
      </c>
      <c r="C229" s="41" t="s">
        <v>194</v>
      </c>
      <c r="D229" s="108" t="s">
        <v>308</v>
      </c>
      <c r="E229" s="42">
        <v>10408</v>
      </c>
      <c r="G229" s="42">
        <f t="shared" si="3"/>
        <v>-10408</v>
      </c>
      <c r="H229" s="49" t="s">
        <v>836</v>
      </c>
    </row>
    <row r="230" spans="1:8" x14ac:dyDescent="0.2">
      <c r="A230" s="16">
        <v>42418</v>
      </c>
      <c r="B230" s="41" t="s">
        <v>40</v>
      </c>
      <c r="C230" s="41" t="s">
        <v>64</v>
      </c>
      <c r="D230" s="108" t="s">
        <v>310</v>
      </c>
      <c r="E230" s="42">
        <v>1000</v>
      </c>
      <c r="G230" s="42">
        <f t="shared" si="3"/>
        <v>-1000</v>
      </c>
      <c r="H230" s="49" t="s">
        <v>836</v>
      </c>
    </row>
    <row r="231" spans="1:8" x14ac:dyDescent="0.2">
      <c r="A231" s="16">
        <v>42418</v>
      </c>
      <c r="B231" s="41" t="s">
        <v>154</v>
      </c>
      <c r="C231" s="41" t="s">
        <v>269</v>
      </c>
      <c r="D231" s="108" t="s">
        <v>311</v>
      </c>
      <c r="E231" s="42">
        <v>4770</v>
      </c>
      <c r="G231" s="42">
        <f t="shared" si="3"/>
        <v>-4770</v>
      </c>
      <c r="H231" s="49" t="s">
        <v>836</v>
      </c>
    </row>
    <row r="232" spans="1:8" x14ac:dyDescent="0.2">
      <c r="A232" s="16">
        <v>42419</v>
      </c>
      <c r="B232" s="41" t="s">
        <v>40</v>
      </c>
      <c r="C232" s="41" t="s">
        <v>1167</v>
      </c>
      <c r="D232" s="788" t="s">
        <v>235</v>
      </c>
      <c r="E232" s="42">
        <v>6000</v>
      </c>
      <c r="G232" s="42">
        <f t="shared" si="3"/>
        <v>-6000</v>
      </c>
      <c r="H232" s="49" t="s">
        <v>836</v>
      </c>
    </row>
    <row r="233" spans="1:8" x14ac:dyDescent="0.2">
      <c r="A233" s="16">
        <v>42419</v>
      </c>
      <c r="B233" s="41" t="s">
        <v>40</v>
      </c>
      <c r="C233" s="41" t="s">
        <v>1167</v>
      </c>
      <c r="D233" s="788" t="s">
        <v>236</v>
      </c>
      <c r="E233" s="42">
        <v>20000</v>
      </c>
      <c r="G233" s="42">
        <f t="shared" si="3"/>
        <v>-20000</v>
      </c>
      <c r="H233" s="49" t="s">
        <v>836</v>
      </c>
    </row>
    <row r="234" spans="1:8" x14ac:dyDescent="0.2">
      <c r="A234" s="16">
        <v>42419</v>
      </c>
      <c r="B234" s="41" t="s">
        <v>40</v>
      </c>
      <c r="C234" s="41" t="s">
        <v>929</v>
      </c>
      <c r="D234" s="108" t="s">
        <v>312</v>
      </c>
      <c r="E234" s="42">
        <v>30000</v>
      </c>
      <c r="G234" s="42">
        <f t="shared" si="3"/>
        <v>-30000</v>
      </c>
      <c r="H234" s="49" t="s">
        <v>836</v>
      </c>
    </row>
    <row r="235" spans="1:8" x14ac:dyDescent="0.2">
      <c r="A235" s="16">
        <v>42419</v>
      </c>
      <c r="B235" s="41" t="s">
        <v>40</v>
      </c>
      <c r="C235" s="41" t="s">
        <v>929</v>
      </c>
      <c r="D235" s="108" t="s">
        <v>313</v>
      </c>
      <c r="E235" s="42">
        <v>300</v>
      </c>
      <c r="G235" s="42">
        <f t="shared" si="3"/>
        <v>-300</v>
      </c>
      <c r="H235" s="49" t="s">
        <v>836</v>
      </c>
    </row>
    <row r="236" spans="1:8" x14ac:dyDescent="0.2">
      <c r="A236" s="16">
        <v>42419</v>
      </c>
      <c r="B236" s="41" t="s">
        <v>154</v>
      </c>
      <c r="C236" s="41" t="s">
        <v>220</v>
      </c>
      <c r="D236" s="108" t="s">
        <v>314</v>
      </c>
      <c r="E236" s="42">
        <v>2650</v>
      </c>
      <c r="G236" s="42">
        <f t="shared" si="3"/>
        <v>-2650</v>
      </c>
      <c r="H236" s="49" t="s">
        <v>836</v>
      </c>
    </row>
    <row r="237" spans="1:8" x14ac:dyDescent="0.2">
      <c r="A237" s="592">
        <v>42419</v>
      </c>
      <c r="B237" s="41" t="s">
        <v>82</v>
      </c>
      <c r="C237" s="41" t="s">
        <v>886</v>
      </c>
      <c r="D237" s="108" t="s">
        <v>322</v>
      </c>
      <c r="E237" s="42">
        <v>200000</v>
      </c>
      <c r="G237" s="42">
        <f t="shared" si="3"/>
        <v>-200000</v>
      </c>
      <c r="H237" s="49" t="s">
        <v>836</v>
      </c>
    </row>
    <row r="238" spans="1:8" x14ac:dyDescent="0.2">
      <c r="A238" s="16">
        <v>42420</v>
      </c>
      <c r="B238" s="41" t="s">
        <v>40</v>
      </c>
      <c r="C238" s="41" t="s">
        <v>80</v>
      </c>
      <c r="D238" s="108" t="s">
        <v>315</v>
      </c>
      <c r="E238" s="42">
        <v>3250</v>
      </c>
      <c r="G238" s="42">
        <f t="shared" si="3"/>
        <v>-3250</v>
      </c>
      <c r="H238" s="49" t="s">
        <v>836</v>
      </c>
    </row>
    <row r="239" spans="1:8" x14ac:dyDescent="0.2">
      <c r="A239" s="16">
        <v>42420</v>
      </c>
      <c r="B239" s="41" t="s">
        <v>40</v>
      </c>
      <c r="C239" s="41" t="s">
        <v>1401</v>
      </c>
      <c r="D239" s="108" t="s">
        <v>316</v>
      </c>
      <c r="E239" s="42">
        <v>69150</v>
      </c>
      <c r="G239" s="42">
        <f t="shared" si="3"/>
        <v>-69150</v>
      </c>
      <c r="H239" s="49" t="s">
        <v>836</v>
      </c>
    </row>
    <row r="240" spans="1:8" x14ac:dyDescent="0.2">
      <c r="A240" s="16">
        <v>42420</v>
      </c>
      <c r="B240" s="41" t="s">
        <v>40</v>
      </c>
      <c r="C240" s="41" t="s">
        <v>484</v>
      </c>
      <c r="D240" s="108" t="s">
        <v>317</v>
      </c>
      <c r="E240" s="42">
        <v>2500</v>
      </c>
      <c r="G240" s="42">
        <f t="shared" si="3"/>
        <v>-2500</v>
      </c>
      <c r="H240" s="49" t="s">
        <v>836</v>
      </c>
    </row>
    <row r="241" spans="1:8" x14ac:dyDescent="0.2">
      <c r="A241" s="16">
        <v>42420</v>
      </c>
      <c r="B241" s="41" t="s">
        <v>40</v>
      </c>
      <c r="C241" s="41" t="s">
        <v>318</v>
      </c>
      <c r="D241" s="108" t="s">
        <v>319</v>
      </c>
      <c r="E241" s="42">
        <v>108320</v>
      </c>
      <c r="G241" s="42">
        <f t="shared" si="3"/>
        <v>-108320</v>
      </c>
      <c r="H241" s="49" t="s">
        <v>836</v>
      </c>
    </row>
    <row r="242" spans="1:8" x14ac:dyDescent="0.2">
      <c r="A242" s="16">
        <v>42420</v>
      </c>
      <c r="B242" s="41" t="s">
        <v>154</v>
      </c>
      <c r="C242" s="41" t="s">
        <v>318</v>
      </c>
      <c r="D242" s="108" t="s">
        <v>319</v>
      </c>
      <c r="E242" s="42">
        <v>33000</v>
      </c>
      <c r="G242" s="42">
        <f t="shared" si="3"/>
        <v>-33000</v>
      </c>
      <c r="H242" s="49" t="s">
        <v>836</v>
      </c>
    </row>
    <row r="243" spans="1:8" x14ac:dyDescent="0.2">
      <c r="A243" s="16">
        <v>42420</v>
      </c>
      <c r="B243" s="41" t="s">
        <v>154</v>
      </c>
      <c r="C243" s="41" t="s">
        <v>1501</v>
      </c>
      <c r="D243" s="108" t="s">
        <v>320</v>
      </c>
      <c r="E243" s="42">
        <v>18300</v>
      </c>
      <c r="G243" s="42">
        <f t="shared" si="3"/>
        <v>-18300</v>
      </c>
      <c r="H243" s="49" t="s">
        <v>836</v>
      </c>
    </row>
    <row r="244" spans="1:8" x14ac:dyDescent="0.2">
      <c r="A244" s="16">
        <v>42421</v>
      </c>
      <c r="B244" s="41" t="s">
        <v>154</v>
      </c>
      <c r="C244" s="41" t="s">
        <v>106</v>
      </c>
      <c r="D244" s="108" t="s">
        <v>321</v>
      </c>
      <c r="E244" s="42">
        <v>810</v>
      </c>
      <c r="G244" s="42">
        <f t="shared" si="3"/>
        <v>-810</v>
      </c>
      <c r="H244" s="49" t="s">
        <v>836</v>
      </c>
    </row>
    <row r="245" spans="1:8" x14ac:dyDescent="0.2">
      <c r="A245" s="16">
        <v>42422</v>
      </c>
      <c r="B245" s="41" t="s">
        <v>16</v>
      </c>
      <c r="C245" s="41" t="s">
        <v>1167</v>
      </c>
      <c r="D245" s="788" t="s">
        <v>227</v>
      </c>
      <c r="E245" s="42">
        <v>2000</v>
      </c>
      <c r="G245" s="42">
        <f t="shared" si="3"/>
        <v>-2000</v>
      </c>
      <c r="H245" s="49" t="s">
        <v>836</v>
      </c>
    </row>
    <row r="246" spans="1:8" x14ac:dyDescent="0.2">
      <c r="A246" s="16">
        <v>42422</v>
      </c>
      <c r="B246" s="41" t="s">
        <v>16</v>
      </c>
      <c r="C246" s="41" t="s">
        <v>1167</v>
      </c>
      <c r="D246" s="788" t="s">
        <v>228</v>
      </c>
      <c r="E246" s="42">
        <v>1000</v>
      </c>
      <c r="G246" s="42">
        <f t="shared" si="3"/>
        <v>-1000</v>
      </c>
      <c r="H246" s="49" t="s">
        <v>836</v>
      </c>
    </row>
    <row r="247" spans="1:8" x14ac:dyDescent="0.2">
      <c r="A247" s="16">
        <v>42422</v>
      </c>
      <c r="B247" s="41" t="s">
        <v>40</v>
      </c>
      <c r="C247" s="41" t="s">
        <v>1167</v>
      </c>
      <c r="D247" s="788" t="s">
        <v>229</v>
      </c>
      <c r="E247" s="42">
        <v>5000</v>
      </c>
      <c r="G247" s="42">
        <f t="shared" si="3"/>
        <v>-5000</v>
      </c>
      <c r="H247" s="49" t="s">
        <v>836</v>
      </c>
    </row>
    <row r="248" spans="1:8" x14ac:dyDescent="0.2">
      <c r="A248" s="592">
        <v>42422</v>
      </c>
      <c r="B248" s="41" t="s">
        <v>154</v>
      </c>
      <c r="C248" s="41" t="s">
        <v>220</v>
      </c>
      <c r="D248" s="108" t="s">
        <v>323</v>
      </c>
      <c r="E248" s="42">
        <v>1050</v>
      </c>
      <c r="G248" s="42">
        <f t="shared" si="3"/>
        <v>-1050</v>
      </c>
      <c r="H248" s="49" t="s">
        <v>836</v>
      </c>
    </row>
    <row r="249" spans="1:8" x14ac:dyDescent="0.2">
      <c r="A249" s="592">
        <v>42422</v>
      </c>
      <c r="B249" s="41" t="s">
        <v>37</v>
      </c>
      <c r="C249" s="41" t="s">
        <v>220</v>
      </c>
      <c r="D249" s="108" t="s">
        <v>323</v>
      </c>
      <c r="E249" s="42">
        <v>3070</v>
      </c>
      <c r="G249" s="42">
        <f t="shared" si="3"/>
        <v>-3070</v>
      </c>
      <c r="H249" s="49" t="s">
        <v>836</v>
      </c>
    </row>
    <row r="250" spans="1:8" x14ac:dyDescent="0.2">
      <c r="A250" s="592">
        <v>42422</v>
      </c>
      <c r="B250" s="41" t="s">
        <v>82</v>
      </c>
      <c r="C250" s="41" t="s">
        <v>220</v>
      </c>
      <c r="D250" s="108" t="s">
        <v>323</v>
      </c>
      <c r="E250" s="42">
        <v>7570</v>
      </c>
      <c r="G250" s="42">
        <f t="shared" si="3"/>
        <v>-7570</v>
      </c>
      <c r="H250" s="49" t="s">
        <v>836</v>
      </c>
    </row>
    <row r="251" spans="1:8" x14ac:dyDescent="0.2">
      <c r="A251" s="592">
        <v>42422</v>
      </c>
      <c r="B251" s="41" t="s">
        <v>40</v>
      </c>
      <c r="C251" s="41" t="s">
        <v>220</v>
      </c>
      <c r="D251" s="108" t="s">
        <v>286</v>
      </c>
      <c r="E251" s="42">
        <v>3370</v>
      </c>
      <c r="G251" s="42">
        <f t="shared" si="3"/>
        <v>-3370</v>
      </c>
      <c r="H251" s="49" t="s">
        <v>836</v>
      </c>
    </row>
    <row r="252" spans="1:8" x14ac:dyDescent="0.2">
      <c r="A252" s="592">
        <v>42422</v>
      </c>
      <c r="B252" s="41" t="s">
        <v>40</v>
      </c>
      <c r="C252" s="41" t="s">
        <v>1894</v>
      </c>
      <c r="D252" s="108" t="s">
        <v>324</v>
      </c>
      <c r="E252" s="42">
        <v>13439</v>
      </c>
      <c r="G252" s="42">
        <f t="shared" si="3"/>
        <v>-13439</v>
      </c>
      <c r="H252" s="49" t="s">
        <v>836</v>
      </c>
    </row>
    <row r="253" spans="1:8" x14ac:dyDescent="0.2">
      <c r="A253" s="592">
        <v>42422</v>
      </c>
      <c r="B253" s="41" t="s">
        <v>40</v>
      </c>
      <c r="C253" s="41" t="s">
        <v>1894</v>
      </c>
      <c r="D253" s="108" t="s">
        <v>311</v>
      </c>
      <c r="E253" s="42">
        <v>6800</v>
      </c>
      <c r="G253" s="42">
        <f t="shared" si="3"/>
        <v>-6800</v>
      </c>
      <c r="H253" s="49" t="s">
        <v>836</v>
      </c>
    </row>
    <row r="254" spans="1:8" x14ac:dyDescent="0.2">
      <c r="A254" s="592">
        <v>42422</v>
      </c>
      <c r="B254" s="41" t="s">
        <v>18</v>
      </c>
      <c r="C254" s="41" t="s">
        <v>67</v>
      </c>
      <c r="D254" s="108" t="s">
        <v>328</v>
      </c>
      <c r="E254" s="42">
        <v>8910</v>
      </c>
      <c r="G254" s="42">
        <f t="shared" si="3"/>
        <v>-8910</v>
      </c>
      <c r="H254" s="49" t="s">
        <v>836</v>
      </c>
    </row>
    <row r="255" spans="1:8" x14ac:dyDescent="0.2">
      <c r="A255" s="592">
        <v>42422</v>
      </c>
      <c r="B255" s="41" t="s">
        <v>40</v>
      </c>
      <c r="C255" s="41" t="s">
        <v>269</v>
      </c>
      <c r="D255" s="108" t="s">
        <v>329</v>
      </c>
      <c r="E255" s="42">
        <v>322300</v>
      </c>
      <c r="G255" s="42">
        <f t="shared" si="3"/>
        <v>-322300</v>
      </c>
      <c r="H255" s="49" t="s">
        <v>836</v>
      </c>
    </row>
    <row r="256" spans="1:8" x14ac:dyDescent="0.2">
      <c r="A256" s="592">
        <v>42422</v>
      </c>
      <c r="B256" s="41" t="s">
        <v>154</v>
      </c>
      <c r="C256" s="41" t="s">
        <v>895</v>
      </c>
      <c r="D256" s="108" t="s">
        <v>330</v>
      </c>
      <c r="E256" s="42">
        <v>462000</v>
      </c>
      <c r="G256" s="42">
        <f t="shared" si="3"/>
        <v>-462000</v>
      </c>
      <c r="H256" s="49" t="s">
        <v>836</v>
      </c>
    </row>
    <row r="257" spans="1:8" x14ac:dyDescent="0.2">
      <c r="A257" s="592">
        <v>42422</v>
      </c>
      <c r="B257" s="41" t="s">
        <v>40</v>
      </c>
      <c r="C257" s="41" t="s">
        <v>484</v>
      </c>
      <c r="D257" s="108" t="s">
        <v>331</v>
      </c>
      <c r="E257" s="42">
        <v>6000</v>
      </c>
      <c r="G257" s="42">
        <f t="shared" si="3"/>
        <v>-6000</v>
      </c>
      <c r="H257" s="49" t="s">
        <v>836</v>
      </c>
    </row>
    <row r="258" spans="1:8" x14ac:dyDescent="0.2">
      <c r="A258" s="592">
        <v>42422</v>
      </c>
      <c r="B258" s="41" t="s">
        <v>40</v>
      </c>
      <c r="C258" s="41" t="s">
        <v>332</v>
      </c>
      <c r="D258" s="108" t="s">
        <v>333</v>
      </c>
      <c r="E258" s="42">
        <v>390000</v>
      </c>
      <c r="G258" s="42">
        <f t="shared" ref="G258:G259" si="4">F258-E258</f>
        <v>-390000</v>
      </c>
      <c r="H258" s="49" t="s">
        <v>836</v>
      </c>
    </row>
    <row r="259" spans="1:8" x14ac:dyDescent="0.2">
      <c r="A259" s="592">
        <v>42422</v>
      </c>
      <c r="B259" s="41" t="s">
        <v>40</v>
      </c>
      <c r="C259" s="41" t="s">
        <v>332</v>
      </c>
      <c r="D259" s="108" t="s">
        <v>333</v>
      </c>
      <c r="E259" s="42">
        <v>1980000</v>
      </c>
      <c r="G259" s="42">
        <f t="shared" si="4"/>
        <v>-1980000</v>
      </c>
      <c r="H259" s="49" t="s">
        <v>836</v>
      </c>
    </row>
    <row r="260" spans="1:8" x14ac:dyDescent="0.2">
      <c r="A260" s="592">
        <v>42423</v>
      </c>
      <c r="B260" s="41" t="s">
        <v>82</v>
      </c>
      <c r="C260" s="41" t="s">
        <v>192</v>
      </c>
      <c r="D260" s="108" t="s">
        <v>193</v>
      </c>
      <c r="F260" s="42">
        <v>2033065</v>
      </c>
      <c r="G260" s="42">
        <f>F260</f>
        <v>2033065</v>
      </c>
      <c r="H260" s="49" t="s">
        <v>836</v>
      </c>
    </row>
    <row r="261" spans="1:8" x14ac:dyDescent="0.2">
      <c r="A261" s="592">
        <v>42423</v>
      </c>
      <c r="B261" s="41" t="s">
        <v>40</v>
      </c>
      <c r="C261" s="41" t="s">
        <v>40</v>
      </c>
      <c r="D261" s="108" t="s">
        <v>512</v>
      </c>
      <c r="F261" s="42">
        <v>1000000</v>
      </c>
      <c r="G261" s="42">
        <f>F261</f>
        <v>1000000</v>
      </c>
      <c r="H261" s="49" t="s">
        <v>836</v>
      </c>
    </row>
    <row r="262" spans="1:8" x14ac:dyDescent="0.2">
      <c r="A262" s="592">
        <v>42423</v>
      </c>
      <c r="B262" s="46" t="s">
        <v>40</v>
      </c>
      <c r="C262" s="41" t="s">
        <v>40</v>
      </c>
      <c r="D262" s="108" t="s">
        <v>511</v>
      </c>
      <c r="F262" s="42">
        <v>1000000</v>
      </c>
      <c r="G262" s="42">
        <f>F262</f>
        <v>1000000</v>
      </c>
      <c r="H262" s="49" t="s">
        <v>836</v>
      </c>
    </row>
    <row r="263" spans="1:8" x14ac:dyDescent="0.2">
      <c r="A263" s="592">
        <v>42423</v>
      </c>
      <c r="B263" s="41" t="s">
        <v>40</v>
      </c>
      <c r="C263" s="41" t="s">
        <v>40</v>
      </c>
      <c r="D263" s="108" t="s">
        <v>510</v>
      </c>
      <c r="F263" s="42">
        <v>1000000</v>
      </c>
      <c r="G263" s="42">
        <f>F263</f>
        <v>1000000</v>
      </c>
      <c r="H263" s="49" t="s">
        <v>836</v>
      </c>
    </row>
    <row r="264" spans="1:8" x14ac:dyDescent="0.2">
      <c r="A264" s="592">
        <v>42423</v>
      </c>
      <c r="B264" s="41" t="s">
        <v>40</v>
      </c>
      <c r="C264" s="41" t="s">
        <v>220</v>
      </c>
      <c r="D264" s="108" t="s">
        <v>327</v>
      </c>
      <c r="E264" s="42">
        <v>8000</v>
      </c>
      <c r="G264" s="42">
        <f t="shared" ref="G264:G327" si="5">F264-E264</f>
        <v>-8000</v>
      </c>
      <c r="H264" s="49" t="s">
        <v>836</v>
      </c>
    </row>
    <row r="265" spans="1:8" x14ac:dyDescent="0.2">
      <c r="A265" s="592">
        <v>42423</v>
      </c>
      <c r="B265" s="41" t="s">
        <v>82</v>
      </c>
      <c r="C265" s="41" t="s">
        <v>220</v>
      </c>
      <c r="D265" s="108" t="s">
        <v>327</v>
      </c>
      <c r="E265" s="42">
        <v>2040</v>
      </c>
      <c r="G265" s="42">
        <f t="shared" si="5"/>
        <v>-2040</v>
      </c>
      <c r="H265" s="49" t="s">
        <v>836</v>
      </c>
    </row>
    <row r="266" spans="1:8" x14ac:dyDescent="0.2">
      <c r="A266" s="592">
        <v>42423</v>
      </c>
      <c r="B266" s="41" t="s">
        <v>154</v>
      </c>
      <c r="C266" s="41" t="s">
        <v>220</v>
      </c>
      <c r="D266" s="108" t="s">
        <v>327</v>
      </c>
      <c r="E266" s="42">
        <v>4000</v>
      </c>
      <c r="G266" s="42">
        <f t="shared" si="5"/>
        <v>-4000</v>
      </c>
      <c r="H266" s="49" t="s">
        <v>836</v>
      </c>
    </row>
    <row r="267" spans="1:8" x14ac:dyDescent="0.2">
      <c r="A267" s="592">
        <v>42423</v>
      </c>
      <c r="B267" s="41" t="s">
        <v>40</v>
      </c>
      <c r="C267" s="41" t="s">
        <v>61</v>
      </c>
      <c r="D267" s="108" t="s">
        <v>334</v>
      </c>
      <c r="E267" s="42">
        <v>3000</v>
      </c>
      <c r="G267" s="42">
        <f t="shared" si="5"/>
        <v>-3000</v>
      </c>
      <c r="H267" s="49" t="s">
        <v>836</v>
      </c>
    </row>
    <row r="268" spans="1:8" x14ac:dyDescent="0.2">
      <c r="A268" s="592">
        <v>42423</v>
      </c>
      <c r="B268" s="41" t="s">
        <v>40</v>
      </c>
      <c r="C268" s="41" t="s">
        <v>64</v>
      </c>
      <c r="D268" s="108" t="s">
        <v>335</v>
      </c>
      <c r="E268" s="42">
        <v>42000</v>
      </c>
      <c r="G268" s="42">
        <f t="shared" si="5"/>
        <v>-42000</v>
      </c>
      <c r="H268" s="49" t="s">
        <v>836</v>
      </c>
    </row>
    <row r="269" spans="1:8" x14ac:dyDescent="0.2">
      <c r="A269" s="592">
        <v>42423</v>
      </c>
      <c r="B269" s="41" t="s">
        <v>16</v>
      </c>
      <c r="C269" s="41" t="s">
        <v>262</v>
      </c>
      <c r="D269" s="108" t="s">
        <v>336</v>
      </c>
      <c r="E269" s="42">
        <v>3500</v>
      </c>
      <c r="G269" s="42">
        <f t="shared" si="5"/>
        <v>-3500</v>
      </c>
      <c r="H269" s="49" t="s">
        <v>836</v>
      </c>
    </row>
    <row r="270" spans="1:8" x14ac:dyDescent="0.2">
      <c r="A270" s="592">
        <v>42423</v>
      </c>
      <c r="B270" s="41" t="s">
        <v>40</v>
      </c>
      <c r="C270" s="41" t="s">
        <v>64</v>
      </c>
      <c r="D270" s="108" t="s">
        <v>286</v>
      </c>
      <c r="E270" s="42">
        <v>1000</v>
      </c>
      <c r="G270" s="42">
        <f t="shared" si="5"/>
        <v>-1000</v>
      </c>
      <c r="H270" s="49" t="s">
        <v>836</v>
      </c>
    </row>
    <row r="271" spans="1:8" x14ac:dyDescent="0.2">
      <c r="A271" s="592">
        <v>42424</v>
      </c>
      <c r="B271" s="41" t="s">
        <v>16</v>
      </c>
      <c r="C271" s="41" t="s">
        <v>103</v>
      </c>
      <c r="D271" s="108" t="s">
        <v>245</v>
      </c>
      <c r="E271" s="42">
        <v>6290</v>
      </c>
      <c r="G271" s="42">
        <f t="shared" si="5"/>
        <v>-6290</v>
      </c>
      <c r="H271" s="49" t="s">
        <v>836</v>
      </c>
    </row>
    <row r="272" spans="1:8" x14ac:dyDescent="0.2">
      <c r="A272" s="592">
        <v>42424</v>
      </c>
      <c r="B272" s="41" t="s">
        <v>18</v>
      </c>
      <c r="C272" s="41" t="s">
        <v>668</v>
      </c>
      <c r="D272" s="108" t="s">
        <v>338</v>
      </c>
      <c r="E272" s="42">
        <v>6570</v>
      </c>
      <c r="G272" s="42">
        <f t="shared" si="5"/>
        <v>-6570</v>
      </c>
      <c r="H272" s="49" t="s">
        <v>836</v>
      </c>
    </row>
    <row r="273" spans="1:8" x14ac:dyDescent="0.2">
      <c r="A273" s="592">
        <v>42424</v>
      </c>
      <c r="B273" s="41" t="s">
        <v>16</v>
      </c>
      <c r="C273" s="41" t="s">
        <v>103</v>
      </c>
      <c r="D273" s="108" t="s">
        <v>339</v>
      </c>
      <c r="E273" s="42">
        <v>1750</v>
      </c>
      <c r="G273" s="42">
        <f t="shared" si="5"/>
        <v>-1750</v>
      </c>
      <c r="H273" s="49" t="s">
        <v>836</v>
      </c>
    </row>
    <row r="274" spans="1:8" x14ac:dyDescent="0.2">
      <c r="A274" s="592">
        <v>42424</v>
      </c>
      <c r="B274" s="41" t="s">
        <v>16</v>
      </c>
      <c r="C274" s="41" t="s">
        <v>103</v>
      </c>
      <c r="D274" s="108" t="s">
        <v>340</v>
      </c>
      <c r="E274" s="42">
        <v>850</v>
      </c>
      <c r="G274" s="42">
        <f t="shared" si="5"/>
        <v>-850</v>
      </c>
      <c r="H274" s="49" t="s">
        <v>836</v>
      </c>
    </row>
    <row r="275" spans="1:8" x14ac:dyDescent="0.2">
      <c r="A275" s="16">
        <v>42424</v>
      </c>
      <c r="B275" s="47" t="s">
        <v>40</v>
      </c>
      <c r="C275" s="41" t="s">
        <v>379</v>
      </c>
      <c r="D275" s="108" t="s">
        <v>380</v>
      </c>
      <c r="E275" s="42">
        <v>52000</v>
      </c>
      <c r="G275" s="42">
        <f t="shared" si="5"/>
        <v>-52000</v>
      </c>
      <c r="H275" s="49" t="s">
        <v>836</v>
      </c>
    </row>
    <row r="276" spans="1:8" x14ac:dyDescent="0.2">
      <c r="A276" s="16">
        <v>42424</v>
      </c>
      <c r="B276" s="41" t="s">
        <v>11</v>
      </c>
      <c r="C276" s="41" t="s">
        <v>379</v>
      </c>
      <c r="D276" s="108" t="s">
        <v>380</v>
      </c>
      <c r="E276" s="42">
        <v>22029</v>
      </c>
      <c r="G276" s="42">
        <f t="shared" si="5"/>
        <v>-22029</v>
      </c>
      <c r="H276" s="49" t="s">
        <v>836</v>
      </c>
    </row>
    <row r="277" spans="1:8" ht="12.75" customHeight="1" x14ac:dyDescent="0.2">
      <c r="A277" s="592">
        <v>42425</v>
      </c>
      <c r="B277" s="41" t="s">
        <v>40</v>
      </c>
      <c r="C277" s="41" t="s">
        <v>80</v>
      </c>
      <c r="D277" s="108" t="s">
        <v>341</v>
      </c>
      <c r="E277" s="42">
        <v>1900</v>
      </c>
      <c r="G277" s="42">
        <f t="shared" si="5"/>
        <v>-1900</v>
      </c>
      <c r="H277" s="49" t="s">
        <v>836</v>
      </c>
    </row>
    <row r="278" spans="1:8" ht="12.75" customHeight="1" x14ac:dyDescent="0.2">
      <c r="A278" s="592">
        <v>42425</v>
      </c>
      <c r="B278" s="41" t="s">
        <v>18</v>
      </c>
      <c r="C278" s="41" t="s">
        <v>350</v>
      </c>
      <c r="D278" s="108" t="s">
        <v>351</v>
      </c>
      <c r="F278" s="42">
        <v>138500</v>
      </c>
      <c r="G278" s="42">
        <f t="shared" si="5"/>
        <v>138500</v>
      </c>
      <c r="H278" s="49" t="s">
        <v>836</v>
      </c>
    </row>
    <row r="279" spans="1:8" x14ac:dyDescent="0.2">
      <c r="A279" s="16">
        <v>42425</v>
      </c>
      <c r="B279" s="41" t="s">
        <v>16</v>
      </c>
      <c r="C279" s="41" t="s">
        <v>309</v>
      </c>
      <c r="D279" s="108" t="s">
        <v>354</v>
      </c>
      <c r="E279" s="42">
        <v>360</v>
      </c>
      <c r="G279" s="42">
        <f t="shared" si="5"/>
        <v>-360</v>
      </c>
      <c r="H279" s="49" t="s">
        <v>836</v>
      </c>
    </row>
    <row r="280" spans="1:8" x14ac:dyDescent="0.2">
      <c r="A280" s="16">
        <v>42425</v>
      </c>
      <c r="B280" s="41" t="s">
        <v>16</v>
      </c>
      <c r="C280" s="41" t="s">
        <v>1689</v>
      </c>
      <c r="D280" s="108" t="s">
        <v>355</v>
      </c>
      <c r="E280" s="42">
        <v>27066</v>
      </c>
      <c r="G280" s="42">
        <f t="shared" si="5"/>
        <v>-27066</v>
      </c>
      <c r="H280" s="49" t="s">
        <v>836</v>
      </c>
    </row>
    <row r="281" spans="1:8" x14ac:dyDescent="0.2">
      <c r="A281" s="16">
        <v>42425</v>
      </c>
      <c r="B281" s="41" t="s">
        <v>16</v>
      </c>
      <c r="C281" s="41" t="s">
        <v>103</v>
      </c>
      <c r="D281" s="108" t="s">
        <v>356</v>
      </c>
      <c r="E281" s="42">
        <v>1200</v>
      </c>
      <c r="G281" s="42">
        <f t="shared" si="5"/>
        <v>-1200</v>
      </c>
      <c r="H281" s="49" t="s">
        <v>836</v>
      </c>
    </row>
    <row r="282" spans="1:8" x14ac:dyDescent="0.2">
      <c r="A282" s="16">
        <v>42425</v>
      </c>
      <c r="B282" s="41" t="s">
        <v>40</v>
      </c>
      <c r="C282" s="41" t="s">
        <v>80</v>
      </c>
      <c r="D282" s="108" t="s">
        <v>99</v>
      </c>
      <c r="E282" s="42">
        <v>12450</v>
      </c>
      <c r="G282" s="42">
        <f t="shared" si="5"/>
        <v>-12450</v>
      </c>
      <c r="H282" s="49" t="s">
        <v>836</v>
      </c>
    </row>
    <row r="283" spans="1:8" x14ac:dyDescent="0.2">
      <c r="A283" s="592">
        <v>42426</v>
      </c>
      <c r="B283" s="41" t="s">
        <v>40</v>
      </c>
      <c r="C283" s="41" t="s">
        <v>346</v>
      </c>
      <c r="D283" s="108" t="s">
        <v>347</v>
      </c>
      <c r="F283" s="42">
        <v>200000</v>
      </c>
      <c r="G283" s="42">
        <f t="shared" si="5"/>
        <v>200000</v>
      </c>
      <c r="H283" s="49" t="s">
        <v>836</v>
      </c>
    </row>
    <row r="284" spans="1:8" x14ac:dyDescent="0.2">
      <c r="A284" s="592">
        <v>42426</v>
      </c>
      <c r="B284" s="41" t="s">
        <v>22</v>
      </c>
      <c r="C284" s="41" t="s">
        <v>348</v>
      </c>
      <c r="D284" s="108" t="s">
        <v>349</v>
      </c>
      <c r="F284" s="42">
        <v>87568</v>
      </c>
      <c r="G284" s="42">
        <f t="shared" si="5"/>
        <v>87568</v>
      </c>
      <c r="H284" s="49" t="s">
        <v>836</v>
      </c>
    </row>
    <row r="285" spans="1:8" x14ac:dyDescent="0.2">
      <c r="A285" s="16">
        <v>42426</v>
      </c>
      <c r="B285" s="41" t="s">
        <v>40</v>
      </c>
      <c r="C285" s="41" t="s">
        <v>220</v>
      </c>
      <c r="D285" s="108" t="s">
        <v>357</v>
      </c>
      <c r="E285" s="42">
        <v>7000</v>
      </c>
      <c r="G285" s="42">
        <f t="shared" si="5"/>
        <v>-7000</v>
      </c>
      <c r="H285" s="49" t="s">
        <v>836</v>
      </c>
    </row>
    <row r="286" spans="1:8" x14ac:dyDescent="0.2">
      <c r="A286" s="16">
        <v>42426</v>
      </c>
      <c r="B286" s="41" t="s">
        <v>25</v>
      </c>
      <c r="C286" s="41" t="s">
        <v>1894</v>
      </c>
      <c r="D286" s="108" t="s">
        <v>73</v>
      </c>
      <c r="E286" s="42">
        <v>8570</v>
      </c>
      <c r="G286" s="42">
        <f t="shared" si="5"/>
        <v>-8570</v>
      </c>
      <c r="H286" s="49" t="s">
        <v>836</v>
      </c>
    </row>
    <row r="287" spans="1:8" x14ac:dyDescent="0.2">
      <c r="A287" s="16">
        <v>42426</v>
      </c>
      <c r="B287" s="41" t="s">
        <v>40</v>
      </c>
      <c r="C287" s="41" t="s">
        <v>1894</v>
      </c>
      <c r="D287" s="108" t="s">
        <v>358</v>
      </c>
      <c r="E287" s="42">
        <v>2750</v>
      </c>
      <c r="G287" s="42">
        <f t="shared" si="5"/>
        <v>-2750</v>
      </c>
      <c r="H287" s="49" t="s">
        <v>836</v>
      </c>
    </row>
    <row r="288" spans="1:8" x14ac:dyDescent="0.2">
      <c r="A288" s="16">
        <v>42426</v>
      </c>
      <c r="B288" s="41" t="s">
        <v>40</v>
      </c>
      <c r="C288" s="41" t="s">
        <v>359</v>
      </c>
      <c r="D288" s="108" t="s">
        <v>449</v>
      </c>
      <c r="E288" s="42">
        <v>230000</v>
      </c>
      <c r="G288" s="42">
        <f t="shared" si="5"/>
        <v>-230000</v>
      </c>
      <c r="H288" s="49" t="s">
        <v>836</v>
      </c>
    </row>
    <row r="289" spans="1:8" x14ac:dyDescent="0.2">
      <c r="A289" s="16">
        <v>42426</v>
      </c>
      <c r="B289" s="41" t="s">
        <v>37</v>
      </c>
      <c r="C289" s="41" t="s">
        <v>194</v>
      </c>
      <c r="D289" s="108" t="s">
        <v>360</v>
      </c>
      <c r="E289" s="42">
        <v>2000</v>
      </c>
      <c r="G289" s="42">
        <f t="shared" si="5"/>
        <v>-2000</v>
      </c>
      <c r="H289" s="49" t="s">
        <v>836</v>
      </c>
    </row>
    <row r="290" spans="1:8" x14ac:dyDescent="0.2">
      <c r="A290" s="16">
        <v>42426</v>
      </c>
      <c r="B290" s="41" t="s">
        <v>82</v>
      </c>
      <c r="C290" s="41" t="s">
        <v>361</v>
      </c>
      <c r="D290" s="108" t="s">
        <v>133</v>
      </c>
      <c r="E290" s="42">
        <v>70000</v>
      </c>
      <c r="G290" s="42">
        <f t="shared" si="5"/>
        <v>-70000</v>
      </c>
      <c r="H290" s="49" t="s">
        <v>836</v>
      </c>
    </row>
    <row r="291" spans="1:8" x14ac:dyDescent="0.2">
      <c r="A291" s="16">
        <v>42426</v>
      </c>
      <c r="B291" s="41" t="s">
        <v>40</v>
      </c>
      <c r="C291" s="41" t="s">
        <v>1167</v>
      </c>
      <c r="D291" s="788" t="s">
        <v>362</v>
      </c>
      <c r="E291" s="42">
        <v>2000</v>
      </c>
      <c r="G291" s="42">
        <f t="shared" si="5"/>
        <v>-2000</v>
      </c>
      <c r="H291" s="49" t="s">
        <v>836</v>
      </c>
    </row>
    <row r="292" spans="1:8" ht="12.75" customHeight="1" x14ac:dyDescent="0.2">
      <c r="A292" s="16">
        <v>42426</v>
      </c>
      <c r="B292" s="41" t="s">
        <v>40</v>
      </c>
      <c r="C292" s="41" t="s">
        <v>1167</v>
      </c>
      <c r="D292" s="788" t="s">
        <v>363</v>
      </c>
      <c r="E292" s="42">
        <v>2000</v>
      </c>
      <c r="G292" s="42">
        <f t="shared" si="5"/>
        <v>-2000</v>
      </c>
      <c r="H292" s="49" t="s">
        <v>836</v>
      </c>
    </row>
    <row r="293" spans="1:8" ht="12.75" customHeight="1" x14ac:dyDescent="0.2">
      <c r="A293" s="16">
        <v>42426</v>
      </c>
      <c r="B293" s="41" t="s">
        <v>40</v>
      </c>
      <c r="C293" s="41" t="s">
        <v>364</v>
      </c>
      <c r="D293" s="108" t="s">
        <v>341</v>
      </c>
      <c r="E293" s="42">
        <v>3500</v>
      </c>
      <c r="G293" s="42">
        <f t="shared" si="5"/>
        <v>-3500</v>
      </c>
      <c r="H293" s="49" t="s">
        <v>836</v>
      </c>
    </row>
    <row r="294" spans="1:8" x14ac:dyDescent="0.2">
      <c r="A294" s="16">
        <v>42427</v>
      </c>
      <c r="B294" s="41" t="s">
        <v>40</v>
      </c>
      <c r="C294" s="41" t="s">
        <v>64</v>
      </c>
      <c r="D294" s="108" t="s">
        <v>270</v>
      </c>
      <c r="E294" s="42">
        <v>4000</v>
      </c>
      <c r="G294" s="42">
        <f t="shared" si="5"/>
        <v>-4000</v>
      </c>
      <c r="H294" s="49" t="s">
        <v>836</v>
      </c>
    </row>
    <row r="295" spans="1:8" x14ac:dyDescent="0.2">
      <c r="A295" s="16">
        <v>42427</v>
      </c>
      <c r="B295" s="41" t="s">
        <v>154</v>
      </c>
      <c r="C295" s="41" t="s">
        <v>64</v>
      </c>
      <c r="D295" s="108" t="s">
        <v>270</v>
      </c>
      <c r="E295" s="42">
        <v>1530</v>
      </c>
      <c r="G295" s="42">
        <f t="shared" si="5"/>
        <v>-1530</v>
      </c>
      <c r="H295" s="49" t="s">
        <v>836</v>
      </c>
    </row>
    <row r="296" spans="1:8" x14ac:dyDescent="0.2">
      <c r="A296" s="16">
        <v>42427</v>
      </c>
      <c r="B296" s="41" t="s">
        <v>40</v>
      </c>
      <c r="C296" s="41" t="s">
        <v>64</v>
      </c>
      <c r="D296" s="108" t="s">
        <v>270</v>
      </c>
      <c r="E296" s="42">
        <v>1000</v>
      </c>
      <c r="G296" s="42">
        <f t="shared" si="5"/>
        <v>-1000</v>
      </c>
      <c r="H296" s="49" t="s">
        <v>836</v>
      </c>
    </row>
    <row r="297" spans="1:8" ht="12.75" customHeight="1" x14ac:dyDescent="0.2">
      <c r="A297" s="16">
        <v>42427</v>
      </c>
      <c r="B297" s="41" t="s">
        <v>40</v>
      </c>
      <c r="C297" s="41" t="s">
        <v>64</v>
      </c>
      <c r="D297" s="108" t="s">
        <v>270</v>
      </c>
      <c r="E297" s="42">
        <v>5000</v>
      </c>
      <c r="G297" s="42">
        <f t="shared" si="5"/>
        <v>-5000</v>
      </c>
      <c r="H297" s="49" t="s">
        <v>836</v>
      </c>
    </row>
    <row r="298" spans="1:8" ht="12.75" customHeight="1" x14ac:dyDescent="0.2">
      <c r="A298" s="16">
        <v>42427</v>
      </c>
      <c r="B298" s="41" t="s">
        <v>40</v>
      </c>
      <c r="C298" s="41" t="s">
        <v>64</v>
      </c>
      <c r="D298" s="108" t="s">
        <v>270</v>
      </c>
      <c r="E298" s="42">
        <v>3000</v>
      </c>
      <c r="G298" s="42">
        <f t="shared" si="5"/>
        <v>-3000</v>
      </c>
      <c r="H298" s="49" t="s">
        <v>836</v>
      </c>
    </row>
    <row r="299" spans="1:8" ht="12.75" customHeight="1" x14ac:dyDescent="0.2">
      <c r="A299" s="16">
        <v>42427</v>
      </c>
      <c r="B299" s="41" t="s">
        <v>82</v>
      </c>
      <c r="C299" s="41" t="s">
        <v>309</v>
      </c>
      <c r="D299" s="108" t="s">
        <v>144</v>
      </c>
      <c r="E299" s="42">
        <v>1000</v>
      </c>
      <c r="G299" s="42">
        <f t="shared" si="5"/>
        <v>-1000</v>
      </c>
      <c r="H299" s="49" t="s">
        <v>836</v>
      </c>
    </row>
    <row r="300" spans="1:8" ht="12.75" customHeight="1" x14ac:dyDescent="0.2">
      <c r="A300" s="16">
        <v>42427</v>
      </c>
      <c r="B300" s="41" t="s">
        <v>154</v>
      </c>
      <c r="C300" s="41" t="s">
        <v>365</v>
      </c>
      <c r="D300" s="108" t="s">
        <v>366</v>
      </c>
      <c r="E300" s="42">
        <v>100000</v>
      </c>
      <c r="G300" s="42">
        <f t="shared" si="5"/>
        <v>-100000</v>
      </c>
      <c r="H300" s="49" t="s">
        <v>836</v>
      </c>
    </row>
    <row r="301" spans="1:8" ht="12.75" customHeight="1" x14ac:dyDescent="0.2">
      <c r="A301" s="16">
        <v>42427</v>
      </c>
      <c r="B301" s="41" t="s">
        <v>154</v>
      </c>
      <c r="C301" s="41" t="s">
        <v>367</v>
      </c>
      <c r="D301" s="108" t="s">
        <v>368</v>
      </c>
      <c r="E301" s="42">
        <v>15000</v>
      </c>
      <c r="G301" s="42">
        <f t="shared" si="5"/>
        <v>-15000</v>
      </c>
      <c r="H301" s="49" t="s">
        <v>836</v>
      </c>
    </row>
    <row r="302" spans="1:8" x14ac:dyDescent="0.2">
      <c r="A302" s="16">
        <v>42427</v>
      </c>
      <c r="B302" s="41" t="s">
        <v>37</v>
      </c>
      <c r="C302" s="41" t="s">
        <v>1167</v>
      </c>
      <c r="D302" s="788" t="s">
        <v>369</v>
      </c>
      <c r="E302" s="42">
        <v>5000</v>
      </c>
      <c r="G302" s="42">
        <f t="shared" si="5"/>
        <v>-5000</v>
      </c>
      <c r="H302" s="49" t="s">
        <v>836</v>
      </c>
    </row>
    <row r="303" spans="1:8" x14ac:dyDescent="0.2">
      <c r="A303" s="16">
        <v>42427</v>
      </c>
      <c r="B303" s="41" t="s">
        <v>40</v>
      </c>
      <c r="C303" s="41" t="s">
        <v>251</v>
      </c>
      <c r="D303" s="108" t="s">
        <v>370</v>
      </c>
      <c r="E303" s="42">
        <v>50000</v>
      </c>
      <c r="G303" s="42">
        <f t="shared" si="5"/>
        <v>-50000</v>
      </c>
      <c r="H303" s="49" t="s">
        <v>836</v>
      </c>
    </row>
    <row r="304" spans="1:8" x14ac:dyDescent="0.2">
      <c r="A304" s="16">
        <v>42427</v>
      </c>
      <c r="B304" s="41" t="s">
        <v>40</v>
      </c>
      <c r="C304" s="41" t="s">
        <v>1167</v>
      </c>
      <c r="D304" s="788" t="s">
        <v>371</v>
      </c>
      <c r="E304" s="42">
        <v>3000</v>
      </c>
      <c r="G304" s="42">
        <f t="shared" si="5"/>
        <v>-3000</v>
      </c>
      <c r="H304" s="49" t="s">
        <v>836</v>
      </c>
    </row>
    <row r="305" spans="1:8" x14ac:dyDescent="0.2">
      <c r="A305" s="16">
        <v>42427</v>
      </c>
      <c r="B305" s="41" t="s">
        <v>40</v>
      </c>
      <c r="C305" s="41" t="s">
        <v>372</v>
      </c>
      <c r="D305" s="108" t="s">
        <v>373</v>
      </c>
      <c r="E305" s="42">
        <v>19800</v>
      </c>
      <c r="G305" s="42">
        <f t="shared" si="5"/>
        <v>-19800</v>
      </c>
      <c r="H305" s="49" t="s">
        <v>836</v>
      </c>
    </row>
    <row r="306" spans="1:8" x14ac:dyDescent="0.2">
      <c r="A306" s="16">
        <v>42429</v>
      </c>
      <c r="B306" s="41" t="s">
        <v>82</v>
      </c>
      <c r="C306" s="41" t="s">
        <v>201</v>
      </c>
      <c r="D306" s="108" t="s">
        <v>270</v>
      </c>
      <c r="E306" s="42">
        <v>1000</v>
      </c>
      <c r="G306" s="42">
        <f t="shared" si="5"/>
        <v>-1000</v>
      </c>
      <c r="H306" s="49" t="s">
        <v>836</v>
      </c>
    </row>
    <row r="307" spans="1:8" x14ac:dyDescent="0.2">
      <c r="A307" s="16">
        <v>42429</v>
      </c>
      <c r="B307" s="41" t="s">
        <v>154</v>
      </c>
      <c r="C307" s="41" t="s">
        <v>201</v>
      </c>
      <c r="D307" s="108" t="s">
        <v>374</v>
      </c>
      <c r="E307" s="42">
        <v>575</v>
      </c>
      <c r="G307" s="42">
        <f t="shared" si="5"/>
        <v>-575</v>
      </c>
      <c r="H307" s="49" t="s">
        <v>836</v>
      </c>
    </row>
    <row r="308" spans="1:8" x14ac:dyDescent="0.2">
      <c r="A308" s="16">
        <v>42429</v>
      </c>
      <c r="B308" s="41" t="s">
        <v>18</v>
      </c>
      <c r="C308" s="41" t="s">
        <v>668</v>
      </c>
      <c r="D308" s="108" t="s">
        <v>144</v>
      </c>
      <c r="E308" s="42">
        <v>10185</v>
      </c>
      <c r="G308" s="42">
        <f t="shared" si="5"/>
        <v>-10185</v>
      </c>
      <c r="H308" s="49" t="s">
        <v>836</v>
      </c>
    </row>
    <row r="309" spans="1:8" x14ac:dyDescent="0.2">
      <c r="A309" s="16">
        <v>42429</v>
      </c>
      <c r="B309" s="41" t="s">
        <v>40</v>
      </c>
      <c r="C309" s="41" t="s">
        <v>272</v>
      </c>
      <c r="D309" s="108" t="s">
        <v>375</v>
      </c>
      <c r="E309" s="42">
        <v>120</v>
      </c>
      <c r="G309" s="42">
        <f t="shared" si="5"/>
        <v>-120</v>
      </c>
      <c r="H309" s="49" t="s">
        <v>836</v>
      </c>
    </row>
    <row r="310" spans="1:8" x14ac:dyDescent="0.2">
      <c r="A310" s="16">
        <v>42429</v>
      </c>
      <c r="B310" s="41" t="s">
        <v>40</v>
      </c>
      <c r="C310" s="41" t="s">
        <v>64</v>
      </c>
      <c r="D310" s="108" t="s">
        <v>270</v>
      </c>
      <c r="E310" s="42">
        <v>1950</v>
      </c>
      <c r="G310" s="42">
        <f t="shared" si="5"/>
        <v>-1950</v>
      </c>
      <c r="H310" s="49" t="s">
        <v>836</v>
      </c>
    </row>
    <row r="311" spans="1:8" x14ac:dyDescent="0.2">
      <c r="A311" s="16">
        <v>42429</v>
      </c>
      <c r="B311" s="41" t="s">
        <v>82</v>
      </c>
      <c r="C311" s="41" t="s">
        <v>64</v>
      </c>
      <c r="D311" s="108" t="s">
        <v>270</v>
      </c>
      <c r="E311" s="42">
        <v>250</v>
      </c>
      <c r="G311" s="42">
        <f t="shared" si="5"/>
        <v>-250</v>
      </c>
      <c r="H311" s="49" t="s">
        <v>836</v>
      </c>
    </row>
    <row r="312" spans="1:8" x14ac:dyDescent="0.2">
      <c r="A312" s="16">
        <v>42429</v>
      </c>
      <c r="B312" s="41" t="s">
        <v>40</v>
      </c>
      <c r="C312" s="41" t="s">
        <v>64</v>
      </c>
      <c r="D312" s="108" t="s">
        <v>110</v>
      </c>
      <c r="E312" s="42">
        <v>2000</v>
      </c>
      <c r="G312" s="42">
        <f t="shared" si="5"/>
        <v>-2000</v>
      </c>
      <c r="H312" s="49" t="s">
        <v>836</v>
      </c>
    </row>
    <row r="313" spans="1:8" ht="12.75" customHeight="1" x14ac:dyDescent="0.2">
      <c r="A313" s="16">
        <v>42429</v>
      </c>
      <c r="B313" s="41" t="s">
        <v>82</v>
      </c>
      <c r="C313" s="41" t="s">
        <v>484</v>
      </c>
      <c r="D313" s="108" t="s">
        <v>376</v>
      </c>
      <c r="E313" s="42">
        <v>5000</v>
      </c>
      <c r="G313" s="42">
        <f t="shared" si="5"/>
        <v>-5000</v>
      </c>
      <c r="H313" s="49" t="s">
        <v>836</v>
      </c>
    </row>
    <row r="314" spans="1:8" ht="12.75" customHeight="1" x14ac:dyDescent="0.2">
      <c r="A314" s="16">
        <v>42429</v>
      </c>
      <c r="B314" s="41" t="s">
        <v>40</v>
      </c>
      <c r="C314" s="41" t="s">
        <v>929</v>
      </c>
      <c r="D314" s="108" t="s">
        <v>370</v>
      </c>
      <c r="E314" s="42">
        <v>5000</v>
      </c>
      <c r="G314" s="42">
        <f t="shared" si="5"/>
        <v>-5000</v>
      </c>
      <c r="H314" s="49" t="s">
        <v>836</v>
      </c>
    </row>
    <row r="315" spans="1:8" x14ac:dyDescent="0.2">
      <c r="A315" s="16">
        <v>42429</v>
      </c>
      <c r="B315" s="41" t="s">
        <v>40</v>
      </c>
      <c r="C315" s="41" t="s">
        <v>248</v>
      </c>
      <c r="D315" s="108" t="s">
        <v>370</v>
      </c>
      <c r="E315" s="42">
        <v>10000</v>
      </c>
      <c r="G315" s="42">
        <f t="shared" si="5"/>
        <v>-10000</v>
      </c>
      <c r="H315" s="49" t="s">
        <v>836</v>
      </c>
    </row>
    <row r="316" spans="1:8" ht="12.75" customHeight="1" x14ac:dyDescent="0.2">
      <c r="A316" s="16">
        <v>42429</v>
      </c>
      <c r="B316" s="41" t="s">
        <v>25</v>
      </c>
      <c r="C316" s="41" t="s">
        <v>1894</v>
      </c>
      <c r="D316" s="108" t="s">
        <v>246</v>
      </c>
      <c r="E316" s="42">
        <v>1800</v>
      </c>
      <c r="G316" s="42">
        <f t="shared" si="5"/>
        <v>-1800</v>
      </c>
      <c r="H316" s="49" t="s">
        <v>836</v>
      </c>
    </row>
    <row r="317" spans="1:8" x14ac:dyDescent="0.2">
      <c r="A317" s="16">
        <v>42429</v>
      </c>
      <c r="B317" s="41" t="s">
        <v>40</v>
      </c>
      <c r="C317" s="41" t="s">
        <v>377</v>
      </c>
      <c r="D317" s="108" t="s">
        <v>378</v>
      </c>
      <c r="E317" s="42">
        <v>3000</v>
      </c>
      <c r="G317" s="42">
        <f t="shared" si="5"/>
        <v>-3000</v>
      </c>
      <c r="H317" s="49" t="s">
        <v>836</v>
      </c>
    </row>
    <row r="318" spans="1:8" ht="12.75" customHeight="1" x14ac:dyDescent="0.2">
      <c r="A318" s="16">
        <v>42429</v>
      </c>
      <c r="B318" s="41" t="s">
        <v>40</v>
      </c>
      <c r="C318" s="41" t="s">
        <v>1167</v>
      </c>
      <c r="D318" s="790" t="s">
        <v>389</v>
      </c>
      <c r="E318" s="42">
        <v>6000</v>
      </c>
      <c r="G318" s="42">
        <f t="shared" si="5"/>
        <v>-6000</v>
      </c>
      <c r="H318" s="49" t="s">
        <v>836</v>
      </c>
    </row>
    <row r="319" spans="1:8" x14ac:dyDescent="0.2">
      <c r="A319" s="16">
        <v>42430</v>
      </c>
      <c r="B319" s="41" t="s">
        <v>40</v>
      </c>
      <c r="C319" s="41" t="s">
        <v>764</v>
      </c>
      <c r="D319" s="108" t="s">
        <v>381</v>
      </c>
      <c r="E319" s="42">
        <v>800000</v>
      </c>
      <c r="G319" s="42">
        <f t="shared" si="5"/>
        <v>-800000</v>
      </c>
      <c r="H319" s="49" t="s">
        <v>837</v>
      </c>
    </row>
    <row r="320" spans="1:8" x14ac:dyDescent="0.2">
      <c r="A320" s="16">
        <v>42430</v>
      </c>
      <c r="B320" s="41" t="s">
        <v>40</v>
      </c>
      <c r="C320" s="41" t="s">
        <v>220</v>
      </c>
      <c r="D320" s="108" t="s">
        <v>382</v>
      </c>
      <c r="E320" s="42">
        <v>4200</v>
      </c>
      <c r="G320" s="42">
        <f t="shared" si="5"/>
        <v>-4200</v>
      </c>
      <c r="H320" s="49" t="s">
        <v>837</v>
      </c>
    </row>
    <row r="321" spans="1:8" ht="12.75" customHeight="1" x14ac:dyDescent="0.2">
      <c r="A321" s="16">
        <v>42430</v>
      </c>
      <c r="B321" s="41" t="s">
        <v>82</v>
      </c>
      <c r="C321" s="41" t="s">
        <v>220</v>
      </c>
      <c r="D321" s="108" t="s">
        <v>383</v>
      </c>
      <c r="E321" s="42">
        <v>3755</v>
      </c>
      <c r="G321" s="42">
        <f t="shared" si="5"/>
        <v>-3755</v>
      </c>
      <c r="H321" s="49" t="s">
        <v>837</v>
      </c>
    </row>
    <row r="322" spans="1:8" x14ac:dyDescent="0.2">
      <c r="A322" s="16">
        <v>42430</v>
      </c>
      <c r="B322" s="41" t="s">
        <v>154</v>
      </c>
      <c r="C322" s="41" t="s">
        <v>220</v>
      </c>
      <c r="D322" s="108" t="s">
        <v>383</v>
      </c>
      <c r="E322" s="42">
        <v>3755</v>
      </c>
      <c r="G322" s="42">
        <f t="shared" si="5"/>
        <v>-3755</v>
      </c>
      <c r="H322" s="49" t="s">
        <v>837</v>
      </c>
    </row>
    <row r="323" spans="1:8" x14ac:dyDescent="0.2">
      <c r="A323" s="16">
        <v>42430</v>
      </c>
      <c r="B323" s="41" t="s">
        <v>40</v>
      </c>
      <c r="C323" s="41" t="s">
        <v>1894</v>
      </c>
      <c r="D323" s="108" t="s">
        <v>384</v>
      </c>
      <c r="E323" s="42">
        <v>3000</v>
      </c>
      <c r="G323" s="42">
        <f t="shared" si="5"/>
        <v>-3000</v>
      </c>
      <c r="H323" s="49" t="s">
        <v>837</v>
      </c>
    </row>
    <row r="324" spans="1:8" x14ac:dyDescent="0.2">
      <c r="A324" s="16">
        <v>42430</v>
      </c>
      <c r="B324" s="41" t="s">
        <v>82</v>
      </c>
      <c r="C324" s="41" t="s">
        <v>220</v>
      </c>
      <c r="D324" s="108" t="s">
        <v>383</v>
      </c>
      <c r="E324" s="42">
        <v>1400</v>
      </c>
      <c r="G324" s="42">
        <f t="shared" si="5"/>
        <v>-1400</v>
      </c>
      <c r="H324" s="49" t="s">
        <v>837</v>
      </c>
    </row>
    <row r="325" spans="1:8" x14ac:dyDescent="0.2">
      <c r="A325" s="16">
        <v>42430</v>
      </c>
      <c r="B325" s="41" t="s">
        <v>154</v>
      </c>
      <c r="C325" s="41" t="s">
        <v>220</v>
      </c>
      <c r="D325" s="108" t="s">
        <v>383</v>
      </c>
      <c r="E325" s="42">
        <v>1400</v>
      </c>
      <c r="G325" s="42">
        <f t="shared" si="5"/>
        <v>-1400</v>
      </c>
      <c r="H325" s="49" t="s">
        <v>837</v>
      </c>
    </row>
    <row r="326" spans="1:8" x14ac:dyDescent="0.2">
      <c r="A326" s="16">
        <v>42430</v>
      </c>
      <c r="B326" s="41" t="s">
        <v>82</v>
      </c>
      <c r="C326" s="41" t="s">
        <v>14</v>
      </c>
      <c r="D326" s="108" t="s">
        <v>326</v>
      </c>
      <c r="E326" s="42">
        <v>680</v>
      </c>
      <c r="G326" s="42">
        <f t="shared" si="5"/>
        <v>-680</v>
      </c>
      <c r="H326" s="49" t="s">
        <v>837</v>
      </c>
    </row>
    <row r="327" spans="1:8" x14ac:dyDescent="0.2">
      <c r="A327" s="16">
        <v>42430</v>
      </c>
      <c r="B327" s="41" t="s">
        <v>16</v>
      </c>
      <c r="C327" s="41" t="s">
        <v>14</v>
      </c>
      <c r="D327" s="108" t="s">
        <v>385</v>
      </c>
      <c r="E327" s="42">
        <v>1500</v>
      </c>
      <c r="G327" s="42">
        <f t="shared" si="5"/>
        <v>-1500</v>
      </c>
      <c r="H327" s="49" t="s">
        <v>837</v>
      </c>
    </row>
    <row r="328" spans="1:8" x14ac:dyDescent="0.2">
      <c r="A328" s="16">
        <v>42430</v>
      </c>
      <c r="B328" s="41" t="s">
        <v>40</v>
      </c>
      <c r="C328" s="41" t="s">
        <v>64</v>
      </c>
      <c r="D328" s="108" t="s">
        <v>386</v>
      </c>
      <c r="E328" s="42">
        <v>400</v>
      </c>
      <c r="G328" s="42">
        <f t="shared" ref="G328:G391" si="6">F328-E328</f>
        <v>-400</v>
      </c>
      <c r="H328" s="49" t="s">
        <v>837</v>
      </c>
    </row>
    <row r="329" spans="1:8" x14ac:dyDescent="0.2">
      <c r="A329" s="16">
        <v>42430</v>
      </c>
      <c r="B329" s="41" t="s">
        <v>40</v>
      </c>
      <c r="C329" s="41" t="s">
        <v>64</v>
      </c>
      <c r="D329" s="108" t="s">
        <v>387</v>
      </c>
      <c r="E329" s="42">
        <v>150</v>
      </c>
      <c r="G329" s="42">
        <f t="shared" si="6"/>
        <v>-150</v>
      </c>
      <c r="H329" s="49" t="s">
        <v>837</v>
      </c>
    </row>
    <row r="330" spans="1:8" ht="12.75" customHeight="1" x14ac:dyDescent="0.2">
      <c r="A330" s="16">
        <v>42430</v>
      </c>
      <c r="B330" s="41" t="s">
        <v>37</v>
      </c>
      <c r="C330" s="41" t="s">
        <v>111</v>
      </c>
      <c r="D330" s="108" t="s">
        <v>388</v>
      </c>
      <c r="E330" s="42">
        <v>2930</v>
      </c>
      <c r="G330" s="42">
        <f t="shared" si="6"/>
        <v>-2930</v>
      </c>
      <c r="H330" s="49" t="s">
        <v>837</v>
      </c>
    </row>
    <row r="331" spans="1:8" ht="12.75" customHeight="1" x14ac:dyDescent="0.2">
      <c r="A331" s="16">
        <v>42430</v>
      </c>
      <c r="B331" s="41" t="s">
        <v>40</v>
      </c>
      <c r="C331" s="41" t="s">
        <v>402</v>
      </c>
      <c r="D331" s="108" t="s">
        <v>403</v>
      </c>
      <c r="E331" s="42">
        <v>760</v>
      </c>
      <c r="G331" s="42">
        <f t="shared" si="6"/>
        <v>-760</v>
      </c>
      <c r="H331" s="49" t="s">
        <v>837</v>
      </c>
    </row>
    <row r="332" spans="1:8" x14ac:dyDescent="0.2">
      <c r="A332" s="16">
        <v>42430</v>
      </c>
      <c r="B332" s="41" t="s">
        <v>40</v>
      </c>
      <c r="C332" s="41" t="s">
        <v>1167</v>
      </c>
      <c r="D332" s="788" t="s">
        <v>494</v>
      </c>
      <c r="E332" s="42">
        <v>2000</v>
      </c>
      <c r="G332" s="42">
        <f t="shared" si="6"/>
        <v>-2000</v>
      </c>
      <c r="H332" s="49" t="s">
        <v>837</v>
      </c>
    </row>
    <row r="333" spans="1:8" x14ac:dyDescent="0.2">
      <c r="A333" s="16">
        <v>42431</v>
      </c>
      <c r="B333" s="41" t="s">
        <v>154</v>
      </c>
      <c r="C333" s="41" t="s">
        <v>106</v>
      </c>
      <c r="D333" s="108" t="s">
        <v>388</v>
      </c>
      <c r="E333" s="42">
        <v>970</v>
      </c>
      <c r="G333" s="42">
        <f t="shared" si="6"/>
        <v>-970</v>
      </c>
      <c r="H333" s="49" t="s">
        <v>837</v>
      </c>
    </row>
    <row r="334" spans="1:8" x14ac:dyDescent="0.2">
      <c r="A334" s="16">
        <v>42431</v>
      </c>
      <c r="B334" s="41" t="s">
        <v>154</v>
      </c>
      <c r="C334" s="41" t="s">
        <v>325</v>
      </c>
      <c r="D334" s="108" t="s">
        <v>388</v>
      </c>
      <c r="E334" s="42">
        <v>4000</v>
      </c>
      <c r="G334" s="42">
        <f t="shared" si="6"/>
        <v>-4000</v>
      </c>
      <c r="H334" s="49" t="s">
        <v>837</v>
      </c>
    </row>
    <row r="335" spans="1:8" ht="12.75" customHeight="1" x14ac:dyDescent="0.2">
      <c r="A335" s="16">
        <v>42431</v>
      </c>
      <c r="B335" s="41" t="s">
        <v>40</v>
      </c>
      <c r="C335" s="41" t="s">
        <v>359</v>
      </c>
      <c r="D335" s="108" t="s">
        <v>390</v>
      </c>
      <c r="E335" s="42">
        <v>500</v>
      </c>
      <c r="G335" s="42">
        <f t="shared" si="6"/>
        <v>-500</v>
      </c>
      <c r="H335" s="49" t="s">
        <v>837</v>
      </c>
    </row>
    <row r="336" spans="1:8" ht="12.75" customHeight="1" x14ac:dyDescent="0.2">
      <c r="A336" s="16">
        <v>42431</v>
      </c>
      <c r="B336" s="41" t="s">
        <v>82</v>
      </c>
      <c r="C336" s="41" t="s">
        <v>886</v>
      </c>
      <c r="D336" s="108" t="s">
        <v>388</v>
      </c>
      <c r="E336" s="42">
        <v>150000</v>
      </c>
      <c r="G336" s="42">
        <f t="shared" si="6"/>
        <v>-150000</v>
      </c>
      <c r="H336" s="49" t="s">
        <v>837</v>
      </c>
    </row>
    <row r="337" spans="1:8" ht="12.75" customHeight="1" x14ac:dyDescent="0.2">
      <c r="A337" s="16">
        <v>42431</v>
      </c>
      <c r="B337" s="41" t="s">
        <v>16</v>
      </c>
      <c r="C337" s="41" t="s">
        <v>103</v>
      </c>
      <c r="D337" s="108" t="s">
        <v>391</v>
      </c>
      <c r="E337" s="42">
        <v>390</v>
      </c>
      <c r="G337" s="42">
        <f t="shared" si="6"/>
        <v>-390</v>
      </c>
      <c r="H337" s="49" t="s">
        <v>837</v>
      </c>
    </row>
    <row r="338" spans="1:8" ht="12.75" customHeight="1" x14ac:dyDescent="0.2">
      <c r="A338" s="16">
        <v>42431</v>
      </c>
      <c r="B338" s="41" t="s">
        <v>16</v>
      </c>
      <c r="C338" s="41" t="s">
        <v>103</v>
      </c>
      <c r="D338" s="108" t="s">
        <v>392</v>
      </c>
      <c r="E338" s="42">
        <v>105</v>
      </c>
      <c r="G338" s="42">
        <f t="shared" si="6"/>
        <v>-105</v>
      </c>
      <c r="H338" s="49" t="s">
        <v>837</v>
      </c>
    </row>
    <row r="339" spans="1:8" ht="12.75" customHeight="1" x14ac:dyDescent="0.2">
      <c r="A339" s="16">
        <v>42431</v>
      </c>
      <c r="B339" s="41" t="s">
        <v>154</v>
      </c>
      <c r="C339" s="41" t="s">
        <v>1501</v>
      </c>
      <c r="D339" s="108" t="s">
        <v>393</v>
      </c>
      <c r="E339" s="42">
        <v>16400</v>
      </c>
      <c r="G339" s="42">
        <f t="shared" si="6"/>
        <v>-16400</v>
      </c>
      <c r="H339" s="49" t="s">
        <v>837</v>
      </c>
    </row>
    <row r="340" spans="1:8" x14ac:dyDescent="0.2">
      <c r="A340" s="16">
        <v>42431</v>
      </c>
      <c r="B340" s="41" t="s">
        <v>40</v>
      </c>
      <c r="C340" s="41" t="s">
        <v>1501</v>
      </c>
      <c r="D340" s="108" t="s">
        <v>393</v>
      </c>
      <c r="E340" s="42">
        <v>16400</v>
      </c>
      <c r="G340" s="42">
        <f t="shared" si="6"/>
        <v>-16400</v>
      </c>
      <c r="H340" s="49" t="s">
        <v>837</v>
      </c>
    </row>
    <row r="341" spans="1:8" x14ac:dyDescent="0.2">
      <c r="A341" s="16">
        <v>42431</v>
      </c>
      <c r="B341" s="41" t="s">
        <v>154</v>
      </c>
      <c r="C341" s="41" t="s">
        <v>1167</v>
      </c>
      <c r="D341" s="788" t="s">
        <v>495</v>
      </c>
      <c r="E341" s="42">
        <v>5000</v>
      </c>
      <c r="G341" s="42">
        <f t="shared" si="6"/>
        <v>-5000</v>
      </c>
      <c r="H341" s="49" t="s">
        <v>837</v>
      </c>
    </row>
    <row r="342" spans="1:8" x14ac:dyDescent="0.2">
      <c r="A342" s="16">
        <v>42431</v>
      </c>
      <c r="B342" s="41" t="s">
        <v>154</v>
      </c>
      <c r="C342" s="41" t="s">
        <v>1167</v>
      </c>
      <c r="D342" s="788" t="s">
        <v>496</v>
      </c>
      <c r="E342" s="42">
        <v>5000</v>
      </c>
      <c r="G342" s="42">
        <f t="shared" si="6"/>
        <v>-5000</v>
      </c>
      <c r="H342" s="49" t="s">
        <v>837</v>
      </c>
    </row>
    <row r="343" spans="1:8" x14ac:dyDescent="0.2">
      <c r="A343" s="16">
        <v>42432</v>
      </c>
      <c r="B343" s="41" t="s">
        <v>18</v>
      </c>
      <c r="C343" s="41" t="s">
        <v>668</v>
      </c>
      <c r="D343" s="108" t="s">
        <v>326</v>
      </c>
      <c r="E343" s="42">
        <v>4490</v>
      </c>
      <c r="G343" s="42">
        <f t="shared" si="6"/>
        <v>-4490</v>
      </c>
      <c r="H343" s="49" t="s">
        <v>837</v>
      </c>
    </row>
    <row r="344" spans="1:8" x14ac:dyDescent="0.2">
      <c r="A344" s="16">
        <v>42432</v>
      </c>
      <c r="B344" s="41" t="s">
        <v>82</v>
      </c>
      <c r="C344" s="41" t="s">
        <v>668</v>
      </c>
      <c r="D344" s="108" t="s">
        <v>394</v>
      </c>
      <c r="E344" s="42">
        <v>5023</v>
      </c>
      <c r="G344" s="42">
        <f t="shared" si="6"/>
        <v>-5023</v>
      </c>
      <c r="H344" s="49" t="s">
        <v>837</v>
      </c>
    </row>
    <row r="345" spans="1:8" x14ac:dyDescent="0.2">
      <c r="A345" s="16">
        <v>42432</v>
      </c>
      <c r="B345" s="41" t="s">
        <v>40</v>
      </c>
      <c r="C345" s="41" t="s">
        <v>551</v>
      </c>
      <c r="D345" s="108" t="s">
        <v>396</v>
      </c>
      <c r="E345" s="42">
        <v>5000</v>
      </c>
      <c r="G345" s="42">
        <f t="shared" si="6"/>
        <v>-5000</v>
      </c>
      <c r="H345" s="49" t="s">
        <v>837</v>
      </c>
    </row>
    <row r="346" spans="1:8" x14ac:dyDescent="0.2">
      <c r="A346" s="16">
        <v>42432</v>
      </c>
      <c r="B346" s="41" t="s">
        <v>16</v>
      </c>
      <c r="C346" s="41" t="s">
        <v>262</v>
      </c>
      <c r="D346" s="108" t="s">
        <v>397</v>
      </c>
      <c r="E346" s="42">
        <v>1245</v>
      </c>
      <c r="G346" s="42">
        <f t="shared" si="6"/>
        <v>-1245</v>
      </c>
      <c r="H346" s="49" t="s">
        <v>837</v>
      </c>
    </row>
    <row r="347" spans="1:8" x14ac:dyDescent="0.2">
      <c r="A347" s="16">
        <v>42432</v>
      </c>
      <c r="B347" s="41" t="s">
        <v>16</v>
      </c>
      <c r="C347" s="41" t="s">
        <v>103</v>
      </c>
      <c r="D347" s="108" t="s">
        <v>398</v>
      </c>
      <c r="E347" s="42">
        <v>1555</v>
      </c>
      <c r="G347" s="42">
        <f t="shared" si="6"/>
        <v>-1555</v>
      </c>
      <c r="H347" s="49" t="s">
        <v>837</v>
      </c>
    </row>
    <row r="348" spans="1:8" x14ac:dyDescent="0.2">
      <c r="A348" s="16">
        <v>42432</v>
      </c>
      <c r="B348" s="41" t="s">
        <v>25</v>
      </c>
      <c r="C348" s="41" t="s">
        <v>1894</v>
      </c>
      <c r="D348" s="108" t="s">
        <v>399</v>
      </c>
      <c r="E348" s="42">
        <v>83600</v>
      </c>
      <c r="G348" s="42">
        <f t="shared" si="6"/>
        <v>-83600</v>
      </c>
      <c r="H348" s="49" t="s">
        <v>837</v>
      </c>
    </row>
    <row r="349" spans="1:8" x14ac:dyDescent="0.2">
      <c r="A349" s="16">
        <v>42432</v>
      </c>
      <c r="B349" s="41" t="s">
        <v>40</v>
      </c>
      <c r="C349" s="41" t="s">
        <v>895</v>
      </c>
      <c r="D349" s="108" t="s">
        <v>400</v>
      </c>
      <c r="E349" s="42">
        <v>300000</v>
      </c>
      <c r="G349" s="42">
        <f t="shared" si="6"/>
        <v>-300000</v>
      </c>
      <c r="H349" s="49" t="s">
        <v>837</v>
      </c>
    </row>
    <row r="350" spans="1:8" x14ac:dyDescent="0.2">
      <c r="A350" s="16">
        <v>42432</v>
      </c>
      <c r="B350" s="41" t="s">
        <v>16</v>
      </c>
      <c r="C350" s="41" t="s">
        <v>103</v>
      </c>
      <c r="D350" s="108" t="s">
        <v>401</v>
      </c>
      <c r="E350" s="42">
        <v>350</v>
      </c>
      <c r="G350" s="42">
        <f t="shared" si="6"/>
        <v>-350</v>
      </c>
      <c r="H350" s="49" t="s">
        <v>837</v>
      </c>
    </row>
    <row r="351" spans="1:8" x14ac:dyDescent="0.2">
      <c r="A351" s="16">
        <v>42433</v>
      </c>
      <c r="B351" s="41" t="s">
        <v>154</v>
      </c>
      <c r="C351" s="41" t="s">
        <v>14</v>
      </c>
      <c r="D351" s="108" t="s">
        <v>404</v>
      </c>
      <c r="E351" s="42">
        <v>3588</v>
      </c>
      <c r="G351" s="42">
        <f t="shared" si="6"/>
        <v>-3588</v>
      </c>
      <c r="H351" s="49" t="s">
        <v>837</v>
      </c>
    </row>
    <row r="352" spans="1:8" x14ac:dyDescent="0.2">
      <c r="A352" s="16">
        <v>42434</v>
      </c>
      <c r="B352" s="41" t="s">
        <v>18</v>
      </c>
      <c r="C352" s="41" t="s">
        <v>67</v>
      </c>
      <c r="D352" s="108" t="s">
        <v>388</v>
      </c>
      <c r="E352" s="42">
        <v>700</v>
      </c>
      <c r="G352" s="42">
        <f t="shared" si="6"/>
        <v>-700</v>
      </c>
      <c r="H352" s="49" t="s">
        <v>837</v>
      </c>
    </row>
    <row r="353" spans="1:8" x14ac:dyDescent="0.2">
      <c r="A353" s="16">
        <v>42434</v>
      </c>
      <c r="B353" s="41" t="s">
        <v>40</v>
      </c>
      <c r="C353" s="41" t="s">
        <v>14</v>
      </c>
      <c r="D353" s="108" t="s">
        <v>405</v>
      </c>
      <c r="E353" s="42">
        <v>4000</v>
      </c>
      <c r="G353" s="42">
        <f t="shared" si="6"/>
        <v>-4000</v>
      </c>
      <c r="H353" s="49" t="s">
        <v>837</v>
      </c>
    </row>
    <row r="354" spans="1:8" ht="12.75" customHeight="1" x14ac:dyDescent="0.2">
      <c r="A354" s="16">
        <v>42434</v>
      </c>
      <c r="B354" s="41" t="s">
        <v>154</v>
      </c>
      <c r="C354" s="41" t="s">
        <v>3011</v>
      </c>
      <c r="D354" s="108" t="s">
        <v>370</v>
      </c>
      <c r="E354" s="42">
        <v>249334</v>
      </c>
      <c r="G354" s="42">
        <f t="shared" si="6"/>
        <v>-249334</v>
      </c>
      <c r="H354" s="49" t="s">
        <v>837</v>
      </c>
    </row>
    <row r="355" spans="1:8" x14ac:dyDescent="0.2">
      <c r="A355" s="16">
        <v>42434</v>
      </c>
      <c r="B355" s="41" t="s">
        <v>154</v>
      </c>
      <c r="C355" s="41" t="s">
        <v>406</v>
      </c>
      <c r="D355" s="108" t="s">
        <v>407</v>
      </c>
      <c r="E355" s="42">
        <v>100000</v>
      </c>
      <c r="G355" s="42">
        <f t="shared" si="6"/>
        <v>-100000</v>
      </c>
      <c r="H355" s="49" t="s">
        <v>837</v>
      </c>
    </row>
    <row r="356" spans="1:8" ht="12.75" customHeight="1" x14ac:dyDescent="0.2">
      <c r="A356" s="16">
        <v>42434</v>
      </c>
      <c r="B356" s="41" t="s">
        <v>40</v>
      </c>
      <c r="C356" s="41" t="s">
        <v>1896</v>
      </c>
      <c r="D356" s="108" t="s">
        <v>408</v>
      </c>
      <c r="E356" s="42">
        <v>16000</v>
      </c>
      <c r="G356" s="42">
        <f t="shared" si="6"/>
        <v>-16000</v>
      </c>
      <c r="H356" s="49" t="s">
        <v>837</v>
      </c>
    </row>
    <row r="357" spans="1:8" x14ac:dyDescent="0.2">
      <c r="A357" s="16">
        <v>42434</v>
      </c>
      <c r="B357" s="41" t="s">
        <v>40</v>
      </c>
      <c r="C357" s="41" t="s">
        <v>269</v>
      </c>
      <c r="D357" s="108" t="s">
        <v>409</v>
      </c>
      <c r="E357" s="42">
        <v>600</v>
      </c>
      <c r="G357" s="42">
        <f t="shared" si="6"/>
        <v>-600</v>
      </c>
      <c r="H357" s="49" t="s">
        <v>837</v>
      </c>
    </row>
    <row r="358" spans="1:8" x14ac:dyDescent="0.2">
      <c r="A358" s="16">
        <v>42434</v>
      </c>
      <c r="B358" s="41" t="s">
        <v>40</v>
      </c>
      <c r="C358" s="41" t="s">
        <v>410</v>
      </c>
      <c r="D358" s="108" t="s">
        <v>252</v>
      </c>
      <c r="E358" s="42">
        <v>70000</v>
      </c>
      <c r="G358" s="42">
        <f t="shared" si="6"/>
        <v>-70000</v>
      </c>
      <c r="H358" s="49" t="s">
        <v>837</v>
      </c>
    </row>
    <row r="359" spans="1:8" ht="12.75" customHeight="1" x14ac:dyDescent="0.2">
      <c r="A359" s="16">
        <v>42434</v>
      </c>
      <c r="B359" s="41" t="s">
        <v>40</v>
      </c>
      <c r="C359" s="41" t="s">
        <v>929</v>
      </c>
      <c r="D359" s="108" t="s">
        <v>370</v>
      </c>
      <c r="E359" s="42">
        <v>10000</v>
      </c>
      <c r="G359" s="42">
        <f t="shared" si="6"/>
        <v>-10000</v>
      </c>
      <c r="H359" s="49" t="s">
        <v>837</v>
      </c>
    </row>
    <row r="360" spans="1:8" x14ac:dyDescent="0.2">
      <c r="A360" s="16">
        <v>42434</v>
      </c>
      <c r="B360" s="41" t="s">
        <v>40</v>
      </c>
      <c r="C360" s="41" t="s">
        <v>551</v>
      </c>
      <c r="D360" s="108" t="s">
        <v>286</v>
      </c>
      <c r="E360" s="42">
        <v>1000</v>
      </c>
      <c r="G360" s="42">
        <f t="shared" si="6"/>
        <v>-1000</v>
      </c>
      <c r="H360" s="49" t="s">
        <v>837</v>
      </c>
    </row>
    <row r="361" spans="1:8" x14ac:dyDescent="0.2">
      <c r="A361" s="16">
        <v>42434</v>
      </c>
      <c r="B361" s="41" t="s">
        <v>25</v>
      </c>
      <c r="C361" s="41" t="s">
        <v>1894</v>
      </c>
      <c r="D361" s="108" t="s">
        <v>286</v>
      </c>
      <c r="E361" s="42">
        <v>1500</v>
      </c>
      <c r="G361" s="42">
        <f t="shared" si="6"/>
        <v>-1500</v>
      </c>
      <c r="H361" s="49" t="s">
        <v>837</v>
      </c>
    </row>
    <row r="362" spans="1:8" x14ac:dyDescent="0.2">
      <c r="A362" s="16">
        <v>42434</v>
      </c>
      <c r="B362" s="41" t="s">
        <v>25</v>
      </c>
      <c r="C362" s="41" t="s">
        <v>1894</v>
      </c>
      <c r="D362" s="108" t="s">
        <v>411</v>
      </c>
      <c r="E362" s="42">
        <v>1500</v>
      </c>
      <c r="G362" s="42">
        <f t="shared" si="6"/>
        <v>-1500</v>
      </c>
      <c r="H362" s="49" t="s">
        <v>837</v>
      </c>
    </row>
    <row r="363" spans="1:8" x14ac:dyDescent="0.2">
      <c r="A363" s="16">
        <v>42434</v>
      </c>
      <c r="B363" s="41" t="s">
        <v>16</v>
      </c>
      <c r="C363" s="41" t="s">
        <v>103</v>
      </c>
      <c r="D363" s="108" t="s">
        <v>412</v>
      </c>
      <c r="E363" s="42">
        <v>1145</v>
      </c>
      <c r="G363" s="42">
        <f t="shared" si="6"/>
        <v>-1145</v>
      </c>
      <c r="H363" s="49" t="s">
        <v>837</v>
      </c>
    </row>
    <row r="364" spans="1:8" x14ac:dyDescent="0.2">
      <c r="A364" s="16">
        <v>42434</v>
      </c>
      <c r="B364" s="41" t="s">
        <v>16</v>
      </c>
      <c r="C364" s="41" t="s">
        <v>103</v>
      </c>
      <c r="D364" s="108" t="s">
        <v>413</v>
      </c>
      <c r="E364" s="42">
        <v>300</v>
      </c>
      <c r="G364" s="42">
        <f t="shared" si="6"/>
        <v>-300</v>
      </c>
      <c r="H364" s="49" t="s">
        <v>837</v>
      </c>
    </row>
    <row r="365" spans="1:8" x14ac:dyDescent="0.2">
      <c r="A365" s="16">
        <v>42434</v>
      </c>
      <c r="B365" s="41" t="s">
        <v>154</v>
      </c>
      <c r="C365" s="41" t="s">
        <v>414</v>
      </c>
      <c r="D365" s="108" t="s">
        <v>370</v>
      </c>
      <c r="E365" s="42">
        <v>15000</v>
      </c>
      <c r="G365" s="42">
        <f t="shared" si="6"/>
        <v>-15000</v>
      </c>
      <c r="H365" s="49" t="s">
        <v>837</v>
      </c>
    </row>
    <row r="366" spans="1:8" x14ac:dyDescent="0.2">
      <c r="A366" s="16">
        <v>42434</v>
      </c>
      <c r="B366" s="41" t="s">
        <v>82</v>
      </c>
      <c r="C366" s="41" t="s">
        <v>1230</v>
      </c>
      <c r="D366" s="108" t="s">
        <v>220</v>
      </c>
      <c r="E366" s="42">
        <v>7000</v>
      </c>
      <c r="G366" s="42">
        <f t="shared" si="6"/>
        <v>-7000</v>
      </c>
      <c r="H366" s="49" t="s">
        <v>837</v>
      </c>
    </row>
    <row r="367" spans="1:8" x14ac:dyDescent="0.2">
      <c r="A367" s="16">
        <v>42434</v>
      </c>
      <c r="B367" s="41" t="s">
        <v>40</v>
      </c>
      <c r="C367" s="41" t="s">
        <v>1230</v>
      </c>
      <c r="D367" s="108" t="s">
        <v>269</v>
      </c>
      <c r="E367" s="42">
        <v>50000</v>
      </c>
      <c r="G367" s="42">
        <f t="shared" si="6"/>
        <v>-50000</v>
      </c>
      <c r="H367" s="49" t="s">
        <v>837</v>
      </c>
    </row>
    <row r="368" spans="1:8" x14ac:dyDescent="0.2">
      <c r="A368" s="16">
        <v>42434</v>
      </c>
      <c r="B368" s="41" t="s">
        <v>40</v>
      </c>
      <c r="C368" s="41" t="s">
        <v>1230</v>
      </c>
      <c r="D368" s="108" t="s">
        <v>80</v>
      </c>
      <c r="E368" s="42">
        <v>38621</v>
      </c>
      <c r="G368" s="42">
        <f t="shared" si="6"/>
        <v>-38621</v>
      </c>
      <c r="H368" s="49" t="s">
        <v>837</v>
      </c>
    </row>
    <row r="369" spans="1:8" x14ac:dyDescent="0.2">
      <c r="A369" s="16">
        <v>42434</v>
      </c>
      <c r="B369" s="41" t="s">
        <v>16</v>
      </c>
      <c r="C369" s="41" t="s">
        <v>1230</v>
      </c>
      <c r="D369" s="108" t="s">
        <v>146</v>
      </c>
      <c r="E369" s="42">
        <v>15000</v>
      </c>
      <c r="G369" s="42">
        <f t="shared" si="6"/>
        <v>-15000</v>
      </c>
      <c r="H369" s="49" t="s">
        <v>837</v>
      </c>
    </row>
    <row r="370" spans="1:8" x14ac:dyDescent="0.2">
      <c r="A370" s="16">
        <v>42434</v>
      </c>
      <c r="B370" s="41" t="s">
        <v>16</v>
      </c>
      <c r="C370" s="41" t="s">
        <v>1230</v>
      </c>
      <c r="D370" s="108" t="s">
        <v>262</v>
      </c>
      <c r="E370" s="42">
        <v>19000</v>
      </c>
      <c r="G370" s="42">
        <f t="shared" si="6"/>
        <v>-19000</v>
      </c>
      <c r="H370" s="49" t="s">
        <v>837</v>
      </c>
    </row>
    <row r="371" spans="1:8" x14ac:dyDescent="0.2">
      <c r="A371" s="16">
        <v>42434</v>
      </c>
      <c r="B371" s="41" t="s">
        <v>154</v>
      </c>
      <c r="C371" s="41" t="s">
        <v>1230</v>
      </c>
      <c r="D371" s="108" t="s">
        <v>450</v>
      </c>
      <c r="E371" s="42">
        <v>20750</v>
      </c>
      <c r="G371" s="42">
        <f t="shared" si="6"/>
        <v>-20750</v>
      </c>
      <c r="H371" s="49" t="s">
        <v>837</v>
      </c>
    </row>
    <row r="372" spans="1:8" x14ac:dyDescent="0.2">
      <c r="A372" s="16">
        <v>42434</v>
      </c>
      <c r="B372" s="41" t="s">
        <v>154</v>
      </c>
      <c r="C372" s="41" t="s">
        <v>1230</v>
      </c>
      <c r="D372" s="108" t="s">
        <v>106</v>
      </c>
      <c r="E372" s="42">
        <v>19442</v>
      </c>
      <c r="G372" s="42">
        <f t="shared" si="6"/>
        <v>-19442</v>
      </c>
      <c r="H372" s="49" t="s">
        <v>837</v>
      </c>
    </row>
    <row r="373" spans="1:8" x14ac:dyDescent="0.2">
      <c r="A373" s="16">
        <v>42434</v>
      </c>
      <c r="B373" s="41" t="s">
        <v>40</v>
      </c>
      <c r="C373" s="41" t="s">
        <v>1230</v>
      </c>
      <c r="D373" s="108" t="s">
        <v>451</v>
      </c>
      <c r="E373" s="42">
        <v>9940</v>
      </c>
      <c r="G373" s="42">
        <f t="shared" si="6"/>
        <v>-9940</v>
      </c>
      <c r="H373" s="49" t="s">
        <v>837</v>
      </c>
    </row>
    <row r="374" spans="1:8" x14ac:dyDescent="0.2">
      <c r="A374" s="16">
        <v>42434</v>
      </c>
      <c r="B374" s="41" t="s">
        <v>37</v>
      </c>
      <c r="C374" s="41" t="s">
        <v>1230</v>
      </c>
      <c r="D374" s="108" t="s">
        <v>195</v>
      </c>
      <c r="E374" s="42">
        <v>11112</v>
      </c>
      <c r="G374" s="42">
        <f t="shared" si="6"/>
        <v>-11112</v>
      </c>
      <c r="H374" s="49" t="s">
        <v>837</v>
      </c>
    </row>
    <row r="375" spans="1:8" x14ac:dyDescent="0.2">
      <c r="A375" s="16">
        <v>42434</v>
      </c>
      <c r="B375" s="41" t="s">
        <v>37</v>
      </c>
      <c r="C375" s="41" t="s">
        <v>1230</v>
      </c>
      <c r="D375" s="108" t="s">
        <v>196</v>
      </c>
      <c r="E375" s="42">
        <v>10435</v>
      </c>
      <c r="G375" s="42">
        <f t="shared" si="6"/>
        <v>-10435</v>
      </c>
      <c r="H375" s="49" t="s">
        <v>837</v>
      </c>
    </row>
    <row r="376" spans="1:8" x14ac:dyDescent="0.2">
      <c r="A376" s="16">
        <v>42434</v>
      </c>
      <c r="B376" s="41" t="s">
        <v>37</v>
      </c>
      <c r="C376" s="41" t="s">
        <v>1230</v>
      </c>
      <c r="D376" s="108" t="s">
        <v>111</v>
      </c>
      <c r="E376" s="42">
        <v>20690</v>
      </c>
      <c r="G376" s="42">
        <f t="shared" si="6"/>
        <v>-20690</v>
      </c>
      <c r="H376" s="49" t="s">
        <v>837</v>
      </c>
    </row>
    <row r="377" spans="1:8" x14ac:dyDescent="0.2">
      <c r="A377" s="16">
        <v>42434</v>
      </c>
      <c r="B377" s="41" t="s">
        <v>37</v>
      </c>
      <c r="C377" s="41" t="s">
        <v>1230</v>
      </c>
      <c r="D377" s="108" t="s">
        <v>452</v>
      </c>
      <c r="E377" s="42">
        <v>14321</v>
      </c>
      <c r="G377" s="42">
        <f t="shared" si="6"/>
        <v>-14321</v>
      </c>
      <c r="H377" s="49" t="s">
        <v>837</v>
      </c>
    </row>
    <row r="378" spans="1:8" x14ac:dyDescent="0.2">
      <c r="A378" s="16">
        <v>42434</v>
      </c>
      <c r="B378" s="41" t="s">
        <v>37</v>
      </c>
      <c r="C378" s="41" t="s">
        <v>1230</v>
      </c>
      <c r="D378" s="108" t="s">
        <v>197</v>
      </c>
      <c r="E378" s="42">
        <v>10377</v>
      </c>
      <c r="G378" s="42">
        <f t="shared" si="6"/>
        <v>-10377</v>
      </c>
      <c r="H378" s="49" t="s">
        <v>837</v>
      </c>
    </row>
    <row r="379" spans="1:8" x14ac:dyDescent="0.2">
      <c r="A379" s="16">
        <v>42434</v>
      </c>
      <c r="B379" s="41" t="s">
        <v>37</v>
      </c>
      <c r="C379" s="41" t="s">
        <v>1230</v>
      </c>
      <c r="D379" s="108" t="s">
        <v>198</v>
      </c>
      <c r="E379" s="42">
        <v>9830</v>
      </c>
      <c r="G379" s="42">
        <f t="shared" si="6"/>
        <v>-9830</v>
      </c>
      <c r="H379" s="49" t="s">
        <v>837</v>
      </c>
    </row>
    <row r="380" spans="1:8" x14ac:dyDescent="0.2">
      <c r="A380" s="16">
        <v>42434</v>
      </c>
      <c r="B380" s="41" t="s">
        <v>18</v>
      </c>
      <c r="C380" s="41" t="s">
        <v>1230</v>
      </c>
      <c r="D380" s="108" t="s">
        <v>453</v>
      </c>
      <c r="E380" s="42">
        <v>2400</v>
      </c>
      <c r="G380" s="42">
        <f t="shared" si="6"/>
        <v>-2400</v>
      </c>
      <c r="H380" s="49" t="s">
        <v>837</v>
      </c>
    </row>
    <row r="381" spans="1:8" x14ac:dyDescent="0.2">
      <c r="A381" s="16">
        <v>42434</v>
      </c>
      <c r="B381" s="41" t="s">
        <v>154</v>
      </c>
      <c r="C381" s="41" t="s">
        <v>1230</v>
      </c>
      <c r="D381" s="108" t="s">
        <v>454</v>
      </c>
      <c r="E381" s="42">
        <v>5101</v>
      </c>
      <c r="G381" s="42">
        <f t="shared" si="6"/>
        <v>-5101</v>
      </c>
      <c r="H381" s="49" t="s">
        <v>837</v>
      </c>
    </row>
    <row r="382" spans="1:8" x14ac:dyDescent="0.2">
      <c r="A382" s="16">
        <v>42434</v>
      </c>
      <c r="B382" s="41" t="s">
        <v>16</v>
      </c>
      <c r="C382" s="41" t="s">
        <v>1230</v>
      </c>
      <c r="D382" s="108" t="s">
        <v>455</v>
      </c>
      <c r="E382" s="42">
        <v>5000</v>
      </c>
      <c r="G382" s="42">
        <f t="shared" si="6"/>
        <v>-5000</v>
      </c>
      <c r="H382" s="49" t="s">
        <v>837</v>
      </c>
    </row>
    <row r="383" spans="1:8" x14ac:dyDescent="0.2">
      <c r="A383" s="16">
        <v>42434</v>
      </c>
      <c r="B383" s="41" t="s">
        <v>40</v>
      </c>
      <c r="C383" s="41" t="s">
        <v>1230</v>
      </c>
      <c r="D383" s="108" t="s">
        <v>456</v>
      </c>
      <c r="E383" s="42">
        <v>11716</v>
      </c>
      <c r="G383" s="42">
        <f t="shared" si="6"/>
        <v>-11716</v>
      </c>
      <c r="H383" s="49" t="s">
        <v>837</v>
      </c>
    </row>
    <row r="384" spans="1:8" x14ac:dyDescent="0.2">
      <c r="A384" s="16">
        <v>42434</v>
      </c>
      <c r="B384" s="41" t="s">
        <v>16</v>
      </c>
      <c r="C384" s="41" t="s">
        <v>1230</v>
      </c>
      <c r="D384" s="108" t="s">
        <v>221</v>
      </c>
      <c r="E384" s="42">
        <v>14000</v>
      </c>
      <c r="G384" s="42">
        <f t="shared" si="6"/>
        <v>-14000</v>
      </c>
      <c r="H384" s="49" t="s">
        <v>837</v>
      </c>
    </row>
    <row r="385" spans="1:8" x14ac:dyDescent="0.2">
      <c r="A385" s="16">
        <v>42434</v>
      </c>
      <c r="B385" s="41" t="s">
        <v>16</v>
      </c>
      <c r="C385" s="41" t="s">
        <v>1230</v>
      </c>
      <c r="D385" s="108" t="s">
        <v>219</v>
      </c>
      <c r="E385" s="42">
        <v>25000</v>
      </c>
      <c r="G385" s="42">
        <f t="shared" si="6"/>
        <v>-25000</v>
      </c>
      <c r="H385" s="49" t="s">
        <v>837</v>
      </c>
    </row>
    <row r="386" spans="1:8" x14ac:dyDescent="0.2">
      <c r="A386" s="16">
        <v>42434</v>
      </c>
      <c r="B386" s="41" t="s">
        <v>25</v>
      </c>
      <c r="C386" s="41" t="s">
        <v>1230</v>
      </c>
      <c r="D386" s="108" t="s">
        <v>458</v>
      </c>
      <c r="E386" s="42">
        <v>5000</v>
      </c>
      <c r="G386" s="42">
        <f t="shared" si="6"/>
        <v>-5000</v>
      </c>
      <c r="H386" s="49" t="s">
        <v>837</v>
      </c>
    </row>
    <row r="387" spans="1:8" x14ac:dyDescent="0.2">
      <c r="A387" s="16">
        <v>42434</v>
      </c>
      <c r="B387" s="41" t="s">
        <v>25</v>
      </c>
      <c r="C387" s="41" t="s">
        <v>1230</v>
      </c>
      <c r="D387" s="108" t="s">
        <v>459</v>
      </c>
      <c r="E387" s="42">
        <v>4000</v>
      </c>
      <c r="G387" s="42">
        <f t="shared" si="6"/>
        <v>-4000</v>
      </c>
      <c r="H387" s="49" t="s">
        <v>837</v>
      </c>
    </row>
    <row r="388" spans="1:8" x14ac:dyDescent="0.2">
      <c r="A388" s="16">
        <v>42434</v>
      </c>
      <c r="B388" s="41" t="s">
        <v>25</v>
      </c>
      <c r="C388" s="41" t="s">
        <v>1230</v>
      </c>
      <c r="D388" s="108" t="s">
        <v>460</v>
      </c>
      <c r="E388" s="42">
        <v>9000</v>
      </c>
      <c r="G388" s="42">
        <f t="shared" si="6"/>
        <v>-9000</v>
      </c>
      <c r="H388" s="49" t="s">
        <v>837</v>
      </c>
    </row>
    <row r="389" spans="1:8" x14ac:dyDescent="0.2">
      <c r="A389" s="16">
        <v>42434</v>
      </c>
      <c r="B389" s="41" t="s">
        <v>16</v>
      </c>
      <c r="C389" s="41" t="s">
        <v>1230</v>
      </c>
      <c r="D389" s="108" t="s">
        <v>457</v>
      </c>
      <c r="E389" s="42">
        <v>3000</v>
      </c>
      <c r="G389" s="42">
        <f t="shared" si="6"/>
        <v>-3000</v>
      </c>
      <c r="H389" s="49" t="s">
        <v>837</v>
      </c>
    </row>
    <row r="390" spans="1:8" x14ac:dyDescent="0.2">
      <c r="A390" s="16">
        <v>42434</v>
      </c>
      <c r="B390" s="41" t="s">
        <v>18</v>
      </c>
      <c r="C390" s="41" t="s">
        <v>1230</v>
      </c>
      <c r="D390" s="108" t="s">
        <v>337</v>
      </c>
      <c r="E390" s="42">
        <v>11250</v>
      </c>
      <c r="G390" s="42">
        <f t="shared" si="6"/>
        <v>-11250</v>
      </c>
      <c r="H390" s="49" t="s">
        <v>837</v>
      </c>
    </row>
    <row r="391" spans="1:8" x14ac:dyDescent="0.2">
      <c r="A391" s="16">
        <v>42434</v>
      </c>
      <c r="B391" s="41" t="s">
        <v>40</v>
      </c>
      <c r="C391" s="41" t="s">
        <v>1230</v>
      </c>
      <c r="D391" s="108" t="s">
        <v>204</v>
      </c>
      <c r="E391" s="42">
        <v>12400</v>
      </c>
      <c r="G391" s="42">
        <f t="shared" si="6"/>
        <v>-12400</v>
      </c>
      <c r="H391" s="49" t="s">
        <v>837</v>
      </c>
    </row>
    <row r="392" spans="1:8" ht="12.75" customHeight="1" x14ac:dyDescent="0.2">
      <c r="A392" s="16">
        <v>42434</v>
      </c>
      <c r="B392" s="41" t="s">
        <v>40</v>
      </c>
      <c r="C392" s="41" t="s">
        <v>1230</v>
      </c>
      <c r="D392" s="108" t="s">
        <v>209</v>
      </c>
      <c r="E392" s="42">
        <v>3300</v>
      </c>
      <c r="G392" s="42">
        <f t="shared" ref="G392:G455" si="7">F392-E392</f>
        <v>-3300</v>
      </c>
      <c r="H392" s="49" t="s">
        <v>837</v>
      </c>
    </row>
    <row r="393" spans="1:8" ht="12.75" customHeight="1" x14ac:dyDescent="0.2">
      <c r="A393" s="16">
        <v>42434</v>
      </c>
      <c r="B393" s="41" t="s">
        <v>40</v>
      </c>
      <c r="C393" s="41" t="s">
        <v>1230</v>
      </c>
      <c r="D393" s="108" t="s">
        <v>205</v>
      </c>
      <c r="E393" s="42">
        <v>25265</v>
      </c>
      <c r="G393" s="42">
        <f t="shared" si="7"/>
        <v>-25265</v>
      </c>
      <c r="H393" s="49" t="s">
        <v>837</v>
      </c>
    </row>
    <row r="394" spans="1:8" x14ac:dyDescent="0.2">
      <c r="A394" s="16">
        <v>42434</v>
      </c>
      <c r="B394" s="41" t="s">
        <v>40</v>
      </c>
      <c r="C394" s="41" t="s">
        <v>1230</v>
      </c>
      <c r="D394" s="108" t="s">
        <v>290</v>
      </c>
      <c r="E394" s="42">
        <v>16453</v>
      </c>
      <c r="G394" s="42">
        <f t="shared" si="7"/>
        <v>-16453</v>
      </c>
      <c r="H394" s="49" t="s">
        <v>837</v>
      </c>
    </row>
    <row r="395" spans="1:8" x14ac:dyDescent="0.2">
      <c r="A395" s="16">
        <v>42434</v>
      </c>
      <c r="B395" s="41" t="s">
        <v>40</v>
      </c>
      <c r="C395" s="41" t="s">
        <v>1230</v>
      </c>
      <c r="D395" s="108" t="s">
        <v>208</v>
      </c>
      <c r="E395" s="42">
        <v>11308</v>
      </c>
      <c r="G395" s="42">
        <f t="shared" si="7"/>
        <v>-11308</v>
      </c>
      <c r="H395" s="49" t="s">
        <v>837</v>
      </c>
    </row>
    <row r="396" spans="1:8" x14ac:dyDescent="0.2">
      <c r="A396" s="16">
        <v>42434</v>
      </c>
      <c r="B396" s="41" t="s">
        <v>40</v>
      </c>
      <c r="C396" s="41" t="s">
        <v>1230</v>
      </c>
      <c r="D396" s="108" t="s">
        <v>210</v>
      </c>
      <c r="E396" s="42">
        <v>8362</v>
      </c>
      <c r="G396" s="42">
        <f t="shared" si="7"/>
        <v>-8362</v>
      </c>
      <c r="H396" s="49" t="s">
        <v>837</v>
      </c>
    </row>
    <row r="397" spans="1:8" x14ac:dyDescent="0.2">
      <c r="A397" s="16">
        <v>42434</v>
      </c>
      <c r="B397" s="41" t="s">
        <v>40</v>
      </c>
      <c r="C397" s="41" t="s">
        <v>1230</v>
      </c>
      <c r="D397" s="108" t="s">
        <v>203</v>
      </c>
      <c r="E397" s="42">
        <v>8250</v>
      </c>
      <c r="G397" s="42">
        <f t="shared" si="7"/>
        <v>-8250</v>
      </c>
      <c r="H397" s="49" t="s">
        <v>837</v>
      </c>
    </row>
    <row r="398" spans="1:8" x14ac:dyDescent="0.2">
      <c r="A398" s="16">
        <v>42434</v>
      </c>
      <c r="B398" s="41" t="s">
        <v>40</v>
      </c>
      <c r="C398" s="41" t="s">
        <v>1230</v>
      </c>
      <c r="D398" s="108" t="s">
        <v>212</v>
      </c>
      <c r="E398" s="42">
        <v>2638</v>
      </c>
      <c r="G398" s="42">
        <f t="shared" si="7"/>
        <v>-2638</v>
      </c>
      <c r="H398" s="49" t="s">
        <v>837</v>
      </c>
    </row>
    <row r="399" spans="1:8" x14ac:dyDescent="0.2">
      <c r="A399" s="16">
        <v>42434</v>
      </c>
      <c r="B399" s="41" t="s">
        <v>40</v>
      </c>
      <c r="C399" s="41" t="s">
        <v>1230</v>
      </c>
      <c r="D399" s="108" t="s">
        <v>202</v>
      </c>
      <c r="E399" s="42">
        <v>12047</v>
      </c>
      <c r="G399" s="42">
        <f t="shared" si="7"/>
        <v>-12047</v>
      </c>
      <c r="H399" s="49" t="s">
        <v>837</v>
      </c>
    </row>
    <row r="400" spans="1:8" x14ac:dyDescent="0.2">
      <c r="A400" s="16">
        <v>42434</v>
      </c>
      <c r="B400" s="41" t="s">
        <v>40</v>
      </c>
      <c r="C400" s="41" t="s">
        <v>1230</v>
      </c>
      <c r="D400" s="108" t="s">
        <v>461</v>
      </c>
      <c r="E400" s="42">
        <v>8966</v>
      </c>
      <c r="G400" s="42">
        <f t="shared" si="7"/>
        <v>-8966</v>
      </c>
      <c r="H400" s="49" t="s">
        <v>837</v>
      </c>
    </row>
    <row r="401" spans="1:8" x14ac:dyDescent="0.2">
      <c r="A401" s="16">
        <v>42434</v>
      </c>
      <c r="B401" s="41" t="s">
        <v>40</v>
      </c>
      <c r="C401" s="41" t="s">
        <v>1230</v>
      </c>
      <c r="D401" s="108" t="s">
        <v>64</v>
      </c>
      <c r="E401" s="42">
        <v>7000</v>
      </c>
      <c r="G401" s="42">
        <f t="shared" si="7"/>
        <v>-7000</v>
      </c>
      <c r="H401" s="49" t="s">
        <v>837</v>
      </c>
    </row>
    <row r="402" spans="1:8" x14ac:dyDescent="0.2">
      <c r="A402" s="16">
        <v>42434</v>
      </c>
      <c r="B402" s="41" t="s">
        <v>16</v>
      </c>
      <c r="C402" s="41" t="s">
        <v>1230</v>
      </c>
      <c r="D402" s="108" t="s">
        <v>462</v>
      </c>
      <c r="E402" s="42">
        <v>16000</v>
      </c>
      <c r="G402" s="42">
        <f t="shared" si="7"/>
        <v>-16000</v>
      </c>
      <c r="H402" s="49" t="s">
        <v>837</v>
      </c>
    </row>
    <row r="403" spans="1:8" x14ac:dyDescent="0.2">
      <c r="A403" s="16">
        <v>42434</v>
      </c>
      <c r="B403" s="41" t="s">
        <v>16</v>
      </c>
      <c r="C403" s="41" t="s">
        <v>1230</v>
      </c>
      <c r="D403" s="108" t="s">
        <v>463</v>
      </c>
      <c r="E403" s="42">
        <v>18000</v>
      </c>
      <c r="G403" s="42">
        <f t="shared" si="7"/>
        <v>-18000</v>
      </c>
      <c r="H403" s="49" t="s">
        <v>837</v>
      </c>
    </row>
    <row r="404" spans="1:8" x14ac:dyDescent="0.2">
      <c r="A404" s="16">
        <v>42434</v>
      </c>
      <c r="B404" s="41" t="s">
        <v>16</v>
      </c>
      <c r="C404" s="41" t="s">
        <v>1230</v>
      </c>
      <c r="D404" s="108" t="s">
        <v>65</v>
      </c>
      <c r="E404" s="42">
        <v>16569</v>
      </c>
      <c r="G404" s="42">
        <f t="shared" si="7"/>
        <v>-16569</v>
      </c>
      <c r="H404" s="49" t="s">
        <v>837</v>
      </c>
    </row>
    <row r="405" spans="1:8" x14ac:dyDescent="0.2">
      <c r="A405" s="16">
        <v>42436</v>
      </c>
      <c r="B405" s="41" t="s">
        <v>154</v>
      </c>
      <c r="C405" s="41" t="s">
        <v>220</v>
      </c>
      <c r="D405" s="108" t="s">
        <v>388</v>
      </c>
      <c r="E405" s="42">
        <v>8450</v>
      </c>
      <c r="G405" s="42">
        <f t="shared" si="7"/>
        <v>-8450</v>
      </c>
      <c r="H405" s="49" t="s">
        <v>837</v>
      </c>
    </row>
    <row r="406" spans="1:8" x14ac:dyDescent="0.2">
      <c r="A406" s="16">
        <v>42436</v>
      </c>
      <c r="B406" s="41" t="s">
        <v>16</v>
      </c>
      <c r="C406" s="41" t="s">
        <v>219</v>
      </c>
      <c r="D406" s="108" t="s">
        <v>388</v>
      </c>
      <c r="E406" s="42">
        <v>410</v>
      </c>
      <c r="G406" s="42">
        <f t="shared" si="7"/>
        <v>-410</v>
      </c>
      <c r="H406" s="49" t="s">
        <v>837</v>
      </c>
    </row>
    <row r="407" spans="1:8" x14ac:dyDescent="0.2">
      <c r="A407" s="16">
        <v>42436</v>
      </c>
      <c r="B407" s="41" t="s">
        <v>40</v>
      </c>
      <c r="C407" s="41" t="s">
        <v>415</v>
      </c>
      <c r="D407" s="108" t="s">
        <v>416</v>
      </c>
      <c r="E407" s="42">
        <v>15000</v>
      </c>
      <c r="G407" s="42">
        <f t="shared" si="7"/>
        <v>-15000</v>
      </c>
      <c r="H407" s="49" t="s">
        <v>837</v>
      </c>
    </row>
    <row r="408" spans="1:8" x14ac:dyDescent="0.2">
      <c r="A408" s="16">
        <v>42436</v>
      </c>
      <c r="B408" s="41" t="s">
        <v>154</v>
      </c>
      <c r="C408" s="41" t="s">
        <v>415</v>
      </c>
      <c r="D408" s="108" t="s">
        <v>416</v>
      </c>
      <c r="E408" s="42">
        <v>7490</v>
      </c>
      <c r="G408" s="42">
        <f t="shared" si="7"/>
        <v>-7490</v>
      </c>
      <c r="H408" s="49" t="s">
        <v>837</v>
      </c>
    </row>
    <row r="409" spans="1:8" x14ac:dyDescent="0.2">
      <c r="A409" s="16">
        <v>42436</v>
      </c>
      <c r="B409" s="41" t="s">
        <v>40</v>
      </c>
      <c r="C409" s="41" t="s">
        <v>64</v>
      </c>
      <c r="D409" s="108" t="s">
        <v>417</v>
      </c>
      <c r="E409" s="42">
        <v>1500</v>
      </c>
      <c r="G409" s="42">
        <f t="shared" si="7"/>
        <v>-1500</v>
      </c>
      <c r="H409" s="49" t="s">
        <v>837</v>
      </c>
    </row>
    <row r="410" spans="1:8" ht="12.75" customHeight="1" x14ac:dyDescent="0.2">
      <c r="A410" s="16">
        <v>42436</v>
      </c>
      <c r="B410" s="41" t="s">
        <v>40</v>
      </c>
      <c r="C410" s="41" t="s">
        <v>418</v>
      </c>
      <c r="D410" s="108" t="s">
        <v>419</v>
      </c>
      <c r="E410" s="42">
        <v>126000</v>
      </c>
      <c r="G410" s="42">
        <f t="shared" si="7"/>
        <v>-126000</v>
      </c>
      <c r="H410" s="49" t="s">
        <v>837</v>
      </c>
    </row>
    <row r="411" spans="1:8" x14ac:dyDescent="0.2">
      <c r="A411" s="16">
        <v>42436</v>
      </c>
      <c r="B411" s="41" t="s">
        <v>154</v>
      </c>
      <c r="C411" s="41" t="s">
        <v>325</v>
      </c>
      <c r="D411" s="108" t="s">
        <v>358</v>
      </c>
      <c r="E411" s="42">
        <v>2785</v>
      </c>
      <c r="G411" s="42">
        <f t="shared" si="7"/>
        <v>-2785</v>
      </c>
      <c r="H411" s="49" t="s">
        <v>837</v>
      </c>
    </row>
    <row r="412" spans="1:8" x14ac:dyDescent="0.2">
      <c r="A412" s="16">
        <v>42436</v>
      </c>
      <c r="B412" s="41" t="s">
        <v>40</v>
      </c>
      <c r="C412" s="41" t="s">
        <v>1167</v>
      </c>
      <c r="D412" s="788" t="s">
        <v>497</v>
      </c>
      <c r="E412" s="42">
        <v>4000</v>
      </c>
      <c r="G412" s="42">
        <f t="shared" si="7"/>
        <v>-4000</v>
      </c>
      <c r="H412" s="49" t="s">
        <v>837</v>
      </c>
    </row>
    <row r="413" spans="1:8" x14ac:dyDescent="0.2">
      <c r="A413" s="16">
        <v>42436</v>
      </c>
      <c r="B413" s="41" t="s">
        <v>40</v>
      </c>
      <c r="C413" s="41" t="s">
        <v>1167</v>
      </c>
      <c r="D413" s="788" t="s">
        <v>498</v>
      </c>
      <c r="E413" s="42">
        <v>4000</v>
      </c>
      <c r="G413" s="42">
        <f t="shared" si="7"/>
        <v>-4000</v>
      </c>
      <c r="H413" s="49" t="s">
        <v>837</v>
      </c>
    </row>
    <row r="414" spans="1:8" x14ac:dyDescent="0.2">
      <c r="A414" s="16">
        <v>42437</v>
      </c>
      <c r="B414" s="41" t="s">
        <v>154</v>
      </c>
      <c r="C414" s="41" t="s">
        <v>106</v>
      </c>
      <c r="D414" s="108" t="s">
        <v>420</v>
      </c>
      <c r="E414" s="42">
        <v>1300</v>
      </c>
      <c r="G414" s="42">
        <f t="shared" si="7"/>
        <v>-1300</v>
      </c>
      <c r="H414" s="49" t="s">
        <v>837</v>
      </c>
    </row>
    <row r="415" spans="1:8" x14ac:dyDescent="0.2">
      <c r="A415" s="16">
        <v>42437</v>
      </c>
      <c r="B415" s="41" t="s">
        <v>40</v>
      </c>
      <c r="C415" s="41" t="s">
        <v>3335</v>
      </c>
      <c r="D415" s="108" t="s">
        <v>421</v>
      </c>
      <c r="E415" s="42">
        <v>98600</v>
      </c>
      <c r="G415" s="42">
        <f t="shared" si="7"/>
        <v>-98600</v>
      </c>
      <c r="H415" s="49" t="s">
        <v>837</v>
      </c>
    </row>
    <row r="416" spans="1:8" x14ac:dyDescent="0.2">
      <c r="A416" s="16">
        <v>42437</v>
      </c>
      <c r="B416" s="41" t="s">
        <v>82</v>
      </c>
      <c r="C416" s="41" t="s">
        <v>3335</v>
      </c>
      <c r="D416" s="108" t="s">
        <v>421</v>
      </c>
      <c r="E416" s="42">
        <v>37000</v>
      </c>
      <c r="G416" s="42">
        <f t="shared" si="7"/>
        <v>-37000</v>
      </c>
      <c r="H416" s="49" t="s">
        <v>837</v>
      </c>
    </row>
    <row r="417" spans="1:8" x14ac:dyDescent="0.2">
      <c r="A417" s="16">
        <v>42437</v>
      </c>
      <c r="B417" s="41" t="s">
        <v>40</v>
      </c>
      <c r="C417" s="41" t="s">
        <v>64</v>
      </c>
      <c r="D417" s="108" t="s">
        <v>422</v>
      </c>
      <c r="E417" s="42">
        <v>300</v>
      </c>
      <c r="G417" s="42">
        <f t="shared" si="7"/>
        <v>-300</v>
      </c>
      <c r="H417" s="49" t="s">
        <v>837</v>
      </c>
    </row>
    <row r="418" spans="1:8" x14ac:dyDescent="0.2">
      <c r="A418" s="16">
        <v>42437</v>
      </c>
      <c r="B418" s="41" t="s">
        <v>11</v>
      </c>
      <c r="C418" s="41" t="s">
        <v>794</v>
      </c>
      <c r="D418" s="108" t="s">
        <v>423</v>
      </c>
      <c r="E418" s="42">
        <v>5000</v>
      </c>
      <c r="G418" s="42">
        <f t="shared" si="7"/>
        <v>-5000</v>
      </c>
      <c r="H418" s="49" t="s">
        <v>837</v>
      </c>
    </row>
    <row r="419" spans="1:8" x14ac:dyDescent="0.2">
      <c r="A419" s="16">
        <v>42437</v>
      </c>
      <c r="B419" s="41" t="s">
        <v>82</v>
      </c>
      <c r="C419" s="41" t="s">
        <v>269</v>
      </c>
      <c r="D419" s="108" t="s">
        <v>424</v>
      </c>
      <c r="E419" s="42">
        <v>20000</v>
      </c>
      <c r="G419" s="42">
        <f t="shared" si="7"/>
        <v>-20000</v>
      </c>
      <c r="H419" s="49" t="s">
        <v>837</v>
      </c>
    </row>
    <row r="420" spans="1:8" x14ac:dyDescent="0.2">
      <c r="A420" s="16">
        <v>42437</v>
      </c>
      <c r="B420" s="41" t="s">
        <v>154</v>
      </c>
      <c r="C420" s="41" t="s">
        <v>220</v>
      </c>
      <c r="D420" s="108" t="s">
        <v>433</v>
      </c>
      <c r="E420" s="42">
        <v>2500</v>
      </c>
      <c r="G420" s="42">
        <f t="shared" si="7"/>
        <v>-2500</v>
      </c>
      <c r="H420" s="49" t="s">
        <v>837</v>
      </c>
    </row>
    <row r="421" spans="1:8" x14ac:dyDescent="0.2">
      <c r="A421" s="16">
        <v>42437</v>
      </c>
      <c r="B421" s="41" t="s">
        <v>82</v>
      </c>
      <c r="C421" s="41" t="s">
        <v>220</v>
      </c>
      <c r="D421" s="108" t="s">
        <v>433</v>
      </c>
      <c r="E421" s="42">
        <v>690</v>
      </c>
      <c r="G421" s="42">
        <f t="shared" si="7"/>
        <v>-690</v>
      </c>
      <c r="H421" s="49" t="s">
        <v>837</v>
      </c>
    </row>
    <row r="422" spans="1:8" x14ac:dyDescent="0.2">
      <c r="A422" s="16">
        <v>42437</v>
      </c>
      <c r="B422" s="41" t="s">
        <v>154</v>
      </c>
      <c r="C422" s="41" t="s">
        <v>220</v>
      </c>
      <c r="D422" s="108" t="s">
        <v>144</v>
      </c>
      <c r="E422" s="42">
        <v>1060</v>
      </c>
      <c r="G422" s="42">
        <f t="shared" si="7"/>
        <v>-1060</v>
      </c>
      <c r="H422" s="49" t="s">
        <v>837</v>
      </c>
    </row>
    <row r="423" spans="1:8" x14ac:dyDescent="0.2">
      <c r="A423" s="16">
        <v>42437</v>
      </c>
      <c r="B423" s="41" t="s">
        <v>16</v>
      </c>
      <c r="C423" s="41" t="s">
        <v>1167</v>
      </c>
      <c r="D423" s="788" t="s">
        <v>499</v>
      </c>
      <c r="E423" s="42">
        <v>1000</v>
      </c>
      <c r="G423" s="42">
        <f t="shared" si="7"/>
        <v>-1000</v>
      </c>
      <c r="H423" s="49" t="s">
        <v>837</v>
      </c>
    </row>
    <row r="424" spans="1:8" x14ac:dyDescent="0.2">
      <c r="A424" s="16">
        <v>42437</v>
      </c>
      <c r="B424" s="41" t="s">
        <v>40</v>
      </c>
      <c r="C424" s="41" t="s">
        <v>1167</v>
      </c>
      <c r="D424" s="788" t="s">
        <v>500</v>
      </c>
      <c r="E424" s="42">
        <v>2000</v>
      </c>
      <c r="G424" s="42">
        <f t="shared" si="7"/>
        <v>-2000</v>
      </c>
      <c r="H424" s="49" t="s">
        <v>837</v>
      </c>
    </row>
    <row r="425" spans="1:8" x14ac:dyDescent="0.2">
      <c r="A425" s="16">
        <v>42437</v>
      </c>
      <c r="B425" s="41" t="s">
        <v>16</v>
      </c>
      <c r="C425" s="41" t="s">
        <v>1167</v>
      </c>
      <c r="D425" s="788" t="s">
        <v>501</v>
      </c>
      <c r="E425" s="42">
        <v>2000</v>
      </c>
      <c r="G425" s="42">
        <f t="shared" si="7"/>
        <v>-2000</v>
      </c>
      <c r="H425" s="49" t="s">
        <v>837</v>
      </c>
    </row>
    <row r="426" spans="1:8" x14ac:dyDescent="0.2">
      <c r="A426" s="16">
        <v>42438</v>
      </c>
      <c r="B426" s="41" t="s">
        <v>40</v>
      </c>
      <c r="C426" s="41" t="s">
        <v>269</v>
      </c>
      <c r="D426" s="108" t="s">
        <v>425</v>
      </c>
      <c r="E426" s="42">
        <v>42727</v>
      </c>
      <c r="G426" s="42">
        <f t="shared" si="7"/>
        <v>-42727</v>
      </c>
      <c r="H426" s="49" t="s">
        <v>837</v>
      </c>
    </row>
    <row r="427" spans="1:8" x14ac:dyDescent="0.2">
      <c r="A427" s="16">
        <v>42438</v>
      </c>
      <c r="B427" s="41" t="s">
        <v>25</v>
      </c>
      <c r="C427" s="41" t="s">
        <v>1894</v>
      </c>
      <c r="D427" s="108" t="s">
        <v>73</v>
      </c>
      <c r="E427" s="42">
        <v>1330</v>
      </c>
      <c r="G427" s="42">
        <f t="shared" si="7"/>
        <v>-1330</v>
      </c>
      <c r="H427" s="49" t="s">
        <v>837</v>
      </c>
    </row>
    <row r="428" spans="1:8" x14ac:dyDescent="0.2">
      <c r="A428" s="16">
        <v>42438</v>
      </c>
      <c r="B428" s="41" t="s">
        <v>40</v>
      </c>
      <c r="C428" s="41" t="s">
        <v>1894</v>
      </c>
      <c r="D428" s="108" t="s">
        <v>426</v>
      </c>
      <c r="E428" s="42">
        <v>2000</v>
      </c>
      <c r="G428" s="42">
        <f t="shared" si="7"/>
        <v>-2000</v>
      </c>
      <c r="H428" s="49" t="s">
        <v>837</v>
      </c>
    </row>
    <row r="429" spans="1:8" x14ac:dyDescent="0.2">
      <c r="A429" s="16">
        <v>42438</v>
      </c>
      <c r="B429" s="41" t="s">
        <v>11</v>
      </c>
      <c r="C429" s="41" t="s">
        <v>67</v>
      </c>
      <c r="D429" s="108" t="s">
        <v>427</v>
      </c>
      <c r="E429" s="42">
        <v>1500</v>
      </c>
      <c r="G429" s="42">
        <f t="shared" si="7"/>
        <v>-1500</v>
      </c>
      <c r="H429" s="49" t="s">
        <v>837</v>
      </c>
    </row>
    <row r="430" spans="1:8" x14ac:dyDescent="0.2">
      <c r="A430" s="16">
        <v>42438</v>
      </c>
      <c r="B430" s="41" t="s">
        <v>82</v>
      </c>
      <c r="C430" s="41" t="s">
        <v>325</v>
      </c>
      <c r="D430" s="108" t="s">
        <v>428</v>
      </c>
      <c r="E430" s="42">
        <v>3000</v>
      </c>
      <c r="G430" s="42">
        <f t="shared" si="7"/>
        <v>-3000</v>
      </c>
      <c r="H430" s="49" t="s">
        <v>837</v>
      </c>
    </row>
    <row r="431" spans="1:8" ht="12.75" customHeight="1" x14ac:dyDescent="0.2">
      <c r="A431" s="16">
        <v>42438</v>
      </c>
      <c r="B431" s="41" t="s">
        <v>40</v>
      </c>
      <c r="C431" s="41" t="s">
        <v>466</v>
      </c>
      <c r="D431" s="108" t="s">
        <v>467</v>
      </c>
      <c r="E431" s="42">
        <v>32000</v>
      </c>
      <c r="G431" s="42">
        <f t="shared" si="7"/>
        <v>-32000</v>
      </c>
      <c r="H431" s="49" t="s">
        <v>837</v>
      </c>
    </row>
    <row r="432" spans="1:8" ht="12.75" customHeight="1" x14ac:dyDescent="0.2">
      <c r="A432" s="16">
        <v>42439</v>
      </c>
      <c r="B432" s="41" t="s">
        <v>16</v>
      </c>
      <c r="C432" s="41" t="s">
        <v>220</v>
      </c>
      <c r="D432" s="108" t="s">
        <v>429</v>
      </c>
      <c r="E432" s="42">
        <v>7500</v>
      </c>
      <c r="G432" s="42">
        <f t="shared" si="7"/>
        <v>-7500</v>
      </c>
      <c r="H432" s="49" t="s">
        <v>837</v>
      </c>
    </row>
    <row r="433" spans="1:8" x14ac:dyDescent="0.2">
      <c r="A433" s="16">
        <v>42439</v>
      </c>
      <c r="B433" s="41" t="s">
        <v>40</v>
      </c>
      <c r="C433" s="41" t="s">
        <v>1894</v>
      </c>
      <c r="D433" s="108" t="s">
        <v>430</v>
      </c>
      <c r="E433" s="42">
        <v>4964</v>
      </c>
      <c r="G433" s="42">
        <f t="shared" si="7"/>
        <v>-4964</v>
      </c>
      <c r="H433" s="49" t="s">
        <v>837</v>
      </c>
    </row>
    <row r="434" spans="1:8" x14ac:dyDescent="0.2">
      <c r="A434" s="16">
        <v>42439</v>
      </c>
      <c r="B434" s="41" t="s">
        <v>154</v>
      </c>
      <c r="C434" s="41" t="s">
        <v>431</v>
      </c>
      <c r="D434" s="108" t="s">
        <v>432</v>
      </c>
      <c r="E434" s="42">
        <v>800000</v>
      </c>
      <c r="G434" s="42">
        <f t="shared" si="7"/>
        <v>-800000</v>
      </c>
      <c r="H434" s="49" t="s">
        <v>837</v>
      </c>
    </row>
    <row r="435" spans="1:8" x14ac:dyDescent="0.2">
      <c r="A435" s="16">
        <v>42439</v>
      </c>
      <c r="B435" s="41" t="s">
        <v>40</v>
      </c>
      <c r="C435" s="41" t="s">
        <v>146</v>
      </c>
      <c r="D435" s="108" t="s">
        <v>434</v>
      </c>
      <c r="E435" s="42">
        <v>1650</v>
      </c>
      <c r="G435" s="42">
        <f t="shared" si="7"/>
        <v>-1650</v>
      </c>
      <c r="H435" s="49" t="s">
        <v>837</v>
      </c>
    </row>
    <row r="436" spans="1:8" x14ac:dyDescent="0.2">
      <c r="A436" s="16">
        <v>42439</v>
      </c>
      <c r="B436" s="41" t="s">
        <v>40</v>
      </c>
      <c r="C436" s="41" t="s">
        <v>80</v>
      </c>
      <c r="D436" s="108" t="s">
        <v>435</v>
      </c>
      <c r="E436" s="42">
        <v>1715</v>
      </c>
      <c r="G436" s="42">
        <f t="shared" si="7"/>
        <v>-1715</v>
      </c>
      <c r="H436" s="49" t="s">
        <v>837</v>
      </c>
    </row>
    <row r="437" spans="1:8" x14ac:dyDescent="0.2">
      <c r="A437" s="16">
        <v>42439</v>
      </c>
      <c r="B437" s="41" t="s">
        <v>40</v>
      </c>
      <c r="C437" s="41" t="s">
        <v>146</v>
      </c>
      <c r="D437" s="108" t="s">
        <v>436</v>
      </c>
      <c r="E437" s="42">
        <v>120</v>
      </c>
      <c r="G437" s="42">
        <f t="shared" si="7"/>
        <v>-120</v>
      </c>
      <c r="H437" s="49" t="s">
        <v>837</v>
      </c>
    </row>
    <row r="438" spans="1:8" x14ac:dyDescent="0.2">
      <c r="A438" s="16">
        <v>42439</v>
      </c>
      <c r="B438" s="41" t="s">
        <v>40</v>
      </c>
      <c r="C438" s="41" t="s">
        <v>80</v>
      </c>
      <c r="D438" s="108" t="s">
        <v>437</v>
      </c>
      <c r="E438" s="42">
        <v>35467</v>
      </c>
      <c r="G438" s="42">
        <f t="shared" si="7"/>
        <v>-35467</v>
      </c>
      <c r="H438" s="49" t="s">
        <v>837</v>
      </c>
    </row>
    <row r="439" spans="1:8" x14ac:dyDescent="0.2">
      <c r="A439" s="16">
        <v>42439</v>
      </c>
      <c r="B439" s="41" t="s">
        <v>40</v>
      </c>
      <c r="C439" s="41" t="s">
        <v>418</v>
      </c>
      <c r="D439" s="108" t="s">
        <v>439</v>
      </c>
      <c r="E439" s="42">
        <v>950</v>
      </c>
      <c r="G439" s="42">
        <f t="shared" si="7"/>
        <v>-950</v>
      </c>
      <c r="H439" s="49" t="s">
        <v>837</v>
      </c>
    </row>
    <row r="440" spans="1:8" x14ac:dyDescent="0.2">
      <c r="A440" s="16">
        <v>42439</v>
      </c>
      <c r="B440" s="41" t="s">
        <v>25</v>
      </c>
      <c r="C440" s="41" t="s">
        <v>440</v>
      </c>
      <c r="D440" s="108" t="s">
        <v>441</v>
      </c>
      <c r="E440" s="42">
        <v>80000</v>
      </c>
      <c r="G440" s="42">
        <f t="shared" si="7"/>
        <v>-80000</v>
      </c>
      <c r="H440" s="49" t="s">
        <v>837</v>
      </c>
    </row>
    <row r="441" spans="1:8" x14ac:dyDescent="0.2">
      <c r="A441" s="16">
        <v>42439</v>
      </c>
      <c r="B441" s="41" t="s">
        <v>154</v>
      </c>
      <c r="C441" s="41" t="s">
        <v>414</v>
      </c>
      <c r="D441" s="108" t="s">
        <v>442</v>
      </c>
      <c r="E441" s="42">
        <v>15000</v>
      </c>
      <c r="G441" s="42">
        <f t="shared" si="7"/>
        <v>-15000</v>
      </c>
      <c r="H441" s="49" t="s">
        <v>837</v>
      </c>
    </row>
    <row r="442" spans="1:8" x14ac:dyDescent="0.2">
      <c r="A442" s="16">
        <v>42439</v>
      </c>
      <c r="B442" s="41" t="s">
        <v>40</v>
      </c>
      <c r="C442" s="41" t="s">
        <v>402</v>
      </c>
      <c r="D442" s="108" t="s">
        <v>443</v>
      </c>
      <c r="E442" s="42">
        <v>5050</v>
      </c>
      <c r="G442" s="42">
        <f t="shared" si="7"/>
        <v>-5050</v>
      </c>
      <c r="H442" s="49" t="s">
        <v>837</v>
      </c>
    </row>
    <row r="443" spans="1:8" x14ac:dyDescent="0.2">
      <c r="A443" s="16">
        <v>42440</v>
      </c>
      <c r="B443" s="41" t="s">
        <v>16</v>
      </c>
      <c r="C443" s="41" t="s">
        <v>103</v>
      </c>
      <c r="D443" s="108" t="s">
        <v>445</v>
      </c>
      <c r="E443" s="42">
        <v>400</v>
      </c>
      <c r="G443" s="42">
        <f t="shared" si="7"/>
        <v>-400</v>
      </c>
      <c r="H443" s="49" t="s">
        <v>837</v>
      </c>
    </row>
    <row r="444" spans="1:8" x14ac:dyDescent="0.2">
      <c r="A444" s="16">
        <v>42440</v>
      </c>
      <c r="B444" s="41" t="s">
        <v>40</v>
      </c>
      <c r="C444" s="41" t="s">
        <v>64</v>
      </c>
      <c r="D444" s="108" t="s">
        <v>446</v>
      </c>
      <c r="E444" s="42">
        <v>7500</v>
      </c>
      <c r="G444" s="42">
        <f t="shared" si="7"/>
        <v>-7500</v>
      </c>
      <c r="H444" s="49" t="s">
        <v>837</v>
      </c>
    </row>
    <row r="445" spans="1:8" x14ac:dyDescent="0.2">
      <c r="A445" s="16">
        <v>42440</v>
      </c>
      <c r="B445" s="41" t="s">
        <v>82</v>
      </c>
      <c r="C445" s="41" t="s">
        <v>64</v>
      </c>
      <c r="D445" s="108" t="s">
        <v>447</v>
      </c>
      <c r="E445" s="42">
        <v>380</v>
      </c>
      <c r="G445" s="42">
        <f t="shared" si="7"/>
        <v>-380</v>
      </c>
      <c r="H445" s="49" t="s">
        <v>837</v>
      </c>
    </row>
    <row r="446" spans="1:8" x14ac:dyDescent="0.2">
      <c r="A446" s="16">
        <v>42441</v>
      </c>
      <c r="B446" s="41" t="s">
        <v>40</v>
      </c>
      <c r="C446" s="41" t="s">
        <v>269</v>
      </c>
      <c r="D446" s="108" t="s">
        <v>110</v>
      </c>
      <c r="E446" s="42">
        <v>500</v>
      </c>
      <c r="G446" s="42">
        <f t="shared" si="7"/>
        <v>-500</v>
      </c>
      <c r="H446" s="49" t="s">
        <v>837</v>
      </c>
    </row>
    <row r="447" spans="1:8" x14ac:dyDescent="0.2">
      <c r="A447" s="16">
        <v>42441</v>
      </c>
      <c r="B447" s="41" t="s">
        <v>16</v>
      </c>
      <c r="C447" s="41" t="s">
        <v>103</v>
      </c>
      <c r="D447" s="108" t="s">
        <v>468</v>
      </c>
      <c r="E447" s="42">
        <v>400</v>
      </c>
      <c r="G447" s="42">
        <f t="shared" si="7"/>
        <v>-400</v>
      </c>
      <c r="H447" s="49" t="s">
        <v>837</v>
      </c>
    </row>
    <row r="448" spans="1:8" x14ac:dyDescent="0.2">
      <c r="A448" s="16">
        <v>42441</v>
      </c>
      <c r="B448" s="41" t="s">
        <v>154</v>
      </c>
      <c r="C448" s="41" t="s">
        <v>220</v>
      </c>
      <c r="D448" s="108" t="s">
        <v>388</v>
      </c>
      <c r="E448" s="42">
        <v>11730</v>
      </c>
      <c r="G448" s="42">
        <f t="shared" si="7"/>
        <v>-11730</v>
      </c>
      <c r="H448" s="49" t="s">
        <v>837</v>
      </c>
    </row>
    <row r="449" spans="1:8" ht="12.75" customHeight="1" x14ac:dyDescent="0.2">
      <c r="A449" s="16">
        <v>42441</v>
      </c>
      <c r="B449" s="41" t="s">
        <v>40</v>
      </c>
      <c r="C449" s="41" t="s">
        <v>220</v>
      </c>
      <c r="D449" s="108" t="s">
        <v>110</v>
      </c>
      <c r="E449" s="42">
        <v>300</v>
      </c>
      <c r="G449" s="42">
        <f t="shared" si="7"/>
        <v>-300</v>
      </c>
      <c r="H449" s="49" t="s">
        <v>837</v>
      </c>
    </row>
    <row r="450" spans="1:8" x14ac:dyDescent="0.2">
      <c r="A450" s="16">
        <v>42441</v>
      </c>
      <c r="B450" s="41" t="s">
        <v>154</v>
      </c>
      <c r="C450" s="41" t="s">
        <v>414</v>
      </c>
      <c r="D450" s="108" t="s">
        <v>478</v>
      </c>
      <c r="E450" s="42">
        <v>35000</v>
      </c>
      <c r="G450" s="42">
        <f t="shared" si="7"/>
        <v>-35000</v>
      </c>
      <c r="H450" s="49" t="s">
        <v>837</v>
      </c>
    </row>
    <row r="451" spans="1:8" x14ac:dyDescent="0.2">
      <c r="A451" s="16">
        <v>42441</v>
      </c>
      <c r="B451" s="41" t="s">
        <v>16</v>
      </c>
      <c r="C451" s="41" t="s">
        <v>1167</v>
      </c>
      <c r="D451" s="788" t="s">
        <v>502</v>
      </c>
      <c r="E451" s="42">
        <v>1000</v>
      </c>
      <c r="G451" s="42">
        <f t="shared" si="7"/>
        <v>-1000</v>
      </c>
      <c r="H451" s="49" t="s">
        <v>837</v>
      </c>
    </row>
    <row r="452" spans="1:8" x14ac:dyDescent="0.2">
      <c r="A452" s="16">
        <v>42442</v>
      </c>
      <c r="B452" s="41" t="s">
        <v>40</v>
      </c>
      <c r="C452" s="41" t="s">
        <v>269</v>
      </c>
      <c r="D452" s="108" t="s">
        <v>469</v>
      </c>
      <c r="E452" s="42">
        <v>37240</v>
      </c>
      <c r="G452" s="42">
        <f t="shared" si="7"/>
        <v>-37240</v>
      </c>
      <c r="H452" s="49" t="s">
        <v>837</v>
      </c>
    </row>
    <row r="453" spans="1:8" x14ac:dyDescent="0.2">
      <c r="A453" s="16">
        <v>42443</v>
      </c>
      <c r="B453" s="41" t="s">
        <v>154</v>
      </c>
      <c r="C453" s="41" t="s">
        <v>325</v>
      </c>
      <c r="D453" s="108" t="s">
        <v>270</v>
      </c>
      <c r="E453" s="42">
        <v>2430</v>
      </c>
      <c r="G453" s="42">
        <f t="shared" si="7"/>
        <v>-2430</v>
      </c>
      <c r="H453" s="49" t="s">
        <v>837</v>
      </c>
    </row>
    <row r="454" spans="1:8" x14ac:dyDescent="0.2">
      <c r="A454" s="16">
        <v>42443</v>
      </c>
      <c r="B454" s="41" t="s">
        <v>40</v>
      </c>
      <c r="C454" s="41" t="s">
        <v>350</v>
      </c>
      <c r="D454" s="108" t="s">
        <v>470</v>
      </c>
      <c r="E454" s="42">
        <v>1000</v>
      </c>
      <c r="G454" s="42">
        <f t="shared" si="7"/>
        <v>-1000</v>
      </c>
      <c r="H454" s="49" t="s">
        <v>837</v>
      </c>
    </row>
    <row r="455" spans="1:8" x14ac:dyDescent="0.2">
      <c r="A455" s="16">
        <v>42443</v>
      </c>
      <c r="B455" s="41" t="s">
        <v>37</v>
      </c>
      <c r="C455" s="41" t="s">
        <v>194</v>
      </c>
      <c r="D455" s="108" t="s">
        <v>471</v>
      </c>
      <c r="E455" s="42">
        <v>3150</v>
      </c>
      <c r="G455" s="42">
        <f t="shared" si="7"/>
        <v>-3150</v>
      </c>
      <c r="H455" s="49" t="s">
        <v>837</v>
      </c>
    </row>
    <row r="456" spans="1:8" x14ac:dyDescent="0.2">
      <c r="A456" s="16">
        <v>42443</v>
      </c>
      <c r="B456" s="41" t="s">
        <v>22</v>
      </c>
      <c r="C456" s="41" t="s">
        <v>194</v>
      </c>
      <c r="D456" s="108" t="s">
        <v>472</v>
      </c>
      <c r="E456" s="42">
        <v>250</v>
      </c>
      <c r="G456" s="42">
        <f t="shared" ref="G456:G519" si="8">F456-E456</f>
        <v>-250</v>
      </c>
      <c r="H456" s="49" t="s">
        <v>837</v>
      </c>
    </row>
    <row r="457" spans="1:8" x14ac:dyDescent="0.2">
      <c r="A457" s="16">
        <v>42443</v>
      </c>
      <c r="B457" s="41" t="s">
        <v>22</v>
      </c>
      <c r="C457" s="41" t="s">
        <v>194</v>
      </c>
      <c r="D457" s="108" t="s">
        <v>474</v>
      </c>
      <c r="E457" s="42">
        <v>8000</v>
      </c>
      <c r="G457" s="42">
        <f t="shared" si="8"/>
        <v>-8000</v>
      </c>
      <c r="H457" s="49" t="s">
        <v>837</v>
      </c>
    </row>
    <row r="458" spans="1:8" x14ac:dyDescent="0.2">
      <c r="A458" s="16">
        <v>42443</v>
      </c>
      <c r="B458" s="41" t="s">
        <v>40</v>
      </c>
      <c r="C458" s="41" t="s">
        <v>1897</v>
      </c>
      <c r="D458" s="108" t="s">
        <v>475</v>
      </c>
      <c r="E458" s="42">
        <v>20000</v>
      </c>
      <c r="G458" s="42">
        <f t="shared" si="8"/>
        <v>-20000</v>
      </c>
      <c r="H458" s="49" t="s">
        <v>837</v>
      </c>
    </row>
    <row r="459" spans="1:8" x14ac:dyDescent="0.2">
      <c r="A459" s="16">
        <v>42443</v>
      </c>
      <c r="B459" s="41" t="s">
        <v>154</v>
      </c>
      <c r="C459" s="41" t="s">
        <v>668</v>
      </c>
      <c r="D459" s="108" t="s">
        <v>388</v>
      </c>
      <c r="E459" s="42">
        <v>1070</v>
      </c>
      <c r="G459" s="42">
        <f t="shared" si="8"/>
        <v>-1070</v>
      </c>
      <c r="H459" s="49" t="s">
        <v>837</v>
      </c>
    </row>
    <row r="460" spans="1:8" x14ac:dyDescent="0.2">
      <c r="A460" s="16">
        <v>42443</v>
      </c>
      <c r="B460" s="41" t="s">
        <v>40</v>
      </c>
      <c r="C460" s="41" t="s">
        <v>484</v>
      </c>
      <c r="D460" s="108" t="s">
        <v>481</v>
      </c>
      <c r="E460" s="42">
        <v>6250</v>
      </c>
      <c r="G460" s="42">
        <f t="shared" si="8"/>
        <v>-6250</v>
      </c>
      <c r="H460" s="49" t="s">
        <v>837</v>
      </c>
    </row>
    <row r="461" spans="1:8" x14ac:dyDescent="0.2">
      <c r="A461" s="16">
        <v>42444</v>
      </c>
      <c r="B461" s="41" t="s">
        <v>18</v>
      </c>
      <c r="C461" s="41" t="s">
        <v>668</v>
      </c>
      <c r="D461" s="108" t="s">
        <v>473</v>
      </c>
      <c r="E461" s="42">
        <v>8532</v>
      </c>
      <c r="G461" s="42">
        <f t="shared" si="8"/>
        <v>-8532</v>
      </c>
      <c r="H461" s="49" t="s">
        <v>837</v>
      </c>
    </row>
    <row r="462" spans="1:8" ht="12.75" customHeight="1" x14ac:dyDescent="0.2">
      <c r="A462" s="16">
        <v>42444</v>
      </c>
      <c r="B462" s="41" t="s">
        <v>40</v>
      </c>
      <c r="C462" s="41" t="s">
        <v>64</v>
      </c>
      <c r="D462" s="108" t="s">
        <v>110</v>
      </c>
      <c r="E462" s="42">
        <v>500</v>
      </c>
      <c r="G462" s="42">
        <f t="shared" si="8"/>
        <v>-500</v>
      </c>
      <c r="H462" s="49" t="s">
        <v>837</v>
      </c>
    </row>
    <row r="463" spans="1:8" x14ac:dyDescent="0.2">
      <c r="A463" s="16">
        <v>42444</v>
      </c>
      <c r="B463" s="41" t="s">
        <v>40</v>
      </c>
      <c r="C463" s="41" t="s">
        <v>146</v>
      </c>
      <c r="D463" s="108" t="s">
        <v>476</v>
      </c>
      <c r="E463" s="42">
        <v>220</v>
      </c>
      <c r="G463" s="42">
        <f t="shared" si="8"/>
        <v>-220</v>
      </c>
      <c r="H463" s="49" t="s">
        <v>837</v>
      </c>
    </row>
    <row r="464" spans="1:8" x14ac:dyDescent="0.2">
      <c r="A464" s="16">
        <v>42444</v>
      </c>
      <c r="B464" s="41" t="s">
        <v>154</v>
      </c>
      <c r="C464" s="41" t="s">
        <v>220</v>
      </c>
      <c r="D464" s="108" t="s">
        <v>477</v>
      </c>
      <c r="E464" s="42">
        <v>10000</v>
      </c>
      <c r="G464" s="42">
        <f t="shared" si="8"/>
        <v>-10000</v>
      </c>
      <c r="H464" s="49" t="s">
        <v>837</v>
      </c>
    </row>
    <row r="465" spans="1:8" x14ac:dyDescent="0.2">
      <c r="A465" s="16">
        <v>42444</v>
      </c>
      <c r="B465" s="41" t="s">
        <v>40</v>
      </c>
      <c r="C465" s="41" t="s">
        <v>220</v>
      </c>
      <c r="D465" s="108" t="s">
        <v>477</v>
      </c>
      <c r="E465" s="42">
        <v>8940</v>
      </c>
      <c r="G465" s="42">
        <f t="shared" si="8"/>
        <v>-8940</v>
      </c>
      <c r="H465" s="49" t="s">
        <v>837</v>
      </c>
    </row>
    <row r="466" spans="1:8" x14ac:dyDescent="0.2">
      <c r="A466" s="16">
        <v>42444</v>
      </c>
      <c r="B466" s="41" t="s">
        <v>40</v>
      </c>
      <c r="C466" s="41" t="s">
        <v>929</v>
      </c>
      <c r="D466" s="108" t="s">
        <v>479</v>
      </c>
      <c r="E466" s="42">
        <v>5000</v>
      </c>
      <c r="G466" s="42">
        <f t="shared" si="8"/>
        <v>-5000</v>
      </c>
      <c r="H466" s="49" t="s">
        <v>837</v>
      </c>
    </row>
    <row r="467" spans="1:8" x14ac:dyDescent="0.2">
      <c r="A467" s="16">
        <v>42444</v>
      </c>
      <c r="B467" s="41" t="s">
        <v>40</v>
      </c>
      <c r="C467" s="41" t="s">
        <v>64</v>
      </c>
      <c r="D467" s="108" t="s">
        <v>480</v>
      </c>
      <c r="E467" s="42">
        <v>350</v>
      </c>
      <c r="G467" s="42">
        <f t="shared" si="8"/>
        <v>-350</v>
      </c>
      <c r="H467" s="49" t="s">
        <v>837</v>
      </c>
    </row>
    <row r="468" spans="1:8" x14ac:dyDescent="0.2">
      <c r="A468" s="16">
        <v>42444</v>
      </c>
      <c r="B468" s="41" t="s">
        <v>40</v>
      </c>
      <c r="C468" s="41" t="s">
        <v>1167</v>
      </c>
      <c r="D468" s="788" t="s">
        <v>503</v>
      </c>
      <c r="E468" s="42">
        <v>2000</v>
      </c>
      <c r="G468" s="42">
        <f t="shared" si="8"/>
        <v>-2000</v>
      </c>
      <c r="H468" s="49" t="s">
        <v>837</v>
      </c>
    </row>
    <row r="469" spans="1:8" x14ac:dyDescent="0.2">
      <c r="A469" s="16">
        <v>42444</v>
      </c>
      <c r="B469" s="41" t="s">
        <v>18</v>
      </c>
      <c r="C469" s="41" t="s">
        <v>1167</v>
      </c>
      <c r="D469" s="788" t="s">
        <v>504</v>
      </c>
      <c r="E469" s="42">
        <v>3000</v>
      </c>
      <c r="G469" s="42">
        <f t="shared" si="8"/>
        <v>-3000</v>
      </c>
      <c r="H469" s="49" t="s">
        <v>837</v>
      </c>
    </row>
    <row r="470" spans="1:8" x14ac:dyDescent="0.2">
      <c r="A470" s="16">
        <v>42445</v>
      </c>
      <c r="B470" s="41" t="s">
        <v>154</v>
      </c>
      <c r="C470" s="41" t="s">
        <v>183</v>
      </c>
      <c r="D470" s="108" t="s">
        <v>464</v>
      </c>
      <c r="F470" s="42">
        <v>2954484</v>
      </c>
      <c r="G470" s="42">
        <f t="shared" si="8"/>
        <v>2954484</v>
      </c>
      <c r="H470" s="49" t="s">
        <v>837</v>
      </c>
    </row>
    <row r="471" spans="1:8" x14ac:dyDescent="0.2">
      <c r="A471" s="16">
        <v>42445</v>
      </c>
      <c r="B471" s="41" t="s">
        <v>40</v>
      </c>
      <c r="C471" s="41" t="s">
        <v>248</v>
      </c>
      <c r="D471" s="108" t="s">
        <v>370</v>
      </c>
      <c r="E471" s="42">
        <v>40000</v>
      </c>
      <c r="G471" s="42">
        <f t="shared" si="8"/>
        <v>-40000</v>
      </c>
      <c r="H471" s="49" t="s">
        <v>837</v>
      </c>
    </row>
    <row r="472" spans="1:8" x14ac:dyDescent="0.2">
      <c r="A472" s="16">
        <v>42445</v>
      </c>
      <c r="B472" s="41" t="s">
        <v>40</v>
      </c>
      <c r="C472" s="41" t="s">
        <v>929</v>
      </c>
      <c r="D472" s="108" t="s">
        <v>370</v>
      </c>
      <c r="E472" s="42">
        <v>30000</v>
      </c>
      <c r="G472" s="42">
        <f t="shared" si="8"/>
        <v>-30000</v>
      </c>
      <c r="H472" s="49" t="s">
        <v>837</v>
      </c>
    </row>
    <row r="473" spans="1:8" x14ac:dyDescent="0.2">
      <c r="A473" s="16">
        <v>42445</v>
      </c>
      <c r="B473" s="41" t="s">
        <v>40</v>
      </c>
      <c r="C473" s="41" t="s">
        <v>929</v>
      </c>
      <c r="D473" s="108" t="s">
        <v>370</v>
      </c>
      <c r="E473" s="42">
        <v>90000</v>
      </c>
      <c r="G473" s="42">
        <f t="shared" si="8"/>
        <v>-90000</v>
      </c>
      <c r="H473" s="49" t="s">
        <v>837</v>
      </c>
    </row>
    <row r="474" spans="1:8" x14ac:dyDescent="0.2">
      <c r="A474" s="16">
        <v>42445</v>
      </c>
      <c r="B474" s="41" t="s">
        <v>40</v>
      </c>
      <c r="C474" s="41" t="s">
        <v>64</v>
      </c>
      <c r="D474" s="108" t="s">
        <v>482</v>
      </c>
      <c r="E474" s="42">
        <v>25460</v>
      </c>
      <c r="G474" s="42">
        <f t="shared" si="8"/>
        <v>-25460</v>
      </c>
      <c r="H474" s="49" t="s">
        <v>837</v>
      </c>
    </row>
    <row r="475" spans="1:8" x14ac:dyDescent="0.2">
      <c r="A475" s="16">
        <v>42445</v>
      </c>
      <c r="B475" s="41" t="s">
        <v>154</v>
      </c>
      <c r="C475" s="41" t="s">
        <v>220</v>
      </c>
      <c r="D475" s="108" t="s">
        <v>72</v>
      </c>
      <c r="E475" s="42">
        <v>8000</v>
      </c>
      <c r="G475" s="42">
        <f t="shared" si="8"/>
        <v>-8000</v>
      </c>
      <c r="H475" s="49" t="s">
        <v>837</v>
      </c>
    </row>
    <row r="476" spans="1:8" x14ac:dyDescent="0.2">
      <c r="A476" s="16">
        <v>42445</v>
      </c>
      <c r="B476" s="41" t="s">
        <v>16</v>
      </c>
      <c r="C476" s="41" t="s">
        <v>220</v>
      </c>
      <c r="D476" s="108" t="s">
        <v>483</v>
      </c>
      <c r="E476" s="42">
        <v>90</v>
      </c>
      <c r="G476" s="42">
        <f t="shared" si="8"/>
        <v>-90</v>
      </c>
      <c r="H476" s="49" t="s">
        <v>837</v>
      </c>
    </row>
    <row r="477" spans="1:8" x14ac:dyDescent="0.2">
      <c r="A477" s="16">
        <v>42445</v>
      </c>
      <c r="B477" s="41" t="s">
        <v>40</v>
      </c>
      <c r="C477" s="41" t="s">
        <v>1167</v>
      </c>
      <c r="D477" s="788" t="s">
        <v>505</v>
      </c>
      <c r="E477" s="42">
        <v>5000</v>
      </c>
      <c r="G477" s="42">
        <f t="shared" si="8"/>
        <v>-5000</v>
      </c>
      <c r="H477" s="49" t="s">
        <v>837</v>
      </c>
    </row>
    <row r="478" spans="1:8" x14ac:dyDescent="0.2">
      <c r="A478" s="16">
        <v>42445</v>
      </c>
      <c r="B478" s="41" t="s">
        <v>40</v>
      </c>
      <c r="C478" s="41" t="s">
        <v>1167</v>
      </c>
      <c r="D478" s="788" t="s">
        <v>506</v>
      </c>
      <c r="E478" s="42">
        <v>5000</v>
      </c>
      <c r="G478" s="42">
        <f t="shared" si="8"/>
        <v>-5000</v>
      </c>
      <c r="H478" s="49" t="s">
        <v>837</v>
      </c>
    </row>
    <row r="479" spans="1:8" x14ac:dyDescent="0.2">
      <c r="A479" s="16">
        <v>42446</v>
      </c>
      <c r="B479" s="41" t="s">
        <v>154</v>
      </c>
      <c r="C479" s="41" t="s">
        <v>14</v>
      </c>
      <c r="D479" s="108" t="s">
        <v>110</v>
      </c>
      <c r="E479" s="42">
        <v>500</v>
      </c>
      <c r="G479" s="42">
        <f t="shared" si="8"/>
        <v>-500</v>
      </c>
      <c r="H479" s="49" t="s">
        <v>837</v>
      </c>
    </row>
    <row r="480" spans="1:8" ht="12.75" customHeight="1" x14ac:dyDescent="0.2">
      <c r="A480" s="16">
        <v>42446</v>
      </c>
      <c r="B480" s="41" t="s">
        <v>18</v>
      </c>
      <c r="C480" s="41" t="s">
        <v>484</v>
      </c>
      <c r="D480" s="108" t="s">
        <v>484</v>
      </c>
      <c r="E480" s="42">
        <v>2000</v>
      </c>
      <c r="G480" s="42">
        <f t="shared" si="8"/>
        <v>-2000</v>
      </c>
      <c r="H480" s="49" t="s">
        <v>837</v>
      </c>
    </row>
    <row r="481" spans="1:8" x14ac:dyDescent="0.2">
      <c r="A481" s="16">
        <v>42446</v>
      </c>
      <c r="B481" s="41" t="s">
        <v>16</v>
      </c>
      <c r="C481" s="41" t="s">
        <v>103</v>
      </c>
      <c r="D481" s="108" t="s">
        <v>485</v>
      </c>
      <c r="E481" s="42">
        <v>2020</v>
      </c>
      <c r="G481" s="42">
        <f t="shared" si="8"/>
        <v>-2020</v>
      </c>
      <c r="H481" s="49" t="s">
        <v>837</v>
      </c>
    </row>
    <row r="482" spans="1:8" x14ac:dyDescent="0.2">
      <c r="A482" s="16">
        <v>42446</v>
      </c>
      <c r="B482" s="41" t="s">
        <v>40</v>
      </c>
      <c r="C482" s="41" t="s">
        <v>1167</v>
      </c>
      <c r="D482" s="788" t="s">
        <v>500</v>
      </c>
      <c r="E482" s="42">
        <v>1000</v>
      </c>
      <c r="G482" s="42">
        <f t="shared" si="8"/>
        <v>-1000</v>
      </c>
      <c r="H482" s="49" t="s">
        <v>837</v>
      </c>
    </row>
    <row r="483" spans="1:8" x14ac:dyDescent="0.2">
      <c r="A483" s="16">
        <v>42446</v>
      </c>
      <c r="B483" s="41" t="s">
        <v>16</v>
      </c>
      <c r="C483" s="41" t="s">
        <v>1167</v>
      </c>
      <c r="D483" s="788" t="s">
        <v>507</v>
      </c>
      <c r="E483" s="42">
        <v>3000</v>
      </c>
      <c r="G483" s="42">
        <f t="shared" si="8"/>
        <v>-3000</v>
      </c>
      <c r="H483" s="49" t="s">
        <v>837</v>
      </c>
    </row>
    <row r="484" spans="1:8" x14ac:dyDescent="0.2">
      <c r="A484" s="16">
        <v>42446</v>
      </c>
      <c r="B484" s="41" t="s">
        <v>16</v>
      </c>
      <c r="C484" s="41" t="s">
        <v>1167</v>
      </c>
      <c r="D484" s="788" t="s">
        <v>508</v>
      </c>
      <c r="E484" s="42">
        <v>5000</v>
      </c>
      <c r="G484" s="42">
        <f t="shared" si="8"/>
        <v>-5000</v>
      </c>
      <c r="H484" s="49" t="s">
        <v>837</v>
      </c>
    </row>
    <row r="485" spans="1:8" x14ac:dyDescent="0.2">
      <c r="A485" s="16">
        <v>42447</v>
      </c>
      <c r="B485" s="41" t="s">
        <v>154</v>
      </c>
      <c r="C485" s="41" t="s">
        <v>220</v>
      </c>
      <c r="D485" s="108" t="s">
        <v>72</v>
      </c>
      <c r="E485" s="42">
        <v>4580</v>
      </c>
      <c r="G485" s="42">
        <f t="shared" si="8"/>
        <v>-4580</v>
      </c>
      <c r="H485" s="49" t="s">
        <v>837</v>
      </c>
    </row>
    <row r="486" spans="1:8" x14ac:dyDescent="0.2">
      <c r="A486" s="16">
        <v>42447</v>
      </c>
      <c r="B486" s="41" t="s">
        <v>40</v>
      </c>
      <c r="C486" s="41" t="s">
        <v>248</v>
      </c>
      <c r="D486" s="108" t="s">
        <v>370</v>
      </c>
      <c r="E486" s="42">
        <v>5000</v>
      </c>
      <c r="G486" s="42">
        <f t="shared" si="8"/>
        <v>-5000</v>
      </c>
      <c r="H486" s="49" t="s">
        <v>837</v>
      </c>
    </row>
    <row r="487" spans="1:8" x14ac:dyDescent="0.2">
      <c r="A487" s="16">
        <v>42447</v>
      </c>
      <c r="B487" s="41" t="s">
        <v>154</v>
      </c>
      <c r="C487" s="41" t="s">
        <v>895</v>
      </c>
      <c r="D487" s="108" t="s">
        <v>486</v>
      </c>
      <c r="E487" s="42">
        <v>420000</v>
      </c>
      <c r="G487" s="42">
        <f t="shared" si="8"/>
        <v>-420000</v>
      </c>
      <c r="H487" s="49" t="s">
        <v>837</v>
      </c>
    </row>
    <row r="488" spans="1:8" x14ac:dyDescent="0.2">
      <c r="A488" s="16">
        <v>42447</v>
      </c>
      <c r="B488" s="41" t="s">
        <v>40</v>
      </c>
      <c r="C488" s="41" t="s">
        <v>269</v>
      </c>
      <c r="D488" s="108" t="s">
        <v>487</v>
      </c>
      <c r="E488" s="42">
        <v>1000</v>
      </c>
      <c r="G488" s="42">
        <f t="shared" si="8"/>
        <v>-1000</v>
      </c>
      <c r="H488" s="49" t="s">
        <v>837</v>
      </c>
    </row>
    <row r="489" spans="1:8" x14ac:dyDescent="0.2">
      <c r="A489" s="16">
        <v>42447</v>
      </c>
      <c r="B489" s="41" t="s">
        <v>82</v>
      </c>
      <c r="C489" s="41" t="s">
        <v>488</v>
      </c>
      <c r="D489" s="108" t="s">
        <v>489</v>
      </c>
      <c r="E489" s="42">
        <v>200000</v>
      </c>
      <c r="G489" s="42">
        <f t="shared" si="8"/>
        <v>-200000</v>
      </c>
      <c r="H489" s="49" t="s">
        <v>837</v>
      </c>
    </row>
    <row r="490" spans="1:8" x14ac:dyDescent="0.2">
      <c r="A490" s="16">
        <v>42447</v>
      </c>
      <c r="B490" s="41" t="s">
        <v>40</v>
      </c>
      <c r="C490" s="41" t="s">
        <v>551</v>
      </c>
      <c r="D490" s="108" t="s">
        <v>286</v>
      </c>
      <c r="E490" s="42">
        <v>4030</v>
      </c>
      <c r="G490" s="42">
        <f t="shared" si="8"/>
        <v>-4030</v>
      </c>
      <c r="H490" s="49" t="s">
        <v>837</v>
      </c>
    </row>
    <row r="491" spans="1:8" ht="12.75" customHeight="1" x14ac:dyDescent="0.2">
      <c r="A491" s="16">
        <v>42447</v>
      </c>
      <c r="B491" s="41" t="s">
        <v>40</v>
      </c>
      <c r="C491" s="41" t="s">
        <v>64</v>
      </c>
      <c r="D491" s="108" t="s">
        <v>286</v>
      </c>
      <c r="E491" s="42">
        <v>1000</v>
      </c>
      <c r="G491" s="42">
        <f t="shared" si="8"/>
        <v>-1000</v>
      </c>
      <c r="H491" s="49" t="s">
        <v>837</v>
      </c>
    </row>
    <row r="492" spans="1:8" ht="12.75" customHeight="1" x14ac:dyDescent="0.2">
      <c r="A492" s="16">
        <v>42447</v>
      </c>
      <c r="B492" s="41" t="s">
        <v>37</v>
      </c>
      <c r="C492" s="41" t="s">
        <v>565</v>
      </c>
      <c r="D492" s="108" t="s">
        <v>566</v>
      </c>
      <c r="F492" s="42">
        <v>48000</v>
      </c>
      <c r="G492" s="42">
        <f t="shared" si="8"/>
        <v>48000</v>
      </c>
      <c r="H492" s="49" t="s">
        <v>837</v>
      </c>
    </row>
    <row r="493" spans="1:8" ht="12.75" customHeight="1" x14ac:dyDescent="0.2">
      <c r="A493" s="16">
        <v>42448</v>
      </c>
      <c r="B493" s="41" t="s">
        <v>18</v>
      </c>
      <c r="C493" s="41" t="s">
        <v>668</v>
      </c>
      <c r="D493" s="108" t="s">
        <v>388</v>
      </c>
      <c r="E493" s="42">
        <v>5170</v>
      </c>
      <c r="G493" s="42">
        <f t="shared" si="8"/>
        <v>-5170</v>
      </c>
      <c r="H493" s="49" t="s">
        <v>837</v>
      </c>
    </row>
    <row r="494" spans="1:8" ht="12.75" customHeight="1" x14ac:dyDescent="0.2">
      <c r="A494" s="16">
        <v>42448</v>
      </c>
      <c r="B494" s="41" t="s">
        <v>40</v>
      </c>
      <c r="C494" s="41" t="s">
        <v>251</v>
      </c>
      <c r="D494" s="108" t="s">
        <v>370</v>
      </c>
      <c r="E494" s="42">
        <v>70000</v>
      </c>
      <c r="G494" s="42">
        <f t="shared" si="8"/>
        <v>-70000</v>
      </c>
      <c r="H494" s="49" t="s">
        <v>837</v>
      </c>
    </row>
    <row r="495" spans="1:8" x14ac:dyDescent="0.2">
      <c r="A495" s="16">
        <v>42448</v>
      </c>
      <c r="B495" s="41" t="s">
        <v>40</v>
      </c>
      <c r="C495" s="41" t="s">
        <v>64</v>
      </c>
      <c r="D495" s="108" t="s">
        <v>491</v>
      </c>
      <c r="E495" s="42">
        <v>2000</v>
      </c>
      <c r="G495" s="42">
        <f t="shared" si="8"/>
        <v>-2000</v>
      </c>
      <c r="H495" s="49" t="s">
        <v>837</v>
      </c>
    </row>
    <row r="496" spans="1:8" x14ac:dyDescent="0.2">
      <c r="A496" s="16">
        <v>42448</v>
      </c>
      <c r="B496" s="41" t="s">
        <v>40</v>
      </c>
      <c r="C496" s="41" t="s">
        <v>64</v>
      </c>
      <c r="D496" s="108" t="s">
        <v>492</v>
      </c>
      <c r="E496" s="42">
        <v>4480</v>
      </c>
      <c r="G496" s="42">
        <f t="shared" si="8"/>
        <v>-4480</v>
      </c>
      <c r="H496" s="49" t="s">
        <v>837</v>
      </c>
    </row>
    <row r="497" spans="1:8" x14ac:dyDescent="0.2">
      <c r="A497" s="16">
        <v>42448</v>
      </c>
      <c r="B497" s="41" t="s">
        <v>40</v>
      </c>
      <c r="C497" s="41" t="s">
        <v>1167</v>
      </c>
      <c r="D497" s="788" t="s">
        <v>509</v>
      </c>
      <c r="E497" s="42">
        <v>2000</v>
      </c>
      <c r="G497" s="42">
        <f t="shared" si="8"/>
        <v>-2000</v>
      </c>
      <c r="H497" s="49" t="s">
        <v>837</v>
      </c>
    </row>
    <row r="498" spans="1:8" x14ac:dyDescent="0.2">
      <c r="A498" s="16">
        <v>42448</v>
      </c>
      <c r="B498" s="41" t="s">
        <v>18</v>
      </c>
      <c r="C498" s="41" t="s">
        <v>1167</v>
      </c>
      <c r="D498" s="788" t="s">
        <v>504</v>
      </c>
      <c r="E498" s="42">
        <v>2000</v>
      </c>
      <c r="G498" s="42">
        <f t="shared" si="8"/>
        <v>-2000</v>
      </c>
      <c r="H498" s="49" t="s">
        <v>837</v>
      </c>
    </row>
    <row r="499" spans="1:8" x14ac:dyDescent="0.2">
      <c r="A499" s="16">
        <v>42450</v>
      </c>
      <c r="B499" s="41" t="s">
        <v>40</v>
      </c>
      <c r="C499" s="41" t="s">
        <v>66</v>
      </c>
      <c r="D499" s="108" t="s">
        <v>490</v>
      </c>
      <c r="E499" s="42">
        <v>400</v>
      </c>
      <c r="G499" s="42">
        <f t="shared" si="8"/>
        <v>-400</v>
      </c>
      <c r="H499" s="49" t="s">
        <v>837</v>
      </c>
    </row>
    <row r="500" spans="1:8" x14ac:dyDescent="0.2">
      <c r="A500" s="16">
        <v>42450</v>
      </c>
      <c r="B500" s="41" t="s">
        <v>40</v>
      </c>
      <c r="C500" s="41" t="s">
        <v>523</v>
      </c>
      <c r="D500" s="108" t="s">
        <v>370</v>
      </c>
      <c r="E500" s="42">
        <v>2500</v>
      </c>
      <c r="G500" s="42">
        <f t="shared" si="8"/>
        <v>-2500</v>
      </c>
      <c r="H500" s="49" t="s">
        <v>837</v>
      </c>
    </row>
    <row r="501" spans="1:8" x14ac:dyDescent="0.2">
      <c r="A501" s="16">
        <v>42450</v>
      </c>
      <c r="B501" s="41" t="s">
        <v>40</v>
      </c>
      <c r="C501" s="41" t="s">
        <v>220</v>
      </c>
      <c r="D501" s="108" t="s">
        <v>524</v>
      </c>
      <c r="E501" s="42">
        <v>6000</v>
      </c>
      <c r="G501" s="42">
        <f t="shared" si="8"/>
        <v>-6000</v>
      </c>
      <c r="H501" s="49" t="s">
        <v>837</v>
      </c>
    </row>
    <row r="502" spans="1:8" x14ac:dyDescent="0.2">
      <c r="A502" s="16">
        <v>42450</v>
      </c>
      <c r="B502" s="41" t="s">
        <v>154</v>
      </c>
      <c r="C502" s="41" t="s">
        <v>220</v>
      </c>
      <c r="D502" s="108" t="s">
        <v>524</v>
      </c>
      <c r="E502" s="42">
        <v>11225</v>
      </c>
      <c r="G502" s="42">
        <f t="shared" si="8"/>
        <v>-11225</v>
      </c>
      <c r="H502" s="49" t="s">
        <v>837</v>
      </c>
    </row>
    <row r="503" spans="1:8" x14ac:dyDescent="0.2">
      <c r="A503" s="16">
        <v>42450</v>
      </c>
      <c r="B503" s="41" t="s">
        <v>82</v>
      </c>
      <c r="C503" s="41" t="s">
        <v>886</v>
      </c>
      <c r="D503" s="108" t="s">
        <v>133</v>
      </c>
      <c r="E503" s="42">
        <v>50000</v>
      </c>
      <c r="G503" s="42">
        <f t="shared" si="8"/>
        <v>-50000</v>
      </c>
      <c r="H503" s="49" t="s">
        <v>837</v>
      </c>
    </row>
    <row r="504" spans="1:8" ht="12.75" customHeight="1" x14ac:dyDescent="0.2">
      <c r="A504" s="16">
        <v>42450</v>
      </c>
      <c r="B504" s="41" t="s">
        <v>154</v>
      </c>
      <c r="C504" s="41" t="s">
        <v>220</v>
      </c>
      <c r="D504" s="108" t="s">
        <v>525</v>
      </c>
      <c r="E504" s="42">
        <v>8000</v>
      </c>
      <c r="G504" s="42">
        <f t="shared" si="8"/>
        <v>-8000</v>
      </c>
      <c r="H504" s="49" t="s">
        <v>837</v>
      </c>
    </row>
    <row r="505" spans="1:8" x14ac:dyDescent="0.2">
      <c r="A505" s="16">
        <v>42450</v>
      </c>
      <c r="B505" s="41" t="s">
        <v>40</v>
      </c>
      <c r="C505" s="41" t="s">
        <v>64</v>
      </c>
      <c r="D505" s="108" t="s">
        <v>286</v>
      </c>
      <c r="E505" s="42">
        <v>500</v>
      </c>
      <c r="G505" s="42">
        <f t="shared" si="8"/>
        <v>-500</v>
      </c>
      <c r="H505" s="49" t="s">
        <v>837</v>
      </c>
    </row>
    <row r="506" spans="1:8" ht="12.75" customHeight="1" x14ac:dyDescent="0.2">
      <c r="A506" s="16">
        <v>42450</v>
      </c>
      <c r="B506" s="41" t="s">
        <v>40</v>
      </c>
      <c r="C506" s="41" t="s">
        <v>64</v>
      </c>
      <c r="D506" s="108" t="s">
        <v>286</v>
      </c>
      <c r="E506" s="42">
        <v>1000</v>
      </c>
      <c r="G506" s="42">
        <f t="shared" si="8"/>
        <v>-1000</v>
      </c>
      <c r="H506" s="49" t="s">
        <v>837</v>
      </c>
    </row>
    <row r="507" spans="1:8" x14ac:dyDescent="0.2">
      <c r="A507" s="16">
        <v>42450</v>
      </c>
      <c r="B507" s="41" t="s">
        <v>154</v>
      </c>
      <c r="C507" s="41" t="s">
        <v>148</v>
      </c>
      <c r="D507" s="108" t="s">
        <v>531</v>
      </c>
      <c r="E507" s="42">
        <v>16000</v>
      </c>
      <c r="G507" s="42">
        <f t="shared" si="8"/>
        <v>-16000</v>
      </c>
      <c r="H507" s="49" t="s">
        <v>837</v>
      </c>
    </row>
    <row r="508" spans="1:8" x14ac:dyDescent="0.2">
      <c r="A508" s="16">
        <v>42451</v>
      </c>
      <c r="B508" s="41" t="s">
        <v>40</v>
      </c>
      <c r="C508" s="41" t="s">
        <v>514</v>
      </c>
      <c r="D508" s="108" t="s">
        <v>515</v>
      </c>
      <c r="F508" s="42">
        <v>1000000</v>
      </c>
      <c r="G508" s="42">
        <f t="shared" si="8"/>
        <v>1000000</v>
      </c>
      <c r="H508" s="49" t="s">
        <v>837</v>
      </c>
    </row>
    <row r="509" spans="1:8" x14ac:dyDescent="0.2">
      <c r="A509" s="16">
        <v>42451</v>
      </c>
      <c r="B509" s="41" t="s">
        <v>40</v>
      </c>
      <c r="C509" s="41" t="s">
        <v>514</v>
      </c>
      <c r="D509" s="108" t="s">
        <v>516</v>
      </c>
      <c r="F509" s="42">
        <v>1000000</v>
      </c>
      <c r="G509" s="42">
        <f t="shared" si="8"/>
        <v>1000000</v>
      </c>
      <c r="H509" s="49" t="s">
        <v>837</v>
      </c>
    </row>
    <row r="510" spans="1:8" x14ac:dyDescent="0.2">
      <c r="A510" s="16">
        <v>42451</v>
      </c>
      <c r="B510" s="41" t="s">
        <v>40</v>
      </c>
      <c r="C510" s="41" t="s">
        <v>514</v>
      </c>
      <c r="D510" s="108" t="s">
        <v>517</v>
      </c>
      <c r="F510" s="42">
        <v>1000000</v>
      </c>
      <c r="G510" s="42">
        <f t="shared" si="8"/>
        <v>1000000</v>
      </c>
      <c r="H510" s="49" t="s">
        <v>837</v>
      </c>
    </row>
    <row r="511" spans="1:8" x14ac:dyDescent="0.2">
      <c r="A511" s="16">
        <v>42451</v>
      </c>
      <c r="B511" s="41" t="s">
        <v>18</v>
      </c>
      <c r="C511" s="41" t="s">
        <v>668</v>
      </c>
      <c r="D511" s="108" t="s">
        <v>526</v>
      </c>
      <c r="E511" s="42">
        <v>6080</v>
      </c>
      <c r="G511" s="42">
        <f t="shared" si="8"/>
        <v>-6080</v>
      </c>
      <c r="H511" s="49" t="s">
        <v>837</v>
      </c>
    </row>
    <row r="512" spans="1:8" x14ac:dyDescent="0.2">
      <c r="A512" s="16">
        <v>42451</v>
      </c>
      <c r="B512" s="41" t="s">
        <v>16</v>
      </c>
      <c r="C512" s="41" t="s">
        <v>1828</v>
      </c>
      <c r="D512" s="108" t="s">
        <v>528</v>
      </c>
      <c r="E512" s="42">
        <v>25000</v>
      </c>
      <c r="G512" s="42">
        <f t="shared" si="8"/>
        <v>-25000</v>
      </c>
      <c r="H512" s="49" t="s">
        <v>837</v>
      </c>
    </row>
    <row r="513" spans="1:8" ht="12.75" customHeight="1" x14ac:dyDescent="0.2">
      <c r="A513" s="16">
        <v>42451</v>
      </c>
      <c r="B513" s="41" t="s">
        <v>154</v>
      </c>
      <c r="C513" s="41" t="s">
        <v>414</v>
      </c>
      <c r="D513" s="108" t="s">
        <v>370</v>
      </c>
      <c r="E513" s="42">
        <v>10000</v>
      </c>
      <c r="G513" s="42">
        <f t="shared" si="8"/>
        <v>-10000</v>
      </c>
      <c r="H513" s="49" t="s">
        <v>837</v>
      </c>
    </row>
    <row r="514" spans="1:8" ht="15" customHeight="1" x14ac:dyDescent="0.25">
      <c r="A514" s="16">
        <v>42451</v>
      </c>
      <c r="B514" s="2" t="s">
        <v>154</v>
      </c>
      <c r="C514" s="2" t="s">
        <v>168</v>
      </c>
      <c r="D514" s="108" t="s">
        <v>1671</v>
      </c>
      <c r="E514" s="15">
        <v>300000</v>
      </c>
      <c r="G514" s="42">
        <f t="shared" si="8"/>
        <v>-300000</v>
      </c>
      <c r="H514" s="49" t="s">
        <v>837</v>
      </c>
    </row>
    <row r="515" spans="1:8" ht="15" customHeight="1" x14ac:dyDescent="0.25">
      <c r="A515" s="16">
        <v>42451</v>
      </c>
      <c r="B515" s="2" t="s">
        <v>40</v>
      </c>
      <c r="C515" s="2" t="s">
        <v>168</v>
      </c>
      <c r="D515" s="108" t="s">
        <v>1671</v>
      </c>
      <c r="E515" s="15">
        <v>65000</v>
      </c>
      <c r="G515" s="42">
        <f t="shared" si="8"/>
        <v>-65000</v>
      </c>
      <c r="H515" s="49" t="s">
        <v>837</v>
      </c>
    </row>
    <row r="516" spans="1:8" ht="15" customHeight="1" x14ac:dyDescent="0.25">
      <c r="A516" s="16">
        <v>42451</v>
      </c>
      <c r="B516" s="2" t="s">
        <v>82</v>
      </c>
      <c r="C516" s="2" t="s">
        <v>168</v>
      </c>
      <c r="D516" s="108" t="s">
        <v>1671</v>
      </c>
      <c r="E516" s="15">
        <v>22300</v>
      </c>
      <c r="G516" s="42">
        <f t="shared" si="8"/>
        <v>-22300</v>
      </c>
      <c r="H516" s="49" t="s">
        <v>837</v>
      </c>
    </row>
    <row r="517" spans="1:8" x14ac:dyDescent="0.2">
      <c r="A517" s="16">
        <v>42451</v>
      </c>
      <c r="B517" s="41" t="s">
        <v>40</v>
      </c>
      <c r="C517" s="41" t="s">
        <v>3335</v>
      </c>
      <c r="D517" s="108" t="s">
        <v>370</v>
      </c>
      <c r="E517" s="42">
        <v>29604</v>
      </c>
      <c r="G517" s="42">
        <f t="shared" si="8"/>
        <v>-29604</v>
      </c>
      <c r="H517" s="49" t="s">
        <v>837</v>
      </c>
    </row>
    <row r="518" spans="1:8" x14ac:dyDescent="0.2">
      <c r="A518" s="16">
        <v>42451</v>
      </c>
      <c r="B518" s="41" t="s">
        <v>40</v>
      </c>
      <c r="C518" s="41" t="s">
        <v>455</v>
      </c>
      <c r="D518" s="108" t="s">
        <v>529</v>
      </c>
      <c r="E518" s="42">
        <v>1820</v>
      </c>
      <c r="G518" s="42">
        <f t="shared" si="8"/>
        <v>-1820</v>
      </c>
      <c r="H518" s="49" t="s">
        <v>837</v>
      </c>
    </row>
    <row r="519" spans="1:8" x14ac:dyDescent="0.2">
      <c r="A519" s="16">
        <v>42451</v>
      </c>
      <c r="B519" s="41" t="s">
        <v>40</v>
      </c>
      <c r="C519" s="41" t="s">
        <v>670</v>
      </c>
      <c r="D519" s="108" t="s">
        <v>530</v>
      </c>
      <c r="E519" s="42">
        <v>18000</v>
      </c>
      <c r="G519" s="42">
        <f t="shared" si="8"/>
        <v>-18000</v>
      </c>
      <c r="H519" s="49" t="s">
        <v>837</v>
      </c>
    </row>
    <row r="520" spans="1:8" x14ac:dyDescent="0.2">
      <c r="A520" s="16">
        <v>42451</v>
      </c>
      <c r="B520" s="41" t="s">
        <v>154</v>
      </c>
      <c r="C520" s="41" t="s">
        <v>670</v>
      </c>
      <c r="D520" s="108" t="s">
        <v>530</v>
      </c>
      <c r="E520" s="42">
        <v>18000</v>
      </c>
      <c r="G520" s="42">
        <f t="shared" ref="G520:G583" si="9">F520-E520</f>
        <v>-18000</v>
      </c>
      <c r="H520" s="49" t="s">
        <v>837</v>
      </c>
    </row>
    <row r="521" spans="1:8" x14ac:dyDescent="0.2">
      <c r="A521" s="16">
        <v>42451</v>
      </c>
      <c r="B521" s="41" t="s">
        <v>16</v>
      </c>
      <c r="C521" s="41" t="s">
        <v>103</v>
      </c>
      <c r="D521" s="108" t="s">
        <v>532</v>
      </c>
      <c r="E521" s="42">
        <v>1520</v>
      </c>
      <c r="G521" s="42">
        <f t="shared" si="9"/>
        <v>-1520</v>
      </c>
      <c r="H521" s="49" t="s">
        <v>837</v>
      </c>
    </row>
    <row r="522" spans="1:8" ht="12.75" customHeight="1" x14ac:dyDescent="0.2">
      <c r="A522" s="16">
        <v>42451</v>
      </c>
      <c r="B522" s="41" t="s">
        <v>40</v>
      </c>
      <c r="C522" s="41" t="s">
        <v>64</v>
      </c>
      <c r="D522" s="108" t="s">
        <v>533</v>
      </c>
      <c r="E522" s="42">
        <v>6400</v>
      </c>
      <c r="G522" s="42">
        <f t="shared" si="9"/>
        <v>-6400</v>
      </c>
      <c r="H522" s="49" t="s">
        <v>837</v>
      </c>
    </row>
    <row r="523" spans="1:8" x14ac:dyDescent="0.2">
      <c r="A523" s="16">
        <v>42451</v>
      </c>
      <c r="B523" s="41" t="s">
        <v>40</v>
      </c>
      <c r="C523" s="41" t="s">
        <v>64</v>
      </c>
      <c r="D523" s="108" t="s">
        <v>549</v>
      </c>
      <c r="E523" s="42">
        <v>2370</v>
      </c>
      <c r="G523" s="42">
        <f t="shared" si="9"/>
        <v>-2370</v>
      </c>
      <c r="H523" s="49" t="s">
        <v>837</v>
      </c>
    </row>
    <row r="524" spans="1:8" x14ac:dyDescent="0.2">
      <c r="A524" s="16">
        <v>42453</v>
      </c>
      <c r="B524" s="41" t="s">
        <v>11</v>
      </c>
      <c r="C524" s="41" t="s">
        <v>309</v>
      </c>
      <c r="D524" s="108" t="s">
        <v>534</v>
      </c>
      <c r="E524" s="42">
        <v>1000</v>
      </c>
      <c r="G524" s="42">
        <f t="shared" si="9"/>
        <v>-1000</v>
      </c>
      <c r="H524" s="49" t="s">
        <v>837</v>
      </c>
    </row>
    <row r="525" spans="1:8" x14ac:dyDescent="0.2">
      <c r="A525" s="16">
        <v>42453</v>
      </c>
      <c r="B525" s="41" t="s">
        <v>40</v>
      </c>
      <c r="C525" s="41" t="s">
        <v>309</v>
      </c>
      <c r="D525" s="108" t="s">
        <v>534</v>
      </c>
      <c r="E525" s="42">
        <v>1000</v>
      </c>
      <c r="G525" s="42">
        <f t="shared" si="9"/>
        <v>-1000</v>
      </c>
      <c r="H525" s="49" t="s">
        <v>837</v>
      </c>
    </row>
    <row r="526" spans="1:8" ht="12.75" customHeight="1" x14ac:dyDescent="0.2">
      <c r="A526" s="16">
        <v>42453</v>
      </c>
      <c r="B526" s="41" t="s">
        <v>82</v>
      </c>
      <c r="C526" s="41" t="s">
        <v>309</v>
      </c>
      <c r="D526" s="108" t="s">
        <v>534</v>
      </c>
      <c r="E526" s="42">
        <v>1080</v>
      </c>
      <c r="G526" s="42">
        <f t="shared" si="9"/>
        <v>-1080</v>
      </c>
      <c r="H526" s="49" t="s">
        <v>837</v>
      </c>
    </row>
    <row r="527" spans="1:8" x14ac:dyDescent="0.2">
      <c r="A527" s="16">
        <v>42453</v>
      </c>
      <c r="B527" s="41" t="s">
        <v>16</v>
      </c>
      <c r="C527" s="41" t="s">
        <v>103</v>
      </c>
      <c r="D527" s="108" t="s">
        <v>535</v>
      </c>
      <c r="E527" s="42">
        <v>32286</v>
      </c>
      <c r="G527" s="42">
        <f t="shared" si="9"/>
        <v>-32286</v>
      </c>
      <c r="H527" s="49" t="s">
        <v>837</v>
      </c>
    </row>
    <row r="528" spans="1:8" x14ac:dyDescent="0.2">
      <c r="A528" s="16">
        <v>42453</v>
      </c>
      <c r="B528" s="41" t="s">
        <v>16</v>
      </c>
      <c r="C528" s="41" t="s">
        <v>1167</v>
      </c>
      <c r="D528" s="788" t="s">
        <v>536</v>
      </c>
      <c r="E528" s="42">
        <v>25000</v>
      </c>
      <c r="G528" s="42">
        <f t="shared" si="9"/>
        <v>-25000</v>
      </c>
      <c r="H528" s="49" t="s">
        <v>837</v>
      </c>
    </row>
    <row r="529" spans="1:8" x14ac:dyDescent="0.2">
      <c r="A529" s="16">
        <v>42454</v>
      </c>
      <c r="B529" s="41" t="s">
        <v>82</v>
      </c>
      <c r="C529" s="41" t="s">
        <v>325</v>
      </c>
      <c r="D529" s="108" t="s">
        <v>72</v>
      </c>
      <c r="E529" s="42">
        <v>2530</v>
      </c>
      <c r="G529" s="42">
        <f t="shared" si="9"/>
        <v>-2530</v>
      </c>
      <c r="H529" s="49" t="s">
        <v>837</v>
      </c>
    </row>
    <row r="530" spans="1:8" x14ac:dyDescent="0.2">
      <c r="A530" s="16">
        <v>42454</v>
      </c>
      <c r="B530" s="41" t="s">
        <v>40</v>
      </c>
      <c r="C530" s="41" t="s">
        <v>895</v>
      </c>
      <c r="D530" s="108" t="s">
        <v>370</v>
      </c>
      <c r="E530" s="42">
        <v>489000</v>
      </c>
      <c r="G530" s="42">
        <f t="shared" si="9"/>
        <v>-489000</v>
      </c>
      <c r="H530" s="49" t="s">
        <v>837</v>
      </c>
    </row>
    <row r="531" spans="1:8" x14ac:dyDescent="0.2">
      <c r="A531" s="16">
        <v>42454</v>
      </c>
      <c r="B531" s="41" t="s">
        <v>40</v>
      </c>
      <c r="C531" s="41" t="s">
        <v>551</v>
      </c>
      <c r="D531" s="108" t="s">
        <v>537</v>
      </c>
      <c r="E531" s="42">
        <v>4500</v>
      </c>
      <c r="G531" s="42">
        <f t="shared" si="9"/>
        <v>-4500</v>
      </c>
      <c r="H531" s="49" t="s">
        <v>837</v>
      </c>
    </row>
    <row r="532" spans="1:8" x14ac:dyDescent="0.2">
      <c r="A532" s="16">
        <v>42454</v>
      </c>
      <c r="B532" s="41" t="s">
        <v>40</v>
      </c>
      <c r="C532" s="41" t="s">
        <v>1894</v>
      </c>
      <c r="D532" s="108" t="s">
        <v>538</v>
      </c>
      <c r="E532" s="42">
        <v>1000</v>
      </c>
      <c r="G532" s="42">
        <f t="shared" si="9"/>
        <v>-1000</v>
      </c>
      <c r="H532" s="49" t="s">
        <v>837</v>
      </c>
    </row>
    <row r="533" spans="1:8" ht="12.75" customHeight="1" x14ac:dyDescent="0.2">
      <c r="A533" s="16">
        <v>42454</v>
      </c>
      <c r="B533" s="43" t="s">
        <v>14</v>
      </c>
      <c r="C533" s="41" t="s">
        <v>559</v>
      </c>
      <c r="D533" s="108" t="s">
        <v>560</v>
      </c>
      <c r="F533" s="42">
        <v>193500</v>
      </c>
      <c r="G533" s="42">
        <f t="shared" si="9"/>
        <v>193500</v>
      </c>
      <c r="H533" s="49" t="s">
        <v>837</v>
      </c>
    </row>
    <row r="534" spans="1:8" ht="12.75" customHeight="1" x14ac:dyDescent="0.2">
      <c r="A534" s="16">
        <v>42455</v>
      </c>
      <c r="B534" s="41" t="s">
        <v>40</v>
      </c>
      <c r="C534" s="41" t="s">
        <v>1167</v>
      </c>
      <c r="D534" s="788" t="s">
        <v>539</v>
      </c>
      <c r="E534" s="42">
        <v>3000</v>
      </c>
      <c r="G534" s="42">
        <f t="shared" si="9"/>
        <v>-3000</v>
      </c>
      <c r="H534" s="49" t="s">
        <v>837</v>
      </c>
    </row>
    <row r="535" spans="1:8" ht="12.75" customHeight="1" x14ac:dyDescent="0.2">
      <c r="A535" s="16">
        <v>42455</v>
      </c>
      <c r="B535" s="41" t="s">
        <v>40</v>
      </c>
      <c r="C535" s="41" t="s">
        <v>1167</v>
      </c>
      <c r="D535" s="788" t="s">
        <v>541</v>
      </c>
      <c r="E535" s="42">
        <v>1000</v>
      </c>
      <c r="G535" s="42">
        <f t="shared" si="9"/>
        <v>-1000</v>
      </c>
      <c r="H535" s="49" t="s">
        <v>837</v>
      </c>
    </row>
    <row r="536" spans="1:8" ht="12.75" customHeight="1" x14ac:dyDescent="0.2">
      <c r="A536" s="16">
        <v>42455</v>
      </c>
      <c r="B536" s="41" t="s">
        <v>40</v>
      </c>
      <c r="C536" s="41" t="s">
        <v>1167</v>
      </c>
      <c r="D536" s="788" t="s">
        <v>561</v>
      </c>
      <c r="E536" s="42">
        <v>5000</v>
      </c>
      <c r="G536" s="42">
        <f t="shared" si="9"/>
        <v>-5000</v>
      </c>
      <c r="H536" s="49" t="s">
        <v>837</v>
      </c>
    </row>
    <row r="537" spans="1:8" x14ac:dyDescent="0.2">
      <c r="A537" s="16">
        <v>42455</v>
      </c>
      <c r="B537" s="41" t="s">
        <v>40</v>
      </c>
      <c r="C537" s="41" t="s">
        <v>1167</v>
      </c>
      <c r="D537" s="788" t="s">
        <v>562</v>
      </c>
      <c r="E537" s="42">
        <v>1000</v>
      </c>
      <c r="G537" s="42">
        <f t="shared" si="9"/>
        <v>-1000</v>
      </c>
      <c r="H537" s="49" t="s">
        <v>837</v>
      </c>
    </row>
    <row r="538" spans="1:8" x14ac:dyDescent="0.2">
      <c r="A538" s="16">
        <v>42457</v>
      </c>
      <c r="B538" s="41" t="s">
        <v>40</v>
      </c>
      <c r="C538" s="41" t="s">
        <v>40</v>
      </c>
      <c r="D538" s="108" t="s">
        <v>9085</v>
      </c>
      <c r="F538" s="42">
        <v>1000000</v>
      </c>
      <c r="G538" s="42">
        <f t="shared" si="9"/>
        <v>1000000</v>
      </c>
      <c r="H538" s="49" t="s">
        <v>837</v>
      </c>
    </row>
    <row r="539" spans="1:8" x14ac:dyDescent="0.2">
      <c r="A539" s="16">
        <v>42457</v>
      </c>
      <c r="B539" s="41" t="s">
        <v>40</v>
      </c>
      <c r="C539" s="41" t="s">
        <v>40</v>
      </c>
      <c r="D539" s="108" t="s">
        <v>520</v>
      </c>
      <c r="F539" s="42">
        <v>1000000</v>
      </c>
      <c r="G539" s="42">
        <f t="shared" si="9"/>
        <v>1000000</v>
      </c>
      <c r="H539" s="49" t="s">
        <v>837</v>
      </c>
    </row>
    <row r="540" spans="1:8" x14ac:dyDescent="0.2">
      <c r="A540" s="16">
        <v>42457</v>
      </c>
      <c r="B540" s="41" t="s">
        <v>40</v>
      </c>
      <c r="C540" s="41" t="s">
        <v>40</v>
      </c>
      <c r="D540" s="108" t="s">
        <v>521</v>
      </c>
      <c r="F540" s="42">
        <v>1000000</v>
      </c>
      <c r="G540" s="42">
        <f t="shared" si="9"/>
        <v>1000000</v>
      </c>
      <c r="H540" s="49" t="s">
        <v>837</v>
      </c>
    </row>
    <row r="541" spans="1:8" x14ac:dyDescent="0.2">
      <c r="A541" s="16">
        <v>42457</v>
      </c>
      <c r="B541" s="41" t="s">
        <v>40</v>
      </c>
      <c r="C541" s="41" t="s">
        <v>40</v>
      </c>
      <c r="D541" s="108" t="s">
        <v>522</v>
      </c>
      <c r="F541" s="42">
        <v>1400000</v>
      </c>
      <c r="G541" s="42">
        <f t="shared" si="9"/>
        <v>1400000</v>
      </c>
      <c r="H541" s="49" t="s">
        <v>837</v>
      </c>
    </row>
    <row r="542" spans="1:8" x14ac:dyDescent="0.2">
      <c r="A542" s="16">
        <v>42457</v>
      </c>
      <c r="B542" s="41" t="s">
        <v>18</v>
      </c>
      <c r="C542" s="41" t="s">
        <v>668</v>
      </c>
      <c r="D542" s="108" t="s">
        <v>542</v>
      </c>
      <c r="E542" s="42">
        <v>9055</v>
      </c>
      <c r="G542" s="42">
        <f t="shared" si="9"/>
        <v>-9055</v>
      </c>
      <c r="H542" s="49" t="s">
        <v>837</v>
      </c>
    </row>
    <row r="543" spans="1:8" x14ac:dyDescent="0.2">
      <c r="A543" s="16">
        <v>42457</v>
      </c>
      <c r="B543" s="41" t="s">
        <v>18</v>
      </c>
      <c r="C543" s="41" t="s">
        <v>1167</v>
      </c>
      <c r="D543" s="788" t="s">
        <v>543</v>
      </c>
      <c r="E543" s="42">
        <v>3000</v>
      </c>
      <c r="G543" s="42">
        <f t="shared" si="9"/>
        <v>-3000</v>
      </c>
      <c r="H543" s="49" t="s">
        <v>837</v>
      </c>
    </row>
    <row r="544" spans="1:8" x14ac:dyDescent="0.2">
      <c r="A544" s="16">
        <v>42457</v>
      </c>
      <c r="B544" s="41" t="s">
        <v>16</v>
      </c>
      <c r="C544" s="41" t="s">
        <v>103</v>
      </c>
      <c r="D544" s="108" t="s">
        <v>544</v>
      </c>
      <c r="E544" s="42">
        <v>27432</v>
      </c>
      <c r="G544" s="42">
        <f t="shared" si="9"/>
        <v>-27432</v>
      </c>
      <c r="H544" s="49" t="s">
        <v>837</v>
      </c>
    </row>
    <row r="545" spans="1:8" x14ac:dyDescent="0.2">
      <c r="A545" s="16">
        <v>42457</v>
      </c>
      <c r="B545" s="41" t="s">
        <v>40</v>
      </c>
      <c r="C545" s="41" t="s">
        <v>298</v>
      </c>
      <c r="D545" s="108" t="s">
        <v>546</v>
      </c>
      <c r="E545" s="42">
        <v>500000</v>
      </c>
      <c r="G545" s="42">
        <f t="shared" si="9"/>
        <v>-500000</v>
      </c>
      <c r="H545" s="49" t="s">
        <v>837</v>
      </c>
    </row>
    <row r="546" spans="1:8" x14ac:dyDescent="0.2">
      <c r="A546" s="16">
        <v>42457</v>
      </c>
      <c r="B546" s="41" t="s">
        <v>40</v>
      </c>
      <c r="C546" s="41" t="s">
        <v>668</v>
      </c>
      <c r="D546" s="108" t="s">
        <v>542</v>
      </c>
      <c r="E546" s="42">
        <v>5590</v>
      </c>
      <c r="G546" s="42">
        <f t="shared" si="9"/>
        <v>-5590</v>
      </c>
      <c r="H546" s="49" t="s">
        <v>837</v>
      </c>
    </row>
    <row r="547" spans="1:8" x14ac:dyDescent="0.2">
      <c r="A547" s="16">
        <v>42457</v>
      </c>
      <c r="B547" s="41" t="s">
        <v>16</v>
      </c>
      <c r="C547" s="41" t="s">
        <v>103</v>
      </c>
      <c r="D547" s="108" t="s">
        <v>547</v>
      </c>
      <c r="E547" s="42">
        <v>1720</v>
      </c>
      <c r="G547" s="42">
        <f t="shared" si="9"/>
        <v>-1720</v>
      </c>
      <c r="H547" s="49" t="s">
        <v>837</v>
      </c>
    </row>
    <row r="548" spans="1:8" ht="12.75" customHeight="1" x14ac:dyDescent="0.2">
      <c r="A548" s="16">
        <v>42457</v>
      </c>
      <c r="B548" s="41" t="s">
        <v>40</v>
      </c>
      <c r="C548" s="41" t="s">
        <v>220</v>
      </c>
      <c r="D548" s="108" t="s">
        <v>550</v>
      </c>
      <c r="E548" s="42">
        <v>5800</v>
      </c>
      <c r="G548" s="42">
        <f t="shared" si="9"/>
        <v>-5800</v>
      </c>
      <c r="H548" s="49" t="s">
        <v>837</v>
      </c>
    </row>
    <row r="549" spans="1:8" ht="12.75" customHeight="1" x14ac:dyDescent="0.2">
      <c r="A549" s="16">
        <v>42457</v>
      </c>
      <c r="B549" s="41" t="s">
        <v>154</v>
      </c>
      <c r="C549" s="41" t="s">
        <v>220</v>
      </c>
      <c r="D549" s="108" t="s">
        <v>550</v>
      </c>
      <c r="E549" s="42">
        <v>12780</v>
      </c>
      <c r="G549" s="42">
        <f t="shared" si="9"/>
        <v>-12780</v>
      </c>
      <c r="H549" s="49" t="s">
        <v>837</v>
      </c>
    </row>
    <row r="550" spans="1:8" x14ac:dyDescent="0.2">
      <c r="A550" s="16">
        <v>42457</v>
      </c>
      <c r="B550" s="41" t="s">
        <v>40</v>
      </c>
      <c r="C550" s="41" t="s">
        <v>3335</v>
      </c>
      <c r="D550" s="108" t="s">
        <v>370</v>
      </c>
      <c r="E550" s="42">
        <v>53974</v>
      </c>
      <c r="G550" s="42">
        <f t="shared" si="9"/>
        <v>-53974</v>
      </c>
      <c r="H550" s="49" t="s">
        <v>837</v>
      </c>
    </row>
    <row r="551" spans="1:8" x14ac:dyDescent="0.2">
      <c r="A551" s="16">
        <v>42458</v>
      </c>
      <c r="B551" s="41" t="s">
        <v>40</v>
      </c>
      <c r="C551" s="41" t="s">
        <v>551</v>
      </c>
      <c r="D551" s="108" t="s">
        <v>110</v>
      </c>
      <c r="E551" s="42">
        <v>9900</v>
      </c>
      <c r="G551" s="42">
        <f t="shared" si="9"/>
        <v>-9900</v>
      </c>
      <c r="H551" s="49" t="s">
        <v>837</v>
      </c>
    </row>
    <row r="552" spans="1:8" x14ac:dyDescent="0.2">
      <c r="A552" s="16">
        <v>42458</v>
      </c>
      <c r="B552" s="41" t="s">
        <v>40</v>
      </c>
      <c r="C552" s="41" t="s">
        <v>220</v>
      </c>
      <c r="D552" s="108" t="s">
        <v>552</v>
      </c>
      <c r="E552" s="42">
        <v>4000</v>
      </c>
      <c r="G552" s="42">
        <f t="shared" si="9"/>
        <v>-4000</v>
      </c>
      <c r="H552" s="49" t="s">
        <v>837</v>
      </c>
    </row>
    <row r="553" spans="1:8" x14ac:dyDescent="0.2">
      <c r="A553" s="16">
        <v>42458</v>
      </c>
      <c r="B553" s="41" t="s">
        <v>154</v>
      </c>
      <c r="C553" s="41" t="s">
        <v>220</v>
      </c>
      <c r="D553" s="108" t="s">
        <v>552</v>
      </c>
      <c r="E553" s="42">
        <v>500</v>
      </c>
      <c r="G553" s="42">
        <f t="shared" si="9"/>
        <v>-500</v>
      </c>
      <c r="H553" s="49" t="s">
        <v>837</v>
      </c>
    </row>
    <row r="554" spans="1:8" ht="12.75" customHeight="1" x14ac:dyDescent="0.2">
      <c r="A554" s="16">
        <v>42458</v>
      </c>
      <c r="B554" s="41" t="s">
        <v>40</v>
      </c>
      <c r="C554" s="41" t="s">
        <v>203</v>
      </c>
      <c r="D554" s="108" t="s">
        <v>553</v>
      </c>
      <c r="E554" s="42">
        <v>7375</v>
      </c>
      <c r="G554" s="42">
        <f t="shared" si="9"/>
        <v>-7375</v>
      </c>
      <c r="H554" s="49" t="s">
        <v>837</v>
      </c>
    </row>
    <row r="555" spans="1:8" ht="12.75" customHeight="1" x14ac:dyDescent="0.2">
      <c r="A555" s="16">
        <v>42458</v>
      </c>
      <c r="B555" s="41" t="s">
        <v>40</v>
      </c>
      <c r="C555" s="41" t="s">
        <v>929</v>
      </c>
      <c r="D555" s="108" t="s">
        <v>554</v>
      </c>
      <c r="E555" s="42">
        <v>300</v>
      </c>
      <c r="G555" s="42">
        <f t="shared" si="9"/>
        <v>-300</v>
      </c>
      <c r="H555" s="49" t="s">
        <v>837</v>
      </c>
    </row>
    <row r="556" spans="1:8" x14ac:dyDescent="0.2">
      <c r="A556" s="16">
        <v>42458</v>
      </c>
      <c r="B556" s="41" t="s">
        <v>40</v>
      </c>
      <c r="C556" s="41" t="s">
        <v>555</v>
      </c>
      <c r="D556" s="108" t="s">
        <v>557</v>
      </c>
      <c r="E556" s="42">
        <v>1000000</v>
      </c>
      <c r="G556" s="42">
        <f t="shared" si="9"/>
        <v>-1000000</v>
      </c>
      <c r="H556" s="49" t="s">
        <v>837</v>
      </c>
    </row>
    <row r="557" spans="1:8" ht="12.75" customHeight="1" x14ac:dyDescent="0.2">
      <c r="A557" s="16">
        <v>42458</v>
      </c>
      <c r="B557" s="41" t="s">
        <v>40</v>
      </c>
      <c r="C557" s="41" t="s">
        <v>248</v>
      </c>
      <c r="D557" s="108" t="s">
        <v>370</v>
      </c>
      <c r="E557" s="42">
        <v>15000</v>
      </c>
      <c r="G557" s="42">
        <f t="shared" si="9"/>
        <v>-15000</v>
      </c>
      <c r="H557" s="49" t="s">
        <v>837</v>
      </c>
    </row>
    <row r="558" spans="1:8" ht="12.75" customHeight="1" x14ac:dyDescent="0.2">
      <c r="A558" s="16">
        <v>42458</v>
      </c>
      <c r="B558" s="41" t="s">
        <v>40</v>
      </c>
      <c r="C558" s="41" t="s">
        <v>1167</v>
      </c>
      <c r="D558" s="788" t="s">
        <v>558</v>
      </c>
      <c r="E558" s="42">
        <v>10000</v>
      </c>
      <c r="G558" s="42">
        <f t="shared" si="9"/>
        <v>-10000</v>
      </c>
      <c r="H558" s="49" t="s">
        <v>837</v>
      </c>
    </row>
    <row r="559" spans="1:8" x14ac:dyDescent="0.2">
      <c r="A559" s="16">
        <v>42458</v>
      </c>
      <c r="B559" s="41" t="s">
        <v>16</v>
      </c>
      <c r="C559" s="41" t="s">
        <v>1167</v>
      </c>
      <c r="D559" s="108" t="s">
        <v>568</v>
      </c>
      <c r="E559" s="42">
        <v>2000</v>
      </c>
      <c r="G559" s="42">
        <f t="shared" si="9"/>
        <v>-2000</v>
      </c>
      <c r="H559" s="49" t="s">
        <v>837</v>
      </c>
    </row>
    <row r="560" spans="1:8" x14ac:dyDescent="0.2">
      <c r="A560" s="16">
        <v>42459</v>
      </c>
      <c r="B560" s="41" t="s">
        <v>40</v>
      </c>
      <c r="C560" s="41" t="s">
        <v>1167</v>
      </c>
      <c r="D560" s="788" t="s">
        <v>563</v>
      </c>
      <c r="E560" s="42">
        <v>1000</v>
      </c>
      <c r="G560" s="42">
        <f t="shared" si="9"/>
        <v>-1000</v>
      </c>
      <c r="H560" s="49" t="s">
        <v>837</v>
      </c>
    </row>
    <row r="561" spans="1:8" x14ac:dyDescent="0.2">
      <c r="A561" s="16">
        <v>42459</v>
      </c>
      <c r="B561" s="41" t="s">
        <v>40</v>
      </c>
      <c r="C561" s="41" t="s">
        <v>1167</v>
      </c>
      <c r="D561" s="788" t="s">
        <v>564</v>
      </c>
      <c r="E561" s="42">
        <v>1000</v>
      </c>
      <c r="G561" s="42">
        <f t="shared" si="9"/>
        <v>-1000</v>
      </c>
      <c r="H561" s="49" t="s">
        <v>837</v>
      </c>
    </row>
    <row r="562" spans="1:8" x14ac:dyDescent="0.2">
      <c r="A562" s="16">
        <v>42459</v>
      </c>
      <c r="B562" s="41" t="s">
        <v>25</v>
      </c>
      <c r="C562" s="41" t="s">
        <v>1894</v>
      </c>
      <c r="D562" s="108" t="s">
        <v>570</v>
      </c>
      <c r="E562" s="42">
        <v>5000</v>
      </c>
      <c r="G562" s="42">
        <f t="shared" si="9"/>
        <v>-5000</v>
      </c>
      <c r="H562" s="49" t="s">
        <v>837</v>
      </c>
    </row>
    <row r="563" spans="1:8" x14ac:dyDescent="0.2">
      <c r="A563" s="16">
        <v>42459</v>
      </c>
      <c r="B563" s="41" t="s">
        <v>154</v>
      </c>
      <c r="C563" s="41" t="s">
        <v>406</v>
      </c>
      <c r="D563" s="791" t="s">
        <v>571</v>
      </c>
      <c r="E563" s="42">
        <v>63500</v>
      </c>
      <c r="G563" s="42">
        <f t="shared" si="9"/>
        <v>-63500</v>
      </c>
      <c r="H563" s="49" t="s">
        <v>837</v>
      </c>
    </row>
    <row r="564" spans="1:8" x14ac:dyDescent="0.2">
      <c r="A564" s="16">
        <v>42459</v>
      </c>
      <c r="B564" s="41" t="s">
        <v>40</v>
      </c>
      <c r="C564" s="41" t="s">
        <v>406</v>
      </c>
      <c r="D564" s="791" t="s">
        <v>571</v>
      </c>
      <c r="E564" s="42">
        <v>63500</v>
      </c>
      <c r="G564" s="42">
        <f t="shared" si="9"/>
        <v>-63500</v>
      </c>
      <c r="H564" s="49" t="s">
        <v>837</v>
      </c>
    </row>
    <row r="565" spans="1:8" x14ac:dyDescent="0.2">
      <c r="A565" s="16">
        <v>42459</v>
      </c>
      <c r="B565" s="41" t="s">
        <v>40</v>
      </c>
      <c r="C565" s="41" t="s">
        <v>372</v>
      </c>
      <c r="D565" s="108" t="s">
        <v>373</v>
      </c>
      <c r="E565" s="42">
        <v>20900</v>
      </c>
      <c r="G565" s="42">
        <f t="shared" si="9"/>
        <v>-20900</v>
      </c>
      <c r="H565" s="49" t="s">
        <v>837</v>
      </c>
    </row>
    <row r="566" spans="1:8" x14ac:dyDescent="0.2">
      <c r="A566" s="16">
        <v>42459</v>
      </c>
      <c r="B566" s="41" t="s">
        <v>16</v>
      </c>
      <c r="C566" s="41" t="s">
        <v>103</v>
      </c>
      <c r="D566" s="108" t="s">
        <v>572</v>
      </c>
      <c r="E566" s="42">
        <v>280</v>
      </c>
      <c r="G566" s="42">
        <f t="shared" si="9"/>
        <v>-280</v>
      </c>
      <c r="H566" s="49" t="s">
        <v>837</v>
      </c>
    </row>
    <row r="567" spans="1:8" x14ac:dyDescent="0.2">
      <c r="A567" s="16">
        <v>42459</v>
      </c>
      <c r="B567" s="41" t="s">
        <v>40</v>
      </c>
      <c r="C567" s="41" t="s">
        <v>573</v>
      </c>
      <c r="D567" s="108" t="s">
        <v>574</v>
      </c>
      <c r="E567" s="42">
        <v>67000</v>
      </c>
      <c r="G567" s="42">
        <f t="shared" si="9"/>
        <v>-67000</v>
      </c>
      <c r="H567" s="49" t="s">
        <v>837</v>
      </c>
    </row>
    <row r="568" spans="1:8" ht="12.75" customHeight="1" x14ac:dyDescent="0.2">
      <c r="A568" s="16">
        <v>42459</v>
      </c>
      <c r="B568" s="41" t="s">
        <v>40</v>
      </c>
      <c r="C568" s="41" t="s">
        <v>64</v>
      </c>
      <c r="D568" s="108" t="s">
        <v>575</v>
      </c>
      <c r="E568" s="42">
        <v>7800</v>
      </c>
      <c r="G568" s="42">
        <f t="shared" si="9"/>
        <v>-7800</v>
      </c>
      <c r="H568" s="49" t="s">
        <v>837</v>
      </c>
    </row>
    <row r="569" spans="1:8" x14ac:dyDescent="0.2">
      <c r="A569" s="16">
        <v>42459</v>
      </c>
      <c r="B569" s="41" t="s">
        <v>40</v>
      </c>
      <c r="C569" s="41" t="s">
        <v>220</v>
      </c>
      <c r="D569" s="108" t="s">
        <v>576</v>
      </c>
      <c r="E569" s="42">
        <v>6200</v>
      </c>
      <c r="G569" s="42">
        <f t="shared" si="9"/>
        <v>-6200</v>
      </c>
      <c r="H569" s="49" t="s">
        <v>837</v>
      </c>
    </row>
    <row r="570" spans="1:8" x14ac:dyDescent="0.2">
      <c r="A570" s="16">
        <v>42459</v>
      </c>
      <c r="B570" s="41" t="s">
        <v>40</v>
      </c>
      <c r="C570" s="41" t="s">
        <v>14</v>
      </c>
      <c r="D570" s="108" t="s">
        <v>577</v>
      </c>
      <c r="E570" s="42">
        <v>4400</v>
      </c>
      <c r="G570" s="42">
        <f t="shared" si="9"/>
        <v>-4400</v>
      </c>
      <c r="H570" s="49" t="s">
        <v>837</v>
      </c>
    </row>
    <row r="571" spans="1:8" x14ac:dyDescent="0.2">
      <c r="A571" s="16">
        <v>42459</v>
      </c>
      <c r="B571" s="41" t="s">
        <v>18</v>
      </c>
      <c r="C571" s="41" t="s">
        <v>111</v>
      </c>
      <c r="D571" s="108" t="s">
        <v>578</v>
      </c>
      <c r="E571" s="42">
        <v>3460</v>
      </c>
      <c r="G571" s="42">
        <f t="shared" si="9"/>
        <v>-3460</v>
      </c>
      <c r="H571" s="49" t="s">
        <v>837</v>
      </c>
    </row>
    <row r="572" spans="1:8" x14ac:dyDescent="0.2">
      <c r="A572" s="16">
        <v>42459</v>
      </c>
      <c r="B572" s="41" t="s">
        <v>22</v>
      </c>
      <c r="C572" s="41" t="s">
        <v>111</v>
      </c>
      <c r="D572" s="108" t="s">
        <v>579</v>
      </c>
      <c r="E572" s="42">
        <v>4930</v>
      </c>
      <c r="G572" s="42">
        <f t="shared" si="9"/>
        <v>-4930</v>
      </c>
      <c r="H572" s="49" t="s">
        <v>837</v>
      </c>
    </row>
    <row r="573" spans="1:8" x14ac:dyDescent="0.2">
      <c r="A573" s="16">
        <v>42460</v>
      </c>
      <c r="B573" s="41" t="s">
        <v>37</v>
      </c>
      <c r="C573" s="41" t="s">
        <v>1167</v>
      </c>
      <c r="D573" s="788" t="s">
        <v>567</v>
      </c>
      <c r="E573" s="42">
        <v>1000</v>
      </c>
      <c r="G573" s="42">
        <f t="shared" si="9"/>
        <v>-1000</v>
      </c>
      <c r="H573" s="49" t="s">
        <v>837</v>
      </c>
    </row>
    <row r="574" spans="1:8" x14ac:dyDescent="0.2">
      <c r="A574" s="16">
        <v>42460</v>
      </c>
      <c r="B574" s="41" t="s">
        <v>40</v>
      </c>
      <c r="C574" s="41" t="s">
        <v>402</v>
      </c>
      <c r="D574" s="108" t="s">
        <v>569</v>
      </c>
      <c r="F574" s="42">
        <v>2500000</v>
      </c>
      <c r="G574" s="42">
        <f t="shared" si="9"/>
        <v>2500000</v>
      </c>
      <c r="H574" s="49" t="s">
        <v>837</v>
      </c>
    </row>
    <row r="575" spans="1:8" x14ac:dyDescent="0.2">
      <c r="A575" s="16">
        <v>42460</v>
      </c>
      <c r="B575" s="41" t="s">
        <v>40</v>
      </c>
      <c r="C575" s="41" t="s">
        <v>220</v>
      </c>
      <c r="D575" s="108" t="s">
        <v>88</v>
      </c>
      <c r="E575" s="42">
        <v>2050</v>
      </c>
      <c r="G575" s="42">
        <f t="shared" si="9"/>
        <v>-2050</v>
      </c>
      <c r="H575" s="49" t="s">
        <v>837</v>
      </c>
    </row>
    <row r="576" spans="1:8" x14ac:dyDescent="0.2">
      <c r="A576" s="16">
        <v>42460</v>
      </c>
      <c r="B576" s="41" t="s">
        <v>40</v>
      </c>
      <c r="C576" s="41" t="s">
        <v>221</v>
      </c>
      <c r="D576" s="108" t="s">
        <v>580</v>
      </c>
      <c r="E576" s="42">
        <v>8690</v>
      </c>
      <c r="G576" s="42">
        <f t="shared" si="9"/>
        <v>-8690</v>
      </c>
      <c r="H576" s="49" t="s">
        <v>837</v>
      </c>
    </row>
    <row r="577" spans="1:8" x14ac:dyDescent="0.2">
      <c r="A577" s="16">
        <v>42460</v>
      </c>
      <c r="B577" s="41" t="s">
        <v>40</v>
      </c>
      <c r="C577" s="41" t="s">
        <v>221</v>
      </c>
      <c r="D577" s="108" t="s">
        <v>581</v>
      </c>
      <c r="E577" s="42">
        <v>500</v>
      </c>
      <c r="G577" s="42">
        <f t="shared" si="9"/>
        <v>-500</v>
      </c>
      <c r="H577" s="49" t="s">
        <v>837</v>
      </c>
    </row>
    <row r="578" spans="1:8" x14ac:dyDescent="0.2">
      <c r="A578" s="16">
        <v>42460</v>
      </c>
      <c r="B578" s="41" t="s">
        <v>40</v>
      </c>
      <c r="C578" s="41" t="s">
        <v>64</v>
      </c>
      <c r="D578" s="108" t="s">
        <v>582</v>
      </c>
      <c r="E578" s="42">
        <v>2000</v>
      </c>
      <c r="G578" s="42">
        <f t="shared" si="9"/>
        <v>-2000</v>
      </c>
      <c r="H578" s="49" t="s">
        <v>837</v>
      </c>
    </row>
    <row r="579" spans="1:8" x14ac:dyDescent="0.2">
      <c r="A579" s="16">
        <v>42460</v>
      </c>
      <c r="B579" s="41" t="s">
        <v>40</v>
      </c>
      <c r="C579" s="41" t="s">
        <v>1897</v>
      </c>
      <c r="D579" s="108" t="s">
        <v>584</v>
      </c>
      <c r="E579" s="42">
        <v>500</v>
      </c>
      <c r="G579" s="42">
        <f t="shared" si="9"/>
        <v>-500</v>
      </c>
      <c r="H579" s="49" t="s">
        <v>837</v>
      </c>
    </row>
    <row r="580" spans="1:8" x14ac:dyDescent="0.2">
      <c r="A580" s="16">
        <v>42460</v>
      </c>
      <c r="B580" s="41" t="s">
        <v>402</v>
      </c>
      <c r="C580" s="41" t="s">
        <v>1875</v>
      </c>
      <c r="D580" s="108" t="s">
        <v>585</v>
      </c>
      <c r="E580" s="42">
        <v>8500</v>
      </c>
      <c r="G580" s="42">
        <f t="shared" si="9"/>
        <v>-8500</v>
      </c>
      <c r="H580" s="49" t="s">
        <v>837</v>
      </c>
    </row>
    <row r="581" spans="1:8" x14ac:dyDescent="0.2">
      <c r="A581" s="16">
        <v>42460</v>
      </c>
      <c r="B581" s="41" t="s">
        <v>22</v>
      </c>
      <c r="C581" s="41" t="s">
        <v>111</v>
      </c>
      <c r="D581" s="108" t="s">
        <v>586</v>
      </c>
      <c r="E581" s="42">
        <v>13500</v>
      </c>
      <c r="G581" s="42">
        <f t="shared" si="9"/>
        <v>-13500</v>
      </c>
      <c r="H581" s="49" t="s">
        <v>837</v>
      </c>
    </row>
    <row r="582" spans="1:8" x14ac:dyDescent="0.2">
      <c r="A582" s="16">
        <v>42461</v>
      </c>
      <c r="B582" s="41" t="s">
        <v>154</v>
      </c>
      <c r="C582" s="41" t="s">
        <v>414</v>
      </c>
      <c r="D582" s="108" t="s">
        <v>370</v>
      </c>
      <c r="E582" s="42">
        <v>10000</v>
      </c>
      <c r="G582" s="42">
        <f t="shared" si="9"/>
        <v>-10000</v>
      </c>
      <c r="H582" s="49" t="s">
        <v>838</v>
      </c>
    </row>
    <row r="583" spans="1:8" x14ac:dyDescent="0.2">
      <c r="A583" s="16">
        <v>42462</v>
      </c>
      <c r="B583" s="41" t="s">
        <v>40</v>
      </c>
      <c r="C583" s="41" t="s">
        <v>64</v>
      </c>
      <c r="D583" s="108" t="s">
        <v>110</v>
      </c>
      <c r="E583" s="42">
        <v>1000</v>
      </c>
      <c r="G583" s="42">
        <f t="shared" si="9"/>
        <v>-1000</v>
      </c>
      <c r="H583" s="49" t="s">
        <v>838</v>
      </c>
    </row>
    <row r="584" spans="1:8" x14ac:dyDescent="0.2">
      <c r="A584" s="16">
        <v>42462</v>
      </c>
      <c r="B584" s="41" t="s">
        <v>154</v>
      </c>
      <c r="C584" s="41" t="s">
        <v>220</v>
      </c>
      <c r="D584" s="108" t="s">
        <v>591</v>
      </c>
      <c r="E584" s="42">
        <v>1225</v>
      </c>
      <c r="G584" s="42">
        <f t="shared" ref="G584:G588" si="10">F584-E584</f>
        <v>-1225</v>
      </c>
      <c r="H584" s="49" t="s">
        <v>838</v>
      </c>
    </row>
    <row r="585" spans="1:8" x14ac:dyDescent="0.2">
      <c r="A585" s="16">
        <v>42462</v>
      </c>
      <c r="B585" s="41" t="s">
        <v>154</v>
      </c>
      <c r="C585" s="41" t="s">
        <v>220</v>
      </c>
      <c r="E585" s="42">
        <v>1225</v>
      </c>
      <c r="G585" s="42">
        <f t="shared" si="10"/>
        <v>-1225</v>
      </c>
      <c r="H585" s="49" t="s">
        <v>838</v>
      </c>
    </row>
    <row r="586" spans="1:8" x14ac:dyDescent="0.2">
      <c r="A586" s="16">
        <v>42462</v>
      </c>
      <c r="B586" s="41" t="s">
        <v>40</v>
      </c>
      <c r="C586" s="41" t="s">
        <v>895</v>
      </c>
      <c r="D586" s="108" t="s">
        <v>370</v>
      </c>
      <c r="E586" s="42">
        <v>236000</v>
      </c>
      <c r="G586" s="42">
        <f t="shared" si="10"/>
        <v>-236000</v>
      </c>
      <c r="H586" s="49" t="s">
        <v>838</v>
      </c>
    </row>
    <row r="587" spans="1:8" x14ac:dyDescent="0.2">
      <c r="A587" s="16">
        <v>42462</v>
      </c>
      <c r="B587" s="41" t="s">
        <v>40</v>
      </c>
      <c r="C587" s="41" t="s">
        <v>248</v>
      </c>
      <c r="D587" s="108" t="s">
        <v>370</v>
      </c>
      <c r="E587" s="42">
        <v>15000</v>
      </c>
      <c r="G587" s="42">
        <f t="shared" si="10"/>
        <v>-15000</v>
      </c>
      <c r="H587" s="49" t="s">
        <v>838</v>
      </c>
    </row>
    <row r="588" spans="1:8" x14ac:dyDescent="0.2">
      <c r="A588" s="16">
        <v>42462</v>
      </c>
      <c r="B588" s="64" t="s">
        <v>154</v>
      </c>
      <c r="C588" s="41" t="s">
        <v>601</v>
      </c>
      <c r="D588" s="108" t="s">
        <v>370</v>
      </c>
      <c r="E588" s="65">
        <v>1500</v>
      </c>
      <c r="G588" s="42">
        <f t="shared" si="10"/>
        <v>-1500</v>
      </c>
      <c r="H588" s="49" t="s">
        <v>838</v>
      </c>
    </row>
    <row r="589" spans="1:8" x14ac:dyDescent="0.2">
      <c r="A589" s="16">
        <v>42462</v>
      </c>
      <c r="B589" s="64" t="s">
        <v>40</v>
      </c>
      <c r="C589" s="41" t="s">
        <v>601</v>
      </c>
      <c r="D589" s="108" t="s">
        <v>370</v>
      </c>
      <c r="E589" s="65">
        <v>50000</v>
      </c>
      <c r="H589" s="49" t="s">
        <v>838</v>
      </c>
    </row>
    <row r="590" spans="1:8" x14ac:dyDescent="0.2">
      <c r="A590" s="16">
        <v>42462</v>
      </c>
      <c r="B590" s="41" t="s">
        <v>402</v>
      </c>
      <c r="C590" s="41" t="s">
        <v>3011</v>
      </c>
      <c r="D590" s="108" t="s">
        <v>370</v>
      </c>
      <c r="E590" s="42">
        <v>63035</v>
      </c>
      <c r="G590" s="42">
        <f t="shared" ref="G590:G653" si="11">F590-E590</f>
        <v>-63035</v>
      </c>
      <c r="H590" s="49" t="s">
        <v>838</v>
      </c>
    </row>
    <row r="591" spans="1:8" x14ac:dyDescent="0.2">
      <c r="A591" s="16">
        <v>42462</v>
      </c>
      <c r="B591" s="41" t="s">
        <v>154</v>
      </c>
      <c r="C591" s="41" t="s">
        <v>3011</v>
      </c>
      <c r="D591" s="108" t="s">
        <v>370</v>
      </c>
      <c r="E591" s="42">
        <v>262920</v>
      </c>
      <c r="G591" s="42">
        <f t="shared" si="11"/>
        <v>-262920</v>
      </c>
      <c r="H591" s="49" t="s">
        <v>838</v>
      </c>
    </row>
    <row r="592" spans="1:8" x14ac:dyDescent="0.2">
      <c r="A592" s="16">
        <v>42462</v>
      </c>
      <c r="B592" s="41" t="s">
        <v>40</v>
      </c>
      <c r="C592" s="41" t="s">
        <v>1167</v>
      </c>
      <c r="D592" s="789" t="s">
        <v>602</v>
      </c>
      <c r="E592" s="42">
        <v>1000</v>
      </c>
      <c r="G592" s="42">
        <f t="shared" si="11"/>
        <v>-1000</v>
      </c>
      <c r="H592" s="49" t="s">
        <v>838</v>
      </c>
    </row>
    <row r="593" spans="1:8" x14ac:dyDescent="0.2">
      <c r="A593" s="16">
        <v>42462</v>
      </c>
      <c r="B593" s="41" t="s">
        <v>40</v>
      </c>
      <c r="C593" s="41" t="s">
        <v>372</v>
      </c>
      <c r="D593" s="108" t="s">
        <v>370</v>
      </c>
      <c r="E593" s="42">
        <v>36883</v>
      </c>
      <c r="G593" s="42">
        <f t="shared" si="11"/>
        <v>-36883</v>
      </c>
      <c r="H593" s="49" t="s">
        <v>838</v>
      </c>
    </row>
    <row r="594" spans="1:8" x14ac:dyDescent="0.2">
      <c r="A594" s="16">
        <v>42462</v>
      </c>
      <c r="B594" s="41" t="s">
        <v>16</v>
      </c>
      <c r="C594" s="41" t="s">
        <v>103</v>
      </c>
      <c r="D594" s="108" t="s">
        <v>603</v>
      </c>
      <c r="E594" s="42">
        <v>36000</v>
      </c>
      <c r="G594" s="42">
        <f t="shared" si="11"/>
        <v>-36000</v>
      </c>
      <c r="H594" s="49" t="s">
        <v>838</v>
      </c>
    </row>
    <row r="595" spans="1:8" ht="12.75" customHeight="1" x14ac:dyDescent="0.2">
      <c r="A595" s="16">
        <v>42462</v>
      </c>
      <c r="B595" s="41" t="s">
        <v>16</v>
      </c>
      <c r="C595" s="41" t="s">
        <v>14</v>
      </c>
      <c r="D595" s="108" t="s">
        <v>604</v>
      </c>
      <c r="E595" s="42">
        <v>670</v>
      </c>
      <c r="G595" s="42">
        <f t="shared" si="11"/>
        <v>-670</v>
      </c>
      <c r="H595" s="49" t="s">
        <v>838</v>
      </c>
    </row>
    <row r="596" spans="1:8" x14ac:dyDescent="0.2">
      <c r="A596" s="16">
        <v>42464</v>
      </c>
      <c r="B596" s="41" t="s">
        <v>154</v>
      </c>
      <c r="C596" s="41" t="s">
        <v>154</v>
      </c>
      <c r="D596" s="108" t="s">
        <v>587</v>
      </c>
      <c r="F596" s="42">
        <v>1996682</v>
      </c>
      <c r="G596" s="42">
        <f t="shared" si="11"/>
        <v>1996682</v>
      </c>
      <c r="H596" s="49" t="s">
        <v>838</v>
      </c>
    </row>
    <row r="597" spans="1:8" x14ac:dyDescent="0.2">
      <c r="A597" s="16">
        <v>42464</v>
      </c>
      <c r="B597" s="41" t="s">
        <v>18</v>
      </c>
      <c r="C597" s="41" t="s">
        <v>668</v>
      </c>
      <c r="D597" s="108" t="s">
        <v>605</v>
      </c>
      <c r="E597" s="42">
        <v>2520</v>
      </c>
      <c r="G597" s="42">
        <f t="shared" si="11"/>
        <v>-2520</v>
      </c>
      <c r="H597" s="49" t="s">
        <v>838</v>
      </c>
    </row>
    <row r="598" spans="1:8" x14ac:dyDescent="0.2">
      <c r="A598" s="16">
        <v>42464</v>
      </c>
      <c r="B598" s="41" t="s">
        <v>82</v>
      </c>
      <c r="C598" s="41" t="s">
        <v>668</v>
      </c>
      <c r="D598" s="108" t="s">
        <v>606</v>
      </c>
      <c r="E598" s="42">
        <v>1185</v>
      </c>
      <c r="G598" s="42">
        <f t="shared" si="11"/>
        <v>-1185</v>
      </c>
      <c r="H598" s="49" t="s">
        <v>838</v>
      </c>
    </row>
    <row r="599" spans="1:8" x14ac:dyDescent="0.2">
      <c r="A599" s="16">
        <v>42464</v>
      </c>
      <c r="B599" s="41" t="s">
        <v>40</v>
      </c>
      <c r="C599" s="41" t="s">
        <v>668</v>
      </c>
      <c r="D599" s="108" t="s">
        <v>606</v>
      </c>
      <c r="E599" s="42">
        <v>1900</v>
      </c>
      <c r="G599" s="42">
        <f t="shared" si="11"/>
        <v>-1900</v>
      </c>
      <c r="H599" s="49" t="s">
        <v>838</v>
      </c>
    </row>
    <row r="600" spans="1:8" ht="12.75" customHeight="1" x14ac:dyDescent="0.2">
      <c r="A600" s="16">
        <v>42464</v>
      </c>
      <c r="B600" s="41" t="s">
        <v>154</v>
      </c>
      <c r="C600" s="41" t="s">
        <v>220</v>
      </c>
      <c r="D600" s="108" t="s">
        <v>286</v>
      </c>
      <c r="E600" s="42">
        <v>2650</v>
      </c>
      <c r="G600" s="42">
        <f t="shared" si="11"/>
        <v>-2650</v>
      </c>
      <c r="H600" s="49" t="s">
        <v>838</v>
      </c>
    </row>
    <row r="601" spans="1:8" ht="12.75" customHeight="1" x14ac:dyDescent="0.2">
      <c r="A601" s="16">
        <v>42464</v>
      </c>
      <c r="B601" s="41" t="s">
        <v>154</v>
      </c>
      <c r="C601" s="41" t="s">
        <v>414</v>
      </c>
      <c r="D601" s="108" t="s">
        <v>370</v>
      </c>
      <c r="E601" s="42">
        <v>100000</v>
      </c>
      <c r="G601" s="42">
        <f t="shared" si="11"/>
        <v>-100000</v>
      </c>
      <c r="H601" s="49" t="s">
        <v>838</v>
      </c>
    </row>
    <row r="602" spans="1:8" x14ac:dyDescent="0.2">
      <c r="A602" s="16">
        <v>42464</v>
      </c>
      <c r="B602" s="41" t="s">
        <v>40</v>
      </c>
      <c r="C602" s="41" t="s">
        <v>1167</v>
      </c>
      <c r="D602" s="789" t="s">
        <v>608</v>
      </c>
      <c r="E602" s="42">
        <v>20721</v>
      </c>
      <c r="G602" s="42">
        <f t="shared" si="11"/>
        <v>-20721</v>
      </c>
      <c r="H602" s="49" t="s">
        <v>838</v>
      </c>
    </row>
    <row r="603" spans="1:8" ht="12.75" customHeight="1" x14ac:dyDescent="0.2">
      <c r="A603" s="16">
        <v>42464</v>
      </c>
      <c r="B603" s="41" t="s">
        <v>40</v>
      </c>
      <c r="C603" s="41" t="s">
        <v>251</v>
      </c>
      <c r="D603" s="108" t="s">
        <v>370</v>
      </c>
      <c r="E603" s="42">
        <v>100000</v>
      </c>
      <c r="G603" s="42">
        <f t="shared" si="11"/>
        <v>-100000</v>
      </c>
      <c r="H603" s="49" t="s">
        <v>838</v>
      </c>
    </row>
    <row r="604" spans="1:8" ht="12.75" customHeight="1" x14ac:dyDescent="0.2">
      <c r="A604" s="16">
        <v>42464</v>
      </c>
      <c r="B604" s="41" t="s">
        <v>40</v>
      </c>
      <c r="C604" s="41" t="s">
        <v>14</v>
      </c>
      <c r="D604" s="108" t="s">
        <v>610</v>
      </c>
      <c r="E604" s="42">
        <v>1000</v>
      </c>
      <c r="G604" s="42">
        <f t="shared" si="11"/>
        <v>-1000</v>
      </c>
      <c r="H604" s="49" t="s">
        <v>838</v>
      </c>
    </row>
    <row r="605" spans="1:8" x14ac:dyDescent="0.2">
      <c r="A605" s="16">
        <v>42464</v>
      </c>
      <c r="B605" s="41" t="s">
        <v>16</v>
      </c>
      <c r="C605" s="41" t="s">
        <v>103</v>
      </c>
      <c r="D605" s="108" t="s">
        <v>611</v>
      </c>
      <c r="E605" s="42">
        <v>3000</v>
      </c>
      <c r="G605" s="42">
        <f t="shared" si="11"/>
        <v>-3000</v>
      </c>
      <c r="H605" s="49" t="s">
        <v>838</v>
      </c>
    </row>
    <row r="606" spans="1:8" x14ac:dyDescent="0.2">
      <c r="A606" s="16">
        <v>42464</v>
      </c>
      <c r="B606" s="41" t="s">
        <v>82</v>
      </c>
      <c r="C606" s="41" t="s">
        <v>612</v>
      </c>
      <c r="D606" s="108" t="s">
        <v>613</v>
      </c>
      <c r="E606" s="42">
        <v>50000</v>
      </c>
      <c r="G606" s="42">
        <f t="shared" si="11"/>
        <v>-50000</v>
      </c>
      <c r="H606" s="49" t="s">
        <v>838</v>
      </c>
    </row>
    <row r="607" spans="1:8" x14ac:dyDescent="0.2">
      <c r="A607" s="16">
        <v>42465</v>
      </c>
      <c r="B607" s="41" t="s">
        <v>40</v>
      </c>
      <c r="C607" s="41" t="s">
        <v>523</v>
      </c>
      <c r="D607" s="108" t="s">
        <v>370</v>
      </c>
      <c r="E607" s="42">
        <v>1500</v>
      </c>
      <c r="G607" s="42">
        <f t="shared" si="11"/>
        <v>-1500</v>
      </c>
      <c r="H607" s="49" t="s">
        <v>838</v>
      </c>
    </row>
    <row r="608" spans="1:8" x14ac:dyDescent="0.2">
      <c r="A608" s="16">
        <v>42465</v>
      </c>
      <c r="B608" s="41" t="s">
        <v>18</v>
      </c>
      <c r="C608" s="41" t="s">
        <v>372</v>
      </c>
      <c r="D608" s="108" t="s">
        <v>607</v>
      </c>
      <c r="E608" s="42">
        <v>1100</v>
      </c>
      <c r="G608" s="42">
        <f t="shared" si="11"/>
        <v>-1100</v>
      </c>
      <c r="H608" s="49" t="s">
        <v>838</v>
      </c>
    </row>
    <row r="609" spans="1:8" x14ac:dyDescent="0.2">
      <c r="A609" s="16">
        <v>42465</v>
      </c>
      <c r="B609" s="41" t="s">
        <v>154</v>
      </c>
      <c r="C609" s="41" t="s">
        <v>309</v>
      </c>
      <c r="D609" s="108" t="s">
        <v>614</v>
      </c>
      <c r="E609" s="42">
        <v>3560</v>
      </c>
      <c r="G609" s="42">
        <f t="shared" si="11"/>
        <v>-3560</v>
      </c>
      <c r="H609" s="49" t="s">
        <v>838</v>
      </c>
    </row>
    <row r="610" spans="1:8" x14ac:dyDescent="0.2">
      <c r="A610" s="16">
        <v>42465</v>
      </c>
      <c r="B610" s="41" t="s">
        <v>40</v>
      </c>
      <c r="C610" s="41" t="s">
        <v>1230</v>
      </c>
      <c r="D610" s="108" t="s">
        <v>350</v>
      </c>
      <c r="E610" s="42">
        <v>17500</v>
      </c>
      <c r="G610" s="42">
        <f t="shared" si="11"/>
        <v>-17500</v>
      </c>
      <c r="H610" s="49" t="s">
        <v>838</v>
      </c>
    </row>
    <row r="611" spans="1:8" x14ac:dyDescent="0.2">
      <c r="A611" s="16">
        <v>42465</v>
      </c>
      <c r="B611" s="41" t="s">
        <v>40</v>
      </c>
      <c r="C611" s="41" t="s">
        <v>1230</v>
      </c>
      <c r="D611" s="108" t="s">
        <v>209</v>
      </c>
      <c r="E611" s="42">
        <v>5862</v>
      </c>
      <c r="G611" s="42">
        <f t="shared" si="11"/>
        <v>-5862</v>
      </c>
      <c r="H611" s="49" t="s">
        <v>838</v>
      </c>
    </row>
    <row r="612" spans="1:8" x14ac:dyDescent="0.2">
      <c r="A612" s="16">
        <v>42465</v>
      </c>
      <c r="B612" s="41" t="s">
        <v>40</v>
      </c>
      <c r="C612" s="41" t="s">
        <v>1230</v>
      </c>
      <c r="D612" s="108" t="s">
        <v>210</v>
      </c>
      <c r="E612" s="42">
        <v>8605</v>
      </c>
      <c r="G612" s="42">
        <f t="shared" si="11"/>
        <v>-8605</v>
      </c>
      <c r="H612" s="49" t="s">
        <v>838</v>
      </c>
    </row>
    <row r="613" spans="1:8" x14ac:dyDescent="0.2">
      <c r="A613" s="16">
        <v>42465</v>
      </c>
      <c r="B613" s="41" t="s">
        <v>40</v>
      </c>
      <c r="C613" s="41" t="s">
        <v>1230</v>
      </c>
      <c r="D613" s="108" t="s">
        <v>208</v>
      </c>
      <c r="E613" s="42">
        <v>10873</v>
      </c>
      <c r="G613" s="42">
        <f t="shared" si="11"/>
        <v>-10873</v>
      </c>
      <c r="H613" s="49" t="s">
        <v>838</v>
      </c>
    </row>
    <row r="614" spans="1:8" x14ac:dyDescent="0.2">
      <c r="A614" s="16">
        <v>42465</v>
      </c>
      <c r="B614" s="41" t="s">
        <v>40</v>
      </c>
      <c r="C614" s="41" t="s">
        <v>1230</v>
      </c>
      <c r="D614" s="108" t="s">
        <v>661</v>
      </c>
      <c r="E614" s="42">
        <v>8938</v>
      </c>
      <c r="G614" s="42">
        <f t="shared" si="11"/>
        <v>-8938</v>
      </c>
      <c r="H614" s="49" t="s">
        <v>838</v>
      </c>
    </row>
    <row r="615" spans="1:8" x14ac:dyDescent="0.2">
      <c r="A615" s="16">
        <v>42465</v>
      </c>
      <c r="B615" s="41" t="s">
        <v>40</v>
      </c>
      <c r="C615" s="41" t="s">
        <v>1230</v>
      </c>
      <c r="D615" s="108" t="s">
        <v>290</v>
      </c>
      <c r="E615" s="42">
        <v>16258</v>
      </c>
      <c r="G615" s="42">
        <f t="shared" si="11"/>
        <v>-16258</v>
      </c>
      <c r="H615" s="49" t="s">
        <v>838</v>
      </c>
    </row>
    <row r="616" spans="1:8" x14ac:dyDescent="0.2">
      <c r="A616" s="16">
        <v>42465</v>
      </c>
      <c r="B616" s="41" t="s">
        <v>40</v>
      </c>
      <c r="C616" s="41" t="s">
        <v>1230</v>
      </c>
      <c r="D616" s="108" t="s">
        <v>648</v>
      </c>
      <c r="E616" s="42">
        <v>12141</v>
      </c>
      <c r="G616" s="42">
        <f t="shared" si="11"/>
        <v>-12141</v>
      </c>
      <c r="H616" s="49" t="s">
        <v>838</v>
      </c>
    </row>
    <row r="617" spans="1:8" x14ac:dyDescent="0.2">
      <c r="A617" s="16">
        <v>42465</v>
      </c>
      <c r="B617" s="41" t="s">
        <v>40</v>
      </c>
      <c r="C617" s="41" t="s">
        <v>1230</v>
      </c>
      <c r="D617" s="108" t="s">
        <v>205</v>
      </c>
      <c r="E617" s="42">
        <v>27500</v>
      </c>
      <c r="G617" s="42">
        <f t="shared" si="11"/>
        <v>-27500</v>
      </c>
      <c r="H617" s="49" t="s">
        <v>838</v>
      </c>
    </row>
    <row r="618" spans="1:8" x14ac:dyDescent="0.2">
      <c r="A618" s="16">
        <v>42465</v>
      </c>
      <c r="B618" s="41" t="s">
        <v>40</v>
      </c>
      <c r="C618" s="41" t="s">
        <v>1230</v>
      </c>
      <c r="D618" s="108" t="s">
        <v>202</v>
      </c>
      <c r="E618" s="42">
        <v>15585</v>
      </c>
      <c r="G618" s="42">
        <f t="shared" si="11"/>
        <v>-15585</v>
      </c>
      <c r="H618" s="49" t="s">
        <v>838</v>
      </c>
    </row>
    <row r="619" spans="1:8" x14ac:dyDescent="0.2">
      <c r="A619" s="16">
        <v>42465</v>
      </c>
      <c r="B619" s="41" t="s">
        <v>40</v>
      </c>
      <c r="C619" s="41" t="s">
        <v>1230</v>
      </c>
      <c r="D619" s="108" t="s">
        <v>453</v>
      </c>
      <c r="E619" s="42">
        <v>8050</v>
      </c>
      <c r="G619" s="42">
        <f t="shared" si="11"/>
        <v>-8050</v>
      </c>
      <c r="H619" s="49" t="s">
        <v>838</v>
      </c>
    </row>
    <row r="620" spans="1:8" x14ac:dyDescent="0.2">
      <c r="A620" s="16">
        <v>42465</v>
      </c>
      <c r="B620" s="41" t="s">
        <v>40</v>
      </c>
      <c r="C620" s="41" t="s">
        <v>1230</v>
      </c>
      <c r="D620" s="108" t="s">
        <v>80</v>
      </c>
      <c r="E620" s="42">
        <v>40000</v>
      </c>
      <c r="G620" s="42">
        <f t="shared" si="11"/>
        <v>-40000</v>
      </c>
      <c r="H620" s="49" t="s">
        <v>838</v>
      </c>
    </row>
    <row r="621" spans="1:8" x14ac:dyDescent="0.2">
      <c r="A621" s="16">
        <v>42465</v>
      </c>
      <c r="B621" s="41" t="s">
        <v>40</v>
      </c>
      <c r="C621" s="41" t="s">
        <v>1230</v>
      </c>
      <c r="D621" s="108" t="s">
        <v>372</v>
      </c>
      <c r="E621" s="42">
        <v>50000</v>
      </c>
      <c r="G621" s="42">
        <f t="shared" si="11"/>
        <v>-50000</v>
      </c>
      <c r="H621" s="49" t="s">
        <v>838</v>
      </c>
    </row>
    <row r="622" spans="1:8" x14ac:dyDescent="0.2">
      <c r="A622" s="16">
        <v>42465</v>
      </c>
      <c r="B622" s="41" t="s">
        <v>154</v>
      </c>
      <c r="C622" s="41" t="s">
        <v>1230</v>
      </c>
      <c r="D622" s="108" t="s">
        <v>220</v>
      </c>
      <c r="E622" s="42">
        <v>11000</v>
      </c>
      <c r="G622" s="42">
        <f t="shared" si="11"/>
        <v>-11000</v>
      </c>
      <c r="H622" s="49" t="s">
        <v>838</v>
      </c>
    </row>
    <row r="623" spans="1:8" x14ac:dyDescent="0.2">
      <c r="A623" s="16">
        <v>42465</v>
      </c>
      <c r="B623" s="41" t="s">
        <v>16</v>
      </c>
      <c r="C623" s="41" t="s">
        <v>1230</v>
      </c>
      <c r="D623" s="108" t="s">
        <v>457</v>
      </c>
      <c r="E623" s="42">
        <v>2800</v>
      </c>
      <c r="G623" s="42">
        <f t="shared" si="11"/>
        <v>-2800</v>
      </c>
      <c r="H623" s="49" t="s">
        <v>838</v>
      </c>
    </row>
    <row r="624" spans="1:8" x14ac:dyDescent="0.2">
      <c r="A624" s="16">
        <v>42465</v>
      </c>
      <c r="B624" s="41" t="s">
        <v>25</v>
      </c>
      <c r="C624" s="41" t="s">
        <v>1230</v>
      </c>
      <c r="D624" s="108" t="s">
        <v>663</v>
      </c>
      <c r="E624" s="42">
        <v>9000</v>
      </c>
      <c r="G624" s="42">
        <f t="shared" si="11"/>
        <v>-9000</v>
      </c>
      <c r="H624" s="49" t="s">
        <v>838</v>
      </c>
    </row>
    <row r="625" spans="1:8" x14ac:dyDescent="0.2">
      <c r="A625" s="16">
        <v>42465</v>
      </c>
      <c r="B625" s="41" t="s">
        <v>25</v>
      </c>
      <c r="C625" s="41" t="s">
        <v>1230</v>
      </c>
      <c r="D625" s="108" t="s">
        <v>664</v>
      </c>
      <c r="E625" s="42">
        <v>5000</v>
      </c>
      <c r="G625" s="42">
        <f t="shared" si="11"/>
        <v>-5000</v>
      </c>
      <c r="H625" s="49" t="s">
        <v>838</v>
      </c>
    </row>
    <row r="626" spans="1:8" x14ac:dyDescent="0.2">
      <c r="A626" s="16">
        <v>42465</v>
      </c>
      <c r="B626" s="41" t="s">
        <v>25</v>
      </c>
      <c r="C626" s="41" t="s">
        <v>1230</v>
      </c>
      <c r="D626" s="108" t="s">
        <v>665</v>
      </c>
      <c r="E626" s="42">
        <v>4000</v>
      </c>
      <c r="G626" s="42">
        <f t="shared" si="11"/>
        <v>-4000</v>
      </c>
      <c r="H626" s="49" t="s">
        <v>838</v>
      </c>
    </row>
    <row r="627" spans="1:8" x14ac:dyDescent="0.2">
      <c r="A627" s="16">
        <v>42465</v>
      </c>
      <c r="B627" s="41" t="s">
        <v>37</v>
      </c>
      <c r="C627" s="41" t="s">
        <v>1230</v>
      </c>
      <c r="D627" s="108" t="s">
        <v>666</v>
      </c>
      <c r="E627" s="42">
        <v>10288</v>
      </c>
      <c r="G627" s="42">
        <f t="shared" si="11"/>
        <v>-10288</v>
      </c>
      <c r="H627" s="49" t="s">
        <v>838</v>
      </c>
    </row>
    <row r="628" spans="1:8" x14ac:dyDescent="0.2">
      <c r="A628" s="16">
        <v>42465</v>
      </c>
      <c r="B628" s="41" t="s">
        <v>37</v>
      </c>
      <c r="C628" s="41" t="s">
        <v>1230</v>
      </c>
      <c r="D628" s="108" t="s">
        <v>196</v>
      </c>
      <c r="E628" s="42">
        <v>11540</v>
      </c>
      <c r="G628" s="42">
        <f t="shared" si="11"/>
        <v>-11540</v>
      </c>
      <c r="H628" s="49" t="s">
        <v>838</v>
      </c>
    </row>
    <row r="629" spans="1:8" x14ac:dyDescent="0.2">
      <c r="A629" s="16">
        <v>42465</v>
      </c>
      <c r="B629" s="41" t="s">
        <v>37</v>
      </c>
      <c r="C629" s="41" t="s">
        <v>1230</v>
      </c>
      <c r="D629" s="108" t="s">
        <v>195</v>
      </c>
      <c r="E629" s="42">
        <v>12071</v>
      </c>
      <c r="G629" s="42">
        <f t="shared" si="11"/>
        <v>-12071</v>
      </c>
      <c r="H629" s="49" t="s">
        <v>838</v>
      </c>
    </row>
    <row r="630" spans="1:8" x14ac:dyDescent="0.2">
      <c r="A630" s="16">
        <v>42465</v>
      </c>
      <c r="B630" s="41" t="s">
        <v>37</v>
      </c>
      <c r="C630" s="41" t="s">
        <v>1230</v>
      </c>
      <c r="D630" s="108" t="s">
        <v>194</v>
      </c>
      <c r="E630" s="42">
        <v>10911</v>
      </c>
      <c r="G630" s="42">
        <f t="shared" si="11"/>
        <v>-10911</v>
      </c>
      <c r="H630" s="49" t="s">
        <v>838</v>
      </c>
    </row>
    <row r="631" spans="1:8" x14ac:dyDescent="0.2">
      <c r="A631" s="16">
        <v>42465</v>
      </c>
      <c r="B631" s="41" t="s">
        <v>37</v>
      </c>
      <c r="C631" s="41" t="s">
        <v>1230</v>
      </c>
      <c r="D631" s="108" t="s">
        <v>198</v>
      </c>
      <c r="E631" s="42">
        <v>12528</v>
      </c>
      <c r="G631" s="42">
        <f t="shared" si="11"/>
        <v>-12528</v>
      </c>
      <c r="H631" s="49" t="s">
        <v>838</v>
      </c>
    </row>
    <row r="632" spans="1:8" x14ac:dyDescent="0.2">
      <c r="A632" s="16">
        <v>42465</v>
      </c>
      <c r="B632" s="41" t="s">
        <v>37</v>
      </c>
      <c r="C632" s="41" t="s">
        <v>1230</v>
      </c>
      <c r="D632" s="108" t="s">
        <v>111</v>
      </c>
      <c r="E632" s="42">
        <v>20387</v>
      </c>
      <c r="G632" s="42">
        <f t="shared" si="11"/>
        <v>-20387</v>
      </c>
      <c r="H632" s="49" t="s">
        <v>838</v>
      </c>
    </row>
    <row r="633" spans="1:8" x14ac:dyDescent="0.2">
      <c r="A633" s="16">
        <v>42465</v>
      </c>
      <c r="B633" s="41" t="s">
        <v>40</v>
      </c>
      <c r="C633" s="41" t="s">
        <v>1230</v>
      </c>
      <c r="D633" s="108" t="s">
        <v>667</v>
      </c>
      <c r="E633" s="42">
        <v>9000</v>
      </c>
      <c r="G633" s="42">
        <f t="shared" si="11"/>
        <v>-9000</v>
      </c>
      <c r="H633" s="49" t="s">
        <v>838</v>
      </c>
    </row>
    <row r="634" spans="1:8" x14ac:dyDescent="0.2">
      <c r="A634" s="16">
        <v>42465</v>
      </c>
      <c r="B634" s="41" t="s">
        <v>154</v>
      </c>
      <c r="C634" s="41" t="s">
        <v>1230</v>
      </c>
      <c r="D634" s="108" t="s">
        <v>149</v>
      </c>
      <c r="E634" s="42">
        <v>26623</v>
      </c>
      <c r="G634" s="42">
        <f t="shared" si="11"/>
        <v>-26623</v>
      </c>
      <c r="H634" s="49" t="s">
        <v>838</v>
      </c>
    </row>
    <row r="635" spans="1:8" ht="12.75" customHeight="1" x14ac:dyDescent="0.2">
      <c r="A635" s="16">
        <v>42465</v>
      </c>
      <c r="B635" s="41" t="s">
        <v>154</v>
      </c>
      <c r="C635" s="41" t="s">
        <v>1230</v>
      </c>
      <c r="D635" s="108" t="s">
        <v>454</v>
      </c>
      <c r="E635" s="42">
        <v>11722</v>
      </c>
      <c r="G635" s="42">
        <f t="shared" si="11"/>
        <v>-11722</v>
      </c>
      <c r="H635" s="49" t="s">
        <v>838</v>
      </c>
    </row>
    <row r="636" spans="1:8" x14ac:dyDescent="0.2">
      <c r="A636" s="16">
        <v>42465</v>
      </c>
      <c r="B636" s="41" t="s">
        <v>154</v>
      </c>
      <c r="C636" s="41" t="s">
        <v>1230</v>
      </c>
      <c r="D636" s="108" t="s">
        <v>201</v>
      </c>
      <c r="E636" s="42">
        <v>19879</v>
      </c>
      <c r="G636" s="42">
        <f t="shared" si="11"/>
        <v>-19879</v>
      </c>
      <c r="H636" s="49" t="s">
        <v>838</v>
      </c>
    </row>
    <row r="637" spans="1:8" x14ac:dyDescent="0.2">
      <c r="A637" s="16">
        <v>42465</v>
      </c>
      <c r="B637" s="41" t="s">
        <v>16</v>
      </c>
      <c r="C637" s="41" t="s">
        <v>1230</v>
      </c>
      <c r="D637" s="108" t="s">
        <v>221</v>
      </c>
      <c r="E637" s="42">
        <v>10000</v>
      </c>
      <c r="G637" s="42">
        <f t="shared" si="11"/>
        <v>-10000</v>
      </c>
      <c r="H637" s="49" t="s">
        <v>838</v>
      </c>
    </row>
    <row r="638" spans="1:8" x14ac:dyDescent="0.2">
      <c r="A638" s="16">
        <v>42465</v>
      </c>
      <c r="B638" s="41" t="s">
        <v>40</v>
      </c>
      <c r="C638" s="41" t="s">
        <v>1230</v>
      </c>
      <c r="D638" s="108" t="s">
        <v>204</v>
      </c>
      <c r="E638" s="42">
        <v>28250</v>
      </c>
      <c r="G638" s="42">
        <f t="shared" si="11"/>
        <v>-28250</v>
      </c>
      <c r="H638" s="49" t="s">
        <v>838</v>
      </c>
    </row>
    <row r="639" spans="1:8" x14ac:dyDescent="0.2">
      <c r="A639" s="16">
        <v>42465</v>
      </c>
      <c r="B639" s="41" t="s">
        <v>16</v>
      </c>
      <c r="C639" s="41" t="s">
        <v>1230</v>
      </c>
      <c r="D639" s="108" t="s">
        <v>199</v>
      </c>
      <c r="E639" s="42">
        <v>20000</v>
      </c>
      <c r="G639" s="42">
        <f t="shared" si="11"/>
        <v>-20000</v>
      </c>
      <c r="H639" s="49" t="s">
        <v>838</v>
      </c>
    </row>
    <row r="640" spans="1:8" x14ac:dyDescent="0.2">
      <c r="A640" s="16">
        <v>42465</v>
      </c>
      <c r="B640" s="41" t="s">
        <v>18</v>
      </c>
      <c r="C640" s="41" t="s">
        <v>1230</v>
      </c>
      <c r="D640" s="108" t="s">
        <v>668</v>
      </c>
      <c r="E640" s="42">
        <v>11911</v>
      </c>
      <c r="G640" s="42">
        <f t="shared" si="11"/>
        <v>-11911</v>
      </c>
      <c r="H640" s="49" t="s">
        <v>838</v>
      </c>
    </row>
    <row r="641" spans="1:8" x14ac:dyDescent="0.2">
      <c r="A641" s="16">
        <v>42465</v>
      </c>
      <c r="B641" s="41" t="s">
        <v>16</v>
      </c>
      <c r="C641" s="41" t="s">
        <v>1230</v>
      </c>
      <c r="D641" s="108" t="s">
        <v>669</v>
      </c>
      <c r="E641" s="42">
        <v>7000</v>
      </c>
      <c r="G641" s="42">
        <f t="shared" si="11"/>
        <v>-7000</v>
      </c>
      <c r="H641" s="49" t="s">
        <v>838</v>
      </c>
    </row>
    <row r="642" spans="1:8" x14ac:dyDescent="0.2">
      <c r="A642" s="16">
        <v>42465</v>
      </c>
      <c r="B642" s="41" t="s">
        <v>16</v>
      </c>
      <c r="C642" s="41" t="s">
        <v>1230</v>
      </c>
      <c r="D642" s="108" t="s">
        <v>146</v>
      </c>
      <c r="E642" s="42">
        <v>19847</v>
      </c>
      <c r="G642" s="42">
        <f t="shared" si="11"/>
        <v>-19847</v>
      </c>
      <c r="H642" s="49" t="s">
        <v>838</v>
      </c>
    </row>
    <row r="643" spans="1:8" x14ac:dyDescent="0.2">
      <c r="A643" s="16">
        <v>42465</v>
      </c>
      <c r="B643" s="41" t="s">
        <v>16</v>
      </c>
      <c r="C643" s="41" t="s">
        <v>1230</v>
      </c>
      <c r="D643" s="108" t="s">
        <v>262</v>
      </c>
      <c r="E643" s="42">
        <v>16355</v>
      </c>
      <c r="G643" s="42">
        <f t="shared" si="11"/>
        <v>-16355</v>
      </c>
      <c r="H643" s="49" t="s">
        <v>838</v>
      </c>
    </row>
    <row r="644" spans="1:8" x14ac:dyDescent="0.2">
      <c r="A644" s="16">
        <v>42465</v>
      </c>
      <c r="B644" s="41" t="s">
        <v>40</v>
      </c>
      <c r="C644" s="41" t="s">
        <v>1230</v>
      </c>
      <c r="D644" s="108" t="s">
        <v>64</v>
      </c>
      <c r="E644" s="42">
        <v>11000</v>
      </c>
      <c r="G644" s="42">
        <f t="shared" si="11"/>
        <v>-11000</v>
      </c>
      <c r="H644" s="49" t="s">
        <v>838</v>
      </c>
    </row>
    <row r="645" spans="1:8" x14ac:dyDescent="0.2">
      <c r="A645" s="16">
        <v>42466</v>
      </c>
      <c r="B645" s="41" t="s">
        <v>16</v>
      </c>
      <c r="C645" s="41" t="s">
        <v>103</v>
      </c>
      <c r="D645" s="108" t="s">
        <v>615</v>
      </c>
      <c r="E645" s="42">
        <v>490</v>
      </c>
      <c r="G645" s="42">
        <f t="shared" si="11"/>
        <v>-490</v>
      </c>
      <c r="H645" s="49" t="s">
        <v>838</v>
      </c>
    </row>
    <row r="646" spans="1:8" x14ac:dyDescent="0.2">
      <c r="A646" s="16">
        <v>42466</v>
      </c>
      <c r="B646" s="41" t="s">
        <v>40</v>
      </c>
      <c r="C646" s="41" t="s">
        <v>64</v>
      </c>
      <c r="D646" s="108" t="s">
        <v>616</v>
      </c>
      <c r="E646" s="42">
        <v>1000</v>
      </c>
      <c r="G646" s="42">
        <f t="shared" si="11"/>
        <v>-1000</v>
      </c>
      <c r="H646" s="49" t="s">
        <v>838</v>
      </c>
    </row>
    <row r="647" spans="1:8" x14ac:dyDescent="0.2">
      <c r="A647" s="16">
        <v>42466</v>
      </c>
      <c r="B647" s="41" t="s">
        <v>22</v>
      </c>
      <c r="C647" s="41" t="s">
        <v>220</v>
      </c>
      <c r="D647" s="108" t="s">
        <v>617</v>
      </c>
      <c r="E647" s="42">
        <v>500</v>
      </c>
      <c r="G647" s="42">
        <f t="shared" si="11"/>
        <v>-500</v>
      </c>
      <c r="H647" s="49" t="s">
        <v>838</v>
      </c>
    </row>
    <row r="648" spans="1:8" x14ac:dyDescent="0.2">
      <c r="A648" s="16">
        <v>42466</v>
      </c>
      <c r="B648" s="41" t="s">
        <v>154</v>
      </c>
      <c r="C648" s="41" t="s">
        <v>220</v>
      </c>
      <c r="D648" s="108" t="s">
        <v>618</v>
      </c>
      <c r="E648" s="42">
        <v>675</v>
      </c>
      <c r="G648" s="42">
        <f t="shared" si="11"/>
        <v>-675</v>
      </c>
      <c r="H648" s="49" t="s">
        <v>838</v>
      </c>
    </row>
    <row r="649" spans="1:8" x14ac:dyDescent="0.2">
      <c r="A649" s="16">
        <v>42466</v>
      </c>
      <c r="B649" s="41" t="s">
        <v>40</v>
      </c>
      <c r="C649" s="41" t="s">
        <v>64</v>
      </c>
      <c r="D649" s="108" t="s">
        <v>619</v>
      </c>
      <c r="E649" s="42">
        <v>1150</v>
      </c>
      <c r="G649" s="42">
        <f t="shared" si="11"/>
        <v>-1150</v>
      </c>
      <c r="H649" s="49" t="s">
        <v>838</v>
      </c>
    </row>
    <row r="650" spans="1:8" x14ac:dyDescent="0.2">
      <c r="A650" s="16">
        <v>42466</v>
      </c>
      <c r="B650" s="41" t="s">
        <v>40</v>
      </c>
      <c r="C650" s="41" t="s">
        <v>64</v>
      </c>
      <c r="D650" s="108" t="s">
        <v>620</v>
      </c>
      <c r="E650" s="42">
        <v>1300</v>
      </c>
      <c r="G650" s="42">
        <f t="shared" si="11"/>
        <v>-1300</v>
      </c>
      <c r="H650" s="49" t="s">
        <v>838</v>
      </c>
    </row>
    <row r="651" spans="1:8" x14ac:dyDescent="0.2">
      <c r="A651" s="16">
        <v>42466</v>
      </c>
      <c r="B651" s="41" t="s">
        <v>154</v>
      </c>
      <c r="C651" s="41" t="s">
        <v>454</v>
      </c>
      <c r="D651" s="108" t="s">
        <v>621</v>
      </c>
      <c r="E651" s="42">
        <v>580</v>
      </c>
      <c r="G651" s="42">
        <f t="shared" si="11"/>
        <v>-580</v>
      </c>
      <c r="H651" s="49" t="s">
        <v>838</v>
      </c>
    </row>
    <row r="652" spans="1:8" x14ac:dyDescent="0.2">
      <c r="A652" s="16">
        <v>42466</v>
      </c>
      <c r="B652" s="41" t="s">
        <v>154</v>
      </c>
      <c r="C652" s="41" t="s">
        <v>220</v>
      </c>
      <c r="D652" s="108" t="s">
        <v>622</v>
      </c>
      <c r="E652" s="42">
        <v>1175</v>
      </c>
      <c r="G652" s="42">
        <f t="shared" si="11"/>
        <v>-1175</v>
      </c>
      <c r="H652" s="49" t="s">
        <v>838</v>
      </c>
    </row>
    <row r="653" spans="1:8" x14ac:dyDescent="0.2">
      <c r="A653" s="16">
        <v>42466</v>
      </c>
      <c r="B653" s="41" t="s">
        <v>40</v>
      </c>
      <c r="C653" s="41" t="s">
        <v>64</v>
      </c>
      <c r="D653" s="108" t="s">
        <v>623</v>
      </c>
      <c r="E653" s="42">
        <v>1625</v>
      </c>
      <c r="G653" s="42">
        <f t="shared" si="11"/>
        <v>-1625</v>
      </c>
      <c r="H653" s="49" t="s">
        <v>838</v>
      </c>
    </row>
    <row r="654" spans="1:8" x14ac:dyDescent="0.2">
      <c r="A654" s="16">
        <v>42466</v>
      </c>
      <c r="B654" s="41" t="s">
        <v>40</v>
      </c>
      <c r="C654" s="41" t="s">
        <v>372</v>
      </c>
      <c r="D654" s="108" t="s">
        <v>632</v>
      </c>
      <c r="E654" s="42">
        <v>16370</v>
      </c>
      <c r="G654" s="42">
        <f t="shared" ref="G654:G717" si="12">F654-E654</f>
        <v>-16370</v>
      </c>
      <c r="H654" s="49" t="s">
        <v>838</v>
      </c>
    </row>
    <row r="655" spans="1:8" x14ac:dyDescent="0.2">
      <c r="A655" s="16">
        <v>42467</v>
      </c>
      <c r="B655" s="41" t="s">
        <v>40</v>
      </c>
      <c r="C655" s="41" t="s">
        <v>444</v>
      </c>
      <c r="D655" s="108" t="s">
        <v>370</v>
      </c>
      <c r="E655" s="42">
        <v>20000</v>
      </c>
      <c r="G655" s="42">
        <f t="shared" si="12"/>
        <v>-20000</v>
      </c>
      <c r="H655" s="49" t="s">
        <v>838</v>
      </c>
    </row>
    <row r="656" spans="1:8" x14ac:dyDescent="0.2">
      <c r="A656" s="16">
        <v>42467</v>
      </c>
      <c r="B656" s="41" t="s">
        <v>40</v>
      </c>
      <c r="C656" s="41" t="s">
        <v>624</v>
      </c>
      <c r="D656" s="108" t="s">
        <v>625</v>
      </c>
      <c r="E656" s="42">
        <v>7000</v>
      </c>
      <c r="G656" s="42">
        <f t="shared" si="12"/>
        <v>-7000</v>
      </c>
      <c r="H656" s="49" t="s">
        <v>838</v>
      </c>
    </row>
    <row r="657" spans="1:8" x14ac:dyDescent="0.2">
      <c r="A657" s="16">
        <v>42467</v>
      </c>
      <c r="B657" s="41" t="s">
        <v>82</v>
      </c>
      <c r="C657" s="41" t="s">
        <v>488</v>
      </c>
      <c r="D657" s="108" t="s">
        <v>626</v>
      </c>
      <c r="E657" s="42">
        <v>75000</v>
      </c>
      <c r="G657" s="42">
        <f t="shared" si="12"/>
        <v>-75000</v>
      </c>
      <c r="H657" s="49" t="s">
        <v>838</v>
      </c>
    </row>
    <row r="658" spans="1:8" x14ac:dyDescent="0.2">
      <c r="A658" s="16">
        <v>42467</v>
      </c>
      <c r="B658" s="41" t="s">
        <v>11</v>
      </c>
      <c r="C658" s="41" t="s">
        <v>794</v>
      </c>
      <c r="D658" s="108" t="s">
        <v>627</v>
      </c>
      <c r="E658" s="42">
        <v>5000</v>
      </c>
      <c r="G658" s="42">
        <f t="shared" si="12"/>
        <v>-5000</v>
      </c>
      <c r="H658" s="49" t="s">
        <v>838</v>
      </c>
    </row>
    <row r="659" spans="1:8" x14ac:dyDescent="0.2">
      <c r="A659" s="16">
        <v>42467</v>
      </c>
      <c r="B659" s="41" t="s">
        <v>40</v>
      </c>
      <c r="C659" s="41" t="s">
        <v>444</v>
      </c>
      <c r="D659" s="108" t="s">
        <v>370</v>
      </c>
      <c r="E659" s="42">
        <v>1000</v>
      </c>
      <c r="G659" s="42">
        <f t="shared" si="12"/>
        <v>-1000</v>
      </c>
      <c r="H659" s="49" t="s">
        <v>838</v>
      </c>
    </row>
    <row r="660" spans="1:8" x14ac:dyDescent="0.2">
      <c r="A660" s="16">
        <v>42467</v>
      </c>
      <c r="B660" s="41" t="s">
        <v>40</v>
      </c>
      <c r="C660" s="41" t="s">
        <v>1167</v>
      </c>
      <c r="D660" s="789" t="s">
        <v>628</v>
      </c>
      <c r="E660" s="42">
        <v>1000</v>
      </c>
      <c r="G660" s="42">
        <f t="shared" si="12"/>
        <v>-1000</v>
      </c>
      <c r="H660" s="49" t="s">
        <v>838</v>
      </c>
    </row>
    <row r="661" spans="1:8" x14ac:dyDescent="0.2">
      <c r="A661" s="16">
        <v>42467</v>
      </c>
      <c r="B661" s="41" t="s">
        <v>40</v>
      </c>
      <c r="C661" s="41" t="s">
        <v>551</v>
      </c>
      <c r="D661" s="108" t="s">
        <v>131</v>
      </c>
      <c r="E661" s="42">
        <v>7500</v>
      </c>
      <c r="G661" s="42">
        <f t="shared" si="12"/>
        <v>-7500</v>
      </c>
      <c r="H661" s="49" t="s">
        <v>838</v>
      </c>
    </row>
    <row r="662" spans="1:8" x14ac:dyDescent="0.2">
      <c r="A662" s="16">
        <v>42467</v>
      </c>
      <c r="B662" s="41" t="s">
        <v>40</v>
      </c>
      <c r="C662" s="41" t="s">
        <v>64</v>
      </c>
      <c r="D662" s="108" t="s">
        <v>630</v>
      </c>
      <c r="E662" s="42">
        <v>2000</v>
      </c>
      <c r="G662" s="42">
        <f t="shared" si="12"/>
        <v>-2000</v>
      </c>
      <c r="H662" s="49" t="s">
        <v>838</v>
      </c>
    </row>
    <row r="663" spans="1:8" x14ac:dyDescent="0.2">
      <c r="A663" s="16">
        <v>42467</v>
      </c>
      <c r="B663" s="41" t="s">
        <v>40</v>
      </c>
      <c r="C663" s="41" t="s">
        <v>64</v>
      </c>
      <c r="D663" s="108" t="s">
        <v>286</v>
      </c>
      <c r="E663" s="42">
        <v>1000</v>
      </c>
      <c r="G663" s="42">
        <f t="shared" si="12"/>
        <v>-1000</v>
      </c>
      <c r="H663" s="49" t="s">
        <v>838</v>
      </c>
    </row>
    <row r="664" spans="1:8" x14ac:dyDescent="0.2">
      <c r="A664" s="16">
        <v>42467</v>
      </c>
      <c r="B664" s="41" t="s">
        <v>82</v>
      </c>
      <c r="C664" s="41" t="s">
        <v>67</v>
      </c>
      <c r="D664" s="108" t="s">
        <v>631</v>
      </c>
      <c r="E664" s="42">
        <v>4056</v>
      </c>
      <c r="G664" s="42">
        <f t="shared" si="12"/>
        <v>-4056</v>
      </c>
      <c r="H664" s="49" t="s">
        <v>838</v>
      </c>
    </row>
    <row r="665" spans="1:8" x14ac:dyDescent="0.2">
      <c r="A665" s="16">
        <v>42468</v>
      </c>
      <c r="B665" s="41" t="s">
        <v>154</v>
      </c>
      <c r="C665" s="41" t="s">
        <v>220</v>
      </c>
      <c r="D665" s="108" t="s">
        <v>633</v>
      </c>
      <c r="E665" s="42">
        <v>17540</v>
      </c>
      <c r="G665" s="42">
        <f t="shared" si="12"/>
        <v>-17540</v>
      </c>
      <c r="H665" s="49" t="s">
        <v>838</v>
      </c>
    </row>
    <row r="666" spans="1:8" x14ac:dyDescent="0.2">
      <c r="A666" s="16">
        <v>42468</v>
      </c>
      <c r="B666" s="41" t="s">
        <v>16</v>
      </c>
      <c r="C666" s="41" t="s">
        <v>262</v>
      </c>
      <c r="D666" s="108" t="s">
        <v>634</v>
      </c>
      <c r="E666" s="42">
        <v>200</v>
      </c>
      <c r="G666" s="42">
        <f t="shared" si="12"/>
        <v>-200</v>
      </c>
      <c r="H666" s="49" t="s">
        <v>838</v>
      </c>
    </row>
    <row r="667" spans="1:8" x14ac:dyDescent="0.2">
      <c r="A667" s="16">
        <v>42468</v>
      </c>
      <c r="B667" s="41" t="s">
        <v>16</v>
      </c>
      <c r="C667" s="41" t="s">
        <v>262</v>
      </c>
      <c r="D667" s="108" t="s">
        <v>635</v>
      </c>
      <c r="E667" s="42">
        <v>650</v>
      </c>
      <c r="G667" s="42">
        <f t="shared" si="12"/>
        <v>-650</v>
      </c>
      <c r="H667" s="49" t="s">
        <v>838</v>
      </c>
    </row>
    <row r="668" spans="1:8" x14ac:dyDescent="0.2">
      <c r="A668" s="16">
        <v>42469</v>
      </c>
      <c r="B668" s="41" t="s">
        <v>16</v>
      </c>
      <c r="C668" s="41" t="s">
        <v>103</v>
      </c>
      <c r="D668" s="108" t="s">
        <v>636</v>
      </c>
      <c r="E668" s="42">
        <v>400</v>
      </c>
      <c r="G668" s="42">
        <f t="shared" si="12"/>
        <v>-400</v>
      </c>
      <c r="H668" s="49" t="s">
        <v>838</v>
      </c>
    </row>
    <row r="669" spans="1:8" x14ac:dyDescent="0.2">
      <c r="A669" s="16">
        <v>42469</v>
      </c>
      <c r="B669" s="41" t="s">
        <v>16</v>
      </c>
      <c r="C669" s="41" t="s">
        <v>103</v>
      </c>
      <c r="D669" s="108" t="s">
        <v>637</v>
      </c>
      <c r="E669" s="42">
        <v>930</v>
      </c>
      <c r="G669" s="42">
        <f t="shared" si="12"/>
        <v>-930</v>
      </c>
      <c r="H669" s="49" t="s">
        <v>838</v>
      </c>
    </row>
    <row r="670" spans="1:8" x14ac:dyDescent="0.2">
      <c r="A670" s="16">
        <v>42469</v>
      </c>
      <c r="B670" s="41" t="s">
        <v>40</v>
      </c>
      <c r="C670" s="41" t="s">
        <v>3335</v>
      </c>
      <c r="D670" s="108" t="s">
        <v>638</v>
      </c>
      <c r="E670" s="42">
        <v>200000</v>
      </c>
      <c r="G670" s="42">
        <f t="shared" si="12"/>
        <v>-200000</v>
      </c>
      <c r="H670" s="49" t="s">
        <v>838</v>
      </c>
    </row>
    <row r="671" spans="1:8" x14ac:dyDescent="0.2">
      <c r="A671" s="16">
        <v>42469</v>
      </c>
      <c r="B671" s="41" t="s">
        <v>16</v>
      </c>
      <c r="C671" s="41" t="s">
        <v>103</v>
      </c>
      <c r="D671" s="108" t="s">
        <v>639</v>
      </c>
      <c r="E671" s="42">
        <v>765</v>
      </c>
      <c r="G671" s="42">
        <f t="shared" si="12"/>
        <v>-765</v>
      </c>
      <c r="H671" s="49" t="s">
        <v>838</v>
      </c>
    </row>
    <row r="672" spans="1:8" x14ac:dyDescent="0.2">
      <c r="A672" s="16">
        <v>42469</v>
      </c>
      <c r="B672" s="41" t="s">
        <v>154</v>
      </c>
      <c r="C672" s="41" t="s">
        <v>220</v>
      </c>
      <c r="D672" s="108" t="s">
        <v>640</v>
      </c>
      <c r="E672" s="42">
        <v>3500</v>
      </c>
      <c r="G672" s="42">
        <f t="shared" si="12"/>
        <v>-3500</v>
      </c>
      <c r="H672" s="49" t="s">
        <v>838</v>
      </c>
    </row>
    <row r="673" spans="1:8" x14ac:dyDescent="0.2">
      <c r="A673" s="16">
        <v>42469</v>
      </c>
      <c r="B673" s="41" t="s">
        <v>40</v>
      </c>
      <c r="C673" s="41" t="s">
        <v>64</v>
      </c>
      <c r="D673" s="108" t="s">
        <v>641</v>
      </c>
      <c r="E673" s="42">
        <v>1000</v>
      </c>
      <c r="G673" s="42">
        <f t="shared" si="12"/>
        <v>-1000</v>
      </c>
      <c r="H673" s="49" t="s">
        <v>838</v>
      </c>
    </row>
    <row r="674" spans="1:8" x14ac:dyDescent="0.2">
      <c r="A674" s="16">
        <v>42469</v>
      </c>
      <c r="B674" s="41" t="s">
        <v>40</v>
      </c>
      <c r="C674" s="41" t="s">
        <v>1167</v>
      </c>
      <c r="D674" s="789" t="s">
        <v>642</v>
      </c>
      <c r="E674" s="42">
        <v>10000</v>
      </c>
      <c r="G674" s="42">
        <f t="shared" si="12"/>
        <v>-10000</v>
      </c>
      <c r="H674" s="49" t="s">
        <v>838</v>
      </c>
    </row>
    <row r="675" spans="1:8" x14ac:dyDescent="0.2">
      <c r="A675" s="16">
        <v>42469</v>
      </c>
      <c r="B675" s="41" t="s">
        <v>154</v>
      </c>
      <c r="C675" s="41" t="s">
        <v>106</v>
      </c>
      <c r="D675" s="108" t="s">
        <v>643</v>
      </c>
      <c r="E675" s="42">
        <v>2000</v>
      </c>
      <c r="G675" s="42">
        <f t="shared" si="12"/>
        <v>-2000</v>
      </c>
      <c r="H675" s="49" t="s">
        <v>838</v>
      </c>
    </row>
    <row r="676" spans="1:8" x14ac:dyDescent="0.2">
      <c r="A676" s="16">
        <v>42471</v>
      </c>
      <c r="B676" s="41" t="s">
        <v>40</v>
      </c>
      <c r="C676" s="41" t="s">
        <v>588</v>
      </c>
      <c r="D676" s="108" t="s">
        <v>589</v>
      </c>
      <c r="F676" s="42">
        <v>1000000</v>
      </c>
      <c r="G676" s="42">
        <f t="shared" si="12"/>
        <v>1000000</v>
      </c>
      <c r="H676" s="49" t="s">
        <v>838</v>
      </c>
    </row>
    <row r="677" spans="1:8" x14ac:dyDescent="0.2">
      <c r="A677" s="16">
        <v>42471</v>
      </c>
      <c r="B677" s="41" t="s">
        <v>40</v>
      </c>
      <c r="C677" s="41" t="s">
        <v>69</v>
      </c>
      <c r="D677" s="108" t="s">
        <v>600</v>
      </c>
      <c r="E677" s="42">
        <v>80</v>
      </c>
      <c r="G677" s="42">
        <f t="shared" si="12"/>
        <v>-80</v>
      </c>
      <c r="H677" s="49" t="s">
        <v>838</v>
      </c>
    </row>
    <row r="678" spans="1:8" x14ac:dyDescent="0.2">
      <c r="A678" s="16">
        <v>42471</v>
      </c>
      <c r="B678" s="41" t="s">
        <v>40</v>
      </c>
      <c r="C678" s="41" t="s">
        <v>80</v>
      </c>
      <c r="D678" s="108" t="s">
        <v>644</v>
      </c>
      <c r="E678" s="42">
        <v>28670</v>
      </c>
      <c r="G678" s="42">
        <f t="shared" si="12"/>
        <v>-28670</v>
      </c>
      <c r="H678" s="49" t="s">
        <v>838</v>
      </c>
    </row>
    <row r="679" spans="1:8" x14ac:dyDescent="0.2">
      <c r="A679" s="16">
        <v>42471</v>
      </c>
      <c r="B679" s="41" t="s">
        <v>40</v>
      </c>
      <c r="C679" s="41" t="s">
        <v>648</v>
      </c>
      <c r="D679" s="108" t="s">
        <v>649</v>
      </c>
      <c r="E679" s="42">
        <v>3500</v>
      </c>
      <c r="G679" s="42">
        <f t="shared" si="12"/>
        <v>-3500</v>
      </c>
      <c r="H679" s="49" t="s">
        <v>838</v>
      </c>
    </row>
    <row r="680" spans="1:8" x14ac:dyDescent="0.2">
      <c r="A680" s="16">
        <v>42471</v>
      </c>
      <c r="B680" s="41" t="s">
        <v>40</v>
      </c>
      <c r="C680" s="41" t="s">
        <v>350</v>
      </c>
      <c r="D680" s="108" t="s">
        <v>649</v>
      </c>
      <c r="E680" s="42">
        <v>9000</v>
      </c>
      <c r="G680" s="42">
        <f t="shared" si="12"/>
        <v>-9000</v>
      </c>
      <c r="H680" s="49" t="s">
        <v>838</v>
      </c>
    </row>
    <row r="681" spans="1:8" ht="12.75" customHeight="1" x14ac:dyDescent="0.2">
      <c r="A681" s="16">
        <v>42471</v>
      </c>
      <c r="B681" s="41" t="s">
        <v>40</v>
      </c>
      <c r="C681" s="41" t="s">
        <v>64</v>
      </c>
      <c r="D681" s="108" t="s">
        <v>656</v>
      </c>
      <c r="E681" s="42">
        <v>200</v>
      </c>
      <c r="G681" s="42">
        <f t="shared" si="12"/>
        <v>-200</v>
      </c>
      <c r="H681" s="49" t="s">
        <v>838</v>
      </c>
    </row>
    <row r="682" spans="1:8" x14ac:dyDescent="0.2">
      <c r="A682" s="16">
        <v>42472</v>
      </c>
      <c r="B682" s="41" t="s">
        <v>82</v>
      </c>
      <c r="C682" s="41" t="s">
        <v>82</v>
      </c>
      <c r="D682" s="108" t="s">
        <v>590</v>
      </c>
      <c r="F682" s="42">
        <v>1500785</v>
      </c>
      <c r="G682" s="42">
        <f t="shared" si="12"/>
        <v>1500785</v>
      </c>
      <c r="H682" s="49" t="s">
        <v>838</v>
      </c>
    </row>
    <row r="683" spans="1:8" x14ac:dyDescent="0.2">
      <c r="A683" s="16">
        <v>42472</v>
      </c>
      <c r="B683" s="41" t="s">
        <v>82</v>
      </c>
      <c r="C683" s="41" t="s">
        <v>325</v>
      </c>
      <c r="D683" s="108" t="s">
        <v>583</v>
      </c>
      <c r="E683" s="42">
        <v>1080</v>
      </c>
      <c r="G683" s="42">
        <f t="shared" si="12"/>
        <v>-1080</v>
      </c>
      <c r="H683" s="49" t="s">
        <v>838</v>
      </c>
    </row>
    <row r="684" spans="1:8" x14ac:dyDescent="0.2">
      <c r="A684" s="16">
        <v>42472</v>
      </c>
      <c r="B684" s="41" t="s">
        <v>40</v>
      </c>
      <c r="C684" s="41" t="s">
        <v>14</v>
      </c>
      <c r="D684" s="108" t="s">
        <v>645</v>
      </c>
      <c r="E684" s="42">
        <v>6000</v>
      </c>
      <c r="G684" s="42">
        <f t="shared" si="12"/>
        <v>-6000</v>
      </c>
      <c r="H684" s="49" t="s">
        <v>838</v>
      </c>
    </row>
    <row r="685" spans="1:8" x14ac:dyDescent="0.2">
      <c r="A685" s="16">
        <v>42472</v>
      </c>
      <c r="B685" s="41" t="s">
        <v>18</v>
      </c>
      <c r="C685" s="41" t="s">
        <v>668</v>
      </c>
      <c r="D685" s="108" t="s">
        <v>646</v>
      </c>
      <c r="E685" s="42">
        <v>3110</v>
      </c>
      <c r="G685" s="42">
        <f t="shared" si="12"/>
        <v>-3110</v>
      </c>
      <c r="H685" s="49" t="s">
        <v>838</v>
      </c>
    </row>
    <row r="686" spans="1:8" x14ac:dyDescent="0.2">
      <c r="A686" s="16">
        <v>42472</v>
      </c>
      <c r="B686" s="41" t="s">
        <v>82</v>
      </c>
      <c r="C686" s="41" t="s">
        <v>668</v>
      </c>
      <c r="D686" s="108" t="s">
        <v>647</v>
      </c>
      <c r="E686" s="42">
        <v>1105</v>
      </c>
      <c r="G686" s="42">
        <f t="shared" si="12"/>
        <v>-1105</v>
      </c>
      <c r="H686" s="49" t="s">
        <v>838</v>
      </c>
    </row>
    <row r="687" spans="1:8" x14ac:dyDescent="0.2">
      <c r="A687" s="16">
        <v>42472</v>
      </c>
      <c r="B687" s="41" t="s">
        <v>40</v>
      </c>
      <c r="C687" s="41" t="s">
        <v>80</v>
      </c>
      <c r="D687" s="108" t="s">
        <v>583</v>
      </c>
      <c r="E687" s="42">
        <v>10130</v>
      </c>
      <c r="G687" s="42">
        <f t="shared" si="12"/>
        <v>-10130</v>
      </c>
      <c r="H687" s="49" t="s">
        <v>838</v>
      </c>
    </row>
    <row r="688" spans="1:8" x14ac:dyDescent="0.2">
      <c r="A688" s="16">
        <v>42472</v>
      </c>
      <c r="B688" s="41" t="s">
        <v>16</v>
      </c>
      <c r="C688" s="41" t="s">
        <v>103</v>
      </c>
      <c r="D688" s="108" t="s">
        <v>650</v>
      </c>
      <c r="E688" s="42">
        <v>150</v>
      </c>
      <c r="G688" s="42">
        <f t="shared" si="12"/>
        <v>-150</v>
      </c>
      <c r="H688" s="49" t="s">
        <v>838</v>
      </c>
    </row>
    <row r="689" spans="1:8" x14ac:dyDescent="0.2">
      <c r="A689" s="16">
        <v>42472</v>
      </c>
      <c r="B689" s="41" t="s">
        <v>40</v>
      </c>
      <c r="C689" s="41" t="s">
        <v>64</v>
      </c>
      <c r="D689" s="108" t="s">
        <v>651</v>
      </c>
      <c r="E689" s="42">
        <v>13000</v>
      </c>
      <c r="G689" s="42">
        <f t="shared" si="12"/>
        <v>-13000</v>
      </c>
      <c r="H689" s="49" t="s">
        <v>838</v>
      </c>
    </row>
    <row r="690" spans="1:8" x14ac:dyDescent="0.2">
      <c r="A690" s="16">
        <v>42472</v>
      </c>
      <c r="B690" s="41" t="s">
        <v>154</v>
      </c>
      <c r="C690" s="41" t="s">
        <v>220</v>
      </c>
      <c r="D690" s="108" t="s">
        <v>652</v>
      </c>
      <c r="E690" s="42">
        <v>16320</v>
      </c>
      <c r="G690" s="42">
        <f t="shared" si="12"/>
        <v>-16320</v>
      </c>
      <c r="H690" s="49" t="s">
        <v>838</v>
      </c>
    </row>
    <row r="691" spans="1:8" x14ac:dyDescent="0.2">
      <c r="A691" s="16">
        <v>42472</v>
      </c>
      <c r="B691" s="41" t="s">
        <v>40</v>
      </c>
      <c r="C691" s="41" t="s">
        <v>80</v>
      </c>
      <c r="D691" s="108" t="s">
        <v>583</v>
      </c>
      <c r="E691" s="42">
        <v>14140</v>
      </c>
      <c r="G691" s="42">
        <f t="shared" si="12"/>
        <v>-14140</v>
      </c>
      <c r="H691" s="49" t="s">
        <v>838</v>
      </c>
    </row>
    <row r="692" spans="1:8" x14ac:dyDescent="0.2">
      <c r="A692" s="16">
        <v>42472</v>
      </c>
      <c r="B692" s="41" t="s">
        <v>40</v>
      </c>
      <c r="C692" s="41" t="s">
        <v>444</v>
      </c>
      <c r="D692" s="108" t="s">
        <v>370</v>
      </c>
      <c r="E692" s="42">
        <v>1000</v>
      </c>
      <c r="G692" s="42">
        <f t="shared" si="12"/>
        <v>-1000</v>
      </c>
      <c r="H692" s="49" t="s">
        <v>838</v>
      </c>
    </row>
    <row r="693" spans="1:8" x14ac:dyDescent="0.2">
      <c r="A693" s="16">
        <v>42472</v>
      </c>
      <c r="B693" s="41" t="s">
        <v>40</v>
      </c>
      <c r="C693" s="41" t="s">
        <v>929</v>
      </c>
      <c r="D693" s="108" t="s">
        <v>370</v>
      </c>
      <c r="E693" s="42">
        <v>76000</v>
      </c>
      <c r="G693" s="42">
        <f t="shared" si="12"/>
        <v>-76000</v>
      </c>
      <c r="H693" s="49" t="s">
        <v>838</v>
      </c>
    </row>
    <row r="694" spans="1:8" x14ac:dyDescent="0.2">
      <c r="A694" s="16">
        <v>42472</v>
      </c>
      <c r="B694" s="41" t="s">
        <v>40</v>
      </c>
      <c r="C694" s="41" t="s">
        <v>444</v>
      </c>
      <c r="D694" s="108" t="s">
        <v>370</v>
      </c>
      <c r="E694" s="42">
        <v>6000</v>
      </c>
      <c r="G694" s="42">
        <f t="shared" si="12"/>
        <v>-6000</v>
      </c>
      <c r="H694" s="49" t="s">
        <v>838</v>
      </c>
    </row>
    <row r="695" spans="1:8" x14ac:dyDescent="0.2">
      <c r="A695" s="16">
        <v>42473</v>
      </c>
      <c r="B695" s="41" t="s">
        <v>37</v>
      </c>
      <c r="C695" s="41" t="s">
        <v>565</v>
      </c>
      <c r="D695" s="108" t="s">
        <v>594</v>
      </c>
      <c r="F695" s="42">
        <v>157140</v>
      </c>
      <c r="G695" s="42">
        <f t="shared" si="12"/>
        <v>157140</v>
      </c>
      <c r="H695" s="49" t="s">
        <v>838</v>
      </c>
    </row>
    <row r="696" spans="1:8" x14ac:dyDescent="0.2">
      <c r="A696" s="16">
        <v>42473</v>
      </c>
      <c r="B696" s="41" t="s">
        <v>40</v>
      </c>
      <c r="C696" s="41" t="s">
        <v>1167</v>
      </c>
      <c r="D696" s="789" t="s">
        <v>609</v>
      </c>
      <c r="E696" s="42">
        <v>1000</v>
      </c>
      <c r="G696" s="42">
        <f t="shared" si="12"/>
        <v>-1000</v>
      </c>
      <c r="H696" s="49" t="s">
        <v>838</v>
      </c>
    </row>
    <row r="697" spans="1:8" x14ac:dyDescent="0.2">
      <c r="A697" s="16">
        <v>42473</v>
      </c>
      <c r="B697" s="41" t="s">
        <v>40</v>
      </c>
      <c r="C697" s="41" t="s">
        <v>251</v>
      </c>
      <c r="D697" s="108" t="s">
        <v>370</v>
      </c>
      <c r="E697" s="42">
        <v>64000</v>
      </c>
      <c r="G697" s="42">
        <f t="shared" si="12"/>
        <v>-64000</v>
      </c>
      <c r="H697" s="49" t="s">
        <v>838</v>
      </c>
    </row>
    <row r="698" spans="1:8" x14ac:dyDescent="0.2">
      <c r="A698" s="16">
        <v>42473</v>
      </c>
      <c r="B698" s="41" t="s">
        <v>40</v>
      </c>
      <c r="C698" s="41" t="s">
        <v>624</v>
      </c>
      <c r="D698" s="108" t="s">
        <v>625</v>
      </c>
      <c r="E698" s="42">
        <v>3000</v>
      </c>
      <c r="G698" s="42">
        <f t="shared" si="12"/>
        <v>-3000</v>
      </c>
      <c r="H698" s="49" t="s">
        <v>838</v>
      </c>
    </row>
    <row r="699" spans="1:8" x14ac:dyDescent="0.2">
      <c r="A699" s="16">
        <v>42474</v>
      </c>
      <c r="B699" s="41" t="s">
        <v>22</v>
      </c>
      <c r="C699" s="41" t="s">
        <v>22</v>
      </c>
      <c r="D699" s="108" t="s">
        <v>599</v>
      </c>
      <c r="F699" s="42">
        <v>19800</v>
      </c>
      <c r="G699" s="42">
        <f t="shared" si="12"/>
        <v>19800</v>
      </c>
      <c r="H699" s="49" t="s">
        <v>838</v>
      </c>
    </row>
    <row r="700" spans="1:8" x14ac:dyDescent="0.2">
      <c r="A700" s="16">
        <v>42474</v>
      </c>
      <c r="B700" s="41" t="s">
        <v>16</v>
      </c>
      <c r="C700" s="41" t="s">
        <v>103</v>
      </c>
      <c r="D700" s="108" t="s">
        <v>653</v>
      </c>
      <c r="E700" s="42">
        <v>300</v>
      </c>
      <c r="G700" s="42">
        <f t="shared" si="12"/>
        <v>-300</v>
      </c>
      <c r="H700" s="49" t="s">
        <v>838</v>
      </c>
    </row>
    <row r="701" spans="1:8" x14ac:dyDescent="0.2">
      <c r="A701" s="16">
        <v>42474</v>
      </c>
      <c r="B701" s="41" t="s">
        <v>40</v>
      </c>
      <c r="C701" s="41" t="s">
        <v>1896</v>
      </c>
      <c r="D701" s="108" t="s">
        <v>583</v>
      </c>
      <c r="E701" s="42">
        <v>1685</v>
      </c>
      <c r="G701" s="42">
        <f t="shared" si="12"/>
        <v>-1685</v>
      </c>
      <c r="H701" s="49" t="s">
        <v>838</v>
      </c>
    </row>
    <row r="702" spans="1:8" x14ac:dyDescent="0.2">
      <c r="A702" s="16">
        <v>42474</v>
      </c>
      <c r="B702" s="41" t="s">
        <v>16</v>
      </c>
      <c r="C702" s="41" t="s">
        <v>67</v>
      </c>
      <c r="D702" s="108" t="s">
        <v>654</v>
      </c>
      <c r="E702" s="42">
        <v>350</v>
      </c>
      <c r="G702" s="42">
        <f t="shared" si="12"/>
        <v>-350</v>
      </c>
      <c r="H702" s="49" t="s">
        <v>838</v>
      </c>
    </row>
    <row r="703" spans="1:8" x14ac:dyDescent="0.2">
      <c r="A703" s="16">
        <v>42474</v>
      </c>
      <c r="B703" s="41" t="s">
        <v>40</v>
      </c>
      <c r="C703" s="41" t="s">
        <v>262</v>
      </c>
      <c r="D703" s="108" t="s">
        <v>600</v>
      </c>
      <c r="E703" s="42">
        <v>60</v>
      </c>
      <c r="G703" s="42">
        <f t="shared" si="12"/>
        <v>-60</v>
      </c>
      <c r="H703" s="49" t="s">
        <v>838</v>
      </c>
    </row>
    <row r="704" spans="1:8" x14ac:dyDescent="0.2">
      <c r="A704" s="16">
        <v>42474</v>
      </c>
      <c r="B704" s="41" t="s">
        <v>16</v>
      </c>
      <c r="C704" s="41" t="s">
        <v>1167</v>
      </c>
      <c r="D704" s="789" t="s">
        <v>657</v>
      </c>
      <c r="E704" s="42">
        <v>2000</v>
      </c>
      <c r="G704" s="42">
        <f t="shared" si="12"/>
        <v>-2000</v>
      </c>
      <c r="H704" s="49" t="s">
        <v>838</v>
      </c>
    </row>
    <row r="705" spans="1:8" x14ac:dyDescent="0.2">
      <c r="A705" s="16">
        <v>42474</v>
      </c>
      <c r="B705" s="41" t="s">
        <v>40</v>
      </c>
      <c r="C705" s="41" t="s">
        <v>895</v>
      </c>
      <c r="D705" s="108" t="s">
        <v>658</v>
      </c>
      <c r="E705" s="42">
        <v>163150</v>
      </c>
      <c r="G705" s="42">
        <f t="shared" si="12"/>
        <v>-163150</v>
      </c>
      <c r="H705" s="49" t="s">
        <v>838</v>
      </c>
    </row>
    <row r="706" spans="1:8" x14ac:dyDescent="0.2">
      <c r="A706" s="16">
        <v>42474</v>
      </c>
      <c r="B706" s="41" t="s">
        <v>154</v>
      </c>
      <c r="C706" s="41" t="s">
        <v>895</v>
      </c>
      <c r="D706" s="108" t="s">
        <v>658</v>
      </c>
      <c r="E706" s="42">
        <v>117020</v>
      </c>
      <c r="G706" s="42">
        <f t="shared" si="12"/>
        <v>-117020</v>
      </c>
      <c r="H706" s="49" t="s">
        <v>838</v>
      </c>
    </row>
    <row r="707" spans="1:8" x14ac:dyDescent="0.2">
      <c r="A707" s="16">
        <v>42475</v>
      </c>
      <c r="B707" s="41" t="s">
        <v>40</v>
      </c>
      <c r="C707" s="41" t="s">
        <v>69</v>
      </c>
      <c r="D707" s="108" t="s">
        <v>655</v>
      </c>
      <c r="E707" s="42">
        <v>300</v>
      </c>
      <c r="G707" s="42">
        <f t="shared" si="12"/>
        <v>-300</v>
      </c>
      <c r="H707" s="49" t="s">
        <v>838</v>
      </c>
    </row>
    <row r="708" spans="1:8" x14ac:dyDescent="0.2">
      <c r="A708" s="16">
        <v>42475</v>
      </c>
      <c r="B708" s="41" t="s">
        <v>40</v>
      </c>
      <c r="C708" s="41" t="s">
        <v>551</v>
      </c>
      <c r="D708" s="108" t="s">
        <v>286</v>
      </c>
      <c r="E708" s="42">
        <v>2000</v>
      </c>
      <c r="G708" s="42">
        <f t="shared" si="12"/>
        <v>-2000</v>
      </c>
      <c r="H708" s="49" t="s">
        <v>838</v>
      </c>
    </row>
    <row r="709" spans="1:8" x14ac:dyDescent="0.2">
      <c r="A709" s="16">
        <v>42475</v>
      </c>
      <c r="B709" s="41" t="s">
        <v>25</v>
      </c>
      <c r="C709" s="41" t="s">
        <v>551</v>
      </c>
      <c r="D709" s="108" t="s">
        <v>73</v>
      </c>
      <c r="E709" s="42">
        <v>9421</v>
      </c>
      <c r="G709" s="42">
        <f t="shared" si="12"/>
        <v>-9421</v>
      </c>
      <c r="H709" s="49" t="s">
        <v>838</v>
      </c>
    </row>
    <row r="710" spans="1:8" x14ac:dyDescent="0.2">
      <c r="A710" s="16">
        <v>42475</v>
      </c>
      <c r="B710" s="41" t="s">
        <v>40</v>
      </c>
      <c r="C710" s="41" t="s">
        <v>1167</v>
      </c>
      <c r="D710" s="789" t="s">
        <v>659</v>
      </c>
      <c r="E710" s="42">
        <v>3000</v>
      </c>
      <c r="G710" s="42">
        <f t="shared" si="12"/>
        <v>-3000</v>
      </c>
      <c r="H710" s="49" t="s">
        <v>838</v>
      </c>
    </row>
    <row r="711" spans="1:8" x14ac:dyDescent="0.2">
      <c r="A711" s="16">
        <v>42475</v>
      </c>
      <c r="B711" s="41" t="s">
        <v>40</v>
      </c>
      <c r="C711" s="41" t="s">
        <v>444</v>
      </c>
      <c r="D711" s="108" t="s">
        <v>370</v>
      </c>
      <c r="E711" s="42">
        <v>15000</v>
      </c>
      <c r="G711" s="42">
        <f t="shared" si="12"/>
        <v>-15000</v>
      </c>
      <c r="H711" s="49" t="s">
        <v>838</v>
      </c>
    </row>
    <row r="712" spans="1:8" x14ac:dyDescent="0.2">
      <c r="A712" s="16">
        <v>42475</v>
      </c>
      <c r="B712" s="41" t="s">
        <v>40</v>
      </c>
      <c r="C712" s="41" t="s">
        <v>1167</v>
      </c>
      <c r="D712" s="789" t="s">
        <v>659</v>
      </c>
      <c r="E712" s="42">
        <v>2000</v>
      </c>
      <c r="G712" s="42">
        <f t="shared" si="12"/>
        <v>-2000</v>
      </c>
      <c r="H712" s="49" t="s">
        <v>838</v>
      </c>
    </row>
    <row r="713" spans="1:8" x14ac:dyDescent="0.2">
      <c r="A713" s="16">
        <v>42475</v>
      </c>
      <c r="B713" s="41" t="s">
        <v>40</v>
      </c>
      <c r="C713" s="41" t="s">
        <v>80</v>
      </c>
      <c r="D713" s="108" t="s">
        <v>660</v>
      </c>
      <c r="E713" s="42">
        <v>14075</v>
      </c>
      <c r="G713" s="42">
        <f t="shared" si="12"/>
        <v>-14075</v>
      </c>
      <c r="H713" s="49" t="s">
        <v>838</v>
      </c>
    </row>
    <row r="714" spans="1:8" x14ac:dyDescent="0.2">
      <c r="A714" s="16">
        <v>42476</v>
      </c>
      <c r="B714" s="41" t="s">
        <v>40</v>
      </c>
      <c r="C714" s="41" t="s">
        <v>64</v>
      </c>
      <c r="D714" s="108" t="s">
        <v>674</v>
      </c>
      <c r="E714" s="42">
        <v>6000</v>
      </c>
      <c r="G714" s="42">
        <f t="shared" si="12"/>
        <v>-6000</v>
      </c>
      <c r="H714" s="49" t="s">
        <v>838</v>
      </c>
    </row>
    <row r="715" spans="1:8" x14ac:dyDescent="0.2">
      <c r="A715" s="16">
        <v>42476</v>
      </c>
      <c r="B715" s="41" t="s">
        <v>40</v>
      </c>
      <c r="C715" s="41" t="s">
        <v>221</v>
      </c>
      <c r="D715" s="108" t="s">
        <v>343</v>
      </c>
      <c r="E715" s="42">
        <v>880</v>
      </c>
      <c r="G715" s="42">
        <f t="shared" si="12"/>
        <v>-880</v>
      </c>
      <c r="H715" s="49" t="s">
        <v>838</v>
      </c>
    </row>
    <row r="716" spans="1:8" x14ac:dyDescent="0.2">
      <c r="A716" s="16">
        <v>42476</v>
      </c>
      <c r="B716" s="41" t="s">
        <v>154</v>
      </c>
      <c r="C716" s="41" t="s">
        <v>220</v>
      </c>
      <c r="D716" s="108" t="s">
        <v>675</v>
      </c>
      <c r="E716" s="42">
        <v>5400</v>
      </c>
      <c r="G716" s="42">
        <f t="shared" si="12"/>
        <v>-5400</v>
      </c>
      <c r="H716" s="49" t="s">
        <v>838</v>
      </c>
    </row>
    <row r="717" spans="1:8" x14ac:dyDescent="0.2">
      <c r="A717" s="16">
        <v>42476</v>
      </c>
      <c r="B717" s="41" t="s">
        <v>40</v>
      </c>
      <c r="C717" s="41" t="s">
        <v>220</v>
      </c>
      <c r="D717" s="108" t="s">
        <v>675</v>
      </c>
      <c r="E717" s="42">
        <v>2800</v>
      </c>
      <c r="G717" s="42">
        <f t="shared" si="12"/>
        <v>-2800</v>
      </c>
      <c r="H717" s="49" t="s">
        <v>838</v>
      </c>
    </row>
    <row r="718" spans="1:8" x14ac:dyDescent="0.2">
      <c r="A718" s="16">
        <v>42476</v>
      </c>
      <c r="B718" s="41" t="s">
        <v>37</v>
      </c>
      <c r="C718" s="41" t="s">
        <v>1167</v>
      </c>
      <c r="D718" s="789" t="s">
        <v>676</v>
      </c>
      <c r="E718" s="42">
        <v>2000</v>
      </c>
      <c r="G718" s="42">
        <f t="shared" ref="G718:G781" si="13">F718-E718</f>
        <v>-2000</v>
      </c>
      <c r="H718" s="49" t="s">
        <v>838</v>
      </c>
    </row>
    <row r="719" spans="1:8" x14ac:dyDescent="0.2">
      <c r="A719" s="16">
        <v>42476</v>
      </c>
      <c r="B719" s="41" t="s">
        <v>40</v>
      </c>
      <c r="C719" s="41" t="s">
        <v>1167</v>
      </c>
      <c r="D719" s="789" t="s">
        <v>677</v>
      </c>
      <c r="E719" s="42">
        <v>2000</v>
      </c>
      <c r="G719" s="42">
        <f t="shared" si="13"/>
        <v>-2000</v>
      </c>
      <c r="H719" s="49" t="s">
        <v>838</v>
      </c>
    </row>
    <row r="720" spans="1:8" x14ac:dyDescent="0.2">
      <c r="A720" s="16">
        <v>42476</v>
      </c>
      <c r="B720" s="41" t="s">
        <v>154</v>
      </c>
      <c r="C720" s="41" t="s">
        <v>220</v>
      </c>
      <c r="D720" s="108" t="s">
        <v>392</v>
      </c>
      <c r="E720" s="42">
        <v>80</v>
      </c>
      <c r="G720" s="42">
        <f t="shared" si="13"/>
        <v>-80</v>
      </c>
      <c r="H720" s="49" t="s">
        <v>838</v>
      </c>
    </row>
    <row r="721" spans="1:8" x14ac:dyDescent="0.2">
      <c r="A721" s="16">
        <v>42478</v>
      </c>
      <c r="B721" s="41" t="s">
        <v>40</v>
      </c>
      <c r="C721" s="41" t="s">
        <v>14</v>
      </c>
      <c r="D721" s="108" t="s">
        <v>678</v>
      </c>
      <c r="E721" s="42">
        <v>10950</v>
      </c>
      <c r="G721" s="42">
        <f t="shared" si="13"/>
        <v>-10950</v>
      </c>
      <c r="H721" s="49" t="s">
        <v>838</v>
      </c>
    </row>
    <row r="722" spans="1:8" x14ac:dyDescent="0.2">
      <c r="A722" s="16">
        <v>42478</v>
      </c>
      <c r="B722" s="41" t="s">
        <v>154</v>
      </c>
      <c r="C722" s="41" t="s">
        <v>67</v>
      </c>
      <c r="D722" s="108" t="s">
        <v>679</v>
      </c>
      <c r="E722" s="42">
        <v>385</v>
      </c>
      <c r="G722" s="42">
        <f t="shared" si="13"/>
        <v>-385</v>
      </c>
      <c r="H722" s="49" t="s">
        <v>838</v>
      </c>
    </row>
    <row r="723" spans="1:8" x14ac:dyDescent="0.2">
      <c r="A723" s="16">
        <v>42478</v>
      </c>
      <c r="B723" s="41" t="s">
        <v>11</v>
      </c>
      <c r="C723" s="41" t="s">
        <v>67</v>
      </c>
      <c r="D723" s="108" t="s">
        <v>679</v>
      </c>
      <c r="E723" s="42">
        <v>11100</v>
      </c>
      <c r="G723" s="42">
        <f t="shared" si="13"/>
        <v>-11100</v>
      </c>
      <c r="H723" s="49" t="s">
        <v>838</v>
      </c>
    </row>
    <row r="724" spans="1:8" x14ac:dyDescent="0.2">
      <c r="A724" s="16">
        <v>42478</v>
      </c>
      <c r="B724" s="41" t="s">
        <v>18</v>
      </c>
      <c r="C724" s="41" t="s">
        <v>67</v>
      </c>
      <c r="D724" s="108" t="s">
        <v>679</v>
      </c>
      <c r="E724" s="42">
        <v>696</v>
      </c>
      <c r="G724" s="42">
        <f t="shared" si="13"/>
        <v>-696</v>
      </c>
      <c r="H724" s="49" t="s">
        <v>838</v>
      </c>
    </row>
    <row r="725" spans="1:8" x14ac:dyDescent="0.2">
      <c r="A725" s="16">
        <v>42478</v>
      </c>
      <c r="B725" s="41" t="s">
        <v>154</v>
      </c>
      <c r="C725" s="41" t="s">
        <v>220</v>
      </c>
      <c r="D725" s="108" t="s">
        <v>680</v>
      </c>
      <c r="E725" s="42">
        <v>16802</v>
      </c>
      <c r="G725" s="42">
        <f t="shared" si="13"/>
        <v>-16802</v>
      </c>
      <c r="H725" s="49" t="s">
        <v>838</v>
      </c>
    </row>
    <row r="726" spans="1:8" x14ac:dyDescent="0.2">
      <c r="A726" s="16">
        <v>42478</v>
      </c>
      <c r="B726" s="41" t="s">
        <v>40</v>
      </c>
      <c r="C726" s="41" t="s">
        <v>1894</v>
      </c>
      <c r="D726" s="108" t="s">
        <v>538</v>
      </c>
      <c r="E726" s="42">
        <v>3100</v>
      </c>
      <c r="G726" s="42">
        <f t="shared" si="13"/>
        <v>-3100</v>
      </c>
      <c r="H726" s="49" t="s">
        <v>838</v>
      </c>
    </row>
    <row r="727" spans="1:8" x14ac:dyDescent="0.2">
      <c r="A727" s="16">
        <v>42478</v>
      </c>
      <c r="B727" s="41" t="s">
        <v>40</v>
      </c>
      <c r="C727" s="41" t="s">
        <v>221</v>
      </c>
      <c r="D727" s="108" t="s">
        <v>681</v>
      </c>
      <c r="E727" s="42">
        <v>1730</v>
      </c>
      <c r="G727" s="42">
        <f t="shared" si="13"/>
        <v>-1730</v>
      </c>
      <c r="H727" s="49" t="s">
        <v>838</v>
      </c>
    </row>
    <row r="728" spans="1:8" x14ac:dyDescent="0.2">
      <c r="A728" s="16">
        <v>42478</v>
      </c>
      <c r="B728" s="41" t="s">
        <v>154</v>
      </c>
      <c r="C728" s="41" t="s">
        <v>929</v>
      </c>
      <c r="D728" s="108" t="s">
        <v>370</v>
      </c>
      <c r="E728" s="42">
        <v>30000</v>
      </c>
      <c r="G728" s="42">
        <f t="shared" si="13"/>
        <v>-30000</v>
      </c>
      <c r="H728" s="49" t="s">
        <v>838</v>
      </c>
    </row>
    <row r="729" spans="1:8" x14ac:dyDescent="0.2">
      <c r="A729" s="16">
        <v>42478</v>
      </c>
      <c r="B729" s="41" t="s">
        <v>40</v>
      </c>
      <c r="C729" s="41" t="s">
        <v>929</v>
      </c>
      <c r="D729" s="108" t="s">
        <v>370</v>
      </c>
      <c r="E729" s="42">
        <v>5000</v>
      </c>
      <c r="G729" s="42">
        <f t="shared" si="13"/>
        <v>-5000</v>
      </c>
      <c r="H729" s="49" t="s">
        <v>838</v>
      </c>
    </row>
    <row r="730" spans="1:8" x14ac:dyDescent="0.2">
      <c r="A730" s="16">
        <v>42478</v>
      </c>
      <c r="B730" s="41" t="s">
        <v>40</v>
      </c>
      <c r="C730" s="41" t="s">
        <v>80</v>
      </c>
      <c r="D730" s="108" t="s">
        <v>682</v>
      </c>
      <c r="E730" s="42">
        <v>1100</v>
      </c>
      <c r="G730" s="42">
        <f t="shared" si="13"/>
        <v>-1100</v>
      </c>
      <c r="H730" s="49" t="s">
        <v>838</v>
      </c>
    </row>
    <row r="731" spans="1:8" x14ac:dyDescent="0.2">
      <c r="A731" s="16">
        <v>42478</v>
      </c>
      <c r="B731" s="41" t="s">
        <v>154</v>
      </c>
      <c r="C731" s="41" t="s">
        <v>111</v>
      </c>
      <c r="D731" s="108" t="s">
        <v>683</v>
      </c>
      <c r="E731" s="42">
        <v>2260</v>
      </c>
      <c r="G731" s="42">
        <f t="shared" si="13"/>
        <v>-2260</v>
      </c>
      <c r="H731" s="49" t="s">
        <v>838</v>
      </c>
    </row>
    <row r="732" spans="1:8" x14ac:dyDescent="0.2">
      <c r="A732" s="16">
        <v>42478</v>
      </c>
      <c r="B732" s="41" t="s">
        <v>22</v>
      </c>
      <c r="C732" s="41" t="s">
        <v>111</v>
      </c>
      <c r="D732" s="108" t="s">
        <v>683</v>
      </c>
      <c r="E732" s="42">
        <v>2720</v>
      </c>
      <c r="G732" s="42">
        <f t="shared" si="13"/>
        <v>-2720</v>
      </c>
      <c r="H732" s="49" t="s">
        <v>838</v>
      </c>
    </row>
    <row r="733" spans="1:8" x14ac:dyDescent="0.2">
      <c r="A733" s="16">
        <v>42479</v>
      </c>
      <c r="B733" s="41" t="s">
        <v>18</v>
      </c>
      <c r="C733" s="41" t="s">
        <v>18</v>
      </c>
      <c r="D733" s="108" t="s">
        <v>671</v>
      </c>
      <c r="F733" s="42">
        <v>100000</v>
      </c>
      <c r="G733" s="42">
        <f t="shared" si="13"/>
        <v>100000</v>
      </c>
      <c r="H733" s="49" t="s">
        <v>838</v>
      </c>
    </row>
    <row r="734" spans="1:8" x14ac:dyDescent="0.2">
      <c r="A734" s="16">
        <v>42479</v>
      </c>
      <c r="B734" s="41" t="s">
        <v>16</v>
      </c>
      <c r="C734" s="41" t="s">
        <v>221</v>
      </c>
      <c r="D734" s="108" t="s">
        <v>684</v>
      </c>
      <c r="E734" s="42">
        <v>1285</v>
      </c>
      <c r="G734" s="42">
        <f t="shared" si="13"/>
        <v>-1285</v>
      </c>
      <c r="H734" s="49" t="s">
        <v>838</v>
      </c>
    </row>
    <row r="735" spans="1:8" x14ac:dyDescent="0.2">
      <c r="A735" s="16">
        <v>42479</v>
      </c>
      <c r="B735" s="41" t="s">
        <v>40</v>
      </c>
      <c r="C735" s="41" t="s">
        <v>64</v>
      </c>
      <c r="D735" s="108" t="s">
        <v>685</v>
      </c>
      <c r="E735" s="42">
        <v>1500</v>
      </c>
      <c r="G735" s="42">
        <f t="shared" si="13"/>
        <v>-1500</v>
      </c>
      <c r="H735" s="49" t="s">
        <v>838</v>
      </c>
    </row>
    <row r="736" spans="1:8" x14ac:dyDescent="0.2">
      <c r="A736" s="16">
        <v>42479</v>
      </c>
      <c r="B736" s="41" t="s">
        <v>154</v>
      </c>
      <c r="C736" s="41" t="s">
        <v>64</v>
      </c>
      <c r="D736" s="108" t="s">
        <v>685</v>
      </c>
      <c r="E736" s="42">
        <v>1000</v>
      </c>
      <c r="G736" s="42">
        <f t="shared" si="13"/>
        <v>-1000</v>
      </c>
      <c r="H736" s="49" t="s">
        <v>838</v>
      </c>
    </row>
    <row r="737" spans="1:8" x14ac:dyDescent="0.2">
      <c r="A737" s="16">
        <v>42479</v>
      </c>
      <c r="B737" s="41" t="s">
        <v>16</v>
      </c>
      <c r="C737" s="41" t="s">
        <v>1167</v>
      </c>
      <c r="D737" s="789" t="s">
        <v>686</v>
      </c>
      <c r="E737" s="42">
        <v>4000</v>
      </c>
      <c r="G737" s="42">
        <f t="shared" si="13"/>
        <v>-4000</v>
      </c>
      <c r="H737" s="49" t="s">
        <v>838</v>
      </c>
    </row>
    <row r="738" spans="1:8" x14ac:dyDescent="0.2">
      <c r="A738" s="16">
        <v>42479</v>
      </c>
      <c r="B738" s="41" t="s">
        <v>18</v>
      </c>
      <c r="C738" s="41" t="s">
        <v>1167</v>
      </c>
      <c r="D738" s="789" t="s">
        <v>687</v>
      </c>
      <c r="E738" s="42">
        <v>15000</v>
      </c>
      <c r="G738" s="42">
        <f t="shared" si="13"/>
        <v>-15000</v>
      </c>
      <c r="H738" s="49" t="s">
        <v>838</v>
      </c>
    </row>
    <row r="739" spans="1:8" x14ac:dyDescent="0.2">
      <c r="A739" s="16">
        <v>42479</v>
      </c>
      <c r="B739" s="41" t="s">
        <v>40</v>
      </c>
      <c r="C739" s="41" t="s">
        <v>551</v>
      </c>
      <c r="D739" s="108" t="s">
        <v>538</v>
      </c>
      <c r="E739" s="42">
        <v>1500</v>
      </c>
      <c r="G739" s="42">
        <f t="shared" si="13"/>
        <v>-1500</v>
      </c>
      <c r="H739" s="49" t="s">
        <v>838</v>
      </c>
    </row>
    <row r="740" spans="1:8" x14ac:dyDescent="0.2">
      <c r="A740" s="16">
        <v>42479</v>
      </c>
      <c r="B740" s="41" t="s">
        <v>40</v>
      </c>
      <c r="C740" s="41" t="s">
        <v>551</v>
      </c>
      <c r="D740" s="108" t="s">
        <v>286</v>
      </c>
      <c r="E740" s="42">
        <v>3000</v>
      </c>
      <c r="G740" s="42">
        <f t="shared" si="13"/>
        <v>-3000</v>
      </c>
      <c r="H740" s="49" t="s">
        <v>838</v>
      </c>
    </row>
    <row r="741" spans="1:8" x14ac:dyDescent="0.2">
      <c r="A741" s="16">
        <v>42479</v>
      </c>
      <c r="B741" s="41" t="s">
        <v>40</v>
      </c>
      <c r="C741" s="41" t="s">
        <v>262</v>
      </c>
      <c r="D741" s="108" t="s">
        <v>286</v>
      </c>
      <c r="E741" s="42">
        <v>100</v>
      </c>
      <c r="G741" s="42">
        <f t="shared" si="13"/>
        <v>-100</v>
      </c>
      <c r="H741" s="49" t="s">
        <v>838</v>
      </c>
    </row>
    <row r="742" spans="1:8" x14ac:dyDescent="0.2">
      <c r="A742" s="16">
        <v>42479</v>
      </c>
      <c r="B742" s="41" t="s">
        <v>40</v>
      </c>
      <c r="C742" s="41" t="s">
        <v>221</v>
      </c>
      <c r="D742" s="108" t="s">
        <v>689</v>
      </c>
      <c r="E742" s="42">
        <v>6560</v>
      </c>
      <c r="G742" s="42">
        <f t="shared" si="13"/>
        <v>-6560</v>
      </c>
      <c r="H742" s="49" t="s">
        <v>838</v>
      </c>
    </row>
    <row r="743" spans="1:8" x14ac:dyDescent="0.2">
      <c r="A743" s="16">
        <v>42479</v>
      </c>
      <c r="B743" s="41" t="s">
        <v>40</v>
      </c>
      <c r="C743" s="41" t="s">
        <v>3335</v>
      </c>
      <c r="D743" s="108" t="s">
        <v>370</v>
      </c>
      <c r="E743" s="42">
        <v>50000</v>
      </c>
      <c r="G743" s="42">
        <f t="shared" si="13"/>
        <v>-50000</v>
      </c>
      <c r="H743" s="49" t="s">
        <v>838</v>
      </c>
    </row>
    <row r="744" spans="1:8" x14ac:dyDescent="0.2">
      <c r="A744" s="16">
        <v>42480</v>
      </c>
      <c r="B744" s="41" t="s">
        <v>40</v>
      </c>
      <c r="C744" s="41" t="s">
        <v>262</v>
      </c>
      <c r="D744" s="108" t="s">
        <v>690</v>
      </c>
      <c r="E744" s="42">
        <v>200</v>
      </c>
      <c r="G744" s="42">
        <f t="shared" si="13"/>
        <v>-200</v>
      </c>
      <c r="H744" s="49" t="s">
        <v>838</v>
      </c>
    </row>
    <row r="745" spans="1:8" x14ac:dyDescent="0.2">
      <c r="A745" s="16">
        <v>42480</v>
      </c>
      <c r="B745" s="41" t="s">
        <v>40</v>
      </c>
      <c r="C745" s="41" t="s">
        <v>40</v>
      </c>
      <c r="D745" s="108" t="s">
        <v>691</v>
      </c>
      <c r="E745" s="42">
        <v>5000</v>
      </c>
      <c r="G745" s="42">
        <f t="shared" si="13"/>
        <v>-5000</v>
      </c>
      <c r="H745" s="49" t="s">
        <v>838</v>
      </c>
    </row>
    <row r="746" spans="1:8" x14ac:dyDescent="0.2">
      <c r="A746" s="16">
        <v>42480</v>
      </c>
      <c r="B746" s="41" t="s">
        <v>16</v>
      </c>
      <c r="C746" s="41" t="s">
        <v>16</v>
      </c>
      <c r="D746" s="108" t="s">
        <v>692</v>
      </c>
      <c r="E746" s="42">
        <v>300</v>
      </c>
      <c r="G746" s="42">
        <f t="shared" si="13"/>
        <v>-300</v>
      </c>
      <c r="H746" s="49" t="s">
        <v>838</v>
      </c>
    </row>
    <row r="747" spans="1:8" x14ac:dyDescent="0.2">
      <c r="A747" s="16">
        <v>42480</v>
      </c>
      <c r="B747" s="41" t="s">
        <v>40</v>
      </c>
      <c r="C747" s="41" t="s">
        <v>1167</v>
      </c>
      <c r="D747" s="789" t="s">
        <v>693</v>
      </c>
      <c r="E747" s="42">
        <v>1000</v>
      </c>
      <c r="G747" s="42">
        <f t="shared" si="13"/>
        <v>-1000</v>
      </c>
      <c r="H747" s="49" t="s">
        <v>838</v>
      </c>
    </row>
    <row r="748" spans="1:8" x14ac:dyDescent="0.2">
      <c r="A748" s="16">
        <v>42480</v>
      </c>
      <c r="B748" s="41" t="s">
        <v>16</v>
      </c>
      <c r="C748" s="41" t="s">
        <v>1167</v>
      </c>
      <c r="D748" s="789" t="s">
        <v>694</v>
      </c>
      <c r="E748" s="42">
        <v>1000</v>
      </c>
      <c r="G748" s="42">
        <f t="shared" si="13"/>
        <v>-1000</v>
      </c>
      <c r="H748" s="49" t="s">
        <v>838</v>
      </c>
    </row>
    <row r="749" spans="1:8" x14ac:dyDescent="0.2">
      <c r="A749" s="16">
        <v>42480</v>
      </c>
      <c r="B749" s="41" t="s">
        <v>154</v>
      </c>
      <c r="C749" s="41" t="s">
        <v>695</v>
      </c>
      <c r="D749" s="108" t="s">
        <v>696</v>
      </c>
      <c r="E749" s="42">
        <v>10000</v>
      </c>
      <c r="G749" s="42">
        <f t="shared" si="13"/>
        <v>-10000</v>
      </c>
      <c r="H749" s="49" t="s">
        <v>838</v>
      </c>
    </row>
    <row r="750" spans="1:8" x14ac:dyDescent="0.2">
      <c r="A750" s="16">
        <v>42480</v>
      </c>
      <c r="B750" s="41" t="s">
        <v>40</v>
      </c>
      <c r="C750" s="41" t="s">
        <v>1167</v>
      </c>
      <c r="D750" s="789" t="s">
        <v>697</v>
      </c>
      <c r="E750" s="42">
        <v>6000</v>
      </c>
      <c r="G750" s="42">
        <f t="shared" si="13"/>
        <v>-6000</v>
      </c>
      <c r="H750" s="49" t="s">
        <v>838</v>
      </c>
    </row>
    <row r="751" spans="1:8" x14ac:dyDescent="0.2">
      <c r="A751" s="16">
        <v>42480</v>
      </c>
      <c r="B751" s="41" t="s">
        <v>40</v>
      </c>
      <c r="C751" s="41" t="s">
        <v>1167</v>
      </c>
      <c r="D751" s="789" t="s">
        <v>698</v>
      </c>
      <c r="E751" s="42">
        <v>2000</v>
      </c>
      <c r="G751" s="42">
        <f t="shared" si="13"/>
        <v>-2000</v>
      </c>
      <c r="H751" s="49" t="s">
        <v>838</v>
      </c>
    </row>
    <row r="752" spans="1:8" x14ac:dyDescent="0.2">
      <c r="A752" s="16">
        <v>42480</v>
      </c>
      <c r="B752" s="41" t="s">
        <v>40</v>
      </c>
      <c r="C752" s="41" t="s">
        <v>1167</v>
      </c>
      <c r="D752" s="789" t="s">
        <v>699</v>
      </c>
      <c r="E752" s="42">
        <v>2000</v>
      </c>
      <c r="G752" s="42">
        <f t="shared" si="13"/>
        <v>-2000</v>
      </c>
      <c r="H752" s="49" t="s">
        <v>838</v>
      </c>
    </row>
    <row r="753" spans="1:8" x14ac:dyDescent="0.2">
      <c r="A753" s="16">
        <v>42480</v>
      </c>
      <c r="B753" s="41" t="s">
        <v>40</v>
      </c>
      <c r="C753" s="41" t="s">
        <v>64</v>
      </c>
      <c r="D753" s="108" t="s">
        <v>700</v>
      </c>
      <c r="E753" s="42">
        <v>750</v>
      </c>
      <c r="G753" s="42">
        <f t="shared" si="13"/>
        <v>-750</v>
      </c>
      <c r="H753" s="49" t="s">
        <v>838</v>
      </c>
    </row>
    <row r="754" spans="1:8" x14ac:dyDescent="0.2">
      <c r="A754" s="16">
        <v>42480</v>
      </c>
      <c r="B754" s="41" t="s">
        <v>40</v>
      </c>
      <c r="C754" s="41" t="s">
        <v>406</v>
      </c>
      <c r="D754" s="108" t="s">
        <v>701</v>
      </c>
      <c r="E754" s="42">
        <v>50000</v>
      </c>
      <c r="G754" s="42">
        <f t="shared" si="13"/>
        <v>-50000</v>
      </c>
      <c r="H754" s="49" t="s">
        <v>838</v>
      </c>
    </row>
    <row r="755" spans="1:8" ht="12.75" customHeight="1" x14ac:dyDescent="0.2">
      <c r="A755" s="16">
        <v>42481</v>
      </c>
      <c r="B755" s="41" t="s">
        <v>18</v>
      </c>
      <c r="C755" s="41" t="s">
        <v>668</v>
      </c>
      <c r="D755" s="108" t="s">
        <v>688</v>
      </c>
      <c r="E755" s="42">
        <v>6075</v>
      </c>
      <c r="G755" s="42">
        <f t="shared" si="13"/>
        <v>-6075</v>
      </c>
      <c r="H755" s="49" t="s">
        <v>838</v>
      </c>
    </row>
    <row r="756" spans="1:8" ht="12.75" customHeight="1" x14ac:dyDescent="0.2">
      <c r="A756" s="16">
        <v>42481</v>
      </c>
      <c r="B756" s="41" t="s">
        <v>154</v>
      </c>
      <c r="C756" s="41" t="s">
        <v>220</v>
      </c>
      <c r="D756" s="108" t="s">
        <v>702</v>
      </c>
      <c r="E756" s="42">
        <v>11898</v>
      </c>
      <c r="G756" s="42">
        <f t="shared" si="13"/>
        <v>-11898</v>
      </c>
      <c r="H756" s="49" t="s">
        <v>838</v>
      </c>
    </row>
    <row r="757" spans="1:8" ht="12.75" customHeight="1" x14ac:dyDescent="0.2">
      <c r="A757" s="16">
        <v>42481</v>
      </c>
      <c r="B757" s="41" t="s">
        <v>40</v>
      </c>
      <c r="C757" s="41" t="s">
        <v>64</v>
      </c>
      <c r="D757" s="108" t="s">
        <v>703</v>
      </c>
      <c r="E757" s="42">
        <v>200</v>
      </c>
      <c r="G757" s="42">
        <f t="shared" si="13"/>
        <v>-200</v>
      </c>
      <c r="H757" s="49" t="s">
        <v>838</v>
      </c>
    </row>
    <row r="758" spans="1:8" ht="12.75" customHeight="1" x14ac:dyDescent="0.2">
      <c r="A758" s="16">
        <v>42481</v>
      </c>
      <c r="B758" s="41" t="s">
        <v>40</v>
      </c>
      <c r="C758" s="41" t="s">
        <v>298</v>
      </c>
      <c r="D758" s="108" t="s">
        <v>704</v>
      </c>
      <c r="E758" s="42">
        <v>450000</v>
      </c>
      <c r="G758" s="42">
        <f t="shared" si="13"/>
        <v>-450000</v>
      </c>
      <c r="H758" s="49" t="s">
        <v>838</v>
      </c>
    </row>
    <row r="759" spans="1:8" ht="12.75" customHeight="1" x14ac:dyDescent="0.2">
      <c r="A759" s="16">
        <v>42481</v>
      </c>
      <c r="B759" s="41" t="s">
        <v>40</v>
      </c>
      <c r="C759" s="41" t="s">
        <v>248</v>
      </c>
      <c r="D759" s="108" t="s">
        <v>370</v>
      </c>
      <c r="E759" s="42">
        <v>10000</v>
      </c>
      <c r="G759" s="42">
        <f t="shared" si="13"/>
        <v>-10000</v>
      </c>
      <c r="H759" s="49" t="s">
        <v>838</v>
      </c>
    </row>
    <row r="760" spans="1:8" ht="12.75" customHeight="1" x14ac:dyDescent="0.2">
      <c r="A760" s="16">
        <v>42481</v>
      </c>
      <c r="B760" s="41" t="s">
        <v>40</v>
      </c>
      <c r="C760" s="41" t="s">
        <v>705</v>
      </c>
      <c r="D760" s="108" t="s">
        <v>370</v>
      </c>
      <c r="E760" s="42">
        <v>10641</v>
      </c>
      <c r="G760" s="42">
        <f t="shared" si="13"/>
        <v>-10641</v>
      </c>
      <c r="H760" s="49" t="s">
        <v>838</v>
      </c>
    </row>
    <row r="761" spans="1:8" x14ac:dyDescent="0.2">
      <c r="A761" s="16">
        <v>42481</v>
      </c>
      <c r="B761" s="41" t="s">
        <v>40</v>
      </c>
      <c r="C761" s="41" t="s">
        <v>209</v>
      </c>
      <c r="D761" s="108" t="s">
        <v>706</v>
      </c>
      <c r="E761" s="42">
        <v>1000</v>
      </c>
      <c r="G761" s="42">
        <f t="shared" si="13"/>
        <v>-1000</v>
      </c>
      <c r="H761" s="49" t="s">
        <v>838</v>
      </c>
    </row>
    <row r="762" spans="1:8" x14ac:dyDescent="0.2">
      <c r="A762" s="16">
        <v>42482</v>
      </c>
      <c r="B762" s="41" t="s">
        <v>16</v>
      </c>
      <c r="C762" s="41" t="s">
        <v>69</v>
      </c>
      <c r="D762" s="108" t="s">
        <v>707</v>
      </c>
      <c r="E762" s="42">
        <v>440</v>
      </c>
      <c r="G762" s="42">
        <f t="shared" si="13"/>
        <v>-440</v>
      </c>
      <c r="H762" s="49" t="s">
        <v>838</v>
      </c>
    </row>
    <row r="763" spans="1:8" x14ac:dyDescent="0.2">
      <c r="A763" s="16">
        <v>42482</v>
      </c>
      <c r="B763" s="41" t="s">
        <v>16</v>
      </c>
      <c r="C763" s="41" t="s">
        <v>69</v>
      </c>
      <c r="D763" s="108" t="s">
        <v>286</v>
      </c>
      <c r="E763" s="42">
        <v>100</v>
      </c>
      <c r="G763" s="42">
        <f t="shared" si="13"/>
        <v>-100</v>
      </c>
      <c r="H763" s="49" t="s">
        <v>838</v>
      </c>
    </row>
    <row r="764" spans="1:8" x14ac:dyDescent="0.2">
      <c r="A764" s="16">
        <v>42482</v>
      </c>
      <c r="B764" s="41" t="s">
        <v>154</v>
      </c>
      <c r="C764" s="41" t="s">
        <v>895</v>
      </c>
      <c r="D764" s="108" t="s">
        <v>708</v>
      </c>
      <c r="E764" s="42">
        <v>400000</v>
      </c>
      <c r="G764" s="42">
        <f t="shared" si="13"/>
        <v>-400000</v>
      </c>
      <c r="H764" s="49" t="s">
        <v>838</v>
      </c>
    </row>
    <row r="765" spans="1:8" x14ac:dyDescent="0.2">
      <c r="A765" s="16">
        <v>42482</v>
      </c>
      <c r="B765" s="41" t="s">
        <v>16</v>
      </c>
      <c r="C765" s="41" t="s">
        <v>1167</v>
      </c>
      <c r="D765" s="789" t="s">
        <v>709</v>
      </c>
      <c r="E765" s="42">
        <v>2000</v>
      </c>
      <c r="G765" s="42">
        <f t="shared" si="13"/>
        <v>-2000</v>
      </c>
      <c r="H765" s="49" t="s">
        <v>838</v>
      </c>
    </row>
    <row r="766" spans="1:8" x14ac:dyDescent="0.2">
      <c r="A766" s="16">
        <v>42482</v>
      </c>
      <c r="B766" s="41" t="s">
        <v>18</v>
      </c>
      <c r="C766" s="41" t="s">
        <v>309</v>
      </c>
      <c r="D766" s="108" t="s">
        <v>710</v>
      </c>
      <c r="E766" s="42">
        <v>1000</v>
      </c>
      <c r="G766" s="42">
        <f t="shared" si="13"/>
        <v>-1000</v>
      </c>
      <c r="H766" s="49" t="s">
        <v>838</v>
      </c>
    </row>
    <row r="767" spans="1:8" x14ac:dyDescent="0.2">
      <c r="A767" s="16">
        <v>42482</v>
      </c>
      <c r="B767" s="41" t="s">
        <v>40</v>
      </c>
      <c r="C767" s="41" t="s">
        <v>64</v>
      </c>
      <c r="D767" s="108" t="s">
        <v>711</v>
      </c>
      <c r="E767" s="42">
        <v>500</v>
      </c>
      <c r="G767" s="42">
        <f t="shared" si="13"/>
        <v>-500</v>
      </c>
      <c r="H767" s="49" t="s">
        <v>838</v>
      </c>
    </row>
    <row r="768" spans="1:8" x14ac:dyDescent="0.2">
      <c r="A768" s="16">
        <v>42482</v>
      </c>
      <c r="B768" s="41" t="s">
        <v>40</v>
      </c>
      <c r="C768" s="41" t="s">
        <v>372</v>
      </c>
      <c r="D768" s="108" t="s">
        <v>5668</v>
      </c>
      <c r="E768" s="42">
        <v>1030000</v>
      </c>
      <c r="G768" s="42">
        <f t="shared" si="13"/>
        <v>-1030000</v>
      </c>
      <c r="H768" s="49" t="s">
        <v>838</v>
      </c>
    </row>
    <row r="769" spans="1:8" x14ac:dyDescent="0.2">
      <c r="A769" s="16">
        <v>42483</v>
      </c>
      <c r="B769" s="41" t="s">
        <v>40</v>
      </c>
      <c r="C769" s="41" t="s">
        <v>64</v>
      </c>
      <c r="D769" s="108" t="s">
        <v>392</v>
      </c>
      <c r="E769" s="42">
        <v>100</v>
      </c>
      <c r="G769" s="42">
        <f t="shared" si="13"/>
        <v>-100</v>
      </c>
      <c r="H769" s="49" t="s">
        <v>838</v>
      </c>
    </row>
    <row r="770" spans="1:8" x14ac:dyDescent="0.2">
      <c r="A770" s="16">
        <v>42483</v>
      </c>
      <c r="B770" s="41" t="s">
        <v>16</v>
      </c>
      <c r="C770" s="41" t="s">
        <v>712</v>
      </c>
      <c r="D770" s="108" t="s">
        <v>713</v>
      </c>
      <c r="E770" s="42">
        <v>30000</v>
      </c>
      <c r="G770" s="42">
        <f t="shared" si="13"/>
        <v>-30000</v>
      </c>
      <c r="H770" s="49" t="s">
        <v>838</v>
      </c>
    </row>
    <row r="771" spans="1:8" x14ac:dyDescent="0.2">
      <c r="A771" s="16">
        <v>42483</v>
      </c>
      <c r="B771" s="41" t="s">
        <v>40</v>
      </c>
      <c r="C771" s="41" t="s">
        <v>262</v>
      </c>
      <c r="D771" s="108" t="s">
        <v>286</v>
      </c>
      <c r="E771" s="42">
        <v>100</v>
      </c>
      <c r="G771" s="42">
        <f t="shared" si="13"/>
        <v>-100</v>
      </c>
      <c r="H771" s="49" t="s">
        <v>838</v>
      </c>
    </row>
    <row r="772" spans="1:8" x14ac:dyDescent="0.2">
      <c r="A772" s="16">
        <v>42483</v>
      </c>
      <c r="B772" s="41" t="s">
        <v>154</v>
      </c>
      <c r="C772" s="41" t="s">
        <v>929</v>
      </c>
      <c r="D772" s="108" t="s">
        <v>714</v>
      </c>
      <c r="E772" s="42">
        <v>30000</v>
      </c>
      <c r="G772" s="42">
        <f t="shared" si="13"/>
        <v>-30000</v>
      </c>
      <c r="H772" s="49" t="s">
        <v>838</v>
      </c>
    </row>
    <row r="773" spans="1:8" x14ac:dyDescent="0.2">
      <c r="A773" s="16">
        <v>42483</v>
      </c>
      <c r="B773" s="41" t="s">
        <v>154</v>
      </c>
      <c r="C773" s="41" t="s">
        <v>414</v>
      </c>
      <c r="D773" s="108" t="s">
        <v>715</v>
      </c>
      <c r="E773" s="42">
        <v>15000</v>
      </c>
      <c r="G773" s="42">
        <f t="shared" si="13"/>
        <v>-15000</v>
      </c>
      <c r="H773" s="49" t="s">
        <v>838</v>
      </c>
    </row>
    <row r="774" spans="1:8" x14ac:dyDescent="0.2">
      <c r="A774" s="16">
        <v>42483</v>
      </c>
      <c r="B774" s="41" t="s">
        <v>40</v>
      </c>
      <c r="C774" s="41" t="s">
        <v>716</v>
      </c>
      <c r="D774" s="108" t="s">
        <v>717</v>
      </c>
      <c r="E774" s="42">
        <v>800000</v>
      </c>
      <c r="G774" s="42">
        <f t="shared" si="13"/>
        <v>-800000</v>
      </c>
      <c r="H774" s="49" t="s">
        <v>838</v>
      </c>
    </row>
    <row r="775" spans="1:8" x14ac:dyDescent="0.2">
      <c r="A775" s="16">
        <v>42483</v>
      </c>
      <c r="B775" s="41" t="s">
        <v>154</v>
      </c>
      <c r="C775" s="41" t="s">
        <v>220</v>
      </c>
      <c r="D775" s="108" t="s">
        <v>718</v>
      </c>
      <c r="E775" s="42">
        <v>20050</v>
      </c>
      <c r="G775" s="42">
        <f t="shared" si="13"/>
        <v>-20050</v>
      </c>
      <c r="H775" s="49" t="s">
        <v>838</v>
      </c>
    </row>
    <row r="776" spans="1:8" x14ac:dyDescent="0.2">
      <c r="A776" s="16">
        <v>42485</v>
      </c>
      <c r="B776" s="41" t="s">
        <v>40</v>
      </c>
      <c r="C776" s="41" t="s">
        <v>40</v>
      </c>
      <c r="D776" s="108" t="s">
        <v>672</v>
      </c>
      <c r="F776" s="42">
        <v>1000000</v>
      </c>
      <c r="G776" s="42">
        <f t="shared" si="13"/>
        <v>1000000</v>
      </c>
      <c r="H776" s="49" t="s">
        <v>838</v>
      </c>
    </row>
    <row r="777" spans="1:8" x14ac:dyDescent="0.2">
      <c r="A777" s="16">
        <v>42485</v>
      </c>
      <c r="B777" s="41" t="s">
        <v>40</v>
      </c>
      <c r="C777" s="41" t="s">
        <v>40</v>
      </c>
      <c r="D777" s="108" t="s">
        <v>672</v>
      </c>
      <c r="F777" s="42">
        <v>1500000</v>
      </c>
      <c r="G777" s="42">
        <f t="shared" si="13"/>
        <v>1500000</v>
      </c>
      <c r="H777" s="49" t="s">
        <v>838</v>
      </c>
    </row>
    <row r="778" spans="1:8" x14ac:dyDescent="0.2">
      <c r="A778" s="16">
        <v>42485</v>
      </c>
      <c r="B778" s="41" t="s">
        <v>40</v>
      </c>
      <c r="C778" s="41" t="s">
        <v>40</v>
      </c>
      <c r="D778" s="108" t="s">
        <v>672</v>
      </c>
      <c r="F778" s="42">
        <v>1500000</v>
      </c>
      <c r="G778" s="42">
        <f t="shared" si="13"/>
        <v>1500000</v>
      </c>
      <c r="H778" s="49" t="s">
        <v>838</v>
      </c>
    </row>
    <row r="779" spans="1:8" x14ac:dyDescent="0.2">
      <c r="A779" s="16">
        <v>42485</v>
      </c>
      <c r="B779" s="41" t="s">
        <v>82</v>
      </c>
      <c r="C779" s="41" t="s">
        <v>886</v>
      </c>
      <c r="D779" s="108" t="s">
        <v>719</v>
      </c>
      <c r="E779" s="42">
        <v>56000</v>
      </c>
      <c r="G779" s="42">
        <f t="shared" si="13"/>
        <v>-56000</v>
      </c>
      <c r="H779" s="49" t="s">
        <v>838</v>
      </c>
    </row>
    <row r="780" spans="1:8" x14ac:dyDescent="0.2">
      <c r="A780" s="16">
        <v>42485</v>
      </c>
      <c r="B780" s="41" t="s">
        <v>82</v>
      </c>
      <c r="C780" s="41" t="s">
        <v>886</v>
      </c>
      <c r="D780" s="108" t="s">
        <v>370</v>
      </c>
      <c r="E780" s="42">
        <v>9500</v>
      </c>
      <c r="G780" s="42">
        <f t="shared" si="13"/>
        <v>-9500</v>
      </c>
      <c r="H780" s="49" t="s">
        <v>838</v>
      </c>
    </row>
    <row r="781" spans="1:8" x14ac:dyDescent="0.2">
      <c r="A781" s="16">
        <v>42485</v>
      </c>
      <c r="B781" s="41" t="s">
        <v>40</v>
      </c>
      <c r="C781" s="41" t="s">
        <v>444</v>
      </c>
      <c r="D781" s="108" t="s">
        <v>720</v>
      </c>
      <c r="E781" s="42">
        <v>250</v>
      </c>
      <c r="G781" s="42">
        <f t="shared" si="13"/>
        <v>-250</v>
      </c>
      <c r="H781" s="49" t="s">
        <v>838</v>
      </c>
    </row>
    <row r="782" spans="1:8" x14ac:dyDescent="0.2">
      <c r="A782" s="16">
        <v>42485</v>
      </c>
      <c r="B782" s="41" t="s">
        <v>40</v>
      </c>
      <c r="C782" s="41" t="s">
        <v>40</v>
      </c>
      <c r="D782" s="108" t="s">
        <v>286</v>
      </c>
      <c r="E782" s="42">
        <v>2000</v>
      </c>
      <c r="G782" s="42">
        <f t="shared" ref="G782:G813" si="14">F782-E782</f>
        <v>-2000</v>
      </c>
      <c r="H782" s="49" t="s">
        <v>838</v>
      </c>
    </row>
    <row r="783" spans="1:8" x14ac:dyDescent="0.2">
      <c r="A783" s="16">
        <v>42485</v>
      </c>
      <c r="B783" s="41" t="s">
        <v>40</v>
      </c>
      <c r="C783" s="41" t="s">
        <v>444</v>
      </c>
      <c r="D783" s="108" t="s">
        <v>370</v>
      </c>
      <c r="E783" s="42">
        <v>10000</v>
      </c>
      <c r="G783" s="42">
        <f t="shared" si="14"/>
        <v>-10000</v>
      </c>
      <c r="H783" s="49" t="s">
        <v>838</v>
      </c>
    </row>
    <row r="784" spans="1:8" ht="12.75" customHeight="1" x14ac:dyDescent="0.2">
      <c r="A784" s="16">
        <v>42485</v>
      </c>
      <c r="B784" s="41" t="s">
        <v>154</v>
      </c>
      <c r="C784" s="41" t="s">
        <v>67</v>
      </c>
      <c r="D784" s="108" t="s">
        <v>721</v>
      </c>
      <c r="E784" s="42">
        <v>14605</v>
      </c>
      <c r="G784" s="42">
        <f t="shared" si="14"/>
        <v>-14605</v>
      </c>
      <c r="H784" s="49" t="s">
        <v>838</v>
      </c>
    </row>
    <row r="785" spans="1:8" x14ac:dyDescent="0.2">
      <c r="A785" s="16">
        <v>42485</v>
      </c>
      <c r="B785" s="41" t="s">
        <v>40</v>
      </c>
      <c r="C785" s="41" t="s">
        <v>80</v>
      </c>
      <c r="D785" s="108" t="s">
        <v>583</v>
      </c>
      <c r="E785" s="42">
        <v>15626</v>
      </c>
      <c r="G785" s="42">
        <f t="shared" si="14"/>
        <v>-15626</v>
      </c>
      <c r="H785" s="49" t="s">
        <v>838</v>
      </c>
    </row>
    <row r="786" spans="1:8" x14ac:dyDescent="0.2">
      <c r="A786" s="16">
        <v>42485</v>
      </c>
      <c r="B786" s="41" t="s">
        <v>40</v>
      </c>
      <c r="C786" s="41" t="s">
        <v>80</v>
      </c>
      <c r="D786" s="108" t="s">
        <v>583</v>
      </c>
      <c r="E786" s="42">
        <v>11318</v>
      </c>
      <c r="G786" s="42">
        <f t="shared" si="14"/>
        <v>-11318</v>
      </c>
      <c r="H786" s="49" t="s">
        <v>838</v>
      </c>
    </row>
    <row r="787" spans="1:8" x14ac:dyDescent="0.2">
      <c r="A787" s="16">
        <v>42486</v>
      </c>
      <c r="B787" s="41" t="s">
        <v>16</v>
      </c>
      <c r="C787" s="41" t="s">
        <v>262</v>
      </c>
      <c r="D787" s="108" t="s">
        <v>722</v>
      </c>
      <c r="E787" s="42">
        <v>500</v>
      </c>
      <c r="G787" s="42">
        <f t="shared" si="14"/>
        <v>-500</v>
      </c>
      <c r="H787" s="49" t="s">
        <v>838</v>
      </c>
    </row>
    <row r="788" spans="1:8" x14ac:dyDescent="0.2">
      <c r="A788" s="16">
        <v>42486</v>
      </c>
      <c r="B788" s="41" t="s">
        <v>16</v>
      </c>
      <c r="C788" s="41" t="s">
        <v>221</v>
      </c>
      <c r="D788" s="108" t="s">
        <v>723</v>
      </c>
      <c r="E788" s="42">
        <v>270</v>
      </c>
      <c r="G788" s="42">
        <f t="shared" si="14"/>
        <v>-270</v>
      </c>
      <c r="H788" s="49" t="s">
        <v>838</v>
      </c>
    </row>
    <row r="789" spans="1:8" x14ac:dyDescent="0.2">
      <c r="A789" s="16">
        <v>42486</v>
      </c>
      <c r="B789" s="41" t="s">
        <v>154</v>
      </c>
      <c r="C789" s="41" t="s">
        <v>220</v>
      </c>
      <c r="D789" s="108" t="s">
        <v>724</v>
      </c>
      <c r="E789" s="42">
        <v>3150</v>
      </c>
      <c r="G789" s="42">
        <f t="shared" si="14"/>
        <v>-3150</v>
      </c>
      <c r="H789" s="49" t="s">
        <v>838</v>
      </c>
    </row>
    <row r="790" spans="1:8" x14ac:dyDescent="0.2">
      <c r="A790" s="16">
        <v>42486</v>
      </c>
      <c r="B790" s="41" t="s">
        <v>25</v>
      </c>
      <c r="C790" s="41" t="s">
        <v>1894</v>
      </c>
      <c r="D790" s="108" t="s">
        <v>725</v>
      </c>
      <c r="E790" s="42">
        <v>7800</v>
      </c>
      <c r="G790" s="42">
        <f t="shared" si="14"/>
        <v>-7800</v>
      </c>
      <c r="H790" s="49" t="s">
        <v>838</v>
      </c>
    </row>
    <row r="791" spans="1:8" x14ac:dyDescent="0.2">
      <c r="A791" s="16">
        <v>42486</v>
      </c>
      <c r="B791" s="41" t="s">
        <v>16</v>
      </c>
      <c r="C791" s="41" t="s">
        <v>103</v>
      </c>
      <c r="D791" s="108" t="s">
        <v>726</v>
      </c>
      <c r="E791" s="42">
        <v>125</v>
      </c>
      <c r="G791" s="42">
        <f t="shared" si="14"/>
        <v>-125</v>
      </c>
      <c r="H791" s="49" t="s">
        <v>838</v>
      </c>
    </row>
    <row r="792" spans="1:8" x14ac:dyDescent="0.2">
      <c r="A792" s="16">
        <v>42486</v>
      </c>
      <c r="B792" s="41" t="s">
        <v>40</v>
      </c>
      <c r="C792" s="41" t="s">
        <v>1501</v>
      </c>
      <c r="D792" s="108" t="s">
        <v>727</v>
      </c>
      <c r="E792" s="42">
        <v>18300</v>
      </c>
      <c r="G792" s="42">
        <f t="shared" si="14"/>
        <v>-18300</v>
      </c>
      <c r="H792" s="49" t="s">
        <v>838</v>
      </c>
    </row>
    <row r="793" spans="1:8" x14ac:dyDescent="0.2">
      <c r="A793" s="16">
        <v>42486</v>
      </c>
      <c r="B793" s="41" t="s">
        <v>40</v>
      </c>
      <c r="C793" s="41" t="s">
        <v>64</v>
      </c>
      <c r="D793" s="108" t="s">
        <v>728</v>
      </c>
      <c r="E793" s="42">
        <v>5500</v>
      </c>
      <c r="G793" s="42">
        <f t="shared" si="14"/>
        <v>-5500</v>
      </c>
      <c r="H793" s="49" t="s">
        <v>838</v>
      </c>
    </row>
    <row r="794" spans="1:8" x14ac:dyDescent="0.2">
      <c r="A794" s="16">
        <v>42486</v>
      </c>
      <c r="B794" s="41" t="s">
        <v>40</v>
      </c>
      <c r="C794" s="41" t="s">
        <v>729</v>
      </c>
      <c r="D794" s="108" t="s">
        <v>730</v>
      </c>
      <c r="E794" s="42">
        <v>200</v>
      </c>
      <c r="G794" s="42">
        <f t="shared" si="14"/>
        <v>-200</v>
      </c>
      <c r="H794" s="49" t="s">
        <v>838</v>
      </c>
    </row>
    <row r="795" spans="1:8" x14ac:dyDescent="0.2">
      <c r="A795" s="16">
        <v>42486</v>
      </c>
      <c r="B795" s="41" t="s">
        <v>40</v>
      </c>
      <c r="C795" s="41" t="s">
        <v>40</v>
      </c>
      <c r="D795" s="108" t="s">
        <v>286</v>
      </c>
      <c r="E795" s="42">
        <v>300</v>
      </c>
      <c r="G795" s="42">
        <f t="shared" si="14"/>
        <v>-300</v>
      </c>
      <c r="H795" s="49" t="s">
        <v>838</v>
      </c>
    </row>
    <row r="796" spans="1:8" x14ac:dyDescent="0.2">
      <c r="A796" s="16">
        <v>42486</v>
      </c>
      <c r="B796" s="41" t="s">
        <v>40</v>
      </c>
      <c r="C796" s="41" t="s">
        <v>221</v>
      </c>
      <c r="D796" s="108" t="s">
        <v>286</v>
      </c>
      <c r="E796" s="42">
        <v>100</v>
      </c>
      <c r="G796" s="42">
        <f t="shared" si="14"/>
        <v>-100</v>
      </c>
      <c r="H796" s="49" t="s">
        <v>838</v>
      </c>
    </row>
    <row r="797" spans="1:8" x14ac:dyDescent="0.2">
      <c r="A797" s="16">
        <v>42486</v>
      </c>
      <c r="B797" s="41" t="s">
        <v>40</v>
      </c>
      <c r="C797" s="41" t="s">
        <v>731</v>
      </c>
      <c r="D797" s="108" t="s">
        <v>732</v>
      </c>
      <c r="E797" s="42">
        <v>15000</v>
      </c>
      <c r="G797" s="42">
        <f t="shared" si="14"/>
        <v>-15000</v>
      </c>
      <c r="H797" s="49" t="s">
        <v>838</v>
      </c>
    </row>
    <row r="798" spans="1:8" x14ac:dyDescent="0.2">
      <c r="A798" s="16">
        <v>42486</v>
      </c>
      <c r="B798" s="41" t="s">
        <v>40</v>
      </c>
      <c r="C798" s="41" t="s">
        <v>624</v>
      </c>
      <c r="D798" s="108" t="s">
        <v>733</v>
      </c>
      <c r="E798" s="42">
        <v>5000</v>
      </c>
      <c r="G798" s="42">
        <f t="shared" si="14"/>
        <v>-5000</v>
      </c>
      <c r="H798" s="49" t="s">
        <v>838</v>
      </c>
    </row>
    <row r="799" spans="1:8" x14ac:dyDescent="0.2">
      <c r="A799" s="16">
        <v>42486</v>
      </c>
      <c r="B799" s="41" t="s">
        <v>40</v>
      </c>
      <c r="C799" s="41" t="s">
        <v>64</v>
      </c>
      <c r="D799" s="108" t="s">
        <v>738</v>
      </c>
      <c r="E799" s="42">
        <v>500</v>
      </c>
      <c r="G799" s="42">
        <f t="shared" si="14"/>
        <v>-500</v>
      </c>
      <c r="H799" s="49" t="s">
        <v>838</v>
      </c>
    </row>
    <row r="800" spans="1:8" x14ac:dyDescent="0.2">
      <c r="A800" s="16">
        <v>42487</v>
      </c>
      <c r="B800" s="41" t="s">
        <v>40</v>
      </c>
      <c r="C800" s="41" t="s">
        <v>1894</v>
      </c>
      <c r="D800" s="108" t="s">
        <v>286</v>
      </c>
      <c r="E800" s="42">
        <v>2560</v>
      </c>
      <c r="G800" s="42">
        <f t="shared" si="14"/>
        <v>-2560</v>
      </c>
      <c r="H800" s="49" t="s">
        <v>838</v>
      </c>
    </row>
    <row r="801" spans="1:8" ht="12.75" customHeight="1" x14ac:dyDescent="0.2">
      <c r="A801" s="16">
        <v>42487</v>
      </c>
      <c r="B801" s="41" t="s">
        <v>25</v>
      </c>
      <c r="C801" s="41" t="s">
        <v>1894</v>
      </c>
      <c r="D801" s="108" t="s">
        <v>73</v>
      </c>
      <c r="E801" s="42">
        <v>1685</v>
      </c>
      <c r="G801" s="42">
        <f t="shared" si="14"/>
        <v>-1685</v>
      </c>
      <c r="H801" s="49" t="s">
        <v>838</v>
      </c>
    </row>
    <row r="802" spans="1:8" ht="12.75" customHeight="1" x14ac:dyDescent="0.2">
      <c r="A802" s="16">
        <v>42487</v>
      </c>
      <c r="B802" s="41" t="s">
        <v>40</v>
      </c>
      <c r="C802" s="41" t="s">
        <v>64</v>
      </c>
      <c r="D802" s="108" t="s">
        <v>735</v>
      </c>
      <c r="E802" s="42">
        <v>7177</v>
      </c>
      <c r="G802" s="42">
        <f t="shared" si="14"/>
        <v>-7177</v>
      </c>
      <c r="H802" s="49" t="s">
        <v>838</v>
      </c>
    </row>
    <row r="803" spans="1:8" ht="12.75" customHeight="1" x14ac:dyDescent="0.2">
      <c r="A803" s="16">
        <v>42487</v>
      </c>
      <c r="B803" s="41" t="s">
        <v>40</v>
      </c>
      <c r="C803" s="41" t="s">
        <v>64</v>
      </c>
      <c r="D803" s="108" t="s">
        <v>736</v>
      </c>
      <c r="E803" s="42">
        <v>1000</v>
      </c>
      <c r="G803" s="42">
        <f t="shared" si="14"/>
        <v>-1000</v>
      </c>
      <c r="H803" s="49" t="s">
        <v>838</v>
      </c>
    </row>
    <row r="804" spans="1:8" ht="12.75" customHeight="1" x14ac:dyDescent="0.2">
      <c r="A804" s="16">
        <v>42487</v>
      </c>
      <c r="B804" s="41" t="s">
        <v>40</v>
      </c>
      <c r="C804" s="41" t="s">
        <v>64</v>
      </c>
      <c r="D804" s="108" t="s">
        <v>737</v>
      </c>
      <c r="E804" s="42">
        <v>1929</v>
      </c>
      <c r="G804" s="42">
        <f t="shared" si="14"/>
        <v>-1929</v>
      </c>
      <c r="H804" s="49" t="s">
        <v>838</v>
      </c>
    </row>
    <row r="805" spans="1:8" ht="12.75" customHeight="1" x14ac:dyDescent="0.2">
      <c r="A805" s="16">
        <v>42488</v>
      </c>
      <c r="B805" s="41" t="s">
        <v>40</v>
      </c>
      <c r="C805" s="41" t="s">
        <v>406</v>
      </c>
      <c r="D805" s="108" t="s">
        <v>734</v>
      </c>
      <c r="E805" s="42">
        <v>49500</v>
      </c>
      <c r="G805" s="42">
        <f t="shared" si="14"/>
        <v>-49500</v>
      </c>
      <c r="H805" s="49" t="s">
        <v>838</v>
      </c>
    </row>
    <row r="806" spans="1:8" ht="12.75" customHeight="1" x14ac:dyDescent="0.2">
      <c r="A806" s="16">
        <v>42488</v>
      </c>
      <c r="B806" s="41" t="s">
        <v>16</v>
      </c>
      <c r="C806" s="41" t="s">
        <v>103</v>
      </c>
      <c r="D806" s="108" t="s">
        <v>739</v>
      </c>
      <c r="E806" s="42">
        <v>80</v>
      </c>
      <c r="G806" s="42">
        <f t="shared" si="14"/>
        <v>-80</v>
      </c>
      <c r="H806" s="49" t="s">
        <v>838</v>
      </c>
    </row>
    <row r="807" spans="1:8" x14ac:dyDescent="0.2">
      <c r="A807" s="16">
        <v>42488</v>
      </c>
      <c r="B807" s="41" t="s">
        <v>37</v>
      </c>
      <c r="C807" s="41" t="s">
        <v>194</v>
      </c>
      <c r="D807" s="108" t="s">
        <v>740</v>
      </c>
      <c r="E807" s="42">
        <v>2100</v>
      </c>
      <c r="G807" s="42">
        <f t="shared" si="14"/>
        <v>-2100</v>
      </c>
      <c r="H807" s="49" t="s">
        <v>838</v>
      </c>
    </row>
    <row r="808" spans="1:8" x14ac:dyDescent="0.2">
      <c r="A808" s="16">
        <v>42488</v>
      </c>
      <c r="B808" s="41" t="s">
        <v>40</v>
      </c>
      <c r="C808" s="41" t="s">
        <v>146</v>
      </c>
      <c r="D808" s="108" t="s">
        <v>741</v>
      </c>
      <c r="E808" s="42">
        <v>1490</v>
      </c>
      <c r="G808" s="42">
        <f t="shared" si="14"/>
        <v>-1490</v>
      </c>
      <c r="H808" s="49" t="s">
        <v>838</v>
      </c>
    </row>
    <row r="809" spans="1:8" x14ac:dyDescent="0.2">
      <c r="A809" s="16">
        <v>42488</v>
      </c>
      <c r="B809" s="41" t="s">
        <v>16</v>
      </c>
      <c r="C809" s="41" t="s">
        <v>1689</v>
      </c>
      <c r="D809" s="108" t="s">
        <v>370</v>
      </c>
      <c r="E809" s="42">
        <v>28237</v>
      </c>
      <c r="G809" s="42">
        <f t="shared" si="14"/>
        <v>-28237</v>
      </c>
      <c r="H809" s="49" t="s">
        <v>838</v>
      </c>
    </row>
    <row r="810" spans="1:8" x14ac:dyDescent="0.2">
      <c r="A810" s="16">
        <v>42488</v>
      </c>
      <c r="B810" s="41" t="s">
        <v>25</v>
      </c>
      <c r="C810" s="41" t="s">
        <v>1689</v>
      </c>
      <c r="D810" s="108" t="s">
        <v>370</v>
      </c>
      <c r="E810" s="42">
        <v>10010</v>
      </c>
      <c r="G810" s="42">
        <f t="shared" si="14"/>
        <v>-10010</v>
      </c>
      <c r="H810" s="49" t="s">
        <v>838</v>
      </c>
    </row>
    <row r="811" spans="1:8" x14ac:dyDescent="0.2">
      <c r="A811" s="16">
        <v>42488</v>
      </c>
      <c r="B811" s="41" t="s">
        <v>40</v>
      </c>
      <c r="C811" s="41" t="s">
        <v>745</v>
      </c>
      <c r="D811" s="108" t="s">
        <v>746</v>
      </c>
      <c r="E811" s="42">
        <v>100</v>
      </c>
      <c r="G811" s="42">
        <f t="shared" si="14"/>
        <v>-100</v>
      </c>
      <c r="H811" s="49" t="s">
        <v>838</v>
      </c>
    </row>
    <row r="812" spans="1:8" x14ac:dyDescent="0.2">
      <c r="A812" s="16">
        <v>42488</v>
      </c>
      <c r="B812" s="41" t="s">
        <v>16</v>
      </c>
      <c r="C812" s="41" t="s">
        <v>14</v>
      </c>
      <c r="D812" s="108" t="s">
        <v>756</v>
      </c>
      <c r="E812" s="42">
        <v>500</v>
      </c>
      <c r="G812" s="42">
        <f t="shared" si="14"/>
        <v>-500</v>
      </c>
      <c r="H812" s="49" t="s">
        <v>838</v>
      </c>
    </row>
    <row r="813" spans="1:8" x14ac:dyDescent="0.2">
      <c r="A813" s="16">
        <v>42488</v>
      </c>
      <c r="B813" s="41" t="s">
        <v>40</v>
      </c>
      <c r="C813" s="41" t="s">
        <v>372</v>
      </c>
      <c r="D813" s="108" t="s">
        <v>392</v>
      </c>
      <c r="E813" s="42">
        <v>908</v>
      </c>
      <c r="G813" s="42">
        <f t="shared" si="14"/>
        <v>-908</v>
      </c>
      <c r="H813" s="49" t="s">
        <v>838</v>
      </c>
    </row>
    <row r="814" spans="1:8" x14ac:dyDescent="0.2">
      <c r="A814" s="16">
        <v>42488</v>
      </c>
      <c r="B814" s="41" t="s">
        <v>40</v>
      </c>
      <c r="C814" s="41" t="s">
        <v>146</v>
      </c>
      <c r="D814" s="108" t="s">
        <v>762</v>
      </c>
      <c r="E814" s="42">
        <v>500</v>
      </c>
      <c r="H814" s="49" t="s">
        <v>838</v>
      </c>
    </row>
    <row r="815" spans="1:8" x14ac:dyDescent="0.2">
      <c r="A815" s="16">
        <v>42489</v>
      </c>
      <c r="B815" s="41" t="s">
        <v>154</v>
      </c>
      <c r="C815" s="41" t="s">
        <v>154</v>
      </c>
      <c r="D815" s="108" t="s">
        <v>742</v>
      </c>
      <c r="F815" s="42">
        <v>1929685</v>
      </c>
      <c r="G815" s="42">
        <f t="shared" ref="G815:G820" si="15">F815-E815</f>
        <v>1929685</v>
      </c>
      <c r="H815" s="49" t="s">
        <v>838</v>
      </c>
    </row>
    <row r="816" spans="1:8" x14ac:dyDescent="0.2">
      <c r="A816" s="16">
        <v>42489</v>
      </c>
      <c r="B816" s="41" t="s">
        <v>37</v>
      </c>
      <c r="C816" s="41" t="s">
        <v>37</v>
      </c>
      <c r="D816" s="108" t="s">
        <v>743</v>
      </c>
      <c r="F816" s="42">
        <v>157140</v>
      </c>
      <c r="G816" s="42">
        <f t="shared" si="15"/>
        <v>157140</v>
      </c>
      <c r="H816" s="49" t="s">
        <v>838</v>
      </c>
    </row>
    <row r="817" spans="1:8" x14ac:dyDescent="0.2">
      <c r="A817" s="16">
        <v>42489</v>
      </c>
      <c r="B817" s="41" t="s">
        <v>18</v>
      </c>
      <c r="C817" s="41" t="s">
        <v>14</v>
      </c>
      <c r="D817" s="108" t="s">
        <v>751</v>
      </c>
      <c r="E817" s="42">
        <v>5000</v>
      </c>
      <c r="G817" s="42">
        <f t="shared" si="15"/>
        <v>-5000</v>
      </c>
      <c r="H817" s="49" t="s">
        <v>838</v>
      </c>
    </row>
    <row r="818" spans="1:8" x14ac:dyDescent="0.2">
      <c r="A818" s="16">
        <v>42489</v>
      </c>
      <c r="B818" s="41" t="s">
        <v>40</v>
      </c>
      <c r="C818" s="41" t="s">
        <v>752</v>
      </c>
      <c r="D818" s="108" t="s">
        <v>753</v>
      </c>
      <c r="E818" s="42">
        <v>40000</v>
      </c>
      <c r="G818" s="42">
        <f t="shared" si="15"/>
        <v>-40000</v>
      </c>
      <c r="H818" s="49" t="s">
        <v>838</v>
      </c>
    </row>
    <row r="819" spans="1:8" x14ac:dyDescent="0.2">
      <c r="A819" s="16">
        <v>42489</v>
      </c>
      <c r="B819" s="41" t="s">
        <v>40</v>
      </c>
      <c r="C819" s="41" t="s">
        <v>754</v>
      </c>
      <c r="D819" s="108" t="s">
        <v>755</v>
      </c>
      <c r="E819" s="42">
        <v>150</v>
      </c>
      <c r="G819" s="42">
        <f t="shared" si="15"/>
        <v>-150</v>
      </c>
      <c r="H819" s="49" t="s">
        <v>838</v>
      </c>
    </row>
    <row r="820" spans="1:8" x14ac:dyDescent="0.2">
      <c r="A820" s="16">
        <v>42489</v>
      </c>
      <c r="B820" s="41" t="s">
        <v>40</v>
      </c>
      <c r="C820" s="41" t="s">
        <v>1167</v>
      </c>
      <c r="D820" s="789" t="s">
        <v>760</v>
      </c>
      <c r="E820" s="42">
        <v>1000</v>
      </c>
      <c r="G820" s="42">
        <f t="shared" si="15"/>
        <v>-1000</v>
      </c>
      <c r="H820" s="49" t="s">
        <v>838</v>
      </c>
    </row>
    <row r="821" spans="1:8" x14ac:dyDescent="0.2">
      <c r="A821" s="16">
        <v>42489</v>
      </c>
      <c r="B821" s="41" t="s">
        <v>154</v>
      </c>
      <c r="C821" s="41" t="s">
        <v>220</v>
      </c>
      <c r="D821" s="108" t="s">
        <v>763</v>
      </c>
      <c r="E821" s="42">
        <v>9592</v>
      </c>
      <c r="H821" s="49" t="s">
        <v>838</v>
      </c>
    </row>
    <row r="822" spans="1:8" x14ac:dyDescent="0.2">
      <c r="A822" s="16">
        <v>42489</v>
      </c>
      <c r="B822" s="41" t="s">
        <v>154</v>
      </c>
      <c r="C822" s="41" t="s">
        <v>764</v>
      </c>
      <c r="D822" s="108" t="s">
        <v>765</v>
      </c>
      <c r="E822" s="42">
        <v>16396</v>
      </c>
      <c r="G822" s="42">
        <f t="shared" ref="G822:G885" si="16">F822-E822</f>
        <v>-16396</v>
      </c>
      <c r="H822" s="49" t="s">
        <v>838</v>
      </c>
    </row>
    <row r="823" spans="1:8" x14ac:dyDescent="0.2">
      <c r="A823" s="16">
        <v>42489</v>
      </c>
      <c r="B823" s="41" t="s">
        <v>40</v>
      </c>
      <c r="C823" s="41" t="s">
        <v>764</v>
      </c>
      <c r="D823" s="108" t="s">
        <v>765</v>
      </c>
      <c r="E823" s="42">
        <v>159697</v>
      </c>
      <c r="G823" s="42">
        <f t="shared" si="16"/>
        <v>-159697</v>
      </c>
      <c r="H823" s="49" t="s">
        <v>838</v>
      </c>
    </row>
    <row r="824" spans="1:8" x14ac:dyDescent="0.2">
      <c r="A824" s="16">
        <v>42490</v>
      </c>
      <c r="B824" s="41" t="s">
        <v>40</v>
      </c>
      <c r="C824" s="41" t="s">
        <v>1167</v>
      </c>
      <c r="D824" s="789" t="s">
        <v>747</v>
      </c>
      <c r="E824" s="42">
        <v>3000</v>
      </c>
      <c r="G824" s="42">
        <f t="shared" si="16"/>
        <v>-3000</v>
      </c>
      <c r="H824" s="49" t="s">
        <v>838</v>
      </c>
    </row>
    <row r="825" spans="1:8" x14ac:dyDescent="0.2">
      <c r="A825" s="16">
        <v>42490</v>
      </c>
      <c r="B825" s="41" t="s">
        <v>40</v>
      </c>
      <c r="C825" s="41" t="s">
        <v>1230</v>
      </c>
      <c r="D825" s="108" t="s">
        <v>748</v>
      </c>
      <c r="E825" s="42">
        <v>15000</v>
      </c>
      <c r="G825" s="42">
        <f t="shared" si="16"/>
        <v>-15000</v>
      </c>
      <c r="H825" s="49" t="s">
        <v>838</v>
      </c>
    </row>
    <row r="826" spans="1:8" x14ac:dyDescent="0.2">
      <c r="A826" s="16">
        <v>42490</v>
      </c>
      <c r="B826" s="41" t="s">
        <v>154</v>
      </c>
      <c r="C826" s="41" t="s">
        <v>1230</v>
      </c>
      <c r="D826" s="108" t="s">
        <v>749</v>
      </c>
      <c r="E826" s="42">
        <v>15000</v>
      </c>
      <c r="G826" s="42">
        <f t="shared" si="16"/>
        <v>-15000</v>
      </c>
      <c r="H826" s="49" t="s">
        <v>838</v>
      </c>
    </row>
    <row r="827" spans="1:8" x14ac:dyDescent="0.2">
      <c r="A827" s="16">
        <v>42490</v>
      </c>
      <c r="B827" s="41" t="s">
        <v>16</v>
      </c>
      <c r="C827" s="41" t="s">
        <v>1167</v>
      </c>
      <c r="D827" s="789" t="s">
        <v>750</v>
      </c>
      <c r="E827" s="42">
        <v>2000</v>
      </c>
      <c r="G827" s="42">
        <f t="shared" si="16"/>
        <v>-2000</v>
      </c>
      <c r="H827" s="49" t="s">
        <v>838</v>
      </c>
    </row>
    <row r="828" spans="1:8" x14ac:dyDescent="0.2">
      <c r="A828" s="16">
        <v>42490</v>
      </c>
      <c r="B828" s="41" t="s">
        <v>40</v>
      </c>
      <c r="C828" s="41" t="s">
        <v>551</v>
      </c>
      <c r="D828" s="108" t="s">
        <v>758</v>
      </c>
      <c r="E828" s="42">
        <v>10260</v>
      </c>
      <c r="G828" s="42">
        <f t="shared" si="16"/>
        <v>-10260</v>
      </c>
      <c r="H828" s="49" t="s">
        <v>838</v>
      </c>
    </row>
    <row r="829" spans="1:8" x14ac:dyDescent="0.2">
      <c r="A829" s="16">
        <v>42490</v>
      </c>
      <c r="B829" s="41" t="s">
        <v>40</v>
      </c>
      <c r="C829" s="41" t="s">
        <v>551</v>
      </c>
      <c r="D829" s="108" t="s">
        <v>759</v>
      </c>
      <c r="E829" s="42">
        <v>3760</v>
      </c>
      <c r="G829" s="42">
        <f t="shared" si="16"/>
        <v>-3760</v>
      </c>
      <c r="H829" s="49" t="s">
        <v>838</v>
      </c>
    </row>
    <row r="830" spans="1:8" x14ac:dyDescent="0.2">
      <c r="A830" s="16">
        <v>42490</v>
      </c>
      <c r="B830" s="41" t="s">
        <v>40</v>
      </c>
      <c r="C830" s="41" t="s">
        <v>1167</v>
      </c>
      <c r="D830" s="789" t="s">
        <v>761</v>
      </c>
      <c r="E830" s="42">
        <v>500</v>
      </c>
      <c r="G830" s="42">
        <f t="shared" si="16"/>
        <v>-500</v>
      </c>
      <c r="H830" s="49" t="s">
        <v>838</v>
      </c>
    </row>
    <row r="831" spans="1:8" x14ac:dyDescent="0.2">
      <c r="A831" s="593">
        <v>42492</v>
      </c>
      <c r="B831" s="41" t="s">
        <v>40</v>
      </c>
      <c r="C831" s="41" t="s">
        <v>80</v>
      </c>
      <c r="D831" s="108" t="s">
        <v>770</v>
      </c>
      <c r="E831" s="42">
        <v>2070</v>
      </c>
      <c r="G831" s="42">
        <f t="shared" si="16"/>
        <v>-2070</v>
      </c>
      <c r="H831" s="49" t="s">
        <v>839</v>
      </c>
    </row>
    <row r="832" spans="1:8" x14ac:dyDescent="0.2">
      <c r="A832" s="593">
        <v>42492</v>
      </c>
      <c r="B832" s="41" t="s">
        <v>40</v>
      </c>
      <c r="C832" s="41" t="s">
        <v>221</v>
      </c>
      <c r="D832" s="108" t="s">
        <v>771</v>
      </c>
      <c r="E832" s="42">
        <v>1000</v>
      </c>
      <c r="G832" s="42">
        <f t="shared" si="16"/>
        <v>-1000</v>
      </c>
      <c r="H832" s="49" t="s">
        <v>839</v>
      </c>
    </row>
    <row r="833" spans="1:8" x14ac:dyDescent="0.2">
      <c r="A833" s="593">
        <v>42492</v>
      </c>
      <c r="B833" s="41" t="s">
        <v>154</v>
      </c>
      <c r="C833" s="41" t="s">
        <v>929</v>
      </c>
      <c r="D833" s="108" t="s">
        <v>772</v>
      </c>
      <c r="E833" s="42">
        <v>2000</v>
      </c>
      <c r="G833" s="42">
        <f t="shared" si="16"/>
        <v>-2000</v>
      </c>
      <c r="H833" s="49" t="s">
        <v>839</v>
      </c>
    </row>
    <row r="834" spans="1:8" x14ac:dyDescent="0.2">
      <c r="A834" s="593">
        <v>42492</v>
      </c>
      <c r="B834" s="41" t="s">
        <v>16</v>
      </c>
      <c r="C834" s="41" t="s">
        <v>773</v>
      </c>
      <c r="D834" s="108" t="s">
        <v>774</v>
      </c>
      <c r="E834" s="42">
        <v>100</v>
      </c>
      <c r="G834" s="42">
        <f t="shared" si="16"/>
        <v>-100</v>
      </c>
      <c r="H834" s="49" t="s">
        <v>839</v>
      </c>
    </row>
    <row r="835" spans="1:8" x14ac:dyDescent="0.2">
      <c r="A835" s="593">
        <v>42492</v>
      </c>
      <c r="B835" s="41" t="s">
        <v>16</v>
      </c>
      <c r="C835" s="41" t="s">
        <v>221</v>
      </c>
      <c r="D835" s="108" t="s">
        <v>775</v>
      </c>
      <c r="E835" s="42">
        <v>100</v>
      </c>
      <c r="G835" s="42">
        <f t="shared" si="16"/>
        <v>-100</v>
      </c>
      <c r="H835" s="49" t="s">
        <v>839</v>
      </c>
    </row>
    <row r="836" spans="1:8" x14ac:dyDescent="0.2">
      <c r="A836" s="593">
        <v>42492</v>
      </c>
      <c r="B836" s="41" t="s">
        <v>18</v>
      </c>
      <c r="C836" s="41" t="s">
        <v>272</v>
      </c>
      <c r="D836" s="108" t="s">
        <v>776</v>
      </c>
      <c r="E836" s="42">
        <v>8000</v>
      </c>
      <c r="G836" s="42">
        <f t="shared" si="16"/>
        <v>-8000</v>
      </c>
      <c r="H836" s="49" t="s">
        <v>839</v>
      </c>
    </row>
    <row r="837" spans="1:8" x14ac:dyDescent="0.2">
      <c r="A837" s="593">
        <v>42492</v>
      </c>
      <c r="B837" s="41" t="s">
        <v>40</v>
      </c>
      <c r="C837" s="41" t="s">
        <v>80</v>
      </c>
      <c r="D837" s="108" t="s">
        <v>777</v>
      </c>
      <c r="E837" s="42">
        <v>500</v>
      </c>
      <c r="G837" s="42">
        <f t="shared" si="16"/>
        <v>-500</v>
      </c>
      <c r="H837" s="49" t="s">
        <v>839</v>
      </c>
    </row>
    <row r="838" spans="1:8" x14ac:dyDescent="0.2">
      <c r="A838" s="16">
        <v>42493</v>
      </c>
      <c r="B838" s="41" t="s">
        <v>40</v>
      </c>
      <c r="C838" s="41" t="s">
        <v>716</v>
      </c>
      <c r="D838" s="108" t="s">
        <v>744</v>
      </c>
      <c r="E838" s="42">
        <v>400000</v>
      </c>
      <c r="G838" s="42">
        <f t="shared" si="16"/>
        <v>-400000</v>
      </c>
      <c r="H838" s="49" t="s">
        <v>839</v>
      </c>
    </row>
    <row r="839" spans="1:8" x14ac:dyDescent="0.2">
      <c r="A839" s="593">
        <v>42493</v>
      </c>
      <c r="B839" s="41" t="s">
        <v>18</v>
      </c>
      <c r="C839" s="41" t="s">
        <v>67</v>
      </c>
      <c r="D839" s="108" t="s">
        <v>392</v>
      </c>
      <c r="E839" s="42">
        <v>1050</v>
      </c>
      <c r="G839" s="42">
        <f t="shared" si="16"/>
        <v>-1050</v>
      </c>
      <c r="H839" s="49" t="s">
        <v>839</v>
      </c>
    </row>
    <row r="840" spans="1:8" x14ac:dyDescent="0.2">
      <c r="A840" s="593">
        <v>42493</v>
      </c>
      <c r="B840" s="41" t="s">
        <v>154</v>
      </c>
      <c r="C840" s="41" t="s">
        <v>67</v>
      </c>
      <c r="D840" s="108" t="s">
        <v>392</v>
      </c>
      <c r="E840" s="42">
        <v>1130</v>
      </c>
      <c r="G840" s="42">
        <f t="shared" si="16"/>
        <v>-1130</v>
      </c>
      <c r="H840" s="49" t="s">
        <v>839</v>
      </c>
    </row>
    <row r="841" spans="1:8" x14ac:dyDescent="0.2">
      <c r="A841" s="593">
        <v>42493</v>
      </c>
      <c r="B841" s="41" t="s">
        <v>40</v>
      </c>
      <c r="C841" s="41" t="s">
        <v>523</v>
      </c>
      <c r="D841" s="108" t="s">
        <v>370</v>
      </c>
      <c r="E841" s="42">
        <v>2000</v>
      </c>
      <c r="G841" s="42">
        <f t="shared" si="16"/>
        <v>-2000</v>
      </c>
      <c r="H841" s="49" t="s">
        <v>839</v>
      </c>
    </row>
    <row r="842" spans="1:8" x14ac:dyDescent="0.2">
      <c r="A842" s="593">
        <v>42493</v>
      </c>
      <c r="B842" s="41" t="s">
        <v>16</v>
      </c>
      <c r="C842" s="41" t="s">
        <v>103</v>
      </c>
      <c r="D842" s="108" t="s">
        <v>779</v>
      </c>
      <c r="E842" s="42">
        <v>2410</v>
      </c>
      <c r="G842" s="42">
        <f t="shared" si="16"/>
        <v>-2410</v>
      </c>
      <c r="H842" s="49" t="s">
        <v>839</v>
      </c>
    </row>
    <row r="843" spans="1:8" x14ac:dyDescent="0.2">
      <c r="A843" s="593">
        <v>42493</v>
      </c>
      <c r="B843" s="41" t="s">
        <v>40</v>
      </c>
      <c r="C843" s="41" t="s">
        <v>221</v>
      </c>
      <c r="D843" s="108" t="s">
        <v>286</v>
      </c>
      <c r="E843" s="42">
        <v>50</v>
      </c>
      <c r="G843" s="42">
        <f t="shared" si="16"/>
        <v>-50</v>
      </c>
      <c r="H843" s="49" t="s">
        <v>839</v>
      </c>
    </row>
    <row r="844" spans="1:8" x14ac:dyDescent="0.2">
      <c r="A844" s="593">
        <v>42493</v>
      </c>
      <c r="B844" s="41" t="s">
        <v>40</v>
      </c>
      <c r="C844" s="41" t="s">
        <v>780</v>
      </c>
      <c r="D844" s="108" t="s">
        <v>781</v>
      </c>
      <c r="E844" s="42">
        <v>1250</v>
      </c>
      <c r="G844" s="42">
        <f t="shared" si="16"/>
        <v>-1250</v>
      </c>
      <c r="H844" s="49" t="s">
        <v>839</v>
      </c>
    </row>
    <row r="845" spans="1:8" x14ac:dyDescent="0.2">
      <c r="A845" s="593">
        <v>42493</v>
      </c>
      <c r="B845" s="41" t="s">
        <v>40</v>
      </c>
      <c r="C845" s="41" t="s">
        <v>782</v>
      </c>
      <c r="D845" s="108" t="s">
        <v>783</v>
      </c>
      <c r="E845" s="42">
        <v>50000</v>
      </c>
      <c r="G845" s="42">
        <f t="shared" si="16"/>
        <v>-50000</v>
      </c>
      <c r="H845" s="49" t="s">
        <v>839</v>
      </c>
    </row>
    <row r="846" spans="1:8" x14ac:dyDescent="0.2">
      <c r="A846" s="593">
        <v>42493</v>
      </c>
      <c r="B846" s="41" t="s">
        <v>40</v>
      </c>
      <c r="C846" s="41" t="s">
        <v>716</v>
      </c>
      <c r="D846" s="108" t="s">
        <v>784</v>
      </c>
      <c r="E846" s="42">
        <v>50000</v>
      </c>
      <c r="G846" s="42">
        <f t="shared" si="16"/>
        <v>-50000</v>
      </c>
      <c r="H846" s="49" t="s">
        <v>839</v>
      </c>
    </row>
    <row r="847" spans="1:8" x14ac:dyDescent="0.2">
      <c r="A847" s="593">
        <v>42493</v>
      </c>
      <c r="B847" s="41" t="s">
        <v>16</v>
      </c>
      <c r="C847" s="41" t="s">
        <v>103</v>
      </c>
      <c r="D847" s="108" t="s">
        <v>741</v>
      </c>
      <c r="E847" s="42">
        <v>200</v>
      </c>
      <c r="G847" s="42">
        <f t="shared" si="16"/>
        <v>-200</v>
      </c>
      <c r="H847" s="49" t="s">
        <v>839</v>
      </c>
    </row>
    <row r="848" spans="1:8" x14ac:dyDescent="0.2">
      <c r="A848" s="593">
        <v>42494</v>
      </c>
      <c r="B848" s="41" t="s">
        <v>154</v>
      </c>
      <c r="C848" s="41" t="s">
        <v>1501</v>
      </c>
      <c r="D848" s="108" t="s">
        <v>785</v>
      </c>
      <c r="E848" s="42">
        <v>9300</v>
      </c>
      <c r="G848" s="42">
        <f t="shared" si="16"/>
        <v>-9300</v>
      </c>
      <c r="H848" s="49" t="s">
        <v>839</v>
      </c>
    </row>
    <row r="849" spans="1:8" x14ac:dyDescent="0.2">
      <c r="A849" s="593">
        <v>42494</v>
      </c>
      <c r="B849" s="41" t="s">
        <v>40</v>
      </c>
      <c r="C849" s="41" t="s">
        <v>146</v>
      </c>
      <c r="D849" s="108" t="s">
        <v>548</v>
      </c>
      <c r="E849" s="42">
        <v>140</v>
      </c>
      <c r="G849" s="42">
        <f t="shared" si="16"/>
        <v>-140</v>
      </c>
      <c r="H849" s="49" t="s">
        <v>839</v>
      </c>
    </row>
    <row r="850" spans="1:8" x14ac:dyDescent="0.2">
      <c r="A850" s="593">
        <v>42494</v>
      </c>
      <c r="B850" s="41" t="s">
        <v>16</v>
      </c>
      <c r="C850" s="41" t="s">
        <v>221</v>
      </c>
      <c r="D850" s="108" t="s">
        <v>786</v>
      </c>
      <c r="E850" s="42">
        <v>100</v>
      </c>
      <c r="G850" s="42">
        <f t="shared" si="16"/>
        <v>-100</v>
      </c>
      <c r="H850" s="49" t="s">
        <v>839</v>
      </c>
    </row>
    <row r="851" spans="1:8" x14ac:dyDescent="0.2">
      <c r="A851" s="593">
        <v>42494</v>
      </c>
      <c r="B851" s="41" t="s">
        <v>154</v>
      </c>
      <c r="C851" s="41" t="s">
        <v>668</v>
      </c>
      <c r="D851" s="108" t="s">
        <v>787</v>
      </c>
      <c r="E851" s="42">
        <v>1190</v>
      </c>
      <c r="G851" s="42">
        <f t="shared" si="16"/>
        <v>-1190</v>
      </c>
      <c r="H851" s="49" t="s">
        <v>839</v>
      </c>
    </row>
    <row r="852" spans="1:8" x14ac:dyDescent="0.2">
      <c r="A852" s="593">
        <v>42494</v>
      </c>
      <c r="B852" s="41" t="s">
        <v>18</v>
      </c>
      <c r="C852" s="41" t="s">
        <v>668</v>
      </c>
      <c r="D852" s="108" t="s">
        <v>788</v>
      </c>
      <c r="E852" s="42">
        <v>3600</v>
      </c>
      <c r="G852" s="42">
        <f t="shared" si="16"/>
        <v>-3600</v>
      </c>
      <c r="H852" s="49" t="s">
        <v>839</v>
      </c>
    </row>
    <row r="853" spans="1:8" x14ac:dyDescent="0.2">
      <c r="A853" s="593">
        <v>42494</v>
      </c>
      <c r="B853" s="41" t="s">
        <v>11</v>
      </c>
      <c r="C853" s="41" t="s">
        <v>163</v>
      </c>
      <c r="D853" s="108" t="s">
        <v>370</v>
      </c>
      <c r="E853" s="42">
        <v>19180</v>
      </c>
      <c r="G853" s="42">
        <f t="shared" si="16"/>
        <v>-19180</v>
      </c>
      <c r="H853" s="49" t="s">
        <v>839</v>
      </c>
    </row>
    <row r="854" spans="1:8" x14ac:dyDescent="0.2">
      <c r="A854" s="593">
        <v>42495</v>
      </c>
      <c r="B854" s="64" t="s">
        <v>14</v>
      </c>
      <c r="C854" s="41" t="s">
        <v>379</v>
      </c>
      <c r="D854" s="108" t="s">
        <v>789</v>
      </c>
      <c r="E854" s="65">
        <v>30677</v>
      </c>
      <c r="G854" s="42">
        <f t="shared" si="16"/>
        <v>-30677</v>
      </c>
      <c r="H854" s="49" t="s">
        <v>839</v>
      </c>
    </row>
    <row r="855" spans="1:8" x14ac:dyDescent="0.2">
      <c r="A855" s="593">
        <v>42495</v>
      </c>
      <c r="B855" s="64" t="s">
        <v>40</v>
      </c>
      <c r="C855" s="41" t="s">
        <v>379</v>
      </c>
      <c r="D855" s="108" t="s">
        <v>789</v>
      </c>
      <c r="E855" s="65">
        <v>39323</v>
      </c>
      <c r="G855" s="42">
        <f t="shared" si="16"/>
        <v>-39323</v>
      </c>
      <c r="H855" s="49" t="s">
        <v>839</v>
      </c>
    </row>
    <row r="856" spans="1:8" x14ac:dyDescent="0.2">
      <c r="A856" s="593">
        <v>42495</v>
      </c>
      <c r="B856" s="41" t="s">
        <v>40</v>
      </c>
      <c r="C856" s="41" t="s">
        <v>69</v>
      </c>
      <c r="D856" s="108" t="s">
        <v>790</v>
      </c>
      <c r="E856" s="42">
        <v>660</v>
      </c>
      <c r="G856" s="42">
        <f t="shared" si="16"/>
        <v>-660</v>
      </c>
      <c r="H856" s="49" t="s">
        <v>839</v>
      </c>
    </row>
    <row r="857" spans="1:8" x14ac:dyDescent="0.2">
      <c r="A857" s="593">
        <v>42495</v>
      </c>
      <c r="B857" s="41" t="s">
        <v>16</v>
      </c>
      <c r="C857" s="41" t="s">
        <v>1230</v>
      </c>
      <c r="D857" s="108" t="s">
        <v>791</v>
      </c>
      <c r="E857" s="42">
        <v>2800</v>
      </c>
      <c r="G857" s="42">
        <f t="shared" si="16"/>
        <v>-2800</v>
      </c>
      <c r="H857" s="49" t="s">
        <v>839</v>
      </c>
    </row>
    <row r="858" spans="1:8" x14ac:dyDescent="0.2">
      <c r="A858" s="593">
        <v>42495</v>
      </c>
      <c r="B858" s="41" t="s">
        <v>16</v>
      </c>
      <c r="C858" s="41" t="s">
        <v>103</v>
      </c>
      <c r="D858" s="108" t="s">
        <v>792</v>
      </c>
      <c r="E858" s="42">
        <v>60</v>
      </c>
      <c r="G858" s="42">
        <f t="shared" si="16"/>
        <v>-60</v>
      </c>
      <c r="H858" s="49" t="s">
        <v>839</v>
      </c>
    </row>
    <row r="859" spans="1:8" x14ac:dyDescent="0.2">
      <c r="A859" s="593">
        <v>42495</v>
      </c>
      <c r="B859" s="41" t="s">
        <v>154</v>
      </c>
      <c r="C859" s="41" t="s">
        <v>414</v>
      </c>
      <c r="D859" s="108" t="s">
        <v>370</v>
      </c>
      <c r="E859" s="42">
        <v>10000</v>
      </c>
      <c r="G859" s="42">
        <f t="shared" si="16"/>
        <v>-10000</v>
      </c>
      <c r="H859" s="49" t="s">
        <v>839</v>
      </c>
    </row>
    <row r="860" spans="1:8" x14ac:dyDescent="0.2">
      <c r="A860" s="593">
        <v>42495</v>
      </c>
      <c r="B860" s="41" t="s">
        <v>154</v>
      </c>
      <c r="C860" s="41" t="s">
        <v>929</v>
      </c>
      <c r="D860" s="108" t="s">
        <v>370</v>
      </c>
      <c r="E860" s="42">
        <v>10000</v>
      </c>
      <c r="G860" s="42">
        <f t="shared" si="16"/>
        <v>-10000</v>
      </c>
      <c r="H860" s="49" t="s">
        <v>839</v>
      </c>
    </row>
    <row r="861" spans="1:8" x14ac:dyDescent="0.2">
      <c r="A861" s="593">
        <v>42495</v>
      </c>
      <c r="B861" s="41" t="s">
        <v>16</v>
      </c>
      <c r="C861" s="41" t="s">
        <v>793</v>
      </c>
      <c r="D861" s="108" t="s">
        <v>286</v>
      </c>
      <c r="E861" s="42">
        <v>50</v>
      </c>
      <c r="G861" s="42">
        <f t="shared" si="16"/>
        <v>-50</v>
      </c>
      <c r="H861" s="49" t="s">
        <v>839</v>
      </c>
    </row>
    <row r="862" spans="1:8" x14ac:dyDescent="0.2">
      <c r="A862" s="593">
        <v>42495</v>
      </c>
      <c r="B862" s="41" t="s">
        <v>11</v>
      </c>
      <c r="C862" s="41" t="s">
        <v>794</v>
      </c>
      <c r="D862" s="108" t="s">
        <v>6130</v>
      </c>
      <c r="E862" s="42">
        <v>5000</v>
      </c>
      <c r="G862" s="42">
        <f t="shared" si="16"/>
        <v>-5000</v>
      </c>
      <c r="H862" s="49" t="s">
        <v>839</v>
      </c>
    </row>
    <row r="863" spans="1:8" x14ac:dyDescent="0.2">
      <c r="A863" s="593">
        <v>42495</v>
      </c>
      <c r="B863" s="41" t="s">
        <v>40</v>
      </c>
      <c r="C863" s="41" t="s">
        <v>221</v>
      </c>
      <c r="D863" s="108" t="s">
        <v>290</v>
      </c>
      <c r="E863" s="42">
        <v>1000</v>
      </c>
      <c r="G863" s="42">
        <f t="shared" si="16"/>
        <v>-1000</v>
      </c>
      <c r="H863" s="49" t="s">
        <v>839</v>
      </c>
    </row>
    <row r="864" spans="1:8" x14ac:dyDescent="0.2">
      <c r="A864" s="593">
        <v>42495</v>
      </c>
      <c r="B864" s="41" t="s">
        <v>37</v>
      </c>
      <c r="C864" s="41" t="s">
        <v>1230</v>
      </c>
      <c r="D864" s="108" t="s">
        <v>855</v>
      </c>
      <c r="E864" s="42">
        <v>19400</v>
      </c>
      <c r="G864" s="42">
        <f t="shared" si="16"/>
        <v>-19400</v>
      </c>
      <c r="H864" s="49" t="s">
        <v>839</v>
      </c>
    </row>
    <row r="865" spans="1:8" x14ac:dyDescent="0.2">
      <c r="A865" s="593">
        <v>42495</v>
      </c>
      <c r="B865" s="41" t="s">
        <v>37</v>
      </c>
      <c r="C865" s="41" t="s">
        <v>1230</v>
      </c>
      <c r="D865" s="108" t="s">
        <v>856</v>
      </c>
      <c r="E865" s="42">
        <v>12594</v>
      </c>
      <c r="G865" s="42">
        <f t="shared" si="16"/>
        <v>-12594</v>
      </c>
      <c r="H865" s="49" t="s">
        <v>839</v>
      </c>
    </row>
    <row r="866" spans="1:8" x14ac:dyDescent="0.2">
      <c r="A866" s="593">
        <v>42495</v>
      </c>
      <c r="B866" s="41" t="s">
        <v>40</v>
      </c>
      <c r="C866" s="41" t="s">
        <v>1230</v>
      </c>
      <c r="D866" s="108" t="s">
        <v>857</v>
      </c>
      <c r="E866" s="42">
        <v>34667</v>
      </c>
      <c r="G866" s="42">
        <f t="shared" si="16"/>
        <v>-34667</v>
      </c>
      <c r="H866" s="49" t="s">
        <v>839</v>
      </c>
    </row>
    <row r="867" spans="1:8" x14ac:dyDescent="0.2">
      <c r="A867" s="593">
        <v>42495</v>
      </c>
      <c r="B867" s="41" t="s">
        <v>16</v>
      </c>
      <c r="C867" s="41" t="s">
        <v>1230</v>
      </c>
      <c r="D867" s="108" t="s">
        <v>858</v>
      </c>
      <c r="E867" s="42">
        <v>16000</v>
      </c>
      <c r="G867" s="42">
        <f t="shared" si="16"/>
        <v>-16000</v>
      </c>
      <c r="H867" s="49" t="s">
        <v>839</v>
      </c>
    </row>
    <row r="868" spans="1:8" x14ac:dyDescent="0.2">
      <c r="A868" s="593">
        <v>42495</v>
      </c>
      <c r="B868" s="41" t="s">
        <v>16</v>
      </c>
      <c r="C868" s="41" t="s">
        <v>1230</v>
      </c>
      <c r="D868" s="108" t="s">
        <v>859</v>
      </c>
      <c r="E868" s="42">
        <v>20550</v>
      </c>
      <c r="G868" s="42">
        <f t="shared" si="16"/>
        <v>-20550</v>
      </c>
      <c r="H868" s="49" t="s">
        <v>839</v>
      </c>
    </row>
    <row r="869" spans="1:8" x14ac:dyDescent="0.2">
      <c r="A869" s="593">
        <v>42495</v>
      </c>
      <c r="B869" s="41" t="s">
        <v>37</v>
      </c>
      <c r="C869" s="41" t="s">
        <v>1230</v>
      </c>
      <c r="D869" s="108" t="s">
        <v>860</v>
      </c>
      <c r="E869" s="42">
        <v>9042</v>
      </c>
      <c r="G869" s="42">
        <f t="shared" si="16"/>
        <v>-9042</v>
      </c>
      <c r="H869" s="49" t="s">
        <v>839</v>
      </c>
    </row>
    <row r="870" spans="1:8" x14ac:dyDescent="0.2">
      <c r="A870" s="593">
        <v>42495</v>
      </c>
      <c r="B870" s="41" t="s">
        <v>37</v>
      </c>
      <c r="C870" s="41" t="s">
        <v>1230</v>
      </c>
      <c r="D870" s="108" t="s">
        <v>861</v>
      </c>
      <c r="E870" s="42">
        <v>11188</v>
      </c>
      <c r="G870" s="42">
        <f t="shared" si="16"/>
        <v>-11188</v>
      </c>
      <c r="H870" s="49" t="s">
        <v>839</v>
      </c>
    </row>
    <row r="871" spans="1:8" x14ac:dyDescent="0.2">
      <c r="A871" s="593">
        <v>42495</v>
      </c>
      <c r="B871" s="41" t="s">
        <v>37</v>
      </c>
      <c r="C871" s="41" t="s">
        <v>1230</v>
      </c>
      <c r="D871" s="108" t="s">
        <v>862</v>
      </c>
      <c r="E871" s="42">
        <v>11063</v>
      </c>
      <c r="G871" s="42">
        <f t="shared" si="16"/>
        <v>-11063</v>
      </c>
      <c r="H871" s="49" t="s">
        <v>839</v>
      </c>
    </row>
    <row r="872" spans="1:8" x14ac:dyDescent="0.2">
      <c r="A872" s="593">
        <v>42495</v>
      </c>
      <c r="B872" s="41" t="s">
        <v>37</v>
      </c>
      <c r="C872" s="41" t="s">
        <v>1230</v>
      </c>
      <c r="D872" s="108" t="s">
        <v>863</v>
      </c>
      <c r="E872" s="42">
        <v>16602</v>
      </c>
      <c r="G872" s="42">
        <f t="shared" si="16"/>
        <v>-16602</v>
      </c>
      <c r="H872" s="49" t="s">
        <v>839</v>
      </c>
    </row>
    <row r="873" spans="1:8" x14ac:dyDescent="0.2">
      <c r="A873" s="593">
        <v>42495</v>
      </c>
      <c r="B873" s="41" t="s">
        <v>16</v>
      </c>
      <c r="C873" s="41" t="s">
        <v>1230</v>
      </c>
      <c r="D873" s="108" t="s">
        <v>864</v>
      </c>
      <c r="E873" s="42">
        <v>5000</v>
      </c>
      <c r="G873" s="42">
        <f t="shared" si="16"/>
        <v>-5000</v>
      </c>
      <c r="H873" s="49" t="s">
        <v>839</v>
      </c>
    </row>
    <row r="874" spans="1:8" x14ac:dyDescent="0.2">
      <c r="A874" s="593">
        <v>42495</v>
      </c>
      <c r="B874" s="41" t="s">
        <v>16</v>
      </c>
      <c r="C874" s="41" t="s">
        <v>1230</v>
      </c>
      <c r="D874" s="108" t="s">
        <v>865</v>
      </c>
      <c r="E874" s="42">
        <v>4000</v>
      </c>
      <c r="G874" s="42">
        <f t="shared" si="16"/>
        <v>-4000</v>
      </c>
      <c r="H874" s="49" t="s">
        <v>839</v>
      </c>
    </row>
    <row r="875" spans="1:8" x14ac:dyDescent="0.2">
      <c r="A875" s="593">
        <v>42495</v>
      </c>
      <c r="B875" s="41" t="s">
        <v>16</v>
      </c>
      <c r="C875" s="41" t="s">
        <v>1230</v>
      </c>
      <c r="D875" s="792" t="s">
        <v>866</v>
      </c>
      <c r="E875" s="42">
        <v>9000</v>
      </c>
      <c r="G875" s="42">
        <f t="shared" si="16"/>
        <v>-9000</v>
      </c>
      <c r="H875" s="49" t="s">
        <v>839</v>
      </c>
    </row>
    <row r="876" spans="1:8" x14ac:dyDescent="0.2">
      <c r="A876" s="593">
        <v>42495</v>
      </c>
      <c r="B876" s="41" t="s">
        <v>16</v>
      </c>
      <c r="C876" s="41" t="s">
        <v>1230</v>
      </c>
      <c r="D876" s="108" t="s">
        <v>867</v>
      </c>
      <c r="E876" s="42">
        <v>11000</v>
      </c>
      <c r="G876" s="42">
        <f t="shared" si="16"/>
        <v>-11000</v>
      </c>
      <c r="H876" s="49" t="s">
        <v>839</v>
      </c>
    </row>
    <row r="877" spans="1:8" x14ac:dyDescent="0.2">
      <c r="A877" s="593">
        <v>42495</v>
      </c>
      <c r="B877" s="41" t="s">
        <v>40</v>
      </c>
      <c r="C877" s="41" t="s">
        <v>1230</v>
      </c>
      <c r="D877" s="108" t="s">
        <v>868</v>
      </c>
      <c r="E877" s="42">
        <v>24000</v>
      </c>
      <c r="G877" s="42">
        <f t="shared" si="16"/>
        <v>-24000</v>
      </c>
      <c r="H877" s="49" t="s">
        <v>839</v>
      </c>
    </row>
    <row r="878" spans="1:8" x14ac:dyDescent="0.2">
      <c r="A878" s="593">
        <v>42495</v>
      </c>
      <c r="B878" s="41" t="s">
        <v>37</v>
      </c>
      <c r="C878" s="41" t="s">
        <v>1230</v>
      </c>
      <c r="D878" s="108" t="s">
        <v>869</v>
      </c>
      <c r="G878" s="42">
        <f t="shared" si="16"/>
        <v>0</v>
      </c>
      <c r="H878" s="49" t="s">
        <v>839</v>
      </c>
    </row>
    <row r="879" spans="1:8" x14ac:dyDescent="0.2">
      <c r="A879" s="593">
        <v>42495</v>
      </c>
      <c r="B879" s="41" t="s">
        <v>154</v>
      </c>
      <c r="C879" s="41" t="s">
        <v>1230</v>
      </c>
      <c r="D879" s="108" t="s">
        <v>870</v>
      </c>
      <c r="E879" s="42">
        <v>11325</v>
      </c>
      <c r="G879" s="42">
        <f t="shared" si="16"/>
        <v>-11325</v>
      </c>
      <c r="H879" s="49" t="s">
        <v>839</v>
      </c>
    </row>
    <row r="880" spans="1:8" x14ac:dyDescent="0.2">
      <c r="A880" s="593">
        <v>42495</v>
      </c>
      <c r="B880" s="41" t="s">
        <v>154</v>
      </c>
      <c r="C880" s="41" t="s">
        <v>1230</v>
      </c>
      <c r="D880" s="108" t="s">
        <v>871</v>
      </c>
      <c r="E880" s="42">
        <v>29488</v>
      </c>
      <c r="G880" s="42">
        <f t="shared" si="16"/>
        <v>-29488</v>
      </c>
      <c r="H880" s="49" t="s">
        <v>839</v>
      </c>
    </row>
    <row r="881" spans="1:8" x14ac:dyDescent="0.2">
      <c r="A881" s="593">
        <v>42495</v>
      </c>
      <c r="B881" s="41" t="s">
        <v>154</v>
      </c>
      <c r="C881" s="41" t="s">
        <v>1230</v>
      </c>
      <c r="D881" s="108" t="s">
        <v>872</v>
      </c>
      <c r="E881" s="42">
        <v>20904</v>
      </c>
      <c r="G881" s="42">
        <f t="shared" si="16"/>
        <v>-20904</v>
      </c>
      <c r="H881" s="49" t="s">
        <v>839</v>
      </c>
    </row>
    <row r="882" spans="1:8" x14ac:dyDescent="0.2">
      <c r="A882" s="593">
        <v>42495</v>
      </c>
      <c r="B882" s="41" t="s">
        <v>16</v>
      </c>
      <c r="C882" s="41" t="s">
        <v>1230</v>
      </c>
      <c r="D882" s="108" t="s">
        <v>873</v>
      </c>
      <c r="E882" s="42">
        <v>15000</v>
      </c>
      <c r="G882" s="42">
        <f t="shared" si="16"/>
        <v>-15000</v>
      </c>
      <c r="H882" s="49" t="s">
        <v>839</v>
      </c>
    </row>
    <row r="883" spans="1:8" x14ac:dyDescent="0.2">
      <c r="A883" s="593">
        <v>42495</v>
      </c>
      <c r="B883" s="41" t="s">
        <v>40</v>
      </c>
      <c r="C883" s="41" t="s">
        <v>1230</v>
      </c>
      <c r="D883" s="108" t="s">
        <v>874</v>
      </c>
      <c r="E883" s="42">
        <v>11752</v>
      </c>
      <c r="G883" s="42">
        <f t="shared" si="16"/>
        <v>-11752</v>
      </c>
      <c r="H883" s="49" t="s">
        <v>839</v>
      </c>
    </row>
    <row r="884" spans="1:8" x14ac:dyDescent="0.2">
      <c r="A884" s="593">
        <v>42495</v>
      </c>
      <c r="B884" s="41" t="s">
        <v>40</v>
      </c>
      <c r="C884" s="41" t="s">
        <v>1230</v>
      </c>
      <c r="D884" s="108" t="s">
        <v>875</v>
      </c>
      <c r="E884" s="42">
        <v>18417</v>
      </c>
      <c r="G884" s="42">
        <f t="shared" si="16"/>
        <v>-18417</v>
      </c>
      <c r="H884" s="49" t="s">
        <v>839</v>
      </c>
    </row>
    <row r="885" spans="1:8" x14ac:dyDescent="0.2">
      <c r="A885" s="593">
        <v>42495</v>
      </c>
      <c r="B885" s="41" t="s">
        <v>40</v>
      </c>
      <c r="C885" s="41" t="s">
        <v>1230</v>
      </c>
      <c r="D885" s="108" t="s">
        <v>876</v>
      </c>
      <c r="E885" s="42">
        <v>2059</v>
      </c>
      <c r="G885" s="42">
        <f t="shared" si="16"/>
        <v>-2059</v>
      </c>
      <c r="H885" s="49" t="s">
        <v>839</v>
      </c>
    </row>
    <row r="886" spans="1:8" x14ac:dyDescent="0.2">
      <c r="A886" s="593">
        <v>42495</v>
      </c>
      <c r="B886" s="41" t="s">
        <v>40</v>
      </c>
      <c r="C886" s="41" t="s">
        <v>1230</v>
      </c>
      <c r="D886" s="108" t="s">
        <v>877</v>
      </c>
      <c r="E886" s="42">
        <v>15383</v>
      </c>
      <c r="G886" s="42">
        <f t="shared" ref="G886:G949" si="17">F886-E886</f>
        <v>-15383</v>
      </c>
      <c r="H886" s="49" t="s">
        <v>839</v>
      </c>
    </row>
    <row r="887" spans="1:8" x14ac:dyDescent="0.2">
      <c r="A887" s="593">
        <v>42495</v>
      </c>
      <c r="B887" s="41" t="s">
        <v>40</v>
      </c>
      <c r="C887" s="41" t="s">
        <v>1230</v>
      </c>
      <c r="D887" s="108" t="s">
        <v>878</v>
      </c>
      <c r="E887" s="42">
        <v>4350</v>
      </c>
      <c r="G887" s="42">
        <f t="shared" si="17"/>
        <v>-4350</v>
      </c>
      <c r="H887" s="49" t="s">
        <v>839</v>
      </c>
    </row>
    <row r="888" spans="1:8" x14ac:dyDescent="0.2">
      <c r="A888" s="593">
        <v>42495</v>
      </c>
      <c r="B888" s="41" t="s">
        <v>40</v>
      </c>
      <c r="C888" s="41" t="s">
        <v>1230</v>
      </c>
      <c r="D888" s="108" t="s">
        <v>879</v>
      </c>
      <c r="E888" s="42">
        <v>15333</v>
      </c>
      <c r="G888" s="42">
        <f t="shared" si="17"/>
        <v>-15333</v>
      </c>
      <c r="H888" s="49" t="s">
        <v>839</v>
      </c>
    </row>
    <row r="889" spans="1:8" x14ac:dyDescent="0.2">
      <c r="A889" s="593">
        <v>42495</v>
      </c>
      <c r="B889" s="41" t="s">
        <v>40</v>
      </c>
      <c r="C889" s="41" t="s">
        <v>1230</v>
      </c>
      <c r="D889" s="108" t="s">
        <v>880</v>
      </c>
      <c r="E889" s="42">
        <v>11146</v>
      </c>
      <c r="G889" s="42">
        <f t="shared" si="17"/>
        <v>-11146</v>
      </c>
      <c r="H889" s="49" t="s">
        <v>839</v>
      </c>
    </row>
    <row r="890" spans="1:8" x14ac:dyDescent="0.2">
      <c r="A890" s="593">
        <v>42495</v>
      </c>
      <c r="B890" s="41" t="s">
        <v>40</v>
      </c>
      <c r="C890" s="41" t="s">
        <v>1230</v>
      </c>
      <c r="D890" s="108" t="s">
        <v>881</v>
      </c>
      <c r="E890" s="42">
        <v>14567</v>
      </c>
      <c r="G890" s="42">
        <f t="shared" si="17"/>
        <v>-14567</v>
      </c>
      <c r="H890" s="49" t="s">
        <v>839</v>
      </c>
    </row>
    <row r="891" spans="1:8" x14ac:dyDescent="0.2">
      <c r="A891" s="593">
        <v>42495</v>
      </c>
      <c r="B891" s="41" t="s">
        <v>40</v>
      </c>
      <c r="C891" s="41" t="s">
        <v>1230</v>
      </c>
      <c r="D891" s="108" t="s">
        <v>882</v>
      </c>
      <c r="E891" s="42">
        <v>9513</v>
      </c>
      <c r="G891" s="42">
        <f t="shared" si="17"/>
        <v>-9513</v>
      </c>
      <c r="H891" s="49" t="s">
        <v>839</v>
      </c>
    </row>
    <row r="892" spans="1:8" x14ac:dyDescent="0.2">
      <c r="A892" s="593">
        <v>42495</v>
      </c>
      <c r="B892" s="41" t="s">
        <v>40</v>
      </c>
      <c r="C892" s="41" t="s">
        <v>1230</v>
      </c>
      <c r="D892" s="108" t="s">
        <v>883</v>
      </c>
      <c r="E892" s="42">
        <v>14613</v>
      </c>
      <c r="G892" s="42">
        <f t="shared" si="17"/>
        <v>-14613</v>
      </c>
      <c r="H892" s="49" t="s">
        <v>839</v>
      </c>
    </row>
    <row r="893" spans="1:8" ht="12.75" customHeight="1" x14ac:dyDescent="0.2">
      <c r="A893" s="593">
        <v>42495</v>
      </c>
      <c r="B893" s="41" t="s">
        <v>16</v>
      </c>
      <c r="C893" s="41" t="s">
        <v>1230</v>
      </c>
      <c r="D893" s="108" t="s">
        <v>884</v>
      </c>
      <c r="E893" s="42">
        <v>16000</v>
      </c>
      <c r="G893" s="42">
        <f t="shared" si="17"/>
        <v>-16000</v>
      </c>
      <c r="H893" s="49" t="s">
        <v>839</v>
      </c>
    </row>
    <row r="894" spans="1:8" x14ac:dyDescent="0.2">
      <c r="A894" s="593">
        <v>42495</v>
      </c>
      <c r="B894" s="41" t="s">
        <v>16</v>
      </c>
      <c r="C894" s="41" t="s">
        <v>1230</v>
      </c>
      <c r="D894" s="108" t="s">
        <v>885</v>
      </c>
      <c r="E894" s="42">
        <v>7333</v>
      </c>
      <c r="G894" s="42">
        <f t="shared" si="17"/>
        <v>-7333</v>
      </c>
      <c r="H894" s="49" t="s">
        <v>839</v>
      </c>
    </row>
    <row r="895" spans="1:8" x14ac:dyDescent="0.2">
      <c r="A895" s="594">
        <v>42495</v>
      </c>
      <c r="B895" s="41" t="s">
        <v>16</v>
      </c>
      <c r="C895" s="41" t="s">
        <v>1230</v>
      </c>
      <c r="D895" s="108" t="s">
        <v>662</v>
      </c>
      <c r="E895" s="42">
        <v>20000</v>
      </c>
      <c r="G895" s="42">
        <f t="shared" si="17"/>
        <v>-20000</v>
      </c>
      <c r="H895" s="49" t="s">
        <v>839</v>
      </c>
    </row>
    <row r="896" spans="1:8" x14ac:dyDescent="0.2">
      <c r="A896" s="593">
        <v>42496</v>
      </c>
      <c r="B896" s="41" t="s">
        <v>40</v>
      </c>
      <c r="C896" s="41" t="s">
        <v>14</v>
      </c>
      <c r="D896" s="108" t="s">
        <v>795</v>
      </c>
      <c r="E896" s="66">
        <v>1200</v>
      </c>
      <c r="G896" s="42">
        <f t="shared" si="17"/>
        <v>-1200</v>
      </c>
      <c r="H896" s="49" t="s">
        <v>839</v>
      </c>
    </row>
    <row r="897" spans="1:8" x14ac:dyDescent="0.2">
      <c r="A897" s="593">
        <v>42496</v>
      </c>
      <c r="B897" s="41" t="s">
        <v>16</v>
      </c>
      <c r="C897" s="41" t="s">
        <v>103</v>
      </c>
      <c r="D897" s="108" t="s">
        <v>796</v>
      </c>
      <c r="E897" s="66">
        <v>200</v>
      </c>
      <c r="G897" s="42">
        <f t="shared" si="17"/>
        <v>-200</v>
      </c>
      <c r="H897" s="49" t="s">
        <v>839</v>
      </c>
    </row>
    <row r="898" spans="1:8" x14ac:dyDescent="0.2">
      <c r="A898" s="593">
        <v>42496</v>
      </c>
      <c r="B898" s="41" t="s">
        <v>16</v>
      </c>
      <c r="C898" s="41" t="s">
        <v>103</v>
      </c>
      <c r="D898" s="108" t="s">
        <v>797</v>
      </c>
      <c r="E898" s="66">
        <v>400</v>
      </c>
      <c r="G898" s="42">
        <f t="shared" si="17"/>
        <v>-400</v>
      </c>
      <c r="H898" s="49" t="s">
        <v>839</v>
      </c>
    </row>
    <row r="899" spans="1:8" x14ac:dyDescent="0.2">
      <c r="A899" s="593">
        <v>42496</v>
      </c>
      <c r="B899" s="41" t="s">
        <v>16</v>
      </c>
      <c r="C899" s="41" t="s">
        <v>484</v>
      </c>
      <c r="D899" s="108" t="s">
        <v>798</v>
      </c>
      <c r="E899" s="66">
        <v>2000</v>
      </c>
      <c r="G899" s="42">
        <f t="shared" si="17"/>
        <v>-2000</v>
      </c>
      <c r="H899" s="49" t="s">
        <v>839</v>
      </c>
    </row>
    <row r="900" spans="1:8" x14ac:dyDescent="0.2">
      <c r="A900" s="593">
        <v>42496</v>
      </c>
      <c r="B900" s="41" t="s">
        <v>40</v>
      </c>
      <c r="C900" s="41" t="s">
        <v>14</v>
      </c>
      <c r="D900" s="108" t="s">
        <v>392</v>
      </c>
      <c r="E900" s="66">
        <v>1120</v>
      </c>
      <c r="G900" s="42">
        <f t="shared" si="17"/>
        <v>-1120</v>
      </c>
      <c r="H900" s="49" t="s">
        <v>839</v>
      </c>
    </row>
    <row r="901" spans="1:8" ht="12.75" customHeight="1" x14ac:dyDescent="0.2">
      <c r="A901" s="593">
        <v>42496</v>
      </c>
      <c r="B901" s="41" t="s">
        <v>16</v>
      </c>
      <c r="C901" s="41" t="s">
        <v>773</v>
      </c>
      <c r="D901" s="108" t="s">
        <v>799</v>
      </c>
      <c r="E901" s="66">
        <v>100</v>
      </c>
      <c r="G901" s="42">
        <f t="shared" si="17"/>
        <v>-100</v>
      </c>
      <c r="H901" s="49" t="s">
        <v>839</v>
      </c>
    </row>
    <row r="902" spans="1:8" ht="12.75" customHeight="1" x14ac:dyDescent="0.2">
      <c r="A902" s="593">
        <v>42496</v>
      </c>
      <c r="B902" s="41" t="s">
        <v>16</v>
      </c>
      <c r="C902" s="41" t="s">
        <v>103</v>
      </c>
      <c r="D902" s="108" t="s">
        <v>800</v>
      </c>
      <c r="E902" s="42">
        <v>1500</v>
      </c>
      <c r="G902" s="42">
        <f t="shared" si="17"/>
        <v>-1500</v>
      </c>
      <c r="H902" s="49" t="s">
        <v>839</v>
      </c>
    </row>
    <row r="903" spans="1:8" ht="12.75" customHeight="1" x14ac:dyDescent="0.2">
      <c r="A903" s="593">
        <v>42496</v>
      </c>
      <c r="B903" s="41" t="s">
        <v>40</v>
      </c>
      <c r="C903" s="41" t="s">
        <v>69</v>
      </c>
      <c r="D903" s="108" t="s">
        <v>801</v>
      </c>
      <c r="E903" s="42">
        <v>560</v>
      </c>
      <c r="G903" s="42">
        <f t="shared" si="17"/>
        <v>-560</v>
      </c>
      <c r="H903" s="49" t="s">
        <v>839</v>
      </c>
    </row>
    <row r="904" spans="1:8" ht="12.75" customHeight="1" x14ac:dyDescent="0.2">
      <c r="A904" s="593">
        <v>42496</v>
      </c>
      <c r="B904" s="41" t="s">
        <v>40</v>
      </c>
      <c r="C904" s="41" t="s">
        <v>14</v>
      </c>
      <c r="D904" s="108" t="s">
        <v>802</v>
      </c>
      <c r="E904" s="42">
        <v>800</v>
      </c>
      <c r="G904" s="42">
        <f t="shared" si="17"/>
        <v>-800</v>
      </c>
      <c r="H904" s="49" t="s">
        <v>839</v>
      </c>
    </row>
    <row r="905" spans="1:8" ht="12.75" customHeight="1" x14ac:dyDescent="0.2">
      <c r="A905" s="593">
        <v>42496</v>
      </c>
      <c r="B905" s="41" t="s">
        <v>40</v>
      </c>
      <c r="C905" s="41" t="s">
        <v>372</v>
      </c>
      <c r="D905" s="108" t="s">
        <v>803</v>
      </c>
      <c r="E905" s="42">
        <v>700</v>
      </c>
      <c r="G905" s="42">
        <f t="shared" si="17"/>
        <v>-700</v>
      </c>
      <c r="H905" s="49" t="s">
        <v>839</v>
      </c>
    </row>
    <row r="906" spans="1:8" ht="12.75" customHeight="1" x14ac:dyDescent="0.2">
      <c r="A906" s="593">
        <v>42497</v>
      </c>
      <c r="B906" s="41" t="s">
        <v>25</v>
      </c>
      <c r="C906" s="41" t="s">
        <v>1894</v>
      </c>
      <c r="D906" s="108" t="s">
        <v>370</v>
      </c>
      <c r="E906" s="42">
        <v>1390</v>
      </c>
      <c r="G906" s="42">
        <f t="shared" si="17"/>
        <v>-1390</v>
      </c>
      <c r="H906" s="49" t="s">
        <v>839</v>
      </c>
    </row>
    <row r="907" spans="1:8" ht="12.75" customHeight="1" x14ac:dyDescent="0.2">
      <c r="A907" s="593">
        <v>42497</v>
      </c>
      <c r="B907" s="41" t="s">
        <v>37</v>
      </c>
      <c r="C907" s="41" t="s">
        <v>194</v>
      </c>
      <c r="D907" s="108" t="s">
        <v>794</v>
      </c>
      <c r="E907" s="42">
        <v>1875</v>
      </c>
      <c r="G907" s="42">
        <f t="shared" si="17"/>
        <v>-1875</v>
      </c>
      <c r="H907" s="49" t="s">
        <v>839</v>
      </c>
    </row>
    <row r="908" spans="1:8" ht="12.75" customHeight="1" x14ac:dyDescent="0.2">
      <c r="A908" s="593">
        <v>42497</v>
      </c>
      <c r="B908" s="41" t="s">
        <v>40</v>
      </c>
      <c r="C908" s="41" t="s">
        <v>221</v>
      </c>
      <c r="D908" s="108" t="s">
        <v>286</v>
      </c>
      <c r="E908" s="42">
        <v>400</v>
      </c>
      <c r="G908" s="42">
        <f t="shared" si="17"/>
        <v>-400</v>
      </c>
      <c r="H908" s="49" t="s">
        <v>839</v>
      </c>
    </row>
    <row r="909" spans="1:8" ht="12.75" customHeight="1" x14ac:dyDescent="0.2">
      <c r="A909" s="593">
        <v>42497</v>
      </c>
      <c r="B909" s="41" t="s">
        <v>40</v>
      </c>
      <c r="C909" s="41" t="s">
        <v>221</v>
      </c>
      <c r="D909" s="108" t="s">
        <v>804</v>
      </c>
      <c r="E909" s="42">
        <v>250</v>
      </c>
      <c r="G909" s="42">
        <f t="shared" si="17"/>
        <v>-250</v>
      </c>
      <c r="H909" s="49" t="s">
        <v>839</v>
      </c>
    </row>
    <row r="910" spans="1:8" ht="12.75" customHeight="1" x14ac:dyDescent="0.2">
      <c r="A910" s="593">
        <v>42497</v>
      </c>
      <c r="B910" s="41" t="s">
        <v>25</v>
      </c>
      <c r="C910" s="41" t="s">
        <v>1894</v>
      </c>
      <c r="D910" s="108" t="s">
        <v>73</v>
      </c>
      <c r="E910" s="42">
        <v>1388</v>
      </c>
      <c r="G910" s="42">
        <f t="shared" si="17"/>
        <v>-1388</v>
      </c>
      <c r="H910" s="49" t="s">
        <v>839</v>
      </c>
    </row>
    <row r="911" spans="1:8" ht="12.75" customHeight="1" x14ac:dyDescent="0.2">
      <c r="A911" s="593">
        <v>42497</v>
      </c>
      <c r="B911" s="41" t="s">
        <v>40</v>
      </c>
      <c r="C911" s="41" t="s">
        <v>402</v>
      </c>
      <c r="D911" s="108" t="s">
        <v>805</v>
      </c>
      <c r="E911" s="42">
        <v>20400</v>
      </c>
      <c r="G911" s="42">
        <f t="shared" si="17"/>
        <v>-20400</v>
      </c>
      <c r="H911" s="49" t="s">
        <v>839</v>
      </c>
    </row>
    <row r="912" spans="1:8" ht="12.75" customHeight="1" x14ac:dyDescent="0.2">
      <c r="A912" s="593">
        <v>42497</v>
      </c>
      <c r="B912" s="41" t="s">
        <v>16</v>
      </c>
      <c r="C912" s="41" t="s">
        <v>103</v>
      </c>
      <c r="D912" s="108" t="s">
        <v>806</v>
      </c>
      <c r="E912" s="42">
        <v>400</v>
      </c>
      <c r="G912" s="42">
        <f t="shared" si="17"/>
        <v>-400</v>
      </c>
      <c r="H912" s="49" t="s">
        <v>839</v>
      </c>
    </row>
    <row r="913" spans="1:8" x14ac:dyDescent="0.2">
      <c r="A913" s="593">
        <v>42499</v>
      </c>
      <c r="B913" s="41" t="s">
        <v>40</v>
      </c>
      <c r="C913" s="41" t="s">
        <v>80</v>
      </c>
      <c r="D913" s="108" t="s">
        <v>807</v>
      </c>
      <c r="E913" s="42">
        <v>4886</v>
      </c>
      <c r="G913" s="42">
        <f t="shared" si="17"/>
        <v>-4886</v>
      </c>
      <c r="H913" s="49" t="s">
        <v>839</v>
      </c>
    </row>
    <row r="914" spans="1:8" x14ac:dyDescent="0.2">
      <c r="A914" s="593">
        <v>42499</v>
      </c>
      <c r="B914" s="41" t="s">
        <v>40</v>
      </c>
      <c r="C914" s="41" t="s">
        <v>210</v>
      </c>
      <c r="D914" s="108" t="s">
        <v>286</v>
      </c>
      <c r="E914" s="42">
        <v>980</v>
      </c>
      <c r="G914" s="42">
        <f t="shared" si="17"/>
        <v>-980</v>
      </c>
      <c r="H914" s="49" t="s">
        <v>839</v>
      </c>
    </row>
    <row r="915" spans="1:8" x14ac:dyDescent="0.2">
      <c r="A915" s="16">
        <v>42500</v>
      </c>
      <c r="B915" s="41" t="s">
        <v>40</v>
      </c>
      <c r="C915" s="41" t="s">
        <v>514</v>
      </c>
      <c r="D915" s="108" t="s">
        <v>768</v>
      </c>
      <c r="F915" s="42">
        <v>1500000</v>
      </c>
      <c r="G915" s="42">
        <f t="shared" si="17"/>
        <v>1500000</v>
      </c>
      <c r="H915" s="49" t="s">
        <v>839</v>
      </c>
    </row>
    <row r="916" spans="1:8" x14ac:dyDescent="0.2">
      <c r="A916" s="16">
        <v>42500</v>
      </c>
      <c r="B916" s="41" t="s">
        <v>40</v>
      </c>
      <c r="C916" s="41" t="s">
        <v>514</v>
      </c>
      <c r="D916" s="108" t="s">
        <v>768</v>
      </c>
      <c r="F916" s="42">
        <v>1500000</v>
      </c>
      <c r="G916" s="42">
        <f t="shared" si="17"/>
        <v>1500000</v>
      </c>
      <c r="H916" s="49" t="s">
        <v>839</v>
      </c>
    </row>
    <row r="917" spans="1:8" ht="12.75" customHeight="1" x14ac:dyDescent="0.2">
      <c r="A917" s="593">
        <v>42500</v>
      </c>
      <c r="B917" s="41" t="s">
        <v>16</v>
      </c>
      <c r="C917" s="41" t="s">
        <v>103</v>
      </c>
      <c r="D917" s="108" t="s">
        <v>808</v>
      </c>
      <c r="E917" s="42">
        <v>900</v>
      </c>
      <c r="G917" s="42">
        <f t="shared" si="17"/>
        <v>-900</v>
      </c>
      <c r="H917" s="49" t="s">
        <v>839</v>
      </c>
    </row>
    <row r="918" spans="1:8" ht="12.75" customHeight="1" x14ac:dyDescent="0.2">
      <c r="A918" s="593">
        <v>42500</v>
      </c>
      <c r="B918" s="41" t="s">
        <v>16</v>
      </c>
      <c r="C918" s="41" t="s">
        <v>103</v>
      </c>
      <c r="D918" s="108" t="s">
        <v>809</v>
      </c>
      <c r="E918" s="42">
        <v>520</v>
      </c>
      <c r="G918" s="42">
        <f t="shared" si="17"/>
        <v>-520</v>
      </c>
      <c r="H918" s="49" t="s">
        <v>839</v>
      </c>
    </row>
    <row r="919" spans="1:8" x14ac:dyDescent="0.2">
      <c r="A919" s="593">
        <v>42500</v>
      </c>
      <c r="B919" s="41" t="s">
        <v>40</v>
      </c>
      <c r="C919" s="41" t="s">
        <v>14</v>
      </c>
      <c r="D919" s="108" t="s">
        <v>810</v>
      </c>
      <c r="E919" s="42">
        <v>1130</v>
      </c>
      <c r="G919" s="42">
        <f t="shared" si="17"/>
        <v>-1130</v>
      </c>
      <c r="H919" s="49" t="s">
        <v>839</v>
      </c>
    </row>
    <row r="920" spans="1:8" x14ac:dyDescent="0.2">
      <c r="A920" s="593">
        <v>42500</v>
      </c>
      <c r="B920" s="41" t="s">
        <v>40</v>
      </c>
      <c r="C920" s="41" t="s">
        <v>1894</v>
      </c>
      <c r="D920" s="108" t="s">
        <v>286</v>
      </c>
      <c r="E920" s="42">
        <v>2750</v>
      </c>
      <c r="G920" s="42">
        <f t="shared" si="17"/>
        <v>-2750</v>
      </c>
      <c r="H920" s="49" t="s">
        <v>839</v>
      </c>
    </row>
    <row r="921" spans="1:8" x14ac:dyDescent="0.2">
      <c r="A921" s="593">
        <v>42500</v>
      </c>
      <c r="B921" s="41" t="s">
        <v>154</v>
      </c>
      <c r="C921" s="41" t="s">
        <v>67</v>
      </c>
      <c r="D921" s="108" t="s">
        <v>811</v>
      </c>
      <c r="E921" s="42">
        <v>2075</v>
      </c>
      <c r="G921" s="42">
        <f t="shared" si="17"/>
        <v>-2075</v>
      </c>
      <c r="H921" s="49" t="s">
        <v>839</v>
      </c>
    </row>
    <row r="922" spans="1:8" x14ac:dyDescent="0.2">
      <c r="A922" s="593">
        <v>42500</v>
      </c>
      <c r="B922" s="41" t="s">
        <v>18</v>
      </c>
      <c r="C922" s="41" t="s">
        <v>67</v>
      </c>
      <c r="D922" s="108" t="s">
        <v>812</v>
      </c>
      <c r="E922" s="42">
        <v>850</v>
      </c>
      <c r="G922" s="42">
        <f t="shared" si="17"/>
        <v>-850</v>
      </c>
      <c r="H922" s="49" t="s">
        <v>839</v>
      </c>
    </row>
    <row r="923" spans="1:8" x14ac:dyDescent="0.2">
      <c r="A923" s="593">
        <v>42500</v>
      </c>
      <c r="B923" s="41" t="s">
        <v>40</v>
      </c>
      <c r="C923" s="41" t="s">
        <v>14</v>
      </c>
      <c r="D923" s="108" t="s">
        <v>741</v>
      </c>
      <c r="E923" s="42">
        <v>4550</v>
      </c>
      <c r="G923" s="42">
        <f t="shared" si="17"/>
        <v>-4550</v>
      </c>
      <c r="H923" s="49" t="s">
        <v>839</v>
      </c>
    </row>
    <row r="924" spans="1:8" x14ac:dyDescent="0.2">
      <c r="A924" s="593">
        <v>42500</v>
      </c>
      <c r="B924" s="41" t="s">
        <v>40</v>
      </c>
      <c r="C924" s="41" t="s">
        <v>80</v>
      </c>
      <c r="D924" s="108" t="s">
        <v>813</v>
      </c>
      <c r="E924" s="42">
        <v>765</v>
      </c>
      <c r="G924" s="42">
        <f t="shared" si="17"/>
        <v>-765</v>
      </c>
      <c r="H924" s="49" t="s">
        <v>839</v>
      </c>
    </row>
    <row r="925" spans="1:8" x14ac:dyDescent="0.2">
      <c r="A925" s="593">
        <v>42500</v>
      </c>
      <c r="B925" s="41" t="s">
        <v>40</v>
      </c>
      <c r="C925" s="41" t="s">
        <v>929</v>
      </c>
      <c r="D925" s="108" t="s">
        <v>814</v>
      </c>
      <c r="E925" s="42">
        <v>50000</v>
      </c>
      <c r="G925" s="42">
        <f t="shared" si="17"/>
        <v>-50000</v>
      </c>
      <c r="H925" s="49" t="s">
        <v>839</v>
      </c>
    </row>
    <row r="926" spans="1:8" x14ac:dyDescent="0.2">
      <c r="A926" s="593">
        <v>42500</v>
      </c>
      <c r="B926" s="41" t="s">
        <v>154</v>
      </c>
      <c r="C926" s="41" t="s">
        <v>929</v>
      </c>
      <c r="D926" s="108" t="s">
        <v>814</v>
      </c>
      <c r="E926" s="42">
        <v>50000</v>
      </c>
      <c r="G926" s="42">
        <f t="shared" si="17"/>
        <v>-50000</v>
      </c>
      <c r="H926" s="49" t="s">
        <v>839</v>
      </c>
    </row>
    <row r="927" spans="1:8" x14ac:dyDescent="0.2">
      <c r="A927" s="593">
        <v>42500</v>
      </c>
      <c r="B927" s="41" t="s">
        <v>40</v>
      </c>
      <c r="C927" s="41" t="s">
        <v>815</v>
      </c>
      <c r="D927" s="108" t="s">
        <v>816</v>
      </c>
      <c r="E927" s="42">
        <v>200000</v>
      </c>
      <c r="G927" s="42">
        <f t="shared" si="17"/>
        <v>-200000</v>
      </c>
      <c r="H927" s="49" t="s">
        <v>839</v>
      </c>
    </row>
    <row r="928" spans="1:8" x14ac:dyDescent="0.2">
      <c r="A928" s="593">
        <v>42500</v>
      </c>
      <c r="B928" s="41" t="s">
        <v>40</v>
      </c>
      <c r="C928" s="41" t="s">
        <v>444</v>
      </c>
      <c r="D928" s="108" t="s">
        <v>370</v>
      </c>
      <c r="E928" s="42">
        <v>1600</v>
      </c>
      <c r="G928" s="42">
        <f t="shared" si="17"/>
        <v>-1600</v>
      </c>
      <c r="H928" s="49" t="s">
        <v>839</v>
      </c>
    </row>
    <row r="929" spans="1:8" x14ac:dyDescent="0.2">
      <c r="A929" s="593">
        <v>42500</v>
      </c>
      <c r="B929" s="41" t="s">
        <v>37</v>
      </c>
      <c r="C929" s="41" t="s">
        <v>817</v>
      </c>
      <c r="D929" s="108" t="s">
        <v>818</v>
      </c>
      <c r="E929" s="42">
        <v>50000</v>
      </c>
      <c r="G929" s="42">
        <f t="shared" si="17"/>
        <v>-50000</v>
      </c>
      <c r="H929" s="49" t="s">
        <v>839</v>
      </c>
    </row>
    <row r="930" spans="1:8" x14ac:dyDescent="0.2">
      <c r="A930" s="593">
        <v>42500</v>
      </c>
      <c r="B930" s="41" t="s">
        <v>16</v>
      </c>
      <c r="C930" s="41" t="s">
        <v>103</v>
      </c>
      <c r="D930" s="108" t="s">
        <v>819</v>
      </c>
      <c r="E930" s="42">
        <v>230</v>
      </c>
      <c r="G930" s="42">
        <f t="shared" si="17"/>
        <v>-230</v>
      </c>
      <c r="H930" s="49" t="s">
        <v>839</v>
      </c>
    </row>
    <row r="931" spans="1:8" x14ac:dyDescent="0.2">
      <c r="A931" s="593">
        <v>42501</v>
      </c>
      <c r="B931" s="41" t="s">
        <v>40</v>
      </c>
      <c r="C931" s="41" t="s">
        <v>1167</v>
      </c>
      <c r="D931" s="108" t="s">
        <v>820</v>
      </c>
      <c r="E931" s="42">
        <v>10000</v>
      </c>
      <c r="G931" s="42">
        <f t="shared" si="17"/>
        <v>-10000</v>
      </c>
      <c r="H931" s="49" t="s">
        <v>839</v>
      </c>
    </row>
    <row r="932" spans="1:8" x14ac:dyDescent="0.2">
      <c r="A932" s="593">
        <v>42501</v>
      </c>
      <c r="B932" s="41" t="s">
        <v>154</v>
      </c>
      <c r="C932" s="41" t="s">
        <v>668</v>
      </c>
      <c r="D932" s="108" t="s">
        <v>821</v>
      </c>
      <c r="E932" s="42">
        <v>4740</v>
      </c>
      <c r="G932" s="42">
        <f t="shared" si="17"/>
        <v>-4740</v>
      </c>
      <c r="H932" s="49" t="s">
        <v>839</v>
      </c>
    </row>
    <row r="933" spans="1:8" x14ac:dyDescent="0.2">
      <c r="A933" s="593">
        <v>42501</v>
      </c>
      <c r="B933" s="41" t="s">
        <v>40</v>
      </c>
      <c r="C933" s="41" t="s">
        <v>668</v>
      </c>
      <c r="G933" s="42">
        <f t="shared" si="17"/>
        <v>0</v>
      </c>
      <c r="H933" s="49" t="s">
        <v>839</v>
      </c>
    </row>
    <row r="934" spans="1:8" x14ac:dyDescent="0.2">
      <c r="A934" s="593">
        <v>42501</v>
      </c>
      <c r="B934" s="41" t="s">
        <v>40</v>
      </c>
      <c r="C934" s="41" t="s">
        <v>14</v>
      </c>
      <c r="D934" s="108" t="s">
        <v>822</v>
      </c>
      <c r="E934" s="42">
        <v>985</v>
      </c>
      <c r="G934" s="42">
        <f t="shared" si="17"/>
        <v>-985</v>
      </c>
      <c r="H934" s="49" t="s">
        <v>839</v>
      </c>
    </row>
    <row r="935" spans="1:8" x14ac:dyDescent="0.2">
      <c r="A935" s="16">
        <v>42502</v>
      </c>
      <c r="B935" s="41" t="s">
        <v>40</v>
      </c>
      <c r="C935" s="41" t="s">
        <v>514</v>
      </c>
      <c r="D935" s="108" t="s">
        <v>768</v>
      </c>
      <c r="F935" s="42">
        <v>1500000</v>
      </c>
      <c r="G935" s="42">
        <f t="shared" si="17"/>
        <v>1500000</v>
      </c>
      <c r="H935" s="49" t="s">
        <v>839</v>
      </c>
    </row>
    <row r="936" spans="1:8" x14ac:dyDescent="0.2">
      <c r="A936" s="16">
        <v>42502</v>
      </c>
      <c r="B936" s="41" t="s">
        <v>40</v>
      </c>
      <c r="C936" s="41" t="s">
        <v>514</v>
      </c>
      <c r="D936" s="108" t="s">
        <v>768</v>
      </c>
      <c r="F936" s="42">
        <v>1500000</v>
      </c>
      <c r="G936" s="42">
        <f t="shared" si="17"/>
        <v>1500000</v>
      </c>
      <c r="H936" s="49" t="s">
        <v>839</v>
      </c>
    </row>
    <row r="937" spans="1:8" x14ac:dyDescent="0.2">
      <c r="A937" s="593">
        <v>42502</v>
      </c>
      <c r="B937" s="41" t="s">
        <v>40</v>
      </c>
      <c r="C937" s="41" t="s">
        <v>1897</v>
      </c>
      <c r="D937" s="108" t="s">
        <v>823</v>
      </c>
      <c r="E937" s="42">
        <v>650</v>
      </c>
      <c r="G937" s="42">
        <f t="shared" si="17"/>
        <v>-650</v>
      </c>
      <c r="H937" s="49" t="s">
        <v>839</v>
      </c>
    </row>
    <row r="938" spans="1:8" x14ac:dyDescent="0.2">
      <c r="A938" s="593">
        <v>42502</v>
      </c>
      <c r="B938" s="41" t="s">
        <v>154</v>
      </c>
      <c r="C938" s="41" t="s">
        <v>1501</v>
      </c>
      <c r="D938" s="108" t="s">
        <v>370</v>
      </c>
      <c r="E938" s="42">
        <v>15000</v>
      </c>
      <c r="G938" s="42">
        <f t="shared" si="17"/>
        <v>-15000</v>
      </c>
      <c r="H938" s="49" t="s">
        <v>839</v>
      </c>
    </row>
    <row r="939" spans="1:8" x14ac:dyDescent="0.2">
      <c r="A939" s="593">
        <v>42502</v>
      </c>
      <c r="B939" s="41" t="s">
        <v>16</v>
      </c>
      <c r="C939" s="41" t="s">
        <v>103</v>
      </c>
      <c r="D939" s="108" t="s">
        <v>824</v>
      </c>
      <c r="E939" s="42">
        <v>160</v>
      </c>
      <c r="G939" s="42">
        <f t="shared" si="17"/>
        <v>-160</v>
      </c>
      <c r="H939" s="49" t="s">
        <v>839</v>
      </c>
    </row>
    <row r="940" spans="1:8" ht="12.75" customHeight="1" x14ac:dyDescent="0.2">
      <c r="A940" s="593">
        <v>42503</v>
      </c>
      <c r="B940" s="41" t="s">
        <v>16</v>
      </c>
      <c r="C940" s="41" t="s">
        <v>221</v>
      </c>
      <c r="D940" s="108" t="s">
        <v>285</v>
      </c>
      <c r="E940" s="42">
        <v>50</v>
      </c>
      <c r="G940" s="42">
        <f t="shared" si="17"/>
        <v>-50</v>
      </c>
      <c r="H940" s="49" t="s">
        <v>839</v>
      </c>
    </row>
    <row r="941" spans="1:8" x14ac:dyDescent="0.2">
      <c r="A941" s="593">
        <v>42503</v>
      </c>
      <c r="B941" s="41" t="s">
        <v>16</v>
      </c>
      <c r="C941" s="41" t="s">
        <v>67</v>
      </c>
      <c r="D941" s="108" t="s">
        <v>286</v>
      </c>
      <c r="E941" s="42">
        <v>100</v>
      </c>
      <c r="G941" s="42">
        <f t="shared" si="17"/>
        <v>-100</v>
      </c>
      <c r="H941" s="49" t="s">
        <v>839</v>
      </c>
    </row>
    <row r="942" spans="1:8" x14ac:dyDescent="0.2">
      <c r="A942" s="593">
        <v>42503</v>
      </c>
      <c r="B942" s="41" t="s">
        <v>40</v>
      </c>
      <c r="C942" s="41" t="s">
        <v>1894</v>
      </c>
      <c r="D942" s="108" t="s">
        <v>392</v>
      </c>
      <c r="E942" s="42">
        <v>1600</v>
      </c>
      <c r="G942" s="42">
        <f t="shared" si="17"/>
        <v>-1600</v>
      </c>
      <c r="H942" s="49" t="s">
        <v>839</v>
      </c>
    </row>
    <row r="943" spans="1:8" x14ac:dyDescent="0.2">
      <c r="A943" s="593">
        <v>42503</v>
      </c>
      <c r="B943" s="41" t="s">
        <v>25</v>
      </c>
      <c r="C943" s="41" t="s">
        <v>1894</v>
      </c>
      <c r="D943" s="108" t="s">
        <v>73</v>
      </c>
      <c r="E943" s="42">
        <v>2446</v>
      </c>
      <c r="G943" s="42">
        <f t="shared" si="17"/>
        <v>-2446</v>
      </c>
      <c r="H943" s="49" t="s">
        <v>839</v>
      </c>
    </row>
    <row r="944" spans="1:8" x14ac:dyDescent="0.2">
      <c r="A944" s="593">
        <v>42503</v>
      </c>
      <c r="B944" s="41" t="s">
        <v>40</v>
      </c>
      <c r="C944" s="41" t="s">
        <v>80</v>
      </c>
      <c r="D944" s="108" t="s">
        <v>825</v>
      </c>
      <c r="E944" s="42">
        <v>1545</v>
      </c>
      <c r="G944" s="42">
        <f t="shared" si="17"/>
        <v>-1545</v>
      </c>
      <c r="H944" s="49" t="s">
        <v>839</v>
      </c>
    </row>
    <row r="945" spans="1:8" x14ac:dyDescent="0.2">
      <c r="A945" s="593">
        <v>42503</v>
      </c>
      <c r="B945" s="41" t="s">
        <v>40</v>
      </c>
      <c r="C945" s="41" t="s">
        <v>80</v>
      </c>
      <c r="D945" s="108" t="s">
        <v>826</v>
      </c>
      <c r="E945" s="42">
        <v>5293</v>
      </c>
      <c r="G945" s="42">
        <f t="shared" si="17"/>
        <v>-5293</v>
      </c>
      <c r="H945" s="49" t="s">
        <v>839</v>
      </c>
    </row>
    <row r="946" spans="1:8" x14ac:dyDescent="0.2">
      <c r="A946" s="594">
        <v>42503</v>
      </c>
      <c r="B946" s="41" t="s">
        <v>40</v>
      </c>
      <c r="C946" s="41" t="s">
        <v>1167</v>
      </c>
      <c r="D946" s="108" t="s">
        <v>951</v>
      </c>
      <c r="E946" s="42">
        <v>6000</v>
      </c>
      <c r="G946" s="42">
        <f t="shared" si="17"/>
        <v>-6000</v>
      </c>
      <c r="H946" s="49" t="s">
        <v>839</v>
      </c>
    </row>
    <row r="947" spans="1:8" x14ac:dyDescent="0.2">
      <c r="A947" s="593">
        <v>42504</v>
      </c>
      <c r="B947" s="41" t="s">
        <v>154</v>
      </c>
      <c r="C947" s="41" t="s">
        <v>414</v>
      </c>
      <c r="D947" s="108" t="s">
        <v>827</v>
      </c>
      <c r="E947" s="42">
        <v>50000</v>
      </c>
      <c r="G947" s="42">
        <f t="shared" si="17"/>
        <v>-50000</v>
      </c>
      <c r="H947" s="49" t="s">
        <v>839</v>
      </c>
    </row>
    <row r="948" spans="1:8" ht="12.75" customHeight="1" x14ac:dyDescent="0.2">
      <c r="A948" s="593">
        <v>42504</v>
      </c>
      <c r="B948" s="41" t="s">
        <v>16</v>
      </c>
      <c r="C948" s="41" t="s">
        <v>67</v>
      </c>
      <c r="D948" s="108" t="s">
        <v>286</v>
      </c>
      <c r="E948" s="42">
        <v>100</v>
      </c>
      <c r="G948" s="42">
        <f t="shared" si="17"/>
        <v>-100</v>
      </c>
      <c r="H948" s="49" t="s">
        <v>839</v>
      </c>
    </row>
    <row r="949" spans="1:8" ht="12.75" customHeight="1" x14ac:dyDescent="0.2">
      <c r="A949" s="593">
        <v>42504</v>
      </c>
      <c r="B949" s="41" t="s">
        <v>40</v>
      </c>
      <c r="C949" s="41" t="s">
        <v>14</v>
      </c>
      <c r="D949" s="108" t="s">
        <v>828</v>
      </c>
      <c r="E949" s="42">
        <v>60</v>
      </c>
      <c r="G949" s="42">
        <f t="shared" si="17"/>
        <v>-60</v>
      </c>
      <c r="H949" s="49" t="s">
        <v>839</v>
      </c>
    </row>
    <row r="950" spans="1:8" ht="12.75" customHeight="1" x14ac:dyDescent="0.2">
      <c r="A950" s="593">
        <v>42504</v>
      </c>
      <c r="B950" s="41" t="s">
        <v>40</v>
      </c>
      <c r="C950" s="41" t="s">
        <v>1894</v>
      </c>
      <c r="D950" s="108" t="s">
        <v>829</v>
      </c>
      <c r="E950" s="42">
        <v>270</v>
      </c>
      <c r="G950" s="42">
        <f t="shared" ref="G950:G1013" si="18">F950-E950</f>
        <v>-270</v>
      </c>
      <c r="H950" s="49" t="s">
        <v>839</v>
      </c>
    </row>
    <row r="951" spans="1:8" ht="12.75" customHeight="1" x14ac:dyDescent="0.2">
      <c r="A951" s="593">
        <v>42504</v>
      </c>
      <c r="B951" s="41" t="s">
        <v>16</v>
      </c>
      <c r="C951" s="41" t="s">
        <v>67</v>
      </c>
      <c r="D951" s="108" t="s">
        <v>286</v>
      </c>
      <c r="E951" s="42">
        <v>150</v>
      </c>
      <c r="G951" s="42">
        <f t="shared" si="18"/>
        <v>-150</v>
      </c>
      <c r="H951" s="49" t="s">
        <v>839</v>
      </c>
    </row>
    <row r="952" spans="1:8" ht="12.75" customHeight="1" x14ac:dyDescent="0.2">
      <c r="A952" s="593">
        <v>42504</v>
      </c>
      <c r="B952" s="41" t="s">
        <v>16</v>
      </c>
      <c r="C952" s="41" t="s">
        <v>103</v>
      </c>
      <c r="D952" s="108" t="s">
        <v>286</v>
      </c>
      <c r="E952" s="42">
        <v>100</v>
      </c>
      <c r="G952" s="42">
        <f t="shared" si="18"/>
        <v>-100</v>
      </c>
      <c r="H952" s="49" t="s">
        <v>839</v>
      </c>
    </row>
    <row r="953" spans="1:8" ht="12.75" customHeight="1" x14ac:dyDescent="0.2">
      <c r="A953" s="593">
        <v>42504</v>
      </c>
      <c r="B953" s="41" t="s">
        <v>25</v>
      </c>
      <c r="C953" s="41" t="s">
        <v>1894</v>
      </c>
      <c r="D953" s="108" t="s">
        <v>841</v>
      </c>
      <c r="E953" s="42">
        <v>1040</v>
      </c>
      <c r="G953" s="42">
        <f t="shared" si="18"/>
        <v>-1040</v>
      </c>
      <c r="H953" s="49" t="s">
        <v>839</v>
      </c>
    </row>
    <row r="954" spans="1:8" ht="12.75" customHeight="1" x14ac:dyDescent="0.2">
      <c r="A954" s="593">
        <v>42504</v>
      </c>
      <c r="B954" s="41" t="s">
        <v>154</v>
      </c>
      <c r="C954" s="41" t="s">
        <v>414</v>
      </c>
      <c r="D954" s="108" t="s">
        <v>827</v>
      </c>
      <c r="E954" s="42">
        <v>50000</v>
      </c>
      <c r="G954" s="42">
        <f t="shared" si="18"/>
        <v>-50000</v>
      </c>
      <c r="H954" s="49" t="s">
        <v>839</v>
      </c>
    </row>
    <row r="955" spans="1:8" ht="12.75" customHeight="1" x14ac:dyDescent="0.2">
      <c r="A955" s="593">
        <v>42504</v>
      </c>
      <c r="B955" s="41" t="s">
        <v>16</v>
      </c>
      <c r="C955" s="41" t="s">
        <v>103</v>
      </c>
      <c r="D955" s="108" t="s">
        <v>842</v>
      </c>
      <c r="E955" s="42">
        <v>270</v>
      </c>
      <c r="G955" s="42">
        <f t="shared" si="18"/>
        <v>-270</v>
      </c>
      <c r="H955" s="49" t="s">
        <v>839</v>
      </c>
    </row>
    <row r="956" spans="1:8" ht="12.75" customHeight="1" x14ac:dyDescent="0.2">
      <c r="A956" s="594">
        <v>42504</v>
      </c>
      <c r="B956" s="41" t="s">
        <v>40</v>
      </c>
      <c r="C956" s="41" t="s">
        <v>372</v>
      </c>
      <c r="D956" s="108" t="s">
        <v>894</v>
      </c>
      <c r="E956" s="42">
        <v>1200</v>
      </c>
      <c r="G956" s="42">
        <f t="shared" si="18"/>
        <v>-1200</v>
      </c>
      <c r="H956" s="49" t="s">
        <v>839</v>
      </c>
    </row>
    <row r="957" spans="1:8" ht="12.75" customHeight="1" x14ac:dyDescent="0.2">
      <c r="A957" s="593">
        <v>42505</v>
      </c>
      <c r="B957" s="41" t="s">
        <v>40</v>
      </c>
      <c r="C957" s="41" t="s">
        <v>372</v>
      </c>
      <c r="D957" s="108" t="s">
        <v>843</v>
      </c>
      <c r="E957" s="42">
        <v>25500</v>
      </c>
      <c r="G957" s="42">
        <f t="shared" si="18"/>
        <v>-25500</v>
      </c>
      <c r="H957" s="49" t="s">
        <v>839</v>
      </c>
    </row>
    <row r="958" spans="1:8" ht="12.75" customHeight="1" x14ac:dyDescent="0.2">
      <c r="A958" s="593">
        <v>42506</v>
      </c>
      <c r="B958" s="41" t="s">
        <v>25</v>
      </c>
      <c r="C958" s="41" t="s">
        <v>844</v>
      </c>
      <c r="D958" s="108" t="s">
        <v>845</v>
      </c>
      <c r="E958" s="42">
        <v>10800</v>
      </c>
      <c r="G958" s="42">
        <f t="shared" si="18"/>
        <v>-10800</v>
      </c>
      <c r="H958" s="49" t="s">
        <v>839</v>
      </c>
    </row>
    <row r="959" spans="1:8" ht="12.75" customHeight="1" x14ac:dyDescent="0.2">
      <c r="A959" s="593">
        <v>42506</v>
      </c>
      <c r="B959" s="41" t="s">
        <v>16</v>
      </c>
      <c r="C959" s="41" t="s">
        <v>103</v>
      </c>
      <c r="D959" s="108" t="s">
        <v>392</v>
      </c>
      <c r="E959" s="42">
        <v>500</v>
      </c>
      <c r="G959" s="42">
        <f t="shared" si="18"/>
        <v>-500</v>
      </c>
      <c r="H959" s="49" t="s">
        <v>839</v>
      </c>
    </row>
    <row r="960" spans="1:8" x14ac:dyDescent="0.2">
      <c r="A960" s="593">
        <v>42506</v>
      </c>
      <c r="B960" s="41" t="s">
        <v>40</v>
      </c>
      <c r="C960" s="41" t="s">
        <v>251</v>
      </c>
      <c r="D960" s="108" t="s">
        <v>846</v>
      </c>
      <c r="E960" s="42">
        <v>176600</v>
      </c>
      <c r="G960" s="42">
        <f t="shared" si="18"/>
        <v>-176600</v>
      </c>
      <c r="H960" s="49" t="s">
        <v>839</v>
      </c>
    </row>
    <row r="961" spans="1:8" x14ac:dyDescent="0.2">
      <c r="A961" s="593">
        <v>42506</v>
      </c>
      <c r="B961" s="41" t="s">
        <v>16</v>
      </c>
      <c r="C961" s="41" t="s">
        <v>67</v>
      </c>
      <c r="D961" s="108" t="s">
        <v>847</v>
      </c>
      <c r="E961" s="42">
        <v>320</v>
      </c>
      <c r="G961" s="42">
        <f t="shared" si="18"/>
        <v>-320</v>
      </c>
      <c r="H961" s="49" t="s">
        <v>839</v>
      </c>
    </row>
    <row r="962" spans="1:8" x14ac:dyDescent="0.2">
      <c r="A962" s="593">
        <v>42507</v>
      </c>
      <c r="B962" s="41" t="s">
        <v>40</v>
      </c>
      <c r="C962" s="41" t="s">
        <v>1897</v>
      </c>
      <c r="D962" s="108" t="s">
        <v>848</v>
      </c>
      <c r="E962" s="42">
        <v>1000</v>
      </c>
      <c r="G962" s="42">
        <f t="shared" si="18"/>
        <v>-1000</v>
      </c>
      <c r="H962" s="49" t="s">
        <v>839</v>
      </c>
    </row>
    <row r="963" spans="1:8" x14ac:dyDescent="0.2">
      <c r="A963" s="593">
        <v>42507</v>
      </c>
      <c r="B963" s="41" t="s">
        <v>40</v>
      </c>
      <c r="C963" s="41" t="s">
        <v>80</v>
      </c>
      <c r="D963" s="108" t="s">
        <v>849</v>
      </c>
      <c r="E963" s="42">
        <v>1845</v>
      </c>
      <c r="G963" s="42">
        <f t="shared" si="18"/>
        <v>-1845</v>
      </c>
      <c r="H963" s="49" t="s">
        <v>839</v>
      </c>
    </row>
    <row r="964" spans="1:8" ht="12.75" customHeight="1" x14ac:dyDescent="0.2">
      <c r="A964" s="593">
        <v>42507</v>
      </c>
      <c r="B964" s="41" t="s">
        <v>37</v>
      </c>
      <c r="C964" s="41" t="s">
        <v>111</v>
      </c>
      <c r="D964" s="108" t="s">
        <v>850</v>
      </c>
      <c r="E964" s="42">
        <v>1704</v>
      </c>
      <c r="G964" s="42">
        <f t="shared" si="18"/>
        <v>-1704</v>
      </c>
      <c r="H964" s="49" t="s">
        <v>839</v>
      </c>
    </row>
    <row r="965" spans="1:8" ht="12.75" customHeight="1" x14ac:dyDescent="0.2">
      <c r="A965" s="593">
        <v>42507</v>
      </c>
      <c r="B965" s="41" t="s">
        <v>18</v>
      </c>
      <c r="C965" s="41" t="s">
        <v>111</v>
      </c>
      <c r="D965" s="108" t="s">
        <v>851</v>
      </c>
      <c r="E965" s="42">
        <v>2250</v>
      </c>
      <c r="G965" s="42">
        <f t="shared" si="18"/>
        <v>-2250</v>
      </c>
      <c r="H965" s="49" t="s">
        <v>839</v>
      </c>
    </row>
    <row r="966" spans="1:8" x14ac:dyDescent="0.2">
      <c r="A966" s="593">
        <v>42507</v>
      </c>
      <c r="B966" s="41" t="s">
        <v>16</v>
      </c>
      <c r="C966" s="41" t="s">
        <v>103</v>
      </c>
      <c r="D966" s="108" t="s">
        <v>852</v>
      </c>
      <c r="E966" s="42">
        <v>408</v>
      </c>
      <c r="G966" s="42">
        <f t="shared" si="18"/>
        <v>-408</v>
      </c>
      <c r="H966" s="49" t="s">
        <v>839</v>
      </c>
    </row>
    <row r="967" spans="1:8" x14ac:dyDescent="0.2">
      <c r="A967" s="593">
        <v>42507</v>
      </c>
      <c r="B967" s="41" t="s">
        <v>40</v>
      </c>
      <c r="C967" s="41" t="s">
        <v>80</v>
      </c>
      <c r="D967" s="108" t="s">
        <v>286</v>
      </c>
      <c r="E967" s="42">
        <v>700</v>
      </c>
      <c r="G967" s="42">
        <f t="shared" si="18"/>
        <v>-700</v>
      </c>
      <c r="H967" s="49" t="s">
        <v>839</v>
      </c>
    </row>
    <row r="968" spans="1:8" ht="12.75" customHeight="1" x14ac:dyDescent="0.2">
      <c r="A968" s="593">
        <v>42508</v>
      </c>
      <c r="B968" s="41" t="s">
        <v>16</v>
      </c>
      <c r="C968" s="41" t="s">
        <v>67</v>
      </c>
      <c r="D968" s="108" t="s">
        <v>286</v>
      </c>
      <c r="E968" s="42">
        <v>50</v>
      </c>
      <c r="G968" s="42">
        <f t="shared" si="18"/>
        <v>-50</v>
      </c>
      <c r="H968" s="49" t="s">
        <v>839</v>
      </c>
    </row>
    <row r="969" spans="1:8" x14ac:dyDescent="0.2">
      <c r="A969" s="593">
        <v>42508</v>
      </c>
      <c r="B969" s="41" t="s">
        <v>40</v>
      </c>
      <c r="C969" s="41" t="s">
        <v>1501</v>
      </c>
      <c r="D969" s="108" t="s">
        <v>853</v>
      </c>
      <c r="E969" s="42">
        <v>6860</v>
      </c>
      <c r="G969" s="42">
        <f t="shared" si="18"/>
        <v>-6860</v>
      </c>
      <c r="H969" s="49" t="s">
        <v>839</v>
      </c>
    </row>
    <row r="970" spans="1:8" x14ac:dyDescent="0.2">
      <c r="A970" s="593">
        <v>42508</v>
      </c>
      <c r="B970" s="41" t="s">
        <v>154</v>
      </c>
      <c r="C970" s="41" t="s">
        <v>1501</v>
      </c>
      <c r="D970" s="108" t="s">
        <v>853</v>
      </c>
      <c r="E970" s="42">
        <v>9300</v>
      </c>
      <c r="G970" s="42">
        <f t="shared" si="18"/>
        <v>-9300</v>
      </c>
      <c r="H970" s="49" t="s">
        <v>839</v>
      </c>
    </row>
    <row r="971" spans="1:8" x14ac:dyDescent="0.2">
      <c r="A971" s="593">
        <v>42508</v>
      </c>
      <c r="B971" s="41" t="s">
        <v>16</v>
      </c>
      <c r="C971" s="41" t="s">
        <v>103</v>
      </c>
      <c r="D971" s="108" t="s">
        <v>854</v>
      </c>
      <c r="E971" s="42">
        <v>390</v>
      </c>
      <c r="G971" s="42">
        <f t="shared" si="18"/>
        <v>-390</v>
      </c>
      <c r="H971" s="49" t="s">
        <v>839</v>
      </c>
    </row>
    <row r="972" spans="1:8" x14ac:dyDescent="0.2">
      <c r="A972" s="593">
        <v>42508</v>
      </c>
      <c r="B972" s="41" t="s">
        <v>40</v>
      </c>
      <c r="C972" s="41" t="s">
        <v>372</v>
      </c>
      <c r="D972" s="108" t="s">
        <v>286</v>
      </c>
      <c r="E972" s="42">
        <v>200</v>
      </c>
      <c r="G972" s="42">
        <f t="shared" si="18"/>
        <v>-200</v>
      </c>
      <c r="H972" s="49" t="s">
        <v>839</v>
      </c>
    </row>
    <row r="973" spans="1:8" x14ac:dyDescent="0.2">
      <c r="A973" s="594">
        <v>42508</v>
      </c>
      <c r="B973" s="41" t="s">
        <v>40</v>
      </c>
      <c r="C973" s="41" t="s">
        <v>895</v>
      </c>
      <c r="D973" s="108" t="s">
        <v>896</v>
      </c>
      <c r="E973" s="58">
        <v>218880</v>
      </c>
      <c r="G973" s="42">
        <f t="shared" si="18"/>
        <v>-218880</v>
      </c>
      <c r="H973" s="49" t="s">
        <v>839</v>
      </c>
    </row>
    <row r="974" spans="1:8" x14ac:dyDescent="0.2">
      <c r="A974" s="594">
        <v>42508</v>
      </c>
      <c r="B974" s="41" t="s">
        <v>154</v>
      </c>
      <c r="C974" s="41" t="s">
        <v>895</v>
      </c>
      <c r="D974" s="108" t="s">
        <v>896</v>
      </c>
      <c r="E974" s="58">
        <v>81120</v>
      </c>
      <c r="G974" s="42">
        <f t="shared" si="18"/>
        <v>-81120</v>
      </c>
      <c r="H974" s="49" t="s">
        <v>839</v>
      </c>
    </row>
    <row r="975" spans="1:8" x14ac:dyDescent="0.2">
      <c r="A975" s="594">
        <v>42508</v>
      </c>
      <c r="B975" s="41" t="s">
        <v>40</v>
      </c>
      <c r="C975" s="41" t="s">
        <v>1167</v>
      </c>
      <c r="D975" s="108" t="s">
        <v>945</v>
      </c>
      <c r="E975" s="42">
        <v>3000</v>
      </c>
      <c r="G975" s="42">
        <f t="shared" si="18"/>
        <v>-3000</v>
      </c>
      <c r="H975" s="49" t="s">
        <v>839</v>
      </c>
    </row>
    <row r="976" spans="1:8" x14ac:dyDescent="0.2">
      <c r="A976" s="594">
        <v>42508</v>
      </c>
      <c r="B976" s="41" t="s">
        <v>16</v>
      </c>
      <c r="C976" s="41" t="s">
        <v>1167</v>
      </c>
      <c r="D976" s="108" t="s">
        <v>897</v>
      </c>
      <c r="E976" s="42">
        <v>4000</v>
      </c>
      <c r="G976" s="42">
        <f t="shared" si="18"/>
        <v>-4000</v>
      </c>
      <c r="H976" s="49" t="s">
        <v>839</v>
      </c>
    </row>
    <row r="977" spans="1:8" x14ac:dyDescent="0.2">
      <c r="A977" s="594">
        <v>42509</v>
      </c>
      <c r="B977" s="41" t="s">
        <v>154</v>
      </c>
      <c r="C977" s="41" t="s">
        <v>106</v>
      </c>
      <c r="D977" s="108" t="s">
        <v>898</v>
      </c>
      <c r="E977" s="42">
        <v>700</v>
      </c>
      <c r="G977" s="42">
        <f t="shared" si="18"/>
        <v>-700</v>
      </c>
      <c r="H977" s="49" t="s">
        <v>839</v>
      </c>
    </row>
    <row r="978" spans="1:8" x14ac:dyDescent="0.2">
      <c r="A978" s="594">
        <v>42509</v>
      </c>
      <c r="B978" s="41" t="s">
        <v>154</v>
      </c>
      <c r="C978" s="41" t="s">
        <v>106</v>
      </c>
      <c r="D978" s="108" t="s">
        <v>899</v>
      </c>
      <c r="E978" s="42">
        <v>2600</v>
      </c>
      <c r="G978" s="42">
        <f t="shared" si="18"/>
        <v>-2600</v>
      </c>
      <c r="H978" s="49" t="s">
        <v>839</v>
      </c>
    </row>
    <row r="979" spans="1:8" x14ac:dyDescent="0.2">
      <c r="A979" s="594">
        <v>42509</v>
      </c>
      <c r="B979" s="41" t="s">
        <v>40</v>
      </c>
      <c r="C979" s="41" t="s">
        <v>209</v>
      </c>
      <c r="D979" s="108" t="s">
        <v>900</v>
      </c>
      <c r="E979" s="42">
        <v>1000</v>
      </c>
      <c r="G979" s="42">
        <f t="shared" si="18"/>
        <v>-1000</v>
      </c>
      <c r="H979" s="49" t="s">
        <v>839</v>
      </c>
    </row>
    <row r="980" spans="1:8" x14ac:dyDescent="0.2">
      <c r="A980" s="594">
        <v>42509</v>
      </c>
      <c r="B980" s="41" t="s">
        <v>40</v>
      </c>
      <c r="C980" s="41" t="s">
        <v>1897</v>
      </c>
      <c r="D980" s="108" t="s">
        <v>901</v>
      </c>
      <c r="E980" s="42">
        <v>200</v>
      </c>
      <c r="G980" s="42">
        <f t="shared" si="18"/>
        <v>-200</v>
      </c>
      <c r="H980" s="49" t="s">
        <v>839</v>
      </c>
    </row>
    <row r="981" spans="1:8" x14ac:dyDescent="0.2">
      <c r="A981" s="594">
        <v>42509</v>
      </c>
      <c r="B981" s="41" t="s">
        <v>40</v>
      </c>
      <c r="C981" s="41" t="s">
        <v>14</v>
      </c>
      <c r="D981" s="108" t="s">
        <v>902</v>
      </c>
      <c r="E981" s="42">
        <v>6672</v>
      </c>
      <c r="G981" s="42">
        <f t="shared" si="18"/>
        <v>-6672</v>
      </c>
      <c r="H981" s="49" t="s">
        <v>839</v>
      </c>
    </row>
    <row r="982" spans="1:8" x14ac:dyDescent="0.2">
      <c r="A982" s="594">
        <v>42509</v>
      </c>
      <c r="B982" s="41" t="s">
        <v>154</v>
      </c>
      <c r="C982" s="41" t="s">
        <v>903</v>
      </c>
      <c r="D982" s="108" t="s">
        <v>617</v>
      </c>
      <c r="E982" s="42">
        <v>500</v>
      </c>
      <c r="G982" s="42">
        <f t="shared" si="18"/>
        <v>-500</v>
      </c>
      <c r="H982" s="49" t="s">
        <v>839</v>
      </c>
    </row>
    <row r="983" spans="1:8" x14ac:dyDescent="0.2">
      <c r="A983" s="594">
        <v>42509</v>
      </c>
      <c r="B983" s="41" t="s">
        <v>40</v>
      </c>
      <c r="C983" s="41" t="s">
        <v>1501</v>
      </c>
      <c r="D983" s="108" t="s">
        <v>853</v>
      </c>
      <c r="E983" s="42">
        <v>15600</v>
      </c>
      <c r="G983" s="42">
        <f t="shared" si="18"/>
        <v>-15600</v>
      </c>
      <c r="H983" s="49" t="s">
        <v>839</v>
      </c>
    </row>
    <row r="984" spans="1:8" x14ac:dyDescent="0.2">
      <c r="A984" s="594">
        <v>42509</v>
      </c>
      <c r="B984" s="41" t="s">
        <v>16</v>
      </c>
      <c r="C984" s="41" t="s">
        <v>221</v>
      </c>
      <c r="D984" s="108" t="s">
        <v>904</v>
      </c>
      <c r="E984" s="42">
        <v>100</v>
      </c>
      <c r="G984" s="42">
        <f t="shared" si="18"/>
        <v>-100</v>
      </c>
      <c r="H984" s="49" t="s">
        <v>839</v>
      </c>
    </row>
    <row r="985" spans="1:8" x14ac:dyDescent="0.2">
      <c r="A985" s="593">
        <v>42510</v>
      </c>
      <c r="B985" s="41" t="s">
        <v>40</v>
      </c>
      <c r="C985" s="41" t="s">
        <v>890</v>
      </c>
      <c r="D985" s="108" t="s">
        <v>891</v>
      </c>
      <c r="F985" s="42">
        <v>1200000</v>
      </c>
      <c r="G985" s="42">
        <f t="shared" si="18"/>
        <v>1200000</v>
      </c>
      <c r="H985" s="49" t="s">
        <v>839</v>
      </c>
    </row>
    <row r="986" spans="1:8" x14ac:dyDescent="0.2">
      <c r="A986" s="594">
        <v>42511</v>
      </c>
      <c r="B986" s="41" t="s">
        <v>16</v>
      </c>
      <c r="C986" s="41" t="s">
        <v>221</v>
      </c>
      <c r="D986" s="108" t="s">
        <v>285</v>
      </c>
      <c r="E986" s="68">
        <v>63</v>
      </c>
      <c r="G986" s="42">
        <f t="shared" si="18"/>
        <v>-63</v>
      </c>
      <c r="H986" s="49" t="s">
        <v>839</v>
      </c>
    </row>
    <row r="987" spans="1:8" x14ac:dyDescent="0.2">
      <c r="A987" s="594">
        <v>42511</v>
      </c>
      <c r="B987" s="41" t="s">
        <v>16</v>
      </c>
      <c r="C987" s="41" t="s">
        <v>67</v>
      </c>
      <c r="D987" s="108" t="s">
        <v>286</v>
      </c>
      <c r="E987" s="42">
        <v>100</v>
      </c>
      <c r="G987" s="42">
        <f t="shared" si="18"/>
        <v>-100</v>
      </c>
      <c r="H987" s="49" t="s">
        <v>839</v>
      </c>
    </row>
    <row r="988" spans="1:8" ht="12.75" customHeight="1" x14ac:dyDescent="0.2">
      <c r="A988" s="594">
        <v>42512</v>
      </c>
      <c r="B988" s="41" t="s">
        <v>16</v>
      </c>
      <c r="C988" s="41" t="s">
        <v>67</v>
      </c>
      <c r="D988" s="108" t="s">
        <v>286</v>
      </c>
      <c r="E988" s="42">
        <v>100</v>
      </c>
      <c r="G988" s="42">
        <f t="shared" si="18"/>
        <v>-100</v>
      </c>
      <c r="H988" s="49" t="s">
        <v>839</v>
      </c>
    </row>
    <row r="989" spans="1:8" ht="12.75" customHeight="1" x14ac:dyDescent="0.2">
      <c r="A989" s="594">
        <v>42513</v>
      </c>
      <c r="B989" s="41" t="s">
        <v>40</v>
      </c>
      <c r="C989" s="41" t="s">
        <v>905</v>
      </c>
      <c r="D989" s="108" t="s">
        <v>906</v>
      </c>
      <c r="E989" s="42">
        <v>100000</v>
      </c>
      <c r="G989" s="42">
        <f t="shared" si="18"/>
        <v>-100000</v>
      </c>
      <c r="H989" s="49" t="s">
        <v>839</v>
      </c>
    </row>
    <row r="990" spans="1:8" x14ac:dyDescent="0.2">
      <c r="A990" s="594">
        <v>42514</v>
      </c>
      <c r="B990" s="41" t="s">
        <v>16</v>
      </c>
      <c r="C990" s="41" t="s">
        <v>103</v>
      </c>
      <c r="D990" s="108" t="s">
        <v>907</v>
      </c>
      <c r="E990" s="42">
        <v>500</v>
      </c>
      <c r="G990" s="42">
        <f t="shared" si="18"/>
        <v>-500</v>
      </c>
      <c r="H990" s="49" t="s">
        <v>839</v>
      </c>
    </row>
    <row r="991" spans="1:8" x14ac:dyDescent="0.2">
      <c r="A991" s="594">
        <v>42514</v>
      </c>
      <c r="B991" s="41" t="s">
        <v>16</v>
      </c>
      <c r="C991" s="41" t="s">
        <v>103</v>
      </c>
      <c r="D991" s="108" t="s">
        <v>286</v>
      </c>
      <c r="E991" s="42">
        <v>400</v>
      </c>
      <c r="G991" s="42">
        <f t="shared" si="18"/>
        <v>-400</v>
      </c>
      <c r="H991" s="49" t="s">
        <v>839</v>
      </c>
    </row>
    <row r="992" spans="1:8" x14ac:dyDescent="0.2">
      <c r="A992" s="594">
        <v>42514</v>
      </c>
      <c r="B992" s="41" t="s">
        <v>16</v>
      </c>
      <c r="C992" s="41" t="s">
        <v>103</v>
      </c>
      <c r="D992" s="108" t="s">
        <v>908</v>
      </c>
      <c r="E992" s="42">
        <v>300</v>
      </c>
      <c r="G992" s="42">
        <f t="shared" si="18"/>
        <v>-300</v>
      </c>
      <c r="H992" s="49" t="s">
        <v>839</v>
      </c>
    </row>
    <row r="993" spans="1:8" x14ac:dyDescent="0.2">
      <c r="A993" s="594">
        <v>42515</v>
      </c>
      <c r="B993" s="41" t="s">
        <v>16</v>
      </c>
      <c r="C993" s="41" t="s">
        <v>103</v>
      </c>
      <c r="D993" s="108" t="s">
        <v>909</v>
      </c>
      <c r="E993" s="42">
        <v>800</v>
      </c>
      <c r="G993" s="42">
        <f t="shared" si="18"/>
        <v>-800</v>
      </c>
      <c r="H993" s="49" t="s">
        <v>839</v>
      </c>
    </row>
    <row r="994" spans="1:8" x14ac:dyDescent="0.2">
      <c r="A994" s="594">
        <v>42515</v>
      </c>
      <c r="B994" s="41" t="s">
        <v>37</v>
      </c>
      <c r="C994" s="41" t="s">
        <v>1167</v>
      </c>
      <c r="D994" s="108" t="s">
        <v>943</v>
      </c>
      <c r="E994" s="42">
        <v>3000</v>
      </c>
      <c r="G994" s="42">
        <f t="shared" si="18"/>
        <v>-3000</v>
      </c>
      <c r="H994" s="49" t="s">
        <v>839</v>
      </c>
    </row>
    <row r="995" spans="1:8" ht="12.75" customHeight="1" x14ac:dyDescent="0.2">
      <c r="A995" s="594">
        <v>42515</v>
      </c>
      <c r="B995" s="41" t="s">
        <v>154</v>
      </c>
      <c r="C995" s="41" t="s">
        <v>929</v>
      </c>
      <c r="D995" s="108" t="s">
        <v>370</v>
      </c>
      <c r="E995" s="42">
        <v>30000</v>
      </c>
      <c r="G995" s="42">
        <f t="shared" si="18"/>
        <v>-30000</v>
      </c>
      <c r="H995" s="49" t="s">
        <v>839</v>
      </c>
    </row>
    <row r="996" spans="1:8" x14ac:dyDescent="0.2">
      <c r="A996" s="594">
        <v>42516</v>
      </c>
      <c r="B996" s="41" t="s">
        <v>16</v>
      </c>
      <c r="C996" s="41" t="s">
        <v>103</v>
      </c>
      <c r="D996" s="108" t="s">
        <v>908</v>
      </c>
      <c r="E996" s="42">
        <v>350</v>
      </c>
      <c r="G996" s="42">
        <f t="shared" si="18"/>
        <v>-350</v>
      </c>
      <c r="H996" s="49" t="s">
        <v>839</v>
      </c>
    </row>
    <row r="997" spans="1:8" x14ac:dyDescent="0.2">
      <c r="A997" s="594">
        <v>42516</v>
      </c>
      <c r="B997" s="41" t="s">
        <v>40</v>
      </c>
      <c r="C997" s="41" t="s">
        <v>14</v>
      </c>
      <c r="D997" s="108" t="s">
        <v>370</v>
      </c>
      <c r="E997" s="42">
        <v>30000</v>
      </c>
      <c r="G997" s="42">
        <f t="shared" si="18"/>
        <v>-30000</v>
      </c>
      <c r="H997" s="49" t="s">
        <v>839</v>
      </c>
    </row>
    <row r="998" spans="1:8" x14ac:dyDescent="0.2">
      <c r="A998" s="594">
        <v>42516</v>
      </c>
      <c r="B998" s="41" t="s">
        <v>16</v>
      </c>
      <c r="C998" s="41" t="s">
        <v>103</v>
      </c>
      <c r="D998" s="108" t="s">
        <v>854</v>
      </c>
      <c r="E998" s="42">
        <v>370</v>
      </c>
      <c r="G998" s="42">
        <f t="shared" si="18"/>
        <v>-370</v>
      </c>
      <c r="H998" s="49" t="s">
        <v>839</v>
      </c>
    </row>
    <row r="999" spans="1:8" x14ac:dyDescent="0.2">
      <c r="A999" s="594">
        <v>42516</v>
      </c>
      <c r="B999" s="41" t="s">
        <v>154</v>
      </c>
      <c r="C999" s="41" t="s">
        <v>668</v>
      </c>
      <c r="D999" s="108" t="s">
        <v>910</v>
      </c>
      <c r="E999" s="42">
        <v>9210</v>
      </c>
      <c r="G999" s="42">
        <f t="shared" si="18"/>
        <v>-9210</v>
      </c>
      <c r="H999" s="49" t="s">
        <v>839</v>
      </c>
    </row>
    <row r="1000" spans="1:8" x14ac:dyDescent="0.2">
      <c r="A1000" s="594">
        <v>42516</v>
      </c>
      <c r="B1000" s="41" t="s">
        <v>154</v>
      </c>
      <c r="C1000" s="41" t="s">
        <v>106</v>
      </c>
      <c r="D1000" s="108" t="s">
        <v>911</v>
      </c>
      <c r="E1000" s="42">
        <v>2880</v>
      </c>
      <c r="G1000" s="42">
        <f t="shared" si="18"/>
        <v>-2880</v>
      </c>
      <c r="H1000" s="49" t="s">
        <v>839</v>
      </c>
    </row>
    <row r="1001" spans="1:8" x14ac:dyDescent="0.2">
      <c r="A1001" s="594">
        <v>42516</v>
      </c>
      <c r="B1001" s="41" t="s">
        <v>16</v>
      </c>
      <c r="C1001" s="41" t="s">
        <v>221</v>
      </c>
      <c r="D1001" s="108" t="s">
        <v>286</v>
      </c>
      <c r="E1001" s="42">
        <v>60</v>
      </c>
      <c r="G1001" s="42">
        <f t="shared" si="18"/>
        <v>-60</v>
      </c>
      <c r="H1001" s="49" t="s">
        <v>839</v>
      </c>
    </row>
    <row r="1002" spans="1:8" x14ac:dyDescent="0.2">
      <c r="A1002" s="594">
        <v>42516</v>
      </c>
      <c r="B1002" s="41" t="s">
        <v>40</v>
      </c>
      <c r="C1002" s="41" t="s">
        <v>1167</v>
      </c>
      <c r="D1002" s="108" t="s">
        <v>947</v>
      </c>
      <c r="E1002" s="42">
        <v>5000</v>
      </c>
      <c r="G1002" s="42">
        <f t="shared" si="18"/>
        <v>-5000</v>
      </c>
      <c r="H1002" s="49" t="s">
        <v>839</v>
      </c>
    </row>
    <row r="1003" spans="1:8" x14ac:dyDescent="0.2">
      <c r="A1003" s="594">
        <v>42516</v>
      </c>
      <c r="B1003" s="41" t="s">
        <v>40</v>
      </c>
      <c r="C1003" s="41" t="s">
        <v>1167</v>
      </c>
      <c r="D1003" s="108" t="s">
        <v>948</v>
      </c>
      <c r="E1003" s="42">
        <v>35000</v>
      </c>
      <c r="G1003" s="42">
        <f t="shared" si="18"/>
        <v>-35000</v>
      </c>
      <c r="H1003" s="49" t="s">
        <v>839</v>
      </c>
    </row>
    <row r="1004" spans="1:8" x14ac:dyDescent="0.2">
      <c r="A1004" s="594">
        <v>42516</v>
      </c>
      <c r="B1004" s="41" t="s">
        <v>37</v>
      </c>
      <c r="C1004" s="41" t="s">
        <v>912</v>
      </c>
      <c r="D1004" s="108" t="s">
        <v>370</v>
      </c>
      <c r="E1004" s="42">
        <v>5000</v>
      </c>
      <c r="G1004" s="42">
        <f t="shared" si="18"/>
        <v>-5000</v>
      </c>
      <c r="H1004" s="49" t="s">
        <v>839</v>
      </c>
    </row>
    <row r="1005" spans="1:8" x14ac:dyDescent="0.2">
      <c r="A1005" s="594">
        <v>42516</v>
      </c>
      <c r="B1005" s="41" t="s">
        <v>154</v>
      </c>
      <c r="C1005" s="41" t="s">
        <v>372</v>
      </c>
      <c r="D1005" s="108" t="s">
        <v>913</v>
      </c>
      <c r="E1005" s="42">
        <v>2000</v>
      </c>
      <c r="G1005" s="42">
        <f t="shared" si="18"/>
        <v>-2000</v>
      </c>
      <c r="H1005" s="49" t="s">
        <v>839</v>
      </c>
    </row>
    <row r="1006" spans="1:8" x14ac:dyDescent="0.2">
      <c r="A1006" s="594">
        <v>42516</v>
      </c>
      <c r="B1006" s="41" t="s">
        <v>40</v>
      </c>
      <c r="C1006" s="41" t="s">
        <v>372</v>
      </c>
      <c r="D1006" s="108" t="s">
        <v>913</v>
      </c>
      <c r="E1006" s="42">
        <v>12800</v>
      </c>
      <c r="G1006" s="42">
        <f t="shared" si="18"/>
        <v>-12800</v>
      </c>
      <c r="H1006" s="49" t="s">
        <v>839</v>
      </c>
    </row>
    <row r="1007" spans="1:8" x14ac:dyDescent="0.2">
      <c r="A1007" s="594">
        <v>42516</v>
      </c>
      <c r="B1007" s="41" t="s">
        <v>37</v>
      </c>
      <c r="C1007" s="41" t="s">
        <v>372</v>
      </c>
      <c r="D1007" s="108" t="s">
        <v>913</v>
      </c>
      <c r="E1007" s="42">
        <v>2000</v>
      </c>
      <c r="G1007" s="42">
        <f t="shared" si="18"/>
        <v>-2000</v>
      </c>
      <c r="H1007" s="49" t="s">
        <v>839</v>
      </c>
    </row>
    <row r="1008" spans="1:8" x14ac:dyDescent="0.2">
      <c r="A1008" s="594">
        <v>42516</v>
      </c>
      <c r="B1008" s="41" t="s">
        <v>40</v>
      </c>
      <c r="C1008" s="41" t="s">
        <v>103</v>
      </c>
      <c r="D1008" s="108" t="s">
        <v>914</v>
      </c>
      <c r="E1008" s="42">
        <v>6000</v>
      </c>
      <c r="G1008" s="42">
        <f t="shared" si="18"/>
        <v>-6000</v>
      </c>
      <c r="H1008" s="49" t="s">
        <v>839</v>
      </c>
    </row>
    <row r="1009" spans="1:8" x14ac:dyDescent="0.2">
      <c r="A1009" s="594">
        <v>42516</v>
      </c>
      <c r="B1009" s="41" t="s">
        <v>37</v>
      </c>
      <c r="C1009" s="41" t="s">
        <v>1167</v>
      </c>
      <c r="D1009" s="108" t="s">
        <v>942</v>
      </c>
      <c r="E1009" s="42">
        <v>5000</v>
      </c>
      <c r="G1009" s="42">
        <f t="shared" si="18"/>
        <v>-5000</v>
      </c>
      <c r="H1009" s="49" t="s">
        <v>839</v>
      </c>
    </row>
    <row r="1010" spans="1:8" x14ac:dyDescent="0.2">
      <c r="A1010" s="594">
        <v>42516</v>
      </c>
      <c r="B1010" s="41" t="s">
        <v>154</v>
      </c>
      <c r="C1010" s="41" t="s">
        <v>929</v>
      </c>
      <c r="D1010" s="108" t="s">
        <v>826</v>
      </c>
      <c r="E1010" s="42">
        <v>1500</v>
      </c>
      <c r="G1010" s="42">
        <f t="shared" si="18"/>
        <v>-1500</v>
      </c>
      <c r="H1010" s="49" t="s">
        <v>839</v>
      </c>
    </row>
    <row r="1011" spans="1:8" x14ac:dyDescent="0.2">
      <c r="A1011" s="594">
        <v>42517</v>
      </c>
      <c r="B1011" s="41" t="s">
        <v>16</v>
      </c>
      <c r="C1011" s="41" t="s">
        <v>103</v>
      </c>
      <c r="D1011" s="108" t="s">
        <v>908</v>
      </c>
      <c r="E1011" s="42">
        <v>1000</v>
      </c>
      <c r="G1011" s="42">
        <f t="shared" si="18"/>
        <v>-1000</v>
      </c>
      <c r="H1011" s="49" t="s">
        <v>839</v>
      </c>
    </row>
    <row r="1012" spans="1:8" x14ac:dyDescent="0.2">
      <c r="A1012" s="594">
        <v>42517</v>
      </c>
      <c r="B1012" s="41" t="s">
        <v>16</v>
      </c>
      <c r="C1012" s="41" t="s">
        <v>1167</v>
      </c>
      <c r="D1012" s="108" t="s">
        <v>941</v>
      </c>
      <c r="E1012" s="42">
        <v>1000</v>
      </c>
      <c r="G1012" s="42">
        <f t="shared" si="18"/>
        <v>-1000</v>
      </c>
      <c r="H1012" s="49" t="s">
        <v>839</v>
      </c>
    </row>
    <row r="1013" spans="1:8" x14ac:dyDescent="0.2">
      <c r="A1013" s="594">
        <v>42517</v>
      </c>
      <c r="B1013" s="41" t="s">
        <v>40</v>
      </c>
      <c r="C1013" s="41" t="s">
        <v>220</v>
      </c>
      <c r="D1013" s="108" t="s">
        <v>915</v>
      </c>
      <c r="E1013" s="42">
        <v>1630</v>
      </c>
      <c r="G1013" s="42">
        <f t="shared" si="18"/>
        <v>-1630</v>
      </c>
      <c r="H1013" s="49" t="s">
        <v>839</v>
      </c>
    </row>
    <row r="1014" spans="1:8" x14ac:dyDescent="0.2">
      <c r="A1014" s="594">
        <v>42517</v>
      </c>
      <c r="B1014" s="41" t="s">
        <v>154</v>
      </c>
      <c r="C1014" s="41" t="s">
        <v>220</v>
      </c>
      <c r="D1014" s="108" t="s">
        <v>916</v>
      </c>
      <c r="E1014" s="42">
        <v>1520</v>
      </c>
      <c r="G1014" s="42">
        <f t="shared" ref="G1014:G1031" si="19">F1014-E1014</f>
        <v>-1520</v>
      </c>
      <c r="H1014" s="49" t="s">
        <v>839</v>
      </c>
    </row>
    <row r="1015" spans="1:8" ht="12.75" customHeight="1" x14ac:dyDescent="0.2">
      <c r="A1015" s="593">
        <v>42518</v>
      </c>
      <c r="B1015" s="41" t="s">
        <v>154</v>
      </c>
      <c r="C1015" s="41" t="s">
        <v>431</v>
      </c>
      <c r="D1015" s="108" t="s">
        <v>370</v>
      </c>
      <c r="E1015" s="42">
        <v>200000</v>
      </c>
      <c r="G1015" s="42">
        <f t="shared" si="19"/>
        <v>-200000</v>
      </c>
      <c r="H1015" s="49" t="s">
        <v>839</v>
      </c>
    </row>
    <row r="1016" spans="1:8" x14ac:dyDescent="0.2">
      <c r="A1016" s="593">
        <v>42518</v>
      </c>
      <c r="B1016" s="41" t="s">
        <v>154</v>
      </c>
      <c r="C1016" s="41" t="s">
        <v>431</v>
      </c>
      <c r="D1016" s="108" t="s">
        <v>158</v>
      </c>
      <c r="E1016" s="42">
        <v>200000</v>
      </c>
      <c r="G1016" s="42">
        <f t="shared" si="19"/>
        <v>-200000</v>
      </c>
      <c r="H1016" s="49" t="s">
        <v>839</v>
      </c>
    </row>
    <row r="1017" spans="1:8" x14ac:dyDescent="0.2">
      <c r="A1017" s="594">
        <v>42518</v>
      </c>
      <c r="B1017" s="41" t="s">
        <v>154</v>
      </c>
      <c r="C1017" s="41" t="s">
        <v>220</v>
      </c>
      <c r="D1017" s="108" t="s">
        <v>917</v>
      </c>
      <c r="E1017" s="42">
        <v>1220</v>
      </c>
      <c r="G1017" s="42">
        <f t="shared" si="19"/>
        <v>-1220</v>
      </c>
      <c r="H1017" s="49" t="s">
        <v>839</v>
      </c>
    </row>
    <row r="1018" spans="1:8" x14ac:dyDescent="0.2">
      <c r="A1018" s="594">
        <v>42518</v>
      </c>
      <c r="B1018" s="41" t="s">
        <v>22</v>
      </c>
      <c r="C1018" s="41" t="s">
        <v>325</v>
      </c>
      <c r="D1018" s="108" t="s">
        <v>918</v>
      </c>
      <c r="E1018" s="42">
        <v>3280</v>
      </c>
      <c r="G1018" s="42">
        <f t="shared" si="19"/>
        <v>-3280</v>
      </c>
      <c r="H1018" s="49" t="s">
        <v>839</v>
      </c>
    </row>
    <row r="1019" spans="1:8" x14ac:dyDescent="0.2">
      <c r="A1019" s="594">
        <v>42518</v>
      </c>
      <c r="B1019" s="41" t="s">
        <v>154</v>
      </c>
      <c r="C1019" s="41" t="s">
        <v>919</v>
      </c>
      <c r="D1019" s="108" t="s">
        <v>920</v>
      </c>
      <c r="E1019" s="42">
        <v>4470</v>
      </c>
      <c r="G1019" s="42">
        <f t="shared" si="19"/>
        <v>-4470</v>
      </c>
      <c r="H1019" s="49" t="s">
        <v>839</v>
      </c>
    </row>
    <row r="1020" spans="1:8" x14ac:dyDescent="0.2">
      <c r="A1020" s="594">
        <v>42518</v>
      </c>
      <c r="B1020" s="41" t="s">
        <v>18</v>
      </c>
      <c r="C1020" s="41" t="s">
        <v>921</v>
      </c>
      <c r="D1020" s="108" t="s">
        <v>826</v>
      </c>
      <c r="E1020" s="42">
        <v>8370</v>
      </c>
      <c r="G1020" s="42">
        <f t="shared" si="19"/>
        <v>-8370</v>
      </c>
      <c r="H1020" s="49" t="s">
        <v>839</v>
      </c>
    </row>
    <row r="1021" spans="1:8" x14ac:dyDescent="0.2">
      <c r="A1021" s="594">
        <v>42518</v>
      </c>
      <c r="B1021" s="41" t="s">
        <v>16</v>
      </c>
      <c r="C1021" s="41" t="s">
        <v>780</v>
      </c>
      <c r="D1021" s="108" t="s">
        <v>922</v>
      </c>
      <c r="E1021" s="42">
        <v>1885</v>
      </c>
      <c r="G1021" s="42">
        <f t="shared" si="19"/>
        <v>-1885</v>
      </c>
      <c r="H1021" s="49" t="s">
        <v>839</v>
      </c>
    </row>
    <row r="1022" spans="1:8" x14ac:dyDescent="0.2">
      <c r="A1022" s="594">
        <v>42518</v>
      </c>
      <c r="B1022" s="41" t="s">
        <v>11</v>
      </c>
      <c r="C1022" s="41" t="s">
        <v>780</v>
      </c>
      <c r="D1022" s="108" t="s">
        <v>923</v>
      </c>
      <c r="E1022" s="42">
        <v>525</v>
      </c>
      <c r="G1022" s="42">
        <f t="shared" si="19"/>
        <v>-525</v>
      </c>
      <c r="H1022" s="49" t="s">
        <v>839</v>
      </c>
    </row>
    <row r="1023" spans="1:8" x14ac:dyDescent="0.2">
      <c r="A1023" s="594">
        <v>42518</v>
      </c>
      <c r="B1023" s="41" t="s">
        <v>154</v>
      </c>
      <c r="C1023" s="41" t="s">
        <v>780</v>
      </c>
      <c r="D1023" s="108" t="s">
        <v>826</v>
      </c>
      <c r="E1023" s="42">
        <v>1680</v>
      </c>
      <c r="G1023" s="42">
        <f t="shared" si="19"/>
        <v>-1680</v>
      </c>
      <c r="H1023" s="49" t="s">
        <v>839</v>
      </c>
    </row>
    <row r="1024" spans="1:8" x14ac:dyDescent="0.2">
      <c r="A1024" s="594">
        <v>42518</v>
      </c>
      <c r="B1024" s="41" t="s">
        <v>40</v>
      </c>
      <c r="C1024" s="41" t="s">
        <v>780</v>
      </c>
      <c r="D1024" s="108" t="s">
        <v>826</v>
      </c>
      <c r="E1024" s="42">
        <v>21477</v>
      </c>
      <c r="G1024" s="42">
        <f t="shared" si="19"/>
        <v>-21477</v>
      </c>
      <c r="H1024" s="49" t="s">
        <v>839</v>
      </c>
    </row>
    <row r="1025" spans="1:8" x14ac:dyDescent="0.2">
      <c r="A1025" s="594">
        <v>42518</v>
      </c>
      <c r="B1025" s="41" t="s">
        <v>40</v>
      </c>
      <c r="C1025" s="41" t="s">
        <v>1875</v>
      </c>
      <c r="D1025" s="108" t="s">
        <v>924</v>
      </c>
      <c r="E1025" s="42">
        <v>15000</v>
      </c>
      <c r="G1025" s="42">
        <f t="shared" si="19"/>
        <v>-15000</v>
      </c>
      <c r="H1025" s="49" t="s">
        <v>839</v>
      </c>
    </row>
    <row r="1026" spans="1:8" x14ac:dyDescent="0.2">
      <c r="A1026" s="594">
        <v>42518</v>
      </c>
      <c r="B1026" s="41" t="s">
        <v>40</v>
      </c>
      <c r="C1026" s="41" t="s">
        <v>1167</v>
      </c>
      <c r="D1026" s="108" t="s">
        <v>949</v>
      </c>
      <c r="E1026" s="42">
        <v>1000</v>
      </c>
      <c r="G1026" s="42">
        <f t="shared" si="19"/>
        <v>-1000</v>
      </c>
      <c r="H1026" s="49" t="s">
        <v>839</v>
      </c>
    </row>
    <row r="1027" spans="1:8" x14ac:dyDescent="0.2">
      <c r="A1027" s="594">
        <v>42518</v>
      </c>
      <c r="B1027" s="41" t="s">
        <v>40</v>
      </c>
      <c r="C1027" s="41" t="s">
        <v>1167</v>
      </c>
      <c r="D1027" s="108" t="s">
        <v>925</v>
      </c>
      <c r="E1027" s="42">
        <v>2000</v>
      </c>
      <c r="G1027" s="42">
        <f t="shared" si="19"/>
        <v>-2000</v>
      </c>
      <c r="H1027" s="49" t="s">
        <v>839</v>
      </c>
    </row>
    <row r="1028" spans="1:8" x14ac:dyDescent="0.2">
      <c r="A1028" s="594">
        <v>42518</v>
      </c>
      <c r="B1028" s="41" t="s">
        <v>40</v>
      </c>
      <c r="C1028" s="41" t="s">
        <v>1388</v>
      </c>
      <c r="D1028" s="108" t="s">
        <v>926</v>
      </c>
      <c r="E1028" s="42">
        <v>24000</v>
      </c>
      <c r="G1028" s="42">
        <f t="shared" si="19"/>
        <v>-24000</v>
      </c>
      <c r="H1028" s="49" t="s">
        <v>839</v>
      </c>
    </row>
    <row r="1029" spans="1:8" x14ac:dyDescent="0.2">
      <c r="A1029" s="594">
        <v>42518</v>
      </c>
      <c r="B1029" s="41" t="s">
        <v>16</v>
      </c>
      <c r="C1029" s="41" t="s">
        <v>67</v>
      </c>
      <c r="D1029" s="108" t="s">
        <v>392</v>
      </c>
      <c r="E1029" s="42">
        <v>70</v>
      </c>
      <c r="G1029" s="42">
        <f t="shared" si="19"/>
        <v>-70</v>
      </c>
      <c r="H1029" s="49" t="s">
        <v>839</v>
      </c>
    </row>
    <row r="1030" spans="1:8" x14ac:dyDescent="0.2">
      <c r="A1030" s="594">
        <v>42518</v>
      </c>
      <c r="B1030" s="41" t="s">
        <v>154</v>
      </c>
      <c r="C1030" s="41" t="s">
        <v>106</v>
      </c>
      <c r="D1030" s="108" t="s">
        <v>944</v>
      </c>
      <c r="E1030" s="42">
        <v>9000</v>
      </c>
      <c r="G1030" s="42">
        <f t="shared" si="19"/>
        <v>-9000</v>
      </c>
      <c r="H1030" s="49" t="s">
        <v>839</v>
      </c>
    </row>
    <row r="1031" spans="1:8" x14ac:dyDescent="0.2">
      <c r="A1031" s="594">
        <v>42518</v>
      </c>
      <c r="B1031" s="41" t="s">
        <v>16</v>
      </c>
      <c r="C1031" s="41" t="s">
        <v>221</v>
      </c>
      <c r="D1031" s="108" t="s">
        <v>927</v>
      </c>
      <c r="E1031" s="42">
        <v>2000</v>
      </c>
      <c r="G1031" s="42">
        <f t="shared" si="19"/>
        <v>-2000</v>
      </c>
      <c r="H1031" s="49" t="s">
        <v>839</v>
      </c>
    </row>
    <row r="1032" spans="1:8" x14ac:dyDescent="0.2">
      <c r="A1032" s="594">
        <v>42518</v>
      </c>
      <c r="B1032" s="41" t="s">
        <v>40</v>
      </c>
      <c r="C1032" s="41" t="s">
        <v>1167</v>
      </c>
      <c r="D1032" s="108" t="s">
        <v>946</v>
      </c>
      <c r="E1032" s="42">
        <v>1000</v>
      </c>
      <c r="H1032" s="49" t="s">
        <v>839</v>
      </c>
    </row>
    <row r="1033" spans="1:8" x14ac:dyDescent="0.2">
      <c r="A1033" s="594">
        <v>42520</v>
      </c>
      <c r="B1033" s="41" t="s">
        <v>16</v>
      </c>
      <c r="C1033" s="41" t="s">
        <v>103</v>
      </c>
      <c r="D1033" s="108" t="s">
        <v>928</v>
      </c>
      <c r="E1033" s="42">
        <v>910</v>
      </c>
      <c r="G1033" s="42">
        <f t="shared" ref="G1033:G1096" si="20">F1033-E1033</f>
        <v>-910</v>
      </c>
      <c r="H1033" s="49" t="s">
        <v>839</v>
      </c>
    </row>
    <row r="1034" spans="1:8" x14ac:dyDescent="0.2">
      <c r="A1034" s="594">
        <v>42520</v>
      </c>
      <c r="B1034" s="41" t="s">
        <v>40</v>
      </c>
      <c r="C1034" s="41" t="s">
        <v>80</v>
      </c>
      <c r="D1034" s="108" t="s">
        <v>826</v>
      </c>
      <c r="E1034" s="42">
        <v>10770</v>
      </c>
      <c r="G1034" s="42">
        <f t="shared" si="20"/>
        <v>-10770</v>
      </c>
      <c r="H1034" s="49" t="s">
        <v>839</v>
      </c>
    </row>
    <row r="1035" spans="1:8" x14ac:dyDescent="0.2">
      <c r="A1035" s="594">
        <v>42520</v>
      </c>
      <c r="B1035" s="41" t="s">
        <v>40</v>
      </c>
      <c r="C1035" s="41" t="s">
        <v>64</v>
      </c>
      <c r="D1035" s="108" t="s">
        <v>930</v>
      </c>
      <c r="E1035" s="42">
        <v>750</v>
      </c>
      <c r="G1035" s="42">
        <f t="shared" si="20"/>
        <v>-750</v>
      </c>
      <c r="H1035" s="49" t="s">
        <v>839</v>
      </c>
    </row>
    <row r="1036" spans="1:8" x14ac:dyDescent="0.2">
      <c r="A1036" s="594">
        <v>42520</v>
      </c>
      <c r="B1036" s="41" t="s">
        <v>16</v>
      </c>
      <c r="C1036" s="41" t="s">
        <v>16</v>
      </c>
      <c r="D1036" s="108" t="s">
        <v>931</v>
      </c>
      <c r="E1036" s="42">
        <v>90</v>
      </c>
      <c r="G1036" s="42">
        <f t="shared" si="20"/>
        <v>-90</v>
      </c>
      <c r="H1036" s="49" t="s">
        <v>839</v>
      </c>
    </row>
    <row r="1037" spans="1:8" s="48" customFormat="1" x14ac:dyDescent="0.2">
      <c r="A1037" s="594">
        <v>42521</v>
      </c>
      <c r="B1037" s="41" t="s">
        <v>22</v>
      </c>
      <c r="C1037" s="41" t="s">
        <v>221</v>
      </c>
      <c r="D1037" s="108" t="s">
        <v>932</v>
      </c>
      <c r="E1037" s="42">
        <v>270</v>
      </c>
      <c r="F1037" s="42"/>
      <c r="G1037" s="42">
        <f t="shared" si="20"/>
        <v>-270</v>
      </c>
      <c r="H1037" s="49" t="s">
        <v>839</v>
      </c>
    </row>
    <row r="1038" spans="1:8" x14ac:dyDescent="0.2">
      <c r="A1038" s="594">
        <v>42521</v>
      </c>
      <c r="B1038" s="41" t="s">
        <v>16</v>
      </c>
      <c r="C1038" s="41" t="s">
        <v>1167</v>
      </c>
      <c r="D1038" s="108" t="s">
        <v>950</v>
      </c>
      <c r="E1038" s="42">
        <v>500</v>
      </c>
      <c r="G1038" s="42">
        <f t="shared" si="20"/>
        <v>-500</v>
      </c>
      <c r="H1038" s="49" t="s">
        <v>839</v>
      </c>
    </row>
    <row r="1039" spans="1:8" x14ac:dyDescent="0.2">
      <c r="A1039" s="594">
        <v>42521</v>
      </c>
      <c r="B1039" s="41" t="s">
        <v>40</v>
      </c>
      <c r="C1039" s="41" t="s">
        <v>551</v>
      </c>
      <c r="D1039" s="108" t="s">
        <v>392</v>
      </c>
      <c r="E1039" s="42">
        <v>1000</v>
      </c>
      <c r="G1039" s="42">
        <f t="shared" si="20"/>
        <v>-1000</v>
      </c>
      <c r="H1039" s="49" t="s">
        <v>839</v>
      </c>
    </row>
    <row r="1040" spans="1:8" x14ac:dyDescent="0.2">
      <c r="A1040" s="594">
        <v>42521</v>
      </c>
      <c r="B1040" s="41" t="s">
        <v>40</v>
      </c>
      <c r="C1040" s="41" t="s">
        <v>1501</v>
      </c>
      <c r="D1040" s="108" t="s">
        <v>853</v>
      </c>
      <c r="E1040" s="42">
        <v>15600</v>
      </c>
      <c r="G1040" s="42">
        <f t="shared" si="20"/>
        <v>-15600</v>
      </c>
      <c r="H1040" s="49" t="s">
        <v>839</v>
      </c>
    </row>
    <row r="1041" spans="1:8" x14ac:dyDescent="0.2">
      <c r="A1041" s="594">
        <v>42521</v>
      </c>
      <c r="B1041" s="41" t="s">
        <v>154</v>
      </c>
      <c r="C1041" s="41" t="s">
        <v>1501</v>
      </c>
      <c r="D1041" s="108" t="s">
        <v>933</v>
      </c>
      <c r="E1041" s="42">
        <v>13800</v>
      </c>
      <c r="G1041" s="42">
        <f t="shared" si="20"/>
        <v>-13800</v>
      </c>
      <c r="H1041" s="49" t="s">
        <v>839</v>
      </c>
    </row>
    <row r="1042" spans="1:8" x14ac:dyDescent="0.2">
      <c r="A1042" s="594">
        <v>42521</v>
      </c>
      <c r="B1042" s="41" t="s">
        <v>37</v>
      </c>
      <c r="C1042" s="41" t="s">
        <v>194</v>
      </c>
      <c r="D1042" s="108" t="s">
        <v>934</v>
      </c>
      <c r="E1042" s="42">
        <v>570</v>
      </c>
      <c r="G1042" s="42">
        <f t="shared" si="20"/>
        <v>-570</v>
      </c>
      <c r="H1042" s="49" t="s">
        <v>839</v>
      </c>
    </row>
    <row r="1043" spans="1:8" x14ac:dyDescent="0.2">
      <c r="A1043" s="594">
        <v>42521</v>
      </c>
      <c r="B1043" s="41" t="s">
        <v>37</v>
      </c>
      <c r="C1043" s="41" t="s">
        <v>194</v>
      </c>
      <c r="D1043" s="108" t="s">
        <v>935</v>
      </c>
      <c r="E1043" s="42">
        <v>2236</v>
      </c>
      <c r="G1043" s="42">
        <f t="shared" si="20"/>
        <v>-2236</v>
      </c>
      <c r="H1043" s="49" t="s">
        <v>839</v>
      </c>
    </row>
    <row r="1044" spans="1:8" x14ac:dyDescent="0.2">
      <c r="A1044" s="594">
        <v>42521</v>
      </c>
      <c r="B1044" s="41" t="s">
        <v>16</v>
      </c>
      <c r="C1044" s="41" t="s">
        <v>103</v>
      </c>
      <c r="D1044" s="108" t="s">
        <v>936</v>
      </c>
      <c r="E1044" s="42">
        <v>180</v>
      </c>
      <c r="G1044" s="42">
        <f t="shared" si="20"/>
        <v>-180</v>
      </c>
      <c r="H1044" s="49" t="s">
        <v>839</v>
      </c>
    </row>
    <row r="1045" spans="1:8" ht="12.75" customHeight="1" x14ac:dyDescent="0.2">
      <c r="A1045" s="594">
        <v>42521</v>
      </c>
      <c r="B1045" s="41" t="s">
        <v>25</v>
      </c>
      <c r="C1045" s="41" t="s">
        <v>1895</v>
      </c>
      <c r="D1045" s="108" t="s">
        <v>937</v>
      </c>
      <c r="E1045" s="42">
        <v>48960</v>
      </c>
      <c r="G1045" s="42">
        <f t="shared" si="20"/>
        <v>-48960</v>
      </c>
      <c r="H1045" s="49" t="s">
        <v>839</v>
      </c>
    </row>
    <row r="1046" spans="1:8" ht="12.75" customHeight="1" x14ac:dyDescent="0.2">
      <c r="A1046" s="594">
        <v>42521</v>
      </c>
      <c r="B1046" s="41" t="s">
        <v>40</v>
      </c>
      <c r="C1046" s="41" t="s">
        <v>1897</v>
      </c>
      <c r="D1046" s="108" t="s">
        <v>938</v>
      </c>
      <c r="E1046" s="42">
        <v>100</v>
      </c>
      <c r="G1046" s="42">
        <f t="shared" si="20"/>
        <v>-100</v>
      </c>
      <c r="H1046" s="49" t="s">
        <v>839</v>
      </c>
    </row>
    <row r="1047" spans="1:8" x14ac:dyDescent="0.2">
      <c r="A1047" s="594">
        <v>42522</v>
      </c>
      <c r="B1047" s="41" t="s">
        <v>40</v>
      </c>
      <c r="C1047" s="41" t="s">
        <v>752</v>
      </c>
      <c r="D1047" s="108" t="s">
        <v>965</v>
      </c>
      <c r="E1047" s="42">
        <v>30000</v>
      </c>
      <c r="G1047" s="42">
        <f t="shared" si="20"/>
        <v>-30000</v>
      </c>
      <c r="H1047" s="49" t="s">
        <v>958</v>
      </c>
    </row>
    <row r="1048" spans="1:8" x14ac:dyDescent="0.2">
      <c r="A1048" s="594">
        <v>42522</v>
      </c>
      <c r="B1048" s="41" t="s">
        <v>40</v>
      </c>
      <c r="C1048" s="41" t="s">
        <v>80</v>
      </c>
      <c r="D1048" s="108" t="s">
        <v>969</v>
      </c>
      <c r="E1048" s="66">
        <v>1080</v>
      </c>
      <c r="G1048" s="42">
        <f t="shared" si="20"/>
        <v>-1080</v>
      </c>
      <c r="H1048" s="49" t="s">
        <v>958</v>
      </c>
    </row>
    <row r="1049" spans="1:8" x14ac:dyDescent="0.2">
      <c r="A1049" s="594">
        <v>42522</v>
      </c>
      <c r="B1049" s="41" t="s">
        <v>16</v>
      </c>
      <c r="C1049" s="41" t="s">
        <v>1000</v>
      </c>
      <c r="D1049" s="108" t="s">
        <v>1001</v>
      </c>
      <c r="E1049" s="42">
        <v>140</v>
      </c>
      <c r="G1049" s="42">
        <f t="shared" si="20"/>
        <v>-140</v>
      </c>
      <c r="H1049" s="49" t="s">
        <v>958</v>
      </c>
    </row>
    <row r="1050" spans="1:8" x14ac:dyDescent="0.2">
      <c r="A1050" s="594">
        <v>42522</v>
      </c>
      <c r="B1050" s="41" t="s">
        <v>37</v>
      </c>
      <c r="C1050" s="41" t="s">
        <v>111</v>
      </c>
      <c r="D1050" s="108" t="s">
        <v>1030</v>
      </c>
      <c r="E1050" s="42">
        <v>6586</v>
      </c>
      <c r="G1050" s="42">
        <f t="shared" si="20"/>
        <v>-6586</v>
      </c>
      <c r="H1050" s="49" t="s">
        <v>958</v>
      </c>
    </row>
    <row r="1051" spans="1:8" x14ac:dyDescent="0.2">
      <c r="A1051" s="594">
        <v>42522</v>
      </c>
      <c r="B1051" s="41" t="s">
        <v>22</v>
      </c>
      <c r="C1051" s="41" t="s">
        <v>111</v>
      </c>
      <c r="D1051" s="108" t="s">
        <v>1048</v>
      </c>
      <c r="E1051" s="42">
        <v>12530</v>
      </c>
      <c r="G1051" s="42">
        <f t="shared" si="20"/>
        <v>-12530</v>
      </c>
      <c r="H1051" s="49" t="s">
        <v>958</v>
      </c>
    </row>
    <row r="1052" spans="1:8" x14ac:dyDescent="0.2">
      <c r="A1052" s="595">
        <v>42522</v>
      </c>
      <c r="B1052" s="41" t="s">
        <v>40</v>
      </c>
      <c r="C1052" s="41" t="s">
        <v>64</v>
      </c>
      <c r="D1052" s="108" t="s">
        <v>970</v>
      </c>
      <c r="E1052" s="42">
        <v>2000</v>
      </c>
      <c r="G1052" s="42">
        <f t="shared" si="20"/>
        <v>-2000</v>
      </c>
      <c r="H1052" s="49" t="s">
        <v>958</v>
      </c>
    </row>
    <row r="1053" spans="1:8" x14ac:dyDescent="0.2">
      <c r="A1053" s="595">
        <v>42522</v>
      </c>
      <c r="B1053" s="41" t="s">
        <v>40</v>
      </c>
      <c r="C1053" s="41" t="s">
        <v>3335</v>
      </c>
      <c r="D1053" s="108" t="s">
        <v>970</v>
      </c>
      <c r="E1053" s="42">
        <v>38250</v>
      </c>
      <c r="G1053" s="42">
        <f t="shared" si="20"/>
        <v>-38250</v>
      </c>
      <c r="H1053" s="49" t="s">
        <v>958</v>
      </c>
    </row>
    <row r="1054" spans="1:8" x14ac:dyDescent="0.2">
      <c r="A1054" s="594">
        <v>42523</v>
      </c>
      <c r="B1054" s="41" t="s">
        <v>40</v>
      </c>
      <c r="C1054" s="41" t="s">
        <v>202</v>
      </c>
      <c r="D1054" s="108" t="s">
        <v>971</v>
      </c>
      <c r="E1054" s="42">
        <v>1190</v>
      </c>
      <c r="G1054" s="42">
        <f t="shared" si="20"/>
        <v>-1190</v>
      </c>
      <c r="H1054" s="49" t="s">
        <v>958</v>
      </c>
    </row>
    <row r="1055" spans="1:8" x14ac:dyDescent="0.2">
      <c r="A1055" s="594">
        <v>42523</v>
      </c>
      <c r="B1055" s="41" t="s">
        <v>40</v>
      </c>
      <c r="C1055" s="41" t="s">
        <v>1896</v>
      </c>
      <c r="D1055" s="108" t="s">
        <v>972</v>
      </c>
      <c r="E1055" s="42">
        <v>4585</v>
      </c>
      <c r="G1055" s="42">
        <f t="shared" si="20"/>
        <v>-4585</v>
      </c>
      <c r="H1055" s="49" t="s">
        <v>958</v>
      </c>
    </row>
    <row r="1056" spans="1:8" x14ac:dyDescent="0.2">
      <c r="A1056" s="594">
        <v>42523</v>
      </c>
      <c r="B1056" s="41" t="s">
        <v>16</v>
      </c>
      <c r="C1056" s="41" t="s">
        <v>64</v>
      </c>
      <c r="D1056" s="108" t="s">
        <v>703</v>
      </c>
      <c r="E1056" s="42">
        <v>250</v>
      </c>
      <c r="G1056" s="42">
        <f t="shared" si="20"/>
        <v>-250</v>
      </c>
      <c r="H1056" s="49" t="s">
        <v>958</v>
      </c>
    </row>
    <row r="1057" spans="1:8" x14ac:dyDescent="0.2">
      <c r="A1057" s="594">
        <v>42523</v>
      </c>
      <c r="B1057" s="41" t="s">
        <v>154</v>
      </c>
      <c r="C1057" s="41" t="s">
        <v>106</v>
      </c>
      <c r="D1057" s="108" t="s">
        <v>1045</v>
      </c>
      <c r="E1057" s="42">
        <v>3540</v>
      </c>
      <c r="G1057" s="42">
        <f t="shared" si="20"/>
        <v>-3540</v>
      </c>
      <c r="H1057" s="49" t="s">
        <v>958</v>
      </c>
    </row>
    <row r="1058" spans="1:8" x14ac:dyDescent="0.2">
      <c r="A1058" s="594">
        <v>42523</v>
      </c>
      <c r="B1058" s="41" t="s">
        <v>154</v>
      </c>
      <c r="C1058" s="41" t="s">
        <v>220</v>
      </c>
      <c r="D1058" s="108" t="s">
        <v>1046</v>
      </c>
      <c r="E1058" s="42">
        <v>6295</v>
      </c>
      <c r="G1058" s="42">
        <f t="shared" si="20"/>
        <v>-6295</v>
      </c>
      <c r="H1058" s="49" t="s">
        <v>958</v>
      </c>
    </row>
    <row r="1059" spans="1:8" x14ac:dyDescent="0.2">
      <c r="A1059" s="594">
        <v>42523</v>
      </c>
      <c r="B1059" s="41" t="s">
        <v>40</v>
      </c>
      <c r="C1059" s="41" t="s">
        <v>14</v>
      </c>
      <c r="D1059" s="108" t="s">
        <v>1056</v>
      </c>
      <c r="E1059" s="42">
        <v>26929</v>
      </c>
      <c r="G1059" s="42">
        <f t="shared" si="20"/>
        <v>-26929</v>
      </c>
      <c r="H1059" s="49" t="s">
        <v>958</v>
      </c>
    </row>
    <row r="1060" spans="1:8" x14ac:dyDescent="0.2">
      <c r="A1060" s="594">
        <v>42523</v>
      </c>
      <c r="B1060" s="41" t="s">
        <v>14</v>
      </c>
      <c r="C1060" s="41" t="s">
        <v>14</v>
      </c>
      <c r="D1060" s="108" t="s">
        <v>1056</v>
      </c>
      <c r="E1060" s="42">
        <v>3961</v>
      </c>
      <c r="G1060" s="42">
        <f t="shared" si="20"/>
        <v>-3961</v>
      </c>
      <c r="H1060" s="49" t="s">
        <v>958</v>
      </c>
    </row>
    <row r="1061" spans="1:8" x14ac:dyDescent="0.2">
      <c r="A1061" s="595">
        <v>42523</v>
      </c>
      <c r="B1061" s="41" t="s">
        <v>40</v>
      </c>
      <c r="C1061" s="41" t="s">
        <v>64</v>
      </c>
      <c r="D1061" s="108" t="s">
        <v>970</v>
      </c>
      <c r="E1061" s="42">
        <v>2700</v>
      </c>
      <c r="G1061" s="42">
        <f t="shared" si="20"/>
        <v>-2700</v>
      </c>
      <c r="H1061" s="49" t="s">
        <v>958</v>
      </c>
    </row>
    <row r="1062" spans="1:8" x14ac:dyDescent="0.2">
      <c r="A1062" s="594">
        <v>42524</v>
      </c>
      <c r="B1062" s="41" t="s">
        <v>40</v>
      </c>
      <c r="C1062" s="41" t="s">
        <v>929</v>
      </c>
      <c r="D1062" s="108" t="s">
        <v>969</v>
      </c>
      <c r="E1062" s="42">
        <v>750</v>
      </c>
      <c r="G1062" s="42">
        <f t="shared" si="20"/>
        <v>-750</v>
      </c>
      <c r="H1062" s="49" t="s">
        <v>958</v>
      </c>
    </row>
    <row r="1063" spans="1:8" x14ac:dyDescent="0.2">
      <c r="A1063" s="594">
        <v>42524</v>
      </c>
      <c r="B1063" s="41" t="s">
        <v>16</v>
      </c>
      <c r="C1063" s="41" t="s">
        <v>64</v>
      </c>
      <c r="D1063" s="108" t="s">
        <v>999</v>
      </c>
      <c r="E1063" s="42">
        <v>10300</v>
      </c>
      <c r="G1063" s="42">
        <f t="shared" si="20"/>
        <v>-10300</v>
      </c>
      <c r="H1063" s="49" t="s">
        <v>958</v>
      </c>
    </row>
    <row r="1064" spans="1:8" x14ac:dyDescent="0.2">
      <c r="A1064" s="594">
        <v>42524</v>
      </c>
      <c r="B1064" s="41" t="s">
        <v>16</v>
      </c>
      <c r="C1064" s="41" t="s">
        <v>220</v>
      </c>
      <c r="D1064" s="108" t="s">
        <v>1003</v>
      </c>
      <c r="E1064" s="42">
        <v>5000</v>
      </c>
      <c r="G1064" s="42">
        <f t="shared" si="20"/>
        <v>-5000</v>
      </c>
      <c r="H1064" s="49" t="s">
        <v>958</v>
      </c>
    </row>
    <row r="1065" spans="1:8" ht="12.75" customHeight="1" x14ac:dyDescent="0.2">
      <c r="A1065" s="594">
        <v>42524</v>
      </c>
      <c r="B1065" s="41" t="s">
        <v>16</v>
      </c>
      <c r="C1065" s="41" t="s">
        <v>773</v>
      </c>
      <c r="D1065" s="108" t="s">
        <v>1008</v>
      </c>
      <c r="E1065" s="42">
        <v>50</v>
      </c>
      <c r="G1065" s="42">
        <f t="shared" si="20"/>
        <v>-50</v>
      </c>
      <c r="H1065" s="49" t="s">
        <v>958</v>
      </c>
    </row>
    <row r="1066" spans="1:8" ht="12.75" customHeight="1" x14ac:dyDescent="0.2">
      <c r="A1066" s="594">
        <v>42524</v>
      </c>
      <c r="B1066" s="41" t="s">
        <v>16</v>
      </c>
      <c r="C1066" s="41" t="s">
        <v>773</v>
      </c>
      <c r="D1066" s="108" t="s">
        <v>1009</v>
      </c>
      <c r="E1066" s="42">
        <v>600</v>
      </c>
      <c r="G1066" s="42">
        <f t="shared" si="20"/>
        <v>-600</v>
      </c>
      <c r="H1066" s="49" t="s">
        <v>958</v>
      </c>
    </row>
    <row r="1067" spans="1:8" ht="12.75" customHeight="1" x14ac:dyDescent="0.2">
      <c r="A1067" s="594">
        <v>42524</v>
      </c>
      <c r="B1067" s="41" t="s">
        <v>16</v>
      </c>
      <c r="C1067" s="41" t="s">
        <v>64</v>
      </c>
      <c r="D1067" s="108" t="s">
        <v>1018</v>
      </c>
      <c r="E1067" s="42">
        <v>100</v>
      </c>
      <c r="G1067" s="42">
        <f t="shared" si="20"/>
        <v>-100</v>
      </c>
      <c r="H1067" s="49" t="s">
        <v>958</v>
      </c>
    </row>
    <row r="1068" spans="1:8" ht="12.75" customHeight="1" x14ac:dyDescent="0.2">
      <c r="A1068" s="594">
        <v>42524</v>
      </c>
      <c r="B1068" s="41" t="s">
        <v>154</v>
      </c>
      <c r="C1068" s="41" t="s">
        <v>929</v>
      </c>
      <c r="D1068" s="108" t="s">
        <v>1035</v>
      </c>
      <c r="E1068" s="42">
        <v>150</v>
      </c>
      <c r="G1068" s="42">
        <f t="shared" si="20"/>
        <v>-150</v>
      </c>
      <c r="H1068" s="49" t="s">
        <v>958</v>
      </c>
    </row>
    <row r="1069" spans="1:8" x14ac:dyDescent="0.2">
      <c r="A1069" s="594">
        <v>42524</v>
      </c>
      <c r="B1069" s="41" t="s">
        <v>154</v>
      </c>
      <c r="C1069" s="41" t="s">
        <v>220</v>
      </c>
      <c r="D1069" s="108" t="s">
        <v>1044</v>
      </c>
      <c r="E1069" s="42">
        <v>5600</v>
      </c>
      <c r="G1069" s="42">
        <f t="shared" si="20"/>
        <v>-5600</v>
      </c>
      <c r="H1069" s="49" t="s">
        <v>958</v>
      </c>
    </row>
    <row r="1070" spans="1:8" x14ac:dyDescent="0.2">
      <c r="A1070" s="594">
        <v>42524</v>
      </c>
      <c r="B1070" s="41" t="s">
        <v>25</v>
      </c>
      <c r="C1070" s="41" t="s">
        <v>221</v>
      </c>
      <c r="D1070" s="108" t="s">
        <v>1050</v>
      </c>
      <c r="E1070" s="42">
        <v>1100</v>
      </c>
      <c r="G1070" s="42">
        <f t="shared" si="20"/>
        <v>-1100</v>
      </c>
      <c r="H1070" s="49" t="s">
        <v>958</v>
      </c>
    </row>
    <row r="1071" spans="1:8" x14ac:dyDescent="0.2">
      <c r="A1071" s="594">
        <v>42524</v>
      </c>
      <c r="B1071" s="41" t="s">
        <v>25</v>
      </c>
      <c r="C1071" s="41" t="s">
        <v>1894</v>
      </c>
      <c r="D1071" s="108" t="s">
        <v>73</v>
      </c>
      <c r="E1071" s="42">
        <v>4898</v>
      </c>
      <c r="G1071" s="42">
        <f t="shared" si="20"/>
        <v>-4898</v>
      </c>
      <c r="H1071" s="49" t="s">
        <v>958</v>
      </c>
    </row>
    <row r="1072" spans="1:8" x14ac:dyDescent="0.2">
      <c r="A1072" s="594">
        <v>42524</v>
      </c>
      <c r="B1072" s="41" t="s">
        <v>25</v>
      </c>
      <c r="C1072" s="41" t="s">
        <v>986</v>
      </c>
      <c r="D1072" s="108" t="s">
        <v>1051</v>
      </c>
      <c r="E1072" s="42">
        <v>815</v>
      </c>
      <c r="G1072" s="42">
        <f t="shared" si="20"/>
        <v>-815</v>
      </c>
      <c r="H1072" s="49" t="s">
        <v>958</v>
      </c>
    </row>
    <row r="1073" spans="1:8" x14ac:dyDescent="0.2">
      <c r="A1073" s="594">
        <v>42525</v>
      </c>
      <c r="B1073" s="41" t="s">
        <v>40</v>
      </c>
      <c r="C1073" s="41" t="s">
        <v>488</v>
      </c>
      <c r="D1073" s="108" t="s">
        <v>981</v>
      </c>
      <c r="E1073" s="42">
        <v>800</v>
      </c>
      <c r="G1073" s="42">
        <f t="shared" si="20"/>
        <v>-800</v>
      </c>
      <c r="H1073" s="49" t="s">
        <v>958</v>
      </c>
    </row>
    <row r="1074" spans="1:8" x14ac:dyDescent="0.2">
      <c r="A1074" s="594">
        <v>42525</v>
      </c>
      <c r="B1074" s="41" t="s">
        <v>16</v>
      </c>
      <c r="C1074" s="41" t="s">
        <v>1004</v>
      </c>
      <c r="D1074" s="108" t="s">
        <v>286</v>
      </c>
      <c r="E1074" s="42">
        <v>200</v>
      </c>
      <c r="G1074" s="42">
        <f t="shared" si="20"/>
        <v>-200</v>
      </c>
      <c r="H1074" s="49" t="s">
        <v>958</v>
      </c>
    </row>
    <row r="1075" spans="1:8" x14ac:dyDescent="0.2">
      <c r="A1075" s="594">
        <v>42525</v>
      </c>
      <c r="B1075" s="41" t="s">
        <v>16</v>
      </c>
      <c r="C1075" s="41" t="s">
        <v>103</v>
      </c>
      <c r="D1075" s="108" t="s">
        <v>1005</v>
      </c>
      <c r="E1075" s="42">
        <v>458</v>
      </c>
      <c r="G1075" s="42">
        <f t="shared" si="20"/>
        <v>-458</v>
      </c>
      <c r="H1075" s="49" t="s">
        <v>958</v>
      </c>
    </row>
    <row r="1076" spans="1:8" x14ac:dyDescent="0.2">
      <c r="A1076" s="594">
        <v>42525</v>
      </c>
      <c r="B1076" s="41" t="s">
        <v>16</v>
      </c>
      <c r="C1076" s="41" t="s">
        <v>103</v>
      </c>
      <c r="D1076" s="108" t="s">
        <v>1010</v>
      </c>
      <c r="E1076" s="42">
        <v>2000</v>
      </c>
      <c r="G1076" s="42">
        <f t="shared" si="20"/>
        <v>-2000</v>
      </c>
      <c r="H1076" s="49" t="s">
        <v>958</v>
      </c>
    </row>
    <row r="1077" spans="1:8" x14ac:dyDescent="0.2">
      <c r="A1077" s="594">
        <v>42525</v>
      </c>
      <c r="B1077" s="41" t="s">
        <v>16</v>
      </c>
      <c r="C1077" s="41" t="s">
        <v>103</v>
      </c>
      <c r="D1077" s="108" t="s">
        <v>703</v>
      </c>
      <c r="E1077" s="42">
        <v>190</v>
      </c>
      <c r="G1077" s="42">
        <f t="shared" si="20"/>
        <v>-190</v>
      </c>
      <c r="H1077" s="49" t="s">
        <v>958</v>
      </c>
    </row>
    <row r="1078" spans="1:8" x14ac:dyDescent="0.2">
      <c r="A1078" s="594">
        <v>42525</v>
      </c>
      <c r="B1078" s="41" t="s">
        <v>154</v>
      </c>
      <c r="C1078" s="41" t="s">
        <v>929</v>
      </c>
      <c r="D1078" s="108" t="s">
        <v>1034</v>
      </c>
      <c r="E1078" s="42">
        <v>15000</v>
      </c>
      <c r="G1078" s="42">
        <f t="shared" si="20"/>
        <v>-15000</v>
      </c>
      <c r="H1078" s="49" t="s">
        <v>958</v>
      </c>
    </row>
    <row r="1079" spans="1:8" x14ac:dyDescent="0.2">
      <c r="A1079" s="594">
        <v>42525</v>
      </c>
      <c r="B1079" s="41" t="s">
        <v>154</v>
      </c>
      <c r="C1079" s="41" t="s">
        <v>220</v>
      </c>
      <c r="D1079" s="108" t="s">
        <v>1041</v>
      </c>
      <c r="E1079" s="42">
        <v>1050</v>
      </c>
      <c r="G1079" s="42">
        <f t="shared" si="20"/>
        <v>-1050</v>
      </c>
      <c r="H1079" s="49" t="s">
        <v>958</v>
      </c>
    </row>
    <row r="1080" spans="1:8" x14ac:dyDescent="0.2">
      <c r="A1080" s="595">
        <v>42525</v>
      </c>
      <c r="B1080" s="41" t="s">
        <v>40</v>
      </c>
      <c r="C1080" s="41" t="s">
        <v>661</v>
      </c>
      <c r="D1080" s="108" t="s">
        <v>1054</v>
      </c>
      <c r="E1080" s="42">
        <v>500</v>
      </c>
      <c r="G1080" s="42">
        <f t="shared" si="20"/>
        <v>-500</v>
      </c>
      <c r="H1080" s="49" t="s">
        <v>958</v>
      </c>
    </row>
    <row r="1081" spans="1:8" x14ac:dyDescent="0.2">
      <c r="A1081" s="595">
        <v>42526</v>
      </c>
      <c r="B1081" s="41" t="s">
        <v>154</v>
      </c>
      <c r="C1081" s="41" t="s">
        <v>1230</v>
      </c>
      <c r="D1081" s="108" t="s">
        <v>220</v>
      </c>
      <c r="E1081" s="42">
        <v>15000</v>
      </c>
      <c r="G1081" s="42">
        <f t="shared" si="20"/>
        <v>-15000</v>
      </c>
      <c r="H1081" s="49" t="s">
        <v>958</v>
      </c>
    </row>
    <row r="1082" spans="1:8" x14ac:dyDescent="0.2">
      <c r="A1082" s="595">
        <v>42526</v>
      </c>
      <c r="B1082" s="41" t="s">
        <v>40</v>
      </c>
      <c r="C1082" s="41" t="s">
        <v>1230</v>
      </c>
      <c r="D1082" s="108" t="s">
        <v>1066</v>
      </c>
      <c r="E1082" s="42">
        <v>35000</v>
      </c>
      <c r="G1082" s="42">
        <f t="shared" si="20"/>
        <v>-35000</v>
      </c>
      <c r="H1082" s="49" t="s">
        <v>958</v>
      </c>
    </row>
    <row r="1083" spans="1:8" x14ac:dyDescent="0.2">
      <c r="A1083" s="595">
        <v>42526</v>
      </c>
      <c r="B1083" s="41" t="s">
        <v>16</v>
      </c>
      <c r="C1083" s="41" t="s">
        <v>1230</v>
      </c>
      <c r="D1083" s="108" t="s">
        <v>462</v>
      </c>
      <c r="E1083" s="42">
        <v>15500</v>
      </c>
      <c r="G1083" s="42">
        <f t="shared" si="20"/>
        <v>-15500</v>
      </c>
      <c r="H1083" s="49" t="s">
        <v>958</v>
      </c>
    </row>
    <row r="1084" spans="1:8" x14ac:dyDescent="0.2">
      <c r="A1084" s="595">
        <v>42526</v>
      </c>
      <c r="B1084" s="41" t="s">
        <v>37</v>
      </c>
      <c r="C1084" s="41" t="s">
        <v>1230</v>
      </c>
      <c r="D1084" s="108" t="s">
        <v>1067</v>
      </c>
      <c r="E1084" s="42">
        <v>21141</v>
      </c>
      <c r="G1084" s="42">
        <f t="shared" si="20"/>
        <v>-21141</v>
      </c>
      <c r="H1084" s="49" t="s">
        <v>958</v>
      </c>
    </row>
    <row r="1085" spans="1:8" x14ac:dyDescent="0.2">
      <c r="A1085" s="595">
        <v>42526</v>
      </c>
      <c r="B1085" s="41" t="s">
        <v>37</v>
      </c>
      <c r="C1085" s="41" t="s">
        <v>1230</v>
      </c>
      <c r="D1085" s="108" t="s">
        <v>1068</v>
      </c>
      <c r="E1085" s="42">
        <v>11972</v>
      </c>
      <c r="G1085" s="42">
        <f t="shared" si="20"/>
        <v>-11972</v>
      </c>
      <c r="H1085" s="49" t="s">
        <v>958</v>
      </c>
    </row>
    <row r="1086" spans="1:8" x14ac:dyDescent="0.2">
      <c r="A1086" s="595">
        <v>42526</v>
      </c>
      <c r="B1086" s="41" t="s">
        <v>37</v>
      </c>
      <c r="C1086" s="41" t="s">
        <v>1230</v>
      </c>
      <c r="D1086" s="108" t="s">
        <v>1069</v>
      </c>
      <c r="E1086" s="42">
        <v>1343</v>
      </c>
      <c r="G1086" s="42">
        <f t="shared" si="20"/>
        <v>-1343</v>
      </c>
      <c r="H1086" s="49" t="s">
        <v>958</v>
      </c>
    </row>
    <row r="1087" spans="1:8" ht="12.75" customHeight="1" x14ac:dyDescent="0.2">
      <c r="A1087" s="595">
        <v>42526</v>
      </c>
      <c r="B1087" s="41" t="s">
        <v>37</v>
      </c>
      <c r="C1087" s="41" t="s">
        <v>1230</v>
      </c>
      <c r="D1087" s="108" t="s">
        <v>527</v>
      </c>
      <c r="E1087" s="42">
        <v>9234</v>
      </c>
      <c r="G1087" s="42">
        <f t="shared" si="20"/>
        <v>-9234</v>
      </c>
      <c r="H1087" s="49" t="s">
        <v>958</v>
      </c>
    </row>
    <row r="1088" spans="1:8" ht="12.75" customHeight="1" x14ac:dyDescent="0.2">
      <c r="A1088" s="595">
        <v>42526</v>
      </c>
      <c r="B1088" s="41" t="s">
        <v>37</v>
      </c>
      <c r="C1088" s="41" t="s">
        <v>1230</v>
      </c>
      <c r="D1088" s="108" t="s">
        <v>198</v>
      </c>
      <c r="E1088" s="42">
        <v>11129</v>
      </c>
      <c r="G1088" s="42">
        <f t="shared" si="20"/>
        <v>-11129</v>
      </c>
      <c r="H1088" s="49" t="s">
        <v>958</v>
      </c>
    </row>
    <row r="1089" spans="1:8" ht="12.75" customHeight="1" x14ac:dyDescent="0.2">
      <c r="A1089" s="595">
        <v>42526</v>
      </c>
      <c r="B1089" s="41" t="s">
        <v>37</v>
      </c>
      <c r="C1089" s="41" t="s">
        <v>1230</v>
      </c>
      <c r="D1089" s="108" t="s">
        <v>195</v>
      </c>
      <c r="E1089" s="42">
        <v>13651</v>
      </c>
      <c r="G1089" s="42">
        <f t="shared" si="20"/>
        <v>-13651</v>
      </c>
      <c r="H1089" s="49" t="s">
        <v>958</v>
      </c>
    </row>
    <row r="1090" spans="1:8" x14ac:dyDescent="0.2">
      <c r="A1090" s="595">
        <v>42526</v>
      </c>
      <c r="B1090" s="41" t="s">
        <v>37</v>
      </c>
      <c r="C1090" s="41" t="s">
        <v>1230</v>
      </c>
      <c r="D1090" s="108" t="s">
        <v>1070</v>
      </c>
      <c r="E1090" s="42">
        <v>8889</v>
      </c>
      <c r="G1090" s="42">
        <f t="shared" si="20"/>
        <v>-8889</v>
      </c>
      <c r="H1090" s="49" t="s">
        <v>958</v>
      </c>
    </row>
    <row r="1091" spans="1:8" x14ac:dyDescent="0.2">
      <c r="A1091" s="595">
        <v>42526</v>
      </c>
      <c r="B1091" s="41" t="s">
        <v>16</v>
      </c>
      <c r="C1091" s="41" t="s">
        <v>1230</v>
      </c>
      <c r="D1091" s="108" t="s">
        <v>1071</v>
      </c>
      <c r="E1091" s="42">
        <v>9000</v>
      </c>
      <c r="G1091" s="42">
        <f t="shared" si="20"/>
        <v>-9000</v>
      </c>
      <c r="H1091" s="49" t="s">
        <v>958</v>
      </c>
    </row>
    <row r="1092" spans="1:8" x14ac:dyDescent="0.2">
      <c r="A1092" s="595">
        <v>42526</v>
      </c>
      <c r="B1092" s="41" t="s">
        <v>16</v>
      </c>
      <c r="C1092" s="41" t="s">
        <v>1230</v>
      </c>
      <c r="D1092" s="108" t="s">
        <v>1072</v>
      </c>
      <c r="E1092" s="42">
        <v>4000</v>
      </c>
      <c r="G1092" s="42">
        <f t="shared" si="20"/>
        <v>-4000</v>
      </c>
      <c r="H1092" s="49" t="s">
        <v>958</v>
      </c>
    </row>
    <row r="1093" spans="1:8" x14ac:dyDescent="0.2">
      <c r="A1093" s="595">
        <v>42526</v>
      </c>
      <c r="B1093" s="41" t="s">
        <v>16</v>
      </c>
      <c r="C1093" s="41" t="s">
        <v>1230</v>
      </c>
      <c r="D1093" s="108" t="s">
        <v>864</v>
      </c>
      <c r="E1093" s="42">
        <v>5000</v>
      </c>
      <c r="G1093" s="42">
        <f t="shared" si="20"/>
        <v>-5000</v>
      </c>
      <c r="H1093" s="49" t="s">
        <v>958</v>
      </c>
    </row>
    <row r="1094" spans="1:8" x14ac:dyDescent="0.2">
      <c r="A1094" s="595">
        <v>42526</v>
      </c>
      <c r="B1094" s="41" t="s">
        <v>16</v>
      </c>
      <c r="C1094" s="41" t="s">
        <v>1230</v>
      </c>
      <c r="D1094" s="108" t="s">
        <v>1073</v>
      </c>
      <c r="E1094" s="42">
        <v>13484</v>
      </c>
      <c r="G1094" s="42">
        <f t="shared" si="20"/>
        <v>-13484</v>
      </c>
      <c r="H1094" s="49" t="s">
        <v>958</v>
      </c>
    </row>
    <row r="1095" spans="1:8" x14ac:dyDescent="0.2">
      <c r="A1095" s="595">
        <v>42526</v>
      </c>
      <c r="B1095" s="41" t="s">
        <v>40</v>
      </c>
      <c r="C1095" s="41" t="s">
        <v>1230</v>
      </c>
      <c r="D1095" s="108" t="s">
        <v>274</v>
      </c>
      <c r="E1095" s="42">
        <v>18710</v>
      </c>
      <c r="G1095" s="42">
        <f t="shared" si="20"/>
        <v>-18710</v>
      </c>
      <c r="H1095" s="49" t="s">
        <v>958</v>
      </c>
    </row>
    <row r="1096" spans="1:8" x14ac:dyDescent="0.2">
      <c r="A1096" s="595">
        <v>42526</v>
      </c>
      <c r="B1096" s="41" t="s">
        <v>16</v>
      </c>
      <c r="C1096" s="41" t="s">
        <v>1230</v>
      </c>
      <c r="D1096" s="108" t="s">
        <v>1074</v>
      </c>
      <c r="E1096" s="42">
        <v>2903</v>
      </c>
      <c r="G1096" s="42">
        <f t="shared" si="20"/>
        <v>-2903</v>
      </c>
      <c r="H1096" s="49" t="s">
        <v>958</v>
      </c>
    </row>
    <row r="1097" spans="1:8" x14ac:dyDescent="0.2">
      <c r="A1097" s="595">
        <v>42526</v>
      </c>
      <c r="B1097" s="41" t="s">
        <v>154</v>
      </c>
      <c r="C1097" s="41" t="s">
        <v>1230</v>
      </c>
      <c r="D1097" s="108" t="s">
        <v>454</v>
      </c>
      <c r="E1097" s="42">
        <v>11141</v>
      </c>
      <c r="G1097" s="42">
        <f t="shared" ref="G1097:G1160" si="21">F1097-E1097</f>
        <v>-11141</v>
      </c>
      <c r="H1097" s="49" t="s">
        <v>958</v>
      </c>
    </row>
    <row r="1098" spans="1:8" x14ac:dyDescent="0.2">
      <c r="A1098" s="595">
        <v>42526</v>
      </c>
      <c r="B1098" s="41" t="s">
        <v>16</v>
      </c>
      <c r="C1098" s="41" t="s">
        <v>1230</v>
      </c>
      <c r="D1098" s="108" t="s">
        <v>1075</v>
      </c>
      <c r="E1098" s="42">
        <v>21931</v>
      </c>
      <c r="G1098" s="42">
        <f t="shared" si="21"/>
        <v>-21931</v>
      </c>
      <c r="H1098" s="49" t="s">
        <v>958</v>
      </c>
    </row>
    <row r="1099" spans="1:8" x14ac:dyDescent="0.2">
      <c r="A1099" s="595">
        <v>42526</v>
      </c>
      <c r="B1099" s="41" t="s">
        <v>154</v>
      </c>
      <c r="C1099" s="41" t="s">
        <v>1230</v>
      </c>
      <c r="D1099" s="108" t="s">
        <v>1076</v>
      </c>
      <c r="E1099" s="42">
        <v>26843</v>
      </c>
      <c r="G1099" s="42">
        <f t="shared" si="21"/>
        <v>-26843</v>
      </c>
      <c r="H1099" s="49" t="s">
        <v>958</v>
      </c>
    </row>
    <row r="1100" spans="1:8" x14ac:dyDescent="0.2">
      <c r="A1100" s="595">
        <v>42526</v>
      </c>
      <c r="B1100" s="41" t="s">
        <v>154</v>
      </c>
      <c r="C1100" s="41" t="s">
        <v>1230</v>
      </c>
      <c r="D1100" s="108" t="s">
        <v>1077</v>
      </c>
      <c r="E1100" s="42">
        <v>18505</v>
      </c>
      <c r="G1100" s="42">
        <f t="shared" si="21"/>
        <v>-18505</v>
      </c>
      <c r="H1100" s="49" t="s">
        <v>958</v>
      </c>
    </row>
    <row r="1101" spans="1:8" x14ac:dyDescent="0.2">
      <c r="A1101" s="595">
        <v>42526</v>
      </c>
      <c r="B1101" s="41" t="s">
        <v>16</v>
      </c>
      <c r="C1101" s="41" t="s">
        <v>1230</v>
      </c>
      <c r="D1101" s="108" t="s">
        <v>463</v>
      </c>
      <c r="E1101" s="42">
        <v>20000</v>
      </c>
      <c r="G1101" s="42">
        <f t="shared" si="21"/>
        <v>-20000</v>
      </c>
      <c r="H1101" s="49" t="s">
        <v>958</v>
      </c>
    </row>
    <row r="1102" spans="1:8" x14ac:dyDescent="0.2">
      <c r="A1102" s="595">
        <v>42526</v>
      </c>
      <c r="B1102" s="41" t="s">
        <v>40</v>
      </c>
      <c r="C1102" s="41" t="s">
        <v>1230</v>
      </c>
      <c r="D1102" s="108" t="s">
        <v>208</v>
      </c>
      <c r="E1102" s="42">
        <v>9847</v>
      </c>
      <c r="G1102" s="42">
        <f t="shared" si="21"/>
        <v>-9847</v>
      </c>
      <c r="H1102" s="49" t="s">
        <v>958</v>
      </c>
    </row>
    <row r="1103" spans="1:8" x14ac:dyDescent="0.2">
      <c r="A1103" s="595">
        <v>42526</v>
      </c>
      <c r="B1103" s="41" t="s">
        <v>40</v>
      </c>
      <c r="C1103" s="41" t="s">
        <v>1230</v>
      </c>
      <c r="D1103" s="108" t="s">
        <v>1078</v>
      </c>
      <c r="E1103" s="42">
        <v>19573</v>
      </c>
      <c r="G1103" s="42">
        <f t="shared" si="21"/>
        <v>-19573</v>
      </c>
      <c r="H1103" s="49" t="s">
        <v>958</v>
      </c>
    </row>
    <row r="1104" spans="1:8" x14ac:dyDescent="0.2">
      <c r="A1104" s="595">
        <v>42526</v>
      </c>
      <c r="B1104" s="41" t="s">
        <v>40</v>
      </c>
      <c r="C1104" s="41" t="s">
        <v>1230</v>
      </c>
      <c r="D1104" s="108" t="s">
        <v>1079</v>
      </c>
      <c r="E1104" s="42">
        <v>8923</v>
      </c>
      <c r="G1104" s="42">
        <f t="shared" si="21"/>
        <v>-8923</v>
      </c>
      <c r="H1104" s="49" t="s">
        <v>958</v>
      </c>
    </row>
    <row r="1105" spans="1:8" x14ac:dyDescent="0.2">
      <c r="A1105" s="595">
        <v>42526</v>
      </c>
      <c r="B1105" s="41" t="s">
        <v>40</v>
      </c>
      <c r="C1105" s="41" t="s">
        <v>1230</v>
      </c>
      <c r="D1105" s="108" t="s">
        <v>210</v>
      </c>
      <c r="E1105" s="42">
        <v>5177</v>
      </c>
      <c r="G1105" s="42">
        <f t="shared" si="21"/>
        <v>-5177</v>
      </c>
      <c r="H1105" s="49" t="s">
        <v>958</v>
      </c>
    </row>
    <row r="1106" spans="1:8" x14ac:dyDescent="0.2">
      <c r="A1106" s="595">
        <v>42526</v>
      </c>
      <c r="B1106" s="41" t="s">
        <v>40</v>
      </c>
      <c r="C1106" s="41" t="s">
        <v>1230</v>
      </c>
      <c r="D1106" s="108" t="s">
        <v>209</v>
      </c>
      <c r="E1106" s="42">
        <v>2897</v>
      </c>
      <c r="G1106" s="42">
        <f t="shared" si="21"/>
        <v>-2897</v>
      </c>
      <c r="H1106" s="49" t="s">
        <v>958</v>
      </c>
    </row>
    <row r="1107" spans="1:8" x14ac:dyDescent="0.2">
      <c r="A1107" s="595">
        <v>42526</v>
      </c>
      <c r="B1107" s="41" t="s">
        <v>16</v>
      </c>
      <c r="C1107" s="41" t="s">
        <v>1230</v>
      </c>
      <c r="D1107" s="108" t="s">
        <v>1080</v>
      </c>
      <c r="E1107" s="42">
        <v>8000</v>
      </c>
      <c r="G1107" s="42">
        <f t="shared" si="21"/>
        <v>-8000</v>
      </c>
      <c r="H1107" s="49" t="s">
        <v>958</v>
      </c>
    </row>
    <row r="1108" spans="1:8" x14ac:dyDescent="0.2">
      <c r="A1108" s="595">
        <v>42526</v>
      </c>
      <c r="B1108" s="41" t="s">
        <v>40</v>
      </c>
      <c r="C1108" s="41" t="s">
        <v>1230</v>
      </c>
      <c r="D1108" s="108" t="s">
        <v>1081</v>
      </c>
      <c r="E1108" s="42">
        <v>8542</v>
      </c>
      <c r="G1108" s="42">
        <f t="shared" si="21"/>
        <v>-8542</v>
      </c>
      <c r="H1108" s="49" t="s">
        <v>958</v>
      </c>
    </row>
    <row r="1109" spans="1:8" x14ac:dyDescent="0.2">
      <c r="A1109" s="595">
        <v>42526</v>
      </c>
      <c r="B1109" s="41" t="s">
        <v>40</v>
      </c>
      <c r="C1109" s="41" t="s">
        <v>1230</v>
      </c>
      <c r="D1109" s="108" t="s">
        <v>205</v>
      </c>
      <c r="E1109" s="42">
        <v>22218</v>
      </c>
      <c r="G1109" s="42">
        <f t="shared" si="21"/>
        <v>-22218</v>
      </c>
      <c r="H1109" s="49" t="s">
        <v>958</v>
      </c>
    </row>
    <row r="1110" spans="1:8" x14ac:dyDescent="0.2">
      <c r="A1110" s="594">
        <v>42527</v>
      </c>
      <c r="B1110" s="41" t="s">
        <v>40</v>
      </c>
      <c r="C1110" s="41" t="s">
        <v>221</v>
      </c>
      <c r="D1110" s="108" t="s">
        <v>970</v>
      </c>
      <c r="E1110" s="42">
        <v>450</v>
      </c>
      <c r="G1110" s="42">
        <f t="shared" si="21"/>
        <v>-450</v>
      </c>
      <c r="H1110" s="49" t="s">
        <v>958</v>
      </c>
    </row>
    <row r="1111" spans="1:8" x14ac:dyDescent="0.2">
      <c r="A1111" s="594">
        <v>42527</v>
      </c>
      <c r="B1111" s="41" t="s">
        <v>16</v>
      </c>
      <c r="C1111" s="41" t="s">
        <v>64</v>
      </c>
      <c r="D1111" s="108" t="s">
        <v>1022</v>
      </c>
      <c r="E1111" s="42">
        <v>500</v>
      </c>
      <c r="G1111" s="42">
        <f t="shared" si="21"/>
        <v>-500</v>
      </c>
      <c r="H1111" s="49" t="s">
        <v>958</v>
      </c>
    </row>
    <row r="1112" spans="1:8" x14ac:dyDescent="0.2">
      <c r="A1112" s="594">
        <v>42527</v>
      </c>
      <c r="B1112" s="41" t="s">
        <v>16</v>
      </c>
      <c r="C1112" s="41" t="s">
        <v>773</v>
      </c>
      <c r="D1112" s="108" t="s">
        <v>1023</v>
      </c>
      <c r="E1112" s="42">
        <v>800</v>
      </c>
      <c r="G1112" s="42">
        <f t="shared" si="21"/>
        <v>-800</v>
      </c>
      <c r="H1112" s="49" t="s">
        <v>958</v>
      </c>
    </row>
    <row r="1113" spans="1:8" x14ac:dyDescent="0.2">
      <c r="A1113" s="594">
        <v>42527</v>
      </c>
      <c r="B1113" s="41" t="s">
        <v>154</v>
      </c>
      <c r="C1113" s="41" t="s">
        <v>220</v>
      </c>
      <c r="D1113" s="108" t="s">
        <v>1036</v>
      </c>
      <c r="E1113" s="42">
        <v>7700</v>
      </c>
      <c r="G1113" s="42">
        <f t="shared" si="21"/>
        <v>-7700</v>
      </c>
      <c r="H1113" s="49" t="s">
        <v>958</v>
      </c>
    </row>
    <row r="1114" spans="1:8" x14ac:dyDescent="0.2">
      <c r="A1114" s="594">
        <v>42528</v>
      </c>
      <c r="B1114" s="41" t="s">
        <v>18</v>
      </c>
      <c r="C1114" s="41" t="s">
        <v>309</v>
      </c>
      <c r="D1114" s="108" t="s">
        <v>933</v>
      </c>
      <c r="E1114" s="42">
        <v>1180</v>
      </c>
      <c r="G1114" s="42">
        <f t="shared" si="21"/>
        <v>-1180</v>
      </c>
      <c r="H1114" s="49" t="s">
        <v>958</v>
      </c>
    </row>
    <row r="1115" spans="1:8" x14ac:dyDescent="0.2">
      <c r="A1115" s="594">
        <v>42528</v>
      </c>
      <c r="B1115" s="41" t="s">
        <v>22</v>
      </c>
      <c r="C1115" s="41" t="s">
        <v>309</v>
      </c>
      <c r="D1115" s="108" t="s">
        <v>933</v>
      </c>
      <c r="E1115" s="42">
        <v>2150</v>
      </c>
      <c r="G1115" s="42">
        <f t="shared" si="21"/>
        <v>-2150</v>
      </c>
      <c r="H1115" s="49" t="s">
        <v>958</v>
      </c>
    </row>
    <row r="1116" spans="1:8" x14ac:dyDescent="0.2">
      <c r="A1116" s="594">
        <v>42528</v>
      </c>
      <c r="B1116" s="41" t="s">
        <v>16</v>
      </c>
      <c r="C1116" s="41" t="s">
        <v>309</v>
      </c>
      <c r="D1116" s="108" t="s">
        <v>933</v>
      </c>
      <c r="E1116" s="42">
        <v>730</v>
      </c>
      <c r="G1116" s="42">
        <f t="shared" si="21"/>
        <v>-730</v>
      </c>
      <c r="H1116" s="49" t="s">
        <v>958</v>
      </c>
    </row>
    <row r="1117" spans="1:8" x14ac:dyDescent="0.2">
      <c r="A1117" s="594">
        <v>42528</v>
      </c>
      <c r="B1117" s="41" t="s">
        <v>25</v>
      </c>
      <c r="C1117" s="41" t="s">
        <v>986</v>
      </c>
      <c r="D1117" s="108" t="s">
        <v>933</v>
      </c>
      <c r="E1117" s="42">
        <v>815</v>
      </c>
      <c r="G1117" s="42">
        <f t="shared" si="21"/>
        <v>-815</v>
      </c>
      <c r="H1117" s="49" t="s">
        <v>958</v>
      </c>
    </row>
    <row r="1118" spans="1:8" x14ac:dyDescent="0.2">
      <c r="A1118" s="594">
        <v>42529</v>
      </c>
      <c r="B1118" s="41" t="s">
        <v>16</v>
      </c>
      <c r="C1118" s="41" t="s">
        <v>221</v>
      </c>
      <c r="D1118" s="108" t="s">
        <v>1007</v>
      </c>
      <c r="E1118" s="42">
        <v>70</v>
      </c>
      <c r="G1118" s="42">
        <f t="shared" si="21"/>
        <v>-70</v>
      </c>
      <c r="H1118" s="49" t="s">
        <v>958</v>
      </c>
    </row>
    <row r="1119" spans="1:8" x14ac:dyDescent="0.2">
      <c r="A1119" s="594">
        <v>42529</v>
      </c>
      <c r="B1119" s="41" t="s">
        <v>16</v>
      </c>
      <c r="C1119" s="41" t="s">
        <v>668</v>
      </c>
      <c r="D1119" s="108" t="s">
        <v>1013</v>
      </c>
      <c r="E1119" s="42">
        <v>140</v>
      </c>
      <c r="G1119" s="42">
        <f t="shared" si="21"/>
        <v>-140</v>
      </c>
      <c r="H1119" s="49" t="s">
        <v>958</v>
      </c>
    </row>
    <row r="1120" spans="1:8" x14ac:dyDescent="0.2">
      <c r="A1120" s="594">
        <v>42529</v>
      </c>
      <c r="B1120" s="41" t="s">
        <v>22</v>
      </c>
      <c r="C1120" s="41" t="s">
        <v>111</v>
      </c>
      <c r="D1120" s="108" t="s">
        <v>970</v>
      </c>
      <c r="E1120" s="42">
        <v>15000</v>
      </c>
      <c r="G1120" s="42">
        <f t="shared" si="21"/>
        <v>-15000</v>
      </c>
      <c r="H1120" s="49" t="s">
        <v>958</v>
      </c>
    </row>
    <row r="1121" spans="1:8" x14ac:dyDescent="0.2">
      <c r="A1121" s="595">
        <v>42529</v>
      </c>
      <c r="B1121" s="41" t="s">
        <v>11</v>
      </c>
      <c r="C1121" s="41" t="s">
        <v>1230</v>
      </c>
      <c r="D1121" s="792" t="s">
        <v>1059</v>
      </c>
      <c r="E1121" s="42">
        <v>5000</v>
      </c>
      <c r="G1121" s="42">
        <f t="shared" si="21"/>
        <v>-5000</v>
      </c>
      <c r="H1121" s="49" t="s">
        <v>958</v>
      </c>
    </row>
    <row r="1122" spans="1:8" x14ac:dyDescent="0.2">
      <c r="A1122" s="594">
        <v>42530</v>
      </c>
      <c r="B1122" s="41" t="s">
        <v>40</v>
      </c>
      <c r="C1122" s="41" t="s">
        <v>716</v>
      </c>
      <c r="D1122" s="108" t="s">
        <v>952</v>
      </c>
      <c r="E1122" s="42">
        <v>500000</v>
      </c>
      <c r="G1122" s="42">
        <f t="shared" si="21"/>
        <v>-500000</v>
      </c>
      <c r="H1122" s="49" t="s">
        <v>839</v>
      </c>
    </row>
    <row r="1123" spans="1:8" x14ac:dyDescent="0.2">
      <c r="A1123" s="594">
        <v>42530</v>
      </c>
      <c r="B1123" s="41" t="s">
        <v>40</v>
      </c>
      <c r="C1123" s="41" t="s">
        <v>890</v>
      </c>
      <c r="D1123" s="108" t="s">
        <v>953</v>
      </c>
      <c r="F1123" s="42">
        <v>500000</v>
      </c>
      <c r="G1123" s="42">
        <f t="shared" si="21"/>
        <v>500000</v>
      </c>
      <c r="H1123" s="49" t="s">
        <v>839</v>
      </c>
    </row>
    <row r="1124" spans="1:8" x14ac:dyDescent="0.2">
      <c r="A1124" s="594">
        <v>42530</v>
      </c>
      <c r="B1124" s="41" t="s">
        <v>40</v>
      </c>
      <c r="C1124" s="41" t="s">
        <v>890</v>
      </c>
      <c r="D1124" s="108" t="s">
        <v>953</v>
      </c>
      <c r="F1124" s="42">
        <v>500000</v>
      </c>
      <c r="G1124" s="42">
        <f t="shared" si="21"/>
        <v>500000</v>
      </c>
      <c r="H1124" s="49" t="s">
        <v>839</v>
      </c>
    </row>
    <row r="1125" spans="1:8" x14ac:dyDescent="0.2">
      <c r="A1125" s="594">
        <v>42530</v>
      </c>
      <c r="B1125" s="41" t="s">
        <v>40</v>
      </c>
      <c r="C1125" s="41" t="s">
        <v>1897</v>
      </c>
      <c r="D1125" s="108" t="s">
        <v>968</v>
      </c>
      <c r="E1125" s="42">
        <v>200</v>
      </c>
      <c r="G1125" s="42">
        <f t="shared" si="21"/>
        <v>-200</v>
      </c>
      <c r="H1125" s="49" t="s">
        <v>958</v>
      </c>
    </row>
    <row r="1126" spans="1:8" x14ac:dyDescent="0.2">
      <c r="A1126" s="594">
        <v>42530</v>
      </c>
      <c r="B1126" s="41" t="s">
        <v>16</v>
      </c>
      <c r="C1126" s="41" t="s">
        <v>64</v>
      </c>
      <c r="D1126" s="108" t="s">
        <v>286</v>
      </c>
      <c r="E1126" s="42">
        <v>500</v>
      </c>
      <c r="G1126" s="42">
        <f t="shared" si="21"/>
        <v>-500</v>
      </c>
      <c r="H1126" s="49" t="s">
        <v>958</v>
      </c>
    </row>
    <row r="1127" spans="1:8" x14ac:dyDescent="0.2">
      <c r="A1127" s="594">
        <v>42530</v>
      </c>
      <c r="B1127" s="41" t="s">
        <v>16</v>
      </c>
      <c r="C1127" s="41" t="s">
        <v>773</v>
      </c>
      <c r="D1127" s="108" t="s">
        <v>1011</v>
      </c>
      <c r="E1127" s="42">
        <v>270</v>
      </c>
      <c r="G1127" s="42">
        <f t="shared" si="21"/>
        <v>-270</v>
      </c>
      <c r="H1127" s="49" t="s">
        <v>958</v>
      </c>
    </row>
    <row r="1128" spans="1:8" x14ac:dyDescent="0.2">
      <c r="A1128" s="594">
        <v>42530</v>
      </c>
      <c r="B1128" s="41" t="s">
        <v>16</v>
      </c>
      <c r="C1128" s="41" t="s">
        <v>372</v>
      </c>
      <c r="D1128" s="108" t="s">
        <v>258</v>
      </c>
      <c r="E1128" s="42">
        <v>700</v>
      </c>
      <c r="G1128" s="42">
        <f t="shared" si="21"/>
        <v>-700</v>
      </c>
      <c r="H1128" s="49" t="s">
        <v>958</v>
      </c>
    </row>
    <row r="1129" spans="1:8" x14ac:dyDescent="0.2">
      <c r="A1129" s="594">
        <v>42530</v>
      </c>
      <c r="B1129" s="41" t="s">
        <v>16</v>
      </c>
      <c r="C1129" s="41" t="s">
        <v>1004</v>
      </c>
      <c r="D1129" s="108" t="s">
        <v>1026</v>
      </c>
      <c r="E1129" s="42">
        <v>1000</v>
      </c>
      <c r="G1129" s="42">
        <f t="shared" si="21"/>
        <v>-1000</v>
      </c>
      <c r="H1129" s="49" t="s">
        <v>958</v>
      </c>
    </row>
    <row r="1130" spans="1:8" x14ac:dyDescent="0.2">
      <c r="A1130" s="594">
        <v>42530</v>
      </c>
      <c r="B1130" s="41" t="s">
        <v>16</v>
      </c>
      <c r="C1130" s="67" t="s">
        <v>220</v>
      </c>
      <c r="D1130" s="108" t="s">
        <v>1028</v>
      </c>
      <c r="E1130" s="42">
        <v>500</v>
      </c>
      <c r="G1130" s="42">
        <f t="shared" si="21"/>
        <v>-500</v>
      </c>
      <c r="H1130" s="49" t="s">
        <v>958</v>
      </c>
    </row>
    <row r="1131" spans="1:8" x14ac:dyDescent="0.2">
      <c r="A1131" s="594">
        <v>42530</v>
      </c>
      <c r="B1131" s="41" t="s">
        <v>154</v>
      </c>
      <c r="C1131" s="41" t="s">
        <v>414</v>
      </c>
      <c r="D1131" s="108" t="s">
        <v>1033</v>
      </c>
      <c r="E1131" s="42">
        <v>40000</v>
      </c>
      <c r="G1131" s="42">
        <f t="shared" si="21"/>
        <v>-40000</v>
      </c>
      <c r="H1131" s="49" t="s">
        <v>958</v>
      </c>
    </row>
    <row r="1132" spans="1:8" x14ac:dyDescent="0.2">
      <c r="A1132" s="595">
        <v>42530</v>
      </c>
      <c r="B1132" s="41" t="s">
        <v>40</v>
      </c>
      <c r="C1132" s="41" t="s">
        <v>1057</v>
      </c>
      <c r="D1132" s="108" t="s">
        <v>1058</v>
      </c>
      <c r="E1132" s="42">
        <v>5000</v>
      </c>
      <c r="G1132" s="42">
        <f t="shared" si="21"/>
        <v>-5000</v>
      </c>
      <c r="H1132" s="49" t="s">
        <v>958</v>
      </c>
    </row>
    <row r="1133" spans="1:8" x14ac:dyDescent="0.2">
      <c r="A1133" s="595">
        <v>42530</v>
      </c>
      <c r="B1133" s="41" t="s">
        <v>40</v>
      </c>
      <c r="C1133" s="41" t="s">
        <v>1060</v>
      </c>
      <c r="D1133" s="108" t="s">
        <v>1061</v>
      </c>
      <c r="E1133" s="42">
        <v>35000</v>
      </c>
      <c r="G1133" s="42">
        <f t="shared" si="21"/>
        <v>-35000</v>
      </c>
      <c r="H1133" s="49" t="s">
        <v>958</v>
      </c>
    </row>
    <row r="1134" spans="1:8" x14ac:dyDescent="0.2">
      <c r="A1134" s="595">
        <v>42530</v>
      </c>
      <c r="B1134" s="41" t="s">
        <v>154</v>
      </c>
      <c r="C1134" s="41" t="s">
        <v>1060</v>
      </c>
      <c r="D1134" s="108" t="s">
        <v>1061</v>
      </c>
      <c r="E1134" s="42">
        <v>30000</v>
      </c>
      <c r="G1134" s="42">
        <f t="shared" si="21"/>
        <v>-30000</v>
      </c>
      <c r="H1134" s="49" t="s">
        <v>958</v>
      </c>
    </row>
    <row r="1135" spans="1:8" x14ac:dyDescent="0.2">
      <c r="A1135" s="594">
        <v>42531</v>
      </c>
      <c r="B1135" s="41" t="s">
        <v>40</v>
      </c>
      <c r="C1135" s="41" t="s">
        <v>551</v>
      </c>
      <c r="D1135" s="108" t="s">
        <v>966</v>
      </c>
      <c r="E1135" s="42">
        <v>2810</v>
      </c>
      <c r="G1135" s="42">
        <f t="shared" si="21"/>
        <v>-2810</v>
      </c>
      <c r="H1135" s="49" t="s">
        <v>958</v>
      </c>
    </row>
    <row r="1136" spans="1:8" x14ac:dyDescent="0.2">
      <c r="A1136" s="594">
        <v>42531</v>
      </c>
      <c r="B1136" s="41" t="s">
        <v>16</v>
      </c>
      <c r="C1136" s="41" t="s">
        <v>773</v>
      </c>
      <c r="D1136" s="108" t="s">
        <v>1012</v>
      </c>
      <c r="E1136" s="42">
        <v>100</v>
      </c>
      <c r="G1136" s="42">
        <f t="shared" si="21"/>
        <v>-100</v>
      </c>
      <c r="H1136" s="49" t="s">
        <v>958</v>
      </c>
    </row>
    <row r="1137" spans="1:8" x14ac:dyDescent="0.2">
      <c r="A1137" s="594">
        <v>42531</v>
      </c>
      <c r="B1137" s="41" t="s">
        <v>16</v>
      </c>
      <c r="C1137" s="41" t="s">
        <v>993</v>
      </c>
      <c r="D1137" s="108" t="s">
        <v>1019</v>
      </c>
      <c r="E1137" s="42">
        <v>9000</v>
      </c>
      <c r="G1137" s="42">
        <f t="shared" si="21"/>
        <v>-9000</v>
      </c>
      <c r="H1137" s="49" t="s">
        <v>958</v>
      </c>
    </row>
    <row r="1138" spans="1:8" x14ac:dyDescent="0.2">
      <c r="A1138" s="594">
        <v>42531</v>
      </c>
      <c r="B1138" s="41" t="s">
        <v>11</v>
      </c>
      <c r="C1138" s="41" t="s">
        <v>780</v>
      </c>
      <c r="D1138" s="108" t="s">
        <v>970</v>
      </c>
      <c r="E1138" s="42">
        <v>1535</v>
      </c>
      <c r="G1138" s="42">
        <f t="shared" si="21"/>
        <v>-1535</v>
      </c>
      <c r="H1138" s="49" t="s">
        <v>958</v>
      </c>
    </row>
    <row r="1139" spans="1:8" x14ac:dyDescent="0.2">
      <c r="A1139" s="594">
        <v>42531</v>
      </c>
      <c r="B1139" s="41" t="s">
        <v>18</v>
      </c>
      <c r="C1139" s="41" t="s">
        <v>780</v>
      </c>
      <c r="D1139" s="108" t="s">
        <v>970</v>
      </c>
      <c r="E1139" s="42">
        <v>18000</v>
      </c>
      <c r="G1139" s="42">
        <f t="shared" si="21"/>
        <v>-18000</v>
      </c>
      <c r="H1139" s="49" t="s">
        <v>958</v>
      </c>
    </row>
    <row r="1140" spans="1:8" x14ac:dyDescent="0.2">
      <c r="A1140" s="594">
        <v>42532</v>
      </c>
      <c r="B1140" s="41" t="s">
        <v>40</v>
      </c>
      <c r="C1140" s="41" t="s">
        <v>1501</v>
      </c>
      <c r="D1140" s="108" t="s">
        <v>973</v>
      </c>
      <c r="E1140" s="42">
        <v>14090</v>
      </c>
      <c r="G1140" s="42">
        <f t="shared" si="21"/>
        <v>-14090</v>
      </c>
      <c r="H1140" s="49" t="s">
        <v>958</v>
      </c>
    </row>
    <row r="1141" spans="1:8" x14ac:dyDescent="0.2">
      <c r="A1141" s="594">
        <v>42532</v>
      </c>
      <c r="B1141" s="41" t="s">
        <v>16</v>
      </c>
      <c r="C1141" s="41" t="s">
        <v>146</v>
      </c>
      <c r="D1141" s="108" t="s">
        <v>1006</v>
      </c>
      <c r="E1141" s="42">
        <v>1130</v>
      </c>
      <c r="G1141" s="42">
        <f t="shared" si="21"/>
        <v>-1130</v>
      </c>
      <c r="H1141" s="49" t="s">
        <v>958</v>
      </c>
    </row>
    <row r="1142" spans="1:8" x14ac:dyDescent="0.2">
      <c r="A1142" s="594">
        <v>42532</v>
      </c>
      <c r="B1142" s="41" t="s">
        <v>16</v>
      </c>
      <c r="C1142" s="41" t="s">
        <v>986</v>
      </c>
      <c r="D1142" s="108" t="s">
        <v>1014</v>
      </c>
      <c r="E1142" s="42">
        <v>500</v>
      </c>
      <c r="G1142" s="42">
        <f t="shared" si="21"/>
        <v>-500</v>
      </c>
      <c r="H1142" s="49" t="s">
        <v>958</v>
      </c>
    </row>
    <row r="1143" spans="1:8" x14ac:dyDescent="0.2">
      <c r="A1143" s="594">
        <v>42532</v>
      </c>
      <c r="B1143" s="41" t="s">
        <v>16</v>
      </c>
      <c r="C1143" s="41" t="s">
        <v>773</v>
      </c>
      <c r="D1143" s="108" t="s">
        <v>1015</v>
      </c>
      <c r="E1143" s="42">
        <v>200</v>
      </c>
      <c r="G1143" s="42">
        <f t="shared" si="21"/>
        <v>-200</v>
      </c>
      <c r="H1143" s="49" t="s">
        <v>958</v>
      </c>
    </row>
    <row r="1144" spans="1:8" ht="12.75" customHeight="1" x14ac:dyDescent="0.2">
      <c r="A1144" s="594">
        <v>42532</v>
      </c>
      <c r="B1144" s="41" t="s">
        <v>16</v>
      </c>
      <c r="C1144" s="41" t="s">
        <v>1020</v>
      </c>
      <c r="D1144" s="108" t="s">
        <v>1021</v>
      </c>
      <c r="E1144" s="42">
        <v>5333</v>
      </c>
      <c r="G1144" s="42">
        <f t="shared" si="21"/>
        <v>-5333</v>
      </c>
      <c r="H1144" s="49" t="s">
        <v>958</v>
      </c>
    </row>
    <row r="1145" spans="1:8" ht="12.75" customHeight="1" x14ac:dyDescent="0.2">
      <c r="A1145" s="594">
        <v>42532</v>
      </c>
      <c r="B1145" s="41" t="s">
        <v>25</v>
      </c>
      <c r="C1145" s="41" t="s">
        <v>1894</v>
      </c>
      <c r="D1145" s="108" t="s">
        <v>1053</v>
      </c>
      <c r="E1145" s="42">
        <v>59640</v>
      </c>
      <c r="G1145" s="42">
        <f t="shared" si="21"/>
        <v>-59640</v>
      </c>
      <c r="H1145" s="49" t="s">
        <v>958</v>
      </c>
    </row>
    <row r="1146" spans="1:8" ht="12.75" customHeight="1" x14ac:dyDescent="0.2">
      <c r="A1146" s="594">
        <v>42534</v>
      </c>
      <c r="B1146" s="41" t="s">
        <v>40</v>
      </c>
      <c r="C1146" s="41" t="s">
        <v>372</v>
      </c>
      <c r="D1146" s="108" t="s">
        <v>967</v>
      </c>
      <c r="E1146" s="42">
        <v>2000</v>
      </c>
      <c r="G1146" s="42">
        <f t="shared" si="21"/>
        <v>-2000</v>
      </c>
      <c r="H1146" s="49" t="s">
        <v>958</v>
      </c>
    </row>
    <row r="1147" spans="1:8" ht="12.75" customHeight="1" x14ac:dyDescent="0.2">
      <c r="A1147" s="594">
        <v>42534</v>
      </c>
      <c r="B1147" s="41" t="s">
        <v>40</v>
      </c>
      <c r="C1147" s="67" t="s">
        <v>444</v>
      </c>
      <c r="D1147" s="108" t="s">
        <v>370</v>
      </c>
      <c r="E1147" s="42">
        <v>5000</v>
      </c>
      <c r="G1147" s="42">
        <f t="shared" si="21"/>
        <v>-5000</v>
      </c>
      <c r="H1147" s="49" t="s">
        <v>958</v>
      </c>
    </row>
    <row r="1148" spans="1:8" x14ac:dyDescent="0.2">
      <c r="A1148" s="594">
        <v>42534</v>
      </c>
      <c r="B1148" s="41" t="s">
        <v>16</v>
      </c>
      <c r="C1148" s="41" t="s">
        <v>64</v>
      </c>
      <c r="D1148" s="108" t="s">
        <v>286</v>
      </c>
      <c r="E1148" s="42">
        <v>500</v>
      </c>
      <c r="G1148" s="42">
        <f t="shared" si="21"/>
        <v>-500</v>
      </c>
      <c r="H1148" s="49" t="s">
        <v>958</v>
      </c>
    </row>
    <row r="1149" spans="1:8" x14ac:dyDescent="0.2">
      <c r="A1149" s="594">
        <v>42534</v>
      </c>
      <c r="B1149" s="41" t="s">
        <v>16</v>
      </c>
      <c r="C1149" s="41" t="s">
        <v>103</v>
      </c>
      <c r="D1149" s="108" t="s">
        <v>1016</v>
      </c>
      <c r="E1149" s="42">
        <v>530</v>
      </c>
      <c r="G1149" s="42">
        <f t="shared" si="21"/>
        <v>-530</v>
      </c>
      <c r="H1149" s="49" t="s">
        <v>958</v>
      </c>
    </row>
    <row r="1150" spans="1:8" x14ac:dyDescent="0.2">
      <c r="A1150" s="594">
        <v>42534</v>
      </c>
      <c r="B1150" s="41" t="s">
        <v>16</v>
      </c>
      <c r="C1150" s="41" t="s">
        <v>773</v>
      </c>
      <c r="D1150" s="108" t="s">
        <v>286</v>
      </c>
      <c r="E1150" s="42">
        <v>100</v>
      </c>
      <c r="G1150" s="42">
        <f t="shared" si="21"/>
        <v>-100</v>
      </c>
      <c r="H1150" s="49" t="s">
        <v>958</v>
      </c>
    </row>
    <row r="1151" spans="1:8" x14ac:dyDescent="0.2">
      <c r="A1151" s="594">
        <v>42535</v>
      </c>
      <c r="B1151" s="41" t="s">
        <v>40</v>
      </c>
      <c r="C1151" s="41" t="s">
        <v>929</v>
      </c>
      <c r="D1151" s="108" t="s">
        <v>370</v>
      </c>
      <c r="E1151" s="42">
        <v>111000</v>
      </c>
      <c r="G1151" s="42">
        <f t="shared" si="21"/>
        <v>-111000</v>
      </c>
      <c r="H1151" s="49" t="s">
        <v>958</v>
      </c>
    </row>
    <row r="1152" spans="1:8" x14ac:dyDescent="0.2">
      <c r="A1152" s="594">
        <v>42535</v>
      </c>
      <c r="B1152" s="41" t="s">
        <v>40</v>
      </c>
      <c r="C1152" s="41" t="s">
        <v>251</v>
      </c>
      <c r="D1152" s="108" t="s">
        <v>990</v>
      </c>
      <c r="E1152" s="42">
        <v>116800</v>
      </c>
      <c r="G1152" s="42">
        <f t="shared" si="21"/>
        <v>-116800</v>
      </c>
      <c r="H1152" s="49" t="s">
        <v>958</v>
      </c>
    </row>
    <row r="1153" spans="1:8" x14ac:dyDescent="0.2">
      <c r="A1153" s="594">
        <v>42535</v>
      </c>
      <c r="B1153" s="41" t="s">
        <v>16</v>
      </c>
      <c r="C1153" s="41" t="s">
        <v>350</v>
      </c>
      <c r="D1153" s="108" t="s">
        <v>1017</v>
      </c>
      <c r="E1153" s="42">
        <v>5000</v>
      </c>
      <c r="G1153" s="42">
        <f t="shared" si="21"/>
        <v>-5000</v>
      </c>
      <c r="H1153" s="49" t="s">
        <v>958</v>
      </c>
    </row>
    <row r="1154" spans="1:8" x14ac:dyDescent="0.2">
      <c r="A1154" s="595">
        <v>42535</v>
      </c>
      <c r="B1154" s="41" t="s">
        <v>37</v>
      </c>
      <c r="C1154" s="67" t="s">
        <v>895</v>
      </c>
      <c r="D1154" s="792" t="s">
        <v>970</v>
      </c>
      <c r="E1154" s="66">
        <v>163900</v>
      </c>
      <c r="G1154" s="42">
        <f t="shared" si="21"/>
        <v>-163900</v>
      </c>
      <c r="H1154" s="49" t="s">
        <v>958</v>
      </c>
    </row>
    <row r="1155" spans="1:8" x14ac:dyDescent="0.2">
      <c r="A1155" s="595">
        <v>42535</v>
      </c>
      <c r="B1155" s="67" t="s">
        <v>40</v>
      </c>
      <c r="C1155" s="67" t="s">
        <v>895</v>
      </c>
      <c r="D1155" s="792" t="s">
        <v>970</v>
      </c>
      <c r="E1155" s="66">
        <v>163840</v>
      </c>
      <c r="G1155" s="42">
        <f t="shared" si="21"/>
        <v>-163840</v>
      </c>
      <c r="H1155" s="49" t="s">
        <v>958</v>
      </c>
    </row>
    <row r="1156" spans="1:8" x14ac:dyDescent="0.2">
      <c r="A1156" s="595">
        <v>42535</v>
      </c>
      <c r="B1156" s="41" t="s">
        <v>40</v>
      </c>
      <c r="C1156" s="41" t="s">
        <v>202</v>
      </c>
      <c r="D1156" s="108" t="s">
        <v>1054</v>
      </c>
      <c r="E1156" s="42">
        <v>3000</v>
      </c>
      <c r="G1156" s="42">
        <f t="shared" si="21"/>
        <v>-3000</v>
      </c>
      <c r="H1156" s="49" t="s">
        <v>958</v>
      </c>
    </row>
    <row r="1157" spans="1:8" x14ac:dyDescent="0.2">
      <c r="A1157" s="595">
        <v>42535</v>
      </c>
      <c r="B1157" s="41" t="s">
        <v>40</v>
      </c>
      <c r="C1157" s="41" t="s">
        <v>668</v>
      </c>
      <c r="D1157" s="108" t="s">
        <v>1054</v>
      </c>
      <c r="E1157" s="42">
        <v>2000</v>
      </c>
      <c r="G1157" s="42">
        <f t="shared" si="21"/>
        <v>-2000</v>
      </c>
      <c r="H1157" s="49" t="s">
        <v>958</v>
      </c>
    </row>
    <row r="1158" spans="1:8" x14ac:dyDescent="0.2">
      <c r="A1158" s="594">
        <v>42536</v>
      </c>
      <c r="B1158" s="41" t="s">
        <v>40</v>
      </c>
      <c r="C1158" s="41" t="s">
        <v>551</v>
      </c>
      <c r="D1158" s="108" t="s">
        <v>967</v>
      </c>
      <c r="E1158" s="42">
        <v>2000</v>
      </c>
      <c r="G1158" s="42">
        <f t="shared" si="21"/>
        <v>-2000</v>
      </c>
      <c r="H1158" s="49" t="s">
        <v>958</v>
      </c>
    </row>
    <row r="1159" spans="1:8" x14ac:dyDescent="0.2">
      <c r="A1159" s="594">
        <v>42536</v>
      </c>
      <c r="B1159" s="41" t="s">
        <v>40</v>
      </c>
      <c r="C1159" s="41" t="s">
        <v>1894</v>
      </c>
      <c r="D1159" s="108" t="s">
        <v>967</v>
      </c>
      <c r="E1159" s="42">
        <v>4500</v>
      </c>
      <c r="G1159" s="42">
        <f t="shared" si="21"/>
        <v>-4500</v>
      </c>
      <c r="H1159" s="49" t="s">
        <v>958</v>
      </c>
    </row>
    <row r="1160" spans="1:8" x14ac:dyDescent="0.2">
      <c r="A1160" s="594">
        <v>42536</v>
      </c>
      <c r="B1160" s="41" t="s">
        <v>18</v>
      </c>
      <c r="C1160" s="41" t="s">
        <v>1230</v>
      </c>
      <c r="D1160" s="108" t="s">
        <v>1055</v>
      </c>
      <c r="E1160" s="42">
        <v>5250</v>
      </c>
      <c r="G1160" s="42">
        <f t="shared" si="21"/>
        <v>-5250</v>
      </c>
      <c r="H1160" s="49" t="s">
        <v>958</v>
      </c>
    </row>
    <row r="1161" spans="1:8" x14ac:dyDescent="0.2">
      <c r="A1161" s="595">
        <v>42536</v>
      </c>
      <c r="B1161" s="41" t="s">
        <v>40</v>
      </c>
      <c r="C1161" s="41" t="s">
        <v>14</v>
      </c>
      <c r="D1161" s="108" t="s">
        <v>1054</v>
      </c>
      <c r="E1161" s="42">
        <v>5000</v>
      </c>
      <c r="G1161" s="42">
        <f t="shared" ref="G1161:G1224" si="22">F1161-E1161</f>
        <v>-5000</v>
      </c>
      <c r="H1161" s="49" t="s">
        <v>958</v>
      </c>
    </row>
    <row r="1162" spans="1:8" x14ac:dyDescent="0.2">
      <c r="A1162" s="594">
        <v>42537</v>
      </c>
      <c r="B1162" s="41" t="s">
        <v>40</v>
      </c>
      <c r="C1162" s="41" t="s">
        <v>929</v>
      </c>
      <c r="D1162" s="108" t="s">
        <v>969</v>
      </c>
      <c r="E1162" s="42">
        <v>500</v>
      </c>
      <c r="G1162" s="42">
        <f t="shared" si="22"/>
        <v>-500</v>
      </c>
      <c r="H1162" s="49" t="s">
        <v>958</v>
      </c>
    </row>
    <row r="1163" spans="1:8" x14ac:dyDescent="0.2">
      <c r="A1163" s="594">
        <v>42537</v>
      </c>
      <c r="B1163" s="41" t="s">
        <v>40</v>
      </c>
      <c r="C1163" s="41" t="s">
        <v>986</v>
      </c>
      <c r="D1163" s="108" t="s">
        <v>987</v>
      </c>
      <c r="E1163" s="42">
        <v>300</v>
      </c>
      <c r="G1163" s="42">
        <f t="shared" si="22"/>
        <v>-300</v>
      </c>
      <c r="H1163" s="49" t="s">
        <v>958</v>
      </c>
    </row>
    <row r="1164" spans="1:8" x14ac:dyDescent="0.2">
      <c r="A1164" s="594">
        <v>42537</v>
      </c>
      <c r="B1164" s="41" t="s">
        <v>40</v>
      </c>
      <c r="C1164" s="41" t="s">
        <v>1803</v>
      </c>
      <c r="D1164" s="108" t="s">
        <v>988</v>
      </c>
      <c r="E1164" s="42">
        <v>250000</v>
      </c>
      <c r="G1164" s="42">
        <f t="shared" si="22"/>
        <v>-250000</v>
      </c>
      <c r="H1164" s="49" t="s">
        <v>958</v>
      </c>
    </row>
    <row r="1165" spans="1:8" x14ac:dyDescent="0.2">
      <c r="A1165" s="594">
        <v>42537</v>
      </c>
      <c r="B1165" s="41" t="s">
        <v>40</v>
      </c>
      <c r="C1165" s="41" t="s">
        <v>1897</v>
      </c>
      <c r="D1165" s="108" t="s">
        <v>989</v>
      </c>
      <c r="E1165" s="42">
        <v>650</v>
      </c>
      <c r="G1165" s="42">
        <f t="shared" si="22"/>
        <v>-650</v>
      </c>
      <c r="H1165" s="49" t="s">
        <v>958</v>
      </c>
    </row>
    <row r="1166" spans="1:8" x14ac:dyDescent="0.2">
      <c r="A1166" s="594">
        <v>42537</v>
      </c>
      <c r="B1166" s="41" t="s">
        <v>16</v>
      </c>
      <c r="C1166" s="41" t="s">
        <v>551</v>
      </c>
      <c r="D1166" s="108" t="s">
        <v>933</v>
      </c>
      <c r="E1166" s="42">
        <v>4800</v>
      </c>
      <c r="G1166" s="42">
        <f t="shared" si="22"/>
        <v>-4800</v>
      </c>
      <c r="H1166" s="49" t="s">
        <v>958</v>
      </c>
    </row>
    <row r="1167" spans="1:8" x14ac:dyDescent="0.2">
      <c r="A1167" s="594">
        <v>42537</v>
      </c>
      <c r="B1167" s="41" t="s">
        <v>37</v>
      </c>
      <c r="C1167" s="41" t="s">
        <v>1230</v>
      </c>
      <c r="D1167" s="108" t="s">
        <v>1031</v>
      </c>
      <c r="E1167" s="42">
        <v>18000</v>
      </c>
      <c r="G1167" s="42">
        <f t="shared" si="22"/>
        <v>-18000</v>
      </c>
      <c r="H1167" s="49" t="s">
        <v>958</v>
      </c>
    </row>
    <row r="1168" spans="1:8" ht="12.75" customHeight="1" x14ac:dyDescent="0.2">
      <c r="A1168" s="594">
        <v>42537</v>
      </c>
      <c r="B1168" s="41" t="s">
        <v>37</v>
      </c>
      <c r="C1168" s="41" t="s">
        <v>194</v>
      </c>
      <c r="D1168" s="108" t="s">
        <v>1032</v>
      </c>
      <c r="E1168" s="42">
        <v>2006</v>
      </c>
      <c r="G1168" s="42">
        <f t="shared" si="22"/>
        <v>-2006</v>
      </c>
      <c r="H1168" s="49" t="s">
        <v>958</v>
      </c>
    </row>
    <row r="1169" spans="1:8" ht="12.75" customHeight="1" x14ac:dyDescent="0.2">
      <c r="A1169" s="594">
        <v>42538</v>
      </c>
      <c r="B1169" s="41" t="s">
        <v>16</v>
      </c>
      <c r="C1169" s="67" t="s">
        <v>220</v>
      </c>
      <c r="D1169" s="108" t="s">
        <v>775</v>
      </c>
      <c r="E1169" s="42">
        <v>500</v>
      </c>
      <c r="G1169" s="42">
        <f t="shared" si="22"/>
        <v>-500</v>
      </c>
      <c r="H1169" s="49" t="s">
        <v>958</v>
      </c>
    </row>
    <row r="1170" spans="1:8" ht="12.75" customHeight="1" x14ac:dyDescent="0.2">
      <c r="A1170" s="594">
        <v>42538</v>
      </c>
      <c r="B1170" s="41" t="s">
        <v>25</v>
      </c>
      <c r="C1170" s="41" t="s">
        <v>1894</v>
      </c>
      <c r="D1170" s="108" t="s">
        <v>1052</v>
      </c>
      <c r="E1170" s="42">
        <v>1500</v>
      </c>
      <c r="G1170" s="42">
        <f t="shared" si="22"/>
        <v>-1500</v>
      </c>
      <c r="H1170" s="49" t="s">
        <v>958</v>
      </c>
    </row>
    <row r="1171" spans="1:8" x14ac:dyDescent="0.2">
      <c r="A1171" s="594">
        <v>42539</v>
      </c>
      <c r="B1171" s="41" t="s">
        <v>16</v>
      </c>
      <c r="C1171" s="41" t="s">
        <v>103</v>
      </c>
      <c r="D1171" s="108" t="s">
        <v>797</v>
      </c>
      <c r="E1171" s="42">
        <v>400</v>
      </c>
      <c r="G1171" s="42">
        <f t="shared" si="22"/>
        <v>-400</v>
      </c>
      <c r="H1171" s="49" t="s">
        <v>958</v>
      </c>
    </row>
    <row r="1172" spans="1:8" x14ac:dyDescent="0.2">
      <c r="A1172" s="594">
        <v>42539</v>
      </c>
      <c r="B1172" s="41" t="s">
        <v>154</v>
      </c>
      <c r="C1172" s="41" t="s">
        <v>1042</v>
      </c>
      <c r="D1172" s="108" t="s">
        <v>1043</v>
      </c>
      <c r="E1172" s="42">
        <v>250</v>
      </c>
      <c r="G1172" s="42">
        <f t="shared" si="22"/>
        <v>-250</v>
      </c>
      <c r="H1172" s="49" t="s">
        <v>958</v>
      </c>
    </row>
    <row r="1173" spans="1:8" x14ac:dyDescent="0.2">
      <c r="A1173" s="595">
        <v>42539</v>
      </c>
      <c r="B1173" s="41" t="s">
        <v>154</v>
      </c>
      <c r="C1173" s="41" t="s">
        <v>220</v>
      </c>
      <c r="D1173" s="108" t="s">
        <v>980</v>
      </c>
      <c r="E1173" s="42">
        <v>1820</v>
      </c>
      <c r="G1173" s="42">
        <f t="shared" si="22"/>
        <v>-1820</v>
      </c>
      <c r="H1173" s="49" t="s">
        <v>958</v>
      </c>
    </row>
    <row r="1174" spans="1:8" x14ac:dyDescent="0.2">
      <c r="A1174" s="594">
        <v>42541</v>
      </c>
      <c r="B1174" s="41" t="s">
        <v>40</v>
      </c>
      <c r="C1174" s="41" t="s">
        <v>1897</v>
      </c>
      <c r="D1174" s="108" t="s">
        <v>980</v>
      </c>
      <c r="E1174" s="42">
        <v>200</v>
      </c>
      <c r="G1174" s="42">
        <f t="shared" si="22"/>
        <v>-200</v>
      </c>
      <c r="H1174" s="49" t="s">
        <v>958</v>
      </c>
    </row>
    <row r="1175" spans="1:8" x14ac:dyDescent="0.2">
      <c r="A1175" s="594">
        <v>42541</v>
      </c>
      <c r="B1175" s="41" t="s">
        <v>40</v>
      </c>
      <c r="C1175" s="41" t="s">
        <v>1897</v>
      </c>
      <c r="D1175" s="108" t="s">
        <v>980</v>
      </c>
      <c r="E1175" s="42">
        <v>200</v>
      </c>
      <c r="G1175" s="42">
        <f t="shared" si="22"/>
        <v>-200</v>
      </c>
      <c r="H1175" s="49" t="s">
        <v>958</v>
      </c>
    </row>
    <row r="1176" spans="1:8" x14ac:dyDescent="0.2">
      <c r="A1176" s="595">
        <v>42541</v>
      </c>
      <c r="B1176" s="41" t="s">
        <v>40</v>
      </c>
      <c r="C1176" s="41" t="s">
        <v>1063</v>
      </c>
      <c r="D1176" s="108" t="s">
        <v>1064</v>
      </c>
      <c r="E1176" s="42">
        <v>20855</v>
      </c>
      <c r="G1176" s="42">
        <f t="shared" si="22"/>
        <v>-20855</v>
      </c>
      <c r="H1176" s="49" t="s">
        <v>958</v>
      </c>
    </row>
    <row r="1177" spans="1:8" x14ac:dyDescent="0.2">
      <c r="A1177" s="595">
        <v>42541</v>
      </c>
      <c r="B1177" s="41" t="s">
        <v>40</v>
      </c>
      <c r="C1177" s="41" t="s">
        <v>205</v>
      </c>
      <c r="D1177" s="108" t="s">
        <v>1054</v>
      </c>
      <c r="E1177" s="42">
        <v>20000</v>
      </c>
      <c r="G1177" s="42">
        <f t="shared" si="22"/>
        <v>-20000</v>
      </c>
      <c r="H1177" s="49" t="s">
        <v>958</v>
      </c>
    </row>
    <row r="1178" spans="1:8" x14ac:dyDescent="0.2">
      <c r="A1178" s="595">
        <v>42541</v>
      </c>
      <c r="B1178" s="41" t="s">
        <v>40</v>
      </c>
      <c r="C1178" s="41" t="s">
        <v>668</v>
      </c>
      <c r="D1178" s="108" t="s">
        <v>1054</v>
      </c>
      <c r="E1178" s="42">
        <v>5000</v>
      </c>
      <c r="G1178" s="42">
        <f t="shared" si="22"/>
        <v>-5000</v>
      </c>
      <c r="H1178" s="49" t="s">
        <v>958</v>
      </c>
    </row>
    <row r="1179" spans="1:8" x14ac:dyDescent="0.2">
      <c r="A1179" s="595">
        <v>42541</v>
      </c>
      <c r="B1179" s="41" t="s">
        <v>40</v>
      </c>
      <c r="C1179" s="41" t="s">
        <v>1039</v>
      </c>
      <c r="D1179" s="108" t="s">
        <v>1054</v>
      </c>
      <c r="E1179" s="42">
        <v>5000</v>
      </c>
      <c r="G1179" s="42">
        <f t="shared" si="22"/>
        <v>-5000</v>
      </c>
      <c r="H1179" s="49" t="s">
        <v>958</v>
      </c>
    </row>
    <row r="1180" spans="1:8" x14ac:dyDescent="0.2">
      <c r="A1180" s="594">
        <v>42542</v>
      </c>
      <c r="B1180" s="41" t="s">
        <v>16</v>
      </c>
      <c r="C1180" s="67" t="s">
        <v>780</v>
      </c>
      <c r="D1180" s="108" t="s">
        <v>991</v>
      </c>
      <c r="E1180" s="42">
        <v>500</v>
      </c>
      <c r="G1180" s="42">
        <f t="shared" si="22"/>
        <v>-500</v>
      </c>
      <c r="H1180" s="49" t="s">
        <v>958</v>
      </c>
    </row>
    <row r="1181" spans="1:8" x14ac:dyDescent="0.2">
      <c r="A1181" s="595">
        <v>42542</v>
      </c>
      <c r="B1181" s="41" t="s">
        <v>40</v>
      </c>
      <c r="C1181" s="41" t="s">
        <v>64</v>
      </c>
      <c r="D1181" s="108" t="s">
        <v>1065</v>
      </c>
      <c r="E1181" s="42">
        <v>4780</v>
      </c>
      <c r="G1181" s="42">
        <f t="shared" si="22"/>
        <v>-4780</v>
      </c>
      <c r="H1181" s="49" t="s">
        <v>958</v>
      </c>
    </row>
    <row r="1182" spans="1:8" x14ac:dyDescent="0.2">
      <c r="A1182" s="595">
        <v>42542</v>
      </c>
      <c r="B1182" s="41" t="s">
        <v>40</v>
      </c>
      <c r="C1182" s="41" t="s">
        <v>202</v>
      </c>
      <c r="D1182" s="108" t="s">
        <v>1054</v>
      </c>
      <c r="E1182" s="42">
        <v>15000</v>
      </c>
      <c r="G1182" s="42">
        <f t="shared" si="22"/>
        <v>-15000</v>
      </c>
      <c r="H1182" s="49" t="s">
        <v>958</v>
      </c>
    </row>
    <row r="1183" spans="1:8" x14ac:dyDescent="0.2">
      <c r="A1183" s="594">
        <v>42543</v>
      </c>
      <c r="B1183" s="41" t="s">
        <v>16</v>
      </c>
      <c r="C1183" s="41" t="s">
        <v>773</v>
      </c>
      <c r="D1183" s="108" t="s">
        <v>998</v>
      </c>
      <c r="E1183" s="42">
        <v>350</v>
      </c>
      <c r="G1183" s="42">
        <f t="shared" si="22"/>
        <v>-350</v>
      </c>
      <c r="H1183" s="49" t="s">
        <v>958</v>
      </c>
    </row>
    <row r="1184" spans="1:8" x14ac:dyDescent="0.2">
      <c r="A1184" s="594">
        <v>42543</v>
      </c>
      <c r="B1184" s="41" t="s">
        <v>22</v>
      </c>
      <c r="C1184" s="41" t="s">
        <v>220</v>
      </c>
      <c r="D1184" s="108" t="s">
        <v>1028</v>
      </c>
      <c r="E1184" s="42">
        <v>500</v>
      </c>
      <c r="G1184" s="42">
        <f t="shared" si="22"/>
        <v>-500</v>
      </c>
      <c r="H1184" s="49" t="s">
        <v>958</v>
      </c>
    </row>
    <row r="1185" spans="1:8" x14ac:dyDescent="0.2">
      <c r="A1185" s="594">
        <v>42544</v>
      </c>
      <c r="B1185" s="70" t="s">
        <v>40</v>
      </c>
      <c r="C1185" s="70" t="s">
        <v>716</v>
      </c>
      <c r="D1185" s="793" t="s">
        <v>956</v>
      </c>
      <c r="E1185" s="71">
        <v>500000</v>
      </c>
      <c r="F1185" s="71"/>
      <c r="G1185" s="42">
        <f t="shared" si="22"/>
        <v>-500000</v>
      </c>
      <c r="H1185" s="49" t="s">
        <v>958</v>
      </c>
    </row>
    <row r="1186" spans="1:8" x14ac:dyDescent="0.2">
      <c r="A1186" s="594">
        <v>42544</v>
      </c>
      <c r="B1186" s="41" t="s">
        <v>154</v>
      </c>
      <c r="C1186" s="41" t="s">
        <v>154</v>
      </c>
      <c r="D1186" s="108" t="s">
        <v>957</v>
      </c>
      <c r="F1186" s="42">
        <v>67000</v>
      </c>
      <c r="G1186" s="42">
        <f t="shared" si="22"/>
        <v>67000</v>
      </c>
      <c r="H1186" s="49" t="s">
        <v>958</v>
      </c>
    </row>
    <row r="1187" spans="1:8" x14ac:dyDescent="0.2">
      <c r="A1187" s="594">
        <v>42544</v>
      </c>
      <c r="B1187" s="41" t="s">
        <v>40</v>
      </c>
      <c r="C1187" s="41" t="s">
        <v>298</v>
      </c>
      <c r="D1187" s="108" t="s">
        <v>959</v>
      </c>
      <c r="E1187" s="42">
        <v>300000</v>
      </c>
      <c r="G1187" s="42">
        <f t="shared" si="22"/>
        <v>-300000</v>
      </c>
      <c r="H1187" s="49" t="s">
        <v>958</v>
      </c>
    </row>
    <row r="1188" spans="1:8" x14ac:dyDescent="0.2">
      <c r="A1188" s="594">
        <v>42544</v>
      </c>
      <c r="B1188" s="41" t="s">
        <v>40</v>
      </c>
      <c r="C1188" s="69" t="s">
        <v>977</v>
      </c>
      <c r="D1188" s="108" t="s">
        <v>978</v>
      </c>
      <c r="E1188" s="42">
        <v>2850</v>
      </c>
      <c r="G1188" s="42">
        <f t="shared" si="22"/>
        <v>-2850</v>
      </c>
      <c r="H1188" s="49" t="s">
        <v>958</v>
      </c>
    </row>
    <row r="1189" spans="1:8" x14ac:dyDescent="0.2">
      <c r="A1189" s="594">
        <v>42544</v>
      </c>
      <c r="B1189" s="41" t="s">
        <v>40</v>
      </c>
      <c r="C1189" s="41" t="s">
        <v>1897</v>
      </c>
      <c r="D1189" s="108" t="s">
        <v>980</v>
      </c>
      <c r="E1189" s="42">
        <v>500</v>
      </c>
      <c r="G1189" s="42">
        <f t="shared" si="22"/>
        <v>-500</v>
      </c>
      <c r="H1189" s="49" t="s">
        <v>958</v>
      </c>
    </row>
    <row r="1190" spans="1:8" x14ac:dyDescent="0.2">
      <c r="A1190" s="594">
        <v>42544</v>
      </c>
      <c r="B1190" s="41" t="s">
        <v>40</v>
      </c>
      <c r="C1190" s="69" t="s">
        <v>551</v>
      </c>
      <c r="D1190" s="108" t="s">
        <v>982</v>
      </c>
      <c r="E1190" s="42">
        <v>6880</v>
      </c>
      <c r="G1190" s="42">
        <f t="shared" si="22"/>
        <v>-6880</v>
      </c>
      <c r="H1190" s="49" t="s">
        <v>958</v>
      </c>
    </row>
    <row r="1191" spans="1:8" x14ac:dyDescent="0.2">
      <c r="A1191" s="594">
        <v>42544</v>
      </c>
      <c r="B1191" s="41" t="s">
        <v>16</v>
      </c>
      <c r="C1191" s="67" t="s">
        <v>773</v>
      </c>
      <c r="D1191" s="108" t="s">
        <v>1029</v>
      </c>
      <c r="E1191" s="42">
        <v>1050</v>
      </c>
      <c r="G1191" s="42">
        <f t="shared" si="22"/>
        <v>-1050</v>
      </c>
      <c r="H1191" s="49" t="s">
        <v>958</v>
      </c>
    </row>
    <row r="1192" spans="1:8" x14ac:dyDescent="0.2">
      <c r="A1192" s="594">
        <v>42544</v>
      </c>
      <c r="B1192" s="41" t="s">
        <v>16</v>
      </c>
      <c r="C1192" s="67" t="s">
        <v>773</v>
      </c>
      <c r="D1192" s="108" t="s">
        <v>692</v>
      </c>
      <c r="E1192" s="42">
        <v>500</v>
      </c>
      <c r="G1192" s="42">
        <f t="shared" si="22"/>
        <v>-500</v>
      </c>
      <c r="H1192" s="49" t="s">
        <v>958</v>
      </c>
    </row>
    <row r="1193" spans="1:8" x14ac:dyDescent="0.2">
      <c r="A1193" s="594">
        <v>42545</v>
      </c>
      <c r="B1193" s="41" t="s">
        <v>16</v>
      </c>
      <c r="C1193" s="41" t="s">
        <v>103</v>
      </c>
      <c r="D1193" s="108" t="s">
        <v>992</v>
      </c>
      <c r="E1193" s="42">
        <v>400</v>
      </c>
      <c r="G1193" s="42">
        <f t="shared" si="22"/>
        <v>-400</v>
      </c>
      <c r="H1193" s="49" t="s">
        <v>958</v>
      </c>
    </row>
    <row r="1194" spans="1:8" x14ac:dyDescent="0.2">
      <c r="A1194" s="594">
        <v>42545</v>
      </c>
      <c r="B1194" s="41" t="s">
        <v>16</v>
      </c>
      <c r="C1194" s="67" t="s">
        <v>146</v>
      </c>
      <c r="D1194" s="108" t="s">
        <v>980</v>
      </c>
      <c r="E1194" s="42">
        <v>610</v>
      </c>
      <c r="G1194" s="42">
        <f t="shared" si="22"/>
        <v>-610</v>
      </c>
      <c r="H1194" s="49" t="s">
        <v>958</v>
      </c>
    </row>
    <row r="1195" spans="1:8" x14ac:dyDescent="0.2">
      <c r="A1195" s="594">
        <v>42545</v>
      </c>
      <c r="B1195" s="41" t="s">
        <v>16</v>
      </c>
      <c r="C1195" s="41" t="s">
        <v>103</v>
      </c>
      <c r="D1195" s="108" t="s">
        <v>984</v>
      </c>
      <c r="E1195" s="42">
        <v>100</v>
      </c>
      <c r="G1195" s="42">
        <f t="shared" si="22"/>
        <v>-100</v>
      </c>
      <c r="H1195" s="49" t="s">
        <v>958</v>
      </c>
    </row>
    <row r="1196" spans="1:8" x14ac:dyDescent="0.2">
      <c r="A1196" s="594">
        <v>42545</v>
      </c>
      <c r="B1196" s="41" t="s">
        <v>16</v>
      </c>
      <c r="C1196" s="41" t="s">
        <v>773</v>
      </c>
      <c r="D1196" s="108" t="s">
        <v>995</v>
      </c>
      <c r="E1196" s="42">
        <v>900</v>
      </c>
      <c r="G1196" s="42">
        <f t="shared" si="22"/>
        <v>-900</v>
      </c>
      <c r="H1196" s="49" t="s">
        <v>958</v>
      </c>
    </row>
    <row r="1197" spans="1:8" x14ac:dyDescent="0.2">
      <c r="A1197" s="594">
        <v>42545</v>
      </c>
      <c r="B1197" s="41" t="s">
        <v>154</v>
      </c>
      <c r="C1197" s="41" t="s">
        <v>220</v>
      </c>
      <c r="D1197" s="108" t="s">
        <v>980</v>
      </c>
      <c r="E1197" s="42">
        <v>2825</v>
      </c>
      <c r="G1197" s="42">
        <f t="shared" si="22"/>
        <v>-2825</v>
      </c>
      <c r="H1197" s="49" t="s">
        <v>958</v>
      </c>
    </row>
    <row r="1198" spans="1:8" x14ac:dyDescent="0.2">
      <c r="A1198" s="594">
        <v>42546</v>
      </c>
      <c r="B1198" s="41" t="s">
        <v>40</v>
      </c>
      <c r="C1198" s="41" t="s">
        <v>64</v>
      </c>
      <c r="D1198" s="108" t="s">
        <v>980</v>
      </c>
      <c r="E1198" s="42">
        <v>4430</v>
      </c>
      <c r="G1198" s="42">
        <f t="shared" si="22"/>
        <v>-4430</v>
      </c>
      <c r="H1198" s="49" t="s">
        <v>958</v>
      </c>
    </row>
    <row r="1199" spans="1:8" x14ac:dyDescent="0.2">
      <c r="A1199" s="594">
        <v>42546</v>
      </c>
      <c r="B1199" s="41" t="s">
        <v>40</v>
      </c>
      <c r="C1199" s="41" t="s">
        <v>1501</v>
      </c>
      <c r="D1199" s="108" t="s">
        <v>983</v>
      </c>
      <c r="E1199" s="42">
        <v>36500</v>
      </c>
      <c r="G1199" s="42">
        <f t="shared" si="22"/>
        <v>-36500</v>
      </c>
      <c r="H1199" s="49" t="s">
        <v>958</v>
      </c>
    </row>
    <row r="1200" spans="1:8" x14ac:dyDescent="0.2">
      <c r="A1200" s="594">
        <v>42546</v>
      </c>
      <c r="B1200" s="41" t="s">
        <v>40</v>
      </c>
      <c r="C1200" s="41" t="s">
        <v>1897</v>
      </c>
      <c r="D1200" s="108" t="s">
        <v>984</v>
      </c>
      <c r="E1200" s="42">
        <v>220</v>
      </c>
      <c r="G1200" s="42">
        <f t="shared" si="22"/>
        <v>-220</v>
      </c>
      <c r="H1200" s="49" t="s">
        <v>958</v>
      </c>
    </row>
    <row r="1201" spans="1:8" x14ac:dyDescent="0.2">
      <c r="A1201" s="594">
        <v>42546</v>
      </c>
      <c r="B1201" s="41" t="s">
        <v>40</v>
      </c>
      <c r="C1201" s="69" t="s">
        <v>985</v>
      </c>
      <c r="D1201" s="108" t="s">
        <v>286</v>
      </c>
      <c r="E1201" s="42">
        <v>9717</v>
      </c>
      <c r="G1201" s="42">
        <f t="shared" si="22"/>
        <v>-9717</v>
      </c>
      <c r="H1201" s="49" t="s">
        <v>958</v>
      </c>
    </row>
    <row r="1202" spans="1:8" x14ac:dyDescent="0.2">
      <c r="A1202" s="594">
        <v>42546</v>
      </c>
      <c r="B1202" s="41" t="s">
        <v>16</v>
      </c>
      <c r="C1202" s="67" t="s">
        <v>993</v>
      </c>
      <c r="D1202" s="108" t="s">
        <v>994</v>
      </c>
      <c r="E1202" s="42">
        <v>500</v>
      </c>
      <c r="G1202" s="42">
        <f t="shared" si="22"/>
        <v>-500</v>
      </c>
      <c r="H1202" s="49" t="s">
        <v>958</v>
      </c>
    </row>
    <row r="1203" spans="1:8" x14ac:dyDescent="0.2">
      <c r="A1203" s="594">
        <v>42546</v>
      </c>
      <c r="B1203" s="41" t="s">
        <v>16</v>
      </c>
      <c r="C1203" s="41" t="s">
        <v>64</v>
      </c>
      <c r="D1203" s="108" t="s">
        <v>1024</v>
      </c>
      <c r="E1203" s="42">
        <v>280</v>
      </c>
      <c r="G1203" s="42">
        <f t="shared" si="22"/>
        <v>-280</v>
      </c>
      <c r="H1203" s="49" t="s">
        <v>958</v>
      </c>
    </row>
    <row r="1204" spans="1:8" x14ac:dyDescent="0.2">
      <c r="A1204" s="594">
        <v>42546</v>
      </c>
      <c r="B1204" s="41" t="s">
        <v>16</v>
      </c>
      <c r="C1204" s="41" t="s">
        <v>1000</v>
      </c>
      <c r="D1204" s="108" t="s">
        <v>801</v>
      </c>
      <c r="E1204" s="42">
        <v>100</v>
      </c>
      <c r="G1204" s="42">
        <f t="shared" si="22"/>
        <v>-100</v>
      </c>
      <c r="H1204" s="49" t="s">
        <v>958</v>
      </c>
    </row>
    <row r="1205" spans="1:8" x14ac:dyDescent="0.2">
      <c r="A1205" s="594">
        <v>42546</v>
      </c>
      <c r="B1205" s="41" t="s">
        <v>154</v>
      </c>
      <c r="C1205" s="41" t="s">
        <v>220</v>
      </c>
      <c r="D1205" s="108" t="s">
        <v>980</v>
      </c>
      <c r="E1205" s="42">
        <v>1555</v>
      </c>
      <c r="G1205" s="42">
        <f t="shared" si="22"/>
        <v>-1555</v>
      </c>
      <c r="H1205" s="49" t="s">
        <v>958</v>
      </c>
    </row>
    <row r="1206" spans="1:8" x14ac:dyDescent="0.2">
      <c r="A1206" s="595">
        <v>42546</v>
      </c>
      <c r="B1206" s="41" t="s">
        <v>40</v>
      </c>
      <c r="C1206" s="41" t="s">
        <v>1894</v>
      </c>
      <c r="D1206" s="108" t="s">
        <v>980</v>
      </c>
      <c r="E1206" s="42">
        <v>2100</v>
      </c>
      <c r="G1206" s="42">
        <f t="shared" si="22"/>
        <v>-2100</v>
      </c>
      <c r="H1206" s="49" t="s">
        <v>958</v>
      </c>
    </row>
    <row r="1207" spans="1:8" x14ac:dyDescent="0.2">
      <c r="A1207" s="595">
        <v>42546</v>
      </c>
      <c r="B1207" s="41" t="s">
        <v>25</v>
      </c>
      <c r="C1207" s="41" t="s">
        <v>1894</v>
      </c>
      <c r="D1207" s="108" t="s">
        <v>980</v>
      </c>
      <c r="E1207" s="42">
        <v>3850</v>
      </c>
      <c r="G1207" s="42">
        <f t="shared" si="22"/>
        <v>-3850</v>
      </c>
      <c r="H1207" s="49" t="s">
        <v>958</v>
      </c>
    </row>
    <row r="1208" spans="1:8" x14ac:dyDescent="0.2">
      <c r="A1208" s="595">
        <v>42546</v>
      </c>
      <c r="B1208" s="41" t="s">
        <v>40</v>
      </c>
      <c r="C1208" s="41" t="s">
        <v>1896</v>
      </c>
      <c r="D1208" s="108" t="s">
        <v>1054</v>
      </c>
      <c r="E1208" s="42">
        <v>10000</v>
      </c>
      <c r="G1208" s="42">
        <f t="shared" si="22"/>
        <v>-10000</v>
      </c>
      <c r="H1208" s="49" t="s">
        <v>958</v>
      </c>
    </row>
    <row r="1209" spans="1:8" x14ac:dyDescent="0.2">
      <c r="A1209" s="595">
        <v>42546</v>
      </c>
      <c r="B1209" s="41" t="s">
        <v>16</v>
      </c>
      <c r="C1209" s="41" t="s">
        <v>103</v>
      </c>
      <c r="D1209" s="108" t="s">
        <v>1054</v>
      </c>
      <c r="E1209" s="42">
        <v>5000</v>
      </c>
      <c r="G1209" s="42">
        <f t="shared" si="22"/>
        <v>-5000</v>
      </c>
      <c r="H1209" s="49" t="s">
        <v>958</v>
      </c>
    </row>
    <row r="1210" spans="1:8" x14ac:dyDescent="0.2">
      <c r="A1210" s="594">
        <v>42548</v>
      </c>
      <c r="B1210" s="41" t="s">
        <v>16</v>
      </c>
      <c r="C1210" s="41" t="s">
        <v>103</v>
      </c>
      <c r="D1210" s="108" t="s">
        <v>984</v>
      </c>
      <c r="E1210" s="42">
        <v>170</v>
      </c>
      <c r="G1210" s="42">
        <f t="shared" si="22"/>
        <v>-170</v>
      </c>
      <c r="H1210" s="49" t="s">
        <v>958</v>
      </c>
    </row>
    <row r="1211" spans="1:8" x14ac:dyDescent="0.2">
      <c r="A1211" s="594">
        <v>42548</v>
      </c>
      <c r="B1211" s="41" t="s">
        <v>154</v>
      </c>
      <c r="C1211" s="41" t="s">
        <v>220</v>
      </c>
      <c r="D1211" s="108" t="s">
        <v>980</v>
      </c>
      <c r="E1211" s="42">
        <v>5400</v>
      </c>
      <c r="G1211" s="42">
        <f t="shared" si="22"/>
        <v>-5400</v>
      </c>
      <c r="H1211" s="49" t="s">
        <v>958</v>
      </c>
    </row>
    <row r="1212" spans="1:8" x14ac:dyDescent="0.2">
      <c r="A1212" s="594">
        <v>42548</v>
      </c>
      <c r="B1212" s="41" t="s">
        <v>154</v>
      </c>
      <c r="C1212" s="41" t="s">
        <v>220</v>
      </c>
      <c r="D1212" s="108" t="s">
        <v>980</v>
      </c>
      <c r="E1212" s="42">
        <v>1230</v>
      </c>
      <c r="G1212" s="42">
        <f t="shared" si="22"/>
        <v>-1230</v>
      </c>
      <c r="H1212" s="49" t="s">
        <v>958</v>
      </c>
    </row>
    <row r="1213" spans="1:8" x14ac:dyDescent="0.2">
      <c r="A1213" s="594">
        <v>42549</v>
      </c>
      <c r="B1213" s="41" t="s">
        <v>82</v>
      </c>
      <c r="C1213" s="41" t="s">
        <v>82</v>
      </c>
      <c r="D1213" s="108" t="s">
        <v>960</v>
      </c>
      <c r="F1213" s="42">
        <v>499000</v>
      </c>
      <c r="G1213" s="42">
        <f t="shared" si="22"/>
        <v>499000</v>
      </c>
      <c r="H1213" s="49" t="s">
        <v>958</v>
      </c>
    </row>
    <row r="1214" spans="1:8" x14ac:dyDescent="0.2">
      <c r="A1214" s="594">
        <v>42550</v>
      </c>
      <c r="B1214" s="41" t="s">
        <v>16</v>
      </c>
      <c r="C1214" s="41" t="s">
        <v>773</v>
      </c>
      <c r="D1214" s="108" t="s">
        <v>996</v>
      </c>
      <c r="E1214" s="42">
        <v>500</v>
      </c>
      <c r="G1214" s="42">
        <f t="shared" si="22"/>
        <v>-500</v>
      </c>
      <c r="H1214" s="49" t="s">
        <v>958</v>
      </c>
    </row>
    <row r="1215" spans="1:8" x14ac:dyDescent="0.2">
      <c r="A1215" s="594">
        <v>42550</v>
      </c>
      <c r="B1215" s="41" t="s">
        <v>154</v>
      </c>
      <c r="C1215" s="41" t="s">
        <v>431</v>
      </c>
      <c r="D1215" s="108" t="s">
        <v>1040</v>
      </c>
      <c r="E1215" s="42">
        <v>500000</v>
      </c>
      <c r="G1215" s="42">
        <f t="shared" si="22"/>
        <v>-500000</v>
      </c>
      <c r="H1215" s="49" t="s">
        <v>958</v>
      </c>
    </row>
    <row r="1216" spans="1:8" x14ac:dyDescent="0.2">
      <c r="A1216" s="594">
        <v>42550</v>
      </c>
      <c r="B1216" s="41" t="s">
        <v>154</v>
      </c>
      <c r="C1216" s="41" t="s">
        <v>220</v>
      </c>
      <c r="D1216" s="108" t="s">
        <v>980</v>
      </c>
      <c r="E1216" s="42">
        <v>1800</v>
      </c>
      <c r="G1216" s="42">
        <f t="shared" si="22"/>
        <v>-1800</v>
      </c>
      <c r="H1216" s="49" t="s">
        <v>958</v>
      </c>
    </row>
    <row r="1217" spans="1:8" x14ac:dyDescent="0.2">
      <c r="A1217" s="594">
        <v>42551</v>
      </c>
      <c r="B1217" s="41" t="s">
        <v>154</v>
      </c>
      <c r="C1217" s="41" t="s">
        <v>154</v>
      </c>
      <c r="D1217" s="108" t="s">
        <v>961</v>
      </c>
      <c r="F1217" s="42">
        <v>1017692</v>
      </c>
      <c r="G1217" s="42">
        <f t="shared" si="22"/>
        <v>1017692</v>
      </c>
      <c r="H1217" s="49" t="s">
        <v>958</v>
      </c>
    </row>
    <row r="1218" spans="1:8" x14ac:dyDescent="0.2">
      <c r="A1218" s="594">
        <v>42551</v>
      </c>
      <c r="B1218" s="41" t="s">
        <v>18</v>
      </c>
      <c r="C1218" s="41" t="s">
        <v>18</v>
      </c>
      <c r="D1218" s="108" t="s">
        <v>962</v>
      </c>
      <c r="F1218" s="42">
        <v>200000</v>
      </c>
      <c r="G1218" s="42">
        <f t="shared" si="22"/>
        <v>200000</v>
      </c>
      <c r="H1218" s="49" t="s">
        <v>958</v>
      </c>
    </row>
    <row r="1219" spans="1:8" x14ac:dyDescent="0.2">
      <c r="A1219" s="594">
        <v>42551</v>
      </c>
      <c r="B1219" s="41" t="s">
        <v>40</v>
      </c>
      <c r="C1219" s="41" t="s">
        <v>40</v>
      </c>
      <c r="D1219" s="108" t="s">
        <v>964</v>
      </c>
      <c r="F1219" s="42">
        <v>1815000</v>
      </c>
      <c r="G1219" s="42">
        <f t="shared" si="22"/>
        <v>1815000</v>
      </c>
      <c r="H1219" s="49" t="s">
        <v>958</v>
      </c>
    </row>
    <row r="1220" spans="1:8" x14ac:dyDescent="0.2">
      <c r="A1220" s="594">
        <v>42551</v>
      </c>
      <c r="B1220" s="41" t="s">
        <v>40</v>
      </c>
      <c r="C1220" s="41" t="s">
        <v>1897</v>
      </c>
      <c r="D1220" s="108" t="s">
        <v>974</v>
      </c>
      <c r="E1220" s="42">
        <v>800</v>
      </c>
      <c r="G1220" s="42">
        <f t="shared" si="22"/>
        <v>-800</v>
      </c>
      <c r="H1220" s="49" t="s">
        <v>958</v>
      </c>
    </row>
    <row r="1221" spans="1:8" x14ac:dyDescent="0.2">
      <c r="A1221" s="594">
        <v>42551</v>
      </c>
      <c r="B1221" s="41" t="s">
        <v>40</v>
      </c>
      <c r="C1221" s="41" t="s">
        <v>919</v>
      </c>
      <c r="D1221" s="108" t="s">
        <v>975</v>
      </c>
      <c r="E1221" s="42">
        <v>4700</v>
      </c>
      <c r="G1221" s="42">
        <f t="shared" si="22"/>
        <v>-4700</v>
      </c>
      <c r="H1221" s="49" t="s">
        <v>958</v>
      </c>
    </row>
    <row r="1222" spans="1:8" x14ac:dyDescent="0.2">
      <c r="A1222" s="594">
        <v>42551</v>
      </c>
      <c r="B1222" s="41" t="s">
        <v>40</v>
      </c>
      <c r="C1222" s="41" t="s">
        <v>551</v>
      </c>
      <c r="D1222" s="108" t="s">
        <v>976</v>
      </c>
      <c r="E1222" s="42">
        <v>100000</v>
      </c>
      <c r="G1222" s="42">
        <f t="shared" si="22"/>
        <v>-100000</v>
      </c>
      <c r="H1222" s="49" t="s">
        <v>958</v>
      </c>
    </row>
    <row r="1223" spans="1:8" x14ac:dyDescent="0.2">
      <c r="A1223" s="594">
        <v>42551</v>
      </c>
      <c r="B1223" s="41" t="s">
        <v>40</v>
      </c>
      <c r="C1223" s="69" t="s">
        <v>372</v>
      </c>
      <c r="D1223" s="108" t="s">
        <v>979</v>
      </c>
      <c r="E1223" s="42">
        <v>50000</v>
      </c>
      <c r="G1223" s="42">
        <f t="shared" si="22"/>
        <v>-50000</v>
      </c>
      <c r="H1223" s="49" t="s">
        <v>958</v>
      </c>
    </row>
    <row r="1224" spans="1:8" x14ac:dyDescent="0.2">
      <c r="A1224" s="594">
        <v>42551</v>
      </c>
      <c r="B1224" s="41" t="s">
        <v>40</v>
      </c>
      <c r="C1224" s="41" t="s">
        <v>64</v>
      </c>
      <c r="D1224" s="108" t="s">
        <v>980</v>
      </c>
      <c r="E1224" s="42">
        <v>500</v>
      </c>
      <c r="G1224" s="42">
        <f t="shared" si="22"/>
        <v>-500</v>
      </c>
      <c r="H1224" s="49" t="s">
        <v>958</v>
      </c>
    </row>
    <row r="1225" spans="1:8" x14ac:dyDescent="0.2">
      <c r="A1225" s="594">
        <v>42551</v>
      </c>
      <c r="B1225" s="41" t="s">
        <v>40</v>
      </c>
      <c r="C1225" s="69" t="s">
        <v>80</v>
      </c>
      <c r="D1225" s="108" t="s">
        <v>981</v>
      </c>
      <c r="E1225" s="42">
        <v>800</v>
      </c>
      <c r="G1225" s="42">
        <f t="shared" ref="G1225:G1288" si="23">F1225-E1225</f>
        <v>-800</v>
      </c>
      <c r="H1225" s="49" t="s">
        <v>958</v>
      </c>
    </row>
    <row r="1226" spans="1:8" x14ac:dyDescent="0.2">
      <c r="A1226" s="594">
        <v>42551</v>
      </c>
      <c r="B1226" s="41" t="s">
        <v>40</v>
      </c>
      <c r="C1226" s="41" t="s">
        <v>1897</v>
      </c>
      <c r="D1226" s="108" t="s">
        <v>980</v>
      </c>
      <c r="E1226" s="42">
        <v>1170</v>
      </c>
      <c r="G1226" s="42">
        <f t="shared" si="23"/>
        <v>-1170</v>
      </c>
      <c r="H1226" s="49" t="s">
        <v>958</v>
      </c>
    </row>
    <row r="1227" spans="1:8" x14ac:dyDescent="0.2">
      <c r="A1227" s="594">
        <v>42551</v>
      </c>
      <c r="B1227" s="41" t="s">
        <v>16</v>
      </c>
      <c r="C1227" s="41" t="s">
        <v>773</v>
      </c>
      <c r="D1227" s="108" t="s">
        <v>997</v>
      </c>
      <c r="E1227" s="42">
        <v>500</v>
      </c>
      <c r="G1227" s="42">
        <f t="shared" si="23"/>
        <v>-500</v>
      </c>
      <c r="H1227" s="49" t="s">
        <v>958</v>
      </c>
    </row>
    <row r="1228" spans="1:8" x14ac:dyDescent="0.2">
      <c r="A1228" s="594">
        <v>42551</v>
      </c>
      <c r="B1228" s="41" t="s">
        <v>16</v>
      </c>
      <c r="C1228" s="41" t="s">
        <v>103</v>
      </c>
      <c r="D1228" s="108" t="s">
        <v>1025</v>
      </c>
      <c r="E1228" s="42">
        <v>460</v>
      </c>
      <c r="G1228" s="42">
        <f t="shared" si="23"/>
        <v>-460</v>
      </c>
      <c r="H1228" s="49" t="s">
        <v>958</v>
      </c>
    </row>
    <row r="1229" spans="1:8" x14ac:dyDescent="0.2">
      <c r="A1229" s="594">
        <v>42551</v>
      </c>
      <c r="B1229" s="41" t="s">
        <v>16</v>
      </c>
      <c r="C1229" s="41" t="s">
        <v>64</v>
      </c>
      <c r="D1229" s="108" t="s">
        <v>1027</v>
      </c>
      <c r="E1229" s="42">
        <v>200</v>
      </c>
      <c r="G1229" s="42">
        <f t="shared" si="23"/>
        <v>-200</v>
      </c>
      <c r="H1229" s="49" t="s">
        <v>958</v>
      </c>
    </row>
    <row r="1230" spans="1:8" x14ac:dyDescent="0.2">
      <c r="A1230" s="594">
        <v>42551</v>
      </c>
      <c r="B1230" s="41" t="s">
        <v>16</v>
      </c>
      <c r="C1230" s="67" t="s">
        <v>773</v>
      </c>
      <c r="D1230" s="108" t="s">
        <v>984</v>
      </c>
      <c r="E1230" s="42">
        <v>425</v>
      </c>
      <c r="G1230" s="42">
        <f t="shared" si="23"/>
        <v>-425</v>
      </c>
      <c r="H1230" s="49" t="s">
        <v>958</v>
      </c>
    </row>
    <row r="1231" spans="1:8" x14ac:dyDescent="0.2">
      <c r="A1231" s="594">
        <v>42551</v>
      </c>
      <c r="B1231" s="41" t="s">
        <v>154</v>
      </c>
      <c r="C1231" s="41" t="s">
        <v>414</v>
      </c>
      <c r="D1231" s="108" t="s">
        <v>1037</v>
      </c>
      <c r="E1231" s="42">
        <v>15000</v>
      </c>
      <c r="G1231" s="42">
        <f t="shared" si="23"/>
        <v>-15000</v>
      </c>
      <c r="H1231" s="49" t="s">
        <v>958</v>
      </c>
    </row>
    <row r="1232" spans="1:8" x14ac:dyDescent="0.2">
      <c r="A1232" s="594">
        <v>42551</v>
      </c>
      <c r="B1232" s="41" t="s">
        <v>154</v>
      </c>
      <c r="C1232" s="41" t="s">
        <v>695</v>
      </c>
      <c r="D1232" s="108" t="s">
        <v>1038</v>
      </c>
      <c r="E1232" s="42">
        <v>30000</v>
      </c>
      <c r="G1232" s="42">
        <f t="shared" si="23"/>
        <v>-30000</v>
      </c>
      <c r="H1232" s="49" t="s">
        <v>958</v>
      </c>
    </row>
    <row r="1233" spans="1:8" x14ac:dyDescent="0.2">
      <c r="A1233" s="594">
        <v>42551</v>
      </c>
      <c r="B1233" s="41" t="s">
        <v>154</v>
      </c>
      <c r="C1233" s="41" t="s">
        <v>220</v>
      </c>
      <c r="D1233" s="108" t="s">
        <v>980</v>
      </c>
      <c r="E1233" s="42">
        <v>6500</v>
      </c>
      <c r="G1233" s="42">
        <f t="shared" si="23"/>
        <v>-6500</v>
      </c>
      <c r="H1233" s="49" t="s">
        <v>958</v>
      </c>
    </row>
    <row r="1234" spans="1:8" x14ac:dyDescent="0.2">
      <c r="A1234" s="595">
        <v>42551</v>
      </c>
      <c r="B1234" s="41" t="s">
        <v>40</v>
      </c>
      <c r="C1234" s="41" t="s">
        <v>612</v>
      </c>
      <c r="D1234" s="108" t="s">
        <v>1062</v>
      </c>
      <c r="E1234" s="42">
        <v>23060</v>
      </c>
      <c r="G1234" s="42">
        <f t="shared" si="23"/>
        <v>-23060</v>
      </c>
      <c r="H1234" s="49" t="s">
        <v>958</v>
      </c>
    </row>
    <row r="1235" spans="1:8" x14ac:dyDescent="0.2">
      <c r="A1235" s="595">
        <v>42551</v>
      </c>
      <c r="B1235" s="41" t="s">
        <v>40</v>
      </c>
      <c r="C1235" s="41" t="s">
        <v>815</v>
      </c>
      <c r="D1235" s="108" t="s">
        <v>1083</v>
      </c>
      <c r="E1235" s="42">
        <v>225000</v>
      </c>
      <c r="G1235" s="42">
        <f t="shared" si="23"/>
        <v>-225000</v>
      </c>
      <c r="H1235" s="49" t="s">
        <v>958</v>
      </c>
    </row>
    <row r="1236" spans="1:8" x14ac:dyDescent="0.2">
      <c r="A1236" s="594">
        <v>42551</v>
      </c>
      <c r="B1236" s="41" t="s">
        <v>16</v>
      </c>
      <c r="C1236" s="41" t="s">
        <v>64</v>
      </c>
      <c r="D1236" s="108" t="s">
        <v>1002</v>
      </c>
      <c r="E1236" s="42">
        <v>100</v>
      </c>
      <c r="G1236" s="42">
        <f t="shared" si="23"/>
        <v>-100</v>
      </c>
      <c r="H1236" s="49" t="s">
        <v>958</v>
      </c>
    </row>
    <row r="1237" spans="1:8" x14ac:dyDescent="0.2">
      <c r="A1237" s="595">
        <v>42553</v>
      </c>
      <c r="B1237" s="41" t="s">
        <v>40</v>
      </c>
      <c r="C1237" s="41" t="s">
        <v>251</v>
      </c>
      <c r="D1237" s="108" t="s">
        <v>370</v>
      </c>
      <c r="E1237" s="42">
        <v>50000</v>
      </c>
      <c r="G1237" s="42">
        <f t="shared" si="23"/>
        <v>-50000</v>
      </c>
      <c r="H1237" s="49" t="s">
        <v>1088</v>
      </c>
    </row>
    <row r="1238" spans="1:8" x14ac:dyDescent="0.2">
      <c r="A1238" s="595">
        <v>42553</v>
      </c>
      <c r="B1238" s="41" t="s">
        <v>40</v>
      </c>
      <c r="C1238" s="41" t="s">
        <v>929</v>
      </c>
      <c r="D1238" s="108" t="s">
        <v>1091</v>
      </c>
      <c r="E1238" s="42">
        <v>66000</v>
      </c>
      <c r="G1238" s="42">
        <f t="shared" si="23"/>
        <v>-66000</v>
      </c>
      <c r="H1238" s="49" t="s">
        <v>1088</v>
      </c>
    </row>
    <row r="1239" spans="1:8" x14ac:dyDescent="0.2">
      <c r="A1239" s="595">
        <v>42553</v>
      </c>
      <c r="B1239" s="41" t="s">
        <v>82</v>
      </c>
      <c r="C1239" s="45" t="s">
        <v>462</v>
      </c>
      <c r="D1239" s="794" t="s">
        <v>1092</v>
      </c>
      <c r="E1239" s="72">
        <v>200000</v>
      </c>
      <c r="G1239" s="42">
        <f t="shared" si="23"/>
        <v>-200000</v>
      </c>
      <c r="H1239" s="49" t="s">
        <v>1088</v>
      </c>
    </row>
    <row r="1240" spans="1:8" x14ac:dyDescent="0.2">
      <c r="A1240" s="595">
        <v>42553</v>
      </c>
      <c r="B1240" s="41" t="s">
        <v>154</v>
      </c>
      <c r="C1240" s="41" t="s">
        <v>220</v>
      </c>
      <c r="D1240" s="108" t="s">
        <v>1093</v>
      </c>
      <c r="E1240" s="42">
        <v>880</v>
      </c>
      <c r="G1240" s="42">
        <f t="shared" si="23"/>
        <v>-880</v>
      </c>
      <c r="H1240" s="49" t="s">
        <v>1088</v>
      </c>
    </row>
    <row r="1241" spans="1:8" x14ac:dyDescent="0.2">
      <c r="A1241" s="595">
        <v>42555</v>
      </c>
      <c r="B1241" s="41" t="s">
        <v>16</v>
      </c>
      <c r="C1241" s="41" t="s">
        <v>220</v>
      </c>
      <c r="D1241" s="108" t="s">
        <v>1095</v>
      </c>
      <c r="E1241" s="42">
        <v>150</v>
      </c>
      <c r="G1241" s="42">
        <f t="shared" si="23"/>
        <v>-150</v>
      </c>
      <c r="H1241" s="49" t="s">
        <v>1088</v>
      </c>
    </row>
    <row r="1242" spans="1:8" x14ac:dyDescent="0.2">
      <c r="A1242" s="595">
        <v>42555</v>
      </c>
      <c r="B1242" s="41" t="s">
        <v>25</v>
      </c>
      <c r="C1242" s="41" t="s">
        <v>1894</v>
      </c>
      <c r="D1242" s="108" t="s">
        <v>1096</v>
      </c>
      <c r="E1242" s="42">
        <v>2000</v>
      </c>
      <c r="G1242" s="42">
        <f t="shared" si="23"/>
        <v>-2000</v>
      </c>
      <c r="H1242" s="49" t="s">
        <v>1088</v>
      </c>
    </row>
    <row r="1243" spans="1:8" x14ac:dyDescent="0.2">
      <c r="A1243" s="595">
        <v>42555</v>
      </c>
      <c r="B1243" s="41" t="s">
        <v>16</v>
      </c>
      <c r="C1243" s="41" t="s">
        <v>372</v>
      </c>
      <c r="D1243" s="108" t="s">
        <v>1097</v>
      </c>
      <c r="E1243" s="42">
        <v>1400</v>
      </c>
      <c r="G1243" s="42">
        <f t="shared" si="23"/>
        <v>-1400</v>
      </c>
      <c r="H1243" s="49" t="s">
        <v>1088</v>
      </c>
    </row>
    <row r="1244" spans="1:8" x14ac:dyDescent="0.2">
      <c r="A1244" s="595">
        <v>42555</v>
      </c>
      <c r="B1244" s="41" t="s">
        <v>40</v>
      </c>
      <c r="C1244" s="41" t="s">
        <v>1167</v>
      </c>
      <c r="D1244" s="108" t="s">
        <v>337</v>
      </c>
      <c r="E1244" s="42">
        <v>5000</v>
      </c>
      <c r="G1244" s="42">
        <f t="shared" si="23"/>
        <v>-5000</v>
      </c>
      <c r="H1244" s="49" t="s">
        <v>1088</v>
      </c>
    </row>
    <row r="1245" spans="1:8" x14ac:dyDescent="0.2">
      <c r="A1245" s="595">
        <v>42555</v>
      </c>
      <c r="B1245" s="41" t="s">
        <v>37</v>
      </c>
      <c r="C1245" s="41" t="s">
        <v>1098</v>
      </c>
      <c r="D1245" s="108" t="s">
        <v>1099</v>
      </c>
      <c r="E1245" s="42">
        <v>10000</v>
      </c>
      <c r="G1245" s="42">
        <f t="shared" si="23"/>
        <v>-10000</v>
      </c>
      <c r="H1245" s="49" t="s">
        <v>1088</v>
      </c>
    </row>
    <row r="1246" spans="1:8" x14ac:dyDescent="0.2">
      <c r="A1246" s="595">
        <v>42555</v>
      </c>
      <c r="B1246" s="41" t="s">
        <v>154</v>
      </c>
      <c r="C1246" s="41" t="s">
        <v>780</v>
      </c>
      <c r="D1246" s="108" t="s">
        <v>370</v>
      </c>
      <c r="E1246" s="42">
        <v>40000</v>
      </c>
      <c r="G1246" s="42">
        <f t="shared" si="23"/>
        <v>-40000</v>
      </c>
      <c r="H1246" s="49" t="s">
        <v>1088</v>
      </c>
    </row>
    <row r="1247" spans="1:8" x14ac:dyDescent="0.2">
      <c r="A1247" s="595">
        <v>42555</v>
      </c>
      <c r="B1247" s="41" t="s">
        <v>40</v>
      </c>
      <c r="C1247" s="41" t="s">
        <v>1100</v>
      </c>
      <c r="D1247" s="108" t="s">
        <v>1101</v>
      </c>
      <c r="E1247" s="42">
        <v>12000</v>
      </c>
      <c r="G1247" s="42">
        <f t="shared" si="23"/>
        <v>-12000</v>
      </c>
      <c r="H1247" s="49" t="s">
        <v>1088</v>
      </c>
    </row>
    <row r="1248" spans="1:8" x14ac:dyDescent="0.2">
      <c r="A1248" s="595">
        <v>42555</v>
      </c>
      <c r="B1248" s="41" t="s">
        <v>40</v>
      </c>
      <c r="C1248" s="41" t="s">
        <v>1102</v>
      </c>
      <c r="D1248" s="108" t="s">
        <v>370</v>
      </c>
      <c r="E1248" s="42">
        <v>115250</v>
      </c>
      <c r="G1248" s="42">
        <f t="shared" si="23"/>
        <v>-115250</v>
      </c>
      <c r="H1248" s="49" t="s">
        <v>1088</v>
      </c>
    </row>
    <row r="1249" spans="1:8" x14ac:dyDescent="0.2">
      <c r="A1249" s="595">
        <v>42555</v>
      </c>
      <c r="B1249" s="41" t="s">
        <v>154</v>
      </c>
      <c r="C1249" s="41" t="s">
        <v>1102</v>
      </c>
      <c r="D1249" s="108" t="s">
        <v>370</v>
      </c>
      <c r="E1249" s="42">
        <v>20000</v>
      </c>
      <c r="G1249" s="42">
        <f t="shared" si="23"/>
        <v>-20000</v>
      </c>
      <c r="H1249" s="49" t="s">
        <v>1088</v>
      </c>
    </row>
    <row r="1250" spans="1:8" x14ac:dyDescent="0.2">
      <c r="A1250" s="595">
        <v>42555</v>
      </c>
      <c r="B1250" s="41" t="s">
        <v>37</v>
      </c>
      <c r="C1250" s="41" t="s">
        <v>1102</v>
      </c>
      <c r="D1250" s="108" t="s">
        <v>370</v>
      </c>
      <c r="E1250" s="42">
        <v>34000</v>
      </c>
      <c r="G1250" s="42">
        <f t="shared" si="23"/>
        <v>-34000</v>
      </c>
      <c r="H1250" s="49" t="s">
        <v>1088</v>
      </c>
    </row>
    <row r="1251" spans="1:8" x14ac:dyDescent="0.2">
      <c r="A1251" s="595">
        <v>42555</v>
      </c>
      <c r="B1251" s="41" t="s">
        <v>16</v>
      </c>
      <c r="C1251" s="41" t="s">
        <v>1102</v>
      </c>
      <c r="D1251" s="108" t="s">
        <v>370</v>
      </c>
      <c r="E1251" s="42">
        <v>38000</v>
      </c>
      <c r="G1251" s="42">
        <f t="shared" si="23"/>
        <v>-38000</v>
      </c>
      <c r="H1251" s="49" t="s">
        <v>1088</v>
      </c>
    </row>
    <row r="1252" spans="1:8" ht="12.75" customHeight="1" x14ac:dyDescent="0.2">
      <c r="A1252" s="595">
        <v>42555</v>
      </c>
      <c r="B1252" s="41" t="s">
        <v>16</v>
      </c>
      <c r="C1252" s="41" t="s">
        <v>1230</v>
      </c>
      <c r="D1252" s="108" t="s">
        <v>1103</v>
      </c>
      <c r="E1252" s="42">
        <v>9000</v>
      </c>
      <c r="G1252" s="42">
        <f t="shared" si="23"/>
        <v>-9000</v>
      </c>
      <c r="H1252" s="49" t="s">
        <v>1088</v>
      </c>
    </row>
    <row r="1253" spans="1:8" ht="12.75" customHeight="1" x14ac:dyDescent="0.2">
      <c r="A1253" s="595">
        <v>42555</v>
      </c>
      <c r="B1253" s="41" t="s">
        <v>16</v>
      </c>
      <c r="C1253" s="41" t="s">
        <v>551</v>
      </c>
      <c r="D1253" s="108" t="s">
        <v>775</v>
      </c>
      <c r="E1253" s="42">
        <v>16150</v>
      </c>
      <c r="G1253" s="42">
        <f t="shared" si="23"/>
        <v>-16150</v>
      </c>
      <c r="H1253" s="49" t="s">
        <v>1088</v>
      </c>
    </row>
    <row r="1254" spans="1:8" ht="12.75" customHeight="1" x14ac:dyDescent="0.2">
      <c r="A1254" s="595">
        <v>42556</v>
      </c>
      <c r="B1254" s="41" t="s">
        <v>16</v>
      </c>
      <c r="C1254" s="41" t="s">
        <v>221</v>
      </c>
      <c r="D1254" s="108" t="s">
        <v>1104</v>
      </c>
      <c r="E1254" s="42">
        <v>1000</v>
      </c>
      <c r="G1254" s="42">
        <f t="shared" si="23"/>
        <v>-1000</v>
      </c>
      <c r="H1254" s="49" t="s">
        <v>1088</v>
      </c>
    </row>
    <row r="1255" spans="1:8" ht="12.75" customHeight="1" x14ac:dyDescent="0.2">
      <c r="A1255" s="595">
        <v>42556</v>
      </c>
      <c r="B1255" s="41" t="s">
        <v>40</v>
      </c>
      <c r="C1255" s="41" t="s">
        <v>1230</v>
      </c>
      <c r="D1255" s="108" t="s">
        <v>1105</v>
      </c>
      <c r="E1255" s="42">
        <v>25117</v>
      </c>
      <c r="G1255" s="42">
        <f t="shared" si="23"/>
        <v>-25117</v>
      </c>
      <c r="H1255" s="49" t="s">
        <v>1088</v>
      </c>
    </row>
    <row r="1256" spans="1:8" ht="12.75" customHeight="1" x14ac:dyDescent="0.2">
      <c r="A1256" s="595">
        <v>42556</v>
      </c>
      <c r="B1256" s="41" t="s">
        <v>40</v>
      </c>
      <c r="C1256" s="41" t="s">
        <v>1230</v>
      </c>
      <c r="D1256" s="108" t="s">
        <v>208</v>
      </c>
      <c r="E1256" s="42">
        <v>10981</v>
      </c>
      <c r="G1256" s="42">
        <f t="shared" si="23"/>
        <v>-10981</v>
      </c>
      <c r="H1256" s="49" t="s">
        <v>1088</v>
      </c>
    </row>
    <row r="1257" spans="1:8" ht="12.75" customHeight="1" x14ac:dyDescent="0.2">
      <c r="A1257" s="595">
        <v>42556</v>
      </c>
      <c r="B1257" s="41" t="s">
        <v>40</v>
      </c>
      <c r="C1257" s="41" t="s">
        <v>1230</v>
      </c>
      <c r="D1257" s="108" t="s">
        <v>1079</v>
      </c>
      <c r="E1257" s="42">
        <v>9583</v>
      </c>
      <c r="G1257" s="42">
        <f t="shared" si="23"/>
        <v>-9583</v>
      </c>
      <c r="H1257" s="49" t="s">
        <v>1088</v>
      </c>
    </row>
    <row r="1258" spans="1:8" ht="12.75" customHeight="1" x14ac:dyDescent="0.2">
      <c r="A1258" s="595">
        <v>42556</v>
      </c>
      <c r="B1258" s="41" t="s">
        <v>40</v>
      </c>
      <c r="C1258" s="41" t="s">
        <v>1230</v>
      </c>
      <c r="D1258" s="108" t="s">
        <v>202</v>
      </c>
      <c r="E1258" s="42">
        <v>12750</v>
      </c>
      <c r="G1258" s="42">
        <f t="shared" si="23"/>
        <v>-12750</v>
      </c>
      <c r="H1258" s="49" t="s">
        <v>1088</v>
      </c>
    </row>
    <row r="1259" spans="1:8" ht="12.75" customHeight="1" x14ac:dyDescent="0.2">
      <c r="A1259" s="595">
        <v>42556</v>
      </c>
      <c r="B1259" s="41" t="s">
        <v>37</v>
      </c>
      <c r="C1259" s="41" t="s">
        <v>1230</v>
      </c>
      <c r="D1259" s="108" t="s">
        <v>1067</v>
      </c>
      <c r="E1259" s="42">
        <v>18302</v>
      </c>
      <c r="G1259" s="42">
        <f t="shared" si="23"/>
        <v>-18302</v>
      </c>
      <c r="H1259" s="49" t="s">
        <v>1088</v>
      </c>
    </row>
    <row r="1260" spans="1:8" x14ac:dyDescent="0.2">
      <c r="A1260" s="595">
        <v>42556</v>
      </c>
      <c r="B1260" s="41" t="s">
        <v>40</v>
      </c>
      <c r="C1260" s="41" t="s">
        <v>1230</v>
      </c>
      <c r="D1260" s="108" t="s">
        <v>210</v>
      </c>
      <c r="E1260" s="42">
        <v>6333</v>
      </c>
      <c r="G1260" s="42">
        <f t="shared" si="23"/>
        <v>-6333</v>
      </c>
      <c r="H1260" s="49" t="s">
        <v>1088</v>
      </c>
    </row>
    <row r="1261" spans="1:8" x14ac:dyDescent="0.2">
      <c r="A1261" s="595">
        <v>42556</v>
      </c>
      <c r="B1261" s="41" t="s">
        <v>40</v>
      </c>
      <c r="C1261" s="41" t="s">
        <v>1230</v>
      </c>
      <c r="D1261" s="108" t="s">
        <v>1081</v>
      </c>
      <c r="E1261" s="42">
        <v>15412</v>
      </c>
      <c r="G1261" s="42">
        <f t="shared" si="23"/>
        <v>-15412</v>
      </c>
      <c r="H1261" s="49" t="s">
        <v>1088</v>
      </c>
    </row>
    <row r="1262" spans="1:8" x14ac:dyDescent="0.2">
      <c r="A1262" s="595">
        <v>42556</v>
      </c>
      <c r="B1262" s="41" t="s">
        <v>16</v>
      </c>
      <c r="C1262" s="41" t="s">
        <v>1230</v>
      </c>
      <c r="D1262" s="108" t="s">
        <v>629</v>
      </c>
      <c r="E1262" s="42">
        <v>15000</v>
      </c>
      <c r="G1262" s="42">
        <f t="shared" si="23"/>
        <v>-15000</v>
      </c>
      <c r="H1262" s="49" t="s">
        <v>1088</v>
      </c>
    </row>
    <row r="1263" spans="1:8" x14ac:dyDescent="0.2">
      <c r="A1263" s="595">
        <v>42556</v>
      </c>
      <c r="B1263" s="41" t="s">
        <v>16</v>
      </c>
      <c r="C1263" s="41" t="s">
        <v>1230</v>
      </c>
      <c r="D1263" s="108" t="s">
        <v>1075</v>
      </c>
      <c r="E1263" s="42">
        <v>22367</v>
      </c>
      <c r="G1263" s="42">
        <f t="shared" si="23"/>
        <v>-22367</v>
      </c>
      <c r="H1263" s="49" t="s">
        <v>1088</v>
      </c>
    </row>
    <row r="1264" spans="1:8" x14ac:dyDescent="0.2">
      <c r="A1264" s="595">
        <v>42556</v>
      </c>
      <c r="B1264" s="41" t="s">
        <v>154</v>
      </c>
      <c r="C1264" s="41" t="s">
        <v>1230</v>
      </c>
      <c r="D1264" s="108" t="s">
        <v>1106</v>
      </c>
      <c r="E1264" s="42">
        <v>15000</v>
      </c>
      <c r="G1264" s="42">
        <f t="shared" si="23"/>
        <v>-15000</v>
      </c>
      <c r="H1264" s="49" t="s">
        <v>1088</v>
      </c>
    </row>
    <row r="1265" spans="1:8" x14ac:dyDescent="0.2">
      <c r="A1265" s="595">
        <v>42556</v>
      </c>
      <c r="B1265" s="41" t="s">
        <v>16</v>
      </c>
      <c r="C1265" s="41" t="s">
        <v>1230</v>
      </c>
      <c r="D1265" s="108" t="s">
        <v>1107</v>
      </c>
      <c r="E1265" s="42">
        <v>17400</v>
      </c>
      <c r="G1265" s="42">
        <f t="shared" si="23"/>
        <v>-17400</v>
      </c>
      <c r="H1265" s="49" t="s">
        <v>1088</v>
      </c>
    </row>
    <row r="1266" spans="1:8" x14ac:dyDescent="0.2">
      <c r="A1266" s="595">
        <v>42556</v>
      </c>
      <c r="B1266" s="41" t="s">
        <v>16</v>
      </c>
      <c r="C1266" s="41" t="s">
        <v>1230</v>
      </c>
      <c r="D1266" s="108" t="s">
        <v>1108</v>
      </c>
      <c r="E1266" s="42">
        <v>10000</v>
      </c>
      <c r="G1266" s="42">
        <f t="shared" si="23"/>
        <v>-10000</v>
      </c>
      <c r="H1266" s="49" t="s">
        <v>1088</v>
      </c>
    </row>
    <row r="1267" spans="1:8" x14ac:dyDescent="0.2">
      <c r="A1267" s="595">
        <v>42556</v>
      </c>
      <c r="B1267" s="41" t="s">
        <v>16</v>
      </c>
      <c r="C1267" s="41" t="s">
        <v>1230</v>
      </c>
      <c r="D1267" s="108" t="s">
        <v>1109</v>
      </c>
      <c r="E1267" s="42">
        <v>20000</v>
      </c>
      <c r="G1267" s="42">
        <f t="shared" si="23"/>
        <v>-20000</v>
      </c>
      <c r="H1267" s="49" t="s">
        <v>1088</v>
      </c>
    </row>
    <row r="1268" spans="1:8" x14ac:dyDescent="0.2">
      <c r="A1268" s="595">
        <v>42556</v>
      </c>
      <c r="B1268" s="41" t="s">
        <v>37</v>
      </c>
      <c r="C1268" s="41" t="s">
        <v>1230</v>
      </c>
      <c r="D1268" s="108" t="s">
        <v>1068</v>
      </c>
      <c r="E1268" s="42">
        <v>15000</v>
      </c>
      <c r="G1268" s="42">
        <f t="shared" si="23"/>
        <v>-15000</v>
      </c>
      <c r="H1268" s="49" t="s">
        <v>1088</v>
      </c>
    </row>
    <row r="1269" spans="1:8" x14ac:dyDescent="0.2">
      <c r="A1269" s="595">
        <v>42556</v>
      </c>
      <c r="B1269" s="41" t="s">
        <v>37</v>
      </c>
      <c r="C1269" s="41" t="s">
        <v>1230</v>
      </c>
      <c r="D1269" s="108" t="s">
        <v>1110</v>
      </c>
      <c r="E1269" s="42">
        <v>7575</v>
      </c>
      <c r="G1269" s="42">
        <f t="shared" si="23"/>
        <v>-7575</v>
      </c>
      <c r="H1269" s="49" t="s">
        <v>1088</v>
      </c>
    </row>
    <row r="1270" spans="1:8" x14ac:dyDescent="0.2">
      <c r="A1270" s="595">
        <v>42556</v>
      </c>
      <c r="B1270" s="41" t="s">
        <v>37</v>
      </c>
      <c r="C1270" s="41" t="s">
        <v>1230</v>
      </c>
      <c r="D1270" s="108" t="s">
        <v>1111</v>
      </c>
      <c r="E1270" s="42">
        <v>12000</v>
      </c>
      <c r="G1270" s="42">
        <f t="shared" si="23"/>
        <v>-12000</v>
      </c>
      <c r="H1270" s="49" t="s">
        <v>1088</v>
      </c>
    </row>
    <row r="1271" spans="1:8" x14ac:dyDescent="0.2">
      <c r="A1271" s="595">
        <v>42556</v>
      </c>
      <c r="B1271" s="41" t="s">
        <v>37</v>
      </c>
      <c r="C1271" s="41" t="s">
        <v>1230</v>
      </c>
      <c r="D1271" s="108" t="s">
        <v>1112</v>
      </c>
      <c r="E1271" s="42">
        <v>10167</v>
      </c>
      <c r="G1271" s="42">
        <f t="shared" si="23"/>
        <v>-10167</v>
      </c>
      <c r="H1271" s="49" t="s">
        <v>1088</v>
      </c>
    </row>
    <row r="1272" spans="1:8" x14ac:dyDescent="0.2">
      <c r="A1272" s="595">
        <v>42556</v>
      </c>
      <c r="B1272" s="41" t="s">
        <v>37</v>
      </c>
      <c r="C1272" s="41" t="s">
        <v>1230</v>
      </c>
      <c r="D1272" s="108" t="s">
        <v>1069</v>
      </c>
      <c r="E1272" s="42">
        <v>9750</v>
      </c>
      <c r="G1272" s="42">
        <f t="shared" si="23"/>
        <v>-9750</v>
      </c>
      <c r="H1272" s="49" t="s">
        <v>1088</v>
      </c>
    </row>
    <row r="1273" spans="1:8" x14ac:dyDescent="0.2">
      <c r="A1273" s="595">
        <v>42556</v>
      </c>
      <c r="B1273" s="41" t="s">
        <v>154</v>
      </c>
      <c r="C1273" s="41" t="s">
        <v>1230</v>
      </c>
      <c r="D1273" s="108" t="s">
        <v>1113</v>
      </c>
      <c r="E1273" s="42">
        <v>9825</v>
      </c>
      <c r="G1273" s="42">
        <f t="shared" si="23"/>
        <v>-9825</v>
      </c>
      <c r="H1273" s="49" t="s">
        <v>1088</v>
      </c>
    </row>
    <row r="1274" spans="1:8" x14ac:dyDescent="0.2">
      <c r="A1274" s="595">
        <v>42556</v>
      </c>
      <c r="B1274" s="41" t="s">
        <v>154</v>
      </c>
      <c r="C1274" s="41" t="s">
        <v>1230</v>
      </c>
      <c r="D1274" s="108" t="s">
        <v>1076</v>
      </c>
      <c r="E1274" s="42">
        <v>26163</v>
      </c>
      <c r="G1274" s="42">
        <f t="shared" si="23"/>
        <v>-26163</v>
      </c>
      <c r="H1274" s="49" t="s">
        <v>1088</v>
      </c>
    </row>
    <row r="1275" spans="1:8" x14ac:dyDescent="0.2">
      <c r="A1275" s="595">
        <v>42556</v>
      </c>
      <c r="B1275" s="41" t="s">
        <v>40</v>
      </c>
      <c r="C1275" s="41" t="s">
        <v>1230</v>
      </c>
      <c r="D1275" s="108" t="s">
        <v>1114</v>
      </c>
      <c r="E1275" s="42">
        <v>17250</v>
      </c>
      <c r="G1275" s="42">
        <f t="shared" si="23"/>
        <v>-17250</v>
      </c>
      <c r="H1275" s="49" t="s">
        <v>1088</v>
      </c>
    </row>
    <row r="1276" spans="1:8" x14ac:dyDescent="0.2">
      <c r="A1276" s="595">
        <v>42556</v>
      </c>
      <c r="B1276" s="41" t="s">
        <v>25</v>
      </c>
      <c r="C1276" s="41" t="s">
        <v>1230</v>
      </c>
      <c r="D1276" s="108" t="s">
        <v>1072</v>
      </c>
      <c r="E1276" s="42">
        <v>5000</v>
      </c>
      <c r="G1276" s="42">
        <f t="shared" si="23"/>
        <v>-5000</v>
      </c>
      <c r="H1276" s="49" t="s">
        <v>1088</v>
      </c>
    </row>
    <row r="1277" spans="1:8" x14ac:dyDescent="0.2">
      <c r="A1277" s="595">
        <v>42556</v>
      </c>
      <c r="B1277" s="41" t="s">
        <v>25</v>
      </c>
      <c r="C1277" s="41" t="s">
        <v>1230</v>
      </c>
      <c r="D1277" s="108" t="s">
        <v>1115</v>
      </c>
      <c r="E1277" s="42">
        <v>4000</v>
      </c>
      <c r="G1277" s="42">
        <f t="shared" si="23"/>
        <v>-4000</v>
      </c>
      <c r="H1277" s="49" t="s">
        <v>1088</v>
      </c>
    </row>
    <row r="1278" spans="1:8" x14ac:dyDescent="0.2">
      <c r="A1278" s="595">
        <v>42556</v>
      </c>
      <c r="B1278" s="41" t="s">
        <v>40</v>
      </c>
      <c r="C1278" s="41" t="s">
        <v>1230</v>
      </c>
      <c r="D1278" s="108" t="s">
        <v>274</v>
      </c>
      <c r="E1278" s="42">
        <v>18000</v>
      </c>
      <c r="G1278" s="42">
        <f t="shared" si="23"/>
        <v>-18000</v>
      </c>
      <c r="H1278" s="49" t="s">
        <v>1088</v>
      </c>
    </row>
    <row r="1279" spans="1:8" x14ac:dyDescent="0.2">
      <c r="A1279" s="595">
        <v>42556</v>
      </c>
      <c r="B1279" s="41" t="s">
        <v>16</v>
      </c>
      <c r="C1279" s="41" t="s">
        <v>1230</v>
      </c>
      <c r="D1279" s="108" t="s">
        <v>1116</v>
      </c>
      <c r="E1279" s="42">
        <v>3000</v>
      </c>
      <c r="G1279" s="42">
        <f t="shared" si="23"/>
        <v>-3000</v>
      </c>
      <c r="H1279" s="49" t="s">
        <v>1088</v>
      </c>
    </row>
    <row r="1280" spans="1:8" x14ac:dyDescent="0.2">
      <c r="A1280" s="595">
        <v>42556</v>
      </c>
      <c r="B1280" s="41" t="s">
        <v>40</v>
      </c>
      <c r="C1280" s="41" t="s">
        <v>1230</v>
      </c>
      <c r="D1280" s="108" t="s">
        <v>1066</v>
      </c>
      <c r="E1280" s="42">
        <v>35000</v>
      </c>
      <c r="G1280" s="42">
        <f t="shared" si="23"/>
        <v>-35000</v>
      </c>
      <c r="H1280" s="49" t="s">
        <v>1088</v>
      </c>
    </row>
    <row r="1281" spans="1:8" x14ac:dyDescent="0.2">
      <c r="A1281" s="595">
        <v>42562</v>
      </c>
      <c r="B1281" s="41" t="s">
        <v>11</v>
      </c>
      <c r="C1281" s="41" t="s">
        <v>1230</v>
      </c>
      <c r="D1281" s="108" t="s">
        <v>1117</v>
      </c>
      <c r="E1281" s="42">
        <v>5000</v>
      </c>
      <c r="G1281" s="42">
        <f t="shared" si="23"/>
        <v>-5000</v>
      </c>
      <c r="H1281" s="49" t="s">
        <v>1088</v>
      </c>
    </row>
    <row r="1282" spans="1:8" x14ac:dyDescent="0.2">
      <c r="A1282" s="595">
        <v>42562</v>
      </c>
      <c r="B1282" s="41" t="s">
        <v>40</v>
      </c>
      <c r="C1282" s="41" t="s">
        <v>80</v>
      </c>
      <c r="D1282" s="108" t="s">
        <v>1118</v>
      </c>
      <c r="E1282" s="42">
        <v>9630</v>
      </c>
      <c r="G1282" s="42">
        <f t="shared" si="23"/>
        <v>-9630</v>
      </c>
      <c r="H1282" s="49" t="s">
        <v>1088</v>
      </c>
    </row>
    <row r="1283" spans="1:8" x14ac:dyDescent="0.2">
      <c r="A1283" s="595">
        <v>42562</v>
      </c>
      <c r="B1283" s="41" t="s">
        <v>40</v>
      </c>
      <c r="C1283" s="41" t="s">
        <v>80</v>
      </c>
      <c r="D1283" s="108" t="s">
        <v>1119</v>
      </c>
      <c r="E1283" s="42">
        <v>700</v>
      </c>
      <c r="G1283" s="42">
        <f t="shared" si="23"/>
        <v>-700</v>
      </c>
      <c r="H1283" s="49" t="s">
        <v>1088</v>
      </c>
    </row>
    <row r="1284" spans="1:8" x14ac:dyDescent="0.2">
      <c r="A1284" s="595">
        <v>42562</v>
      </c>
      <c r="B1284" s="41" t="s">
        <v>154</v>
      </c>
      <c r="C1284" s="41" t="s">
        <v>220</v>
      </c>
      <c r="D1284" s="108" t="s">
        <v>1120</v>
      </c>
      <c r="E1284" s="42">
        <v>1310</v>
      </c>
      <c r="G1284" s="42">
        <f t="shared" si="23"/>
        <v>-1310</v>
      </c>
      <c r="H1284" s="49" t="s">
        <v>1088</v>
      </c>
    </row>
    <row r="1285" spans="1:8" x14ac:dyDescent="0.2">
      <c r="A1285" s="595">
        <v>42562</v>
      </c>
      <c r="B1285" s="41" t="s">
        <v>154</v>
      </c>
      <c r="C1285" s="41" t="s">
        <v>220</v>
      </c>
      <c r="D1285" s="108" t="s">
        <v>775</v>
      </c>
      <c r="E1285" s="42">
        <v>500</v>
      </c>
      <c r="G1285" s="42">
        <f t="shared" si="23"/>
        <v>-500</v>
      </c>
      <c r="H1285" s="49" t="s">
        <v>1088</v>
      </c>
    </row>
    <row r="1286" spans="1:8" x14ac:dyDescent="0.2">
      <c r="A1286" s="595">
        <v>42562</v>
      </c>
      <c r="B1286" s="41" t="s">
        <v>25</v>
      </c>
      <c r="C1286" s="41" t="s">
        <v>1894</v>
      </c>
      <c r="D1286" s="108" t="s">
        <v>1122</v>
      </c>
      <c r="E1286" s="42">
        <v>18446</v>
      </c>
      <c r="G1286" s="42">
        <f t="shared" si="23"/>
        <v>-18446</v>
      </c>
      <c r="H1286" s="49" t="s">
        <v>1088</v>
      </c>
    </row>
    <row r="1287" spans="1:8" x14ac:dyDescent="0.2">
      <c r="A1287" s="595">
        <v>42562</v>
      </c>
      <c r="B1287" s="41" t="s">
        <v>40</v>
      </c>
      <c r="C1287" s="41" t="s">
        <v>1894</v>
      </c>
      <c r="D1287" s="108" t="s">
        <v>1122</v>
      </c>
      <c r="E1287" s="42">
        <v>2450</v>
      </c>
      <c r="G1287" s="42">
        <f t="shared" si="23"/>
        <v>-2450</v>
      </c>
      <c r="H1287" s="49" t="s">
        <v>1088</v>
      </c>
    </row>
    <row r="1288" spans="1:8" x14ac:dyDescent="0.2">
      <c r="A1288" s="595">
        <v>42562</v>
      </c>
      <c r="B1288" s="41" t="s">
        <v>16</v>
      </c>
      <c r="C1288" s="41" t="s">
        <v>103</v>
      </c>
      <c r="D1288" s="108" t="s">
        <v>1123</v>
      </c>
      <c r="E1288" s="42">
        <v>2000</v>
      </c>
      <c r="G1288" s="42">
        <f t="shared" si="23"/>
        <v>-2000</v>
      </c>
      <c r="H1288" s="49" t="s">
        <v>1088</v>
      </c>
    </row>
    <row r="1289" spans="1:8" x14ac:dyDescent="0.2">
      <c r="A1289" s="595">
        <v>42562</v>
      </c>
      <c r="B1289" s="41" t="s">
        <v>16</v>
      </c>
      <c r="C1289" s="41" t="s">
        <v>103</v>
      </c>
      <c r="D1289" s="108" t="s">
        <v>1124</v>
      </c>
      <c r="E1289" s="42">
        <v>500</v>
      </c>
      <c r="G1289" s="42">
        <f t="shared" ref="G1289:G1352" si="24">F1289-E1289</f>
        <v>-500</v>
      </c>
      <c r="H1289" s="49" t="s">
        <v>1088</v>
      </c>
    </row>
    <row r="1290" spans="1:8" x14ac:dyDescent="0.2">
      <c r="A1290" s="595">
        <v>42563</v>
      </c>
      <c r="B1290" s="41" t="s">
        <v>40</v>
      </c>
      <c r="C1290" s="41" t="s">
        <v>668</v>
      </c>
      <c r="D1290" s="108" t="s">
        <v>1125</v>
      </c>
      <c r="E1290" s="42">
        <v>13117</v>
      </c>
      <c r="G1290" s="42">
        <f t="shared" si="24"/>
        <v>-13117</v>
      </c>
      <c r="H1290" s="49" t="s">
        <v>1088</v>
      </c>
    </row>
    <row r="1291" spans="1:8" x14ac:dyDescent="0.2">
      <c r="A1291" s="595">
        <v>42563</v>
      </c>
      <c r="B1291" s="41" t="s">
        <v>154</v>
      </c>
      <c r="C1291" s="41" t="s">
        <v>1094</v>
      </c>
      <c r="D1291" s="108" t="s">
        <v>1126</v>
      </c>
      <c r="E1291" s="42">
        <v>800</v>
      </c>
      <c r="G1291" s="42">
        <f t="shared" si="24"/>
        <v>-800</v>
      </c>
      <c r="H1291" s="49" t="s">
        <v>1088</v>
      </c>
    </row>
    <row r="1292" spans="1:8" x14ac:dyDescent="0.2">
      <c r="A1292" s="595">
        <v>42563</v>
      </c>
      <c r="B1292" s="41" t="s">
        <v>40</v>
      </c>
      <c r="C1292" s="41" t="s">
        <v>209</v>
      </c>
      <c r="D1292" s="108" t="s">
        <v>1127</v>
      </c>
      <c r="E1292" s="42">
        <v>1000</v>
      </c>
      <c r="G1292" s="42">
        <f t="shared" si="24"/>
        <v>-1000</v>
      </c>
      <c r="H1292" s="49" t="s">
        <v>1088</v>
      </c>
    </row>
    <row r="1293" spans="1:8" x14ac:dyDescent="0.2">
      <c r="A1293" s="595">
        <v>42563</v>
      </c>
      <c r="B1293" s="41" t="s">
        <v>40</v>
      </c>
      <c r="C1293" s="41" t="s">
        <v>1897</v>
      </c>
      <c r="D1293" s="108" t="s">
        <v>1128</v>
      </c>
      <c r="E1293" s="42">
        <v>100</v>
      </c>
      <c r="G1293" s="42">
        <f t="shared" si="24"/>
        <v>-100</v>
      </c>
      <c r="H1293" s="49" t="s">
        <v>1088</v>
      </c>
    </row>
    <row r="1294" spans="1:8" x14ac:dyDescent="0.2">
      <c r="A1294" s="595">
        <v>42563</v>
      </c>
      <c r="B1294" s="41" t="s">
        <v>40</v>
      </c>
      <c r="C1294" s="41" t="s">
        <v>64</v>
      </c>
      <c r="D1294" s="108" t="s">
        <v>775</v>
      </c>
      <c r="E1294" s="42">
        <v>500</v>
      </c>
      <c r="G1294" s="42">
        <f t="shared" si="24"/>
        <v>-500</v>
      </c>
      <c r="H1294" s="49" t="s">
        <v>1088</v>
      </c>
    </row>
    <row r="1295" spans="1:8" x14ac:dyDescent="0.2">
      <c r="A1295" s="595">
        <v>42563</v>
      </c>
      <c r="B1295" s="41" t="s">
        <v>40</v>
      </c>
      <c r="C1295" s="41" t="s">
        <v>1167</v>
      </c>
      <c r="D1295" s="108" t="s">
        <v>1193</v>
      </c>
      <c r="E1295" s="42">
        <v>500</v>
      </c>
      <c r="G1295" s="42">
        <f t="shared" si="24"/>
        <v>-500</v>
      </c>
      <c r="H1295" s="49" t="s">
        <v>1088</v>
      </c>
    </row>
    <row r="1296" spans="1:8" x14ac:dyDescent="0.2">
      <c r="A1296" s="595">
        <v>42563</v>
      </c>
      <c r="B1296" s="41" t="s">
        <v>40</v>
      </c>
      <c r="C1296" s="41" t="s">
        <v>1167</v>
      </c>
      <c r="D1296" s="108" t="s">
        <v>1194</v>
      </c>
      <c r="E1296" s="42">
        <v>5000</v>
      </c>
      <c r="G1296" s="42">
        <f t="shared" si="24"/>
        <v>-5000</v>
      </c>
      <c r="H1296" s="49" t="s">
        <v>1088</v>
      </c>
    </row>
    <row r="1297" spans="1:8" x14ac:dyDescent="0.2">
      <c r="A1297" s="595">
        <v>42563</v>
      </c>
      <c r="B1297" s="41" t="s">
        <v>16</v>
      </c>
      <c r="C1297" s="41" t="s">
        <v>1167</v>
      </c>
      <c r="D1297" s="108" t="s">
        <v>1195</v>
      </c>
      <c r="E1297" s="42">
        <v>3000</v>
      </c>
      <c r="G1297" s="42">
        <f t="shared" si="24"/>
        <v>-3000</v>
      </c>
      <c r="H1297" s="49" t="s">
        <v>1088</v>
      </c>
    </row>
    <row r="1298" spans="1:8" x14ac:dyDescent="0.2">
      <c r="A1298" s="595">
        <v>42564</v>
      </c>
      <c r="B1298" s="41" t="s">
        <v>16</v>
      </c>
      <c r="C1298" s="41" t="s">
        <v>103</v>
      </c>
      <c r="D1298" s="108" t="s">
        <v>1130</v>
      </c>
      <c r="E1298" s="42">
        <v>400</v>
      </c>
      <c r="G1298" s="42">
        <f t="shared" si="24"/>
        <v>-400</v>
      </c>
      <c r="H1298" s="49" t="s">
        <v>1088</v>
      </c>
    </row>
    <row r="1299" spans="1:8" x14ac:dyDescent="0.2">
      <c r="A1299" s="595">
        <v>42565</v>
      </c>
      <c r="B1299" s="41" t="s">
        <v>40</v>
      </c>
      <c r="C1299" s="41" t="s">
        <v>1897</v>
      </c>
      <c r="D1299" s="108" t="s">
        <v>900</v>
      </c>
      <c r="E1299" s="42">
        <v>925</v>
      </c>
      <c r="G1299" s="42">
        <f t="shared" si="24"/>
        <v>-925</v>
      </c>
      <c r="H1299" s="49" t="s">
        <v>1088</v>
      </c>
    </row>
    <row r="1300" spans="1:8" x14ac:dyDescent="0.2">
      <c r="A1300" s="595">
        <v>42565</v>
      </c>
      <c r="B1300" s="41" t="s">
        <v>22</v>
      </c>
      <c r="C1300" s="41" t="s">
        <v>309</v>
      </c>
      <c r="D1300" s="108" t="s">
        <v>1131</v>
      </c>
      <c r="E1300" s="42">
        <v>2000</v>
      </c>
      <c r="G1300" s="42">
        <f t="shared" si="24"/>
        <v>-2000</v>
      </c>
      <c r="H1300" s="49" t="s">
        <v>1088</v>
      </c>
    </row>
    <row r="1301" spans="1:8" x14ac:dyDescent="0.2">
      <c r="A1301" s="595">
        <v>42565</v>
      </c>
      <c r="B1301" s="41" t="s">
        <v>25</v>
      </c>
      <c r="C1301" s="41" t="s">
        <v>309</v>
      </c>
      <c r="D1301" s="108" t="s">
        <v>1131</v>
      </c>
      <c r="E1301" s="42">
        <v>3820</v>
      </c>
      <c r="G1301" s="42">
        <f t="shared" si="24"/>
        <v>-3820</v>
      </c>
      <c r="H1301" s="49" t="s">
        <v>1088</v>
      </c>
    </row>
    <row r="1302" spans="1:8" x14ac:dyDescent="0.2">
      <c r="A1302" s="595">
        <v>42565</v>
      </c>
      <c r="B1302" s="41" t="s">
        <v>154</v>
      </c>
      <c r="C1302" s="41" t="s">
        <v>220</v>
      </c>
      <c r="D1302" s="108" t="s">
        <v>1132</v>
      </c>
      <c r="E1302" s="42">
        <v>3116</v>
      </c>
      <c r="G1302" s="42">
        <f t="shared" si="24"/>
        <v>-3116</v>
      </c>
      <c r="H1302" s="49" t="s">
        <v>1088</v>
      </c>
    </row>
    <row r="1303" spans="1:8" x14ac:dyDescent="0.2">
      <c r="A1303" s="595">
        <v>42566</v>
      </c>
      <c r="B1303" s="41" t="s">
        <v>40</v>
      </c>
      <c r="C1303" s="41" t="s">
        <v>64</v>
      </c>
      <c r="D1303" s="108" t="s">
        <v>1133</v>
      </c>
      <c r="E1303" s="42">
        <v>1800</v>
      </c>
      <c r="G1303" s="42">
        <f t="shared" si="24"/>
        <v>-1800</v>
      </c>
      <c r="H1303" s="49" t="s">
        <v>1088</v>
      </c>
    </row>
    <row r="1304" spans="1:8" x14ac:dyDescent="0.2">
      <c r="A1304" s="595">
        <v>42566</v>
      </c>
      <c r="B1304" s="41" t="s">
        <v>40</v>
      </c>
      <c r="C1304" s="41" t="s">
        <v>220</v>
      </c>
      <c r="D1304" s="108" t="s">
        <v>1134</v>
      </c>
      <c r="E1304" s="42">
        <v>1100</v>
      </c>
      <c r="G1304" s="42">
        <f t="shared" si="24"/>
        <v>-1100</v>
      </c>
      <c r="H1304" s="49" t="s">
        <v>1088</v>
      </c>
    </row>
    <row r="1305" spans="1:8" x14ac:dyDescent="0.2">
      <c r="A1305" s="595">
        <v>42566</v>
      </c>
      <c r="B1305" s="41" t="s">
        <v>25</v>
      </c>
      <c r="C1305" s="41" t="s">
        <v>64</v>
      </c>
      <c r="D1305" s="108" t="s">
        <v>1135</v>
      </c>
      <c r="E1305" s="42">
        <v>93302</v>
      </c>
      <c r="G1305" s="42">
        <f t="shared" si="24"/>
        <v>-93302</v>
      </c>
      <c r="H1305" s="49" t="s">
        <v>1088</v>
      </c>
    </row>
    <row r="1306" spans="1:8" x14ac:dyDescent="0.2">
      <c r="A1306" s="595">
        <v>42566</v>
      </c>
      <c r="B1306" s="41" t="s">
        <v>16</v>
      </c>
      <c r="C1306" s="41" t="s">
        <v>220</v>
      </c>
      <c r="D1306" s="108" t="s">
        <v>1136</v>
      </c>
      <c r="E1306" s="42">
        <v>2780</v>
      </c>
      <c r="G1306" s="42">
        <f t="shared" si="24"/>
        <v>-2780</v>
      </c>
      <c r="H1306" s="49" t="s">
        <v>1088</v>
      </c>
    </row>
    <row r="1307" spans="1:8" x14ac:dyDescent="0.2">
      <c r="A1307" s="595">
        <v>42566</v>
      </c>
      <c r="B1307" s="41" t="s">
        <v>40</v>
      </c>
      <c r="C1307" s="41" t="s">
        <v>488</v>
      </c>
      <c r="D1307" s="108" t="s">
        <v>1137</v>
      </c>
      <c r="E1307" s="42">
        <v>890</v>
      </c>
      <c r="G1307" s="42">
        <f t="shared" si="24"/>
        <v>-890</v>
      </c>
      <c r="H1307" s="49" t="s">
        <v>1088</v>
      </c>
    </row>
    <row r="1308" spans="1:8" x14ac:dyDescent="0.2">
      <c r="A1308" s="595">
        <v>42566</v>
      </c>
      <c r="B1308" s="41" t="s">
        <v>40</v>
      </c>
      <c r="C1308" s="41" t="s">
        <v>14</v>
      </c>
      <c r="D1308" s="108" t="s">
        <v>1138</v>
      </c>
      <c r="E1308" s="42">
        <v>7100</v>
      </c>
      <c r="G1308" s="42">
        <f t="shared" si="24"/>
        <v>-7100</v>
      </c>
      <c r="H1308" s="49" t="s">
        <v>1088</v>
      </c>
    </row>
    <row r="1309" spans="1:8" x14ac:dyDescent="0.2">
      <c r="A1309" s="595">
        <v>42566</v>
      </c>
      <c r="B1309" s="41" t="s">
        <v>154</v>
      </c>
      <c r="C1309" s="41" t="s">
        <v>325</v>
      </c>
      <c r="D1309" s="108" t="s">
        <v>970</v>
      </c>
      <c r="E1309" s="42">
        <v>670</v>
      </c>
      <c r="G1309" s="42">
        <f t="shared" si="24"/>
        <v>-670</v>
      </c>
      <c r="H1309" s="49" t="s">
        <v>1088</v>
      </c>
    </row>
    <row r="1310" spans="1:8" x14ac:dyDescent="0.2">
      <c r="A1310" s="595">
        <v>42566</v>
      </c>
      <c r="B1310" s="41" t="s">
        <v>40</v>
      </c>
      <c r="C1310" s="41" t="s">
        <v>929</v>
      </c>
      <c r="D1310" s="108" t="s">
        <v>1139</v>
      </c>
      <c r="E1310" s="42">
        <v>200</v>
      </c>
      <c r="G1310" s="42">
        <f t="shared" si="24"/>
        <v>-200</v>
      </c>
      <c r="H1310" s="49" t="s">
        <v>1088</v>
      </c>
    </row>
    <row r="1311" spans="1:8" x14ac:dyDescent="0.2">
      <c r="A1311" s="595">
        <v>42566</v>
      </c>
      <c r="B1311" s="41" t="s">
        <v>25</v>
      </c>
      <c r="C1311" s="41" t="s">
        <v>1894</v>
      </c>
      <c r="D1311" s="108" t="s">
        <v>1140</v>
      </c>
      <c r="E1311" s="42">
        <v>400</v>
      </c>
      <c r="G1311" s="42">
        <f t="shared" si="24"/>
        <v>-400</v>
      </c>
      <c r="H1311" s="49" t="s">
        <v>1088</v>
      </c>
    </row>
    <row r="1312" spans="1:8" x14ac:dyDescent="0.2">
      <c r="A1312" s="595">
        <v>42567</v>
      </c>
      <c r="B1312" s="41" t="s">
        <v>22</v>
      </c>
      <c r="C1312" s="41" t="s">
        <v>111</v>
      </c>
      <c r="D1312" s="108" t="s">
        <v>822</v>
      </c>
      <c r="E1312" s="42">
        <v>840</v>
      </c>
      <c r="G1312" s="42">
        <f t="shared" si="24"/>
        <v>-840</v>
      </c>
      <c r="H1312" s="49" t="s">
        <v>1088</v>
      </c>
    </row>
    <row r="1313" spans="1:8" x14ac:dyDescent="0.2">
      <c r="A1313" s="595">
        <v>42567</v>
      </c>
      <c r="B1313" s="41" t="s">
        <v>18</v>
      </c>
      <c r="C1313" s="41" t="s">
        <v>111</v>
      </c>
      <c r="D1313" s="108" t="s">
        <v>1141</v>
      </c>
      <c r="E1313" s="42">
        <v>7270</v>
      </c>
      <c r="G1313" s="42">
        <f t="shared" si="24"/>
        <v>-7270</v>
      </c>
      <c r="H1313" s="49" t="s">
        <v>1088</v>
      </c>
    </row>
    <row r="1314" spans="1:8" x14ac:dyDescent="0.2">
      <c r="A1314" s="595">
        <v>42567</v>
      </c>
      <c r="B1314" s="41" t="s">
        <v>40</v>
      </c>
      <c r="C1314" s="41" t="s">
        <v>372</v>
      </c>
      <c r="D1314" s="108" t="s">
        <v>1142</v>
      </c>
      <c r="E1314" s="42">
        <v>2000</v>
      </c>
      <c r="G1314" s="42">
        <f t="shared" si="24"/>
        <v>-2000</v>
      </c>
      <c r="H1314" s="49" t="s">
        <v>1088</v>
      </c>
    </row>
    <row r="1315" spans="1:8" x14ac:dyDescent="0.2">
      <c r="A1315" s="595">
        <v>42567</v>
      </c>
      <c r="B1315" s="41" t="s">
        <v>16</v>
      </c>
      <c r="C1315" s="41" t="s">
        <v>220</v>
      </c>
      <c r="D1315" s="108" t="s">
        <v>1143</v>
      </c>
      <c r="E1315" s="42">
        <v>1000</v>
      </c>
      <c r="G1315" s="42">
        <f t="shared" si="24"/>
        <v>-1000</v>
      </c>
      <c r="H1315" s="49" t="s">
        <v>1088</v>
      </c>
    </row>
    <row r="1316" spans="1:8" x14ac:dyDescent="0.2">
      <c r="A1316" s="595">
        <v>42567</v>
      </c>
      <c r="B1316" s="41" t="s">
        <v>37</v>
      </c>
      <c r="C1316" s="41" t="s">
        <v>1167</v>
      </c>
      <c r="D1316" s="108" t="s">
        <v>1144</v>
      </c>
      <c r="E1316" s="42">
        <v>2000</v>
      </c>
      <c r="G1316" s="42">
        <f t="shared" si="24"/>
        <v>-2000</v>
      </c>
      <c r="H1316" s="49" t="s">
        <v>1088</v>
      </c>
    </row>
    <row r="1317" spans="1:8" x14ac:dyDescent="0.2">
      <c r="A1317" s="595">
        <v>42569</v>
      </c>
      <c r="B1317" s="41" t="s">
        <v>40</v>
      </c>
      <c r="C1317" s="41" t="s">
        <v>986</v>
      </c>
      <c r="D1317" s="108" t="s">
        <v>286</v>
      </c>
      <c r="E1317" s="42">
        <v>1000</v>
      </c>
      <c r="G1317" s="42">
        <f t="shared" si="24"/>
        <v>-1000</v>
      </c>
      <c r="H1317" s="49" t="s">
        <v>1088</v>
      </c>
    </row>
    <row r="1318" spans="1:8" x14ac:dyDescent="0.2">
      <c r="A1318" s="595">
        <v>42569</v>
      </c>
      <c r="B1318" s="41" t="s">
        <v>18</v>
      </c>
      <c r="C1318" s="41" t="s">
        <v>780</v>
      </c>
      <c r="D1318" s="108" t="s">
        <v>1145</v>
      </c>
      <c r="E1318" s="42">
        <v>4000</v>
      </c>
      <c r="G1318" s="42">
        <f t="shared" si="24"/>
        <v>-4000</v>
      </c>
      <c r="H1318" s="49" t="s">
        <v>1088</v>
      </c>
    </row>
    <row r="1319" spans="1:8" x14ac:dyDescent="0.2">
      <c r="A1319" s="595">
        <v>42569</v>
      </c>
      <c r="B1319" s="41" t="s">
        <v>25</v>
      </c>
      <c r="C1319" s="41" t="s">
        <v>986</v>
      </c>
      <c r="D1319" s="108" t="s">
        <v>1146</v>
      </c>
      <c r="E1319" s="42">
        <v>4400</v>
      </c>
      <c r="G1319" s="42">
        <f t="shared" si="24"/>
        <v>-4400</v>
      </c>
      <c r="H1319" s="49" t="s">
        <v>1088</v>
      </c>
    </row>
    <row r="1320" spans="1:8" x14ac:dyDescent="0.2">
      <c r="A1320" s="595">
        <v>42569</v>
      </c>
      <c r="B1320" s="41" t="s">
        <v>40</v>
      </c>
      <c r="C1320" s="41" t="s">
        <v>1167</v>
      </c>
      <c r="D1320" s="108" t="s">
        <v>1147</v>
      </c>
      <c r="E1320" s="42">
        <v>10000</v>
      </c>
      <c r="G1320" s="42">
        <f t="shared" si="24"/>
        <v>-10000</v>
      </c>
      <c r="H1320" s="49" t="s">
        <v>1088</v>
      </c>
    </row>
    <row r="1321" spans="1:8" x14ac:dyDescent="0.2">
      <c r="A1321" s="595">
        <v>42569</v>
      </c>
      <c r="B1321" s="41" t="s">
        <v>40</v>
      </c>
      <c r="C1321" s="41" t="s">
        <v>14</v>
      </c>
      <c r="D1321" s="108" t="s">
        <v>392</v>
      </c>
      <c r="E1321" s="42">
        <v>570</v>
      </c>
      <c r="G1321" s="42">
        <f t="shared" si="24"/>
        <v>-570</v>
      </c>
      <c r="H1321" s="49" t="s">
        <v>1088</v>
      </c>
    </row>
    <row r="1322" spans="1:8" x14ac:dyDescent="0.2">
      <c r="A1322" s="595">
        <v>42570</v>
      </c>
      <c r="B1322" s="41" t="s">
        <v>40</v>
      </c>
      <c r="C1322" s="41" t="s">
        <v>220</v>
      </c>
      <c r="D1322" s="108" t="s">
        <v>396</v>
      </c>
      <c r="E1322" s="42">
        <v>645</v>
      </c>
      <c r="G1322" s="42">
        <f t="shared" si="24"/>
        <v>-645</v>
      </c>
      <c r="H1322" s="49" t="s">
        <v>1088</v>
      </c>
    </row>
    <row r="1323" spans="1:8" x14ac:dyDescent="0.2">
      <c r="A1323" s="595">
        <v>42570</v>
      </c>
      <c r="B1323" s="41" t="s">
        <v>40</v>
      </c>
      <c r="C1323" s="41" t="s">
        <v>1897</v>
      </c>
      <c r="D1323" s="108" t="s">
        <v>1148</v>
      </c>
      <c r="E1323" s="42">
        <v>150</v>
      </c>
      <c r="G1323" s="42">
        <f t="shared" si="24"/>
        <v>-150</v>
      </c>
      <c r="H1323" s="49" t="s">
        <v>1088</v>
      </c>
    </row>
    <row r="1324" spans="1:8" x14ac:dyDescent="0.2">
      <c r="A1324" s="595">
        <v>42571</v>
      </c>
      <c r="B1324" s="41" t="s">
        <v>40</v>
      </c>
      <c r="C1324" s="41" t="s">
        <v>103</v>
      </c>
      <c r="D1324" s="108" t="s">
        <v>1149</v>
      </c>
      <c r="E1324" s="42">
        <v>1825</v>
      </c>
      <c r="G1324" s="42">
        <f t="shared" si="24"/>
        <v>-1825</v>
      </c>
      <c r="H1324" s="49" t="s">
        <v>1088</v>
      </c>
    </row>
    <row r="1325" spans="1:8" x14ac:dyDescent="0.2">
      <c r="A1325" s="595">
        <v>42571</v>
      </c>
      <c r="B1325" s="41" t="s">
        <v>40</v>
      </c>
      <c r="C1325" s="41" t="s">
        <v>64</v>
      </c>
      <c r="D1325" s="108" t="s">
        <v>1150</v>
      </c>
      <c r="E1325" s="42">
        <v>220</v>
      </c>
      <c r="G1325" s="42">
        <f t="shared" si="24"/>
        <v>-220</v>
      </c>
      <c r="H1325" s="49" t="s">
        <v>1088</v>
      </c>
    </row>
    <row r="1326" spans="1:8" x14ac:dyDescent="0.2">
      <c r="A1326" s="595">
        <v>42571</v>
      </c>
      <c r="B1326" s="41" t="s">
        <v>25</v>
      </c>
      <c r="C1326" s="41" t="s">
        <v>64</v>
      </c>
      <c r="D1326" s="108" t="s">
        <v>1151</v>
      </c>
      <c r="E1326" s="42">
        <v>5000</v>
      </c>
      <c r="G1326" s="42">
        <f t="shared" si="24"/>
        <v>-5000</v>
      </c>
      <c r="H1326" s="49" t="s">
        <v>1088</v>
      </c>
    </row>
    <row r="1327" spans="1:8" x14ac:dyDescent="0.2">
      <c r="A1327" s="595">
        <v>42571</v>
      </c>
      <c r="B1327" s="41" t="s">
        <v>16</v>
      </c>
      <c r="C1327" s="41" t="s">
        <v>1167</v>
      </c>
      <c r="D1327" s="108" t="s">
        <v>1152</v>
      </c>
      <c r="E1327" s="42">
        <v>2000</v>
      </c>
      <c r="G1327" s="42">
        <f t="shared" si="24"/>
        <v>-2000</v>
      </c>
      <c r="H1327" s="49" t="s">
        <v>1088</v>
      </c>
    </row>
    <row r="1328" spans="1:8" x14ac:dyDescent="0.2">
      <c r="A1328" s="595">
        <v>42571</v>
      </c>
      <c r="B1328" s="41" t="s">
        <v>40</v>
      </c>
      <c r="C1328" s="41" t="s">
        <v>1196</v>
      </c>
      <c r="D1328" s="792" t="s">
        <v>1153</v>
      </c>
      <c r="E1328" s="42">
        <v>22800</v>
      </c>
      <c r="G1328" s="42">
        <f t="shared" si="24"/>
        <v>-22800</v>
      </c>
      <c r="H1328" s="49" t="s">
        <v>1088</v>
      </c>
    </row>
    <row r="1329" spans="1:8" x14ac:dyDescent="0.2">
      <c r="A1329" s="595">
        <v>42571</v>
      </c>
      <c r="B1329" s="41" t="s">
        <v>22</v>
      </c>
      <c r="C1329" s="41" t="s">
        <v>111</v>
      </c>
      <c r="D1329" s="108" t="s">
        <v>1154</v>
      </c>
      <c r="E1329" s="42">
        <v>5200</v>
      </c>
      <c r="G1329" s="42">
        <f t="shared" si="24"/>
        <v>-5200</v>
      </c>
      <c r="H1329" s="49" t="s">
        <v>1088</v>
      </c>
    </row>
    <row r="1330" spans="1:8" x14ac:dyDescent="0.2">
      <c r="A1330" s="595">
        <v>42571</v>
      </c>
      <c r="B1330" s="41" t="s">
        <v>16</v>
      </c>
      <c r="C1330" s="41" t="s">
        <v>220</v>
      </c>
      <c r="D1330" s="108" t="s">
        <v>1155</v>
      </c>
      <c r="E1330" s="42">
        <v>650</v>
      </c>
      <c r="G1330" s="42">
        <f t="shared" si="24"/>
        <v>-650</v>
      </c>
      <c r="H1330" s="49" t="s">
        <v>1088</v>
      </c>
    </row>
    <row r="1331" spans="1:8" x14ac:dyDescent="0.2">
      <c r="A1331" s="595">
        <v>42571</v>
      </c>
      <c r="B1331" s="41" t="s">
        <v>25</v>
      </c>
      <c r="C1331" s="41" t="s">
        <v>220</v>
      </c>
      <c r="D1331" s="108" t="s">
        <v>73</v>
      </c>
      <c r="E1331" s="42">
        <v>4200</v>
      </c>
      <c r="G1331" s="42">
        <f t="shared" si="24"/>
        <v>-4200</v>
      </c>
      <c r="H1331" s="49" t="s">
        <v>1088</v>
      </c>
    </row>
    <row r="1332" spans="1:8" x14ac:dyDescent="0.2">
      <c r="A1332" s="595">
        <v>42572</v>
      </c>
      <c r="B1332" s="41" t="s">
        <v>25</v>
      </c>
      <c r="C1332" s="41" t="s">
        <v>64</v>
      </c>
      <c r="D1332" s="108" t="s">
        <v>286</v>
      </c>
      <c r="E1332" s="42">
        <v>650</v>
      </c>
      <c r="G1332" s="42">
        <f t="shared" si="24"/>
        <v>-650</v>
      </c>
      <c r="H1332" s="49" t="s">
        <v>1088</v>
      </c>
    </row>
    <row r="1333" spans="1:8" x14ac:dyDescent="0.2">
      <c r="A1333" s="595">
        <v>42572</v>
      </c>
      <c r="B1333" s="41" t="s">
        <v>16</v>
      </c>
      <c r="C1333" s="41" t="s">
        <v>773</v>
      </c>
      <c r="D1333" s="108" t="s">
        <v>1156</v>
      </c>
      <c r="E1333" s="42">
        <v>2350</v>
      </c>
      <c r="G1333" s="42">
        <f t="shared" si="24"/>
        <v>-2350</v>
      </c>
      <c r="H1333" s="49" t="s">
        <v>1088</v>
      </c>
    </row>
    <row r="1334" spans="1:8" x14ac:dyDescent="0.2">
      <c r="A1334" s="595">
        <v>42572</v>
      </c>
      <c r="B1334" s="41" t="s">
        <v>154</v>
      </c>
      <c r="C1334" s="41" t="s">
        <v>668</v>
      </c>
      <c r="D1334" s="108" t="s">
        <v>1158</v>
      </c>
      <c r="E1334" s="42">
        <v>8482</v>
      </c>
      <c r="G1334" s="42">
        <f t="shared" si="24"/>
        <v>-8482</v>
      </c>
      <c r="H1334" s="49" t="s">
        <v>1088</v>
      </c>
    </row>
    <row r="1335" spans="1:8" x14ac:dyDescent="0.2">
      <c r="A1335" s="595">
        <v>42572</v>
      </c>
      <c r="B1335" s="41" t="s">
        <v>16</v>
      </c>
      <c r="C1335" s="41" t="s">
        <v>220</v>
      </c>
      <c r="D1335" s="108" t="s">
        <v>1148</v>
      </c>
      <c r="E1335" s="42">
        <v>200</v>
      </c>
      <c r="G1335" s="42">
        <f t="shared" si="24"/>
        <v>-200</v>
      </c>
      <c r="H1335" s="49" t="s">
        <v>1088</v>
      </c>
    </row>
    <row r="1336" spans="1:8" x14ac:dyDescent="0.2">
      <c r="A1336" s="595">
        <v>42572</v>
      </c>
      <c r="B1336" s="41" t="s">
        <v>16</v>
      </c>
      <c r="C1336" s="41" t="s">
        <v>103</v>
      </c>
      <c r="D1336" s="108" t="s">
        <v>1159</v>
      </c>
      <c r="E1336" s="42">
        <v>470</v>
      </c>
      <c r="G1336" s="42">
        <f t="shared" si="24"/>
        <v>-470</v>
      </c>
      <c r="H1336" s="49" t="s">
        <v>1088</v>
      </c>
    </row>
    <row r="1337" spans="1:8" x14ac:dyDescent="0.2">
      <c r="A1337" s="595">
        <v>42574</v>
      </c>
      <c r="B1337" s="41" t="s">
        <v>16</v>
      </c>
      <c r="C1337" s="41" t="s">
        <v>773</v>
      </c>
      <c r="D1337" s="108" t="s">
        <v>1161</v>
      </c>
      <c r="E1337" s="42">
        <v>150</v>
      </c>
      <c r="G1337" s="42">
        <f t="shared" si="24"/>
        <v>-150</v>
      </c>
      <c r="H1337" s="49" t="s">
        <v>1088</v>
      </c>
    </row>
    <row r="1338" spans="1:8" x14ac:dyDescent="0.2">
      <c r="A1338" s="595">
        <v>42574</v>
      </c>
      <c r="B1338" s="41" t="s">
        <v>40</v>
      </c>
      <c r="C1338" s="41" t="s">
        <v>80</v>
      </c>
      <c r="D1338" s="108" t="s">
        <v>1162</v>
      </c>
      <c r="E1338" s="42">
        <v>3650</v>
      </c>
      <c r="G1338" s="42">
        <f t="shared" si="24"/>
        <v>-3650</v>
      </c>
      <c r="H1338" s="49" t="s">
        <v>1088</v>
      </c>
    </row>
    <row r="1339" spans="1:8" x14ac:dyDescent="0.2">
      <c r="A1339" s="595">
        <v>42574</v>
      </c>
      <c r="B1339" s="41" t="s">
        <v>16</v>
      </c>
      <c r="C1339" s="41" t="s">
        <v>103</v>
      </c>
      <c r="D1339" s="108" t="s">
        <v>1163</v>
      </c>
      <c r="E1339" s="42">
        <v>100</v>
      </c>
      <c r="G1339" s="42">
        <f t="shared" si="24"/>
        <v>-100</v>
      </c>
      <c r="H1339" s="49" t="s">
        <v>1088</v>
      </c>
    </row>
    <row r="1340" spans="1:8" x14ac:dyDescent="0.2">
      <c r="A1340" s="595">
        <v>42574</v>
      </c>
      <c r="B1340" s="41" t="s">
        <v>16</v>
      </c>
      <c r="C1340" s="41" t="s">
        <v>745</v>
      </c>
      <c r="D1340" s="108" t="s">
        <v>1164</v>
      </c>
      <c r="E1340" s="42">
        <v>3005</v>
      </c>
      <c r="G1340" s="42">
        <f t="shared" si="24"/>
        <v>-3005</v>
      </c>
      <c r="H1340" s="49" t="s">
        <v>1088</v>
      </c>
    </row>
    <row r="1341" spans="1:8" x14ac:dyDescent="0.2">
      <c r="A1341" s="595">
        <v>42574</v>
      </c>
      <c r="B1341" s="41" t="s">
        <v>40</v>
      </c>
      <c r="C1341" s="41" t="s">
        <v>80</v>
      </c>
      <c r="D1341" s="108" t="s">
        <v>1157</v>
      </c>
      <c r="E1341" s="42">
        <v>1319</v>
      </c>
      <c r="G1341" s="42">
        <f t="shared" si="24"/>
        <v>-1319</v>
      </c>
      <c r="H1341" s="49" t="s">
        <v>1088</v>
      </c>
    </row>
    <row r="1342" spans="1:8" x14ac:dyDescent="0.2">
      <c r="A1342" s="595">
        <v>42576</v>
      </c>
      <c r="B1342" s="41" t="s">
        <v>154</v>
      </c>
      <c r="C1342" s="41" t="s">
        <v>668</v>
      </c>
      <c r="D1342" s="108" t="s">
        <v>286</v>
      </c>
      <c r="E1342" s="42">
        <v>180</v>
      </c>
      <c r="G1342" s="42">
        <f t="shared" si="24"/>
        <v>-180</v>
      </c>
      <c r="H1342" s="49" t="s">
        <v>1088</v>
      </c>
    </row>
    <row r="1343" spans="1:8" x14ac:dyDescent="0.2">
      <c r="A1343" s="595">
        <v>42576</v>
      </c>
      <c r="B1343" s="41" t="s">
        <v>16</v>
      </c>
      <c r="C1343" s="41" t="s">
        <v>103</v>
      </c>
      <c r="D1343" s="108" t="s">
        <v>1165</v>
      </c>
      <c r="E1343" s="42">
        <v>22064</v>
      </c>
      <c r="G1343" s="42">
        <f t="shared" si="24"/>
        <v>-22064</v>
      </c>
      <c r="H1343" s="49" t="s">
        <v>1088</v>
      </c>
    </row>
    <row r="1344" spans="1:8" x14ac:dyDescent="0.2">
      <c r="A1344" s="595">
        <v>42576</v>
      </c>
      <c r="B1344" s="41" t="s">
        <v>16</v>
      </c>
      <c r="C1344" s="41" t="s">
        <v>1894</v>
      </c>
      <c r="D1344" s="108" t="s">
        <v>1165</v>
      </c>
      <c r="E1344" s="42">
        <v>39284</v>
      </c>
      <c r="G1344" s="42">
        <f t="shared" si="24"/>
        <v>-39284</v>
      </c>
      <c r="H1344" s="49" t="s">
        <v>1088</v>
      </c>
    </row>
    <row r="1345" spans="1:8" x14ac:dyDescent="0.2">
      <c r="A1345" s="595">
        <v>42576</v>
      </c>
      <c r="B1345" s="41" t="s">
        <v>40</v>
      </c>
      <c r="C1345" s="41" t="s">
        <v>80</v>
      </c>
      <c r="D1345" s="108" t="s">
        <v>933</v>
      </c>
      <c r="E1345" s="42">
        <v>700</v>
      </c>
      <c r="G1345" s="42">
        <f t="shared" si="24"/>
        <v>-700</v>
      </c>
      <c r="H1345" s="49" t="s">
        <v>1088</v>
      </c>
    </row>
    <row r="1346" spans="1:8" x14ac:dyDescent="0.2">
      <c r="A1346" s="595">
        <v>42576</v>
      </c>
      <c r="B1346" s="41" t="s">
        <v>16</v>
      </c>
      <c r="C1346" s="41" t="s">
        <v>64</v>
      </c>
      <c r="D1346" s="108" t="s">
        <v>1166</v>
      </c>
      <c r="E1346" s="42">
        <v>1000</v>
      </c>
      <c r="G1346" s="42">
        <f t="shared" si="24"/>
        <v>-1000</v>
      </c>
      <c r="H1346" s="49" t="s">
        <v>1088</v>
      </c>
    </row>
    <row r="1347" spans="1:8" x14ac:dyDescent="0.2">
      <c r="A1347" s="595">
        <v>42576</v>
      </c>
      <c r="B1347" s="41" t="s">
        <v>40</v>
      </c>
      <c r="C1347" s="41" t="s">
        <v>1167</v>
      </c>
      <c r="D1347" s="108" t="s">
        <v>1168</v>
      </c>
      <c r="E1347" s="42">
        <v>1000</v>
      </c>
      <c r="G1347" s="42">
        <f t="shared" si="24"/>
        <v>-1000</v>
      </c>
      <c r="H1347" s="49" t="s">
        <v>1088</v>
      </c>
    </row>
    <row r="1348" spans="1:8" x14ac:dyDescent="0.2">
      <c r="A1348" s="595">
        <v>42576</v>
      </c>
      <c r="B1348" s="41" t="s">
        <v>40</v>
      </c>
      <c r="C1348" s="41" t="s">
        <v>1167</v>
      </c>
      <c r="D1348" s="108" t="s">
        <v>209</v>
      </c>
      <c r="E1348" s="42">
        <v>2000</v>
      </c>
      <c r="G1348" s="42">
        <f t="shared" si="24"/>
        <v>-2000</v>
      </c>
      <c r="H1348" s="49" t="s">
        <v>1088</v>
      </c>
    </row>
    <row r="1349" spans="1:8" x14ac:dyDescent="0.2">
      <c r="A1349" s="595">
        <v>42577</v>
      </c>
      <c r="B1349" s="41" t="s">
        <v>40</v>
      </c>
      <c r="C1349" s="41" t="s">
        <v>64</v>
      </c>
      <c r="D1349" s="108" t="s">
        <v>1169</v>
      </c>
      <c r="E1349" s="42">
        <v>1200</v>
      </c>
      <c r="G1349" s="42">
        <f t="shared" si="24"/>
        <v>-1200</v>
      </c>
      <c r="H1349" s="49" t="s">
        <v>1088</v>
      </c>
    </row>
    <row r="1350" spans="1:8" x14ac:dyDescent="0.2">
      <c r="A1350" s="595">
        <v>42577</v>
      </c>
      <c r="B1350" s="41" t="s">
        <v>16</v>
      </c>
      <c r="C1350" s="41" t="s">
        <v>1167</v>
      </c>
      <c r="D1350" s="108" t="s">
        <v>1170</v>
      </c>
      <c r="E1350" s="42">
        <v>5000</v>
      </c>
      <c r="G1350" s="42">
        <f t="shared" si="24"/>
        <v>-5000</v>
      </c>
      <c r="H1350" s="49" t="s">
        <v>1088</v>
      </c>
    </row>
    <row r="1351" spans="1:8" x14ac:dyDescent="0.2">
      <c r="A1351" s="595">
        <v>42577</v>
      </c>
      <c r="B1351" s="41" t="s">
        <v>16</v>
      </c>
      <c r="C1351" s="41" t="s">
        <v>103</v>
      </c>
      <c r="D1351" s="108" t="s">
        <v>1171</v>
      </c>
      <c r="E1351" s="42">
        <v>100</v>
      </c>
      <c r="G1351" s="42">
        <f t="shared" si="24"/>
        <v>-100</v>
      </c>
      <c r="H1351" s="49" t="s">
        <v>1088</v>
      </c>
    </row>
    <row r="1352" spans="1:8" x14ac:dyDescent="0.2">
      <c r="A1352" s="595">
        <v>42577</v>
      </c>
      <c r="B1352" s="41" t="s">
        <v>40</v>
      </c>
      <c r="C1352" s="41" t="s">
        <v>1172</v>
      </c>
      <c r="D1352" s="108" t="s">
        <v>1173</v>
      </c>
      <c r="E1352" s="42">
        <v>1200</v>
      </c>
      <c r="G1352" s="42">
        <f t="shared" si="24"/>
        <v>-1200</v>
      </c>
      <c r="H1352" s="49" t="s">
        <v>1088</v>
      </c>
    </row>
    <row r="1353" spans="1:8" x14ac:dyDescent="0.2">
      <c r="A1353" s="595">
        <v>42577</v>
      </c>
      <c r="B1353" s="41" t="s">
        <v>16</v>
      </c>
      <c r="C1353" s="41" t="s">
        <v>1167</v>
      </c>
      <c r="D1353" s="108" t="s">
        <v>1152</v>
      </c>
      <c r="E1353" s="42">
        <v>10000</v>
      </c>
      <c r="G1353" s="42">
        <f t="shared" ref="G1353:G1416" si="25">F1353-E1353</f>
        <v>-10000</v>
      </c>
      <c r="H1353" s="49" t="s">
        <v>1088</v>
      </c>
    </row>
    <row r="1354" spans="1:8" x14ac:dyDescent="0.2">
      <c r="A1354" s="595">
        <v>42578</v>
      </c>
      <c r="B1354" s="41" t="s">
        <v>22</v>
      </c>
      <c r="C1354" s="41" t="s">
        <v>309</v>
      </c>
      <c r="D1354" s="108" t="s">
        <v>1174</v>
      </c>
      <c r="E1354" s="42">
        <v>2200</v>
      </c>
      <c r="G1354" s="42">
        <f t="shared" si="25"/>
        <v>-2200</v>
      </c>
      <c r="H1354" s="49" t="s">
        <v>1088</v>
      </c>
    </row>
    <row r="1355" spans="1:8" ht="12.75" customHeight="1" x14ac:dyDescent="0.2">
      <c r="A1355" s="595">
        <v>42578</v>
      </c>
      <c r="B1355" s="41" t="s">
        <v>40</v>
      </c>
      <c r="C1355" s="41" t="s">
        <v>1198</v>
      </c>
      <c r="D1355" s="108" t="s">
        <v>1197</v>
      </c>
      <c r="E1355" s="42">
        <v>498134</v>
      </c>
      <c r="G1355" s="42">
        <f t="shared" si="25"/>
        <v>-498134</v>
      </c>
      <c r="H1355" s="49" t="s">
        <v>1088</v>
      </c>
    </row>
    <row r="1356" spans="1:8" ht="12.75" customHeight="1" x14ac:dyDescent="0.2">
      <c r="A1356" s="595">
        <v>42578</v>
      </c>
      <c r="B1356" s="41" t="s">
        <v>16</v>
      </c>
      <c r="C1356" s="41" t="s">
        <v>103</v>
      </c>
      <c r="D1356" s="108" t="s">
        <v>1175</v>
      </c>
      <c r="E1356" s="42">
        <v>160</v>
      </c>
      <c r="G1356" s="42">
        <f t="shared" si="25"/>
        <v>-160</v>
      </c>
      <c r="H1356" s="49" t="s">
        <v>1088</v>
      </c>
    </row>
    <row r="1357" spans="1:8" ht="12.75" customHeight="1" x14ac:dyDescent="0.2">
      <c r="A1357" s="595">
        <v>42578</v>
      </c>
      <c r="B1357" s="41" t="s">
        <v>16</v>
      </c>
      <c r="C1357" s="41" t="s">
        <v>103</v>
      </c>
      <c r="D1357" s="108" t="s">
        <v>1176</v>
      </c>
      <c r="E1357" s="42">
        <v>1400</v>
      </c>
      <c r="G1357" s="42">
        <f t="shared" si="25"/>
        <v>-1400</v>
      </c>
      <c r="H1357" s="49" t="s">
        <v>1088</v>
      </c>
    </row>
    <row r="1358" spans="1:8" ht="12.75" customHeight="1" x14ac:dyDescent="0.2">
      <c r="A1358" s="595">
        <v>42578</v>
      </c>
      <c r="B1358" s="41" t="s">
        <v>16</v>
      </c>
      <c r="C1358" s="41" t="s">
        <v>103</v>
      </c>
      <c r="D1358" s="108" t="s">
        <v>1177</v>
      </c>
      <c r="E1358" s="42">
        <v>500</v>
      </c>
      <c r="G1358" s="42">
        <f t="shared" si="25"/>
        <v>-500</v>
      </c>
      <c r="H1358" s="49" t="s">
        <v>1088</v>
      </c>
    </row>
    <row r="1359" spans="1:8" ht="12.75" customHeight="1" x14ac:dyDescent="0.2">
      <c r="A1359" s="595">
        <v>42579</v>
      </c>
      <c r="B1359" s="41" t="s">
        <v>16</v>
      </c>
      <c r="C1359" s="41" t="s">
        <v>103</v>
      </c>
      <c r="D1359" s="108" t="s">
        <v>1178</v>
      </c>
      <c r="E1359" s="42">
        <v>315</v>
      </c>
      <c r="G1359" s="42">
        <f t="shared" si="25"/>
        <v>-315</v>
      </c>
      <c r="H1359" s="49" t="s">
        <v>1088</v>
      </c>
    </row>
    <row r="1360" spans="1:8" ht="12.75" customHeight="1" x14ac:dyDescent="0.2">
      <c r="A1360" s="595">
        <v>42579</v>
      </c>
      <c r="B1360" s="41" t="s">
        <v>154</v>
      </c>
      <c r="C1360" s="41" t="s">
        <v>1167</v>
      </c>
      <c r="D1360" s="108" t="s">
        <v>1179</v>
      </c>
      <c r="E1360" s="42">
        <v>2000</v>
      </c>
      <c r="G1360" s="42">
        <f t="shared" si="25"/>
        <v>-2000</v>
      </c>
      <c r="H1360" s="49" t="s">
        <v>1088</v>
      </c>
    </row>
    <row r="1361" spans="1:8" ht="12.75" customHeight="1" x14ac:dyDescent="0.2">
      <c r="A1361" s="595">
        <v>42579</v>
      </c>
      <c r="B1361" s="41" t="s">
        <v>40</v>
      </c>
      <c r="C1361" s="41" t="s">
        <v>372</v>
      </c>
      <c r="D1361" s="108" t="s">
        <v>392</v>
      </c>
      <c r="E1361" s="42">
        <v>16500</v>
      </c>
      <c r="G1361" s="42">
        <f t="shared" si="25"/>
        <v>-16500</v>
      </c>
      <c r="H1361" s="49" t="s">
        <v>1088</v>
      </c>
    </row>
    <row r="1362" spans="1:8" ht="12.75" customHeight="1" x14ac:dyDescent="0.2">
      <c r="A1362" s="595">
        <v>42579</v>
      </c>
      <c r="B1362" s="41" t="s">
        <v>154</v>
      </c>
      <c r="C1362" s="41" t="s">
        <v>450</v>
      </c>
      <c r="D1362" s="108" t="s">
        <v>1180</v>
      </c>
      <c r="E1362" s="42">
        <v>795</v>
      </c>
      <c r="G1362" s="42">
        <f t="shared" si="25"/>
        <v>-795</v>
      </c>
      <c r="H1362" s="49" t="s">
        <v>1088</v>
      </c>
    </row>
    <row r="1363" spans="1:8" x14ac:dyDescent="0.2">
      <c r="A1363" s="595">
        <v>42579</v>
      </c>
      <c r="B1363" s="41" t="s">
        <v>154</v>
      </c>
      <c r="C1363" s="41" t="s">
        <v>106</v>
      </c>
      <c r="D1363" s="108" t="s">
        <v>1181</v>
      </c>
      <c r="E1363" s="42">
        <v>1640</v>
      </c>
      <c r="G1363" s="42">
        <f t="shared" si="25"/>
        <v>-1640</v>
      </c>
      <c r="H1363" s="49" t="s">
        <v>1088</v>
      </c>
    </row>
    <row r="1364" spans="1:8" x14ac:dyDescent="0.2">
      <c r="A1364" s="595">
        <v>42579</v>
      </c>
      <c r="B1364" s="41" t="s">
        <v>40</v>
      </c>
      <c r="C1364" s="41" t="s">
        <v>1167</v>
      </c>
      <c r="D1364" s="108" t="s">
        <v>1182</v>
      </c>
      <c r="E1364" s="42">
        <v>500</v>
      </c>
      <c r="G1364" s="42">
        <f t="shared" si="25"/>
        <v>-500</v>
      </c>
      <c r="H1364" s="49" t="s">
        <v>1088</v>
      </c>
    </row>
    <row r="1365" spans="1:8" x14ac:dyDescent="0.2">
      <c r="A1365" s="595">
        <v>42579</v>
      </c>
      <c r="B1365" s="41" t="s">
        <v>40</v>
      </c>
      <c r="C1365" s="41" t="s">
        <v>80</v>
      </c>
      <c r="D1365" s="108" t="s">
        <v>1183</v>
      </c>
      <c r="E1365" s="42">
        <v>1585</v>
      </c>
      <c r="G1365" s="42">
        <f t="shared" si="25"/>
        <v>-1585</v>
      </c>
      <c r="H1365" s="49" t="s">
        <v>1088</v>
      </c>
    </row>
    <row r="1366" spans="1:8" x14ac:dyDescent="0.2">
      <c r="A1366" s="595">
        <v>42579</v>
      </c>
      <c r="B1366" s="41" t="s">
        <v>154</v>
      </c>
      <c r="C1366" s="41" t="s">
        <v>220</v>
      </c>
      <c r="D1366" s="108" t="s">
        <v>1184</v>
      </c>
      <c r="E1366" s="42">
        <v>600</v>
      </c>
      <c r="G1366" s="42">
        <f t="shared" si="25"/>
        <v>-600</v>
      </c>
      <c r="H1366" s="49" t="s">
        <v>1088</v>
      </c>
    </row>
    <row r="1367" spans="1:8" x14ac:dyDescent="0.2">
      <c r="A1367" s="595">
        <v>42580</v>
      </c>
      <c r="B1367" s="41" t="s">
        <v>40</v>
      </c>
      <c r="C1367" s="41" t="s">
        <v>80</v>
      </c>
      <c r="D1367" s="108" t="s">
        <v>1185</v>
      </c>
      <c r="E1367" s="42">
        <v>1782</v>
      </c>
      <c r="G1367" s="42">
        <f t="shared" si="25"/>
        <v>-1782</v>
      </c>
      <c r="H1367" s="49" t="s">
        <v>1088</v>
      </c>
    </row>
    <row r="1368" spans="1:8" x14ac:dyDescent="0.2">
      <c r="A1368" s="595">
        <v>42580</v>
      </c>
      <c r="B1368" s="41" t="s">
        <v>40</v>
      </c>
      <c r="C1368" s="41" t="s">
        <v>1167</v>
      </c>
      <c r="D1368" s="108" t="s">
        <v>1186</v>
      </c>
      <c r="E1368" s="42">
        <v>1000</v>
      </c>
      <c r="G1368" s="42">
        <f t="shared" si="25"/>
        <v>-1000</v>
      </c>
      <c r="H1368" s="49" t="s">
        <v>1088</v>
      </c>
    </row>
    <row r="1369" spans="1:8" x14ac:dyDescent="0.2">
      <c r="A1369" s="595">
        <v>42580</v>
      </c>
      <c r="B1369" s="41" t="s">
        <v>40</v>
      </c>
      <c r="C1369" s="41" t="s">
        <v>80</v>
      </c>
      <c r="D1369" s="108" t="s">
        <v>1187</v>
      </c>
      <c r="E1369" s="42">
        <v>600</v>
      </c>
      <c r="G1369" s="42">
        <f t="shared" si="25"/>
        <v>-600</v>
      </c>
      <c r="H1369" s="49" t="s">
        <v>1088</v>
      </c>
    </row>
    <row r="1370" spans="1:8" x14ac:dyDescent="0.2">
      <c r="A1370" s="595">
        <v>42580</v>
      </c>
      <c r="B1370" s="41" t="s">
        <v>16</v>
      </c>
      <c r="C1370" s="41" t="s">
        <v>103</v>
      </c>
      <c r="D1370" s="108" t="s">
        <v>1188</v>
      </c>
      <c r="E1370" s="42">
        <v>350</v>
      </c>
      <c r="G1370" s="42">
        <f t="shared" si="25"/>
        <v>-350</v>
      </c>
      <c r="H1370" s="49" t="s">
        <v>1088</v>
      </c>
    </row>
    <row r="1371" spans="1:8" x14ac:dyDescent="0.2">
      <c r="A1371" s="595">
        <v>42581</v>
      </c>
      <c r="B1371" s="41" t="s">
        <v>40</v>
      </c>
      <c r="C1371" s="41" t="s">
        <v>202</v>
      </c>
      <c r="D1371" s="108" t="s">
        <v>1189</v>
      </c>
      <c r="E1371" s="42">
        <v>480</v>
      </c>
      <c r="G1371" s="42">
        <f t="shared" si="25"/>
        <v>-480</v>
      </c>
      <c r="H1371" s="49" t="s">
        <v>1088</v>
      </c>
    </row>
    <row r="1372" spans="1:8" x14ac:dyDescent="0.2">
      <c r="A1372" s="595">
        <v>42581</v>
      </c>
      <c r="B1372" s="41" t="s">
        <v>16</v>
      </c>
      <c r="C1372" s="41" t="s">
        <v>103</v>
      </c>
      <c r="D1372" s="108" t="s">
        <v>1190</v>
      </c>
      <c r="E1372" s="42">
        <v>150</v>
      </c>
      <c r="G1372" s="42">
        <f t="shared" si="25"/>
        <v>-150</v>
      </c>
      <c r="H1372" s="49" t="s">
        <v>1088</v>
      </c>
    </row>
    <row r="1373" spans="1:8" x14ac:dyDescent="0.2">
      <c r="A1373" s="595">
        <v>42581</v>
      </c>
      <c r="B1373" s="41" t="s">
        <v>40</v>
      </c>
      <c r="C1373" s="41" t="s">
        <v>1896</v>
      </c>
      <c r="D1373" s="108" t="s">
        <v>1191</v>
      </c>
      <c r="E1373" s="42">
        <v>200</v>
      </c>
      <c r="G1373" s="42">
        <f t="shared" si="25"/>
        <v>-200</v>
      </c>
      <c r="H1373" s="49" t="s">
        <v>1088</v>
      </c>
    </row>
    <row r="1374" spans="1:8" x14ac:dyDescent="0.2">
      <c r="A1374" s="595">
        <v>42581</v>
      </c>
      <c r="B1374" s="41" t="s">
        <v>40</v>
      </c>
      <c r="C1374" s="41" t="s">
        <v>1167</v>
      </c>
      <c r="D1374" s="108" t="s">
        <v>1192</v>
      </c>
      <c r="E1374" s="42">
        <v>1000</v>
      </c>
      <c r="G1374" s="42">
        <f t="shared" si="25"/>
        <v>-1000</v>
      </c>
      <c r="H1374" s="49" t="s">
        <v>1088</v>
      </c>
    </row>
    <row r="1375" spans="1:8" x14ac:dyDescent="0.2">
      <c r="A1375" s="595">
        <v>42581</v>
      </c>
      <c r="B1375" s="41" t="s">
        <v>40</v>
      </c>
      <c r="C1375" s="41" t="s">
        <v>1167</v>
      </c>
      <c r="D1375" s="108" t="s">
        <v>274</v>
      </c>
      <c r="E1375" s="42">
        <v>710</v>
      </c>
      <c r="G1375" s="42">
        <f t="shared" si="25"/>
        <v>-710</v>
      </c>
      <c r="H1375" s="49" t="s">
        <v>1088</v>
      </c>
    </row>
    <row r="1376" spans="1:8" x14ac:dyDescent="0.2">
      <c r="A1376" s="595">
        <v>42583</v>
      </c>
      <c r="B1376" s="73" t="s">
        <v>16</v>
      </c>
      <c r="C1376" s="41" t="s">
        <v>103</v>
      </c>
      <c r="D1376" s="795" t="s">
        <v>1190</v>
      </c>
      <c r="E1376" s="74">
        <v>100</v>
      </c>
      <c r="G1376" s="42">
        <f t="shared" si="25"/>
        <v>-100</v>
      </c>
      <c r="H1376" s="49" t="s">
        <v>1089</v>
      </c>
    </row>
    <row r="1377" spans="1:8" x14ac:dyDescent="0.2">
      <c r="A1377" s="595">
        <v>42583</v>
      </c>
      <c r="B1377" s="41" t="s">
        <v>154</v>
      </c>
      <c r="C1377" s="41" t="s">
        <v>325</v>
      </c>
      <c r="D1377" s="108" t="s">
        <v>1222</v>
      </c>
      <c r="E1377" s="42">
        <v>12005</v>
      </c>
      <c r="G1377" s="42">
        <f t="shared" si="25"/>
        <v>-12005</v>
      </c>
      <c r="H1377" s="49" t="s">
        <v>1089</v>
      </c>
    </row>
    <row r="1378" spans="1:8" x14ac:dyDescent="0.2">
      <c r="A1378" s="595">
        <v>42584</v>
      </c>
      <c r="B1378" s="41" t="s">
        <v>40</v>
      </c>
      <c r="C1378" s="41" t="s">
        <v>80</v>
      </c>
      <c r="D1378" s="108" t="s">
        <v>1223</v>
      </c>
      <c r="E1378" s="42">
        <v>635</v>
      </c>
      <c r="G1378" s="42">
        <f t="shared" si="25"/>
        <v>-635</v>
      </c>
      <c r="H1378" s="49" t="s">
        <v>1089</v>
      </c>
    </row>
    <row r="1379" spans="1:8" x14ac:dyDescent="0.2">
      <c r="A1379" s="595">
        <v>42584</v>
      </c>
      <c r="B1379" s="41" t="s">
        <v>40</v>
      </c>
      <c r="C1379" s="41" t="s">
        <v>103</v>
      </c>
      <c r="D1379" s="108" t="s">
        <v>1224</v>
      </c>
      <c r="E1379" s="42">
        <v>200</v>
      </c>
      <c r="G1379" s="42">
        <f t="shared" si="25"/>
        <v>-200</v>
      </c>
      <c r="H1379" s="49" t="s">
        <v>1089</v>
      </c>
    </row>
    <row r="1380" spans="1:8" x14ac:dyDescent="0.2">
      <c r="A1380" s="595">
        <v>42584</v>
      </c>
      <c r="B1380" s="41" t="s">
        <v>154</v>
      </c>
      <c r="C1380" s="41" t="s">
        <v>414</v>
      </c>
      <c r="D1380" s="108" t="s">
        <v>370</v>
      </c>
      <c r="E1380" s="42">
        <v>3000</v>
      </c>
      <c r="G1380" s="42">
        <f t="shared" si="25"/>
        <v>-3000</v>
      </c>
      <c r="H1380" s="49" t="s">
        <v>1089</v>
      </c>
    </row>
    <row r="1381" spans="1:8" x14ac:dyDescent="0.2">
      <c r="A1381" s="595">
        <v>42584</v>
      </c>
      <c r="B1381" s="41" t="s">
        <v>25</v>
      </c>
      <c r="C1381" s="41" t="s">
        <v>1896</v>
      </c>
      <c r="D1381" s="108" t="s">
        <v>980</v>
      </c>
      <c r="E1381" s="42">
        <v>400</v>
      </c>
      <c r="G1381" s="42">
        <f t="shared" si="25"/>
        <v>-400</v>
      </c>
      <c r="H1381" s="49" t="s">
        <v>1089</v>
      </c>
    </row>
    <row r="1382" spans="1:8" x14ac:dyDescent="0.2">
      <c r="A1382" s="595">
        <v>42584</v>
      </c>
      <c r="B1382" s="41" t="s">
        <v>154</v>
      </c>
      <c r="C1382" s="41" t="s">
        <v>103</v>
      </c>
      <c r="D1382" s="108" t="s">
        <v>1225</v>
      </c>
      <c r="E1382" s="42">
        <v>2880</v>
      </c>
      <c r="G1382" s="42">
        <f t="shared" si="25"/>
        <v>-2880</v>
      </c>
      <c r="H1382" s="49" t="s">
        <v>1089</v>
      </c>
    </row>
    <row r="1383" spans="1:8" x14ac:dyDescent="0.2">
      <c r="A1383" s="595">
        <v>42584</v>
      </c>
      <c r="B1383" s="41" t="s">
        <v>18</v>
      </c>
      <c r="C1383" s="41" t="s">
        <v>773</v>
      </c>
      <c r="D1383" s="108" t="s">
        <v>1226</v>
      </c>
      <c r="E1383" s="42">
        <v>150</v>
      </c>
      <c r="G1383" s="42">
        <f t="shared" si="25"/>
        <v>-150</v>
      </c>
      <c r="H1383" s="49" t="s">
        <v>1089</v>
      </c>
    </row>
    <row r="1384" spans="1:8" x14ac:dyDescent="0.2">
      <c r="A1384" s="595">
        <v>42585</v>
      </c>
      <c r="B1384" s="41" t="s">
        <v>40</v>
      </c>
      <c r="C1384" s="41" t="s">
        <v>40</v>
      </c>
      <c r="D1384" s="108" t="s">
        <v>1504</v>
      </c>
      <c r="F1384" s="42">
        <v>1000000</v>
      </c>
      <c r="G1384" s="42">
        <f t="shared" si="25"/>
        <v>1000000</v>
      </c>
      <c r="H1384" s="49" t="s">
        <v>1089</v>
      </c>
    </row>
    <row r="1385" spans="1:8" x14ac:dyDescent="0.2">
      <c r="A1385" s="595">
        <v>42585</v>
      </c>
      <c r="B1385" s="41" t="s">
        <v>16</v>
      </c>
      <c r="C1385" s="41" t="s">
        <v>773</v>
      </c>
      <c r="D1385" s="108" t="s">
        <v>1227</v>
      </c>
      <c r="E1385" s="42">
        <v>100</v>
      </c>
      <c r="G1385" s="42">
        <f t="shared" si="25"/>
        <v>-100</v>
      </c>
      <c r="H1385" s="49" t="s">
        <v>1089</v>
      </c>
    </row>
    <row r="1386" spans="1:8" x14ac:dyDescent="0.2">
      <c r="A1386" s="595">
        <v>42585</v>
      </c>
      <c r="B1386" s="41" t="s">
        <v>25</v>
      </c>
      <c r="C1386" s="41" t="s">
        <v>986</v>
      </c>
      <c r="D1386" s="108" t="s">
        <v>258</v>
      </c>
      <c r="E1386" s="42">
        <v>2400</v>
      </c>
      <c r="G1386" s="42">
        <f t="shared" si="25"/>
        <v>-2400</v>
      </c>
      <c r="H1386" s="49" t="s">
        <v>1089</v>
      </c>
    </row>
    <row r="1387" spans="1:8" x14ac:dyDescent="0.2">
      <c r="A1387" s="595">
        <v>42585</v>
      </c>
      <c r="B1387" s="41" t="s">
        <v>40</v>
      </c>
      <c r="C1387" s="41" t="s">
        <v>103</v>
      </c>
      <c r="D1387" s="108" t="s">
        <v>1228</v>
      </c>
      <c r="E1387" s="42">
        <v>4400</v>
      </c>
      <c r="G1387" s="42">
        <f t="shared" si="25"/>
        <v>-4400</v>
      </c>
      <c r="H1387" s="49" t="s">
        <v>1089</v>
      </c>
    </row>
    <row r="1388" spans="1:8" x14ac:dyDescent="0.2">
      <c r="A1388" s="595">
        <v>42585</v>
      </c>
      <c r="B1388" s="41" t="s">
        <v>25</v>
      </c>
      <c r="C1388" s="41" t="s">
        <v>986</v>
      </c>
      <c r="D1388" s="108" t="s">
        <v>1229</v>
      </c>
      <c r="E1388" s="42">
        <v>2000</v>
      </c>
      <c r="G1388" s="42">
        <f t="shared" si="25"/>
        <v>-2000</v>
      </c>
      <c r="H1388" s="49" t="s">
        <v>1089</v>
      </c>
    </row>
    <row r="1389" spans="1:8" x14ac:dyDescent="0.2">
      <c r="A1389" s="595">
        <v>42585</v>
      </c>
      <c r="B1389" s="41" t="s">
        <v>25</v>
      </c>
      <c r="C1389" s="41" t="s">
        <v>1230</v>
      </c>
      <c r="D1389" s="108" t="s">
        <v>1231</v>
      </c>
      <c r="E1389" s="42">
        <v>12000</v>
      </c>
      <c r="G1389" s="42">
        <f t="shared" si="25"/>
        <v>-12000</v>
      </c>
      <c r="H1389" s="49" t="s">
        <v>1089</v>
      </c>
    </row>
    <row r="1390" spans="1:8" x14ac:dyDescent="0.2">
      <c r="A1390" s="595">
        <v>42585</v>
      </c>
      <c r="B1390" s="41" t="s">
        <v>25</v>
      </c>
      <c r="C1390" s="41" t="s">
        <v>1894</v>
      </c>
      <c r="D1390" s="108" t="s">
        <v>1232</v>
      </c>
      <c r="E1390" s="42">
        <v>420</v>
      </c>
      <c r="G1390" s="42">
        <f t="shared" si="25"/>
        <v>-420</v>
      </c>
      <c r="H1390" s="49" t="s">
        <v>1089</v>
      </c>
    </row>
    <row r="1391" spans="1:8" x14ac:dyDescent="0.2">
      <c r="A1391" s="595">
        <v>42585</v>
      </c>
      <c r="B1391" s="41" t="s">
        <v>154</v>
      </c>
      <c r="C1391" s="41" t="s">
        <v>146</v>
      </c>
      <c r="D1391" s="108" t="s">
        <v>1047</v>
      </c>
      <c r="E1391" s="42">
        <v>1040</v>
      </c>
      <c r="G1391" s="42">
        <f t="shared" si="25"/>
        <v>-1040</v>
      </c>
      <c r="H1391" s="49" t="s">
        <v>1089</v>
      </c>
    </row>
    <row r="1392" spans="1:8" x14ac:dyDescent="0.2">
      <c r="A1392" s="595">
        <v>42585</v>
      </c>
      <c r="B1392" s="41" t="s">
        <v>154</v>
      </c>
      <c r="C1392" s="41" t="s">
        <v>220</v>
      </c>
      <c r="D1392" s="108" t="s">
        <v>1225</v>
      </c>
      <c r="E1392" s="42">
        <v>7176</v>
      </c>
      <c r="G1392" s="42">
        <f t="shared" si="25"/>
        <v>-7176</v>
      </c>
      <c r="H1392" s="49" t="s">
        <v>1089</v>
      </c>
    </row>
    <row r="1393" spans="1:8" x14ac:dyDescent="0.2">
      <c r="A1393" s="595">
        <v>42586</v>
      </c>
      <c r="B1393" s="41" t="s">
        <v>22</v>
      </c>
      <c r="C1393" s="41" t="s">
        <v>22</v>
      </c>
      <c r="D1393" s="108" t="s">
        <v>1199</v>
      </c>
      <c r="F1393" s="42">
        <v>46800</v>
      </c>
      <c r="G1393" s="42">
        <f t="shared" si="25"/>
        <v>46800</v>
      </c>
      <c r="H1393" s="49" t="s">
        <v>1089</v>
      </c>
    </row>
    <row r="1394" spans="1:8" x14ac:dyDescent="0.2">
      <c r="A1394" s="595">
        <v>42586</v>
      </c>
      <c r="B1394" s="41" t="s">
        <v>22</v>
      </c>
      <c r="C1394" s="41" t="s">
        <v>111</v>
      </c>
      <c r="D1394" s="108" t="s">
        <v>1233</v>
      </c>
      <c r="E1394" s="42">
        <v>600</v>
      </c>
      <c r="G1394" s="42">
        <f t="shared" si="25"/>
        <v>-600</v>
      </c>
      <c r="H1394" s="49" t="s">
        <v>1089</v>
      </c>
    </row>
    <row r="1395" spans="1:8" x14ac:dyDescent="0.2">
      <c r="A1395" s="595">
        <v>42586</v>
      </c>
      <c r="B1395" s="41" t="s">
        <v>154</v>
      </c>
      <c r="C1395" s="41" t="s">
        <v>220</v>
      </c>
      <c r="D1395" s="108" t="s">
        <v>1234</v>
      </c>
      <c r="E1395" s="42">
        <v>7000</v>
      </c>
      <c r="G1395" s="42">
        <f t="shared" si="25"/>
        <v>-7000</v>
      </c>
      <c r="H1395" s="49" t="s">
        <v>1089</v>
      </c>
    </row>
    <row r="1396" spans="1:8" x14ac:dyDescent="0.2">
      <c r="A1396" s="595">
        <v>42586</v>
      </c>
      <c r="B1396" s="41" t="s">
        <v>18</v>
      </c>
      <c r="C1396" s="41" t="s">
        <v>220</v>
      </c>
      <c r="D1396" s="108" t="s">
        <v>1234</v>
      </c>
      <c r="E1396" s="42">
        <v>1075</v>
      </c>
      <c r="G1396" s="42">
        <f t="shared" si="25"/>
        <v>-1075</v>
      </c>
      <c r="H1396" s="49" t="s">
        <v>1089</v>
      </c>
    </row>
    <row r="1397" spans="1:8" x14ac:dyDescent="0.2">
      <c r="A1397" s="595">
        <v>42586</v>
      </c>
      <c r="B1397" s="41" t="s">
        <v>40</v>
      </c>
      <c r="C1397" s="41" t="s">
        <v>80</v>
      </c>
      <c r="D1397" s="108" t="s">
        <v>1235</v>
      </c>
      <c r="E1397" s="42">
        <v>832</v>
      </c>
      <c r="G1397" s="42">
        <f t="shared" si="25"/>
        <v>-832</v>
      </c>
      <c r="H1397" s="49" t="s">
        <v>1089</v>
      </c>
    </row>
    <row r="1398" spans="1:8" x14ac:dyDescent="0.2">
      <c r="A1398" s="595">
        <v>42587</v>
      </c>
      <c r="B1398" s="41" t="s">
        <v>37</v>
      </c>
      <c r="C1398" s="41" t="s">
        <v>194</v>
      </c>
      <c r="D1398" s="108" t="s">
        <v>1236</v>
      </c>
      <c r="E1398" s="42">
        <v>1960</v>
      </c>
      <c r="G1398" s="42">
        <f t="shared" si="25"/>
        <v>-1960</v>
      </c>
      <c r="H1398" s="49" t="s">
        <v>1089</v>
      </c>
    </row>
    <row r="1399" spans="1:8" x14ac:dyDescent="0.2">
      <c r="A1399" s="595">
        <v>42587</v>
      </c>
      <c r="B1399" s="41" t="s">
        <v>154</v>
      </c>
      <c r="C1399" s="41" t="s">
        <v>1501</v>
      </c>
      <c r="D1399" s="108" t="s">
        <v>1237</v>
      </c>
      <c r="E1399" s="42">
        <v>18300</v>
      </c>
      <c r="G1399" s="42">
        <f t="shared" si="25"/>
        <v>-18300</v>
      </c>
      <c r="H1399" s="49" t="s">
        <v>1089</v>
      </c>
    </row>
    <row r="1400" spans="1:8" x14ac:dyDescent="0.2">
      <c r="A1400" s="595">
        <v>42587</v>
      </c>
      <c r="B1400" s="41" t="s">
        <v>16</v>
      </c>
      <c r="C1400" s="41" t="s">
        <v>1897</v>
      </c>
      <c r="D1400" s="108" t="s">
        <v>286</v>
      </c>
      <c r="E1400" s="42">
        <v>70</v>
      </c>
      <c r="G1400" s="42">
        <f t="shared" si="25"/>
        <v>-70</v>
      </c>
      <c r="H1400" s="49" t="s">
        <v>1089</v>
      </c>
    </row>
    <row r="1401" spans="1:8" x14ac:dyDescent="0.2">
      <c r="A1401" s="595">
        <v>42590</v>
      </c>
      <c r="B1401" s="41" t="s">
        <v>16</v>
      </c>
      <c r="C1401" s="41" t="s">
        <v>372</v>
      </c>
      <c r="D1401" s="108" t="s">
        <v>1238</v>
      </c>
      <c r="E1401" s="42">
        <v>1000</v>
      </c>
      <c r="G1401" s="42">
        <f t="shared" si="25"/>
        <v>-1000</v>
      </c>
      <c r="H1401" s="49" t="s">
        <v>1089</v>
      </c>
    </row>
    <row r="1402" spans="1:8" x14ac:dyDescent="0.2">
      <c r="A1402" s="595">
        <v>42590</v>
      </c>
      <c r="B1402" s="41" t="s">
        <v>16</v>
      </c>
      <c r="C1402" s="41" t="s">
        <v>209</v>
      </c>
      <c r="D1402" s="108" t="s">
        <v>1239</v>
      </c>
      <c r="E1402" s="42">
        <v>200</v>
      </c>
      <c r="G1402" s="42">
        <f t="shared" si="25"/>
        <v>-200</v>
      </c>
      <c r="H1402" s="49" t="s">
        <v>1089</v>
      </c>
    </row>
    <row r="1403" spans="1:8" x14ac:dyDescent="0.2">
      <c r="A1403" s="595">
        <v>42590</v>
      </c>
      <c r="B1403" s="41" t="s">
        <v>40</v>
      </c>
      <c r="C1403" s="41" t="s">
        <v>1167</v>
      </c>
      <c r="D1403" s="108" t="s">
        <v>209</v>
      </c>
      <c r="E1403" s="42">
        <v>300</v>
      </c>
      <c r="G1403" s="42">
        <f t="shared" si="25"/>
        <v>-300</v>
      </c>
      <c r="H1403" s="49" t="s">
        <v>1089</v>
      </c>
    </row>
    <row r="1404" spans="1:8" x14ac:dyDescent="0.2">
      <c r="A1404" s="595">
        <v>42590</v>
      </c>
      <c r="B1404" s="41" t="s">
        <v>37</v>
      </c>
      <c r="C1404" s="41" t="s">
        <v>111</v>
      </c>
      <c r="D1404" s="108" t="s">
        <v>111</v>
      </c>
      <c r="E1404" s="42">
        <v>36500</v>
      </c>
      <c r="G1404" s="42">
        <f t="shared" si="25"/>
        <v>-36500</v>
      </c>
      <c r="H1404" s="49" t="s">
        <v>1089</v>
      </c>
    </row>
    <row r="1405" spans="1:8" x14ac:dyDescent="0.2">
      <c r="A1405" s="595">
        <v>42590</v>
      </c>
      <c r="B1405" s="41" t="s">
        <v>154</v>
      </c>
      <c r="C1405" s="41" t="s">
        <v>220</v>
      </c>
      <c r="D1405" s="108" t="s">
        <v>980</v>
      </c>
      <c r="E1405" s="42">
        <v>930</v>
      </c>
      <c r="G1405" s="42">
        <f t="shared" si="25"/>
        <v>-930</v>
      </c>
      <c r="H1405" s="49" t="s">
        <v>1089</v>
      </c>
    </row>
    <row r="1406" spans="1:8" x14ac:dyDescent="0.2">
      <c r="A1406" s="595">
        <v>42590</v>
      </c>
      <c r="B1406" s="41" t="s">
        <v>16</v>
      </c>
      <c r="C1406" s="41" t="s">
        <v>1230</v>
      </c>
      <c r="D1406" s="108" t="s">
        <v>218</v>
      </c>
      <c r="E1406" s="42">
        <v>3000</v>
      </c>
      <c r="G1406" s="42">
        <f t="shared" si="25"/>
        <v>-3000</v>
      </c>
      <c r="H1406" s="49" t="s">
        <v>1089</v>
      </c>
    </row>
    <row r="1407" spans="1:8" x14ac:dyDescent="0.2">
      <c r="A1407" s="595">
        <v>42590</v>
      </c>
      <c r="B1407" s="41" t="s">
        <v>16</v>
      </c>
      <c r="C1407" s="41" t="s">
        <v>1230</v>
      </c>
      <c r="D1407" s="108" t="s">
        <v>1241</v>
      </c>
      <c r="E1407" s="42">
        <v>5000</v>
      </c>
      <c r="G1407" s="42">
        <f t="shared" si="25"/>
        <v>-5000</v>
      </c>
      <c r="H1407" s="49" t="s">
        <v>1089</v>
      </c>
    </row>
    <row r="1408" spans="1:8" x14ac:dyDescent="0.2">
      <c r="A1408" s="595">
        <v>42590</v>
      </c>
      <c r="B1408" s="41" t="s">
        <v>16</v>
      </c>
      <c r="C1408" s="41" t="s">
        <v>1230</v>
      </c>
      <c r="D1408" s="108" t="s">
        <v>1242</v>
      </c>
      <c r="E1408" s="42">
        <v>4000</v>
      </c>
      <c r="G1408" s="42">
        <f t="shared" si="25"/>
        <v>-4000</v>
      </c>
      <c r="H1408" s="49" t="s">
        <v>1089</v>
      </c>
    </row>
    <row r="1409" spans="1:8" x14ac:dyDescent="0.2">
      <c r="A1409" s="595">
        <v>42590</v>
      </c>
      <c r="B1409" s="41" t="s">
        <v>16</v>
      </c>
      <c r="C1409" s="41" t="s">
        <v>1230</v>
      </c>
      <c r="D1409" s="108" t="s">
        <v>1243</v>
      </c>
      <c r="E1409" s="42">
        <v>9000</v>
      </c>
      <c r="G1409" s="42">
        <f t="shared" si="25"/>
        <v>-9000</v>
      </c>
      <c r="H1409" s="49" t="s">
        <v>1089</v>
      </c>
    </row>
    <row r="1410" spans="1:8" x14ac:dyDescent="0.2">
      <c r="A1410" s="595">
        <v>42590</v>
      </c>
      <c r="B1410" s="41" t="s">
        <v>154</v>
      </c>
      <c r="C1410" s="41" t="s">
        <v>1230</v>
      </c>
      <c r="D1410" s="108" t="s">
        <v>220</v>
      </c>
      <c r="E1410" s="42">
        <v>11000</v>
      </c>
      <c r="G1410" s="42">
        <f t="shared" si="25"/>
        <v>-11000</v>
      </c>
      <c r="H1410" s="49" t="s">
        <v>1089</v>
      </c>
    </row>
    <row r="1411" spans="1:8" x14ac:dyDescent="0.2">
      <c r="A1411" s="595">
        <v>42590</v>
      </c>
      <c r="B1411" s="41" t="s">
        <v>40</v>
      </c>
      <c r="C1411" s="41" t="s">
        <v>1230</v>
      </c>
      <c r="D1411" s="108" t="s">
        <v>629</v>
      </c>
      <c r="E1411" s="42">
        <v>9000</v>
      </c>
      <c r="G1411" s="42">
        <f t="shared" si="25"/>
        <v>-9000</v>
      </c>
      <c r="H1411" s="49" t="s">
        <v>1089</v>
      </c>
    </row>
    <row r="1412" spans="1:8" x14ac:dyDescent="0.2">
      <c r="A1412" s="595">
        <v>42590</v>
      </c>
      <c r="B1412" s="41" t="s">
        <v>16</v>
      </c>
      <c r="C1412" s="41" t="s">
        <v>1230</v>
      </c>
      <c r="D1412" s="108" t="s">
        <v>463</v>
      </c>
      <c r="E1412" s="42">
        <v>20000</v>
      </c>
      <c r="G1412" s="42">
        <f t="shared" si="25"/>
        <v>-20000</v>
      </c>
      <c r="H1412" s="49" t="s">
        <v>1089</v>
      </c>
    </row>
    <row r="1413" spans="1:8" x14ac:dyDescent="0.2">
      <c r="A1413" s="595">
        <v>42590</v>
      </c>
      <c r="B1413" s="41" t="s">
        <v>16</v>
      </c>
      <c r="C1413" s="41" t="s">
        <v>1230</v>
      </c>
      <c r="D1413" s="108" t="s">
        <v>1244</v>
      </c>
      <c r="E1413" s="42">
        <v>13516</v>
      </c>
      <c r="G1413" s="42">
        <f t="shared" si="25"/>
        <v>-13516</v>
      </c>
      <c r="H1413" s="49" t="s">
        <v>1089</v>
      </c>
    </row>
    <row r="1414" spans="1:8" x14ac:dyDescent="0.2">
      <c r="A1414" s="595">
        <v>42590</v>
      </c>
      <c r="B1414" s="41" t="s">
        <v>16</v>
      </c>
      <c r="C1414" s="41" t="s">
        <v>1230</v>
      </c>
      <c r="D1414" s="108" t="s">
        <v>1075</v>
      </c>
      <c r="E1414" s="42">
        <v>22000</v>
      </c>
      <c r="G1414" s="42">
        <f t="shared" si="25"/>
        <v>-22000</v>
      </c>
      <c r="H1414" s="49" t="s">
        <v>1089</v>
      </c>
    </row>
    <row r="1415" spans="1:8" x14ac:dyDescent="0.2">
      <c r="A1415" s="595">
        <v>42590</v>
      </c>
      <c r="B1415" s="41" t="s">
        <v>16</v>
      </c>
      <c r="C1415" s="41" t="s">
        <v>1230</v>
      </c>
      <c r="D1415" s="108" t="s">
        <v>1107</v>
      </c>
      <c r="E1415" s="42">
        <v>17419</v>
      </c>
      <c r="G1415" s="42">
        <f t="shared" si="25"/>
        <v>-17419</v>
      </c>
      <c r="H1415" s="49" t="s">
        <v>1089</v>
      </c>
    </row>
    <row r="1416" spans="1:8" x14ac:dyDescent="0.2">
      <c r="A1416" s="595">
        <v>42590</v>
      </c>
      <c r="B1416" s="41" t="s">
        <v>16</v>
      </c>
      <c r="C1416" s="41" t="s">
        <v>1230</v>
      </c>
      <c r="D1416" s="108" t="s">
        <v>1245</v>
      </c>
      <c r="E1416" s="42">
        <v>9000</v>
      </c>
      <c r="G1416" s="42">
        <f t="shared" si="25"/>
        <v>-9000</v>
      </c>
      <c r="H1416" s="49" t="s">
        <v>1089</v>
      </c>
    </row>
    <row r="1417" spans="1:8" x14ac:dyDescent="0.2">
      <c r="A1417" s="595">
        <v>42590</v>
      </c>
      <c r="B1417" s="41" t="s">
        <v>40</v>
      </c>
      <c r="C1417" s="41" t="s">
        <v>1230</v>
      </c>
      <c r="D1417" s="108" t="s">
        <v>1246</v>
      </c>
      <c r="E1417" s="42">
        <v>35000</v>
      </c>
      <c r="G1417" s="42">
        <f t="shared" ref="G1417:G1480" si="26">F1417-E1417</f>
        <v>-35000</v>
      </c>
      <c r="H1417" s="49" t="s">
        <v>1089</v>
      </c>
    </row>
    <row r="1418" spans="1:8" x14ac:dyDescent="0.2">
      <c r="A1418" s="595">
        <v>42590</v>
      </c>
      <c r="B1418" s="41" t="s">
        <v>40</v>
      </c>
      <c r="C1418" s="41" t="s">
        <v>1230</v>
      </c>
      <c r="D1418" s="108" t="s">
        <v>211</v>
      </c>
      <c r="E1418" s="42">
        <v>18000</v>
      </c>
      <c r="G1418" s="42">
        <f t="shared" si="26"/>
        <v>-18000</v>
      </c>
      <c r="H1418" s="49" t="s">
        <v>1089</v>
      </c>
    </row>
    <row r="1419" spans="1:8" x14ac:dyDescent="0.2">
      <c r="A1419" s="595">
        <v>42590</v>
      </c>
      <c r="B1419" s="41" t="s">
        <v>40</v>
      </c>
      <c r="C1419" s="41" t="s">
        <v>1230</v>
      </c>
      <c r="D1419" s="108" t="s">
        <v>290</v>
      </c>
      <c r="E1419" s="42">
        <v>20327</v>
      </c>
      <c r="G1419" s="42">
        <f t="shared" si="26"/>
        <v>-20327</v>
      </c>
      <c r="H1419" s="49" t="s">
        <v>1089</v>
      </c>
    </row>
    <row r="1420" spans="1:8" x14ac:dyDescent="0.2">
      <c r="A1420" s="595">
        <v>42590</v>
      </c>
      <c r="B1420" s="41" t="s">
        <v>40</v>
      </c>
      <c r="C1420" s="41" t="s">
        <v>1230</v>
      </c>
      <c r="D1420" s="108" t="s">
        <v>1247</v>
      </c>
      <c r="E1420" s="42">
        <v>9738</v>
      </c>
      <c r="G1420" s="42">
        <f t="shared" si="26"/>
        <v>-9738</v>
      </c>
      <c r="H1420" s="49" t="s">
        <v>1089</v>
      </c>
    </row>
    <row r="1421" spans="1:8" x14ac:dyDescent="0.2">
      <c r="A1421" s="595">
        <v>42590</v>
      </c>
      <c r="B1421" s="41" t="s">
        <v>40</v>
      </c>
      <c r="C1421" s="41" t="s">
        <v>1230</v>
      </c>
      <c r="D1421" s="108" t="s">
        <v>208</v>
      </c>
      <c r="E1421" s="42">
        <v>9368</v>
      </c>
      <c r="G1421" s="42">
        <f t="shared" si="26"/>
        <v>-9368</v>
      </c>
      <c r="H1421" s="49" t="s">
        <v>1089</v>
      </c>
    </row>
    <row r="1422" spans="1:8" x14ac:dyDescent="0.2">
      <c r="A1422" s="595">
        <v>42590</v>
      </c>
      <c r="B1422" s="41" t="s">
        <v>40</v>
      </c>
      <c r="C1422" s="41" t="s">
        <v>1230</v>
      </c>
      <c r="D1422" s="108" t="s">
        <v>209</v>
      </c>
      <c r="E1422" s="42">
        <v>2565</v>
      </c>
      <c r="G1422" s="42">
        <f t="shared" si="26"/>
        <v>-2565</v>
      </c>
      <c r="H1422" s="49" t="s">
        <v>1089</v>
      </c>
    </row>
    <row r="1423" spans="1:8" x14ac:dyDescent="0.2">
      <c r="A1423" s="595">
        <v>42590</v>
      </c>
      <c r="B1423" s="41" t="s">
        <v>40</v>
      </c>
      <c r="C1423" s="41" t="s">
        <v>1230</v>
      </c>
      <c r="D1423" s="108" t="s">
        <v>210</v>
      </c>
      <c r="E1423" s="42">
        <v>6613</v>
      </c>
      <c r="G1423" s="42">
        <f t="shared" si="26"/>
        <v>-6613</v>
      </c>
      <c r="H1423" s="49" t="s">
        <v>1089</v>
      </c>
    </row>
    <row r="1424" spans="1:8" x14ac:dyDescent="0.2">
      <c r="A1424" s="595">
        <v>42590</v>
      </c>
      <c r="B1424" s="41" t="s">
        <v>40</v>
      </c>
      <c r="C1424" s="41" t="s">
        <v>1230</v>
      </c>
      <c r="D1424" s="108" t="s">
        <v>205</v>
      </c>
      <c r="E1424" s="42">
        <v>19758</v>
      </c>
      <c r="G1424" s="42">
        <f t="shared" si="26"/>
        <v>-19758</v>
      </c>
      <c r="H1424" s="49" t="s">
        <v>1089</v>
      </c>
    </row>
    <row r="1425" spans="1:8" x14ac:dyDescent="0.2">
      <c r="A1425" s="595">
        <v>42590</v>
      </c>
      <c r="B1425" s="41" t="s">
        <v>40</v>
      </c>
      <c r="C1425" s="41" t="s">
        <v>1230</v>
      </c>
      <c r="D1425" s="108" t="s">
        <v>1248</v>
      </c>
      <c r="E1425" s="42">
        <v>11931</v>
      </c>
      <c r="G1425" s="42">
        <f t="shared" si="26"/>
        <v>-11931</v>
      </c>
      <c r="H1425" s="49" t="s">
        <v>1089</v>
      </c>
    </row>
    <row r="1426" spans="1:8" x14ac:dyDescent="0.2">
      <c r="A1426" s="595">
        <v>42590</v>
      </c>
      <c r="B1426" s="41" t="s">
        <v>154</v>
      </c>
      <c r="C1426" s="41" t="s">
        <v>1230</v>
      </c>
      <c r="D1426" s="108" t="s">
        <v>1249</v>
      </c>
      <c r="E1426" s="42">
        <v>10016</v>
      </c>
      <c r="G1426" s="42">
        <f t="shared" si="26"/>
        <v>-10016</v>
      </c>
      <c r="H1426" s="49" t="s">
        <v>1089</v>
      </c>
    </row>
    <row r="1427" spans="1:8" x14ac:dyDescent="0.2">
      <c r="A1427" s="595">
        <v>42590</v>
      </c>
      <c r="B1427" s="41" t="s">
        <v>154</v>
      </c>
      <c r="C1427" s="41" t="s">
        <v>1230</v>
      </c>
      <c r="D1427" s="108" t="s">
        <v>1082</v>
      </c>
      <c r="E1427" s="42">
        <v>2000</v>
      </c>
      <c r="G1427" s="42">
        <f t="shared" si="26"/>
        <v>-2000</v>
      </c>
      <c r="H1427" s="49" t="s">
        <v>1089</v>
      </c>
    </row>
    <row r="1428" spans="1:8" x14ac:dyDescent="0.2">
      <c r="A1428" s="595">
        <v>42590</v>
      </c>
      <c r="B1428" s="41" t="s">
        <v>40</v>
      </c>
      <c r="C1428" s="41" t="s">
        <v>1230</v>
      </c>
      <c r="D1428" s="108" t="s">
        <v>1081</v>
      </c>
      <c r="E1428" s="42">
        <v>11462</v>
      </c>
      <c r="G1428" s="42">
        <f t="shared" si="26"/>
        <v>-11462</v>
      </c>
      <c r="H1428" s="49" t="s">
        <v>1089</v>
      </c>
    </row>
    <row r="1429" spans="1:8" x14ac:dyDescent="0.2">
      <c r="A1429" s="595">
        <v>42590</v>
      </c>
      <c r="B1429" s="41" t="s">
        <v>154</v>
      </c>
      <c r="C1429" s="41" t="s">
        <v>1230</v>
      </c>
      <c r="D1429" s="108" t="s">
        <v>1252</v>
      </c>
      <c r="E1429" s="42">
        <v>20392</v>
      </c>
      <c r="G1429" s="42">
        <f t="shared" si="26"/>
        <v>-20392</v>
      </c>
      <c r="H1429" s="49" t="s">
        <v>1089</v>
      </c>
    </row>
    <row r="1430" spans="1:8" x14ac:dyDescent="0.2">
      <c r="A1430" s="595">
        <v>42590</v>
      </c>
      <c r="B1430" s="41" t="s">
        <v>154</v>
      </c>
      <c r="C1430" s="41" t="s">
        <v>1230</v>
      </c>
      <c r="D1430" s="108" t="s">
        <v>1076</v>
      </c>
      <c r="E1430" s="42">
        <v>26081</v>
      </c>
      <c r="G1430" s="42">
        <f t="shared" si="26"/>
        <v>-26081</v>
      </c>
      <c r="H1430" s="49" t="s">
        <v>1089</v>
      </c>
    </row>
    <row r="1431" spans="1:8" x14ac:dyDescent="0.2">
      <c r="A1431" s="595">
        <v>42590</v>
      </c>
      <c r="B1431" s="41" t="s">
        <v>37</v>
      </c>
      <c r="C1431" s="41" t="s">
        <v>1230</v>
      </c>
      <c r="D1431" s="108" t="s">
        <v>111</v>
      </c>
      <c r="E1431" s="42">
        <v>18577</v>
      </c>
      <c r="G1431" s="42">
        <f t="shared" si="26"/>
        <v>-18577</v>
      </c>
      <c r="H1431" s="49" t="s">
        <v>1089</v>
      </c>
    </row>
    <row r="1432" spans="1:8" x14ac:dyDescent="0.2">
      <c r="A1432" s="595">
        <v>42590</v>
      </c>
      <c r="B1432" s="41" t="s">
        <v>37</v>
      </c>
      <c r="C1432" s="41" t="s">
        <v>1230</v>
      </c>
      <c r="D1432" s="108" t="s">
        <v>195</v>
      </c>
      <c r="E1432" s="42">
        <v>11815</v>
      </c>
      <c r="G1432" s="42">
        <f t="shared" si="26"/>
        <v>-11815</v>
      </c>
      <c r="H1432" s="49" t="s">
        <v>1089</v>
      </c>
    </row>
    <row r="1433" spans="1:8" x14ac:dyDescent="0.2">
      <c r="A1433" s="595">
        <v>42590</v>
      </c>
      <c r="B1433" s="41" t="s">
        <v>37</v>
      </c>
      <c r="C1433" s="41" t="s">
        <v>1230</v>
      </c>
      <c r="D1433" s="108" t="s">
        <v>1068</v>
      </c>
      <c r="E1433" s="42">
        <v>11944</v>
      </c>
      <c r="G1433" s="42">
        <f t="shared" si="26"/>
        <v>-11944</v>
      </c>
      <c r="H1433" s="49" t="s">
        <v>1089</v>
      </c>
    </row>
    <row r="1434" spans="1:8" x14ac:dyDescent="0.2">
      <c r="A1434" s="595">
        <v>42590</v>
      </c>
      <c r="B1434" s="41" t="s">
        <v>37</v>
      </c>
      <c r="C1434" s="41" t="s">
        <v>1230</v>
      </c>
      <c r="D1434" s="108" t="s">
        <v>1253</v>
      </c>
      <c r="E1434" s="42">
        <v>9617</v>
      </c>
      <c r="G1434" s="42">
        <f t="shared" si="26"/>
        <v>-9617</v>
      </c>
      <c r="H1434" s="49" t="s">
        <v>1089</v>
      </c>
    </row>
    <row r="1435" spans="1:8" x14ac:dyDescent="0.2">
      <c r="A1435" s="595">
        <v>42590</v>
      </c>
      <c r="B1435" s="41" t="s">
        <v>37</v>
      </c>
      <c r="C1435" s="41" t="s">
        <v>1230</v>
      </c>
      <c r="D1435" s="108" t="s">
        <v>198</v>
      </c>
      <c r="E1435" s="42">
        <v>11821</v>
      </c>
      <c r="G1435" s="42">
        <f t="shared" si="26"/>
        <v>-11821</v>
      </c>
      <c r="H1435" s="49" t="s">
        <v>1089</v>
      </c>
    </row>
    <row r="1436" spans="1:8" x14ac:dyDescent="0.2">
      <c r="A1436" s="595">
        <v>42590</v>
      </c>
      <c r="B1436" s="41" t="s">
        <v>37</v>
      </c>
      <c r="C1436" s="41" t="s">
        <v>1230</v>
      </c>
      <c r="D1436" s="108" t="s">
        <v>527</v>
      </c>
      <c r="E1436" s="42">
        <v>11008</v>
      </c>
      <c r="G1436" s="42">
        <f t="shared" si="26"/>
        <v>-11008</v>
      </c>
      <c r="H1436" s="49" t="s">
        <v>1089</v>
      </c>
    </row>
    <row r="1437" spans="1:8" x14ac:dyDescent="0.2">
      <c r="A1437" s="595">
        <v>42590</v>
      </c>
      <c r="B1437" s="41" t="s">
        <v>37</v>
      </c>
      <c r="C1437" s="41" t="s">
        <v>1230</v>
      </c>
      <c r="D1437" s="108" t="s">
        <v>1069</v>
      </c>
      <c r="E1437" s="42">
        <v>9581</v>
      </c>
      <c r="G1437" s="42">
        <f t="shared" si="26"/>
        <v>-9581</v>
      </c>
      <c r="H1437" s="49" t="s">
        <v>1089</v>
      </c>
    </row>
    <row r="1438" spans="1:8" x14ac:dyDescent="0.2">
      <c r="A1438" s="595">
        <v>42591</v>
      </c>
      <c r="B1438" s="41" t="s">
        <v>16</v>
      </c>
      <c r="C1438" s="41" t="s">
        <v>773</v>
      </c>
      <c r="D1438" s="108" t="s">
        <v>1254</v>
      </c>
      <c r="E1438" s="42">
        <v>250</v>
      </c>
      <c r="G1438" s="42">
        <f t="shared" si="26"/>
        <v>-250</v>
      </c>
      <c r="H1438" s="49" t="s">
        <v>1089</v>
      </c>
    </row>
    <row r="1439" spans="1:8" x14ac:dyDescent="0.2">
      <c r="A1439" s="595">
        <v>42592</v>
      </c>
      <c r="B1439" s="41" t="s">
        <v>82</v>
      </c>
      <c r="C1439" s="41" t="s">
        <v>82</v>
      </c>
      <c r="D1439" s="108" t="s">
        <v>1200</v>
      </c>
      <c r="E1439" s="58"/>
      <c r="F1439" s="58">
        <v>874071</v>
      </c>
      <c r="G1439" s="58">
        <f t="shared" si="26"/>
        <v>874071</v>
      </c>
      <c r="H1439" s="49" t="s">
        <v>1089</v>
      </c>
    </row>
    <row r="1440" spans="1:8" x14ac:dyDescent="0.2">
      <c r="A1440" s="595">
        <v>42592</v>
      </c>
      <c r="B1440" s="41" t="s">
        <v>40</v>
      </c>
      <c r="C1440" s="41" t="s">
        <v>573</v>
      </c>
      <c r="D1440" s="108" t="s">
        <v>1255</v>
      </c>
      <c r="E1440" s="42">
        <v>100000</v>
      </c>
      <c r="G1440" s="42">
        <f t="shared" si="26"/>
        <v>-100000</v>
      </c>
      <c r="H1440" s="49" t="s">
        <v>1089</v>
      </c>
    </row>
    <row r="1441" spans="1:8" x14ac:dyDescent="0.2">
      <c r="A1441" s="595">
        <v>42592</v>
      </c>
      <c r="B1441" s="41" t="s">
        <v>154</v>
      </c>
      <c r="C1441" s="41" t="s">
        <v>146</v>
      </c>
      <c r="D1441" s="108" t="s">
        <v>1256</v>
      </c>
      <c r="E1441" s="42">
        <v>520</v>
      </c>
      <c r="G1441" s="42">
        <f t="shared" si="26"/>
        <v>-520</v>
      </c>
      <c r="H1441" s="49" t="s">
        <v>1089</v>
      </c>
    </row>
    <row r="1442" spans="1:8" x14ac:dyDescent="0.2">
      <c r="A1442" s="595">
        <v>42592</v>
      </c>
      <c r="B1442" s="41" t="s">
        <v>40</v>
      </c>
      <c r="C1442" s="41" t="s">
        <v>64</v>
      </c>
      <c r="D1442" s="108" t="s">
        <v>1257</v>
      </c>
      <c r="E1442" s="42">
        <v>500</v>
      </c>
      <c r="G1442" s="42">
        <f t="shared" si="26"/>
        <v>-500</v>
      </c>
      <c r="H1442" s="49" t="s">
        <v>1089</v>
      </c>
    </row>
    <row r="1443" spans="1:8" x14ac:dyDescent="0.2">
      <c r="A1443" s="595">
        <v>42592</v>
      </c>
      <c r="B1443" s="41" t="s">
        <v>16</v>
      </c>
      <c r="C1443" s="41" t="s">
        <v>146</v>
      </c>
      <c r="D1443" s="108" t="s">
        <v>1258</v>
      </c>
      <c r="E1443" s="42">
        <v>50</v>
      </c>
      <c r="G1443" s="42">
        <f t="shared" si="26"/>
        <v>-50</v>
      </c>
      <c r="H1443" s="49" t="s">
        <v>1089</v>
      </c>
    </row>
    <row r="1444" spans="1:8" ht="36" x14ac:dyDescent="0.2">
      <c r="A1444" s="595">
        <v>42592</v>
      </c>
      <c r="B1444" s="41" t="s">
        <v>16</v>
      </c>
      <c r="C1444" s="41" t="s">
        <v>372</v>
      </c>
      <c r="D1444" s="129" t="s">
        <v>1259</v>
      </c>
      <c r="E1444" s="75">
        <v>1000</v>
      </c>
      <c r="G1444" s="42">
        <f t="shared" si="26"/>
        <v>-1000</v>
      </c>
      <c r="H1444" s="49" t="s">
        <v>1089</v>
      </c>
    </row>
    <row r="1445" spans="1:8" x14ac:dyDescent="0.2">
      <c r="A1445" s="595">
        <v>42592</v>
      </c>
      <c r="B1445" s="41" t="s">
        <v>11</v>
      </c>
      <c r="C1445" s="41" t="s">
        <v>1230</v>
      </c>
      <c r="D1445" s="108" t="s">
        <v>1260</v>
      </c>
      <c r="E1445" s="42">
        <v>5000</v>
      </c>
      <c r="G1445" s="42">
        <f t="shared" si="26"/>
        <v>-5000</v>
      </c>
      <c r="H1445" s="49" t="s">
        <v>1089</v>
      </c>
    </row>
    <row r="1446" spans="1:8" x14ac:dyDescent="0.2">
      <c r="A1446" s="595">
        <v>42592</v>
      </c>
      <c r="B1446" s="41" t="s">
        <v>154</v>
      </c>
      <c r="C1446" s="41" t="s">
        <v>220</v>
      </c>
      <c r="D1446" s="108" t="s">
        <v>1261</v>
      </c>
      <c r="E1446" s="42">
        <v>570</v>
      </c>
      <c r="G1446" s="42">
        <f t="shared" si="26"/>
        <v>-570</v>
      </c>
      <c r="H1446" s="49" t="s">
        <v>1089</v>
      </c>
    </row>
    <row r="1447" spans="1:8" x14ac:dyDescent="0.2">
      <c r="A1447" s="595">
        <v>42592</v>
      </c>
      <c r="B1447" s="41" t="s">
        <v>16</v>
      </c>
      <c r="C1447" s="41" t="s">
        <v>773</v>
      </c>
      <c r="D1447" s="108" t="s">
        <v>1262</v>
      </c>
      <c r="E1447" s="42">
        <v>100</v>
      </c>
      <c r="G1447" s="42">
        <f t="shared" si="26"/>
        <v>-100</v>
      </c>
      <c r="H1447" s="49" t="s">
        <v>1089</v>
      </c>
    </row>
    <row r="1448" spans="1:8" x14ac:dyDescent="0.2">
      <c r="A1448" s="595">
        <v>42593</v>
      </c>
      <c r="B1448" s="41" t="s">
        <v>16</v>
      </c>
      <c r="C1448" s="41" t="s">
        <v>773</v>
      </c>
      <c r="D1448" s="108" t="s">
        <v>1263</v>
      </c>
      <c r="E1448" s="42">
        <v>350</v>
      </c>
      <c r="G1448" s="42">
        <f t="shared" si="26"/>
        <v>-350</v>
      </c>
      <c r="H1448" s="49" t="s">
        <v>1089</v>
      </c>
    </row>
    <row r="1449" spans="1:8" x14ac:dyDescent="0.2">
      <c r="A1449" s="595">
        <v>42593</v>
      </c>
      <c r="B1449" s="41" t="s">
        <v>11</v>
      </c>
      <c r="C1449" s="41" t="s">
        <v>450</v>
      </c>
      <c r="D1449" s="108" t="s">
        <v>1264</v>
      </c>
      <c r="E1449" s="42">
        <v>1500</v>
      </c>
      <c r="G1449" s="42">
        <f t="shared" si="26"/>
        <v>-1500</v>
      </c>
      <c r="H1449" s="49" t="s">
        <v>1089</v>
      </c>
    </row>
    <row r="1450" spans="1:8" x14ac:dyDescent="0.2">
      <c r="A1450" s="595">
        <v>42593</v>
      </c>
      <c r="B1450" s="41" t="s">
        <v>154</v>
      </c>
      <c r="C1450" s="41" t="s">
        <v>214</v>
      </c>
      <c r="D1450" s="108" t="s">
        <v>1265</v>
      </c>
      <c r="E1450" s="42">
        <v>25000</v>
      </c>
      <c r="G1450" s="42">
        <f t="shared" si="26"/>
        <v>-25000</v>
      </c>
      <c r="H1450" s="49" t="s">
        <v>1089</v>
      </c>
    </row>
    <row r="1451" spans="1:8" x14ac:dyDescent="0.2">
      <c r="A1451" s="595">
        <v>42594</v>
      </c>
      <c r="B1451" s="41" t="s">
        <v>37</v>
      </c>
      <c r="C1451" s="41" t="s">
        <v>37</v>
      </c>
      <c r="D1451" s="108" t="s">
        <v>1207</v>
      </c>
      <c r="F1451" s="42">
        <v>74000</v>
      </c>
      <c r="G1451" s="42">
        <f t="shared" si="26"/>
        <v>74000</v>
      </c>
      <c r="H1451" s="49" t="s">
        <v>1089</v>
      </c>
    </row>
    <row r="1452" spans="1:8" x14ac:dyDescent="0.2">
      <c r="A1452" s="595">
        <v>42594</v>
      </c>
      <c r="B1452" s="41" t="s">
        <v>37</v>
      </c>
      <c r="C1452" s="41" t="s">
        <v>37</v>
      </c>
      <c r="D1452" s="108" t="s">
        <v>1208</v>
      </c>
      <c r="F1452" s="42">
        <v>157140</v>
      </c>
      <c r="G1452" s="42">
        <f t="shared" si="26"/>
        <v>157140</v>
      </c>
      <c r="H1452" s="49" t="s">
        <v>1089</v>
      </c>
    </row>
    <row r="1453" spans="1:8" x14ac:dyDescent="0.2">
      <c r="A1453" s="595">
        <v>42594</v>
      </c>
      <c r="B1453" s="41" t="s">
        <v>37</v>
      </c>
      <c r="C1453" s="41" t="s">
        <v>37</v>
      </c>
      <c r="D1453" s="108" t="s">
        <v>1209</v>
      </c>
      <c r="F1453" s="42">
        <v>314280</v>
      </c>
      <c r="G1453" s="42">
        <f t="shared" si="26"/>
        <v>314280</v>
      </c>
      <c r="H1453" s="49" t="s">
        <v>1089</v>
      </c>
    </row>
    <row r="1454" spans="1:8" x14ac:dyDescent="0.2">
      <c r="A1454" s="595">
        <v>42594</v>
      </c>
      <c r="B1454" s="41" t="s">
        <v>40</v>
      </c>
      <c r="C1454" s="41" t="s">
        <v>14</v>
      </c>
      <c r="D1454" s="108" t="s">
        <v>392</v>
      </c>
      <c r="E1454" s="42">
        <v>240</v>
      </c>
      <c r="G1454" s="42">
        <f t="shared" si="26"/>
        <v>-240</v>
      </c>
      <c r="H1454" s="49" t="s">
        <v>1089</v>
      </c>
    </row>
    <row r="1455" spans="1:8" x14ac:dyDescent="0.2">
      <c r="A1455" s="595">
        <v>42594</v>
      </c>
      <c r="B1455" s="41" t="s">
        <v>22</v>
      </c>
      <c r="C1455" s="41" t="s">
        <v>309</v>
      </c>
      <c r="D1455" s="108" t="s">
        <v>583</v>
      </c>
      <c r="E1455" s="42">
        <v>2200</v>
      </c>
      <c r="G1455" s="42">
        <f t="shared" si="26"/>
        <v>-2200</v>
      </c>
      <c r="H1455" s="49" t="s">
        <v>1089</v>
      </c>
    </row>
    <row r="1456" spans="1:8" ht="12.75" customHeight="1" x14ac:dyDescent="0.2">
      <c r="A1456" s="595">
        <v>42594</v>
      </c>
      <c r="B1456" s="41" t="s">
        <v>11</v>
      </c>
      <c r="C1456" s="41" t="s">
        <v>309</v>
      </c>
      <c r="D1456" s="108" t="s">
        <v>583</v>
      </c>
      <c r="E1456" s="42">
        <v>1500</v>
      </c>
      <c r="G1456" s="42">
        <f t="shared" si="26"/>
        <v>-1500</v>
      </c>
      <c r="H1456" s="49" t="s">
        <v>1089</v>
      </c>
    </row>
    <row r="1457" spans="1:8" x14ac:dyDescent="0.2">
      <c r="A1457" s="595">
        <v>42594</v>
      </c>
      <c r="B1457" s="41" t="s">
        <v>40</v>
      </c>
      <c r="C1457" s="41" t="s">
        <v>359</v>
      </c>
      <c r="D1457" s="794"/>
      <c r="E1457" s="42">
        <v>750</v>
      </c>
      <c r="G1457" s="42">
        <f t="shared" si="26"/>
        <v>-750</v>
      </c>
      <c r="H1457" s="49" t="s">
        <v>1089</v>
      </c>
    </row>
    <row r="1458" spans="1:8" x14ac:dyDescent="0.2">
      <c r="A1458" s="595">
        <v>42594</v>
      </c>
      <c r="B1458" s="41" t="s">
        <v>16</v>
      </c>
      <c r="C1458" s="41" t="s">
        <v>773</v>
      </c>
      <c r="D1458" s="108" t="s">
        <v>1266</v>
      </c>
      <c r="E1458" s="42">
        <v>100</v>
      </c>
      <c r="G1458" s="42">
        <f t="shared" si="26"/>
        <v>-100</v>
      </c>
      <c r="H1458" s="49" t="s">
        <v>1089</v>
      </c>
    </row>
    <row r="1459" spans="1:8" x14ac:dyDescent="0.2">
      <c r="A1459" s="595">
        <v>42594</v>
      </c>
      <c r="B1459" s="41" t="s">
        <v>18</v>
      </c>
      <c r="C1459" s="41" t="s">
        <v>372</v>
      </c>
      <c r="D1459" s="108" t="s">
        <v>392</v>
      </c>
      <c r="E1459" s="42">
        <v>1000</v>
      </c>
      <c r="G1459" s="42">
        <f t="shared" si="26"/>
        <v>-1000</v>
      </c>
      <c r="H1459" s="49" t="s">
        <v>1089</v>
      </c>
    </row>
    <row r="1460" spans="1:8" x14ac:dyDescent="0.2">
      <c r="A1460" s="595">
        <v>42594</v>
      </c>
      <c r="B1460" s="41" t="s">
        <v>40</v>
      </c>
      <c r="C1460" s="41" t="s">
        <v>1392</v>
      </c>
      <c r="D1460" s="108" t="s">
        <v>1393</v>
      </c>
      <c r="E1460" s="42">
        <v>1022522</v>
      </c>
      <c r="G1460" s="42">
        <f t="shared" si="26"/>
        <v>-1022522</v>
      </c>
      <c r="H1460" s="49" t="s">
        <v>1089</v>
      </c>
    </row>
    <row r="1461" spans="1:8" x14ac:dyDescent="0.2">
      <c r="A1461" s="595">
        <v>42595</v>
      </c>
      <c r="B1461" s="41" t="s">
        <v>40</v>
      </c>
      <c r="C1461" s="41" t="s">
        <v>111</v>
      </c>
      <c r="D1461" s="108" t="s">
        <v>660</v>
      </c>
      <c r="E1461" s="42">
        <v>10568</v>
      </c>
      <c r="G1461" s="42">
        <f t="shared" si="26"/>
        <v>-10568</v>
      </c>
      <c r="H1461" s="49" t="s">
        <v>1089</v>
      </c>
    </row>
    <row r="1462" spans="1:8" x14ac:dyDescent="0.2">
      <c r="A1462" s="595">
        <v>42595</v>
      </c>
      <c r="B1462" s="41" t="s">
        <v>16</v>
      </c>
      <c r="C1462" s="41" t="s">
        <v>773</v>
      </c>
      <c r="D1462" s="108" t="s">
        <v>1267</v>
      </c>
      <c r="E1462" s="42">
        <v>120</v>
      </c>
      <c r="G1462" s="42">
        <f t="shared" si="26"/>
        <v>-120</v>
      </c>
      <c r="H1462" s="49" t="s">
        <v>1089</v>
      </c>
    </row>
    <row r="1463" spans="1:8" x14ac:dyDescent="0.2">
      <c r="A1463" s="595">
        <v>42595</v>
      </c>
      <c r="B1463" s="41" t="s">
        <v>22</v>
      </c>
      <c r="C1463" s="41" t="s">
        <v>111</v>
      </c>
      <c r="D1463" s="108" t="s">
        <v>660</v>
      </c>
      <c r="E1463" s="42">
        <v>22405</v>
      </c>
      <c r="G1463" s="42">
        <f t="shared" si="26"/>
        <v>-22405</v>
      </c>
      <c r="H1463" s="49" t="s">
        <v>1089</v>
      </c>
    </row>
    <row r="1464" spans="1:8" x14ac:dyDescent="0.2">
      <c r="A1464" s="595">
        <v>42595</v>
      </c>
      <c r="B1464" s="41" t="s">
        <v>37</v>
      </c>
      <c r="C1464" s="41" t="s">
        <v>111</v>
      </c>
      <c r="D1464" s="108" t="s">
        <v>660</v>
      </c>
      <c r="E1464" s="42">
        <v>2410</v>
      </c>
      <c r="G1464" s="42">
        <f t="shared" si="26"/>
        <v>-2410</v>
      </c>
      <c r="H1464" s="49" t="s">
        <v>1089</v>
      </c>
    </row>
    <row r="1465" spans="1:8" x14ac:dyDescent="0.2">
      <c r="A1465" s="595">
        <v>42595</v>
      </c>
      <c r="B1465" s="41" t="s">
        <v>402</v>
      </c>
      <c r="C1465" s="41" t="s">
        <v>220</v>
      </c>
      <c r="D1465" s="108" t="s">
        <v>822</v>
      </c>
      <c r="E1465" s="42">
        <v>500</v>
      </c>
      <c r="G1465" s="42">
        <f t="shared" si="26"/>
        <v>-500</v>
      </c>
      <c r="H1465" s="49" t="s">
        <v>1089</v>
      </c>
    </row>
    <row r="1466" spans="1:8" x14ac:dyDescent="0.2">
      <c r="A1466" s="595">
        <v>42595</v>
      </c>
      <c r="B1466" s="41" t="s">
        <v>402</v>
      </c>
      <c r="C1466" s="41" t="s">
        <v>359</v>
      </c>
      <c r="D1466" s="108" t="s">
        <v>1268</v>
      </c>
      <c r="E1466" s="42">
        <v>200000</v>
      </c>
      <c r="G1466" s="42">
        <f t="shared" si="26"/>
        <v>-200000</v>
      </c>
      <c r="H1466" s="49" t="s">
        <v>1089</v>
      </c>
    </row>
    <row r="1467" spans="1:8" x14ac:dyDescent="0.2">
      <c r="A1467" s="595">
        <v>42595</v>
      </c>
      <c r="B1467" s="67" t="s">
        <v>40</v>
      </c>
      <c r="C1467" s="67" t="s">
        <v>251</v>
      </c>
      <c r="D1467" s="108" t="s">
        <v>1269</v>
      </c>
      <c r="E1467" s="42">
        <v>50000</v>
      </c>
      <c r="G1467" s="42">
        <f t="shared" si="26"/>
        <v>-50000</v>
      </c>
      <c r="H1467" s="49" t="s">
        <v>1089</v>
      </c>
    </row>
    <row r="1468" spans="1:8" x14ac:dyDescent="0.2">
      <c r="A1468" s="595">
        <v>42597</v>
      </c>
      <c r="B1468" s="41" t="s">
        <v>40</v>
      </c>
      <c r="C1468" s="41" t="s">
        <v>1897</v>
      </c>
      <c r="D1468" s="108" t="s">
        <v>1270</v>
      </c>
      <c r="E1468" s="42">
        <v>220</v>
      </c>
      <c r="G1468" s="42">
        <f t="shared" si="26"/>
        <v>-220</v>
      </c>
      <c r="H1468" s="49" t="s">
        <v>1089</v>
      </c>
    </row>
    <row r="1469" spans="1:8" x14ac:dyDescent="0.2">
      <c r="A1469" s="595">
        <v>42597</v>
      </c>
      <c r="B1469" s="41" t="s">
        <v>25</v>
      </c>
      <c r="C1469" s="41" t="s">
        <v>1894</v>
      </c>
      <c r="D1469" s="108" t="s">
        <v>1271</v>
      </c>
      <c r="E1469" s="42">
        <v>2000</v>
      </c>
      <c r="G1469" s="42">
        <f t="shared" si="26"/>
        <v>-2000</v>
      </c>
      <c r="H1469" s="49" t="s">
        <v>1089</v>
      </c>
    </row>
    <row r="1470" spans="1:8" x14ac:dyDescent="0.2">
      <c r="A1470" s="595">
        <v>42597</v>
      </c>
      <c r="B1470" s="41" t="s">
        <v>25</v>
      </c>
      <c r="C1470" s="41" t="s">
        <v>1894</v>
      </c>
      <c r="D1470" s="108" t="s">
        <v>1272</v>
      </c>
      <c r="E1470" s="42">
        <v>2113</v>
      </c>
      <c r="G1470" s="42">
        <f t="shared" si="26"/>
        <v>-2113</v>
      </c>
      <c r="H1470" s="49" t="s">
        <v>1089</v>
      </c>
    </row>
    <row r="1471" spans="1:8" x14ac:dyDescent="0.2">
      <c r="A1471" s="595">
        <v>42597</v>
      </c>
      <c r="B1471" s="41" t="s">
        <v>16</v>
      </c>
      <c r="C1471" s="41" t="s">
        <v>773</v>
      </c>
      <c r="D1471" s="108" t="s">
        <v>1273</v>
      </c>
      <c r="E1471" s="42">
        <v>50</v>
      </c>
      <c r="G1471" s="42">
        <f t="shared" si="26"/>
        <v>-50</v>
      </c>
      <c r="H1471" s="49" t="s">
        <v>1089</v>
      </c>
    </row>
    <row r="1472" spans="1:8" x14ac:dyDescent="0.2">
      <c r="A1472" s="595">
        <v>42597</v>
      </c>
      <c r="B1472" s="41" t="s">
        <v>40</v>
      </c>
      <c r="C1472" s="41" t="s">
        <v>220</v>
      </c>
      <c r="D1472" s="108" t="s">
        <v>1274</v>
      </c>
      <c r="E1472" s="42">
        <v>1000</v>
      </c>
      <c r="G1472" s="42">
        <f t="shared" si="26"/>
        <v>-1000</v>
      </c>
      <c r="H1472" s="49" t="s">
        <v>1089</v>
      </c>
    </row>
    <row r="1473" spans="1:8" x14ac:dyDescent="0.2">
      <c r="A1473" s="595">
        <v>42597</v>
      </c>
      <c r="B1473" s="41" t="s">
        <v>40</v>
      </c>
      <c r="C1473" s="41" t="s">
        <v>929</v>
      </c>
      <c r="D1473" s="108" t="s">
        <v>1275</v>
      </c>
      <c r="E1473" s="42">
        <v>39000</v>
      </c>
      <c r="G1473" s="42">
        <f t="shared" si="26"/>
        <v>-39000</v>
      </c>
      <c r="H1473" s="49" t="s">
        <v>1089</v>
      </c>
    </row>
    <row r="1474" spans="1:8" x14ac:dyDescent="0.2">
      <c r="A1474" s="595">
        <v>42597</v>
      </c>
      <c r="B1474" s="41" t="s">
        <v>40</v>
      </c>
      <c r="C1474" s="41" t="s">
        <v>1277</v>
      </c>
      <c r="D1474" s="108" t="s">
        <v>1278</v>
      </c>
      <c r="E1474" s="42">
        <v>1200</v>
      </c>
      <c r="G1474" s="42">
        <f t="shared" si="26"/>
        <v>-1200</v>
      </c>
      <c r="H1474" s="49" t="s">
        <v>1089</v>
      </c>
    </row>
    <row r="1475" spans="1:8" x14ac:dyDescent="0.2">
      <c r="A1475" s="595">
        <v>42597</v>
      </c>
      <c r="B1475" s="41" t="s">
        <v>40</v>
      </c>
      <c r="C1475" s="41" t="s">
        <v>1167</v>
      </c>
      <c r="D1475" s="108" t="s">
        <v>1279</v>
      </c>
      <c r="E1475" s="42">
        <v>3000</v>
      </c>
      <c r="G1475" s="42">
        <f t="shared" si="26"/>
        <v>-3000</v>
      </c>
      <c r="H1475" s="49" t="s">
        <v>1089</v>
      </c>
    </row>
    <row r="1476" spans="1:8" x14ac:dyDescent="0.2">
      <c r="A1476" s="595">
        <v>42597</v>
      </c>
      <c r="B1476" s="41" t="s">
        <v>16</v>
      </c>
      <c r="C1476" s="41" t="s">
        <v>103</v>
      </c>
      <c r="D1476" s="108" t="s">
        <v>1280</v>
      </c>
      <c r="E1476" s="42">
        <v>1750</v>
      </c>
      <c r="G1476" s="42">
        <f t="shared" si="26"/>
        <v>-1750</v>
      </c>
      <c r="H1476" s="49" t="s">
        <v>1089</v>
      </c>
    </row>
    <row r="1477" spans="1:8" x14ac:dyDescent="0.2">
      <c r="A1477" s="595">
        <v>42597</v>
      </c>
      <c r="B1477" s="41" t="s">
        <v>16</v>
      </c>
      <c r="C1477" s="41" t="s">
        <v>103</v>
      </c>
      <c r="D1477" s="108" t="s">
        <v>1281</v>
      </c>
      <c r="E1477" s="42">
        <v>790</v>
      </c>
      <c r="G1477" s="42">
        <f t="shared" si="26"/>
        <v>-790</v>
      </c>
      <c r="H1477" s="49" t="s">
        <v>1089</v>
      </c>
    </row>
    <row r="1478" spans="1:8" x14ac:dyDescent="0.2">
      <c r="A1478" s="595">
        <v>42597</v>
      </c>
      <c r="B1478" s="41" t="s">
        <v>16</v>
      </c>
      <c r="C1478" s="41" t="s">
        <v>103</v>
      </c>
      <c r="D1478" s="108" t="s">
        <v>1282</v>
      </c>
      <c r="E1478" s="42">
        <v>95</v>
      </c>
      <c r="G1478" s="42">
        <f t="shared" si="26"/>
        <v>-95</v>
      </c>
      <c r="H1478" s="49" t="s">
        <v>1089</v>
      </c>
    </row>
    <row r="1479" spans="1:8" x14ac:dyDescent="0.2">
      <c r="A1479" s="595">
        <v>42597</v>
      </c>
      <c r="B1479" s="41" t="s">
        <v>16</v>
      </c>
      <c r="C1479" s="41" t="s">
        <v>103</v>
      </c>
      <c r="D1479" s="108" t="s">
        <v>1283</v>
      </c>
      <c r="E1479" s="42">
        <v>24</v>
      </c>
      <c r="G1479" s="42">
        <f t="shared" si="26"/>
        <v>-24</v>
      </c>
      <c r="H1479" s="49" t="s">
        <v>1089</v>
      </c>
    </row>
    <row r="1480" spans="1:8" x14ac:dyDescent="0.2">
      <c r="A1480" s="595">
        <v>42597</v>
      </c>
      <c r="B1480" s="41" t="s">
        <v>16</v>
      </c>
      <c r="C1480" s="41" t="s">
        <v>103</v>
      </c>
      <c r="D1480" s="108" t="s">
        <v>1284</v>
      </c>
      <c r="E1480" s="42">
        <v>530</v>
      </c>
      <c r="G1480" s="42">
        <f t="shared" si="26"/>
        <v>-530</v>
      </c>
      <c r="H1480" s="49" t="s">
        <v>1089</v>
      </c>
    </row>
    <row r="1481" spans="1:8" x14ac:dyDescent="0.2">
      <c r="A1481" s="595">
        <v>42597</v>
      </c>
      <c r="B1481" s="41" t="s">
        <v>16</v>
      </c>
      <c r="C1481" s="41" t="s">
        <v>103</v>
      </c>
      <c r="D1481" s="108" t="s">
        <v>1285</v>
      </c>
      <c r="E1481" s="42">
        <v>340</v>
      </c>
      <c r="G1481" s="42">
        <f t="shared" ref="G1481:G1544" si="27">F1481-E1481</f>
        <v>-340</v>
      </c>
      <c r="H1481" s="49" t="s">
        <v>1089</v>
      </c>
    </row>
    <row r="1482" spans="1:8" x14ac:dyDescent="0.2">
      <c r="A1482" s="595">
        <v>42597</v>
      </c>
      <c r="B1482" s="41" t="s">
        <v>16</v>
      </c>
      <c r="C1482" s="41" t="s">
        <v>103</v>
      </c>
      <c r="D1482" s="108" t="s">
        <v>1286</v>
      </c>
      <c r="E1482" s="42">
        <v>1400</v>
      </c>
      <c r="G1482" s="42">
        <f t="shared" si="27"/>
        <v>-1400</v>
      </c>
      <c r="H1482" s="49" t="s">
        <v>1089</v>
      </c>
    </row>
    <row r="1483" spans="1:8" x14ac:dyDescent="0.2">
      <c r="A1483" s="595">
        <v>42597</v>
      </c>
      <c r="B1483" s="41" t="s">
        <v>16</v>
      </c>
      <c r="C1483" s="41" t="s">
        <v>103</v>
      </c>
      <c r="D1483" s="108" t="s">
        <v>1287</v>
      </c>
      <c r="E1483" s="42">
        <v>540</v>
      </c>
      <c r="G1483" s="42">
        <f t="shared" si="27"/>
        <v>-540</v>
      </c>
      <c r="H1483" s="49" t="s">
        <v>1089</v>
      </c>
    </row>
    <row r="1484" spans="1:8" x14ac:dyDescent="0.2">
      <c r="A1484" s="595">
        <v>42597</v>
      </c>
      <c r="B1484" s="41" t="s">
        <v>16</v>
      </c>
      <c r="C1484" s="41" t="s">
        <v>103</v>
      </c>
      <c r="D1484" s="108" t="s">
        <v>1288</v>
      </c>
      <c r="E1484" s="42">
        <v>234</v>
      </c>
      <c r="G1484" s="42">
        <f t="shared" si="27"/>
        <v>-234</v>
      </c>
      <c r="H1484" s="49" t="s">
        <v>1089</v>
      </c>
    </row>
    <row r="1485" spans="1:8" x14ac:dyDescent="0.2">
      <c r="A1485" s="595">
        <v>42597</v>
      </c>
      <c r="B1485" s="41" t="s">
        <v>16</v>
      </c>
      <c r="C1485" s="41" t="s">
        <v>103</v>
      </c>
      <c r="D1485" s="108" t="s">
        <v>1289</v>
      </c>
      <c r="E1485" s="42">
        <v>130</v>
      </c>
      <c r="G1485" s="42">
        <f t="shared" si="27"/>
        <v>-130</v>
      </c>
      <c r="H1485" s="49" t="s">
        <v>1089</v>
      </c>
    </row>
    <row r="1486" spans="1:8" x14ac:dyDescent="0.2">
      <c r="A1486" s="595">
        <v>42597</v>
      </c>
      <c r="B1486" s="41" t="s">
        <v>16</v>
      </c>
      <c r="C1486" s="41" t="s">
        <v>103</v>
      </c>
      <c r="D1486" s="108" t="s">
        <v>1290</v>
      </c>
      <c r="E1486" s="42">
        <v>400</v>
      </c>
      <c r="G1486" s="42">
        <f t="shared" si="27"/>
        <v>-400</v>
      </c>
      <c r="H1486" s="49" t="s">
        <v>1089</v>
      </c>
    </row>
    <row r="1487" spans="1:8" x14ac:dyDescent="0.2">
      <c r="A1487" s="595">
        <v>42597</v>
      </c>
      <c r="B1487" s="41" t="s">
        <v>16</v>
      </c>
      <c r="C1487" s="41" t="s">
        <v>103</v>
      </c>
      <c r="D1487" s="108" t="s">
        <v>1291</v>
      </c>
      <c r="E1487" s="42">
        <v>350</v>
      </c>
      <c r="G1487" s="42">
        <f t="shared" si="27"/>
        <v>-350</v>
      </c>
      <c r="H1487" s="49" t="s">
        <v>1089</v>
      </c>
    </row>
    <row r="1488" spans="1:8" x14ac:dyDescent="0.2">
      <c r="A1488" s="595">
        <v>42597</v>
      </c>
      <c r="B1488" s="41" t="s">
        <v>16</v>
      </c>
      <c r="C1488" s="41" t="s">
        <v>103</v>
      </c>
      <c r="D1488" s="108" t="s">
        <v>1292</v>
      </c>
      <c r="E1488" s="42">
        <v>120</v>
      </c>
      <c r="G1488" s="42">
        <f t="shared" si="27"/>
        <v>-120</v>
      </c>
      <c r="H1488" s="49" t="s">
        <v>1089</v>
      </c>
    </row>
    <row r="1489" spans="1:8" x14ac:dyDescent="0.2">
      <c r="A1489" s="595">
        <v>42597</v>
      </c>
      <c r="B1489" s="41" t="s">
        <v>16</v>
      </c>
      <c r="C1489" s="41" t="s">
        <v>103</v>
      </c>
      <c r="D1489" s="108" t="s">
        <v>1293</v>
      </c>
      <c r="E1489" s="42">
        <v>860</v>
      </c>
      <c r="G1489" s="42">
        <f t="shared" si="27"/>
        <v>-860</v>
      </c>
      <c r="H1489" s="49" t="s">
        <v>1089</v>
      </c>
    </row>
    <row r="1490" spans="1:8" x14ac:dyDescent="0.2">
      <c r="A1490" s="595">
        <v>42597</v>
      </c>
      <c r="B1490" s="41" t="s">
        <v>16</v>
      </c>
      <c r="C1490" s="41" t="s">
        <v>103</v>
      </c>
      <c r="D1490" s="108" t="s">
        <v>1294</v>
      </c>
      <c r="E1490" s="42">
        <v>30</v>
      </c>
      <c r="G1490" s="42">
        <f t="shared" si="27"/>
        <v>-30</v>
      </c>
      <c r="H1490" s="49" t="s">
        <v>1089</v>
      </c>
    </row>
    <row r="1491" spans="1:8" x14ac:dyDescent="0.2">
      <c r="A1491" s="595">
        <v>42597</v>
      </c>
      <c r="B1491" s="41" t="s">
        <v>16</v>
      </c>
      <c r="C1491" s="41" t="s">
        <v>103</v>
      </c>
      <c r="D1491" s="108" t="s">
        <v>1295</v>
      </c>
      <c r="E1491" s="42">
        <v>250</v>
      </c>
      <c r="G1491" s="42">
        <f t="shared" si="27"/>
        <v>-250</v>
      </c>
      <c r="H1491" s="49" t="s">
        <v>1089</v>
      </c>
    </row>
    <row r="1492" spans="1:8" x14ac:dyDescent="0.2">
      <c r="A1492" s="595">
        <v>42597</v>
      </c>
      <c r="B1492" s="41" t="s">
        <v>16</v>
      </c>
      <c r="C1492" s="41" t="s">
        <v>103</v>
      </c>
      <c r="D1492" s="108" t="s">
        <v>1296</v>
      </c>
      <c r="E1492" s="42">
        <v>70</v>
      </c>
      <c r="G1492" s="42">
        <f t="shared" si="27"/>
        <v>-70</v>
      </c>
      <c r="H1492" s="49" t="s">
        <v>1089</v>
      </c>
    </row>
    <row r="1493" spans="1:8" x14ac:dyDescent="0.2">
      <c r="A1493" s="595">
        <v>42597</v>
      </c>
      <c r="B1493" s="41" t="s">
        <v>16</v>
      </c>
      <c r="C1493" s="41" t="s">
        <v>103</v>
      </c>
      <c r="D1493" s="108" t="s">
        <v>1297</v>
      </c>
      <c r="E1493" s="42">
        <v>50</v>
      </c>
      <c r="G1493" s="42">
        <f t="shared" si="27"/>
        <v>-50</v>
      </c>
      <c r="H1493" s="49" t="s">
        <v>1089</v>
      </c>
    </row>
    <row r="1494" spans="1:8" x14ac:dyDescent="0.2">
      <c r="A1494" s="595">
        <v>42597</v>
      </c>
      <c r="B1494" s="41" t="s">
        <v>16</v>
      </c>
      <c r="C1494" s="41" t="s">
        <v>103</v>
      </c>
      <c r="D1494" s="108" t="s">
        <v>1298</v>
      </c>
      <c r="E1494" s="42">
        <v>190</v>
      </c>
      <c r="G1494" s="42">
        <f t="shared" si="27"/>
        <v>-190</v>
      </c>
      <c r="H1494" s="49" t="s">
        <v>1089</v>
      </c>
    </row>
    <row r="1495" spans="1:8" x14ac:dyDescent="0.2">
      <c r="A1495" s="595">
        <v>42597</v>
      </c>
      <c r="B1495" s="41" t="s">
        <v>103</v>
      </c>
      <c r="C1495" s="41" t="s">
        <v>103</v>
      </c>
      <c r="D1495" s="108" t="s">
        <v>1299</v>
      </c>
      <c r="E1495" s="42">
        <v>45</v>
      </c>
      <c r="G1495" s="42">
        <f t="shared" si="27"/>
        <v>-45</v>
      </c>
      <c r="H1495" s="49" t="s">
        <v>1089</v>
      </c>
    </row>
    <row r="1496" spans="1:8" x14ac:dyDescent="0.2">
      <c r="A1496" s="595">
        <v>42597</v>
      </c>
      <c r="B1496" s="41" t="s">
        <v>103</v>
      </c>
      <c r="C1496" s="41" t="s">
        <v>103</v>
      </c>
      <c r="D1496" s="108" t="s">
        <v>1300</v>
      </c>
      <c r="E1496" s="42">
        <v>15</v>
      </c>
      <c r="G1496" s="42">
        <f t="shared" si="27"/>
        <v>-15</v>
      </c>
      <c r="H1496" s="49" t="s">
        <v>1089</v>
      </c>
    </row>
    <row r="1497" spans="1:8" x14ac:dyDescent="0.2">
      <c r="A1497" s="595">
        <v>42597</v>
      </c>
      <c r="B1497" s="41" t="s">
        <v>103</v>
      </c>
      <c r="C1497" s="41" t="s">
        <v>103</v>
      </c>
      <c r="D1497" s="108" t="s">
        <v>1301</v>
      </c>
      <c r="E1497" s="42">
        <v>222</v>
      </c>
      <c r="G1497" s="42">
        <f t="shared" si="27"/>
        <v>-222</v>
      </c>
      <c r="H1497" s="49" t="s">
        <v>1089</v>
      </c>
    </row>
    <row r="1498" spans="1:8" x14ac:dyDescent="0.2">
      <c r="A1498" s="595">
        <v>42598</v>
      </c>
      <c r="B1498" s="41" t="s">
        <v>22</v>
      </c>
      <c r="C1498" s="41" t="s">
        <v>22</v>
      </c>
      <c r="D1498" s="108" t="s">
        <v>1204</v>
      </c>
      <c r="F1498" s="42">
        <v>21150</v>
      </c>
      <c r="G1498" s="42">
        <f t="shared" si="27"/>
        <v>21150</v>
      </c>
      <c r="H1498" s="49" t="s">
        <v>1089</v>
      </c>
    </row>
    <row r="1499" spans="1:8" x14ac:dyDescent="0.2">
      <c r="A1499" s="595">
        <v>42598</v>
      </c>
      <c r="B1499" s="41" t="s">
        <v>25</v>
      </c>
      <c r="C1499" s="41" t="s">
        <v>1894</v>
      </c>
      <c r="D1499" s="108" t="s">
        <v>1272</v>
      </c>
      <c r="E1499" s="42">
        <v>1669</v>
      </c>
      <c r="G1499" s="42">
        <f t="shared" si="27"/>
        <v>-1669</v>
      </c>
      <c r="H1499" s="49" t="s">
        <v>1089</v>
      </c>
    </row>
    <row r="1500" spans="1:8" x14ac:dyDescent="0.2">
      <c r="A1500" s="595">
        <v>42598</v>
      </c>
      <c r="B1500" s="41" t="s">
        <v>37</v>
      </c>
      <c r="C1500" s="41" t="s">
        <v>1167</v>
      </c>
      <c r="D1500" s="108" t="s">
        <v>198</v>
      </c>
      <c r="E1500" s="42">
        <v>3000</v>
      </c>
      <c r="G1500" s="42">
        <f t="shared" si="27"/>
        <v>-3000</v>
      </c>
      <c r="H1500" s="49" t="s">
        <v>1089</v>
      </c>
    </row>
    <row r="1501" spans="1:8" x14ac:dyDescent="0.2">
      <c r="A1501" s="595">
        <v>42598</v>
      </c>
      <c r="B1501" s="41" t="s">
        <v>18</v>
      </c>
      <c r="C1501" s="41" t="s">
        <v>111</v>
      </c>
      <c r="D1501" s="108" t="s">
        <v>1129</v>
      </c>
      <c r="E1501" s="42">
        <v>150</v>
      </c>
      <c r="G1501" s="42">
        <f t="shared" si="27"/>
        <v>-150</v>
      </c>
      <c r="H1501" s="49" t="s">
        <v>1089</v>
      </c>
    </row>
    <row r="1502" spans="1:8" x14ac:dyDescent="0.2">
      <c r="A1502" s="595">
        <v>42598</v>
      </c>
      <c r="B1502" s="41" t="s">
        <v>16</v>
      </c>
      <c r="C1502" s="41" t="s">
        <v>309</v>
      </c>
      <c r="D1502" s="108" t="s">
        <v>1302</v>
      </c>
      <c r="E1502" s="42">
        <v>400</v>
      </c>
      <c r="G1502" s="42">
        <f t="shared" si="27"/>
        <v>-400</v>
      </c>
      <c r="H1502" s="49" t="s">
        <v>1089</v>
      </c>
    </row>
    <row r="1503" spans="1:8" x14ac:dyDescent="0.2">
      <c r="A1503" s="595">
        <v>42598</v>
      </c>
      <c r="B1503" s="41" t="s">
        <v>40</v>
      </c>
      <c r="C1503" s="41" t="s">
        <v>80</v>
      </c>
      <c r="D1503" s="108" t="s">
        <v>1303</v>
      </c>
      <c r="E1503" s="42">
        <v>8410</v>
      </c>
      <c r="G1503" s="42">
        <f t="shared" si="27"/>
        <v>-8410</v>
      </c>
      <c r="H1503" s="49" t="s">
        <v>1089</v>
      </c>
    </row>
    <row r="1504" spans="1:8" x14ac:dyDescent="0.2">
      <c r="A1504" s="595">
        <v>42598</v>
      </c>
      <c r="B1504" s="41" t="s">
        <v>25</v>
      </c>
      <c r="C1504" s="41" t="s">
        <v>1894</v>
      </c>
      <c r="D1504" s="108" t="s">
        <v>1304</v>
      </c>
      <c r="E1504" s="42">
        <v>98880</v>
      </c>
      <c r="G1504" s="42">
        <f t="shared" si="27"/>
        <v>-98880</v>
      </c>
      <c r="H1504" s="49" t="s">
        <v>1089</v>
      </c>
    </row>
    <row r="1505" spans="1:8" x14ac:dyDescent="0.2">
      <c r="A1505" s="595">
        <v>42599</v>
      </c>
      <c r="B1505" s="41" t="s">
        <v>40</v>
      </c>
      <c r="C1505" s="41" t="s">
        <v>40</v>
      </c>
      <c r="D1505" s="108" t="s">
        <v>1217</v>
      </c>
      <c r="F1505" s="42">
        <v>500000</v>
      </c>
      <c r="G1505" s="42">
        <f t="shared" si="27"/>
        <v>500000</v>
      </c>
      <c r="H1505" s="49" t="s">
        <v>1089</v>
      </c>
    </row>
    <row r="1506" spans="1:8" x14ac:dyDescent="0.2">
      <c r="A1506" s="595">
        <v>42599</v>
      </c>
      <c r="B1506" s="41" t="s">
        <v>40</v>
      </c>
      <c r="C1506" s="41" t="s">
        <v>1305</v>
      </c>
      <c r="D1506" s="108" t="s">
        <v>1306</v>
      </c>
      <c r="E1506" s="42">
        <v>550000</v>
      </c>
      <c r="G1506" s="42">
        <f t="shared" si="27"/>
        <v>-550000</v>
      </c>
      <c r="H1506" s="49" t="s">
        <v>1089</v>
      </c>
    </row>
    <row r="1507" spans="1:8" x14ac:dyDescent="0.2">
      <c r="A1507" s="595">
        <v>42599</v>
      </c>
      <c r="B1507" s="41" t="s">
        <v>25</v>
      </c>
      <c r="C1507" s="41" t="s">
        <v>1167</v>
      </c>
      <c r="D1507" s="108" t="s">
        <v>462</v>
      </c>
      <c r="E1507" s="42">
        <v>1000</v>
      </c>
      <c r="G1507" s="42">
        <f t="shared" si="27"/>
        <v>-1000</v>
      </c>
      <c r="H1507" s="49" t="s">
        <v>1089</v>
      </c>
    </row>
    <row r="1508" spans="1:8" x14ac:dyDescent="0.2">
      <c r="A1508" s="595">
        <v>42599</v>
      </c>
      <c r="B1508" s="41" t="s">
        <v>37</v>
      </c>
      <c r="C1508" s="41" t="s">
        <v>1167</v>
      </c>
      <c r="D1508" s="108" t="s">
        <v>195</v>
      </c>
      <c r="E1508" s="42">
        <v>5000</v>
      </c>
      <c r="G1508" s="42">
        <f t="shared" si="27"/>
        <v>-5000</v>
      </c>
      <c r="H1508" s="49" t="s">
        <v>1089</v>
      </c>
    </row>
    <row r="1509" spans="1:8" x14ac:dyDescent="0.2">
      <c r="A1509" s="595">
        <v>42600</v>
      </c>
      <c r="B1509" s="41" t="s">
        <v>1493</v>
      </c>
      <c r="C1509" s="45" t="s">
        <v>1308</v>
      </c>
      <c r="D1509" s="108" t="s">
        <v>1309</v>
      </c>
      <c r="E1509" s="42">
        <v>57000</v>
      </c>
      <c r="G1509" s="42">
        <f t="shared" si="27"/>
        <v>-57000</v>
      </c>
      <c r="H1509" s="49" t="s">
        <v>1089</v>
      </c>
    </row>
    <row r="1510" spans="1:8" x14ac:dyDescent="0.2">
      <c r="A1510" s="595">
        <v>42600</v>
      </c>
      <c r="B1510" s="41" t="s">
        <v>40</v>
      </c>
      <c r="C1510" s="41" t="s">
        <v>1167</v>
      </c>
      <c r="D1510" s="108" t="s">
        <v>209</v>
      </c>
      <c r="E1510" s="42">
        <v>3000</v>
      </c>
      <c r="G1510" s="42">
        <f t="shared" si="27"/>
        <v>-3000</v>
      </c>
      <c r="H1510" s="49" t="s">
        <v>1089</v>
      </c>
    </row>
    <row r="1511" spans="1:8" x14ac:dyDescent="0.2">
      <c r="A1511" s="595">
        <v>42600</v>
      </c>
      <c r="B1511" s="41" t="s">
        <v>40</v>
      </c>
      <c r="C1511" s="41" t="s">
        <v>80</v>
      </c>
      <c r="D1511" s="108" t="s">
        <v>1310</v>
      </c>
      <c r="E1511" s="42">
        <v>3565</v>
      </c>
      <c r="G1511" s="42">
        <f t="shared" si="27"/>
        <v>-3565</v>
      </c>
      <c r="H1511" s="49" t="s">
        <v>1089</v>
      </c>
    </row>
    <row r="1512" spans="1:8" x14ac:dyDescent="0.2">
      <c r="A1512" s="595">
        <v>42601</v>
      </c>
      <c r="B1512" s="41" t="s">
        <v>25</v>
      </c>
      <c r="C1512" s="41" t="s">
        <v>1894</v>
      </c>
      <c r="D1512" s="108" t="s">
        <v>73</v>
      </c>
      <c r="E1512" s="42">
        <v>3900</v>
      </c>
      <c r="G1512" s="42">
        <f t="shared" si="27"/>
        <v>-3900</v>
      </c>
      <c r="H1512" s="49" t="s">
        <v>1089</v>
      </c>
    </row>
    <row r="1513" spans="1:8" x14ac:dyDescent="0.2">
      <c r="A1513" s="595">
        <v>42601</v>
      </c>
      <c r="B1513" s="41" t="s">
        <v>25</v>
      </c>
      <c r="C1513" s="41" t="s">
        <v>1311</v>
      </c>
      <c r="D1513" s="108" t="s">
        <v>1312</v>
      </c>
      <c r="E1513" s="42">
        <v>35200</v>
      </c>
      <c r="G1513" s="42">
        <f t="shared" si="27"/>
        <v>-35200</v>
      </c>
      <c r="H1513" s="49" t="s">
        <v>1089</v>
      </c>
    </row>
    <row r="1514" spans="1:8" x14ac:dyDescent="0.2">
      <c r="A1514" s="595">
        <v>42602</v>
      </c>
      <c r="B1514" s="41" t="s">
        <v>40</v>
      </c>
      <c r="C1514" s="41" t="s">
        <v>551</v>
      </c>
      <c r="D1514" s="108" t="s">
        <v>1313</v>
      </c>
      <c r="E1514" s="42">
        <v>5200</v>
      </c>
      <c r="G1514" s="42">
        <f t="shared" si="27"/>
        <v>-5200</v>
      </c>
      <c r="H1514" s="49" t="s">
        <v>1089</v>
      </c>
    </row>
    <row r="1515" spans="1:8" x14ac:dyDescent="0.2">
      <c r="A1515" s="595">
        <v>42602</v>
      </c>
      <c r="B1515" s="41" t="s">
        <v>37</v>
      </c>
      <c r="C1515" s="41" t="s">
        <v>194</v>
      </c>
      <c r="D1515" s="108" t="s">
        <v>1314</v>
      </c>
      <c r="E1515" s="42">
        <v>2735</v>
      </c>
      <c r="G1515" s="42">
        <f t="shared" si="27"/>
        <v>-2735</v>
      </c>
      <c r="H1515" s="49" t="s">
        <v>1089</v>
      </c>
    </row>
    <row r="1516" spans="1:8" x14ac:dyDescent="0.2">
      <c r="A1516" s="595">
        <v>42602</v>
      </c>
      <c r="B1516" s="41" t="s">
        <v>40</v>
      </c>
      <c r="C1516" s="41" t="s">
        <v>773</v>
      </c>
      <c r="D1516" s="108" t="s">
        <v>9086</v>
      </c>
      <c r="E1516" s="42">
        <v>2600</v>
      </c>
      <c r="G1516" s="42">
        <f t="shared" si="27"/>
        <v>-2600</v>
      </c>
      <c r="H1516" s="49" t="s">
        <v>1089</v>
      </c>
    </row>
    <row r="1517" spans="1:8" x14ac:dyDescent="0.2">
      <c r="A1517" s="595">
        <v>42602</v>
      </c>
      <c r="B1517" s="41" t="s">
        <v>37</v>
      </c>
      <c r="C1517" s="41" t="s">
        <v>194</v>
      </c>
      <c r="D1517" s="108" t="s">
        <v>1315</v>
      </c>
      <c r="E1517" s="42">
        <v>408</v>
      </c>
      <c r="G1517" s="42">
        <f t="shared" si="27"/>
        <v>-408</v>
      </c>
      <c r="H1517" s="49" t="s">
        <v>1089</v>
      </c>
    </row>
    <row r="1518" spans="1:8" x14ac:dyDescent="0.2">
      <c r="A1518" s="595">
        <v>42602</v>
      </c>
      <c r="B1518" s="41" t="s">
        <v>40</v>
      </c>
      <c r="C1518" s="41" t="s">
        <v>146</v>
      </c>
      <c r="D1518" s="108" t="s">
        <v>1316</v>
      </c>
      <c r="E1518" s="42">
        <v>2025</v>
      </c>
      <c r="G1518" s="42">
        <f t="shared" si="27"/>
        <v>-2025</v>
      </c>
      <c r="H1518" s="49" t="s">
        <v>1089</v>
      </c>
    </row>
    <row r="1519" spans="1:8" x14ac:dyDescent="0.2">
      <c r="A1519" s="595">
        <v>42602</v>
      </c>
      <c r="B1519" s="41" t="s">
        <v>40</v>
      </c>
      <c r="C1519" s="41" t="s">
        <v>406</v>
      </c>
      <c r="D1519" s="108" t="s">
        <v>1317</v>
      </c>
      <c r="E1519" s="42">
        <v>107500</v>
      </c>
      <c r="G1519" s="42">
        <f t="shared" si="27"/>
        <v>-107500</v>
      </c>
      <c r="H1519" s="49" t="s">
        <v>1089</v>
      </c>
    </row>
    <row r="1520" spans="1:8" x14ac:dyDescent="0.2">
      <c r="A1520" s="595">
        <v>42602</v>
      </c>
      <c r="B1520" s="41" t="s">
        <v>40</v>
      </c>
      <c r="C1520" s="45" t="s">
        <v>1318</v>
      </c>
      <c r="D1520" s="129" t="s">
        <v>1319</v>
      </c>
      <c r="E1520" s="42">
        <v>50000</v>
      </c>
      <c r="G1520" s="42">
        <f t="shared" si="27"/>
        <v>-50000</v>
      </c>
      <c r="H1520" s="49" t="s">
        <v>1089</v>
      </c>
    </row>
    <row r="1521" spans="1:8" ht="12.75" customHeight="1" x14ac:dyDescent="0.2">
      <c r="A1521" s="595">
        <v>42602</v>
      </c>
      <c r="B1521" s="41" t="s">
        <v>402</v>
      </c>
      <c r="C1521" s="41" t="s">
        <v>1167</v>
      </c>
      <c r="D1521" s="108" t="s">
        <v>1170</v>
      </c>
      <c r="E1521" s="42">
        <v>8000</v>
      </c>
      <c r="G1521" s="42">
        <f t="shared" si="27"/>
        <v>-8000</v>
      </c>
      <c r="H1521" s="49" t="s">
        <v>1089</v>
      </c>
    </row>
    <row r="1522" spans="1:8" x14ac:dyDescent="0.2">
      <c r="A1522" s="595">
        <v>42602</v>
      </c>
      <c r="B1522" s="41" t="s">
        <v>40</v>
      </c>
      <c r="C1522" s="41" t="s">
        <v>1167</v>
      </c>
      <c r="D1522" s="108" t="s">
        <v>1249</v>
      </c>
      <c r="E1522" s="42">
        <v>50000</v>
      </c>
      <c r="G1522" s="42">
        <f t="shared" si="27"/>
        <v>-50000</v>
      </c>
      <c r="H1522" s="49" t="s">
        <v>1089</v>
      </c>
    </row>
    <row r="1523" spans="1:8" x14ac:dyDescent="0.2">
      <c r="A1523" s="595">
        <v>42602</v>
      </c>
      <c r="B1523" s="41" t="s">
        <v>40</v>
      </c>
      <c r="C1523" s="41" t="s">
        <v>64</v>
      </c>
      <c r="D1523" s="108" t="s">
        <v>1320</v>
      </c>
      <c r="E1523" s="42">
        <v>14700</v>
      </c>
      <c r="G1523" s="42">
        <f t="shared" si="27"/>
        <v>-14700</v>
      </c>
      <c r="H1523" s="49" t="s">
        <v>1089</v>
      </c>
    </row>
    <row r="1524" spans="1:8" x14ac:dyDescent="0.2">
      <c r="A1524" s="595">
        <v>42604</v>
      </c>
      <c r="B1524" s="41" t="s">
        <v>16</v>
      </c>
      <c r="C1524" s="41" t="s">
        <v>773</v>
      </c>
      <c r="D1524" s="108" t="s">
        <v>1321</v>
      </c>
      <c r="E1524" s="42">
        <v>100</v>
      </c>
      <c r="G1524" s="42">
        <f t="shared" si="27"/>
        <v>-100</v>
      </c>
      <c r="H1524" s="49" t="s">
        <v>1089</v>
      </c>
    </row>
    <row r="1525" spans="1:8" x14ac:dyDescent="0.2">
      <c r="A1525" s="595">
        <v>42604</v>
      </c>
      <c r="B1525" s="41" t="s">
        <v>402</v>
      </c>
      <c r="C1525" s="41" t="s">
        <v>220</v>
      </c>
      <c r="D1525" s="108" t="s">
        <v>1322</v>
      </c>
      <c r="E1525" s="42">
        <v>1300</v>
      </c>
      <c r="G1525" s="42">
        <f t="shared" si="27"/>
        <v>-1300</v>
      </c>
      <c r="H1525" s="49" t="s">
        <v>1089</v>
      </c>
    </row>
    <row r="1526" spans="1:8" x14ac:dyDescent="0.2">
      <c r="A1526" s="595">
        <v>42604</v>
      </c>
      <c r="B1526" s="41" t="s">
        <v>402</v>
      </c>
      <c r="C1526" s="41" t="s">
        <v>402</v>
      </c>
      <c r="D1526" s="108" t="s">
        <v>1323</v>
      </c>
      <c r="E1526" s="42">
        <v>46000</v>
      </c>
      <c r="G1526" s="42">
        <f t="shared" si="27"/>
        <v>-46000</v>
      </c>
      <c r="H1526" s="49" t="s">
        <v>1089</v>
      </c>
    </row>
    <row r="1527" spans="1:8" x14ac:dyDescent="0.2">
      <c r="A1527" s="595">
        <v>42604</v>
      </c>
      <c r="B1527" s="41" t="s">
        <v>402</v>
      </c>
      <c r="C1527" s="41" t="s">
        <v>251</v>
      </c>
      <c r="D1527" s="108" t="s">
        <v>1324</v>
      </c>
      <c r="E1527" s="42">
        <v>24000</v>
      </c>
      <c r="G1527" s="42">
        <f t="shared" si="27"/>
        <v>-24000</v>
      </c>
      <c r="H1527" s="49" t="s">
        <v>1089</v>
      </c>
    </row>
    <row r="1528" spans="1:8" x14ac:dyDescent="0.2">
      <c r="A1528" s="595">
        <v>42605</v>
      </c>
      <c r="B1528" s="41" t="s">
        <v>16</v>
      </c>
      <c r="C1528" s="41" t="s">
        <v>103</v>
      </c>
      <c r="D1528" s="108" t="s">
        <v>1325</v>
      </c>
      <c r="E1528" s="42">
        <v>10000</v>
      </c>
      <c r="G1528" s="42">
        <f t="shared" si="27"/>
        <v>-10000</v>
      </c>
      <c r="H1528" s="49" t="s">
        <v>1089</v>
      </c>
    </row>
    <row r="1529" spans="1:8" x14ac:dyDescent="0.2">
      <c r="A1529" s="595">
        <v>42605</v>
      </c>
      <c r="B1529" s="41" t="s">
        <v>40</v>
      </c>
      <c r="C1529" s="41" t="s">
        <v>1167</v>
      </c>
      <c r="D1529" s="108" t="s">
        <v>325</v>
      </c>
      <c r="E1529" s="42">
        <v>4000</v>
      </c>
      <c r="G1529" s="42">
        <f t="shared" si="27"/>
        <v>-4000</v>
      </c>
      <c r="H1529" s="49" t="s">
        <v>1089</v>
      </c>
    </row>
    <row r="1530" spans="1:8" x14ac:dyDescent="0.2">
      <c r="A1530" s="595">
        <v>42606</v>
      </c>
      <c r="B1530" s="41" t="s">
        <v>154</v>
      </c>
      <c r="C1530" s="41" t="s">
        <v>705</v>
      </c>
      <c r="D1530" s="108" t="s">
        <v>1326</v>
      </c>
      <c r="E1530" s="42">
        <v>12500</v>
      </c>
      <c r="G1530" s="42">
        <f t="shared" si="27"/>
        <v>-12500</v>
      </c>
      <c r="H1530" s="49" t="s">
        <v>1089</v>
      </c>
    </row>
    <row r="1531" spans="1:8" x14ac:dyDescent="0.2">
      <c r="A1531" s="595">
        <v>42606</v>
      </c>
      <c r="B1531" s="41" t="s">
        <v>40</v>
      </c>
      <c r="C1531" s="41" t="s">
        <v>705</v>
      </c>
      <c r="D1531" s="108" t="s">
        <v>1326</v>
      </c>
      <c r="E1531" s="42">
        <v>50000</v>
      </c>
      <c r="G1531" s="42">
        <f t="shared" si="27"/>
        <v>-50000</v>
      </c>
      <c r="H1531" s="49" t="s">
        <v>1089</v>
      </c>
    </row>
    <row r="1532" spans="1:8" x14ac:dyDescent="0.2">
      <c r="A1532" s="595">
        <v>42606</v>
      </c>
      <c r="B1532" s="41" t="s">
        <v>40</v>
      </c>
      <c r="C1532" s="41" t="s">
        <v>1167</v>
      </c>
      <c r="D1532" s="108" t="s">
        <v>1327</v>
      </c>
      <c r="E1532" s="42">
        <v>2250</v>
      </c>
      <c r="G1532" s="42">
        <f t="shared" si="27"/>
        <v>-2250</v>
      </c>
      <c r="H1532" s="49" t="s">
        <v>1089</v>
      </c>
    </row>
    <row r="1533" spans="1:8" ht="24" x14ac:dyDescent="0.2">
      <c r="A1533" s="596">
        <v>42606</v>
      </c>
      <c r="B1533" s="63" t="s">
        <v>40</v>
      </c>
      <c r="C1533" s="41" t="s">
        <v>64</v>
      </c>
      <c r="D1533" s="129" t="s">
        <v>1328</v>
      </c>
      <c r="E1533" s="75">
        <v>98579</v>
      </c>
      <c r="G1533" s="42">
        <f t="shared" si="27"/>
        <v>-98579</v>
      </c>
      <c r="H1533" s="49" t="s">
        <v>1089</v>
      </c>
    </row>
    <row r="1534" spans="1:8" ht="12.75" customHeight="1" x14ac:dyDescent="0.2">
      <c r="A1534" s="595">
        <v>42606</v>
      </c>
      <c r="B1534" s="41" t="s">
        <v>40</v>
      </c>
      <c r="C1534" s="41" t="s">
        <v>64</v>
      </c>
      <c r="D1534" s="108" t="s">
        <v>1329</v>
      </c>
      <c r="E1534" s="42">
        <v>5210</v>
      </c>
      <c r="G1534" s="42">
        <f t="shared" si="27"/>
        <v>-5210</v>
      </c>
      <c r="H1534" s="49" t="s">
        <v>1089</v>
      </c>
    </row>
    <row r="1535" spans="1:8" x14ac:dyDescent="0.2">
      <c r="A1535" s="595">
        <v>42606</v>
      </c>
      <c r="B1535" s="41" t="s">
        <v>25</v>
      </c>
      <c r="C1535" s="41" t="s">
        <v>1894</v>
      </c>
      <c r="D1535" s="108" t="s">
        <v>286</v>
      </c>
      <c r="E1535" s="42">
        <v>2100</v>
      </c>
      <c r="G1535" s="42">
        <f t="shared" si="27"/>
        <v>-2100</v>
      </c>
      <c r="H1535" s="49" t="s">
        <v>1089</v>
      </c>
    </row>
    <row r="1536" spans="1:8" x14ac:dyDescent="0.2">
      <c r="A1536" s="595">
        <v>42606</v>
      </c>
      <c r="B1536" s="41" t="s">
        <v>11</v>
      </c>
      <c r="C1536" s="41" t="s">
        <v>780</v>
      </c>
      <c r="D1536" s="108" t="s">
        <v>392</v>
      </c>
      <c r="E1536" s="42">
        <v>2800</v>
      </c>
      <c r="G1536" s="42">
        <f t="shared" si="27"/>
        <v>-2800</v>
      </c>
      <c r="H1536" s="49" t="s">
        <v>1089</v>
      </c>
    </row>
    <row r="1537" spans="1:8" x14ac:dyDescent="0.2">
      <c r="A1537" s="595">
        <v>42606</v>
      </c>
      <c r="B1537" s="41" t="s">
        <v>40</v>
      </c>
      <c r="C1537" s="41" t="s">
        <v>780</v>
      </c>
      <c r="D1537" s="108" t="s">
        <v>392</v>
      </c>
      <c r="E1537" s="42">
        <v>2800</v>
      </c>
      <c r="G1537" s="42">
        <f t="shared" si="27"/>
        <v>-2800</v>
      </c>
      <c r="H1537" s="49" t="s">
        <v>1089</v>
      </c>
    </row>
    <row r="1538" spans="1:8" x14ac:dyDescent="0.2">
      <c r="A1538" s="595">
        <v>42606</v>
      </c>
      <c r="B1538" s="41" t="s">
        <v>22</v>
      </c>
      <c r="C1538" s="41" t="s">
        <v>780</v>
      </c>
      <c r="D1538" s="108" t="s">
        <v>392</v>
      </c>
      <c r="E1538" s="42">
        <v>1800</v>
      </c>
      <c r="G1538" s="42">
        <f t="shared" si="27"/>
        <v>-1800</v>
      </c>
      <c r="H1538" s="49" t="s">
        <v>1089</v>
      </c>
    </row>
    <row r="1539" spans="1:8" x14ac:dyDescent="0.2">
      <c r="A1539" s="595">
        <v>42606</v>
      </c>
      <c r="B1539" s="41" t="s">
        <v>18</v>
      </c>
      <c r="C1539" s="41" t="s">
        <v>780</v>
      </c>
      <c r="D1539" s="108" t="s">
        <v>392</v>
      </c>
      <c r="E1539" s="42">
        <v>43038</v>
      </c>
      <c r="G1539" s="42">
        <f t="shared" si="27"/>
        <v>-43038</v>
      </c>
      <c r="H1539" s="49" t="s">
        <v>1089</v>
      </c>
    </row>
    <row r="1540" spans="1:8" x14ac:dyDescent="0.2">
      <c r="A1540" s="595">
        <v>42607</v>
      </c>
      <c r="B1540" s="41" t="s">
        <v>16</v>
      </c>
      <c r="C1540" s="41" t="s">
        <v>103</v>
      </c>
      <c r="D1540" s="108" t="s">
        <v>1330</v>
      </c>
      <c r="E1540" s="42">
        <v>37500</v>
      </c>
      <c r="G1540" s="42">
        <f t="shared" si="27"/>
        <v>-37500</v>
      </c>
      <c r="H1540" s="49" t="s">
        <v>1089</v>
      </c>
    </row>
    <row r="1541" spans="1:8" x14ac:dyDescent="0.2">
      <c r="A1541" s="595">
        <v>42607</v>
      </c>
      <c r="B1541" s="41" t="s">
        <v>154</v>
      </c>
      <c r="C1541" s="41" t="s">
        <v>414</v>
      </c>
      <c r="D1541" s="108" t="s">
        <v>1331</v>
      </c>
      <c r="E1541" s="42">
        <v>7000</v>
      </c>
      <c r="G1541" s="42">
        <f t="shared" si="27"/>
        <v>-7000</v>
      </c>
      <c r="H1541" s="49" t="s">
        <v>1089</v>
      </c>
    </row>
    <row r="1542" spans="1:8" x14ac:dyDescent="0.2">
      <c r="A1542" s="595">
        <v>42607</v>
      </c>
      <c r="B1542" s="41" t="s">
        <v>16</v>
      </c>
      <c r="C1542" s="41" t="s">
        <v>1167</v>
      </c>
      <c r="D1542" s="108" t="s">
        <v>986</v>
      </c>
      <c r="E1542" s="42">
        <v>10000</v>
      </c>
      <c r="G1542" s="42">
        <f t="shared" si="27"/>
        <v>-10000</v>
      </c>
      <c r="H1542" s="49" t="s">
        <v>1089</v>
      </c>
    </row>
    <row r="1543" spans="1:8" x14ac:dyDescent="0.2">
      <c r="A1543" s="595">
        <v>42607</v>
      </c>
      <c r="B1543" s="41" t="s">
        <v>154</v>
      </c>
      <c r="C1543" s="41" t="s">
        <v>1332</v>
      </c>
      <c r="D1543" s="108" t="s">
        <v>1333</v>
      </c>
      <c r="E1543" s="42">
        <v>15000</v>
      </c>
      <c r="G1543" s="42">
        <f t="shared" si="27"/>
        <v>-15000</v>
      </c>
      <c r="H1543" s="49" t="s">
        <v>1089</v>
      </c>
    </row>
    <row r="1544" spans="1:8" x14ac:dyDescent="0.2">
      <c r="A1544" s="595">
        <v>42607</v>
      </c>
      <c r="B1544" s="41" t="s">
        <v>25</v>
      </c>
      <c r="C1544" s="41" t="s">
        <v>986</v>
      </c>
      <c r="D1544" s="108" t="s">
        <v>1334</v>
      </c>
      <c r="E1544" s="42">
        <v>4900</v>
      </c>
      <c r="G1544" s="42">
        <f t="shared" si="27"/>
        <v>-4900</v>
      </c>
      <c r="H1544" s="49" t="s">
        <v>1089</v>
      </c>
    </row>
    <row r="1545" spans="1:8" x14ac:dyDescent="0.2">
      <c r="A1545" s="596">
        <v>42607</v>
      </c>
      <c r="B1545" s="63" t="s">
        <v>154</v>
      </c>
      <c r="C1545" s="63" t="s">
        <v>214</v>
      </c>
      <c r="D1545" s="183" t="s">
        <v>1335</v>
      </c>
      <c r="E1545" s="75">
        <v>10000</v>
      </c>
      <c r="G1545" s="42">
        <f t="shared" ref="G1545:G1608" si="28">F1545-E1545</f>
        <v>-10000</v>
      </c>
      <c r="H1545" s="49" t="s">
        <v>1089</v>
      </c>
    </row>
    <row r="1546" spans="1:8" x14ac:dyDescent="0.2">
      <c r="A1546" s="596">
        <v>42608</v>
      </c>
      <c r="B1546" s="63" t="s">
        <v>40</v>
      </c>
      <c r="C1546" s="41" t="s">
        <v>14</v>
      </c>
      <c r="D1546" s="183" t="s">
        <v>1336</v>
      </c>
      <c r="E1546" s="75">
        <v>300</v>
      </c>
      <c r="G1546" s="42">
        <f t="shared" si="28"/>
        <v>-300</v>
      </c>
      <c r="H1546" s="49" t="s">
        <v>1089</v>
      </c>
    </row>
    <row r="1547" spans="1:8" x14ac:dyDescent="0.2">
      <c r="A1547" s="596">
        <v>42608</v>
      </c>
      <c r="B1547" s="41" t="s">
        <v>16</v>
      </c>
      <c r="C1547" s="41" t="s">
        <v>146</v>
      </c>
      <c r="D1547" s="108" t="s">
        <v>1337</v>
      </c>
      <c r="E1547" s="42">
        <v>500</v>
      </c>
      <c r="G1547" s="42">
        <f t="shared" si="28"/>
        <v>-500</v>
      </c>
      <c r="H1547" s="49" t="s">
        <v>1089</v>
      </c>
    </row>
    <row r="1548" spans="1:8" x14ac:dyDescent="0.2">
      <c r="A1548" s="596">
        <v>42608</v>
      </c>
      <c r="B1548" s="41" t="s">
        <v>25</v>
      </c>
      <c r="C1548" s="41" t="s">
        <v>1894</v>
      </c>
      <c r="D1548" s="108" t="s">
        <v>1338</v>
      </c>
      <c r="E1548" s="42">
        <v>2000</v>
      </c>
      <c r="G1548" s="42">
        <f t="shared" si="28"/>
        <v>-2000</v>
      </c>
      <c r="H1548" s="49" t="s">
        <v>1089</v>
      </c>
    </row>
    <row r="1549" spans="1:8" x14ac:dyDescent="0.2">
      <c r="A1549" s="596">
        <v>42608</v>
      </c>
      <c r="B1549" s="41" t="s">
        <v>40</v>
      </c>
      <c r="C1549" s="41" t="s">
        <v>1339</v>
      </c>
      <c r="D1549" s="796" t="s">
        <v>1340</v>
      </c>
      <c r="E1549" s="42">
        <v>60000</v>
      </c>
      <c r="G1549" s="42">
        <f t="shared" si="28"/>
        <v>-60000</v>
      </c>
      <c r="H1549" s="49" t="s">
        <v>1089</v>
      </c>
    </row>
    <row r="1550" spans="1:8" x14ac:dyDescent="0.2">
      <c r="A1550" s="596">
        <v>42608</v>
      </c>
      <c r="B1550" s="41" t="s">
        <v>40</v>
      </c>
      <c r="C1550" s="41" t="s">
        <v>1339</v>
      </c>
      <c r="D1550" s="796" t="s">
        <v>1341</v>
      </c>
      <c r="E1550" s="42">
        <v>30000</v>
      </c>
      <c r="G1550" s="42">
        <f t="shared" si="28"/>
        <v>-30000</v>
      </c>
      <c r="H1550" s="49" t="s">
        <v>1089</v>
      </c>
    </row>
    <row r="1551" spans="1:8" x14ac:dyDescent="0.2">
      <c r="A1551" s="596">
        <v>42608</v>
      </c>
      <c r="B1551" s="41" t="s">
        <v>16</v>
      </c>
      <c r="C1551" s="41" t="s">
        <v>773</v>
      </c>
      <c r="D1551" s="796" t="s">
        <v>1342</v>
      </c>
      <c r="E1551" s="42">
        <v>50</v>
      </c>
      <c r="G1551" s="42">
        <f t="shared" si="28"/>
        <v>-50</v>
      </c>
      <c r="H1551" s="49" t="s">
        <v>1089</v>
      </c>
    </row>
    <row r="1552" spans="1:8" x14ac:dyDescent="0.2">
      <c r="A1552" s="596">
        <v>42608</v>
      </c>
      <c r="B1552" s="41" t="s">
        <v>16</v>
      </c>
      <c r="C1552" s="41" t="s">
        <v>773</v>
      </c>
      <c r="D1552" s="796" t="s">
        <v>1343</v>
      </c>
      <c r="E1552" s="42">
        <v>150</v>
      </c>
      <c r="G1552" s="42">
        <f t="shared" si="28"/>
        <v>-150</v>
      </c>
      <c r="H1552" s="49" t="s">
        <v>1089</v>
      </c>
    </row>
    <row r="1553" spans="1:8" x14ac:dyDescent="0.2">
      <c r="A1553" s="596">
        <v>42608</v>
      </c>
      <c r="B1553" s="41" t="s">
        <v>16</v>
      </c>
      <c r="C1553" s="41" t="s">
        <v>773</v>
      </c>
      <c r="D1553" s="796" t="s">
        <v>1344</v>
      </c>
      <c r="E1553" s="42">
        <v>100</v>
      </c>
      <c r="G1553" s="42">
        <f t="shared" si="28"/>
        <v>-100</v>
      </c>
      <c r="H1553" s="49" t="s">
        <v>1089</v>
      </c>
    </row>
    <row r="1554" spans="1:8" x14ac:dyDescent="0.2">
      <c r="A1554" s="596">
        <v>42608</v>
      </c>
      <c r="B1554" s="41" t="s">
        <v>16</v>
      </c>
      <c r="C1554" s="41" t="s">
        <v>773</v>
      </c>
      <c r="D1554" s="796" t="s">
        <v>1345</v>
      </c>
      <c r="E1554" s="42">
        <v>50</v>
      </c>
      <c r="G1554" s="42">
        <f t="shared" si="28"/>
        <v>-50</v>
      </c>
      <c r="H1554" s="49" t="s">
        <v>1089</v>
      </c>
    </row>
    <row r="1555" spans="1:8" x14ac:dyDescent="0.2">
      <c r="A1555" s="596">
        <v>42608</v>
      </c>
      <c r="B1555" s="41" t="s">
        <v>40</v>
      </c>
      <c r="C1555" s="41" t="s">
        <v>1391</v>
      </c>
      <c r="D1555" s="108" t="s">
        <v>1346</v>
      </c>
      <c r="E1555" s="42">
        <v>100000</v>
      </c>
      <c r="G1555" s="42">
        <f t="shared" si="28"/>
        <v>-100000</v>
      </c>
      <c r="H1555" s="49" t="s">
        <v>1089</v>
      </c>
    </row>
    <row r="1556" spans="1:8" x14ac:dyDescent="0.2">
      <c r="A1556" s="596">
        <v>42608</v>
      </c>
      <c r="B1556" s="41" t="s">
        <v>40</v>
      </c>
      <c r="C1556" s="41" t="s">
        <v>1347</v>
      </c>
      <c r="D1556" s="108" t="s">
        <v>1348</v>
      </c>
      <c r="E1556" s="42">
        <v>35000</v>
      </c>
      <c r="G1556" s="42">
        <f t="shared" si="28"/>
        <v>-35000</v>
      </c>
      <c r="H1556" s="49" t="s">
        <v>1089</v>
      </c>
    </row>
    <row r="1557" spans="1:8" x14ac:dyDescent="0.2">
      <c r="A1557" s="596">
        <v>42608</v>
      </c>
      <c r="B1557" s="41" t="s">
        <v>40</v>
      </c>
      <c r="C1557" s="41" t="s">
        <v>1167</v>
      </c>
      <c r="D1557" s="108" t="s">
        <v>209</v>
      </c>
      <c r="E1557" s="42">
        <v>2000</v>
      </c>
      <c r="G1557" s="42">
        <f t="shared" si="28"/>
        <v>-2000</v>
      </c>
      <c r="H1557" s="49" t="s">
        <v>1089</v>
      </c>
    </row>
    <row r="1558" spans="1:8" x14ac:dyDescent="0.2">
      <c r="A1558" s="596">
        <v>42610</v>
      </c>
      <c r="B1558" s="41" t="s">
        <v>40</v>
      </c>
      <c r="C1558" s="41" t="s">
        <v>3335</v>
      </c>
      <c r="D1558" s="108" t="s">
        <v>370</v>
      </c>
      <c r="E1558" s="42">
        <v>21068</v>
      </c>
      <c r="G1558" s="42">
        <f t="shared" si="28"/>
        <v>-21068</v>
      </c>
      <c r="H1558" s="49" t="s">
        <v>1089</v>
      </c>
    </row>
    <row r="1559" spans="1:8" ht="12.75" customHeight="1" x14ac:dyDescent="0.2">
      <c r="A1559" s="596">
        <v>42611</v>
      </c>
      <c r="B1559" s="41" t="s">
        <v>40</v>
      </c>
      <c r="C1559" s="41" t="s">
        <v>111</v>
      </c>
      <c r="D1559" s="108" t="s">
        <v>1160</v>
      </c>
      <c r="E1559" s="42">
        <v>4870</v>
      </c>
      <c r="G1559" s="42">
        <f t="shared" si="28"/>
        <v>-4870</v>
      </c>
      <c r="H1559" s="49" t="s">
        <v>1089</v>
      </c>
    </row>
    <row r="1560" spans="1:8" x14ac:dyDescent="0.2">
      <c r="A1560" s="596">
        <v>42611</v>
      </c>
      <c r="B1560" s="41" t="s">
        <v>25</v>
      </c>
      <c r="C1560" s="41" t="s">
        <v>1895</v>
      </c>
      <c r="D1560" s="108" t="s">
        <v>1349</v>
      </c>
      <c r="E1560" s="42">
        <v>24654</v>
      </c>
      <c r="G1560" s="42">
        <f t="shared" si="28"/>
        <v>-24654</v>
      </c>
      <c r="H1560" s="49" t="s">
        <v>1089</v>
      </c>
    </row>
    <row r="1561" spans="1:8" x14ac:dyDescent="0.2">
      <c r="A1561" s="596">
        <v>42611</v>
      </c>
      <c r="B1561" s="41" t="s">
        <v>40</v>
      </c>
      <c r="C1561" s="41" t="s">
        <v>111</v>
      </c>
      <c r="D1561" s="108" t="s">
        <v>370</v>
      </c>
      <c r="E1561" s="42">
        <v>4040</v>
      </c>
      <c r="G1561" s="42">
        <f t="shared" si="28"/>
        <v>-4040</v>
      </c>
      <c r="H1561" s="49" t="s">
        <v>1089</v>
      </c>
    </row>
    <row r="1562" spans="1:8" x14ac:dyDescent="0.2">
      <c r="A1562" s="596">
        <v>42611</v>
      </c>
      <c r="B1562" s="41" t="s">
        <v>40</v>
      </c>
      <c r="C1562" s="41" t="s">
        <v>220</v>
      </c>
      <c r="D1562" s="108" t="s">
        <v>1307</v>
      </c>
      <c r="E1562" s="42">
        <v>3400</v>
      </c>
      <c r="G1562" s="42">
        <f t="shared" si="28"/>
        <v>-3400</v>
      </c>
      <c r="H1562" s="49" t="s">
        <v>1089</v>
      </c>
    </row>
    <row r="1563" spans="1:8" x14ac:dyDescent="0.2">
      <c r="A1563" s="596">
        <v>42611</v>
      </c>
      <c r="B1563" s="63" t="s">
        <v>402</v>
      </c>
      <c r="C1563" s="41" t="s">
        <v>929</v>
      </c>
      <c r="D1563" s="183" t="s">
        <v>1350</v>
      </c>
      <c r="E1563" s="75">
        <v>80</v>
      </c>
      <c r="G1563" s="42">
        <f t="shared" si="28"/>
        <v>-80</v>
      </c>
      <c r="H1563" s="49" t="s">
        <v>1089</v>
      </c>
    </row>
    <row r="1564" spans="1:8" x14ac:dyDescent="0.2">
      <c r="A1564" s="596">
        <v>42611</v>
      </c>
      <c r="B1564" s="63" t="s">
        <v>402</v>
      </c>
      <c r="C1564" s="41" t="s">
        <v>716</v>
      </c>
      <c r="D1564" s="108" t="s">
        <v>1351</v>
      </c>
      <c r="E1564" s="42">
        <v>100000</v>
      </c>
      <c r="G1564" s="42">
        <f t="shared" si="28"/>
        <v>-100000</v>
      </c>
      <c r="H1564" s="49" t="s">
        <v>1089</v>
      </c>
    </row>
    <row r="1565" spans="1:8" ht="24" x14ac:dyDescent="0.2">
      <c r="A1565" s="596">
        <v>42611</v>
      </c>
      <c r="B1565" s="63" t="s">
        <v>16</v>
      </c>
      <c r="C1565" s="63" t="s">
        <v>1352</v>
      </c>
      <c r="D1565" s="183" t="s">
        <v>1353</v>
      </c>
      <c r="E1565" s="75">
        <v>10000</v>
      </c>
      <c r="G1565" s="42">
        <f t="shared" si="28"/>
        <v>-10000</v>
      </c>
      <c r="H1565" s="49" t="s">
        <v>1089</v>
      </c>
    </row>
    <row r="1566" spans="1:8" x14ac:dyDescent="0.2">
      <c r="A1566" s="596">
        <v>42612</v>
      </c>
      <c r="B1566" s="41" t="s">
        <v>40</v>
      </c>
      <c r="C1566" s="41" t="s">
        <v>716</v>
      </c>
      <c r="D1566" s="108" t="s">
        <v>1354</v>
      </c>
      <c r="E1566" s="42">
        <v>100000</v>
      </c>
      <c r="G1566" s="42">
        <f t="shared" si="28"/>
        <v>-100000</v>
      </c>
      <c r="H1566" s="49" t="s">
        <v>1089</v>
      </c>
    </row>
    <row r="1567" spans="1:8" x14ac:dyDescent="0.2">
      <c r="A1567" s="596">
        <v>42612</v>
      </c>
      <c r="B1567" s="41" t="s">
        <v>40</v>
      </c>
      <c r="C1567" s="41" t="s">
        <v>1167</v>
      </c>
      <c r="D1567" s="108" t="s">
        <v>290</v>
      </c>
      <c r="E1567" s="42">
        <v>5000</v>
      </c>
      <c r="G1567" s="42">
        <f t="shared" si="28"/>
        <v>-5000</v>
      </c>
      <c r="H1567" s="49" t="s">
        <v>1089</v>
      </c>
    </row>
    <row r="1568" spans="1:8" x14ac:dyDescent="0.2">
      <c r="A1568" s="596">
        <v>42612</v>
      </c>
      <c r="B1568" s="41" t="s">
        <v>40</v>
      </c>
      <c r="C1568" s="41" t="s">
        <v>1355</v>
      </c>
      <c r="D1568" s="108" t="s">
        <v>1157</v>
      </c>
      <c r="E1568" s="42">
        <v>14900</v>
      </c>
      <c r="G1568" s="42">
        <f t="shared" si="28"/>
        <v>-14900</v>
      </c>
      <c r="H1568" s="49" t="s">
        <v>1089</v>
      </c>
    </row>
    <row r="1569" spans="1:8" x14ac:dyDescent="0.2">
      <c r="A1569" s="596">
        <v>42612</v>
      </c>
      <c r="B1569" s="41" t="s">
        <v>40</v>
      </c>
      <c r="C1569" s="41" t="s">
        <v>1896</v>
      </c>
      <c r="D1569" s="797" t="s">
        <v>1356</v>
      </c>
      <c r="E1569" s="42">
        <v>600</v>
      </c>
      <c r="G1569" s="42">
        <f t="shared" si="28"/>
        <v>-600</v>
      </c>
      <c r="H1569" s="49" t="s">
        <v>1089</v>
      </c>
    </row>
    <row r="1570" spans="1:8" x14ac:dyDescent="0.2">
      <c r="A1570" s="596">
        <v>42612</v>
      </c>
      <c r="B1570" s="41" t="s">
        <v>40</v>
      </c>
      <c r="C1570" s="41" t="s">
        <v>64</v>
      </c>
      <c r="D1570" s="797" t="s">
        <v>1357</v>
      </c>
      <c r="E1570" s="42">
        <v>35350</v>
      </c>
      <c r="G1570" s="42">
        <f t="shared" si="28"/>
        <v>-35350</v>
      </c>
      <c r="H1570" s="49" t="s">
        <v>1089</v>
      </c>
    </row>
    <row r="1571" spans="1:8" x14ac:dyDescent="0.2">
      <c r="A1571" s="595">
        <v>42613</v>
      </c>
      <c r="B1571" s="41" t="s">
        <v>22</v>
      </c>
      <c r="C1571" s="41" t="s">
        <v>348</v>
      </c>
      <c r="D1571" s="108" t="s">
        <v>1216</v>
      </c>
      <c r="F1571" s="42">
        <v>97819</v>
      </c>
      <c r="G1571" s="42">
        <f t="shared" si="28"/>
        <v>97819</v>
      </c>
      <c r="H1571" s="49" t="s">
        <v>1089</v>
      </c>
    </row>
    <row r="1572" spans="1:8" x14ac:dyDescent="0.2">
      <c r="A1572" s="596">
        <v>42613</v>
      </c>
      <c r="B1572" s="41" t="s">
        <v>103</v>
      </c>
      <c r="C1572" s="41" t="s">
        <v>103</v>
      </c>
      <c r="D1572" s="108" t="s">
        <v>1358</v>
      </c>
      <c r="E1572" s="42">
        <v>330</v>
      </c>
      <c r="G1572" s="42">
        <f t="shared" si="28"/>
        <v>-330</v>
      </c>
      <c r="H1572" s="49" t="s">
        <v>1089</v>
      </c>
    </row>
    <row r="1573" spans="1:8" x14ac:dyDescent="0.2">
      <c r="A1573" s="596">
        <v>42613</v>
      </c>
      <c r="B1573" s="41" t="s">
        <v>103</v>
      </c>
      <c r="C1573" s="41" t="s">
        <v>103</v>
      </c>
      <c r="D1573" s="108" t="s">
        <v>1359</v>
      </c>
      <c r="E1573" s="42">
        <v>350</v>
      </c>
      <c r="G1573" s="42">
        <f t="shared" si="28"/>
        <v>-350</v>
      </c>
      <c r="H1573" s="49" t="s">
        <v>1089</v>
      </c>
    </row>
    <row r="1574" spans="1:8" x14ac:dyDescent="0.2">
      <c r="A1574" s="596">
        <v>42613</v>
      </c>
      <c r="B1574" s="41" t="s">
        <v>103</v>
      </c>
      <c r="C1574" s="41" t="s">
        <v>103</v>
      </c>
      <c r="D1574" s="108" t="s">
        <v>1360</v>
      </c>
      <c r="E1574" s="42">
        <v>50</v>
      </c>
      <c r="G1574" s="42">
        <f t="shared" si="28"/>
        <v>-50</v>
      </c>
      <c r="H1574" s="49" t="s">
        <v>1089</v>
      </c>
    </row>
    <row r="1575" spans="1:8" x14ac:dyDescent="0.2">
      <c r="A1575" s="596">
        <v>42613</v>
      </c>
      <c r="B1575" s="41" t="s">
        <v>103</v>
      </c>
      <c r="C1575" s="41" t="s">
        <v>103</v>
      </c>
      <c r="D1575" s="108" t="s">
        <v>1361</v>
      </c>
      <c r="E1575" s="42">
        <v>270</v>
      </c>
      <c r="G1575" s="42">
        <f t="shared" si="28"/>
        <v>-270</v>
      </c>
      <c r="H1575" s="49" t="s">
        <v>1089</v>
      </c>
    </row>
    <row r="1576" spans="1:8" x14ac:dyDescent="0.2">
      <c r="A1576" s="596">
        <v>42613</v>
      </c>
      <c r="B1576" s="41" t="s">
        <v>103</v>
      </c>
      <c r="C1576" s="41" t="s">
        <v>103</v>
      </c>
      <c r="D1576" s="129" t="s">
        <v>1362</v>
      </c>
      <c r="E1576" s="42">
        <v>90</v>
      </c>
      <c r="G1576" s="42">
        <f t="shared" si="28"/>
        <v>-90</v>
      </c>
      <c r="H1576" s="49" t="s">
        <v>1089</v>
      </c>
    </row>
    <row r="1577" spans="1:8" x14ac:dyDescent="0.2">
      <c r="A1577" s="596">
        <v>42613</v>
      </c>
      <c r="B1577" s="41" t="s">
        <v>103</v>
      </c>
      <c r="C1577" s="41" t="s">
        <v>103</v>
      </c>
      <c r="D1577" s="129" t="s">
        <v>1363</v>
      </c>
      <c r="E1577" s="42">
        <v>1700</v>
      </c>
      <c r="G1577" s="42">
        <f t="shared" si="28"/>
        <v>-1700</v>
      </c>
      <c r="H1577" s="49" t="s">
        <v>1089</v>
      </c>
    </row>
    <row r="1578" spans="1:8" x14ac:dyDescent="0.2">
      <c r="A1578" s="596">
        <v>42613</v>
      </c>
      <c r="B1578" s="41" t="s">
        <v>103</v>
      </c>
      <c r="C1578" s="41" t="s">
        <v>103</v>
      </c>
      <c r="D1578" s="129" t="s">
        <v>1363</v>
      </c>
      <c r="E1578" s="42">
        <v>582</v>
      </c>
      <c r="G1578" s="42">
        <f t="shared" si="28"/>
        <v>-582</v>
      </c>
      <c r="H1578" s="49" t="s">
        <v>1089</v>
      </c>
    </row>
    <row r="1579" spans="1:8" x14ac:dyDescent="0.2">
      <c r="A1579" s="596">
        <v>42613</v>
      </c>
      <c r="B1579" s="41" t="s">
        <v>103</v>
      </c>
      <c r="C1579" s="41" t="s">
        <v>103</v>
      </c>
      <c r="D1579" s="129" t="s">
        <v>1363</v>
      </c>
      <c r="E1579" s="42">
        <v>27</v>
      </c>
      <c r="G1579" s="42">
        <f t="shared" si="28"/>
        <v>-27</v>
      </c>
      <c r="H1579" s="49" t="s">
        <v>1089</v>
      </c>
    </row>
    <row r="1580" spans="1:8" x14ac:dyDescent="0.2">
      <c r="A1580" s="596">
        <v>42613</v>
      </c>
      <c r="B1580" s="41" t="s">
        <v>103</v>
      </c>
      <c r="C1580" s="41" t="s">
        <v>103</v>
      </c>
      <c r="D1580" s="129" t="s">
        <v>1364</v>
      </c>
      <c r="E1580" s="42">
        <v>130</v>
      </c>
      <c r="G1580" s="42">
        <f t="shared" si="28"/>
        <v>-130</v>
      </c>
      <c r="H1580" s="49" t="s">
        <v>1089</v>
      </c>
    </row>
    <row r="1581" spans="1:8" x14ac:dyDescent="0.2">
      <c r="A1581" s="596">
        <v>42613</v>
      </c>
      <c r="B1581" s="41" t="s">
        <v>103</v>
      </c>
      <c r="C1581" s="41" t="s">
        <v>103</v>
      </c>
      <c r="D1581" s="129" t="s">
        <v>1365</v>
      </c>
      <c r="E1581" s="42">
        <v>100</v>
      </c>
      <c r="G1581" s="42">
        <f t="shared" si="28"/>
        <v>-100</v>
      </c>
      <c r="H1581" s="49" t="s">
        <v>1089</v>
      </c>
    </row>
    <row r="1582" spans="1:8" x14ac:dyDescent="0.2">
      <c r="A1582" s="596">
        <v>42613</v>
      </c>
      <c r="B1582" s="41" t="s">
        <v>103</v>
      </c>
      <c r="C1582" s="41" t="s">
        <v>103</v>
      </c>
      <c r="D1582" s="129" t="s">
        <v>1366</v>
      </c>
      <c r="E1582" s="42">
        <v>790</v>
      </c>
      <c r="G1582" s="42">
        <f t="shared" si="28"/>
        <v>-790</v>
      </c>
      <c r="H1582" s="49" t="s">
        <v>1089</v>
      </c>
    </row>
    <row r="1583" spans="1:8" x14ac:dyDescent="0.2">
      <c r="A1583" s="596">
        <v>42613</v>
      </c>
      <c r="B1583" s="41" t="s">
        <v>103</v>
      </c>
      <c r="C1583" s="41" t="s">
        <v>103</v>
      </c>
      <c r="D1583" s="129" t="s">
        <v>1367</v>
      </c>
      <c r="E1583" s="42">
        <v>34</v>
      </c>
      <c r="G1583" s="42">
        <f t="shared" si="28"/>
        <v>-34</v>
      </c>
      <c r="H1583" s="49" t="s">
        <v>1089</v>
      </c>
    </row>
    <row r="1584" spans="1:8" x14ac:dyDescent="0.2">
      <c r="A1584" s="596">
        <v>42613</v>
      </c>
      <c r="B1584" s="41" t="s">
        <v>103</v>
      </c>
      <c r="C1584" s="41" t="s">
        <v>103</v>
      </c>
      <c r="D1584" s="129" t="s">
        <v>1368</v>
      </c>
      <c r="E1584" s="42">
        <v>40</v>
      </c>
      <c r="G1584" s="42">
        <f t="shared" si="28"/>
        <v>-40</v>
      </c>
      <c r="H1584" s="49" t="s">
        <v>1089</v>
      </c>
    </row>
    <row r="1585" spans="1:8" x14ac:dyDescent="0.2">
      <c r="A1585" s="596">
        <v>42613</v>
      </c>
      <c r="B1585" s="41" t="s">
        <v>103</v>
      </c>
      <c r="C1585" s="41" t="s">
        <v>103</v>
      </c>
      <c r="D1585" s="129" t="s">
        <v>600</v>
      </c>
      <c r="E1585" s="42">
        <v>295</v>
      </c>
      <c r="G1585" s="42">
        <f t="shared" si="28"/>
        <v>-295</v>
      </c>
      <c r="H1585" s="49" t="s">
        <v>1089</v>
      </c>
    </row>
    <row r="1586" spans="1:8" x14ac:dyDescent="0.2">
      <c r="A1586" s="596">
        <v>42613</v>
      </c>
      <c r="B1586" s="41" t="s">
        <v>103</v>
      </c>
      <c r="C1586" s="41" t="s">
        <v>103</v>
      </c>
      <c r="D1586" s="129" t="s">
        <v>1369</v>
      </c>
      <c r="E1586" s="42">
        <v>325</v>
      </c>
      <c r="G1586" s="42">
        <f t="shared" si="28"/>
        <v>-325</v>
      </c>
      <c r="H1586" s="49" t="s">
        <v>1089</v>
      </c>
    </row>
    <row r="1587" spans="1:8" x14ac:dyDescent="0.2">
      <c r="A1587" s="596">
        <v>42613</v>
      </c>
      <c r="B1587" s="41" t="s">
        <v>103</v>
      </c>
      <c r="C1587" s="41" t="s">
        <v>103</v>
      </c>
      <c r="D1587" s="129" t="s">
        <v>1370</v>
      </c>
      <c r="E1587" s="42">
        <v>65</v>
      </c>
      <c r="G1587" s="42">
        <f t="shared" si="28"/>
        <v>-65</v>
      </c>
      <c r="H1587" s="49" t="s">
        <v>1089</v>
      </c>
    </row>
    <row r="1588" spans="1:8" x14ac:dyDescent="0.2">
      <c r="A1588" s="596">
        <v>42613</v>
      </c>
      <c r="B1588" s="41" t="s">
        <v>103</v>
      </c>
      <c r="C1588" s="41" t="s">
        <v>103</v>
      </c>
      <c r="D1588" s="129" t="s">
        <v>1371</v>
      </c>
      <c r="E1588" s="42">
        <v>70</v>
      </c>
      <c r="G1588" s="42">
        <f t="shared" si="28"/>
        <v>-70</v>
      </c>
      <c r="H1588" s="49" t="s">
        <v>1089</v>
      </c>
    </row>
    <row r="1589" spans="1:8" x14ac:dyDescent="0.2">
      <c r="A1589" s="596">
        <v>42613</v>
      </c>
      <c r="B1589" s="41" t="s">
        <v>103</v>
      </c>
      <c r="C1589" s="41" t="s">
        <v>103</v>
      </c>
      <c r="D1589" s="108" t="s">
        <v>1372</v>
      </c>
      <c r="E1589" s="42">
        <v>100</v>
      </c>
      <c r="G1589" s="42">
        <f t="shared" si="28"/>
        <v>-100</v>
      </c>
      <c r="H1589" s="49" t="s">
        <v>1089</v>
      </c>
    </row>
    <row r="1590" spans="1:8" x14ac:dyDescent="0.2">
      <c r="A1590" s="596">
        <v>42613</v>
      </c>
      <c r="B1590" s="41" t="s">
        <v>103</v>
      </c>
      <c r="C1590" s="41" t="s">
        <v>103</v>
      </c>
      <c r="D1590" s="108" t="s">
        <v>1373</v>
      </c>
      <c r="E1590" s="42">
        <v>100</v>
      </c>
      <c r="G1590" s="42">
        <f t="shared" si="28"/>
        <v>-100</v>
      </c>
      <c r="H1590" s="49" t="s">
        <v>1089</v>
      </c>
    </row>
    <row r="1591" spans="1:8" x14ac:dyDescent="0.2">
      <c r="A1591" s="596">
        <v>42613</v>
      </c>
      <c r="B1591" s="41" t="s">
        <v>103</v>
      </c>
      <c r="C1591" s="41" t="s">
        <v>103</v>
      </c>
      <c r="D1591" s="108" t="s">
        <v>1374</v>
      </c>
      <c r="E1591" s="42">
        <v>350</v>
      </c>
      <c r="G1591" s="42">
        <f t="shared" si="28"/>
        <v>-350</v>
      </c>
      <c r="H1591" s="49" t="s">
        <v>1089</v>
      </c>
    </row>
    <row r="1592" spans="1:8" x14ac:dyDescent="0.2">
      <c r="A1592" s="596">
        <v>42613</v>
      </c>
      <c r="B1592" s="41" t="s">
        <v>103</v>
      </c>
      <c r="C1592" s="41" t="s">
        <v>103</v>
      </c>
      <c r="D1592" s="108" t="s">
        <v>1375</v>
      </c>
      <c r="E1592" s="42">
        <v>600</v>
      </c>
      <c r="G1592" s="42">
        <f t="shared" si="28"/>
        <v>-600</v>
      </c>
      <c r="H1592" s="49" t="s">
        <v>1089</v>
      </c>
    </row>
    <row r="1593" spans="1:8" x14ac:dyDescent="0.2">
      <c r="A1593" s="596">
        <v>42613</v>
      </c>
      <c r="B1593" s="41" t="s">
        <v>103</v>
      </c>
      <c r="C1593" s="41" t="s">
        <v>103</v>
      </c>
      <c r="D1593" s="108" t="s">
        <v>1376</v>
      </c>
      <c r="E1593" s="42">
        <v>770</v>
      </c>
      <c r="G1593" s="42">
        <f t="shared" si="28"/>
        <v>-770</v>
      </c>
      <c r="H1593" s="49" t="s">
        <v>1089</v>
      </c>
    </row>
    <row r="1594" spans="1:8" x14ac:dyDescent="0.2">
      <c r="A1594" s="596">
        <v>42613</v>
      </c>
      <c r="B1594" s="41" t="s">
        <v>103</v>
      </c>
      <c r="C1594" s="41" t="s">
        <v>103</v>
      </c>
      <c r="D1594" s="129" t="s">
        <v>1377</v>
      </c>
      <c r="E1594" s="42">
        <v>140</v>
      </c>
      <c r="G1594" s="42">
        <f t="shared" si="28"/>
        <v>-140</v>
      </c>
      <c r="H1594" s="49" t="s">
        <v>1089</v>
      </c>
    </row>
    <row r="1595" spans="1:8" x14ac:dyDescent="0.2">
      <c r="A1595" s="596">
        <v>42613</v>
      </c>
      <c r="B1595" s="41" t="s">
        <v>103</v>
      </c>
      <c r="C1595" s="41" t="s">
        <v>551</v>
      </c>
      <c r="D1595" s="108" t="s">
        <v>1378</v>
      </c>
      <c r="E1595" s="42">
        <v>5000</v>
      </c>
      <c r="G1595" s="42">
        <f t="shared" si="28"/>
        <v>-5000</v>
      </c>
      <c r="H1595" s="49" t="s">
        <v>1089</v>
      </c>
    </row>
    <row r="1596" spans="1:8" x14ac:dyDescent="0.2">
      <c r="A1596" s="596">
        <v>42613</v>
      </c>
      <c r="B1596" s="41" t="s">
        <v>103</v>
      </c>
      <c r="C1596" s="45" t="s">
        <v>1379</v>
      </c>
      <c r="D1596" s="108" t="s">
        <v>734</v>
      </c>
      <c r="E1596" s="42">
        <v>12000</v>
      </c>
      <c r="G1596" s="42">
        <f t="shared" si="28"/>
        <v>-12000</v>
      </c>
      <c r="H1596" s="49" t="s">
        <v>1089</v>
      </c>
    </row>
    <row r="1597" spans="1:8" x14ac:dyDescent="0.2">
      <c r="A1597" s="596">
        <v>42613</v>
      </c>
      <c r="B1597" s="41" t="s">
        <v>25</v>
      </c>
      <c r="C1597" s="41" t="s">
        <v>1894</v>
      </c>
      <c r="D1597" s="108" t="s">
        <v>73</v>
      </c>
      <c r="E1597" s="42">
        <v>6700</v>
      </c>
      <c r="G1597" s="42">
        <f t="shared" si="28"/>
        <v>-6700</v>
      </c>
      <c r="H1597" s="49" t="s">
        <v>1089</v>
      </c>
    </row>
    <row r="1598" spans="1:8" x14ac:dyDescent="0.2">
      <c r="A1598" s="596">
        <v>42613</v>
      </c>
      <c r="B1598" s="41" t="s">
        <v>40</v>
      </c>
      <c r="C1598" s="41" t="s">
        <v>1167</v>
      </c>
      <c r="D1598" s="108" t="s">
        <v>1380</v>
      </c>
      <c r="E1598" s="42">
        <v>2000</v>
      </c>
      <c r="G1598" s="42">
        <f t="shared" si="28"/>
        <v>-2000</v>
      </c>
      <c r="H1598" s="49" t="s">
        <v>1089</v>
      </c>
    </row>
    <row r="1599" spans="1:8" x14ac:dyDescent="0.2">
      <c r="A1599" s="596">
        <v>42613</v>
      </c>
      <c r="B1599" s="41" t="s">
        <v>40</v>
      </c>
      <c r="C1599" s="41" t="s">
        <v>1167</v>
      </c>
      <c r="D1599" s="108" t="s">
        <v>210</v>
      </c>
      <c r="E1599" s="42">
        <v>1000</v>
      </c>
      <c r="G1599" s="42">
        <f t="shared" si="28"/>
        <v>-1000</v>
      </c>
      <c r="H1599" s="49" t="s">
        <v>1089</v>
      </c>
    </row>
    <row r="1600" spans="1:8" x14ac:dyDescent="0.2">
      <c r="A1600" s="596">
        <v>42613</v>
      </c>
      <c r="B1600" s="41" t="s">
        <v>40</v>
      </c>
      <c r="C1600" s="41" t="s">
        <v>80</v>
      </c>
      <c r="D1600" s="108" t="s">
        <v>1381</v>
      </c>
      <c r="E1600" s="42">
        <v>500</v>
      </c>
      <c r="G1600" s="42">
        <f t="shared" si="28"/>
        <v>-500</v>
      </c>
      <c r="H1600" s="49" t="s">
        <v>1089</v>
      </c>
    </row>
    <row r="1601" spans="1:8" x14ac:dyDescent="0.2">
      <c r="A1601" s="596">
        <v>42613</v>
      </c>
      <c r="B1601" s="41" t="s">
        <v>40</v>
      </c>
      <c r="C1601" s="41" t="s">
        <v>80</v>
      </c>
      <c r="D1601" s="108" t="s">
        <v>392</v>
      </c>
      <c r="E1601" s="42">
        <v>4685</v>
      </c>
      <c r="G1601" s="42">
        <f t="shared" si="28"/>
        <v>-4685</v>
      </c>
      <c r="H1601" s="49" t="s">
        <v>1089</v>
      </c>
    </row>
    <row r="1602" spans="1:8" x14ac:dyDescent="0.2">
      <c r="A1602" s="596">
        <v>42613</v>
      </c>
      <c r="B1602" s="41" t="s">
        <v>40</v>
      </c>
      <c r="C1602" s="41" t="s">
        <v>80</v>
      </c>
      <c r="D1602" s="108" t="s">
        <v>1382</v>
      </c>
      <c r="E1602" s="42">
        <v>2050</v>
      </c>
      <c r="G1602" s="42">
        <f t="shared" si="28"/>
        <v>-2050</v>
      </c>
      <c r="H1602" s="49" t="s">
        <v>1089</v>
      </c>
    </row>
    <row r="1603" spans="1:8" x14ac:dyDescent="0.2">
      <c r="A1603" s="596">
        <v>42613</v>
      </c>
      <c r="B1603" s="41" t="s">
        <v>40</v>
      </c>
      <c r="C1603" s="41" t="s">
        <v>80</v>
      </c>
      <c r="D1603" s="108" t="s">
        <v>1383</v>
      </c>
      <c r="E1603" s="42">
        <v>1200</v>
      </c>
      <c r="G1603" s="42">
        <f t="shared" si="28"/>
        <v>-1200</v>
      </c>
      <c r="H1603" s="49" t="s">
        <v>1089</v>
      </c>
    </row>
    <row r="1604" spans="1:8" x14ac:dyDescent="0.2">
      <c r="A1604" s="596">
        <v>42613</v>
      </c>
      <c r="B1604" s="41" t="s">
        <v>40</v>
      </c>
      <c r="C1604" s="41" t="s">
        <v>80</v>
      </c>
      <c r="D1604" s="108" t="s">
        <v>1384</v>
      </c>
      <c r="E1604" s="42">
        <v>1999</v>
      </c>
      <c r="G1604" s="42">
        <f t="shared" si="28"/>
        <v>-1999</v>
      </c>
      <c r="H1604" s="49" t="s">
        <v>1089</v>
      </c>
    </row>
    <row r="1605" spans="1:8" x14ac:dyDescent="0.2">
      <c r="A1605" s="596">
        <v>42613</v>
      </c>
      <c r="B1605" s="41" t="s">
        <v>40</v>
      </c>
      <c r="C1605" s="41" t="s">
        <v>80</v>
      </c>
      <c r="D1605" s="108" t="s">
        <v>1385</v>
      </c>
      <c r="E1605" s="42">
        <v>2000</v>
      </c>
      <c r="G1605" s="42">
        <f t="shared" si="28"/>
        <v>-2000</v>
      </c>
      <c r="H1605" s="49" t="s">
        <v>1089</v>
      </c>
    </row>
    <row r="1606" spans="1:8" x14ac:dyDescent="0.2">
      <c r="A1606" s="596">
        <v>42613</v>
      </c>
      <c r="B1606" s="41" t="s">
        <v>40</v>
      </c>
      <c r="C1606" s="41" t="s">
        <v>80</v>
      </c>
      <c r="D1606" s="108" t="s">
        <v>757</v>
      </c>
      <c r="E1606" s="42">
        <v>10485</v>
      </c>
      <c r="G1606" s="42">
        <f t="shared" si="28"/>
        <v>-10485</v>
      </c>
      <c r="H1606" s="49" t="s">
        <v>1089</v>
      </c>
    </row>
    <row r="1607" spans="1:8" x14ac:dyDescent="0.2">
      <c r="A1607" s="596">
        <v>42613</v>
      </c>
      <c r="B1607" s="41" t="s">
        <v>40</v>
      </c>
      <c r="C1607" s="41" t="s">
        <v>14</v>
      </c>
      <c r="D1607" s="108" t="s">
        <v>1386</v>
      </c>
      <c r="E1607" s="42">
        <v>400</v>
      </c>
      <c r="G1607" s="42">
        <f t="shared" si="28"/>
        <v>-400</v>
      </c>
      <c r="H1607" s="49" t="s">
        <v>1089</v>
      </c>
    </row>
    <row r="1608" spans="1:8" x14ac:dyDescent="0.2">
      <c r="A1608" s="596">
        <v>42613</v>
      </c>
      <c r="B1608" s="59" t="s">
        <v>40</v>
      </c>
      <c r="C1608" s="41" t="s">
        <v>359</v>
      </c>
      <c r="D1608" s="108" t="s">
        <v>734</v>
      </c>
      <c r="E1608" s="42">
        <v>200000</v>
      </c>
      <c r="G1608" s="42">
        <f t="shared" si="28"/>
        <v>-200000</v>
      </c>
      <c r="H1608" s="49" t="s">
        <v>1089</v>
      </c>
    </row>
    <row r="1609" spans="1:8" x14ac:dyDescent="0.2">
      <c r="A1609" s="596">
        <v>42613</v>
      </c>
      <c r="B1609" s="41" t="s">
        <v>16</v>
      </c>
      <c r="C1609" s="41" t="s">
        <v>209</v>
      </c>
      <c r="D1609" s="108" t="s">
        <v>1387</v>
      </c>
      <c r="E1609" s="42">
        <v>800</v>
      </c>
      <c r="G1609" s="42">
        <f t="shared" ref="G1609:G1672" si="29">F1609-E1609</f>
        <v>-800</v>
      </c>
      <c r="H1609" s="49" t="s">
        <v>1089</v>
      </c>
    </row>
    <row r="1610" spans="1:8" x14ac:dyDescent="0.2">
      <c r="A1610" s="596">
        <v>42613</v>
      </c>
      <c r="B1610" s="41" t="s">
        <v>25</v>
      </c>
      <c r="C1610" s="41" t="s">
        <v>1894</v>
      </c>
      <c r="D1610" s="108" t="s">
        <v>1389</v>
      </c>
      <c r="E1610" s="42">
        <v>770</v>
      </c>
      <c r="G1610" s="42">
        <f t="shared" si="29"/>
        <v>-770</v>
      </c>
      <c r="H1610" s="49" t="s">
        <v>1089</v>
      </c>
    </row>
    <row r="1611" spans="1:8" x14ac:dyDescent="0.2">
      <c r="A1611" s="596">
        <v>42613</v>
      </c>
      <c r="B1611" s="41" t="s">
        <v>40</v>
      </c>
      <c r="C1611" s="41" t="s">
        <v>80</v>
      </c>
      <c r="D1611" s="108" t="s">
        <v>1390</v>
      </c>
      <c r="E1611" s="42">
        <v>10485</v>
      </c>
      <c r="G1611" s="42">
        <f t="shared" si="29"/>
        <v>-10485</v>
      </c>
      <c r="H1611" s="49" t="s">
        <v>1089</v>
      </c>
    </row>
    <row r="1612" spans="1:8" x14ac:dyDescent="0.2">
      <c r="A1612" s="595">
        <v>42614</v>
      </c>
      <c r="B1612" s="41" t="s">
        <v>40</v>
      </c>
      <c r="C1612" s="41" t="s">
        <v>40</v>
      </c>
      <c r="D1612" s="108" t="s">
        <v>1217</v>
      </c>
      <c r="F1612" s="42">
        <v>1500000</v>
      </c>
      <c r="G1612" s="42">
        <f t="shared" si="29"/>
        <v>1500000</v>
      </c>
      <c r="H1612" s="49" t="s">
        <v>1218</v>
      </c>
    </row>
    <row r="1613" spans="1:8" x14ac:dyDescent="0.2">
      <c r="A1613" s="595">
        <v>42616</v>
      </c>
      <c r="B1613" s="41" t="s">
        <v>40</v>
      </c>
      <c r="C1613" s="41" t="s">
        <v>40</v>
      </c>
      <c r="D1613" s="108" t="s">
        <v>1217</v>
      </c>
      <c r="F1613" s="42">
        <v>1000000</v>
      </c>
      <c r="G1613" s="42">
        <f t="shared" si="29"/>
        <v>1000000</v>
      </c>
      <c r="H1613" s="49" t="s">
        <v>1218</v>
      </c>
    </row>
    <row r="1614" spans="1:8" x14ac:dyDescent="0.2">
      <c r="A1614" s="595">
        <v>42620</v>
      </c>
      <c r="B1614" s="41" t="s">
        <v>18</v>
      </c>
      <c r="C1614" s="41" t="s">
        <v>350</v>
      </c>
      <c r="D1614" s="108" t="s">
        <v>1221</v>
      </c>
      <c r="F1614" s="42">
        <v>175000</v>
      </c>
      <c r="G1614" s="42">
        <f t="shared" si="29"/>
        <v>175000</v>
      </c>
      <c r="H1614" s="49" t="s">
        <v>1218</v>
      </c>
    </row>
    <row r="1615" spans="1:8" x14ac:dyDescent="0.2">
      <c r="A1615" s="595">
        <v>42636</v>
      </c>
      <c r="B1615" s="41" t="s">
        <v>40</v>
      </c>
      <c r="C1615" s="41" t="s">
        <v>40</v>
      </c>
      <c r="D1615" s="108" t="s">
        <v>1394</v>
      </c>
      <c r="F1615" s="42">
        <v>1000000</v>
      </c>
      <c r="G1615" s="42">
        <f t="shared" si="29"/>
        <v>1000000</v>
      </c>
      <c r="H1615" s="49" t="s">
        <v>1218</v>
      </c>
    </row>
    <row r="1616" spans="1:8" x14ac:dyDescent="0.2">
      <c r="A1616" s="595">
        <v>42630</v>
      </c>
      <c r="B1616" s="41" t="s">
        <v>22</v>
      </c>
      <c r="C1616" s="41" t="s">
        <v>22</v>
      </c>
      <c r="D1616" s="108" t="s">
        <v>1394</v>
      </c>
      <c r="F1616" s="42">
        <v>51019</v>
      </c>
      <c r="G1616" s="42">
        <f t="shared" si="29"/>
        <v>51019</v>
      </c>
      <c r="H1616" s="49" t="s">
        <v>1218</v>
      </c>
    </row>
    <row r="1617" spans="1:8" x14ac:dyDescent="0.2">
      <c r="A1617" s="595">
        <v>42641</v>
      </c>
      <c r="B1617" s="41" t="s">
        <v>1400</v>
      </c>
      <c r="C1617" s="41" t="s">
        <v>1400</v>
      </c>
      <c r="D1617" s="108" t="s">
        <v>1402</v>
      </c>
      <c r="F1617" s="42">
        <v>1500000</v>
      </c>
      <c r="G1617" s="42">
        <f t="shared" si="29"/>
        <v>1500000</v>
      </c>
      <c r="H1617" s="49" t="s">
        <v>1218</v>
      </c>
    </row>
    <row r="1618" spans="1:8" x14ac:dyDescent="0.2">
      <c r="A1618" s="595">
        <v>42615</v>
      </c>
      <c r="B1618" s="41" t="s">
        <v>40</v>
      </c>
      <c r="C1618" s="41" t="s">
        <v>298</v>
      </c>
      <c r="D1618" s="108" t="s">
        <v>1219</v>
      </c>
      <c r="E1618" s="42">
        <v>200000</v>
      </c>
      <c r="G1618" s="42">
        <f t="shared" si="29"/>
        <v>-200000</v>
      </c>
      <c r="H1618" s="49" t="s">
        <v>1218</v>
      </c>
    </row>
    <row r="1619" spans="1:8" x14ac:dyDescent="0.2">
      <c r="A1619" s="595">
        <v>42615</v>
      </c>
      <c r="B1619" s="41" t="s">
        <v>40</v>
      </c>
      <c r="C1619" s="41" t="s">
        <v>298</v>
      </c>
      <c r="D1619" s="108" t="s">
        <v>1220</v>
      </c>
      <c r="E1619" s="42">
        <v>290000</v>
      </c>
      <c r="G1619" s="42">
        <f t="shared" si="29"/>
        <v>-290000</v>
      </c>
      <c r="H1619" s="49" t="s">
        <v>1218</v>
      </c>
    </row>
    <row r="1620" spans="1:8" x14ac:dyDescent="0.2">
      <c r="A1620" s="596">
        <v>42614</v>
      </c>
      <c r="B1620" s="41" t="s">
        <v>1493</v>
      </c>
      <c r="C1620" s="41" t="s">
        <v>895</v>
      </c>
      <c r="D1620" s="108" t="s">
        <v>1407</v>
      </c>
      <c r="E1620" s="42">
        <v>113610</v>
      </c>
      <c r="G1620" s="58">
        <f t="shared" si="29"/>
        <v>-113610</v>
      </c>
      <c r="H1620" s="49" t="s">
        <v>1218</v>
      </c>
    </row>
    <row r="1621" spans="1:8" x14ac:dyDescent="0.2">
      <c r="A1621" s="596">
        <v>42614</v>
      </c>
      <c r="B1621" s="41" t="s">
        <v>40</v>
      </c>
      <c r="C1621" s="41" t="s">
        <v>895</v>
      </c>
      <c r="D1621" s="108" t="s">
        <v>1407</v>
      </c>
      <c r="E1621" s="42">
        <v>108720</v>
      </c>
      <c r="G1621" s="58">
        <f t="shared" si="29"/>
        <v>-108720</v>
      </c>
      <c r="H1621" s="49" t="s">
        <v>1218</v>
      </c>
    </row>
    <row r="1622" spans="1:8" x14ac:dyDescent="0.2">
      <c r="A1622" s="596">
        <v>42614</v>
      </c>
      <c r="B1622" s="41" t="s">
        <v>154</v>
      </c>
      <c r="C1622" s="41" t="s">
        <v>214</v>
      </c>
      <c r="D1622" s="108" t="s">
        <v>1408</v>
      </c>
      <c r="E1622" s="42">
        <v>5000</v>
      </c>
      <c r="G1622" s="58">
        <f t="shared" si="29"/>
        <v>-5000</v>
      </c>
      <c r="H1622" s="49" t="s">
        <v>1218</v>
      </c>
    </row>
    <row r="1623" spans="1:8" x14ac:dyDescent="0.2">
      <c r="A1623" s="596">
        <v>42615</v>
      </c>
      <c r="B1623" s="41" t="s">
        <v>25</v>
      </c>
      <c r="C1623" s="41" t="s">
        <v>1894</v>
      </c>
      <c r="D1623" s="108" t="s">
        <v>1140</v>
      </c>
      <c r="E1623" s="42">
        <v>4676</v>
      </c>
      <c r="G1623" s="58">
        <f t="shared" si="29"/>
        <v>-4676</v>
      </c>
      <c r="H1623" s="49" t="s">
        <v>1218</v>
      </c>
    </row>
    <row r="1624" spans="1:8" x14ac:dyDescent="0.2">
      <c r="A1624" s="596">
        <v>42615</v>
      </c>
      <c r="B1624" s="41" t="s">
        <v>40</v>
      </c>
      <c r="C1624" s="41" t="s">
        <v>929</v>
      </c>
      <c r="D1624" s="108" t="s">
        <v>370</v>
      </c>
      <c r="E1624" s="42">
        <v>5000</v>
      </c>
      <c r="G1624" s="58">
        <f t="shared" si="29"/>
        <v>-5000</v>
      </c>
      <c r="H1624" s="49" t="s">
        <v>1218</v>
      </c>
    </row>
    <row r="1625" spans="1:8" x14ac:dyDescent="0.2">
      <c r="A1625" s="596">
        <v>42615</v>
      </c>
      <c r="B1625" s="41" t="s">
        <v>1493</v>
      </c>
      <c r="C1625" s="41" t="s">
        <v>450</v>
      </c>
      <c r="D1625" s="108" t="s">
        <v>1409</v>
      </c>
      <c r="E1625" s="42">
        <v>6000</v>
      </c>
      <c r="G1625" s="58">
        <f t="shared" si="29"/>
        <v>-6000</v>
      </c>
      <c r="H1625" s="49" t="s">
        <v>1218</v>
      </c>
    </row>
    <row r="1626" spans="1:8" x14ac:dyDescent="0.2">
      <c r="A1626" s="596">
        <v>42616</v>
      </c>
      <c r="B1626" s="41" t="s">
        <v>22</v>
      </c>
      <c r="C1626" s="41" t="s">
        <v>111</v>
      </c>
      <c r="D1626" s="108" t="s">
        <v>1411</v>
      </c>
      <c r="E1626" s="42">
        <v>41040</v>
      </c>
      <c r="G1626" s="58">
        <f t="shared" si="29"/>
        <v>-41040</v>
      </c>
      <c r="H1626" s="49" t="s">
        <v>1218</v>
      </c>
    </row>
    <row r="1627" spans="1:8" x14ac:dyDescent="0.2">
      <c r="A1627" s="596">
        <v>42616</v>
      </c>
      <c r="B1627" s="41" t="s">
        <v>40</v>
      </c>
      <c r="C1627" s="41" t="s">
        <v>80</v>
      </c>
      <c r="D1627" s="108" t="s">
        <v>1412</v>
      </c>
      <c r="E1627" s="42">
        <v>2170</v>
      </c>
      <c r="G1627" s="58">
        <f t="shared" si="29"/>
        <v>-2170</v>
      </c>
      <c r="H1627" s="49" t="s">
        <v>1218</v>
      </c>
    </row>
    <row r="1628" spans="1:8" x14ac:dyDescent="0.2">
      <c r="A1628" s="596">
        <v>42616</v>
      </c>
      <c r="B1628" s="41" t="s">
        <v>40</v>
      </c>
      <c r="C1628" s="41" t="s">
        <v>64</v>
      </c>
      <c r="D1628" s="108" t="s">
        <v>1413</v>
      </c>
      <c r="E1628" s="42">
        <v>32000</v>
      </c>
      <c r="G1628" s="58">
        <f t="shared" si="29"/>
        <v>-32000</v>
      </c>
      <c r="H1628" s="49" t="s">
        <v>1218</v>
      </c>
    </row>
    <row r="1629" spans="1:8" x14ac:dyDescent="0.2">
      <c r="A1629" s="596">
        <v>42616</v>
      </c>
      <c r="B1629" s="41" t="s">
        <v>40</v>
      </c>
      <c r="C1629" s="41" t="s">
        <v>111</v>
      </c>
      <c r="D1629" s="797" t="s">
        <v>1414</v>
      </c>
      <c r="E1629" s="42">
        <v>1275</v>
      </c>
      <c r="G1629" s="58">
        <f t="shared" si="29"/>
        <v>-1275</v>
      </c>
      <c r="H1629" s="49" t="s">
        <v>1218</v>
      </c>
    </row>
    <row r="1630" spans="1:8" x14ac:dyDescent="0.2">
      <c r="A1630" s="596">
        <v>42618</v>
      </c>
      <c r="B1630" s="41" t="s">
        <v>37</v>
      </c>
      <c r="C1630" s="41" t="s">
        <v>1230</v>
      </c>
      <c r="D1630" s="108" t="s">
        <v>855</v>
      </c>
      <c r="E1630" s="42">
        <v>19742</v>
      </c>
      <c r="G1630" s="58">
        <f t="shared" si="29"/>
        <v>-19742</v>
      </c>
      <c r="H1630" s="49" t="s">
        <v>1218</v>
      </c>
    </row>
    <row r="1631" spans="1:8" x14ac:dyDescent="0.2">
      <c r="A1631" s="596">
        <v>42618</v>
      </c>
      <c r="B1631" s="41" t="s">
        <v>37</v>
      </c>
      <c r="C1631" s="41" t="s">
        <v>1230</v>
      </c>
      <c r="D1631" s="108" t="s">
        <v>856</v>
      </c>
      <c r="E1631" s="42">
        <v>16994</v>
      </c>
      <c r="G1631" s="58">
        <f t="shared" si="29"/>
        <v>-16994</v>
      </c>
      <c r="H1631" s="49" t="s">
        <v>1218</v>
      </c>
    </row>
    <row r="1632" spans="1:8" ht="12.75" customHeight="1" x14ac:dyDescent="0.2">
      <c r="A1632" s="596">
        <v>42618</v>
      </c>
      <c r="B1632" s="41" t="s">
        <v>40</v>
      </c>
      <c r="C1632" s="41" t="s">
        <v>1230</v>
      </c>
      <c r="D1632" s="108" t="s">
        <v>857</v>
      </c>
      <c r="E1632" s="42">
        <v>40000</v>
      </c>
      <c r="G1632" s="58">
        <f t="shared" si="29"/>
        <v>-40000</v>
      </c>
      <c r="H1632" s="49" t="s">
        <v>1218</v>
      </c>
    </row>
    <row r="1633" spans="1:8" x14ac:dyDescent="0.2">
      <c r="A1633" s="596">
        <v>42618</v>
      </c>
      <c r="B1633" s="41" t="s">
        <v>16</v>
      </c>
      <c r="C1633" s="41" t="s">
        <v>1230</v>
      </c>
      <c r="D1633" s="108" t="s">
        <v>859</v>
      </c>
      <c r="E1633" s="42">
        <v>22000</v>
      </c>
      <c r="G1633" s="58">
        <f t="shared" si="29"/>
        <v>-22000</v>
      </c>
      <c r="H1633" s="49" t="s">
        <v>1218</v>
      </c>
    </row>
    <row r="1634" spans="1:8" x14ac:dyDescent="0.2">
      <c r="A1634" s="596">
        <v>42618</v>
      </c>
      <c r="B1634" s="41" t="s">
        <v>37</v>
      </c>
      <c r="C1634" s="41" t="s">
        <v>1230</v>
      </c>
      <c r="D1634" s="108" t="s">
        <v>860</v>
      </c>
      <c r="E1634" s="42">
        <v>11048</v>
      </c>
      <c r="G1634" s="58">
        <f t="shared" si="29"/>
        <v>-11048</v>
      </c>
      <c r="H1634" s="49" t="s">
        <v>1218</v>
      </c>
    </row>
    <row r="1635" spans="1:8" x14ac:dyDescent="0.2">
      <c r="A1635" s="596">
        <v>42618</v>
      </c>
      <c r="B1635" s="41" t="s">
        <v>37</v>
      </c>
      <c r="C1635" s="41" t="s">
        <v>1230</v>
      </c>
      <c r="D1635" s="108" t="s">
        <v>862</v>
      </c>
      <c r="E1635" s="42">
        <v>10266</v>
      </c>
      <c r="G1635" s="58">
        <f t="shared" si="29"/>
        <v>-10266</v>
      </c>
      <c r="H1635" s="49" t="s">
        <v>1218</v>
      </c>
    </row>
    <row r="1636" spans="1:8" x14ac:dyDescent="0.2">
      <c r="A1636" s="596">
        <v>42618</v>
      </c>
      <c r="B1636" s="41" t="s">
        <v>16</v>
      </c>
      <c r="C1636" s="41" t="s">
        <v>1230</v>
      </c>
      <c r="D1636" s="108" t="s">
        <v>864</v>
      </c>
      <c r="E1636" s="41">
        <v>5000</v>
      </c>
      <c r="G1636" s="58">
        <f t="shared" si="29"/>
        <v>-5000</v>
      </c>
      <c r="H1636" s="49" t="s">
        <v>1218</v>
      </c>
    </row>
    <row r="1637" spans="1:8" x14ac:dyDescent="0.2">
      <c r="A1637" s="596">
        <v>42618</v>
      </c>
      <c r="B1637" s="41" t="s">
        <v>16</v>
      </c>
      <c r="C1637" s="41" t="s">
        <v>1230</v>
      </c>
      <c r="D1637" s="108" t="s">
        <v>865</v>
      </c>
      <c r="E1637" s="41">
        <v>4000</v>
      </c>
      <c r="G1637" s="58">
        <f t="shared" si="29"/>
        <v>-4000</v>
      </c>
      <c r="H1637" s="49" t="s">
        <v>1218</v>
      </c>
    </row>
    <row r="1638" spans="1:8" x14ac:dyDescent="0.2">
      <c r="A1638" s="596">
        <v>42618</v>
      </c>
      <c r="B1638" s="41" t="s">
        <v>16</v>
      </c>
      <c r="C1638" s="41" t="s">
        <v>1230</v>
      </c>
      <c r="D1638" s="108" t="s">
        <v>1507</v>
      </c>
      <c r="E1638" s="41">
        <v>3000</v>
      </c>
      <c r="G1638" s="58">
        <f t="shared" si="29"/>
        <v>-3000</v>
      </c>
      <c r="H1638" s="49" t="s">
        <v>1218</v>
      </c>
    </row>
    <row r="1639" spans="1:8" x14ac:dyDescent="0.2">
      <c r="A1639" s="596">
        <v>42618</v>
      </c>
      <c r="B1639" s="41" t="s">
        <v>16</v>
      </c>
      <c r="C1639" s="41" t="s">
        <v>1230</v>
      </c>
      <c r="D1639" s="792" t="s">
        <v>866</v>
      </c>
      <c r="E1639" s="42">
        <v>9000</v>
      </c>
      <c r="G1639" s="58">
        <f t="shared" si="29"/>
        <v>-9000</v>
      </c>
      <c r="H1639" s="49" t="s">
        <v>1218</v>
      </c>
    </row>
    <row r="1640" spans="1:8" ht="15.75" customHeight="1" x14ac:dyDescent="0.25">
      <c r="A1640" s="596">
        <v>42618</v>
      </c>
      <c r="B1640" s="41" t="s">
        <v>40</v>
      </c>
      <c r="C1640" s="41" t="s">
        <v>1230</v>
      </c>
      <c r="D1640" s="108" t="s">
        <v>868</v>
      </c>
      <c r="E1640" s="14">
        <v>17137</v>
      </c>
      <c r="G1640" s="58">
        <f t="shared" si="29"/>
        <v>-17137</v>
      </c>
      <c r="H1640" s="49" t="s">
        <v>1218</v>
      </c>
    </row>
    <row r="1641" spans="1:8" ht="15.75" customHeight="1" x14ac:dyDescent="0.25">
      <c r="A1641" s="596">
        <v>42618</v>
      </c>
      <c r="B1641" s="41" t="s">
        <v>37</v>
      </c>
      <c r="C1641" s="41" t="s">
        <v>1230</v>
      </c>
      <c r="D1641" s="108" t="s">
        <v>869</v>
      </c>
      <c r="E1641" s="14">
        <v>11486</v>
      </c>
      <c r="G1641" s="58">
        <f t="shared" si="29"/>
        <v>-11486</v>
      </c>
      <c r="H1641" s="49" t="s">
        <v>1218</v>
      </c>
    </row>
    <row r="1642" spans="1:8" ht="15.75" customHeight="1" x14ac:dyDescent="0.25">
      <c r="A1642" s="596">
        <v>42618</v>
      </c>
      <c r="B1642" s="41" t="s">
        <v>16</v>
      </c>
      <c r="C1642" s="41" t="s">
        <v>1230</v>
      </c>
      <c r="D1642" s="108" t="s">
        <v>873</v>
      </c>
      <c r="E1642" s="14">
        <v>18000</v>
      </c>
      <c r="G1642" s="58">
        <f t="shared" si="29"/>
        <v>-18000</v>
      </c>
      <c r="H1642" s="49" t="s">
        <v>1218</v>
      </c>
    </row>
    <row r="1643" spans="1:8" x14ac:dyDescent="0.2">
      <c r="A1643" s="596">
        <v>42618</v>
      </c>
      <c r="B1643" s="41" t="s">
        <v>40</v>
      </c>
      <c r="C1643" s="41" t="s">
        <v>1230</v>
      </c>
      <c r="D1643" s="108" t="s">
        <v>874</v>
      </c>
      <c r="E1643" s="42">
        <v>15725</v>
      </c>
      <c r="G1643" s="58">
        <f t="shared" si="29"/>
        <v>-15725</v>
      </c>
      <c r="H1643" s="49" t="s">
        <v>1218</v>
      </c>
    </row>
    <row r="1644" spans="1:8" x14ac:dyDescent="0.2">
      <c r="A1644" s="596">
        <v>42618</v>
      </c>
      <c r="B1644" s="41" t="s">
        <v>40</v>
      </c>
      <c r="C1644" s="41" t="s">
        <v>1230</v>
      </c>
      <c r="D1644" s="108" t="s">
        <v>876</v>
      </c>
      <c r="E1644" s="42">
        <v>3954</v>
      </c>
      <c r="G1644" s="58">
        <f t="shared" si="29"/>
        <v>-3954</v>
      </c>
      <c r="H1644" s="49" t="s">
        <v>1218</v>
      </c>
    </row>
    <row r="1645" spans="1:8" ht="12.75" customHeight="1" x14ac:dyDescent="0.2">
      <c r="A1645" s="596">
        <v>42618</v>
      </c>
      <c r="B1645" s="41" t="s">
        <v>40</v>
      </c>
      <c r="C1645" s="41" t="s">
        <v>1230</v>
      </c>
      <c r="D1645" s="108" t="s">
        <v>877</v>
      </c>
      <c r="E1645" s="41">
        <v>15609</v>
      </c>
      <c r="G1645" s="58">
        <f t="shared" si="29"/>
        <v>-15609</v>
      </c>
      <c r="H1645" s="49" t="s">
        <v>1218</v>
      </c>
    </row>
    <row r="1646" spans="1:8" x14ac:dyDescent="0.2">
      <c r="A1646" s="596">
        <v>42618</v>
      </c>
      <c r="B1646" s="41" t="s">
        <v>40</v>
      </c>
      <c r="C1646" s="41" t="s">
        <v>1230</v>
      </c>
      <c r="D1646" s="108" t="s">
        <v>878</v>
      </c>
      <c r="E1646" s="42">
        <v>7645</v>
      </c>
      <c r="G1646" s="58">
        <f t="shared" si="29"/>
        <v>-7645</v>
      </c>
      <c r="H1646" s="49" t="s">
        <v>1218</v>
      </c>
    </row>
    <row r="1647" spans="1:8" x14ac:dyDescent="0.2">
      <c r="A1647" s="596">
        <v>42618</v>
      </c>
      <c r="B1647" s="41" t="s">
        <v>1400</v>
      </c>
      <c r="C1647" s="41" t="s">
        <v>1230</v>
      </c>
      <c r="D1647" s="108" t="s">
        <v>879</v>
      </c>
      <c r="E1647" s="42">
        <v>18000</v>
      </c>
      <c r="G1647" s="58">
        <f t="shared" si="29"/>
        <v>-18000</v>
      </c>
      <c r="H1647" s="49" t="s">
        <v>1218</v>
      </c>
    </row>
    <row r="1648" spans="1:8" x14ac:dyDescent="0.2">
      <c r="A1648" s="596">
        <v>42618</v>
      </c>
      <c r="B1648" s="41" t="s">
        <v>40</v>
      </c>
      <c r="C1648" s="41" t="s">
        <v>1230</v>
      </c>
      <c r="D1648" s="108" t="s">
        <v>880</v>
      </c>
      <c r="E1648" s="42">
        <v>7524</v>
      </c>
      <c r="G1648" s="58">
        <f t="shared" si="29"/>
        <v>-7524</v>
      </c>
      <c r="H1648" s="49" t="s">
        <v>1218</v>
      </c>
    </row>
    <row r="1649" spans="1:8" x14ac:dyDescent="0.2">
      <c r="A1649" s="596">
        <v>42618</v>
      </c>
      <c r="B1649" s="41" t="s">
        <v>40</v>
      </c>
      <c r="C1649" s="41" t="s">
        <v>1230</v>
      </c>
      <c r="D1649" s="108" t="s">
        <v>881</v>
      </c>
      <c r="E1649" s="42">
        <v>10919</v>
      </c>
      <c r="G1649" s="58">
        <f t="shared" si="29"/>
        <v>-10919</v>
      </c>
      <c r="H1649" s="49" t="s">
        <v>1218</v>
      </c>
    </row>
    <row r="1650" spans="1:8" x14ac:dyDescent="0.2">
      <c r="A1650" s="596">
        <v>42618</v>
      </c>
      <c r="B1650" s="41" t="s">
        <v>40</v>
      </c>
      <c r="C1650" s="41" t="s">
        <v>1230</v>
      </c>
      <c r="D1650" s="108" t="s">
        <v>882</v>
      </c>
      <c r="E1650" s="42">
        <v>9241</v>
      </c>
      <c r="G1650" s="58">
        <f t="shared" si="29"/>
        <v>-9241</v>
      </c>
      <c r="H1650" s="49" t="s">
        <v>1218</v>
      </c>
    </row>
    <row r="1651" spans="1:8" x14ac:dyDescent="0.2">
      <c r="A1651" s="596">
        <v>42618</v>
      </c>
      <c r="B1651" s="41" t="s">
        <v>40</v>
      </c>
      <c r="C1651" s="41" t="s">
        <v>1230</v>
      </c>
      <c r="D1651" s="108" t="s">
        <v>883</v>
      </c>
      <c r="E1651" s="42">
        <v>10750</v>
      </c>
      <c r="G1651" s="58">
        <f t="shared" si="29"/>
        <v>-10750</v>
      </c>
      <c r="H1651" s="49" t="s">
        <v>1218</v>
      </c>
    </row>
    <row r="1652" spans="1:8" x14ac:dyDescent="0.2">
      <c r="A1652" s="596">
        <v>42618</v>
      </c>
      <c r="B1652" s="41" t="s">
        <v>16</v>
      </c>
      <c r="C1652" s="41" t="s">
        <v>1230</v>
      </c>
      <c r="D1652" s="108" t="s">
        <v>884</v>
      </c>
      <c r="E1652" s="42">
        <v>13000</v>
      </c>
      <c r="G1652" s="58">
        <f t="shared" si="29"/>
        <v>-13000</v>
      </c>
      <c r="H1652" s="49" t="s">
        <v>1218</v>
      </c>
    </row>
    <row r="1653" spans="1:8" x14ac:dyDescent="0.2">
      <c r="A1653" s="596">
        <v>42618</v>
      </c>
      <c r="B1653" s="41" t="s">
        <v>16</v>
      </c>
      <c r="C1653" s="41" t="s">
        <v>1230</v>
      </c>
      <c r="D1653" s="108" t="s">
        <v>885</v>
      </c>
      <c r="E1653" s="42">
        <v>14000</v>
      </c>
      <c r="G1653" s="58">
        <f t="shared" si="29"/>
        <v>-14000</v>
      </c>
      <c r="H1653" s="49" t="s">
        <v>1218</v>
      </c>
    </row>
    <row r="1654" spans="1:8" ht="15.75" customHeight="1" x14ac:dyDescent="0.25">
      <c r="A1654" s="596">
        <v>42618</v>
      </c>
      <c r="B1654" s="41" t="s">
        <v>16</v>
      </c>
      <c r="C1654" s="41" t="s">
        <v>1230</v>
      </c>
      <c r="D1654" s="108" t="s">
        <v>662</v>
      </c>
      <c r="E1654" s="14">
        <v>20000</v>
      </c>
      <c r="G1654" s="58">
        <f t="shared" si="29"/>
        <v>-20000</v>
      </c>
      <c r="H1654" s="49" t="s">
        <v>1218</v>
      </c>
    </row>
    <row r="1655" spans="1:8" x14ac:dyDescent="0.2">
      <c r="A1655" s="596">
        <v>42618</v>
      </c>
      <c r="B1655" s="41" t="s">
        <v>1400</v>
      </c>
      <c r="C1655" s="41" t="s">
        <v>1230</v>
      </c>
      <c r="D1655" s="108" t="s">
        <v>1508</v>
      </c>
      <c r="E1655" s="42">
        <v>7000</v>
      </c>
      <c r="G1655" s="58">
        <f t="shared" si="29"/>
        <v>-7000</v>
      </c>
      <c r="H1655" s="49" t="s">
        <v>1218</v>
      </c>
    </row>
    <row r="1656" spans="1:8" x14ac:dyDescent="0.2">
      <c r="A1656" s="596">
        <v>42618</v>
      </c>
      <c r="B1656" s="41" t="s">
        <v>40</v>
      </c>
      <c r="C1656" s="41" t="s">
        <v>670</v>
      </c>
      <c r="D1656" s="108" t="s">
        <v>1415</v>
      </c>
      <c r="E1656" s="42">
        <v>43520</v>
      </c>
      <c r="G1656" s="58">
        <f t="shared" si="29"/>
        <v>-43520</v>
      </c>
      <c r="H1656" s="49" t="s">
        <v>1218</v>
      </c>
    </row>
    <row r="1657" spans="1:8" x14ac:dyDescent="0.2">
      <c r="A1657" s="596">
        <v>42618</v>
      </c>
      <c r="B1657" s="41" t="s">
        <v>154</v>
      </c>
      <c r="C1657" s="41" t="s">
        <v>214</v>
      </c>
      <c r="D1657" s="108" t="s">
        <v>370</v>
      </c>
      <c r="E1657" s="42">
        <v>10000</v>
      </c>
      <c r="G1657" s="58">
        <f t="shared" si="29"/>
        <v>-10000</v>
      </c>
      <c r="H1657" s="49" t="s">
        <v>1218</v>
      </c>
    </row>
    <row r="1658" spans="1:8" x14ac:dyDescent="0.2">
      <c r="A1658" s="596">
        <v>42618</v>
      </c>
      <c r="B1658" s="41" t="s">
        <v>18</v>
      </c>
      <c r="C1658" s="41" t="s">
        <v>325</v>
      </c>
      <c r="D1658" s="108" t="s">
        <v>1416</v>
      </c>
      <c r="E1658" s="42">
        <v>2800</v>
      </c>
      <c r="G1658" s="58">
        <f t="shared" si="29"/>
        <v>-2800</v>
      </c>
      <c r="H1658" s="49" t="s">
        <v>1218</v>
      </c>
    </row>
    <row r="1659" spans="1:8" x14ac:dyDescent="0.2">
      <c r="A1659" s="596">
        <v>42618</v>
      </c>
      <c r="B1659" s="41" t="s">
        <v>16</v>
      </c>
      <c r="C1659" s="41" t="s">
        <v>773</v>
      </c>
      <c r="D1659" s="108" t="s">
        <v>1417</v>
      </c>
      <c r="E1659" s="42">
        <v>1470</v>
      </c>
      <c r="G1659" s="58">
        <f t="shared" si="29"/>
        <v>-1470</v>
      </c>
      <c r="H1659" s="49" t="s">
        <v>1218</v>
      </c>
    </row>
    <row r="1660" spans="1:8" x14ac:dyDescent="0.2">
      <c r="A1660" s="596">
        <v>42619</v>
      </c>
      <c r="B1660" s="41" t="s">
        <v>22</v>
      </c>
      <c r="C1660" s="41" t="s">
        <v>111</v>
      </c>
      <c r="D1660" s="108" t="s">
        <v>1418</v>
      </c>
      <c r="E1660" s="42">
        <v>16725</v>
      </c>
      <c r="G1660" s="58">
        <f t="shared" si="29"/>
        <v>-16725</v>
      </c>
      <c r="H1660" s="49" t="s">
        <v>1218</v>
      </c>
    </row>
    <row r="1661" spans="1:8" x14ac:dyDescent="0.2">
      <c r="A1661" s="596">
        <v>42619</v>
      </c>
      <c r="B1661" s="41" t="s">
        <v>40</v>
      </c>
      <c r="C1661" s="41" t="s">
        <v>1419</v>
      </c>
      <c r="D1661" s="108" t="s">
        <v>1420</v>
      </c>
      <c r="E1661" s="42">
        <v>1400</v>
      </c>
      <c r="G1661" s="58">
        <f t="shared" si="29"/>
        <v>-1400</v>
      </c>
      <c r="H1661" s="49" t="s">
        <v>1218</v>
      </c>
    </row>
    <row r="1662" spans="1:8" x14ac:dyDescent="0.2">
      <c r="A1662" s="596">
        <v>42619</v>
      </c>
      <c r="B1662" s="41" t="s">
        <v>16</v>
      </c>
      <c r="C1662" s="41" t="s">
        <v>1421</v>
      </c>
      <c r="E1662" s="42">
        <v>10000</v>
      </c>
      <c r="G1662" s="58">
        <f t="shared" si="29"/>
        <v>-10000</v>
      </c>
      <c r="H1662" s="49" t="s">
        <v>1218</v>
      </c>
    </row>
    <row r="1663" spans="1:8" x14ac:dyDescent="0.2">
      <c r="A1663" s="596">
        <v>42619</v>
      </c>
      <c r="B1663" s="41" t="s">
        <v>16</v>
      </c>
      <c r="C1663" s="41" t="s">
        <v>16</v>
      </c>
      <c r="D1663" s="108" t="s">
        <v>1668</v>
      </c>
      <c r="E1663" s="42">
        <v>1400</v>
      </c>
      <c r="G1663" s="58">
        <f t="shared" si="29"/>
        <v>-1400</v>
      </c>
      <c r="H1663" s="49" t="s">
        <v>1218</v>
      </c>
    </row>
    <row r="1664" spans="1:8" x14ac:dyDescent="0.2">
      <c r="A1664" s="596">
        <v>42619</v>
      </c>
      <c r="B1664" s="41" t="s">
        <v>40</v>
      </c>
      <c r="C1664" s="41" t="s">
        <v>64</v>
      </c>
      <c r="D1664" s="108" t="s">
        <v>1422</v>
      </c>
      <c r="E1664" s="42">
        <v>6600</v>
      </c>
      <c r="G1664" s="58">
        <f t="shared" si="29"/>
        <v>-6600</v>
      </c>
      <c r="H1664" s="49" t="s">
        <v>1218</v>
      </c>
    </row>
    <row r="1665" spans="1:8" x14ac:dyDescent="0.2">
      <c r="A1665" s="596">
        <v>42619</v>
      </c>
      <c r="B1665" s="41" t="s">
        <v>22</v>
      </c>
      <c r="C1665" s="41" t="s">
        <v>111</v>
      </c>
      <c r="D1665" s="108" t="s">
        <v>1423</v>
      </c>
      <c r="E1665" s="42">
        <v>16725</v>
      </c>
      <c r="G1665" s="58">
        <f t="shared" si="29"/>
        <v>-16725</v>
      </c>
      <c r="H1665" s="49" t="s">
        <v>1218</v>
      </c>
    </row>
    <row r="1666" spans="1:8" x14ac:dyDescent="0.2">
      <c r="A1666" s="596">
        <v>42620</v>
      </c>
      <c r="B1666" s="41" t="s">
        <v>16</v>
      </c>
      <c r="C1666" s="41" t="s">
        <v>1828</v>
      </c>
      <c r="D1666" s="108" t="s">
        <v>1425</v>
      </c>
      <c r="E1666" s="42">
        <v>12000</v>
      </c>
      <c r="G1666" s="58">
        <f t="shared" si="29"/>
        <v>-12000</v>
      </c>
      <c r="H1666" s="49" t="s">
        <v>1218</v>
      </c>
    </row>
    <row r="1667" spans="1:8" x14ac:dyDescent="0.2">
      <c r="A1667" s="596">
        <v>42621</v>
      </c>
      <c r="B1667" s="41" t="s">
        <v>103</v>
      </c>
      <c r="C1667" s="41" t="s">
        <v>103</v>
      </c>
      <c r="D1667" s="108" t="s">
        <v>1426</v>
      </c>
      <c r="E1667" s="42">
        <v>100</v>
      </c>
      <c r="G1667" s="58">
        <f t="shared" si="29"/>
        <v>-100</v>
      </c>
      <c r="H1667" s="49" t="s">
        <v>1218</v>
      </c>
    </row>
    <row r="1668" spans="1:8" x14ac:dyDescent="0.2">
      <c r="A1668" s="596">
        <v>42621</v>
      </c>
      <c r="B1668" s="41" t="s">
        <v>103</v>
      </c>
      <c r="C1668" s="41" t="s">
        <v>103</v>
      </c>
      <c r="D1668" s="108" t="s">
        <v>1427</v>
      </c>
      <c r="E1668" s="42">
        <v>160</v>
      </c>
      <c r="G1668" s="58">
        <f t="shared" si="29"/>
        <v>-160</v>
      </c>
      <c r="H1668" s="49" t="s">
        <v>1218</v>
      </c>
    </row>
    <row r="1669" spans="1:8" x14ac:dyDescent="0.2">
      <c r="A1669" s="596">
        <v>42621</v>
      </c>
      <c r="B1669" s="41" t="s">
        <v>103</v>
      </c>
      <c r="C1669" s="41" t="s">
        <v>103</v>
      </c>
      <c r="D1669" s="108" t="s">
        <v>1428</v>
      </c>
      <c r="E1669" s="42">
        <v>870</v>
      </c>
      <c r="G1669" s="58">
        <f t="shared" si="29"/>
        <v>-870</v>
      </c>
      <c r="H1669" s="49" t="s">
        <v>1218</v>
      </c>
    </row>
    <row r="1670" spans="1:8" x14ac:dyDescent="0.2">
      <c r="A1670" s="596">
        <v>42621</v>
      </c>
      <c r="B1670" s="41" t="s">
        <v>103</v>
      </c>
      <c r="C1670" s="41" t="s">
        <v>103</v>
      </c>
      <c r="D1670" s="108" t="s">
        <v>1429</v>
      </c>
      <c r="E1670" s="42">
        <v>55</v>
      </c>
      <c r="G1670" s="58">
        <f t="shared" si="29"/>
        <v>-55</v>
      </c>
      <c r="H1670" s="49" t="s">
        <v>1218</v>
      </c>
    </row>
    <row r="1671" spans="1:8" x14ac:dyDescent="0.2">
      <c r="A1671" s="596">
        <v>42621</v>
      </c>
      <c r="B1671" s="41" t="s">
        <v>103</v>
      </c>
      <c r="C1671" s="41" t="s">
        <v>103</v>
      </c>
      <c r="D1671" s="108" t="s">
        <v>1426</v>
      </c>
      <c r="E1671" s="42">
        <v>100</v>
      </c>
      <c r="G1671" s="58">
        <f t="shared" si="29"/>
        <v>-100</v>
      </c>
      <c r="H1671" s="49" t="s">
        <v>1218</v>
      </c>
    </row>
    <row r="1672" spans="1:8" x14ac:dyDescent="0.2">
      <c r="A1672" s="596">
        <v>42621</v>
      </c>
      <c r="B1672" s="41" t="s">
        <v>103</v>
      </c>
      <c r="C1672" s="41" t="s">
        <v>103</v>
      </c>
      <c r="D1672" s="108" t="s">
        <v>1430</v>
      </c>
      <c r="E1672" s="42">
        <v>140</v>
      </c>
      <c r="G1672" s="58">
        <f t="shared" si="29"/>
        <v>-140</v>
      </c>
      <c r="H1672" s="49" t="s">
        <v>1218</v>
      </c>
    </row>
    <row r="1673" spans="1:8" x14ac:dyDescent="0.2">
      <c r="A1673" s="596">
        <v>42621</v>
      </c>
      <c r="B1673" s="41" t="s">
        <v>103</v>
      </c>
      <c r="C1673" s="41" t="s">
        <v>103</v>
      </c>
      <c r="D1673" s="108" t="s">
        <v>1298</v>
      </c>
      <c r="E1673" s="42">
        <v>180</v>
      </c>
      <c r="G1673" s="58">
        <f t="shared" ref="G1673:G1736" si="30">F1673-E1673</f>
        <v>-180</v>
      </c>
      <c r="H1673" s="49" t="s">
        <v>1218</v>
      </c>
    </row>
    <row r="1674" spans="1:8" x14ac:dyDescent="0.2">
      <c r="A1674" s="596">
        <v>42621</v>
      </c>
      <c r="B1674" s="41" t="s">
        <v>103</v>
      </c>
      <c r="C1674" s="41" t="s">
        <v>103</v>
      </c>
      <c r="D1674" s="108" t="s">
        <v>1431</v>
      </c>
      <c r="E1674" s="42">
        <v>90</v>
      </c>
      <c r="G1674" s="58">
        <f t="shared" si="30"/>
        <v>-90</v>
      </c>
      <c r="H1674" s="49" t="s">
        <v>1218</v>
      </c>
    </row>
    <row r="1675" spans="1:8" x14ac:dyDescent="0.2">
      <c r="A1675" s="596">
        <v>42621</v>
      </c>
      <c r="B1675" s="41" t="s">
        <v>103</v>
      </c>
      <c r="C1675" s="41" t="s">
        <v>103</v>
      </c>
      <c r="D1675" s="108" t="s">
        <v>1432</v>
      </c>
      <c r="E1675" s="42">
        <v>340</v>
      </c>
      <c r="G1675" s="58">
        <f t="shared" si="30"/>
        <v>-340</v>
      </c>
      <c r="H1675" s="49" t="s">
        <v>1218</v>
      </c>
    </row>
    <row r="1676" spans="1:8" x14ac:dyDescent="0.2">
      <c r="A1676" s="596">
        <v>42621</v>
      </c>
      <c r="B1676" s="41" t="s">
        <v>103</v>
      </c>
      <c r="C1676" s="41" t="s">
        <v>103</v>
      </c>
      <c r="D1676" s="108" t="s">
        <v>1433</v>
      </c>
      <c r="E1676" s="42">
        <v>340</v>
      </c>
      <c r="G1676" s="58">
        <f t="shared" si="30"/>
        <v>-340</v>
      </c>
      <c r="H1676" s="49" t="s">
        <v>1218</v>
      </c>
    </row>
    <row r="1677" spans="1:8" x14ac:dyDescent="0.2">
      <c r="A1677" s="596">
        <v>42621</v>
      </c>
      <c r="B1677" s="41" t="s">
        <v>18</v>
      </c>
      <c r="C1677" s="41" t="s">
        <v>309</v>
      </c>
      <c r="E1677" s="42">
        <v>500</v>
      </c>
      <c r="G1677" s="58">
        <f t="shared" si="30"/>
        <v>-500</v>
      </c>
      <c r="H1677" s="49" t="s">
        <v>1218</v>
      </c>
    </row>
    <row r="1678" spans="1:8" x14ac:dyDescent="0.2">
      <c r="A1678" s="596">
        <v>42621</v>
      </c>
      <c r="B1678" s="63" t="s">
        <v>40</v>
      </c>
      <c r="C1678" s="41" t="s">
        <v>64</v>
      </c>
      <c r="D1678" s="129" t="s">
        <v>1434</v>
      </c>
      <c r="E1678" s="75">
        <v>14610</v>
      </c>
      <c r="G1678" s="58">
        <f t="shared" si="30"/>
        <v>-14610</v>
      </c>
      <c r="H1678" s="49" t="s">
        <v>1218</v>
      </c>
    </row>
    <row r="1679" spans="1:8" x14ac:dyDescent="0.2">
      <c r="A1679" s="596">
        <v>42621</v>
      </c>
      <c r="B1679" s="41" t="s">
        <v>40</v>
      </c>
      <c r="C1679" s="41" t="s">
        <v>80</v>
      </c>
      <c r="D1679" s="108" t="s">
        <v>1435</v>
      </c>
      <c r="E1679" s="42">
        <v>2945</v>
      </c>
      <c r="G1679" s="58">
        <f t="shared" si="30"/>
        <v>-2945</v>
      </c>
      <c r="H1679" s="49" t="s">
        <v>1218</v>
      </c>
    </row>
    <row r="1680" spans="1:8" x14ac:dyDescent="0.2">
      <c r="A1680" s="596">
        <v>42621</v>
      </c>
      <c r="B1680" s="41" t="s">
        <v>40</v>
      </c>
      <c r="C1680" s="41" t="s">
        <v>668</v>
      </c>
      <c r="D1680" s="108" t="s">
        <v>1436</v>
      </c>
      <c r="E1680" s="42">
        <v>500</v>
      </c>
      <c r="G1680" s="58">
        <f t="shared" si="30"/>
        <v>-500</v>
      </c>
      <c r="H1680" s="49" t="s">
        <v>1218</v>
      </c>
    </row>
    <row r="1681" spans="1:8" ht="24" x14ac:dyDescent="0.2">
      <c r="A1681" s="596">
        <v>42621</v>
      </c>
      <c r="B1681" s="63" t="s">
        <v>103</v>
      </c>
      <c r="C1681" s="63" t="s">
        <v>773</v>
      </c>
      <c r="D1681" s="183" t="s">
        <v>1437</v>
      </c>
      <c r="E1681" s="75">
        <v>5000</v>
      </c>
      <c r="G1681" s="58">
        <f t="shared" si="30"/>
        <v>-5000</v>
      </c>
      <c r="H1681" s="49" t="s">
        <v>1218</v>
      </c>
    </row>
    <row r="1682" spans="1:8" ht="15.75" customHeight="1" x14ac:dyDescent="0.25">
      <c r="A1682" s="596">
        <v>42621</v>
      </c>
      <c r="B1682" s="13" t="s">
        <v>103</v>
      </c>
      <c r="C1682" s="13" t="s">
        <v>146</v>
      </c>
      <c r="D1682" s="108" t="s">
        <v>1438</v>
      </c>
      <c r="E1682" s="14">
        <v>50</v>
      </c>
      <c r="G1682" s="58">
        <f t="shared" si="30"/>
        <v>-50</v>
      </c>
      <c r="H1682" s="49" t="s">
        <v>1218</v>
      </c>
    </row>
    <row r="1683" spans="1:8" ht="24.75" customHeight="1" x14ac:dyDescent="0.25">
      <c r="A1683" s="596">
        <v>42621</v>
      </c>
      <c r="B1683" s="13" t="s">
        <v>16</v>
      </c>
      <c r="C1683" s="41" t="s">
        <v>103</v>
      </c>
      <c r="D1683" s="129" t="s">
        <v>1439</v>
      </c>
      <c r="E1683" s="14">
        <v>300</v>
      </c>
      <c r="G1683" s="58">
        <f t="shared" si="30"/>
        <v>-300</v>
      </c>
      <c r="H1683" s="49" t="s">
        <v>1218</v>
      </c>
    </row>
    <row r="1684" spans="1:8" ht="15.75" customHeight="1" x14ac:dyDescent="0.25">
      <c r="A1684" s="596">
        <v>42622</v>
      </c>
      <c r="B1684" s="13" t="s">
        <v>16</v>
      </c>
      <c r="C1684" s="41" t="s">
        <v>103</v>
      </c>
      <c r="D1684" s="108" t="s">
        <v>1440</v>
      </c>
      <c r="E1684" s="14">
        <v>500</v>
      </c>
      <c r="G1684" s="58">
        <f t="shared" si="30"/>
        <v>-500</v>
      </c>
      <c r="H1684" s="49" t="s">
        <v>1218</v>
      </c>
    </row>
    <row r="1685" spans="1:8" ht="15.75" customHeight="1" x14ac:dyDescent="0.25">
      <c r="A1685" s="596">
        <v>42622</v>
      </c>
      <c r="B1685" s="13" t="s">
        <v>16</v>
      </c>
      <c r="C1685" s="13" t="s">
        <v>146</v>
      </c>
      <c r="D1685" s="108" t="s">
        <v>1441</v>
      </c>
      <c r="E1685" s="14">
        <v>1000</v>
      </c>
      <c r="G1685" s="58">
        <f t="shared" si="30"/>
        <v>-1000</v>
      </c>
      <c r="H1685" s="49" t="s">
        <v>1218</v>
      </c>
    </row>
    <row r="1686" spans="1:8" ht="15.75" customHeight="1" x14ac:dyDescent="0.25">
      <c r="A1686" s="596">
        <v>42622</v>
      </c>
      <c r="B1686" s="13" t="s">
        <v>40</v>
      </c>
      <c r="C1686" s="13" t="s">
        <v>1494</v>
      </c>
      <c r="D1686" s="108" t="s">
        <v>1442</v>
      </c>
      <c r="E1686" s="14">
        <v>200000</v>
      </c>
      <c r="G1686" s="58">
        <f t="shared" si="30"/>
        <v>-200000</v>
      </c>
      <c r="H1686" s="49" t="s">
        <v>1218</v>
      </c>
    </row>
    <row r="1687" spans="1:8" x14ac:dyDescent="0.2">
      <c r="A1687" s="596">
        <v>42622</v>
      </c>
      <c r="B1687" s="41" t="s">
        <v>40</v>
      </c>
      <c r="C1687" s="41" t="s">
        <v>780</v>
      </c>
      <c r="E1687" s="42">
        <v>4390</v>
      </c>
      <c r="G1687" s="58">
        <f t="shared" si="30"/>
        <v>-4390</v>
      </c>
      <c r="H1687" s="49" t="s">
        <v>1218</v>
      </c>
    </row>
    <row r="1688" spans="1:8" x14ac:dyDescent="0.2">
      <c r="A1688" s="596">
        <v>42622</v>
      </c>
      <c r="B1688" s="41" t="s">
        <v>40</v>
      </c>
      <c r="C1688" s="41" t="s">
        <v>1897</v>
      </c>
      <c r="D1688" s="108" t="s">
        <v>1443</v>
      </c>
      <c r="E1688" s="42">
        <v>400</v>
      </c>
      <c r="G1688" s="58">
        <f t="shared" si="30"/>
        <v>-400</v>
      </c>
      <c r="H1688" s="49" t="s">
        <v>1218</v>
      </c>
    </row>
    <row r="1689" spans="1:8" x14ac:dyDescent="0.2">
      <c r="A1689" s="596">
        <v>42622</v>
      </c>
      <c r="B1689" s="41" t="s">
        <v>40</v>
      </c>
      <c r="C1689" s="41" t="s">
        <v>80</v>
      </c>
      <c r="D1689" s="108" t="s">
        <v>1444</v>
      </c>
      <c r="E1689" s="42">
        <v>2000</v>
      </c>
      <c r="G1689" s="58">
        <f t="shared" si="30"/>
        <v>-2000</v>
      </c>
      <c r="H1689" s="49" t="s">
        <v>1218</v>
      </c>
    </row>
    <row r="1690" spans="1:8" x14ac:dyDescent="0.2">
      <c r="A1690" s="596">
        <v>42622</v>
      </c>
      <c r="B1690" s="41" t="s">
        <v>40</v>
      </c>
      <c r="C1690" s="41" t="s">
        <v>80</v>
      </c>
      <c r="D1690" s="108" t="s">
        <v>1445</v>
      </c>
      <c r="E1690" s="42">
        <v>2000</v>
      </c>
      <c r="G1690" s="58">
        <f t="shared" si="30"/>
        <v>-2000</v>
      </c>
      <c r="H1690" s="49" t="s">
        <v>1218</v>
      </c>
    </row>
    <row r="1691" spans="1:8" ht="15.75" customHeight="1" x14ac:dyDescent="0.25">
      <c r="A1691" s="596">
        <v>42623</v>
      </c>
      <c r="B1691" s="13" t="s">
        <v>103</v>
      </c>
      <c r="C1691" s="41" t="s">
        <v>1167</v>
      </c>
      <c r="D1691" s="108" t="s">
        <v>457</v>
      </c>
      <c r="E1691" s="14">
        <v>2000</v>
      </c>
      <c r="G1691" s="58">
        <f t="shared" si="30"/>
        <v>-2000</v>
      </c>
      <c r="H1691" s="49" t="s">
        <v>1218</v>
      </c>
    </row>
    <row r="1692" spans="1:8" ht="15.75" customHeight="1" x14ac:dyDescent="0.25">
      <c r="A1692" s="596">
        <v>42623</v>
      </c>
      <c r="B1692" s="13" t="s">
        <v>103</v>
      </c>
      <c r="C1692" s="41" t="s">
        <v>1167</v>
      </c>
      <c r="D1692" s="108" t="s">
        <v>1075</v>
      </c>
      <c r="E1692" s="14">
        <v>4000</v>
      </c>
      <c r="G1692" s="58">
        <f t="shared" si="30"/>
        <v>-4000</v>
      </c>
      <c r="H1692" s="49" t="s">
        <v>1218</v>
      </c>
    </row>
    <row r="1693" spans="1:8" ht="15.75" customHeight="1" x14ac:dyDescent="0.25">
      <c r="A1693" s="596">
        <v>42623</v>
      </c>
      <c r="B1693" s="13" t="s">
        <v>103</v>
      </c>
      <c r="C1693" s="13" t="s">
        <v>372</v>
      </c>
      <c r="D1693" s="108" t="s">
        <v>1446</v>
      </c>
      <c r="E1693" s="14">
        <v>1500</v>
      </c>
      <c r="G1693" s="58">
        <f t="shared" si="30"/>
        <v>-1500</v>
      </c>
      <c r="H1693" s="49" t="s">
        <v>1218</v>
      </c>
    </row>
    <row r="1694" spans="1:8" ht="15.75" customHeight="1" x14ac:dyDescent="0.25">
      <c r="A1694" s="596">
        <v>42623</v>
      </c>
      <c r="B1694" s="13" t="s">
        <v>40</v>
      </c>
      <c r="C1694" s="41" t="s">
        <v>64</v>
      </c>
      <c r="D1694" s="108" t="s">
        <v>286</v>
      </c>
      <c r="E1694" s="14">
        <v>500</v>
      </c>
      <c r="G1694" s="58">
        <f t="shared" si="30"/>
        <v>-500</v>
      </c>
      <c r="H1694" s="49" t="s">
        <v>1218</v>
      </c>
    </row>
    <row r="1695" spans="1:8" ht="15.75" customHeight="1" x14ac:dyDescent="0.25">
      <c r="A1695" s="596">
        <v>42623</v>
      </c>
      <c r="B1695" s="13" t="s">
        <v>40</v>
      </c>
      <c r="C1695" s="13" t="s">
        <v>80</v>
      </c>
      <c r="D1695" s="108" t="s">
        <v>370</v>
      </c>
      <c r="E1695" s="14">
        <v>3000</v>
      </c>
      <c r="G1695" s="58">
        <f t="shared" si="30"/>
        <v>-3000</v>
      </c>
      <c r="H1695" s="49" t="s">
        <v>1218</v>
      </c>
    </row>
    <row r="1696" spans="1:8" ht="15.75" customHeight="1" x14ac:dyDescent="0.25">
      <c r="A1696" s="596">
        <v>42623</v>
      </c>
      <c r="B1696" s="13" t="s">
        <v>40</v>
      </c>
      <c r="C1696" s="41" t="s">
        <v>1167</v>
      </c>
      <c r="D1696" s="108" t="s">
        <v>1447</v>
      </c>
      <c r="E1696" s="14">
        <v>3000</v>
      </c>
      <c r="G1696" s="58">
        <f t="shared" si="30"/>
        <v>-3000</v>
      </c>
      <c r="H1696" s="49" t="s">
        <v>1218</v>
      </c>
    </row>
    <row r="1697" spans="1:8" ht="15.75" customHeight="1" x14ac:dyDescent="0.25">
      <c r="A1697" s="596">
        <v>42623</v>
      </c>
      <c r="B1697" s="13" t="s">
        <v>16</v>
      </c>
      <c r="C1697" s="41" t="s">
        <v>1167</v>
      </c>
      <c r="D1697" s="108" t="s">
        <v>1497</v>
      </c>
      <c r="E1697" s="14">
        <v>15000</v>
      </c>
      <c r="G1697" s="58">
        <f t="shared" si="30"/>
        <v>-15000</v>
      </c>
      <c r="H1697" s="49" t="s">
        <v>1218</v>
      </c>
    </row>
    <row r="1698" spans="1:8" ht="15.75" customHeight="1" x14ac:dyDescent="0.25">
      <c r="A1698" s="596">
        <v>42623</v>
      </c>
      <c r="B1698" s="13" t="s">
        <v>40</v>
      </c>
      <c r="C1698" s="41" t="s">
        <v>929</v>
      </c>
      <c r="D1698" s="108" t="s">
        <v>1506</v>
      </c>
      <c r="E1698" s="14">
        <v>85000</v>
      </c>
      <c r="G1698" s="58">
        <f t="shared" si="30"/>
        <v>-85000</v>
      </c>
      <c r="H1698" s="49" t="s">
        <v>1218</v>
      </c>
    </row>
    <row r="1699" spans="1:8" ht="15.75" customHeight="1" x14ac:dyDescent="0.25">
      <c r="A1699" s="596">
        <v>42623</v>
      </c>
      <c r="B1699" s="13" t="s">
        <v>40</v>
      </c>
      <c r="C1699" s="41" t="s">
        <v>64</v>
      </c>
      <c r="D1699" s="108" t="s">
        <v>1449</v>
      </c>
      <c r="E1699" s="14">
        <v>2500</v>
      </c>
      <c r="G1699" s="58">
        <f t="shared" si="30"/>
        <v>-2500</v>
      </c>
      <c r="H1699" s="49" t="s">
        <v>1218</v>
      </c>
    </row>
    <row r="1700" spans="1:8" ht="15.75" customHeight="1" x14ac:dyDescent="0.25">
      <c r="A1700" s="596">
        <v>42623</v>
      </c>
      <c r="B1700" s="13" t="s">
        <v>103</v>
      </c>
      <c r="C1700" s="41" t="s">
        <v>103</v>
      </c>
      <c r="D1700" s="108" t="s">
        <v>1450</v>
      </c>
      <c r="E1700" s="14">
        <v>1000</v>
      </c>
      <c r="G1700" s="58">
        <f t="shared" si="30"/>
        <v>-1000</v>
      </c>
      <c r="H1700" s="49" t="s">
        <v>1218</v>
      </c>
    </row>
    <row r="1701" spans="1:8" x14ac:dyDescent="0.2">
      <c r="A1701" s="596">
        <v>42629</v>
      </c>
      <c r="B1701" s="41" t="s">
        <v>40</v>
      </c>
      <c r="C1701" s="41" t="s">
        <v>1167</v>
      </c>
      <c r="D1701" s="108" t="s">
        <v>1066</v>
      </c>
      <c r="E1701" s="42">
        <v>40000</v>
      </c>
      <c r="G1701" s="58">
        <f t="shared" si="30"/>
        <v>-40000</v>
      </c>
      <c r="H1701" s="49" t="s">
        <v>1218</v>
      </c>
    </row>
    <row r="1702" spans="1:8" x14ac:dyDescent="0.2">
      <c r="A1702" s="596">
        <v>42629</v>
      </c>
      <c r="B1702" s="41" t="s">
        <v>103</v>
      </c>
      <c r="C1702" s="41" t="s">
        <v>103</v>
      </c>
      <c r="D1702" s="108" t="s">
        <v>1451</v>
      </c>
      <c r="E1702" s="42">
        <v>25000</v>
      </c>
      <c r="G1702" s="58">
        <f t="shared" si="30"/>
        <v>-25000</v>
      </c>
      <c r="H1702" s="49" t="s">
        <v>1218</v>
      </c>
    </row>
    <row r="1703" spans="1:8" ht="15.75" customHeight="1" x14ac:dyDescent="0.25">
      <c r="A1703" s="596">
        <v>42629</v>
      </c>
      <c r="B1703" s="13" t="s">
        <v>103</v>
      </c>
      <c r="C1703" s="41" t="s">
        <v>103</v>
      </c>
      <c r="D1703" s="108" t="s">
        <v>1452</v>
      </c>
      <c r="E1703" s="14">
        <v>785</v>
      </c>
      <c r="G1703" s="58">
        <f t="shared" si="30"/>
        <v>-785</v>
      </c>
      <c r="H1703" s="49" t="s">
        <v>1218</v>
      </c>
    </row>
    <row r="1704" spans="1:8" ht="15.75" customHeight="1" x14ac:dyDescent="0.25">
      <c r="A1704" s="596">
        <v>42629</v>
      </c>
      <c r="B1704" s="13" t="s">
        <v>103</v>
      </c>
      <c r="C1704" s="13" t="s">
        <v>146</v>
      </c>
      <c r="D1704" s="108" t="s">
        <v>801</v>
      </c>
      <c r="E1704" s="14">
        <v>140</v>
      </c>
      <c r="G1704" s="58">
        <f t="shared" si="30"/>
        <v>-140</v>
      </c>
      <c r="H1704" s="49" t="s">
        <v>1218</v>
      </c>
    </row>
    <row r="1705" spans="1:8" x14ac:dyDescent="0.2">
      <c r="A1705" s="597">
        <v>42630</v>
      </c>
      <c r="B1705" s="41" t="s">
        <v>103</v>
      </c>
      <c r="C1705" s="41" t="s">
        <v>220</v>
      </c>
      <c r="D1705" s="108" t="s">
        <v>392</v>
      </c>
      <c r="E1705" s="42">
        <v>2450</v>
      </c>
      <c r="G1705" s="58">
        <f t="shared" si="30"/>
        <v>-2450</v>
      </c>
      <c r="H1705" s="49" t="s">
        <v>1218</v>
      </c>
    </row>
    <row r="1706" spans="1:8" ht="15.75" customHeight="1" x14ac:dyDescent="0.25">
      <c r="A1706" s="597">
        <v>42630</v>
      </c>
      <c r="B1706" s="13" t="s">
        <v>40</v>
      </c>
      <c r="C1706" s="41" t="s">
        <v>64</v>
      </c>
      <c r="D1706" s="108" t="s">
        <v>286</v>
      </c>
      <c r="E1706" s="14">
        <v>500</v>
      </c>
      <c r="G1706" s="58">
        <f t="shared" si="30"/>
        <v>-500</v>
      </c>
      <c r="H1706" s="49" t="s">
        <v>1218</v>
      </c>
    </row>
    <row r="1707" spans="1:8" ht="15.75" customHeight="1" x14ac:dyDescent="0.25">
      <c r="A1707" s="597">
        <v>42630</v>
      </c>
      <c r="B1707" s="13" t="s">
        <v>40</v>
      </c>
      <c r="C1707" s="41" t="s">
        <v>1897</v>
      </c>
      <c r="D1707" s="108" t="s">
        <v>1453</v>
      </c>
      <c r="E1707" s="14">
        <v>200</v>
      </c>
      <c r="G1707" s="58">
        <f t="shared" si="30"/>
        <v>-200</v>
      </c>
      <c r="H1707" s="49" t="s">
        <v>1218</v>
      </c>
    </row>
    <row r="1708" spans="1:8" ht="15.75" customHeight="1" x14ac:dyDescent="0.25">
      <c r="A1708" s="597">
        <v>42630</v>
      </c>
      <c r="B1708" s="13" t="s">
        <v>103</v>
      </c>
      <c r="C1708" s="13" t="s">
        <v>773</v>
      </c>
      <c r="D1708" s="108" t="s">
        <v>1454</v>
      </c>
      <c r="E1708" s="14">
        <v>100</v>
      </c>
      <c r="G1708" s="58">
        <f t="shared" si="30"/>
        <v>-100</v>
      </c>
      <c r="H1708" s="49" t="s">
        <v>1218</v>
      </c>
    </row>
    <row r="1709" spans="1:8" ht="15.75" customHeight="1" x14ac:dyDescent="0.25">
      <c r="A1709" s="597">
        <v>42630</v>
      </c>
      <c r="B1709" s="13" t="s">
        <v>103</v>
      </c>
      <c r="C1709" s="41" t="s">
        <v>14</v>
      </c>
      <c r="D1709" s="108" t="s">
        <v>1455</v>
      </c>
      <c r="E1709" s="14">
        <v>90</v>
      </c>
      <c r="G1709" s="58">
        <f t="shared" si="30"/>
        <v>-90</v>
      </c>
      <c r="H1709" s="49" t="s">
        <v>1218</v>
      </c>
    </row>
    <row r="1710" spans="1:8" ht="15.75" customHeight="1" x14ac:dyDescent="0.25">
      <c r="A1710" s="597">
        <v>42630</v>
      </c>
      <c r="B1710" s="13" t="s">
        <v>25</v>
      </c>
      <c r="C1710" s="13" t="s">
        <v>986</v>
      </c>
      <c r="D1710" s="108" t="s">
        <v>1456</v>
      </c>
      <c r="E1710" s="14">
        <v>200</v>
      </c>
      <c r="G1710" s="58">
        <f t="shared" si="30"/>
        <v>-200</v>
      </c>
      <c r="H1710" s="49" t="s">
        <v>1218</v>
      </c>
    </row>
    <row r="1711" spans="1:8" ht="15.75" customHeight="1" x14ac:dyDescent="0.25">
      <c r="A1711" s="597">
        <v>42630</v>
      </c>
      <c r="B1711" s="13" t="s">
        <v>40</v>
      </c>
      <c r="C1711" s="41" t="s">
        <v>1167</v>
      </c>
      <c r="D1711" s="108" t="s">
        <v>1457</v>
      </c>
      <c r="E1711" s="14">
        <v>3000</v>
      </c>
      <c r="G1711" s="58">
        <f t="shared" si="30"/>
        <v>-3000</v>
      </c>
      <c r="H1711" s="49" t="s">
        <v>1218</v>
      </c>
    </row>
    <row r="1712" spans="1:8" ht="15.75" customHeight="1" x14ac:dyDescent="0.25">
      <c r="A1712" s="597">
        <v>42630</v>
      </c>
      <c r="B1712" s="13" t="s">
        <v>103</v>
      </c>
      <c r="C1712" s="41" t="s">
        <v>103</v>
      </c>
      <c r="D1712" s="108" t="s">
        <v>1458</v>
      </c>
      <c r="E1712" s="14">
        <v>650</v>
      </c>
      <c r="G1712" s="58">
        <f t="shared" si="30"/>
        <v>-650</v>
      </c>
      <c r="H1712" s="49" t="s">
        <v>1218</v>
      </c>
    </row>
    <row r="1713" spans="1:8" ht="15.75" customHeight="1" x14ac:dyDescent="0.25">
      <c r="A1713" s="597">
        <v>42632</v>
      </c>
      <c r="B1713" s="13" t="s">
        <v>103</v>
      </c>
      <c r="C1713" s="41" t="s">
        <v>103</v>
      </c>
      <c r="D1713" s="108" t="s">
        <v>1495</v>
      </c>
      <c r="E1713" s="14">
        <v>100</v>
      </c>
      <c r="G1713" s="58">
        <f t="shared" si="30"/>
        <v>-100</v>
      </c>
      <c r="H1713" s="49" t="s">
        <v>1218</v>
      </c>
    </row>
    <row r="1714" spans="1:8" ht="15.75" customHeight="1" x14ac:dyDescent="0.25">
      <c r="A1714" s="597">
        <v>42632</v>
      </c>
      <c r="B1714" s="13" t="s">
        <v>103</v>
      </c>
      <c r="C1714" s="13" t="s">
        <v>773</v>
      </c>
      <c r="D1714" s="108" t="s">
        <v>1454</v>
      </c>
      <c r="E1714" s="14">
        <v>100</v>
      </c>
      <c r="G1714" s="58">
        <f t="shared" si="30"/>
        <v>-100</v>
      </c>
      <c r="H1714" s="49" t="s">
        <v>1218</v>
      </c>
    </row>
    <row r="1715" spans="1:8" ht="15.75" customHeight="1" x14ac:dyDescent="0.25">
      <c r="A1715" s="597">
        <v>42632</v>
      </c>
      <c r="B1715" s="13" t="s">
        <v>103</v>
      </c>
      <c r="C1715" s="41" t="s">
        <v>103</v>
      </c>
      <c r="D1715" s="108" t="s">
        <v>1459</v>
      </c>
      <c r="E1715" s="14">
        <v>95</v>
      </c>
      <c r="G1715" s="58">
        <f t="shared" si="30"/>
        <v>-95</v>
      </c>
      <c r="H1715" s="49" t="s">
        <v>1218</v>
      </c>
    </row>
    <row r="1716" spans="1:8" ht="15.75" customHeight="1" x14ac:dyDescent="0.25">
      <c r="A1716" s="597">
        <v>42632</v>
      </c>
      <c r="B1716" s="13" t="s">
        <v>103</v>
      </c>
      <c r="C1716" s="13" t="s">
        <v>372</v>
      </c>
      <c r="D1716" s="108" t="s">
        <v>286</v>
      </c>
      <c r="E1716" s="14">
        <v>500</v>
      </c>
      <c r="G1716" s="58">
        <f t="shared" si="30"/>
        <v>-500</v>
      </c>
      <c r="H1716" s="49" t="s">
        <v>1218</v>
      </c>
    </row>
    <row r="1717" spans="1:8" ht="15.75" customHeight="1" x14ac:dyDescent="0.25">
      <c r="A1717" s="597">
        <v>42632</v>
      </c>
      <c r="B1717" s="13" t="s">
        <v>16</v>
      </c>
      <c r="C1717" s="13" t="s">
        <v>372</v>
      </c>
      <c r="D1717" s="108" t="s">
        <v>370</v>
      </c>
      <c r="E1717" s="14">
        <v>30000</v>
      </c>
      <c r="G1717" s="58">
        <f t="shared" si="30"/>
        <v>-30000</v>
      </c>
      <c r="H1717" s="49" t="s">
        <v>1218</v>
      </c>
    </row>
    <row r="1718" spans="1:8" ht="15.75" customHeight="1" x14ac:dyDescent="0.25">
      <c r="A1718" s="597">
        <v>42632</v>
      </c>
      <c r="B1718" s="13" t="s">
        <v>16</v>
      </c>
      <c r="C1718" s="13" t="s">
        <v>773</v>
      </c>
      <c r="D1718" s="108" t="s">
        <v>1496</v>
      </c>
      <c r="E1718" s="14">
        <v>100</v>
      </c>
      <c r="G1718" s="58">
        <f t="shared" si="30"/>
        <v>-100</v>
      </c>
      <c r="H1718" s="49" t="s">
        <v>1218</v>
      </c>
    </row>
    <row r="1719" spans="1:8" ht="15.75" customHeight="1" x14ac:dyDescent="0.25">
      <c r="A1719" s="597">
        <v>42632</v>
      </c>
      <c r="B1719" s="13" t="s">
        <v>40</v>
      </c>
      <c r="C1719" s="13" t="s">
        <v>80</v>
      </c>
      <c r="D1719" s="108" t="s">
        <v>1460</v>
      </c>
      <c r="E1719" s="14">
        <v>2000</v>
      </c>
      <c r="G1719" s="58">
        <f t="shared" si="30"/>
        <v>-2000</v>
      </c>
      <c r="H1719" s="49" t="s">
        <v>1218</v>
      </c>
    </row>
    <row r="1720" spans="1:8" ht="15.75" customHeight="1" x14ac:dyDescent="0.25">
      <c r="A1720" s="597">
        <v>42632</v>
      </c>
      <c r="B1720" s="13" t="s">
        <v>40</v>
      </c>
      <c r="C1720" s="13" t="s">
        <v>551</v>
      </c>
      <c r="D1720" s="108" t="s">
        <v>1462</v>
      </c>
      <c r="E1720" s="14">
        <v>7000</v>
      </c>
      <c r="G1720" s="58">
        <f t="shared" si="30"/>
        <v>-7000</v>
      </c>
      <c r="H1720" s="49" t="s">
        <v>1218</v>
      </c>
    </row>
    <row r="1721" spans="1:8" ht="15.75" customHeight="1" x14ac:dyDescent="0.25">
      <c r="A1721" s="597">
        <v>42633</v>
      </c>
      <c r="B1721" s="13" t="s">
        <v>16</v>
      </c>
      <c r="C1721" s="41" t="s">
        <v>103</v>
      </c>
      <c r="D1721" s="108" t="s">
        <v>984</v>
      </c>
      <c r="E1721" s="14">
        <v>100</v>
      </c>
      <c r="G1721" s="58">
        <f t="shared" si="30"/>
        <v>-100</v>
      </c>
      <c r="H1721" s="49" t="s">
        <v>1218</v>
      </c>
    </row>
    <row r="1722" spans="1:8" ht="15.75" customHeight="1" x14ac:dyDescent="0.25">
      <c r="A1722" s="597">
        <v>42633</v>
      </c>
      <c r="B1722" s="13" t="s">
        <v>40</v>
      </c>
      <c r="C1722" s="41" t="s">
        <v>1167</v>
      </c>
      <c r="D1722" s="108" t="s">
        <v>111</v>
      </c>
      <c r="E1722" s="14">
        <v>5000</v>
      </c>
      <c r="G1722" s="58">
        <f t="shared" si="30"/>
        <v>-5000</v>
      </c>
      <c r="H1722" s="49" t="s">
        <v>1218</v>
      </c>
    </row>
    <row r="1723" spans="1:8" ht="15.75" customHeight="1" x14ac:dyDescent="0.25">
      <c r="A1723" s="597">
        <v>42633</v>
      </c>
      <c r="B1723" s="13" t="s">
        <v>16</v>
      </c>
      <c r="C1723" s="41" t="s">
        <v>103</v>
      </c>
      <c r="D1723" s="108" t="s">
        <v>1463</v>
      </c>
      <c r="E1723" s="14">
        <v>800</v>
      </c>
      <c r="G1723" s="58">
        <f t="shared" si="30"/>
        <v>-800</v>
      </c>
      <c r="H1723" s="49" t="s">
        <v>1218</v>
      </c>
    </row>
    <row r="1724" spans="1:8" ht="15.75" customHeight="1" x14ac:dyDescent="0.25">
      <c r="A1724" s="597">
        <v>42634</v>
      </c>
      <c r="B1724" s="13" t="s">
        <v>1493</v>
      </c>
      <c r="C1724" s="41" t="s">
        <v>194</v>
      </c>
      <c r="D1724" s="108" t="s">
        <v>1464</v>
      </c>
      <c r="E1724" s="14">
        <v>1500</v>
      </c>
      <c r="G1724" s="58">
        <f t="shared" si="30"/>
        <v>-1500</v>
      </c>
      <c r="H1724" s="49" t="s">
        <v>1218</v>
      </c>
    </row>
    <row r="1725" spans="1:8" ht="15.75" customHeight="1" x14ac:dyDescent="0.25">
      <c r="A1725" s="597">
        <v>42634</v>
      </c>
      <c r="B1725" s="13" t="s">
        <v>82</v>
      </c>
      <c r="C1725" s="13" t="s">
        <v>214</v>
      </c>
      <c r="D1725" s="108" t="s">
        <v>1498</v>
      </c>
      <c r="E1725" s="14">
        <v>10000</v>
      </c>
      <c r="G1725" s="58">
        <f t="shared" si="30"/>
        <v>-10000</v>
      </c>
      <c r="H1725" s="49" t="s">
        <v>1218</v>
      </c>
    </row>
    <row r="1726" spans="1:8" ht="15.75" customHeight="1" x14ac:dyDescent="0.25">
      <c r="A1726" s="597">
        <v>42634</v>
      </c>
      <c r="B1726" s="13" t="s">
        <v>16</v>
      </c>
      <c r="C1726" s="41" t="s">
        <v>103</v>
      </c>
      <c r="D1726" s="108" t="s">
        <v>1465</v>
      </c>
      <c r="E1726" s="14">
        <v>400</v>
      </c>
      <c r="G1726" s="58">
        <f t="shared" si="30"/>
        <v>-400</v>
      </c>
      <c r="H1726" s="49" t="s">
        <v>1218</v>
      </c>
    </row>
    <row r="1727" spans="1:8" ht="15.75" customHeight="1" x14ac:dyDescent="0.25">
      <c r="A1727" s="597">
        <v>42634</v>
      </c>
      <c r="B1727" s="13" t="s">
        <v>16</v>
      </c>
      <c r="C1727" s="41" t="s">
        <v>103</v>
      </c>
      <c r="D1727" s="108" t="s">
        <v>1466</v>
      </c>
      <c r="E1727" s="14">
        <v>700</v>
      </c>
      <c r="G1727" s="58">
        <f t="shared" si="30"/>
        <v>-700</v>
      </c>
      <c r="H1727" s="49" t="s">
        <v>1218</v>
      </c>
    </row>
    <row r="1728" spans="1:8" ht="15.75" customHeight="1" x14ac:dyDescent="0.25">
      <c r="A1728" s="597">
        <v>42634</v>
      </c>
      <c r="B1728" s="13" t="s">
        <v>16</v>
      </c>
      <c r="C1728" s="41" t="s">
        <v>103</v>
      </c>
      <c r="D1728" s="108" t="s">
        <v>1467</v>
      </c>
      <c r="E1728" s="14">
        <v>350</v>
      </c>
      <c r="G1728" s="58">
        <f t="shared" si="30"/>
        <v>-350</v>
      </c>
      <c r="H1728" s="49" t="s">
        <v>1218</v>
      </c>
    </row>
    <row r="1729" spans="1:8" ht="15.75" customHeight="1" x14ac:dyDescent="0.25">
      <c r="A1729" s="597">
        <v>42634</v>
      </c>
      <c r="B1729" s="13" t="s">
        <v>16</v>
      </c>
      <c r="C1729" s="13" t="s">
        <v>146</v>
      </c>
      <c r="D1729" s="108" t="s">
        <v>984</v>
      </c>
      <c r="E1729" s="14">
        <v>60</v>
      </c>
      <c r="G1729" s="58">
        <f t="shared" si="30"/>
        <v>-60</v>
      </c>
      <c r="H1729" s="49" t="s">
        <v>1218</v>
      </c>
    </row>
    <row r="1730" spans="1:8" x14ac:dyDescent="0.2">
      <c r="A1730" s="597">
        <v>42634</v>
      </c>
      <c r="B1730" s="41" t="s">
        <v>16</v>
      </c>
      <c r="C1730" s="41" t="s">
        <v>773</v>
      </c>
      <c r="D1730" s="108" t="s">
        <v>1468</v>
      </c>
      <c r="E1730" s="42">
        <v>150</v>
      </c>
      <c r="G1730" s="58">
        <f t="shared" si="30"/>
        <v>-150</v>
      </c>
      <c r="H1730" s="49" t="s">
        <v>1218</v>
      </c>
    </row>
    <row r="1731" spans="1:8" x14ac:dyDescent="0.2">
      <c r="A1731" s="597">
        <v>42635</v>
      </c>
      <c r="B1731" s="41" t="s">
        <v>103</v>
      </c>
      <c r="C1731" s="41" t="s">
        <v>103</v>
      </c>
      <c r="D1731" s="108" t="s">
        <v>984</v>
      </c>
      <c r="E1731" s="57">
        <v>160</v>
      </c>
      <c r="G1731" s="58">
        <f t="shared" si="30"/>
        <v>-160</v>
      </c>
      <c r="H1731" s="49" t="s">
        <v>1218</v>
      </c>
    </row>
    <row r="1732" spans="1:8" x14ac:dyDescent="0.2">
      <c r="A1732" s="597">
        <v>42635</v>
      </c>
      <c r="B1732" s="41" t="s">
        <v>40</v>
      </c>
      <c r="C1732" s="41" t="s">
        <v>1339</v>
      </c>
      <c r="D1732" s="108" t="s">
        <v>1461</v>
      </c>
      <c r="E1732" s="41">
        <v>20000</v>
      </c>
      <c r="G1732" s="58">
        <f t="shared" si="30"/>
        <v>-20000</v>
      </c>
      <c r="H1732" s="49" t="s">
        <v>1218</v>
      </c>
    </row>
    <row r="1733" spans="1:8" x14ac:dyDescent="0.2">
      <c r="A1733" s="597">
        <v>42635</v>
      </c>
      <c r="B1733" s="41" t="s">
        <v>103</v>
      </c>
      <c r="C1733" s="41" t="s">
        <v>103</v>
      </c>
      <c r="D1733" s="108" t="s">
        <v>1469</v>
      </c>
      <c r="E1733" s="41">
        <v>200</v>
      </c>
      <c r="G1733" s="58">
        <f t="shared" si="30"/>
        <v>-200</v>
      </c>
      <c r="H1733" s="49" t="s">
        <v>1218</v>
      </c>
    </row>
    <row r="1734" spans="1:8" x14ac:dyDescent="0.2">
      <c r="A1734" s="597">
        <v>42635</v>
      </c>
      <c r="B1734" s="41" t="s">
        <v>16</v>
      </c>
      <c r="C1734" s="41" t="s">
        <v>103</v>
      </c>
      <c r="D1734" s="108" t="s">
        <v>801</v>
      </c>
      <c r="E1734" s="41">
        <v>240</v>
      </c>
      <c r="G1734" s="58">
        <f t="shared" si="30"/>
        <v>-240</v>
      </c>
      <c r="H1734" s="49" t="s">
        <v>1218</v>
      </c>
    </row>
    <row r="1735" spans="1:8" x14ac:dyDescent="0.2">
      <c r="A1735" s="597">
        <v>42636</v>
      </c>
      <c r="B1735" s="41" t="s">
        <v>154</v>
      </c>
      <c r="C1735" s="41" t="s">
        <v>263</v>
      </c>
      <c r="D1735" s="108" t="s">
        <v>1470</v>
      </c>
      <c r="E1735" s="41">
        <v>55310</v>
      </c>
      <c r="G1735" s="58">
        <f t="shared" si="30"/>
        <v>-55310</v>
      </c>
      <c r="H1735" s="49" t="s">
        <v>1218</v>
      </c>
    </row>
    <row r="1736" spans="1:8" x14ac:dyDescent="0.2">
      <c r="A1736" s="597">
        <v>42636</v>
      </c>
      <c r="B1736" s="41" t="s">
        <v>40</v>
      </c>
      <c r="C1736" s="41" t="s">
        <v>1471</v>
      </c>
      <c r="D1736" s="108" t="s">
        <v>1461</v>
      </c>
      <c r="E1736" s="41">
        <v>30000</v>
      </c>
      <c r="G1736" s="58">
        <f t="shared" si="30"/>
        <v>-30000</v>
      </c>
      <c r="H1736" s="49" t="s">
        <v>1218</v>
      </c>
    </row>
    <row r="1737" spans="1:8" x14ac:dyDescent="0.2">
      <c r="A1737" s="597">
        <v>42636</v>
      </c>
      <c r="B1737" s="41" t="s">
        <v>40</v>
      </c>
      <c r="C1737" s="41" t="s">
        <v>1894</v>
      </c>
      <c r="D1737" s="108" t="s">
        <v>1472</v>
      </c>
      <c r="E1737" s="41">
        <v>4430</v>
      </c>
      <c r="G1737" s="58">
        <f t="shared" ref="G1737:G1800" si="31">F1737-E1737</f>
        <v>-4430</v>
      </c>
      <c r="H1737" s="49" t="s">
        <v>1218</v>
      </c>
    </row>
    <row r="1738" spans="1:8" x14ac:dyDescent="0.2">
      <c r="A1738" s="597">
        <v>42636</v>
      </c>
      <c r="B1738" s="41" t="s">
        <v>25</v>
      </c>
      <c r="C1738" s="41" t="s">
        <v>1894</v>
      </c>
      <c r="D1738" s="108" t="s">
        <v>1472</v>
      </c>
      <c r="E1738" s="41">
        <v>7660</v>
      </c>
      <c r="G1738" s="58">
        <f t="shared" si="31"/>
        <v>-7660</v>
      </c>
      <c r="H1738" s="49" t="s">
        <v>1218</v>
      </c>
    </row>
    <row r="1739" spans="1:8" x14ac:dyDescent="0.2">
      <c r="A1739" s="597">
        <v>42636</v>
      </c>
      <c r="B1739" s="41" t="s">
        <v>154</v>
      </c>
      <c r="C1739" s="41" t="s">
        <v>220</v>
      </c>
      <c r="D1739" s="108" t="s">
        <v>583</v>
      </c>
      <c r="E1739" s="41">
        <v>3000</v>
      </c>
      <c r="G1739" s="58">
        <f t="shared" si="31"/>
        <v>-3000</v>
      </c>
      <c r="H1739" s="49" t="s">
        <v>1218</v>
      </c>
    </row>
    <row r="1740" spans="1:8" x14ac:dyDescent="0.2">
      <c r="A1740" s="597">
        <v>42636</v>
      </c>
      <c r="B1740" s="41" t="s">
        <v>18</v>
      </c>
      <c r="C1740" s="41" t="s">
        <v>220</v>
      </c>
      <c r="D1740" s="108" t="s">
        <v>583</v>
      </c>
      <c r="E1740" s="41">
        <v>1000</v>
      </c>
      <c r="G1740" s="58">
        <f t="shared" si="31"/>
        <v>-1000</v>
      </c>
      <c r="H1740" s="49" t="s">
        <v>1218</v>
      </c>
    </row>
    <row r="1741" spans="1:8" x14ac:dyDescent="0.2">
      <c r="A1741" s="597">
        <v>42636</v>
      </c>
      <c r="B1741" s="41" t="s">
        <v>25</v>
      </c>
      <c r="C1741" s="41" t="s">
        <v>1894</v>
      </c>
      <c r="D1741" s="108" t="s">
        <v>1474</v>
      </c>
      <c r="E1741" s="41">
        <v>500</v>
      </c>
      <c r="G1741" s="58">
        <f t="shared" si="31"/>
        <v>-500</v>
      </c>
      <c r="H1741" s="49" t="s">
        <v>1218</v>
      </c>
    </row>
    <row r="1742" spans="1:8" x14ac:dyDescent="0.2">
      <c r="A1742" s="597">
        <v>42636</v>
      </c>
      <c r="B1742" s="41" t="s">
        <v>40</v>
      </c>
      <c r="C1742" s="41" t="s">
        <v>1499</v>
      </c>
      <c r="D1742" s="108" t="s">
        <v>1475</v>
      </c>
      <c r="E1742" s="41">
        <v>173983</v>
      </c>
      <c r="G1742" s="58">
        <f t="shared" si="31"/>
        <v>-173983</v>
      </c>
      <c r="H1742" s="49" t="s">
        <v>1218</v>
      </c>
    </row>
    <row r="1743" spans="1:8" x14ac:dyDescent="0.2">
      <c r="A1743" s="597">
        <v>42637</v>
      </c>
      <c r="B1743" s="41" t="s">
        <v>40</v>
      </c>
      <c r="C1743" s="41" t="s">
        <v>1167</v>
      </c>
      <c r="D1743" s="108" t="s">
        <v>1476</v>
      </c>
      <c r="E1743" s="41">
        <v>10000</v>
      </c>
      <c r="G1743" s="58">
        <f t="shared" si="31"/>
        <v>-10000</v>
      </c>
      <c r="H1743" s="49" t="s">
        <v>1218</v>
      </c>
    </row>
    <row r="1744" spans="1:8" x14ac:dyDescent="0.2">
      <c r="A1744" s="597">
        <v>42637</v>
      </c>
      <c r="B1744" s="41" t="s">
        <v>40</v>
      </c>
      <c r="C1744" s="41" t="s">
        <v>64</v>
      </c>
      <c r="D1744" s="108" t="s">
        <v>1477</v>
      </c>
      <c r="E1744" s="41">
        <v>9805</v>
      </c>
      <c r="G1744" s="58">
        <f t="shared" si="31"/>
        <v>-9805</v>
      </c>
      <c r="H1744" s="49" t="s">
        <v>1218</v>
      </c>
    </row>
    <row r="1745" spans="1:8" x14ac:dyDescent="0.2">
      <c r="A1745" s="597">
        <v>42637</v>
      </c>
      <c r="B1745" s="41" t="s">
        <v>25</v>
      </c>
      <c r="C1745" s="41" t="s">
        <v>1894</v>
      </c>
      <c r="D1745" s="108" t="s">
        <v>73</v>
      </c>
      <c r="E1745" s="41">
        <v>3280</v>
      </c>
      <c r="G1745" s="58">
        <f t="shared" si="31"/>
        <v>-3280</v>
      </c>
      <c r="H1745" s="49" t="s">
        <v>1218</v>
      </c>
    </row>
    <row r="1746" spans="1:8" x14ac:dyDescent="0.2">
      <c r="A1746" s="597">
        <v>42639</v>
      </c>
      <c r="B1746" s="41" t="s">
        <v>40</v>
      </c>
      <c r="C1746" s="41" t="s">
        <v>266</v>
      </c>
      <c r="D1746" s="108" t="s">
        <v>392</v>
      </c>
      <c r="E1746" s="41">
        <v>3440</v>
      </c>
      <c r="G1746" s="58">
        <f t="shared" si="31"/>
        <v>-3440</v>
      </c>
      <c r="H1746" s="49" t="s">
        <v>1218</v>
      </c>
    </row>
    <row r="1747" spans="1:8" x14ac:dyDescent="0.2">
      <c r="A1747" s="597">
        <v>42639</v>
      </c>
      <c r="B1747" s="41" t="s">
        <v>40</v>
      </c>
      <c r="C1747" s="41" t="s">
        <v>1500</v>
      </c>
      <c r="D1747" s="108">
        <v>1358833</v>
      </c>
      <c r="E1747" s="41">
        <v>95000</v>
      </c>
      <c r="G1747" s="58">
        <f t="shared" si="31"/>
        <v>-95000</v>
      </c>
      <c r="H1747" s="49" t="s">
        <v>1218</v>
      </c>
    </row>
    <row r="1748" spans="1:8" x14ac:dyDescent="0.2">
      <c r="A1748" s="597">
        <v>42639</v>
      </c>
      <c r="B1748" s="41" t="s">
        <v>1493</v>
      </c>
      <c r="C1748" s="41" t="s">
        <v>1167</v>
      </c>
      <c r="D1748" s="108" t="s">
        <v>220</v>
      </c>
      <c r="E1748" s="41">
        <v>20000</v>
      </c>
      <c r="G1748" s="58">
        <f t="shared" si="31"/>
        <v>-20000</v>
      </c>
      <c r="H1748" s="49" t="s">
        <v>1218</v>
      </c>
    </row>
    <row r="1749" spans="1:8" x14ac:dyDescent="0.2">
      <c r="A1749" s="597">
        <v>42639</v>
      </c>
      <c r="B1749" s="41" t="s">
        <v>40</v>
      </c>
      <c r="C1749" s="41" t="s">
        <v>1167</v>
      </c>
      <c r="D1749" s="108" t="s">
        <v>629</v>
      </c>
      <c r="E1749" s="41">
        <v>20000</v>
      </c>
      <c r="G1749" s="58">
        <f t="shared" si="31"/>
        <v>-20000</v>
      </c>
      <c r="H1749" s="49" t="s">
        <v>1218</v>
      </c>
    </row>
    <row r="1750" spans="1:8" x14ac:dyDescent="0.2">
      <c r="A1750" s="597">
        <v>42639</v>
      </c>
      <c r="B1750" s="41" t="s">
        <v>154</v>
      </c>
      <c r="C1750" s="41" t="s">
        <v>220</v>
      </c>
      <c r="D1750" s="108" t="s">
        <v>1528</v>
      </c>
      <c r="E1750" s="41">
        <v>2631</v>
      </c>
      <c r="G1750" s="58">
        <f t="shared" si="31"/>
        <v>-2631</v>
      </c>
      <c r="H1750" s="49" t="s">
        <v>1218</v>
      </c>
    </row>
    <row r="1751" spans="1:8" x14ac:dyDescent="0.2">
      <c r="A1751" s="597">
        <v>42639</v>
      </c>
      <c r="B1751" s="41" t="s">
        <v>25</v>
      </c>
      <c r="C1751" s="41" t="s">
        <v>1894</v>
      </c>
      <c r="D1751" s="108" t="s">
        <v>286</v>
      </c>
      <c r="E1751" s="42">
        <v>2500</v>
      </c>
      <c r="G1751" s="58">
        <f t="shared" si="31"/>
        <v>-2500</v>
      </c>
      <c r="H1751" s="49" t="s">
        <v>1218</v>
      </c>
    </row>
    <row r="1752" spans="1:8" x14ac:dyDescent="0.2">
      <c r="A1752" s="597">
        <v>42639</v>
      </c>
      <c r="B1752" s="41" t="s">
        <v>1493</v>
      </c>
      <c r="C1752" s="41" t="s">
        <v>1042</v>
      </c>
      <c r="D1752" s="108" t="s">
        <v>1478</v>
      </c>
      <c r="E1752" s="41">
        <v>2069</v>
      </c>
      <c r="G1752" s="58">
        <f t="shared" si="31"/>
        <v>-2069</v>
      </c>
      <c r="H1752" s="49" t="s">
        <v>1218</v>
      </c>
    </row>
    <row r="1753" spans="1:8" x14ac:dyDescent="0.2">
      <c r="A1753" s="597">
        <v>42639</v>
      </c>
      <c r="B1753" s="41" t="s">
        <v>1493</v>
      </c>
      <c r="C1753" s="41" t="s">
        <v>1042</v>
      </c>
      <c r="D1753" s="108" t="s">
        <v>1479</v>
      </c>
      <c r="E1753" s="41">
        <v>1000</v>
      </c>
      <c r="G1753" s="58">
        <f t="shared" si="31"/>
        <v>-1000</v>
      </c>
      <c r="H1753" s="49" t="s">
        <v>1218</v>
      </c>
    </row>
    <row r="1754" spans="1:8" x14ac:dyDescent="0.2">
      <c r="A1754" s="597">
        <v>42640</v>
      </c>
      <c r="B1754" s="41" t="s">
        <v>40</v>
      </c>
      <c r="C1754" s="41" t="s">
        <v>80</v>
      </c>
      <c r="D1754" s="108" t="s">
        <v>1480</v>
      </c>
      <c r="E1754" s="41">
        <v>1800</v>
      </c>
      <c r="G1754" s="58">
        <f t="shared" si="31"/>
        <v>-1800</v>
      </c>
      <c r="H1754" s="49" t="s">
        <v>1218</v>
      </c>
    </row>
    <row r="1755" spans="1:8" x14ac:dyDescent="0.2">
      <c r="A1755" s="597">
        <v>42640</v>
      </c>
      <c r="B1755" s="41" t="s">
        <v>40</v>
      </c>
      <c r="C1755" s="41" t="s">
        <v>1230</v>
      </c>
      <c r="D1755" s="108" t="s">
        <v>1481</v>
      </c>
      <c r="E1755" s="41">
        <v>15000</v>
      </c>
      <c r="G1755" s="58">
        <f t="shared" si="31"/>
        <v>-15000</v>
      </c>
      <c r="H1755" s="49" t="s">
        <v>1218</v>
      </c>
    </row>
    <row r="1756" spans="1:8" x14ac:dyDescent="0.2">
      <c r="A1756" s="597">
        <v>42640</v>
      </c>
      <c r="B1756" s="41" t="s">
        <v>40</v>
      </c>
      <c r="C1756" s="41" t="s">
        <v>372</v>
      </c>
      <c r="D1756" s="108" t="s">
        <v>1482</v>
      </c>
      <c r="E1756" s="41">
        <v>4750</v>
      </c>
      <c r="G1756" s="58">
        <f t="shared" si="31"/>
        <v>-4750</v>
      </c>
      <c r="H1756" s="49" t="s">
        <v>1218</v>
      </c>
    </row>
    <row r="1757" spans="1:8" x14ac:dyDescent="0.2">
      <c r="A1757" s="597">
        <v>42640</v>
      </c>
      <c r="B1757" s="41" t="s">
        <v>25</v>
      </c>
      <c r="C1757" s="41" t="s">
        <v>1894</v>
      </c>
      <c r="D1757" s="108" t="s">
        <v>1483</v>
      </c>
      <c r="E1757" s="41">
        <v>170</v>
      </c>
      <c r="G1757" s="58">
        <f t="shared" si="31"/>
        <v>-170</v>
      </c>
      <c r="H1757" s="49" t="s">
        <v>1218</v>
      </c>
    </row>
    <row r="1758" spans="1:8" x14ac:dyDescent="0.2">
      <c r="A1758" s="597">
        <v>42640</v>
      </c>
      <c r="B1758" s="41" t="s">
        <v>25</v>
      </c>
      <c r="C1758" s="41" t="s">
        <v>1894</v>
      </c>
      <c r="D1758" s="108" t="s">
        <v>73</v>
      </c>
      <c r="E1758" s="41">
        <v>5071</v>
      </c>
      <c r="G1758" s="58">
        <f t="shared" si="31"/>
        <v>-5071</v>
      </c>
      <c r="H1758" s="49" t="s">
        <v>1218</v>
      </c>
    </row>
    <row r="1759" spans="1:8" x14ac:dyDescent="0.2">
      <c r="A1759" s="597">
        <v>42640</v>
      </c>
      <c r="B1759" s="41" t="s">
        <v>16</v>
      </c>
      <c r="C1759" s="41" t="s">
        <v>773</v>
      </c>
      <c r="D1759" s="108" t="s">
        <v>1484</v>
      </c>
      <c r="E1759" s="41">
        <v>170</v>
      </c>
      <c r="G1759" s="58">
        <f t="shared" si="31"/>
        <v>-170</v>
      </c>
      <c r="H1759" s="49" t="s">
        <v>1218</v>
      </c>
    </row>
    <row r="1760" spans="1:8" x14ac:dyDescent="0.2">
      <c r="A1760" s="597">
        <v>42641</v>
      </c>
      <c r="B1760" s="41" t="s">
        <v>18</v>
      </c>
      <c r="C1760" s="41" t="s">
        <v>325</v>
      </c>
      <c r="D1760" s="108" t="s">
        <v>1472</v>
      </c>
      <c r="E1760" s="41">
        <v>3260</v>
      </c>
      <c r="G1760" s="58">
        <f t="shared" si="31"/>
        <v>-3260</v>
      </c>
      <c r="H1760" s="49" t="s">
        <v>1218</v>
      </c>
    </row>
    <row r="1761" spans="1:8" x14ac:dyDescent="0.2">
      <c r="A1761" s="597">
        <v>42641</v>
      </c>
      <c r="B1761" s="41" t="s">
        <v>25</v>
      </c>
      <c r="C1761" s="41" t="s">
        <v>1894</v>
      </c>
      <c r="D1761" s="108" t="s">
        <v>1485</v>
      </c>
      <c r="E1761" s="41">
        <v>440</v>
      </c>
      <c r="G1761" s="58">
        <f t="shared" si="31"/>
        <v>-440</v>
      </c>
      <c r="H1761" s="49" t="s">
        <v>1218</v>
      </c>
    </row>
    <row r="1762" spans="1:8" x14ac:dyDescent="0.2">
      <c r="A1762" s="597">
        <v>42641</v>
      </c>
      <c r="B1762" s="41" t="s">
        <v>25</v>
      </c>
      <c r="C1762" s="41" t="s">
        <v>1894</v>
      </c>
      <c r="D1762" s="108" t="s">
        <v>1486</v>
      </c>
      <c r="E1762" s="41">
        <v>1500</v>
      </c>
      <c r="G1762" s="58">
        <f t="shared" si="31"/>
        <v>-1500</v>
      </c>
      <c r="H1762" s="49" t="s">
        <v>1218</v>
      </c>
    </row>
    <row r="1763" spans="1:8" x14ac:dyDescent="0.2">
      <c r="A1763" s="597">
        <v>42641</v>
      </c>
      <c r="B1763" s="41" t="s">
        <v>11</v>
      </c>
      <c r="C1763" s="41" t="s">
        <v>1167</v>
      </c>
      <c r="D1763" s="108" t="s">
        <v>267</v>
      </c>
      <c r="E1763" s="41">
        <v>3000</v>
      </c>
      <c r="G1763" s="58">
        <f t="shared" si="31"/>
        <v>-3000</v>
      </c>
      <c r="H1763" s="49" t="s">
        <v>1218</v>
      </c>
    </row>
    <row r="1764" spans="1:8" x14ac:dyDescent="0.2">
      <c r="A1764" s="597">
        <v>42641</v>
      </c>
      <c r="B1764" s="41" t="s">
        <v>40</v>
      </c>
      <c r="C1764" s="41" t="s">
        <v>1167</v>
      </c>
      <c r="D1764" s="108" t="s">
        <v>1487</v>
      </c>
      <c r="E1764" s="41">
        <v>700</v>
      </c>
      <c r="G1764" s="58">
        <f t="shared" si="31"/>
        <v>-700</v>
      </c>
      <c r="H1764" s="49" t="s">
        <v>1218</v>
      </c>
    </row>
    <row r="1765" spans="1:8" x14ac:dyDescent="0.2">
      <c r="A1765" s="597">
        <v>42641</v>
      </c>
      <c r="B1765" s="41" t="s">
        <v>40</v>
      </c>
      <c r="C1765" s="41" t="s">
        <v>80</v>
      </c>
      <c r="D1765" s="108" t="s">
        <v>1488</v>
      </c>
      <c r="E1765" s="41">
        <v>1800</v>
      </c>
      <c r="G1765" s="58">
        <f t="shared" si="31"/>
        <v>-1800</v>
      </c>
      <c r="H1765" s="49" t="s">
        <v>1218</v>
      </c>
    </row>
    <row r="1766" spans="1:8" x14ac:dyDescent="0.2">
      <c r="A1766" s="597">
        <v>42641</v>
      </c>
      <c r="B1766" s="41" t="s">
        <v>40</v>
      </c>
      <c r="C1766" s="41" t="s">
        <v>80</v>
      </c>
      <c r="D1766" s="108" t="s">
        <v>1489</v>
      </c>
      <c r="E1766" s="41">
        <v>9495</v>
      </c>
      <c r="G1766" s="58">
        <f t="shared" si="31"/>
        <v>-9495</v>
      </c>
      <c r="H1766" s="49" t="s">
        <v>1218</v>
      </c>
    </row>
    <row r="1767" spans="1:8" x14ac:dyDescent="0.2">
      <c r="A1767" s="597">
        <v>42641</v>
      </c>
      <c r="B1767" s="41" t="s">
        <v>1493</v>
      </c>
      <c r="C1767" s="41" t="s">
        <v>450</v>
      </c>
      <c r="D1767" s="108" t="s">
        <v>370</v>
      </c>
      <c r="E1767" s="41">
        <v>350</v>
      </c>
      <c r="G1767" s="58">
        <f t="shared" si="31"/>
        <v>-350</v>
      </c>
      <c r="H1767" s="49" t="s">
        <v>1218</v>
      </c>
    </row>
    <row r="1768" spans="1:8" x14ac:dyDescent="0.2">
      <c r="A1768" s="597">
        <v>42642</v>
      </c>
      <c r="B1768" s="41" t="s">
        <v>1493</v>
      </c>
      <c r="C1768" s="41" t="s">
        <v>194</v>
      </c>
      <c r="D1768" s="108" t="s">
        <v>1490</v>
      </c>
      <c r="E1768" s="41">
        <v>1971</v>
      </c>
      <c r="G1768" s="58">
        <f t="shared" si="31"/>
        <v>-1971</v>
      </c>
      <c r="H1768" s="49" t="s">
        <v>1218</v>
      </c>
    </row>
    <row r="1769" spans="1:8" x14ac:dyDescent="0.2">
      <c r="A1769" s="597">
        <v>42642</v>
      </c>
      <c r="B1769" s="41" t="s">
        <v>1400</v>
      </c>
      <c r="C1769" s="41" t="s">
        <v>1897</v>
      </c>
      <c r="D1769" s="108" t="s">
        <v>286</v>
      </c>
      <c r="E1769" s="41">
        <v>100</v>
      </c>
      <c r="G1769" s="58">
        <f t="shared" si="31"/>
        <v>-100</v>
      </c>
      <c r="H1769" s="49" t="s">
        <v>1218</v>
      </c>
    </row>
    <row r="1770" spans="1:8" x14ac:dyDescent="0.2">
      <c r="A1770" s="597">
        <v>42643</v>
      </c>
      <c r="B1770" s="41" t="s">
        <v>154</v>
      </c>
      <c r="C1770" s="41" t="s">
        <v>372</v>
      </c>
      <c r="D1770" s="108" t="s">
        <v>286</v>
      </c>
      <c r="E1770" s="42">
        <v>5000</v>
      </c>
      <c r="G1770" s="58">
        <f t="shared" si="31"/>
        <v>-5000</v>
      </c>
      <c r="H1770" s="49" t="s">
        <v>1218</v>
      </c>
    </row>
    <row r="1771" spans="1:8" x14ac:dyDescent="0.2">
      <c r="A1771" s="597">
        <v>42643</v>
      </c>
      <c r="B1771" s="41" t="s">
        <v>25</v>
      </c>
      <c r="C1771" s="41" t="s">
        <v>1894</v>
      </c>
      <c r="D1771" s="108" t="s">
        <v>286</v>
      </c>
      <c r="E1771" s="42">
        <v>3000</v>
      </c>
      <c r="G1771" s="58">
        <f t="shared" si="31"/>
        <v>-3000</v>
      </c>
      <c r="H1771" s="49" t="s">
        <v>1218</v>
      </c>
    </row>
    <row r="1772" spans="1:8" x14ac:dyDescent="0.2">
      <c r="A1772" s="597">
        <v>42643</v>
      </c>
      <c r="B1772" s="41" t="s">
        <v>16</v>
      </c>
      <c r="C1772" s="41" t="s">
        <v>773</v>
      </c>
      <c r="D1772" s="108" t="s">
        <v>1491</v>
      </c>
      <c r="E1772" s="41">
        <v>240</v>
      </c>
      <c r="G1772" s="58">
        <f t="shared" si="31"/>
        <v>-240</v>
      </c>
      <c r="H1772" s="49" t="s">
        <v>1218</v>
      </c>
    </row>
    <row r="1773" spans="1:8" x14ac:dyDescent="0.2">
      <c r="A1773" s="597">
        <v>42648</v>
      </c>
      <c r="B1773" s="41" t="s">
        <v>16</v>
      </c>
      <c r="C1773" s="41" t="s">
        <v>1230</v>
      </c>
      <c r="D1773" s="129" t="s">
        <v>1544</v>
      </c>
      <c r="E1773" s="42">
        <v>2500</v>
      </c>
      <c r="G1773" s="58">
        <f t="shared" si="31"/>
        <v>-2500</v>
      </c>
      <c r="H1773" s="49" t="s">
        <v>1404</v>
      </c>
    </row>
    <row r="1774" spans="1:8" x14ac:dyDescent="0.2">
      <c r="A1774" s="597">
        <v>42648</v>
      </c>
      <c r="B1774" s="41" t="s">
        <v>25</v>
      </c>
      <c r="C1774" s="41" t="s">
        <v>1230</v>
      </c>
      <c r="D1774" s="129" t="s">
        <v>1545</v>
      </c>
      <c r="E1774" s="42">
        <v>5000</v>
      </c>
      <c r="G1774" s="58">
        <f t="shared" si="31"/>
        <v>-5000</v>
      </c>
      <c r="H1774" s="49" t="s">
        <v>1404</v>
      </c>
    </row>
    <row r="1775" spans="1:8" x14ac:dyDescent="0.2">
      <c r="A1775" s="597">
        <v>42648</v>
      </c>
      <c r="B1775" s="41" t="s">
        <v>25</v>
      </c>
      <c r="C1775" s="41" t="s">
        <v>1230</v>
      </c>
      <c r="D1775" s="129" t="s">
        <v>1546</v>
      </c>
      <c r="E1775" s="42">
        <v>4000</v>
      </c>
      <c r="G1775" s="58">
        <f t="shared" si="31"/>
        <v>-4000</v>
      </c>
      <c r="H1775" s="49" t="s">
        <v>1404</v>
      </c>
    </row>
    <row r="1776" spans="1:8" x14ac:dyDescent="0.2">
      <c r="A1776" s="597">
        <v>42648</v>
      </c>
      <c r="B1776" s="41" t="s">
        <v>25</v>
      </c>
      <c r="C1776" s="41" t="s">
        <v>1230</v>
      </c>
      <c r="D1776" s="129" t="s">
        <v>1547</v>
      </c>
      <c r="E1776" s="42">
        <v>9000</v>
      </c>
      <c r="G1776" s="58">
        <f t="shared" si="31"/>
        <v>-9000</v>
      </c>
      <c r="H1776" s="49" t="s">
        <v>1404</v>
      </c>
    </row>
    <row r="1777" spans="1:8" x14ac:dyDescent="0.2">
      <c r="A1777" s="597">
        <v>42648</v>
      </c>
      <c r="B1777" s="41" t="s">
        <v>16</v>
      </c>
      <c r="C1777" s="41" t="s">
        <v>1230</v>
      </c>
      <c r="D1777" s="129" t="s">
        <v>199</v>
      </c>
      <c r="E1777" s="42">
        <v>20000</v>
      </c>
      <c r="G1777" s="58">
        <f t="shared" si="31"/>
        <v>-20000</v>
      </c>
      <c r="H1777" s="49" t="s">
        <v>1404</v>
      </c>
    </row>
    <row r="1778" spans="1:8" x14ac:dyDescent="0.2">
      <c r="A1778" s="597">
        <v>42648</v>
      </c>
      <c r="B1778" s="41" t="s">
        <v>16</v>
      </c>
      <c r="C1778" s="41" t="s">
        <v>1230</v>
      </c>
      <c r="D1778" s="129" t="s">
        <v>1548</v>
      </c>
      <c r="E1778" s="42">
        <v>14000</v>
      </c>
      <c r="G1778" s="58">
        <f t="shared" si="31"/>
        <v>-14000</v>
      </c>
      <c r="H1778" s="49" t="s">
        <v>1404</v>
      </c>
    </row>
    <row r="1779" spans="1:8" x14ac:dyDescent="0.2">
      <c r="A1779" s="597">
        <v>42648</v>
      </c>
      <c r="B1779" s="41" t="s">
        <v>16</v>
      </c>
      <c r="C1779" s="41" t="s">
        <v>1230</v>
      </c>
      <c r="D1779" s="129" t="s">
        <v>1549</v>
      </c>
      <c r="E1779" s="42">
        <v>23245.833333333332</v>
      </c>
      <c r="G1779" s="58">
        <f t="shared" si="31"/>
        <v>-23245.833333333332</v>
      </c>
      <c r="H1779" s="49" t="s">
        <v>1404</v>
      </c>
    </row>
    <row r="1780" spans="1:8" x14ac:dyDescent="0.2">
      <c r="A1780" s="597">
        <v>42648</v>
      </c>
      <c r="B1780" s="41" t="s">
        <v>1400</v>
      </c>
      <c r="C1780" s="41" t="s">
        <v>1230</v>
      </c>
      <c r="D1780" s="129" t="s">
        <v>1550</v>
      </c>
      <c r="E1780" s="42">
        <v>16800</v>
      </c>
      <c r="G1780" s="58">
        <f t="shared" si="31"/>
        <v>-16800</v>
      </c>
      <c r="H1780" s="49" t="s">
        <v>1404</v>
      </c>
    </row>
    <row r="1781" spans="1:8" x14ac:dyDescent="0.2">
      <c r="A1781" s="597">
        <v>42648</v>
      </c>
      <c r="B1781" s="41" t="s">
        <v>16</v>
      </c>
      <c r="C1781" s="41" t="s">
        <v>1230</v>
      </c>
      <c r="D1781" s="129" t="s">
        <v>1551</v>
      </c>
      <c r="E1781" s="42">
        <v>14000.000000000002</v>
      </c>
      <c r="G1781" s="58">
        <f t="shared" si="31"/>
        <v>-14000.000000000002</v>
      </c>
      <c r="H1781" s="49" t="s">
        <v>1404</v>
      </c>
    </row>
    <row r="1782" spans="1:8" x14ac:dyDescent="0.2">
      <c r="A1782" s="597">
        <v>42648</v>
      </c>
      <c r="B1782" s="41" t="s">
        <v>16</v>
      </c>
      <c r="C1782" s="41" t="s">
        <v>1230</v>
      </c>
      <c r="D1782" s="129" t="s">
        <v>1552</v>
      </c>
      <c r="E1782" s="42">
        <v>9000</v>
      </c>
      <c r="G1782" s="58">
        <f t="shared" si="31"/>
        <v>-9000</v>
      </c>
      <c r="H1782" s="49" t="s">
        <v>1404</v>
      </c>
    </row>
    <row r="1783" spans="1:8" x14ac:dyDescent="0.2">
      <c r="A1783" s="597">
        <v>42648</v>
      </c>
      <c r="B1783" s="41" t="s">
        <v>40</v>
      </c>
      <c r="C1783" s="41" t="s">
        <v>1230</v>
      </c>
      <c r="D1783" s="129" t="s">
        <v>80</v>
      </c>
      <c r="E1783" s="42">
        <v>20000</v>
      </c>
      <c r="G1783" s="58">
        <f t="shared" si="31"/>
        <v>-20000</v>
      </c>
      <c r="H1783" s="49" t="s">
        <v>1404</v>
      </c>
    </row>
    <row r="1784" spans="1:8" x14ac:dyDescent="0.2">
      <c r="A1784" s="597">
        <v>42648</v>
      </c>
      <c r="B1784" s="41" t="s">
        <v>40</v>
      </c>
      <c r="C1784" s="41" t="s">
        <v>1230</v>
      </c>
      <c r="D1784" s="129" t="s">
        <v>1553</v>
      </c>
      <c r="E1784" s="42">
        <v>24166.666666666668</v>
      </c>
      <c r="G1784" s="58">
        <f t="shared" si="31"/>
        <v>-24166.666666666668</v>
      </c>
      <c r="H1784" s="49" t="s">
        <v>1404</v>
      </c>
    </row>
    <row r="1785" spans="1:8" x14ac:dyDescent="0.2">
      <c r="A1785" s="597">
        <v>42648</v>
      </c>
      <c r="B1785" s="41" t="s">
        <v>40</v>
      </c>
      <c r="C1785" s="41" t="s">
        <v>1230</v>
      </c>
      <c r="D1785" s="129" t="s">
        <v>101</v>
      </c>
      <c r="E1785" s="42">
        <v>16908.333333333336</v>
      </c>
      <c r="G1785" s="58">
        <f t="shared" si="31"/>
        <v>-16908.333333333336</v>
      </c>
      <c r="H1785" s="49" t="s">
        <v>1404</v>
      </c>
    </row>
    <row r="1786" spans="1:8" x14ac:dyDescent="0.2">
      <c r="A1786" s="597">
        <v>42648</v>
      </c>
      <c r="B1786" s="41" t="s">
        <v>40</v>
      </c>
      <c r="C1786" s="41" t="s">
        <v>1230</v>
      </c>
      <c r="D1786" s="129" t="s">
        <v>1554</v>
      </c>
      <c r="E1786" s="42">
        <v>13054.166666666666</v>
      </c>
      <c r="G1786" s="58">
        <f t="shared" si="31"/>
        <v>-13054.166666666666</v>
      </c>
      <c r="H1786" s="49" t="s">
        <v>1404</v>
      </c>
    </row>
    <row r="1787" spans="1:8" x14ac:dyDescent="0.2">
      <c r="A1787" s="597">
        <v>42648</v>
      </c>
      <c r="B1787" s="41" t="s">
        <v>40</v>
      </c>
      <c r="C1787" s="41" t="s">
        <v>1230</v>
      </c>
      <c r="D1787" s="129" t="s">
        <v>1555</v>
      </c>
      <c r="E1787" s="42">
        <v>11234.375</v>
      </c>
      <c r="G1787" s="58">
        <f t="shared" si="31"/>
        <v>-11234.375</v>
      </c>
      <c r="H1787" s="49" t="s">
        <v>1404</v>
      </c>
    </row>
    <row r="1788" spans="1:8" x14ac:dyDescent="0.2">
      <c r="A1788" s="597">
        <v>42648</v>
      </c>
      <c r="B1788" s="41" t="s">
        <v>40</v>
      </c>
      <c r="C1788" s="41" t="s">
        <v>1230</v>
      </c>
      <c r="D1788" s="129" t="s">
        <v>1556</v>
      </c>
      <c r="E1788" s="42">
        <v>7708.3333333333339</v>
      </c>
      <c r="G1788" s="58">
        <f t="shared" si="31"/>
        <v>-7708.3333333333339</v>
      </c>
      <c r="H1788" s="49" t="s">
        <v>1404</v>
      </c>
    </row>
    <row r="1789" spans="1:8" x14ac:dyDescent="0.2">
      <c r="A1789" s="597">
        <v>42648</v>
      </c>
      <c r="B1789" s="41" t="s">
        <v>40</v>
      </c>
      <c r="C1789" s="41" t="s">
        <v>1230</v>
      </c>
      <c r="D1789" s="129" t="s">
        <v>1557</v>
      </c>
      <c r="E1789" s="42">
        <v>6500.0000000000009</v>
      </c>
      <c r="G1789" s="58">
        <f t="shared" si="31"/>
        <v>-6500.0000000000009</v>
      </c>
      <c r="H1789" s="49" t="s">
        <v>1404</v>
      </c>
    </row>
    <row r="1790" spans="1:8" x14ac:dyDescent="0.2">
      <c r="A1790" s="597">
        <v>42648</v>
      </c>
      <c r="B1790" s="41" t="s">
        <v>40</v>
      </c>
      <c r="C1790" s="41" t="s">
        <v>1230</v>
      </c>
      <c r="D1790" s="129" t="s">
        <v>1558</v>
      </c>
      <c r="E1790" s="42">
        <v>15000</v>
      </c>
      <c r="G1790" s="58">
        <f t="shared" si="31"/>
        <v>-15000</v>
      </c>
      <c r="H1790" s="49" t="s">
        <v>1404</v>
      </c>
    </row>
    <row r="1791" spans="1:8" ht="12.75" customHeight="1" x14ac:dyDescent="0.2">
      <c r="A1791" s="597">
        <v>42648</v>
      </c>
      <c r="B1791" s="41" t="s">
        <v>40</v>
      </c>
      <c r="C1791" s="41" t="s">
        <v>1230</v>
      </c>
      <c r="D1791" s="129" t="s">
        <v>1559</v>
      </c>
      <c r="E1791" s="42">
        <v>12175</v>
      </c>
      <c r="G1791" s="58">
        <f t="shared" si="31"/>
        <v>-12175</v>
      </c>
      <c r="H1791" s="49" t="s">
        <v>1404</v>
      </c>
    </row>
    <row r="1792" spans="1:8" x14ac:dyDescent="0.2">
      <c r="A1792" s="597">
        <v>42648</v>
      </c>
      <c r="B1792" s="41" t="s">
        <v>18</v>
      </c>
      <c r="C1792" s="41" t="s">
        <v>1230</v>
      </c>
      <c r="D1792" s="129" t="s">
        <v>1560</v>
      </c>
      <c r="E1792" s="42">
        <v>6783.3333333333339</v>
      </c>
      <c r="G1792" s="58">
        <f t="shared" si="31"/>
        <v>-6783.3333333333339</v>
      </c>
      <c r="H1792" s="49" t="s">
        <v>1404</v>
      </c>
    </row>
    <row r="1793" spans="1:8" x14ac:dyDescent="0.2">
      <c r="A1793" s="597">
        <v>42648</v>
      </c>
      <c r="B1793" s="41" t="s">
        <v>18</v>
      </c>
      <c r="C1793" s="41" t="s">
        <v>1230</v>
      </c>
      <c r="D1793" s="129" t="s">
        <v>1561</v>
      </c>
      <c r="E1793" s="42">
        <v>8700</v>
      </c>
      <c r="G1793" s="58">
        <f t="shared" si="31"/>
        <v>-8700</v>
      </c>
      <c r="H1793" s="49" t="s">
        <v>1404</v>
      </c>
    </row>
    <row r="1794" spans="1:8" x14ac:dyDescent="0.2">
      <c r="A1794" s="597">
        <v>42648</v>
      </c>
      <c r="B1794" s="41" t="s">
        <v>37</v>
      </c>
      <c r="C1794" s="41" t="s">
        <v>1230</v>
      </c>
      <c r="D1794" s="129" t="s">
        <v>1049</v>
      </c>
      <c r="E1794" s="42">
        <v>1075</v>
      </c>
      <c r="G1794" s="58">
        <f t="shared" si="31"/>
        <v>-1075</v>
      </c>
      <c r="H1794" s="49" t="s">
        <v>1404</v>
      </c>
    </row>
    <row r="1795" spans="1:8" x14ac:dyDescent="0.2">
      <c r="A1795" s="597">
        <v>42648</v>
      </c>
      <c r="B1795" s="41" t="s">
        <v>40</v>
      </c>
      <c r="C1795" s="41" t="s">
        <v>1230</v>
      </c>
      <c r="D1795" s="129" t="s">
        <v>1566</v>
      </c>
      <c r="E1795" s="42">
        <v>12212.5</v>
      </c>
      <c r="G1795" s="58">
        <f t="shared" si="31"/>
        <v>-12212.5</v>
      </c>
      <c r="H1795" s="49" t="s">
        <v>1404</v>
      </c>
    </row>
    <row r="1796" spans="1:8" x14ac:dyDescent="0.2">
      <c r="A1796" s="597">
        <v>42648</v>
      </c>
      <c r="B1796" s="41" t="s">
        <v>1493</v>
      </c>
      <c r="C1796" s="41" t="s">
        <v>1230</v>
      </c>
      <c r="D1796" s="129" t="s">
        <v>1567</v>
      </c>
      <c r="E1796" s="42">
        <v>18800</v>
      </c>
      <c r="G1796" s="58">
        <f t="shared" si="31"/>
        <v>-18800</v>
      </c>
      <c r="H1796" s="49" t="s">
        <v>1404</v>
      </c>
    </row>
    <row r="1797" spans="1:8" x14ac:dyDescent="0.2">
      <c r="A1797" s="597">
        <v>42648</v>
      </c>
      <c r="B1797" s="41" t="s">
        <v>1493</v>
      </c>
      <c r="C1797" s="41" t="s">
        <v>1230</v>
      </c>
      <c r="D1797" s="129" t="s">
        <v>1568</v>
      </c>
      <c r="E1797" s="42">
        <v>23750</v>
      </c>
      <c r="G1797" s="58">
        <f t="shared" si="31"/>
        <v>-23750</v>
      </c>
      <c r="H1797" s="49" t="s">
        <v>1404</v>
      </c>
    </row>
    <row r="1798" spans="1:8" x14ac:dyDescent="0.2">
      <c r="A1798" s="597">
        <v>42648</v>
      </c>
      <c r="B1798" s="41" t="s">
        <v>1493</v>
      </c>
      <c r="C1798" s="41" t="s">
        <v>1230</v>
      </c>
      <c r="D1798" s="129" t="s">
        <v>1569</v>
      </c>
      <c r="E1798" s="42">
        <v>9375</v>
      </c>
      <c r="G1798" s="58">
        <f t="shared" si="31"/>
        <v>-9375</v>
      </c>
      <c r="H1798" s="49" t="s">
        <v>1404</v>
      </c>
    </row>
    <row r="1799" spans="1:8" x14ac:dyDescent="0.2">
      <c r="A1799" s="597">
        <v>42648</v>
      </c>
      <c r="B1799" s="41" t="s">
        <v>40</v>
      </c>
      <c r="C1799" s="41" t="s">
        <v>1230</v>
      </c>
      <c r="D1799" s="129" t="s">
        <v>1570</v>
      </c>
      <c r="E1799" s="42">
        <v>17275</v>
      </c>
      <c r="G1799" s="58">
        <f t="shared" si="31"/>
        <v>-17275</v>
      </c>
      <c r="H1799" s="49" t="s">
        <v>1404</v>
      </c>
    </row>
    <row r="1800" spans="1:8" x14ac:dyDescent="0.2">
      <c r="A1800" s="597">
        <v>42648</v>
      </c>
      <c r="B1800" s="41" t="s">
        <v>37</v>
      </c>
      <c r="C1800" s="41" t="s">
        <v>1230</v>
      </c>
      <c r="D1800" s="129" t="s">
        <v>1571</v>
      </c>
      <c r="E1800" s="42">
        <v>12650</v>
      </c>
      <c r="G1800" s="58">
        <f t="shared" si="31"/>
        <v>-12650</v>
      </c>
      <c r="H1800" s="49" t="s">
        <v>1404</v>
      </c>
    </row>
    <row r="1801" spans="1:8" x14ac:dyDescent="0.2">
      <c r="A1801" s="597">
        <v>42648</v>
      </c>
      <c r="B1801" s="41" t="s">
        <v>37</v>
      </c>
      <c r="C1801" s="41" t="s">
        <v>1230</v>
      </c>
      <c r="D1801" s="129" t="s">
        <v>1572</v>
      </c>
      <c r="E1801" s="42">
        <v>15937.5</v>
      </c>
      <c r="G1801" s="58">
        <f t="shared" ref="G1801:G1864" si="32">F1801-E1801</f>
        <v>-15937.5</v>
      </c>
      <c r="H1801" s="49" t="s">
        <v>1404</v>
      </c>
    </row>
    <row r="1802" spans="1:8" x14ac:dyDescent="0.2">
      <c r="A1802" s="597">
        <v>42648</v>
      </c>
      <c r="B1802" s="41" t="s">
        <v>37</v>
      </c>
      <c r="C1802" s="41" t="s">
        <v>1230</v>
      </c>
      <c r="D1802" s="129" t="s">
        <v>1573</v>
      </c>
      <c r="E1802" s="42">
        <v>11737.5</v>
      </c>
      <c r="G1802" s="58">
        <f t="shared" si="32"/>
        <v>-11737.5</v>
      </c>
      <c r="H1802" s="49" t="s">
        <v>1404</v>
      </c>
    </row>
    <row r="1803" spans="1:8" x14ac:dyDescent="0.2">
      <c r="A1803" s="597">
        <v>42648</v>
      </c>
      <c r="B1803" s="41" t="s">
        <v>37</v>
      </c>
      <c r="C1803" s="41" t="s">
        <v>1230</v>
      </c>
      <c r="D1803" s="129" t="s">
        <v>1574</v>
      </c>
      <c r="E1803" s="42">
        <v>10000</v>
      </c>
      <c r="G1803" s="58">
        <f t="shared" si="32"/>
        <v>-10000</v>
      </c>
      <c r="H1803" s="49" t="s">
        <v>1404</v>
      </c>
    </row>
    <row r="1804" spans="1:8" x14ac:dyDescent="0.2">
      <c r="A1804" s="597">
        <v>42648</v>
      </c>
      <c r="B1804" s="41" t="s">
        <v>37</v>
      </c>
      <c r="C1804" s="41" t="s">
        <v>1230</v>
      </c>
      <c r="D1804" s="129" t="s">
        <v>1575</v>
      </c>
      <c r="E1804" s="42">
        <v>11250</v>
      </c>
      <c r="G1804" s="58">
        <f t="shared" si="32"/>
        <v>-11250</v>
      </c>
      <c r="H1804" s="49" t="s">
        <v>1404</v>
      </c>
    </row>
    <row r="1805" spans="1:8" x14ac:dyDescent="0.2">
      <c r="A1805" s="597">
        <v>42648</v>
      </c>
      <c r="B1805" s="41" t="s">
        <v>37</v>
      </c>
      <c r="C1805" s="41" t="s">
        <v>1230</v>
      </c>
      <c r="D1805" s="129" t="s">
        <v>1576</v>
      </c>
      <c r="E1805" s="42">
        <v>11212.5</v>
      </c>
      <c r="G1805" s="58">
        <f t="shared" si="32"/>
        <v>-11212.5</v>
      </c>
      <c r="H1805" s="49" t="s">
        <v>1404</v>
      </c>
    </row>
    <row r="1806" spans="1:8" x14ac:dyDescent="0.2">
      <c r="A1806" s="597">
        <v>42648</v>
      </c>
      <c r="B1806" s="41" t="s">
        <v>11</v>
      </c>
      <c r="C1806" s="41" t="s">
        <v>1230</v>
      </c>
      <c r="D1806" s="129" t="s">
        <v>1541</v>
      </c>
      <c r="E1806" s="42">
        <v>5000</v>
      </c>
      <c r="G1806" s="58">
        <f t="shared" si="32"/>
        <v>-5000</v>
      </c>
      <c r="H1806" s="49" t="s">
        <v>1404</v>
      </c>
    </row>
    <row r="1807" spans="1:8" x14ac:dyDescent="0.2">
      <c r="A1807" s="597">
        <v>42644</v>
      </c>
      <c r="B1807" s="41" t="s">
        <v>1400</v>
      </c>
      <c r="C1807" s="41" t="s">
        <v>1897</v>
      </c>
      <c r="D1807" s="108" t="s">
        <v>286</v>
      </c>
      <c r="E1807" s="42">
        <v>100</v>
      </c>
      <c r="G1807" s="58">
        <f t="shared" si="32"/>
        <v>-100</v>
      </c>
      <c r="H1807" s="49" t="s">
        <v>1404</v>
      </c>
    </row>
    <row r="1808" spans="1:8" x14ac:dyDescent="0.2">
      <c r="A1808" s="597">
        <v>42644</v>
      </c>
      <c r="B1808" s="41" t="s">
        <v>1493</v>
      </c>
      <c r="C1808" s="41" t="s">
        <v>106</v>
      </c>
      <c r="D1808" s="108" t="s">
        <v>392</v>
      </c>
      <c r="E1808" s="41">
        <v>500</v>
      </c>
      <c r="G1808" s="58">
        <f t="shared" si="32"/>
        <v>-500</v>
      </c>
      <c r="H1808" s="49" t="s">
        <v>1404</v>
      </c>
    </row>
    <row r="1809" spans="1:8" x14ac:dyDescent="0.2">
      <c r="A1809" s="597">
        <v>42644</v>
      </c>
      <c r="B1809" s="41" t="s">
        <v>1493</v>
      </c>
      <c r="C1809" s="41" t="s">
        <v>146</v>
      </c>
      <c r="D1809" s="108" t="s">
        <v>984</v>
      </c>
      <c r="E1809" s="41">
        <v>170</v>
      </c>
      <c r="G1809" s="58">
        <f t="shared" si="32"/>
        <v>-170</v>
      </c>
      <c r="H1809" s="49" t="s">
        <v>1404</v>
      </c>
    </row>
    <row r="1810" spans="1:8" x14ac:dyDescent="0.2">
      <c r="A1810" s="597">
        <v>42644</v>
      </c>
      <c r="B1810" s="41" t="s">
        <v>40</v>
      </c>
      <c r="C1810" s="41" t="s">
        <v>929</v>
      </c>
      <c r="D1810" s="108" t="s">
        <v>370</v>
      </c>
      <c r="E1810" s="42">
        <v>10000</v>
      </c>
      <c r="G1810" s="58">
        <f t="shared" si="32"/>
        <v>-10000</v>
      </c>
      <c r="H1810" s="49" t="s">
        <v>1404</v>
      </c>
    </row>
    <row r="1811" spans="1:8" x14ac:dyDescent="0.2">
      <c r="A1811" s="597">
        <v>42644</v>
      </c>
      <c r="B1811" s="41" t="s">
        <v>40</v>
      </c>
      <c r="C1811" s="41" t="s">
        <v>1167</v>
      </c>
      <c r="D1811" s="108" t="s">
        <v>661</v>
      </c>
      <c r="E1811" s="42">
        <v>1000</v>
      </c>
      <c r="G1811" s="58">
        <f t="shared" si="32"/>
        <v>-1000</v>
      </c>
      <c r="H1811" s="49" t="s">
        <v>1404</v>
      </c>
    </row>
    <row r="1812" spans="1:8" x14ac:dyDescent="0.2">
      <c r="A1812" s="597">
        <v>42646</v>
      </c>
      <c r="B1812" s="41" t="s">
        <v>40</v>
      </c>
      <c r="C1812" s="41" t="s">
        <v>1167</v>
      </c>
      <c r="D1812" s="108" t="s">
        <v>1492</v>
      </c>
      <c r="E1812" s="42">
        <v>1000</v>
      </c>
      <c r="G1812" s="58">
        <f t="shared" si="32"/>
        <v>-1000</v>
      </c>
      <c r="H1812" s="49" t="s">
        <v>1404</v>
      </c>
    </row>
    <row r="1813" spans="1:8" x14ac:dyDescent="0.2">
      <c r="A1813" s="597">
        <v>42646</v>
      </c>
      <c r="B1813" s="41" t="s">
        <v>40</v>
      </c>
      <c r="C1813" s="41" t="s">
        <v>213</v>
      </c>
      <c r="D1813" s="108" t="s">
        <v>1461</v>
      </c>
      <c r="E1813" s="42">
        <v>5200</v>
      </c>
      <c r="G1813" s="58">
        <f t="shared" si="32"/>
        <v>-5200</v>
      </c>
      <c r="H1813" s="49" t="s">
        <v>1404</v>
      </c>
    </row>
    <row r="1814" spans="1:8" x14ac:dyDescent="0.2">
      <c r="A1814" s="597">
        <v>42646</v>
      </c>
      <c r="B1814" s="41" t="s">
        <v>40</v>
      </c>
      <c r="C1814" s="41" t="s">
        <v>80</v>
      </c>
      <c r="D1814" s="108" t="s">
        <v>392</v>
      </c>
      <c r="E1814" s="42">
        <v>5372</v>
      </c>
      <c r="G1814" s="58">
        <f t="shared" si="32"/>
        <v>-5372</v>
      </c>
      <c r="H1814" s="49" t="s">
        <v>1404</v>
      </c>
    </row>
    <row r="1815" spans="1:8" x14ac:dyDescent="0.2">
      <c r="A1815" s="597">
        <v>42646</v>
      </c>
      <c r="B1815" s="41" t="s">
        <v>25</v>
      </c>
      <c r="C1815" s="41" t="s">
        <v>1894</v>
      </c>
      <c r="D1815" s="108" t="s">
        <v>73</v>
      </c>
      <c r="E1815" s="42">
        <v>3713</v>
      </c>
      <c r="G1815" s="58">
        <f t="shared" si="32"/>
        <v>-3713</v>
      </c>
      <c r="H1815" s="49" t="s">
        <v>1404</v>
      </c>
    </row>
    <row r="1816" spans="1:8" x14ac:dyDescent="0.2">
      <c r="A1816" s="594">
        <v>42647</v>
      </c>
      <c r="B1816" s="41" t="s">
        <v>16</v>
      </c>
      <c r="C1816" s="41" t="s">
        <v>773</v>
      </c>
      <c r="D1816" s="108" t="s">
        <v>1456</v>
      </c>
      <c r="E1816" s="58">
        <v>100</v>
      </c>
      <c r="F1816" s="58"/>
      <c r="G1816" s="58">
        <f t="shared" si="32"/>
        <v>-100</v>
      </c>
      <c r="H1816" s="49" t="s">
        <v>1404</v>
      </c>
    </row>
    <row r="1817" spans="1:8" ht="12.75" customHeight="1" x14ac:dyDescent="0.2">
      <c r="A1817" s="594">
        <v>42647</v>
      </c>
      <c r="B1817" s="41" t="s">
        <v>16</v>
      </c>
      <c r="C1817" s="41" t="s">
        <v>773</v>
      </c>
      <c r="D1817" s="108" t="s">
        <v>1582</v>
      </c>
      <c r="E1817" s="58">
        <v>1800</v>
      </c>
      <c r="F1817" s="58"/>
      <c r="G1817" s="58">
        <f t="shared" si="32"/>
        <v>-1800</v>
      </c>
      <c r="H1817" s="49" t="s">
        <v>1404</v>
      </c>
    </row>
    <row r="1818" spans="1:8" ht="12.75" customHeight="1" x14ac:dyDescent="0.2">
      <c r="A1818" s="594">
        <v>42647</v>
      </c>
      <c r="B1818" s="41" t="s">
        <v>1493</v>
      </c>
      <c r="C1818" s="41" t="s">
        <v>194</v>
      </c>
      <c r="D1818" s="108" t="s">
        <v>1583</v>
      </c>
      <c r="E1818" s="58">
        <v>830</v>
      </c>
      <c r="F1818" s="58"/>
      <c r="G1818" s="58">
        <f t="shared" si="32"/>
        <v>-830</v>
      </c>
      <c r="H1818" s="49" t="s">
        <v>1404</v>
      </c>
    </row>
    <row r="1819" spans="1:8" ht="12.75" customHeight="1" x14ac:dyDescent="0.2">
      <c r="A1819" s="594">
        <v>42648</v>
      </c>
      <c r="B1819" s="41" t="s">
        <v>16</v>
      </c>
      <c r="C1819" s="41" t="s">
        <v>773</v>
      </c>
      <c r="D1819" s="108" t="s">
        <v>1454</v>
      </c>
      <c r="E1819" s="58">
        <v>100</v>
      </c>
      <c r="F1819" s="58"/>
      <c r="G1819" s="58">
        <f t="shared" si="32"/>
        <v>-100</v>
      </c>
      <c r="H1819" s="49" t="s">
        <v>1404</v>
      </c>
    </row>
    <row r="1820" spans="1:8" ht="12.75" customHeight="1" x14ac:dyDescent="0.2">
      <c r="A1820" s="594">
        <v>42648</v>
      </c>
      <c r="B1820" s="41" t="s">
        <v>16</v>
      </c>
      <c r="C1820" s="41" t="s">
        <v>1585</v>
      </c>
      <c r="D1820" s="108" t="s">
        <v>258</v>
      </c>
      <c r="E1820" s="58">
        <v>1400</v>
      </c>
      <c r="F1820" s="58"/>
      <c r="G1820" s="58">
        <f t="shared" si="32"/>
        <v>-1400</v>
      </c>
      <c r="H1820" s="49" t="s">
        <v>1404</v>
      </c>
    </row>
    <row r="1821" spans="1:8" ht="12.75" customHeight="1" x14ac:dyDescent="0.2">
      <c r="A1821" s="594">
        <v>42649</v>
      </c>
      <c r="B1821" s="41" t="s">
        <v>40</v>
      </c>
      <c r="C1821" s="41" t="s">
        <v>80</v>
      </c>
      <c r="D1821" s="108" t="s">
        <v>1586</v>
      </c>
      <c r="E1821" s="58">
        <v>3535</v>
      </c>
      <c r="F1821" s="58"/>
      <c r="G1821" s="58">
        <f t="shared" si="32"/>
        <v>-3535</v>
      </c>
      <c r="H1821" s="49" t="s">
        <v>1404</v>
      </c>
    </row>
    <row r="1822" spans="1:8" x14ac:dyDescent="0.2">
      <c r="A1822" s="594">
        <v>42649</v>
      </c>
      <c r="B1822" s="41" t="s">
        <v>25</v>
      </c>
      <c r="C1822" s="41" t="s">
        <v>1894</v>
      </c>
      <c r="D1822" s="108" t="s">
        <v>73</v>
      </c>
      <c r="E1822" s="58">
        <v>4831</v>
      </c>
      <c r="F1822" s="58"/>
      <c r="G1822" s="58">
        <f t="shared" si="32"/>
        <v>-4831</v>
      </c>
      <c r="H1822" s="49" t="s">
        <v>1404</v>
      </c>
    </row>
    <row r="1823" spans="1:8" x14ac:dyDescent="0.2">
      <c r="A1823" s="594">
        <v>42650</v>
      </c>
      <c r="B1823" s="41" t="s">
        <v>40</v>
      </c>
      <c r="C1823" s="41" t="s">
        <v>986</v>
      </c>
      <c r="D1823" s="108" t="s">
        <v>1587</v>
      </c>
      <c r="E1823" s="58">
        <v>2000</v>
      </c>
      <c r="F1823" s="58"/>
      <c r="G1823" s="58">
        <f t="shared" si="32"/>
        <v>-2000</v>
      </c>
      <c r="H1823" s="49" t="s">
        <v>1404</v>
      </c>
    </row>
    <row r="1824" spans="1:8" x14ac:dyDescent="0.2">
      <c r="A1824" s="594">
        <v>42650</v>
      </c>
      <c r="B1824" s="41" t="s">
        <v>40</v>
      </c>
      <c r="C1824" s="41" t="s">
        <v>1588</v>
      </c>
      <c r="D1824" s="108" t="s">
        <v>370</v>
      </c>
      <c r="E1824" s="58">
        <v>5000</v>
      </c>
      <c r="F1824" s="58"/>
      <c r="G1824" s="58">
        <f t="shared" si="32"/>
        <v>-5000</v>
      </c>
      <c r="H1824" s="49" t="s">
        <v>1404</v>
      </c>
    </row>
    <row r="1825" spans="1:8" x14ac:dyDescent="0.2">
      <c r="A1825" s="594">
        <v>42653</v>
      </c>
      <c r="B1825" s="41" t="s">
        <v>1400</v>
      </c>
      <c r="C1825" s="41" t="s">
        <v>668</v>
      </c>
      <c r="D1825" s="108" t="s">
        <v>1589</v>
      </c>
      <c r="E1825" s="58">
        <v>1400</v>
      </c>
      <c r="F1825" s="58"/>
      <c r="G1825" s="58">
        <f t="shared" si="32"/>
        <v>-1400</v>
      </c>
      <c r="H1825" s="49" t="s">
        <v>1404</v>
      </c>
    </row>
    <row r="1826" spans="1:8" x14ac:dyDescent="0.2">
      <c r="A1826" s="594">
        <v>42653</v>
      </c>
      <c r="B1826" s="41" t="s">
        <v>154</v>
      </c>
      <c r="C1826" s="41" t="s">
        <v>668</v>
      </c>
      <c r="D1826" s="108" t="s">
        <v>1589</v>
      </c>
      <c r="E1826" s="58">
        <v>4460</v>
      </c>
      <c r="F1826" s="58"/>
      <c r="G1826" s="58">
        <f t="shared" si="32"/>
        <v>-4460</v>
      </c>
      <c r="H1826" s="49" t="s">
        <v>1404</v>
      </c>
    </row>
    <row r="1827" spans="1:8" x14ac:dyDescent="0.2">
      <c r="A1827" s="594">
        <v>42653</v>
      </c>
      <c r="B1827" s="41" t="s">
        <v>40</v>
      </c>
      <c r="C1827" s="41" t="s">
        <v>80</v>
      </c>
      <c r="D1827" s="108" t="s">
        <v>1590</v>
      </c>
      <c r="E1827" s="58">
        <v>2050</v>
      </c>
      <c r="F1827" s="58"/>
      <c r="G1827" s="58">
        <f t="shared" si="32"/>
        <v>-2050</v>
      </c>
      <c r="H1827" s="49" t="s">
        <v>1404</v>
      </c>
    </row>
    <row r="1828" spans="1:8" x14ac:dyDescent="0.2">
      <c r="A1828" s="594">
        <v>42656</v>
      </c>
      <c r="B1828" s="41" t="s">
        <v>40</v>
      </c>
      <c r="C1828" s="41" t="s">
        <v>551</v>
      </c>
      <c r="D1828" s="108" t="s">
        <v>1591</v>
      </c>
      <c r="E1828" s="58">
        <v>10000</v>
      </c>
      <c r="F1828" s="58"/>
      <c r="G1828" s="58">
        <f t="shared" si="32"/>
        <v>-10000</v>
      </c>
      <c r="H1828" s="49" t="s">
        <v>1404</v>
      </c>
    </row>
    <row r="1829" spans="1:8" ht="12.75" customHeight="1" x14ac:dyDescent="0.2">
      <c r="A1829" s="594">
        <v>42656</v>
      </c>
      <c r="B1829" s="41" t="s">
        <v>40</v>
      </c>
      <c r="C1829" s="41" t="s">
        <v>103</v>
      </c>
      <c r="D1829" s="108" t="s">
        <v>1592</v>
      </c>
      <c r="E1829" s="58">
        <v>1000</v>
      </c>
      <c r="F1829" s="58"/>
      <c r="G1829" s="58">
        <f t="shared" si="32"/>
        <v>-1000</v>
      </c>
      <c r="H1829" s="49" t="s">
        <v>1404</v>
      </c>
    </row>
    <row r="1830" spans="1:8" ht="12.75" customHeight="1" x14ac:dyDescent="0.2">
      <c r="A1830" s="594">
        <v>42656</v>
      </c>
      <c r="B1830" s="41" t="s">
        <v>40</v>
      </c>
      <c r="C1830" s="41" t="s">
        <v>1424</v>
      </c>
      <c r="D1830" s="108" t="s">
        <v>1593</v>
      </c>
      <c r="E1830" s="58">
        <v>100</v>
      </c>
      <c r="F1830" s="58"/>
      <c r="G1830" s="58">
        <f t="shared" si="32"/>
        <v>-100</v>
      </c>
      <c r="H1830" s="49" t="s">
        <v>1404</v>
      </c>
    </row>
    <row r="1831" spans="1:8" ht="12.75" customHeight="1" x14ac:dyDescent="0.2">
      <c r="A1831" s="594">
        <v>42656</v>
      </c>
      <c r="B1831" s="41" t="s">
        <v>25</v>
      </c>
      <c r="C1831" s="41" t="s">
        <v>1894</v>
      </c>
      <c r="D1831" s="108" t="s">
        <v>73</v>
      </c>
      <c r="E1831" s="58">
        <v>1685</v>
      </c>
      <c r="F1831" s="58"/>
      <c r="G1831" s="58">
        <f t="shared" si="32"/>
        <v>-1685</v>
      </c>
      <c r="H1831" s="49" t="s">
        <v>1404</v>
      </c>
    </row>
    <row r="1832" spans="1:8" ht="12.75" customHeight="1" x14ac:dyDescent="0.2">
      <c r="A1832" s="594">
        <v>42657</v>
      </c>
      <c r="B1832" s="41" t="s">
        <v>16</v>
      </c>
      <c r="C1832" s="41" t="s">
        <v>103</v>
      </c>
      <c r="D1832" s="108" t="s">
        <v>1594</v>
      </c>
      <c r="E1832" s="58">
        <v>7500</v>
      </c>
      <c r="F1832" s="58"/>
      <c r="G1832" s="58">
        <f t="shared" si="32"/>
        <v>-7500</v>
      </c>
      <c r="H1832" s="49" t="s">
        <v>1404</v>
      </c>
    </row>
    <row r="1833" spans="1:8" ht="12.75" customHeight="1" x14ac:dyDescent="0.2">
      <c r="A1833" s="594">
        <v>42657</v>
      </c>
      <c r="B1833" s="41" t="s">
        <v>40</v>
      </c>
      <c r="C1833" s="41" t="s">
        <v>1167</v>
      </c>
      <c r="D1833" s="108" t="s">
        <v>1595</v>
      </c>
      <c r="E1833" s="58">
        <v>5000</v>
      </c>
      <c r="F1833" s="58"/>
      <c r="G1833" s="58">
        <f t="shared" si="32"/>
        <v>-5000</v>
      </c>
      <c r="H1833" s="49" t="s">
        <v>1404</v>
      </c>
    </row>
    <row r="1834" spans="1:8" ht="12.75" customHeight="1" x14ac:dyDescent="0.2">
      <c r="A1834" s="594">
        <v>42657</v>
      </c>
      <c r="B1834" s="41" t="s">
        <v>40</v>
      </c>
      <c r="C1834" s="41" t="s">
        <v>1167</v>
      </c>
      <c r="D1834" s="108" t="s">
        <v>1667</v>
      </c>
      <c r="E1834" s="58">
        <v>1000</v>
      </c>
      <c r="F1834" s="58"/>
      <c r="G1834" s="58">
        <f t="shared" si="32"/>
        <v>-1000</v>
      </c>
      <c r="H1834" s="49" t="s">
        <v>1404</v>
      </c>
    </row>
    <row r="1835" spans="1:8" ht="12.75" customHeight="1" x14ac:dyDescent="0.2">
      <c r="A1835" s="594">
        <v>42657</v>
      </c>
      <c r="B1835" s="41" t="s">
        <v>1400</v>
      </c>
      <c r="C1835" s="41" t="s">
        <v>1167</v>
      </c>
      <c r="D1835" s="108" t="s">
        <v>1553</v>
      </c>
      <c r="E1835" s="58">
        <v>30000</v>
      </c>
      <c r="F1835" s="58"/>
      <c r="G1835" s="58">
        <f t="shared" si="32"/>
        <v>-30000</v>
      </c>
      <c r="H1835" s="49" t="s">
        <v>1404</v>
      </c>
    </row>
    <row r="1836" spans="1:8" ht="12.75" customHeight="1" x14ac:dyDescent="0.2">
      <c r="A1836" s="594">
        <v>42657</v>
      </c>
      <c r="B1836" s="41" t="s">
        <v>40</v>
      </c>
      <c r="C1836" s="41" t="s">
        <v>1167</v>
      </c>
      <c r="D1836" s="108" t="s">
        <v>1555</v>
      </c>
      <c r="E1836" s="58">
        <v>3000</v>
      </c>
      <c r="F1836" s="58"/>
      <c r="G1836" s="58">
        <f t="shared" si="32"/>
        <v>-3000</v>
      </c>
      <c r="H1836" s="49" t="s">
        <v>1404</v>
      </c>
    </row>
    <row r="1837" spans="1:8" ht="12.75" customHeight="1" x14ac:dyDescent="0.2">
      <c r="A1837" s="594">
        <v>42657</v>
      </c>
      <c r="B1837" s="41" t="s">
        <v>40</v>
      </c>
      <c r="C1837" s="41" t="s">
        <v>1167</v>
      </c>
      <c r="D1837" s="108" t="s">
        <v>210</v>
      </c>
      <c r="E1837" s="58">
        <v>1000</v>
      </c>
      <c r="F1837" s="58"/>
      <c r="G1837" s="58">
        <f t="shared" si="32"/>
        <v>-1000</v>
      </c>
      <c r="H1837" s="49" t="s">
        <v>1404</v>
      </c>
    </row>
    <row r="1838" spans="1:8" ht="12.75" customHeight="1" x14ac:dyDescent="0.2">
      <c r="A1838" s="594">
        <v>42657</v>
      </c>
      <c r="B1838" s="41" t="s">
        <v>18</v>
      </c>
      <c r="C1838" s="41" t="s">
        <v>1167</v>
      </c>
      <c r="D1838" s="108" t="s">
        <v>1277</v>
      </c>
      <c r="E1838" s="58">
        <v>3000</v>
      </c>
      <c r="F1838" s="58"/>
      <c r="G1838" s="58">
        <f t="shared" si="32"/>
        <v>-3000</v>
      </c>
      <c r="H1838" s="49" t="s">
        <v>1404</v>
      </c>
    </row>
    <row r="1839" spans="1:8" ht="12.75" customHeight="1" x14ac:dyDescent="0.2">
      <c r="A1839" s="594">
        <v>42657</v>
      </c>
      <c r="B1839" s="41" t="s">
        <v>37</v>
      </c>
      <c r="C1839" s="41" t="s">
        <v>1167</v>
      </c>
      <c r="D1839" s="108" t="s">
        <v>1572</v>
      </c>
      <c r="E1839" s="58">
        <v>3000</v>
      </c>
      <c r="F1839" s="58"/>
      <c r="G1839" s="58">
        <f t="shared" si="32"/>
        <v>-3000</v>
      </c>
      <c r="H1839" s="49" t="s">
        <v>1404</v>
      </c>
    </row>
    <row r="1840" spans="1:8" x14ac:dyDescent="0.2">
      <c r="A1840" s="594">
        <v>42657</v>
      </c>
      <c r="B1840" s="41" t="s">
        <v>40</v>
      </c>
      <c r="C1840" s="41" t="s">
        <v>1167</v>
      </c>
      <c r="D1840" s="108" t="s">
        <v>1251</v>
      </c>
      <c r="E1840" s="58">
        <v>10000</v>
      </c>
      <c r="F1840" s="58"/>
      <c r="G1840" s="58">
        <f t="shared" si="32"/>
        <v>-10000</v>
      </c>
      <c r="H1840" s="49" t="s">
        <v>1404</v>
      </c>
    </row>
    <row r="1841" spans="1:8" x14ac:dyDescent="0.2">
      <c r="A1841" s="594">
        <v>42657</v>
      </c>
      <c r="B1841" s="41" t="s">
        <v>16</v>
      </c>
      <c r="C1841" s="41" t="s">
        <v>372</v>
      </c>
      <c r="D1841" s="108" t="s">
        <v>1596</v>
      </c>
      <c r="E1841" s="58">
        <v>4210</v>
      </c>
      <c r="F1841" s="58"/>
      <c r="G1841" s="58">
        <f t="shared" si="32"/>
        <v>-4210</v>
      </c>
      <c r="H1841" s="49" t="s">
        <v>1404</v>
      </c>
    </row>
    <row r="1842" spans="1:8" x14ac:dyDescent="0.2">
      <c r="A1842" s="594">
        <v>42657</v>
      </c>
      <c r="B1842" s="41" t="s">
        <v>1493</v>
      </c>
      <c r="C1842" s="41" t="s">
        <v>106</v>
      </c>
      <c r="D1842" s="108" t="s">
        <v>1597</v>
      </c>
      <c r="E1842" s="58">
        <v>3590</v>
      </c>
      <c r="F1842" s="58"/>
      <c r="G1842" s="58">
        <f t="shared" si="32"/>
        <v>-3590</v>
      </c>
      <c r="H1842" s="49" t="s">
        <v>1404</v>
      </c>
    </row>
    <row r="1843" spans="1:8" x14ac:dyDescent="0.2">
      <c r="A1843" s="594">
        <v>42657</v>
      </c>
      <c r="B1843" s="41" t="s">
        <v>1400</v>
      </c>
      <c r="C1843" s="41" t="s">
        <v>103</v>
      </c>
      <c r="D1843" s="108" t="s">
        <v>984</v>
      </c>
      <c r="E1843" s="58">
        <v>164</v>
      </c>
      <c r="F1843" s="58"/>
      <c r="G1843" s="58">
        <f t="shared" si="32"/>
        <v>-164</v>
      </c>
      <c r="H1843" s="49" t="s">
        <v>1404</v>
      </c>
    </row>
    <row r="1844" spans="1:8" x14ac:dyDescent="0.2">
      <c r="A1844" s="594">
        <v>42657</v>
      </c>
      <c r="B1844" s="41" t="s">
        <v>25</v>
      </c>
      <c r="C1844" s="41" t="s">
        <v>1894</v>
      </c>
      <c r="D1844" s="108" t="s">
        <v>1598</v>
      </c>
      <c r="E1844" s="58">
        <v>1000</v>
      </c>
      <c r="F1844" s="58"/>
      <c r="G1844" s="58">
        <f t="shared" si="32"/>
        <v>-1000</v>
      </c>
      <c r="H1844" s="49" t="s">
        <v>1404</v>
      </c>
    </row>
    <row r="1845" spans="1:8" x14ac:dyDescent="0.2">
      <c r="A1845" s="594">
        <v>42658</v>
      </c>
      <c r="B1845" s="41" t="s">
        <v>40</v>
      </c>
      <c r="C1845" s="41" t="s">
        <v>80</v>
      </c>
      <c r="D1845" s="108" t="s">
        <v>1599</v>
      </c>
      <c r="E1845" s="58">
        <v>2200</v>
      </c>
      <c r="F1845" s="58"/>
      <c r="G1845" s="58">
        <f t="shared" si="32"/>
        <v>-2200</v>
      </c>
      <c r="H1845" s="49" t="s">
        <v>1404</v>
      </c>
    </row>
    <row r="1846" spans="1:8" x14ac:dyDescent="0.2">
      <c r="A1846" s="594">
        <v>42658</v>
      </c>
      <c r="B1846" s="41" t="s">
        <v>40</v>
      </c>
      <c r="C1846" s="41" t="s">
        <v>80</v>
      </c>
      <c r="D1846" s="108" t="s">
        <v>1600</v>
      </c>
      <c r="E1846" s="58">
        <v>200</v>
      </c>
      <c r="F1846" s="58"/>
      <c r="G1846" s="58">
        <f t="shared" si="32"/>
        <v>-200</v>
      </c>
      <c r="H1846" s="49" t="s">
        <v>1404</v>
      </c>
    </row>
    <row r="1847" spans="1:8" x14ac:dyDescent="0.2">
      <c r="A1847" s="594">
        <v>42658</v>
      </c>
      <c r="B1847" s="41" t="s">
        <v>40</v>
      </c>
      <c r="C1847" s="41" t="s">
        <v>80</v>
      </c>
      <c r="D1847" s="108" t="s">
        <v>1601</v>
      </c>
      <c r="E1847" s="58">
        <v>2465</v>
      </c>
      <c r="F1847" s="58"/>
      <c r="G1847" s="58">
        <f t="shared" si="32"/>
        <v>-2465</v>
      </c>
      <c r="H1847" s="49" t="s">
        <v>1404</v>
      </c>
    </row>
    <row r="1848" spans="1:8" x14ac:dyDescent="0.2">
      <c r="A1848" s="594">
        <v>42658</v>
      </c>
      <c r="B1848" s="41" t="s">
        <v>1493</v>
      </c>
      <c r="C1848" s="41" t="s">
        <v>220</v>
      </c>
      <c r="D1848" s="108" t="s">
        <v>1602</v>
      </c>
      <c r="E1848" s="58">
        <v>10000</v>
      </c>
      <c r="F1848" s="58"/>
      <c r="G1848" s="58">
        <f t="shared" si="32"/>
        <v>-10000</v>
      </c>
      <c r="H1848" s="49" t="s">
        <v>1404</v>
      </c>
    </row>
    <row r="1849" spans="1:8" x14ac:dyDescent="0.2">
      <c r="A1849" s="594">
        <v>42658</v>
      </c>
      <c r="B1849" s="41" t="s">
        <v>1400</v>
      </c>
      <c r="C1849" s="41" t="s">
        <v>64</v>
      </c>
      <c r="D1849" s="108" t="s">
        <v>1670</v>
      </c>
      <c r="E1849" s="58">
        <v>5685</v>
      </c>
      <c r="F1849" s="58"/>
      <c r="G1849" s="58">
        <f t="shared" si="32"/>
        <v>-5685</v>
      </c>
      <c r="H1849" s="49" t="s">
        <v>1404</v>
      </c>
    </row>
    <row r="1850" spans="1:8" x14ac:dyDescent="0.2">
      <c r="A1850" s="594">
        <v>42658</v>
      </c>
      <c r="B1850" s="41" t="s">
        <v>1400</v>
      </c>
      <c r="C1850" s="41" t="s">
        <v>1897</v>
      </c>
      <c r="D1850" s="108" t="s">
        <v>1603</v>
      </c>
      <c r="E1850" s="58">
        <v>100</v>
      </c>
      <c r="F1850" s="58"/>
      <c r="G1850" s="58">
        <f t="shared" si="32"/>
        <v>-100</v>
      </c>
      <c r="H1850" s="49" t="s">
        <v>1404</v>
      </c>
    </row>
    <row r="1851" spans="1:8" x14ac:dyDescent="0.2">
      <c r="A1851" s="594">
        <v>42658</v>
      </c>
      <c r="B1851" s="41" t="s">
        <v>1400</v>
      </c>
      <c r="C1851" s="41" t="s">
        <v>64</v>
      </c>
      <c r="D1851" s="108" t="s">
        <v>1604</v>
      </c>
      <c r="E1851" s="58">
        <v>1000</v>
      </c>
      <c r="F1851" s="58"/>
      <c r="G1851" s="58">
        <f t="shared" si="32"/>
        <v>-1000</v>
      </c>
      <c r="H1851" s="49" t="s">
        <v>1404</v>
      </c>
    </row>
    <row r="1852" spans="1:8" x14ac:dyDescent="0.2">
      <c r="A1852" s="594">
        <v>42658</v>
      </c>
      <c r="B1852" s="41" t="s">
        <v>40</v>
      </c>
      <c r="C1852" s="41" t="s">
        <v>64</v>
      </c>
      <c r="D1852" s="108" t="s">
        <v>1605</v>
      </c>
      <c r="E1852" s="58">
        <v>600</v>
      </c>
      <c r="F1852" s="58"/>
      <c r="G1852" s="58">
        <f t="shared" si="32"/>
        <v>-600</v>
      </c>
      <c r="H1852" s="49" t="s">
        <v>1404</v>
      </c>
    </row>
    <row r="1853" spans="1:8" x14ac:dyDescent="0.2">
      <c r="A1853" s="594">
        <v>42658</v>
      </c>
      <c r="B1853" s="41" t="s">
        <v>16</v>
      </c>
      <c r="C1853" s="41" t="s">
        <v>773</v>
      </c>
      <c r="D1853" s="108" t="s">
        <v>1606</v>
      </c>
      <c r="E1853" s="58">
        <v>1800</v>
      </c>
      <c r="F1853" s="58"/>
      <c r="G1853" s="58">
        <f t="shared" si="32"/>
        <v>-1800</v>
      </c>
      <c r="H1853" s="49" t="s">
        <v>1404</v>
      </c>
    </row>
    <row r="1854" spans="1:8" x14ac:dyDescent="0.2">
      <c r="A1854" s="594">
        <v>42658</v>
      </c>
      <c r="B1854" s="41" t="s">
        <v>16</v>
      </c>
      <c r="C1854" s="41" t="s">
        <v>773</v>
      </c>
      <c r="D1854" s="108" t="s">
        <v>1298</v>
      </c>
      <c r="E1854" s="58">
        <v>190</v>
      </c>
      <c r="F1854" s="58"/>
      <c r="G1854" s="58">
        <f t="shared" si="32"/>
        <v>-190</v>
      </c>
      <c r="H1854" s="49" t="s">
        <v>1404</v>
      </c>
    </row>
    <row r="1855" spans="1:8" x14ac:dyDescent="0.2">
      <c r="A1855" s="594">
        <v>42658</v>
      </c>
      <c r="B1855" s="41" t="s">
        <v>16</v>
      </c>
      <c r="C1855" s="41" t="s">
        <v>773</v>
      </c>
      <c r="D1855" s="108" t="s">
        <v>1607</v>
      </c>
      <c r="E1855" s="58">
        <v>50</v>
      </c>
      <c r="F1855" s="58"/>
      <c r="G1855" s="58">
        <f t="shared" si="32"/>
        <v>-50</v>
      </c>
      <c r="H1855" s="49" t="s">
        <v>1404</v>
      </c>
    </row>
    <row r="1856" spans="1:8" x14ac:dyDescent="0.2">
      <c r="A1856" s="594">
        <v>42658</v>
      </c>
      <c r="B1856" s="41" t="s">
        <v>16</v>
      </c>
      <c r="C1856" s="41" t="s">
        <v>773</v>
      </c>
      <c r="D1856" s="108" t="s">
        <v>1608</v>
      </c>
      <c r="E1856" s="58">
        <v>70</v>
      </c>
      <c r="F1856" s="58"/>
      <c r="G1856" s="58">
        <f t="shared" si="32"/>
        <v>-70</v>
      </c>
      <c r="H1856" s="49" t="s">
        <v>1404</v>
      </c>
    </row>
    <row r="1857" spans="1:8" x14ac:dyDescent="0.2">
      <c r="A1857" s="594">
        <v>42658</v>
      </c>
      <c r="B1857" s="41" t="s">
        <v>16</v>
      </c>
      <c r="C1857" s="41" t="s">
        <v>773</v>
      </c>
      <c r="D1857" s="108" t="s">
        <v>1609</v>
      </c>
      <c r="E1857" s="58">
        <v>860</v>
      </c>
      <c r="F1857" s="58"/>
      <c r="G1857" s="58">
        <f t="shared" si="32"/>
        <v>-860</v>
      </c>
      <c r="H1857" s="49" t="s">
        <v>1404</v>
      </c>
    </row>
    <row r="1858" spans="1:8" x14ac:dyDescent="0.2">
      <c r="A1858" s="594">
        <v>42658</v>
      </c>
      <c r="B1858" s="41" t="s">
        <v>16</v>
      </c>
      <c r="C1858" s="41" t="s">
        <v>773</v>
      </c>
      <c r="D1858" s="108" t="s">
        <v>703</v>
      </c>
      <c r="E1858" s="58">
        <v>170</v>
      </c>
      <c r="F1858" s="58"/>
      <c r="G1858" s="58">
        <f t="shared" si="32"/>
        <v>-170</v>
      </c>
      <c r="H1858" s="49" t="s">
        <v>1404</v>
      </c>
    </row>
    <row r="1859" spans="1:8" x14ac:dyDescent="0.2">
      <c r="A1859" s="594">
        <v>42658</v>
      </c>
      <c r="B1859" s="41" t="s">
        <v>16</v>
      </c>
      <c r="C1859" s="41" t="s">
        <v>773</v>
      </c>
      <c r="D1859" s="108" t="s">
        <v>1610</v>
      </c>
      <c r="E1859" s="58">
        <v>500</v>
      </c>
      <c r="F1859" s="58"/>
      <c r="G1859" s="58">
        <f t="shared" si="32"/>
        <v>-500</v>
      </c>
      <c r="H1859" s="49" t="s">
        <v>1404</v>
      </c>
    </row>
    <row r="1860" spans="1:8" x14ac:dyDescent="0.2">
      <c r="A1860" s="594">
        <v>42658</v>
      </c>
      <c r="B1860" s="41" t="s">
        <v>16</v>
      </c>
      <c r="C1860" s="41" t="s">
        <v>773</v>
      </c>
      <c r="D1860" s="108" t="s">
        <v>1459</v>
      </c>
      <c r="E1860" s="58">
        <v>95</v>
      </c>
      <c r="F1860" s="58"/>
      <c r="G1860" s="58">
        <f t="shared" si="32"/>
        <v>-95</v>
      </c>
      <c r="H1860" s="49" t="s">
        <v>1404</v>
      </c>
    </row>
    <row r="1861" spans="1:8" x14ac:dyDescent="0.2">
      <c r="A1861" s="594">
        <v>42658</v>
      </c>
      <c r="B1861" s="41" t="s">
        <v>16</v>
      </c>
      <c r="C1861" s="41" t="s">
        <v>773</v>
      </c>
      <c r="D1861" s="108" t="s">
        <v>984</v>
      </c>
      <c r="E1861" s="58">
        <v>90</v>
      </c>
      <c r="F1861" s="58"/>
      <c r="G1861" s="58">
        <f t="shared" si="32"/>
        <v>-90</v>
      </c>
      <c r="H1861" s="49" t="s">
        <v>1404</v>
      </c>
    </row>
    <row r="1862" spans="1:8" x14ac:dyDescent="0.2">
      <c r="A1862" s="594">
        <v>42658</v>
      </c>
      <c r="B1862" s="41" t="s">
        <v>16</v>
      </c>
      <c r="C1862" s="41" t="s">
        <v>773</v>
      </c>
      <c r="D1862" s="108" t="s">
        <v>1611</v>
      </c>
      <c r="E1862" s="58">
        <v>330</v>
      </c>
      <c r="F1862" s="58"/>
      <c r="G1862" s="58">
        <f t="shared" si="32"/>
        <v>-330</v>
      </c>
      <c r="H1862" s="49" t="s">
        <v>1404</v>
      </c>
    </row>
    <row r="1863" spans="1:8" x14ac:dyDescent="0.2">
      <c r="A1863" s="594">
        <v>42658</v>
      </c>
      <c r="B1863" s="41" t="s">
        <v>16</v>
      </c>
      <c r="C1863" s="41" t="s">
        <v>773</v>
      </c>
      <c r="D1863" s="108" t="s">
        <v>1612</v>
      </c>
      <c r="E1863" s="58">
        <v>200</v>
      </c>
      <c r="F1863" s="58"/>
      <c r="G1863" s="58">
        <f t="shared" si="32"/>
        <v>-200</v>
      </c>
      <c r="H1863" s="49" t="s">
        <v>1404</v>
      </c>
    </row>
    <row r="1864" spans="1:8" x14ac:dyDescent="0.2">
      <c r="A1864" s="594">
        <v>42658</v>
      </c>
      <c r="B1864" s="41" t="s">
        <v>16</v>
      </c>
      <c r="C1864" s="41" t="s">
        <v>773</v>
      </c>
      <c r="D1864" s="108" t="s">
        <v>1613</v>
      </c>
      <c r="E1864" s="58">
        <v>100</v>
      </c>
      <c r="F1864" s="58"/>
      <c r="G1864" s="58">
        <f t="shared" si="32"/>
        <v>-100</v>
      </c>
      <c r="H1864" s="49" t="s">
        <v>1404</v>
      </c>
    </row>
    <row r="1865" spans="1:8" x14ac:dyDescent="0.2">
      <c r="A1865" s="594">
        <v>42658</v>
      </c>
      <c r="B1865" s="41" t="s">
        <v>16</v>
      </c>
      <c r="C1865" s="41" t="s">
        <v>773</v>
      </c>
      <c r="D1865" s="108" t="s">
        <v>1614</v>
      </c>
      <c r="E1865" s="58">
        <v>40</v>
      </c>
      <c r="F1865" s="58"/>
      <c r="G1865" s="58">
        <f t="shared" ref="G1865:G1928" si="33">F1865-E1865</f>
        <v>-40</v>
      </c>
      <c r="H1865" s="49" t="s">
        <v>1404</v>
      </c>
    </row>
    <row r="1866" spans="1:8" x14ac:dyDescent="0.2">
      <c r="A1866" s="594">
        <v>42658</v>
      </c>
      <c r="B1866" s="41" t="s">
        <v>16</v>
      </c>
      <c r="C1866" s="41" t="s">
        <v>773</v>
      </c>
      <c r="D1866" s="108" t="s">
        <v>1615</v>
      </c>
      <c r="E1866" s="58">
        <v>120</v>
      </c>
      <c r="F1866" s="58"/>
      <c r="G1866" s="58">
        <f t="shared" si="33"/>
        <v>-120</v>
      </c>
      <c r="H1866" s="49" t="s">
        <v>1404</v>
      </c>
    </row>
    <row r="1867" spans="1:8" x14ac:dyDescent="0.2">
      <c r="A1867" s="594">
        <v>42658</v>
      </c>
      <c r="B1867" s="41" t="s">
        <v>16</v>
      </c>
      <c r="C1867" s="41" t="s">
        <v>773</v>
      </c>
      <c r="D1867" s="108" t="s">
        <v>1616</v>
      </c>
      <c r="E1867" s="58">
        <v>100</v>
      </c>
      <c r="F1867" s="58"/>
      <c r="G1867" s="58">
        <f t="shared" si="33"/>
        <v>-100</v>
      </c>
      <c r="H1867" s="49" t="s">
        <v>1404</v>
      </c>
    </row>
    <row r="1868" spans="1:8" x14ac:dyDescent="0.2">
      <c r="A1868" s="594">
        <v>42658</v>
      </c>
      <c r="B1868" s="41" t="s">
        <v>16</v>
      </c>
      <c r="C1868" s="41" t="s">
        <v>773</v>
      </c>
      <c r="D1868" s="108" t="s">
        <v>1617</v>
      </c>
      <c r="E1868" s="58">
        <v>30</v>
      </c>
      <c r="F1868" s="58"/>
      <c r="G1868" s="58">
        <f t="shared" si="33"/>
        <v>-30</v>
      </c>
      <c r="H1868" s="49" t="s">
        <v>1404</v>
      </c>
    </row>
    <row r="1869" spans="1:8" x14ac:dyDescent="0.2">
      <c r="A1869" s="594">
        <v>42658</v>
      </c>
      <c r="B1869" s="41" t="s">
        <v>16</v>
      </c>
      <c r="C1869" s="41" t="s">
        <v>773</v>
      </c>
      <c r="D1869" s="108" t="s">
        <v>1618</v>
      </c>
      <c r="E1869" s="58">
        <v>400</v>
      </c>
      <c r="F1869" s="58"/>
      <c r="G1869" s="58">
        <f t="shared" si="33"/>
        <v>-400</v>
      </c>
      <c r="H1869" s="49" t="s">
        <v>1404</v>
      </c>
    </row>
    <row r="1870" spans="1:8" x14ac:dyDescent="0.2">
      <c r="A1870" s="594">
        <v>42658</v>
      </c>
      <c r="B1870" s="41" t="s">
        <v>16</v>
      </c>
      <c r="C1870" s="41" t="s">
        <v>773</v>
      </c>
      <c r="D1870" s="108" t="s">
        <v>1619</v>
      </c>
      <c r="E1870" s="58">
        <v>100</v>
      </c>
      <c r="F1870" s="58"/>
      <c r="G1870" s="58">
        <f t="shared" si="33"/>
        <v>-100</v>
      </c>
      <c r="H1870" s="49" t="s">
        <v>1404</v>
      </c>
    </row>
    <row r="1871" spans="1:8" x14ac:dyDescent="0.2">
      <c r="A1871" s="594">
        <v>42658</v>
      </c>
      <c r="B1871" s="41" t="s">
        <v>16</v>
      </c>
      <c r="C1871" s="41" t="s">
        <v>773</v>
      </c>
      <c r="D1871" s="108" t="s">
        <v>1620</v>
      </c>
      <c r="E1871" s="58">
        <v>230</v>
      </c>
      <c r="F1871" s="58"/>
      <c r="G1871" s="58">
        <f t="shared" si="33"/>
        <v>-230</v>
      </c>
      <c r="H1871" s="49" t="s">
        <v>1404</v>
      </c>
    </row>
    <row r="1872" spans="1:8" x14ac:dyDescent="0.2">
      <c r="A1872" s="594">
        <v>42658</v>
      </c>
      <c r="B1872" s="41" t="s">
        <v>16</v>
      </c>
      <c r="C1872" s="41" t="s">
        <v>773</v>
      </c>
      <c r="D1872" s="108" t="s">
        <v>984</v>
      </c>
      <c r="E1872" s="58">
        <v>50</v>
      </c>
      <c r="F1872" s="58"/>
      <c r="G1872" s="58">
        <f t="shared" si="33"/>
        <v>-50</v>
      </c>
      <c r="H1872" s="49" t="s">
        <v>1404</v>
      </c>
    </row>
    <row r="1873" spans="1:8" x14ac:dyDescent="0.2">
      <c r="A1873" s="594">
        <v>42660</v>
      </c>
      <c r="B1873" s="41" t="s">
        <v>82</v>
      </c>
      <c r="C1873" s="41" t="s">
        <v>325</v>
      </c>
      <c r="D1873" s="108" t="s">
        <v>1621</v>
      </c>
      <c r="E1873" s="58">
        <v>3105</v>
      </c>
      <c r="F1873" s="58"/>
      <c r="G1873" s="58">
        <f t="shared" si="33"/>
        <v>-3105</v>
      </c>
      <c r="H1873" s="49" t="s">
        <v>1404</v>
      </c>
    </row>
    <row r="1874" spans="1:8" ht="12.75" customHeight="1" x14ac:dyDescent="0.2">
      <c r="A1874" s="594">
        <v>42660</v>
      </c>
      <c r="B1874" s="41" t="s">
        <v>37</v>
      </c>
      <c r="C1874" s="41" t="s">
        <v>194</v>
      </c>
      <c r="D1874" s="108" t="s">
        <v>1414</v>
      </c>
      <c r="E1874" s="58">
        <v>1985</v>
      </c>
      <c r="F1874" s="58"/>
      <c r="G1874" s="58">
        <f t="shared" si="33"/>
        <v>-1985</v>
      </c>
      <c r="H1874" s="49" t="s">
        <v>1404</v>
      </c>
    </row>
    <row r="1875" spans="1:8" ht="12.75" customHeight="1" x14ac:dyDescent="0.2">
      <c r="A1875" s="594">
        <v>42660</v>
      </c>
      <c r="B1875" s="41" t="s">
        <v>1493</v>
      </c>
      <c r="C1875" s="41" t="s">
        <v>220</v>
      </c>
      <c r="D1875" s="108" t="s">
        <v>1622</v>
      </c>
      <c r="E1875" s="58">
        <v>1200</v>
      </c>
      <c r="F1875" s="58"/>
      <c r="G1875" s="58">
        <f t="shared" si="33"/>
        <v>-1200</v>
      </c>
      <c r="H1875" s="49" t="s">
        <v>1404</v>
      </c>
    </row>
    <row r="1876" spans="1:8" ht="12.75" customHeight="1" x14ac:dyDescent="0.2">
      <c r="A1876" s="594">
        <v>42660</v>
      </c>
      <c r="B1876" s="41" t="s">
        <v>40</v>
      </c>
      <c r="C1876" s="41" t="s">
        <v>220</v>
      </c>
      <c r="D1876" s="108" t="s">
        <v>1623</v>
      </c>
      <c r="E1876" s="58">
        <v>1500</v>
      </c>
      <c r="F1876" s="58"/>
      <c r="G1876" s="58">
        <f t="shared" si="33"/>
        <v>-1500</v>
      </c>
      <c r="H1876" s="49" t="s">
        <v>1404</v>
      </c>
    </row>
    <row r="1877" spans="1:8" x14ac:dyDescent="0.2">
      <c r="A1877" s="594">
        <v>42660</v>
      </c>
      <c r="B1877" s="41" t="s">
        <v>18</v>
      </c>
      <c r="C1877" s="41" t="s">
        <v>1424</v>
      </c>
      <c r="D1877" s="108" t="s">
        <v>242</v>
      </c>
      <c r="E1877" s="58">
        <v>1450</v>
      </c>
      <c r="F1877" s="58"/>
      <c r="G1877" s="58">
        <f t="shared" si="33"/>
        <v>-1450</v>
      </c>
      <c r="H1877" s="49" t="s">
        <v>1404</v>
      </c>
    </row>
    <row r="1878" spans="1:8" x14ac:dyDescent="0.2">
      <c r="A1878" s="594">
        <v>42661</v>
      </c>
      <c r="B1878" s="41" t="s">
        <v>16</v>
      </c>
      <c r="C1878" s="41" t="s">
        <v>103</v>
      </c>
      <c r="D1878" s="108" t="s">
        <v>1617</v>
      </c>
      <c r="E1878" s="58">
        <v>150</v>
      </c>
      <c r="F1878" s="58"/>
      <c r="G1878" s="58">
        <f t="shared" si="33"/>
        <v>-150</v>
      </c>
      <c r="H1878" s="49" t="s">
        <v>1404</v>
      </c>
    </row>
    <row r="1879" spans="1:8" x14ac:dyDescent="0.2">
      <c r="A1879" s="594">
        <v>42661</v>
      </c>
      <c r="B1879" s="41" t="s">
        <v>40</v>
      </c>
      <c r="C1879" s="41" t="s">
        <v>1339</v>
      </c>
      <c r="D1879" s="108" t="s">
        <v>370</v>
      </c>
      <c r="E1879" s="58">
        <v>5000</v>
      </c>
      <c r="F1879" s="58"/>
      <c r="G1879" s="58">
        <f t="shared" si="33"/>
        <v>-5000</v>
      </c>
      <c r="H1879" s="49" t="s">
        <v>1404</v>
      </c>
    </row>
    <row r="1880" spans="1:8" x14ac:dyDescent="0.2">
      <c r="A1880" s="594">
        <v>42662</v>
      </c>
      <c r="B1880" s="41" t="s">
        <v>40</v>
      </c>
      <c r="C1880" s="41" t="s">
        <v>372</v>
      </c>
      <c r="D1880" s="108" t="s">
        <v>286</v>
      </c>
      <c r="E1880" s="58">
        <v>2500</v>
      </c>
      <c r="F1880" s="58"/>
      <c r="G1880" s="58">
        <f t="shared" si="33"/>
        <v>-2500</v>
      </c>
      <c r="H1880" s="49" t="s">
        <v>1404</v>
      </c>
    </row>
    <row r="1881" spans="1:8" x14ac:dyDescent="0.2">
      <c r="A1881" s="594">
        <v>42662</v>
      </c>
      <c r="B1881" s="41" t="s">
        <v>1400</v>
      </c>
      <c r="C1881" s="41" t="s">
        <v>1897</v>
      </c>
      <c r="D1881" s="108" t="s">
        <v>286</v>
      </c>
      <c r="E1881" s="58">
        <v>100</v>
      </c>
      <c r="F1881" s="58"/>
      <c r="G1881" s="58">
        <f t="shared" si="33"/>
        <v>-100</v>
      </c>
      <c r="H1881" s="49" t="s">
        <v>1404</v>
      </c>
    </row>
    <row r="1882" spans="1:8" x14ac:dyDescent="0.2">
      <c r="A1882" s="594">
        <v>42663</v>
      </c>
      <c r="B1882" s="41" t="s">
        <v>16</v>
      </c>
      <c r="C1882" s="41" t="s">
        <v>103</v>
      </c>
      <c r="D1882" s="108" t="s">
        <v>1624</v>
      </c>
      <c r="E1882" s="58">
        <v>1400</v>
      </c>
      <c r="F1882" s="58"/>
      <c r="G1882" s="58">
        <f t="shared" si="33"/>
        <v>-1400</v>
      </c>
      <c r="H1882" s="49" t="s">
        <v>1404</v>
      </c>
    </row>
    <row r="1883" spans="1:8" x14ac:dyDescent="0.2">
      <c r="A1883" s="594">
        <v>42663</v>
      </c>
      <c r="B1883" s="41" t="s">
        <v>1400</v>
      </c>
      <c r="C1883" s="41" t="s">
        <v>1897</v>
      </c>
      <c r="D1883" s="108" t="s">
        <v>286</v>
      </c>
      <c r="E1883" s="58">
        <v>50</v>
      </c>
      <c r="F1883" s="58"/>
      <c r="G1883" s="58">
        <f t="shared" si="33"/>
        <v>-50</v>
      </c>
      <c r="H1883" s="49" t="s">
        <v>1404</v>
      </c>
    </row>
    <row r="1884" spans="1:8" x14ac:dyDescent="0.2">
      <c r="A1884" s="594">
        <v>42663</v>
      </c>
      <c r="B1884" s="41" t="s">
        <v>154</v>
      </c>
      <c r="C1884" s="41" t="s">
        <v>220</v>
      </c>
      <c r="D1884" s="108" t="s">
        <v>1625</v>
      </c>
      <c r="E1884" s="58">
        <v>2500</v>
      </c>
      <c r="F1884" s="58"/>
      <c r="G1884" s="58">
        <f t="shared" si="33"/>
        <v>-2500</v>
      </c>
      <c r="H1884" s="49" t="s">
        <v>1404</v>
      </c>
    </row>
    <row r="1885" spans="1:8" x14ac:dyDescent="0.2">
      <c r="A1885" s="594">
        <v>42663</v>
      </c>
      <c r="B1885" s="41" t="s">
        <v>1493</v>
      </c>
      <c r="C1885" s="41" t="s">
        <v>220</v>
      </c>
      <c r="D1885" s="108" t="s">
        <v>1625</v>
      </c>
      <c r="E1885" s="58">
        <v>4280</v>
      </c>
      <c r="F1885" s="58"/>
      <c r="G1885" s="58">
        <f t="shared" si="33"/>
        <v>-4280</v>
      </c>
      <c r="H1885" s="49" t="s">
        <v>1404</v>
      </c>
    </row>
    <row r="1886" spans="1:8" x14ac:dyDescent="0.2">
      <c r="A1886" s="594">
        <v>42663</v>
      </c>
      <c r="B1886" s="41" t="s">
        <v>40</v>
      </c>
      <c r="C1886" s="41" t="s">
        <v>220</v>
      </c>
      <c r="D1886" s="108" t="s">
        <v>1625</v>
      </c>
      <c r="E1886" s="58">
        <v>5600</v>
      </c>
      <c r="F1886" s="58"/>
      <c r="G1886" s="58">
        <f t="shared" si="33"/>
        <v>-5600</v>
      </c>
      <c r="H1886" s="49" t="s">
        <v>1404</v>
      </c>
    </row>
    <row r="1887" spans="1:8" x14ac:dyDescent="0.2">
      <c r="A1887" s="594">
        <v>42664</v>
      </c>
      <c r="B1887" s="41" t="s">
        <v>1493</v>
      </c>
      <c r="C1887" s="41" t="s">
        <v>106</v>
      </c>
      <c r="D1887" s="108" t="s">
        <v>1626</v>
      </c>
      <c r="E1887" s="58">
        <v>500</v>
      </c>
      <c r="F1887" s="58"/>
      <c r="G1887" s="58">
        <f t="shared" si="33"/>
        <v>-500</v>
      </c>
      <c r="H1887" s="49" t="s">
        <v>1404</v>
      </c>
    </row>
    <row r="1888" spans="1:8" x14ac:dyDescent="0.2">
      <c r="A1888" s="594">
        <v>42665</v>
      </c>
      <c r="B1888" s="41" t="s">
        <v>40</v>
      </c>
      <c r="C1888" s="41" t="s">
        <v>1662</v>
      </c>
      <c r="D1888" s="108" t="s">
        <v>1627</v>
      </c>
      <c r="E1888" s="58">
        <v>1290</v>
      </c>
      <c r="F1888" s="58"/>
      <c r="G1888" s="58">
        <f t="shared" si="33"/>
        <v>-1290</v>
      </c>
      <c r="H1888" s="49" t="s">
        <v>1404</v>
      </c>
    </row>
    <row r="1889" spans="1:8" x14ac:dyDescent="0.2">
      <c r="A1889" s="594">
        <v>42665</v>
      </c>
      <c r="B1889" s="41" t="s">
        <v>154</v>
      </c>
      <c r="C1889" s="41" t="s">
        <v>146</v>
      </c>
      <c r="D1889" s="108" t="s">
        <v>801</v>
      </c>
      <c r="E1889" s="58">
        <v>85</v>
      </c>
      <c r="F1889" s="58"/>
      <c r="G1889" s="58">
        <f t="shared" si="33"/>
        <v>-85</v>
      </c>
      <c r="H1889" s="49" t="s">
        <v>1404</v>
      </c>
    </row>
    <row r="1890" spans="1:8" x14ac:dyDescent="0.2">
      <c r="A1890" s="594">
        <v>42665</v>
      </c>
      <c r="B1890" s="41" t="s">
        <v>1493</v>
      </c>
      <c r="C1890" s="41" t="s">
        <v>220</v>
      </c>
      <c r="D1890" s="108" t="s">
        <v>1663</v>
      </c>
      <c r="E1890" s="58">
        <v>1850</v>
      </c>
      <c r="F1890" s="58"/>
      <c r="G1890" s="58">
        <f t="shared" si="33"/>
        <v>-1850</v>
      </c>
      <c r="H1890" s="49" t="s">
        <v>1404</v>
      </c>
    </row>
    <row r="1891" spans="1:8" x14ac:dyDescent="0.2">
      <c r="A1891" s="594">
        <v>42665</v>
      </c>
      <c r="B1891" s="41" t="s">
        <v>40</v>
      </c>
      <c r="C1891" s="41" t="s">
        <v>220</v>
      </c>
      <c r="D1891" s="108" t="s">
        <v>1663</v>
      </c>
      <c r="E1891" s="58">
        <v>5220</v>
      </c>
      <c r="F1891" s="58"/>
      <c r="G1891" s="58">
        <f t="shared" si="33"/>
        <v>-5220</v>
      </c>
      <c r="H1891" s="49" t="s">
        <v>1404</v>
      </c>
    </row>
    <row r="1892" spans="1:8" x14ac:dyDescent="0.2">
      <c r="A1892" s="594">
        <v>42665</v>
      </c>
      <c r="B1892" s="41" t="s">
        <v>16</v>
      </c>
      <c r="C1892" s="41" t="s">
        <v>773</v>
      </c>
      <c r="D1892" s="108" t="s">
        <v>1628</v>
      </c>
      <c r="E1892" s="58">
        <v>800</v>
      </c>
      <c r="F1892" s="58"/>
      <c r="G1892" s="58">
        <f t="shared" si="33"/>
        <v>-800</v>
      </c>
      <c r="H1892" s="49" t="s">
        <v>1404</v>
      </c>
    </row>
    <row r="1893" spans="1:8" x14ac:dyDescent="0.2">
      <c r="A1893" s="594">
        <v>42665</v>
      </c>
      <c r="B1893" s="41" t="s">
        <v>40</v>
      </c>
      <c r="C1893" s="41" t="s">
        <v>668</v>
      </c>
      <c r="D1893" s="108" t="s">
        <v>1629</v>
      </c>
      <c r="E1893" s="58">
        <v>300</v>
      </c>
      <c r="F1893" s="58"/>
      <c r="G1893" s="58">
        <f t="shared" si="33"/>
        <v>-300</v>
      </c>
      <c r="H1893" s="49" t="s">
        <v>1404</v>
      </c>
    </row>
    <row r="1894" spans="1:8" x14ac:dyDescent="0.2">
      <c r="A1894" s="594">
        <v>42666</v>
      </c>
      <c r="B1894" s="41" t="s">
        <v>40</v>
      </c>
      <c r="C1894" s="41" t="s">
        <v>372</v>
      </c>
      <c r="D1894" s="108" t="s">
        <v>1630</v>
      </c>
      <c r="E1894" s="58">
        <v>4700</v>
      </c>
      <c r="F1894" s="58"/>
      <c r="G1894" s="58">
        <f t="shared" si="33"/>
        <v>-4700</v>
      </c>
      <c r="H1894" s="49" t="s">
        <v>1404</v>
      </c>
    </row>
    <row r="1895" spans="1:8" x14ac:dyDescent="0.2">
      <c r="A1895" s="594">
        <v>42667</v>
      </c>
      <c r="B1895" s="41" t="s">
        <v>154</v>
      </c>
      <c r="C1895" s="41" t="s">
        <v>773</v>
      </c>
      <c r="D1895" s="108" t="s">
        <v>1631</v>
      </c>
      <c r="E1895" s="58">
        <v>270</v>
      </c>
      <c r="F1895" s="58"/>
      <c r="G1895" s="58">
        <f t="shared" si="33"/>
        <v>-270</v>
      </c>
      <c r="H1895" s="49" t="s">
        <v>1404</v>
      </c>
    </row>
    <row r="1896" spans="1:8" x14ac:dyDescent="0.2">
      <c r="A1896" s="594">
        <v>42667</v>
      </c>
      <c r="B1896" s="41" t="s">
        <v>40</v>
      </c>
      <c r="C1896" s="41" t="s">
        <v>551</v>
      </c>
      <c r="D1896" s="108" t="s">
        <v>1632</v>
      </c>
      <c r="E1896" s="58">
        <v>5000</v>
      </c>
      <c r="F1896" s="58"/>
      <c r="G1896" s="58">
        <f t="shared" si="33"/>
        <v>-5000</v>
      </c>
      <c r="H1896" s="49" t="s">
        <v>1404</v>
      </c>
    </row>
    <row r="1897" spans="1:8" x14ac:dyDescent="0.2">
      <c r="A1897" s="594">
        <v>42668</v>
      </c>
      <c r="B1897" s="41" t="s">
        <v>1493</v>
      </c>
      <c r="C1897" s="41" t="s">
        <v>220</v>
      </c>
      <c r="D1897" s="108" t="s">
        <v>1664</v>
      </c>
      <c r="E1897" s="58">
        <v>450</v>
      </c>
      <c r="F1897" s="58"/>
      <c r="G1897" s="58">
        <f t="shared" si="33"/>
        <v>-450</v>
      </c>
      <c r="H1897" s="49" t="s">
        <v>1404</v>
      </c>
    </row>
    <row r="1898" spans="1:8" x14ac:dyDescent="0.2">
      <c r="A1898" s="594">
        <v>42668</v>
      </c>
      <c r="B1898" s="41" t="s">
        <v>40</v>
      </c>
      <c r="C1898" s="41" t="s">
        <v>220</v>
      </c>
      <c r="D1898" s="108" t="s">
        <v>1664</v>
      </c>
      <c r="E1898" s="58">
        <v>580</v>
      </c>
      <c r="F1898" s="58"/>
      <c r="G1898" s="58">
        <f t="shared" si="33"/>
        <v>-580</v>
      </c>
      <c r="H1898" s="49" t="s">
        <v>1404</v>
      </c>
    </row>
    <row r="1899" spans="1:8" x14ac:dyDescent="0.2">
      <c r="A1899" s="594">
        <v>42668</v>
      </c>
      <c r="B1899" s="41" t="s">
        <v>154</v>
      </c>
      <c r="C1899" s="41" t="s">
        <v>220</v>
      </c>
      <c r="D1899" s="108" t="s">
        <v>1664</v>
      </c>
      <c r="E1899" s="58">
        <v>150</v>
      </c>
      <c r="F1899" s="58"/>
      <c r="G1899" s="58">
        <f t="shared" si="33"/>
        <v>-150</v>
      </c>
      <c r="H1899" s="49" t="s">
        <v>1404</v>
      </c>
    </row>
    <row r="1900" spans="1:8" x14ac:dyDescent="0.2">
      <c r="A1900" s="594">
        <v>42668</v>
      </c>
      <c r="B1900" s="41" t="s">
        <v>40</v>
      </c>
      <c r="C1900" s="41" t="s">
        <v>63</v>
      </c>
      <c r="D1900" s="108" t="s">
        <v>370</v>
      </c>
      <c r="E1900" s="58">
        <v>3000</v>
      </c>
      <c r="F1900" s="58"/>
      <c r="G1900" s="58">
        <f t="shared" si="33"/>
        <v>-3000</v>
      </c>
      <c r="H1900" s="49" t="s">
        <v>1404</v>
      </c>
    </row>
    <row r="1901" spans="1:8" x14ac:dyDescent="0.2">
      <c r="A1901" s="594">
        <v>42669</v>
      </c>
      <c r="B1901" s="41" t="s">
        <v>1400</v>
      </c>
      <c r="C1901" s="41" t="s">
        <v>64</v>
      </c>
      <c r="D1901" s="108" t="s">
        <v>1633</v>
      </c>
      <c r="E1901" s="58">
        <v>8658</v>
      </c>
      <c r="F1901" s="58"/>
      <c r="G1901" s="58">
        <f t="shared" si="33"/>
        <v>-8658</v>
      </c>
      <c r="H1901" s="49" t="s">
        <v>1404</v>
      </c>
    </row>
    <row r="1902" spans="1:8" ht="12.75" customHeight="1" x14ac:dyDescent="0.2">
      <c r="A1902" s="594">
        <v>42670</v>
      </c>
      <c r="B1902" s="41" t="s">
        <v>16</v>
      </c>
      <c r="C1902" s="41" t="s">
        <v>773</v>
      </c>
      <c r="D1902" s="108" t="s">
        <v>1634</v>
      </c>
      <c r="E1902" s="58">
        <v>300</v>
      </c>
      <c r="F1902" s="58"/>
      <c r="G1902" s="58">
        <f t="shared" si="33"/>
        <v>-300</v>
      </c>
      <c r="H1902" s="49" t="s">
        <v>1404</v>
      </c>
    </row>
    <row r="1903" spans="1:8" x14ac:dyDescent="0.2">
      <c r="A1903" s="594">
        <v>42670</v>
      </c>
      <c r="B1903" s="41" t="s">
        <v>40</v>
      </c>
      <c r="C1903" s="41" t="s">
        <v>372</v>
      </c>
      <c r="D1903" s="108" t="s">
        <v>1635</v>
      </c>
      <c r="E1903" s="58">
        <v>7900</v>
      </c>
      <c r="F1903" s="58"/>
      <c r="G1903" s="58">
        <f t="shared" si="33"/>
        <v>-7900</v>
      </c>
      <c r="H1903" s="49" t="s">
        <v>1404</v>
      </c>
    </row>
    <row r="1904" spans="1:8" x14ac:dyDescent="0.2">
      <c r="A1904" s="594">
        <v>42670</v>
      </c>
      <c r="B1904" s="41" t="s">
        <v>40</v>
      </c>
      <c r="C1904" s="41" t="s">
        <v>146</v>
      </c>
      <c r="D1904" s="108" t="s">
        <v>1636</v>
      </c>
      <c r="E1904" s="58">
        <v>2050</v>
      </c>
      <c r="F1904" s="58"/>
      <c r="G1904" s="58">
        <f t="shared" si="33"/>
        <v>-2050</v>
      </c>
      <c r="H1904" s="49" t="s">
        <v>1404</v>
      </c>
    </row>
    <row r="1905" spans="1:8" x14ac:dyDescent="0.2">
      <c r="A1905" s="594">
        <v>42671</v>
      </c>
      <c r="B1905" s="41" t="s">
        <v>40</v>
      </c>
      <c r="C1905" s="41" t="s">
        <v>40</v>
      </c>
      <c r="E1905" s="58">
        <v>1500</v>
      </c>
      <c r="F1905" s="58"/>
      <c r="G1905" s="58">
        <f t="shared" si="33"/>
        <v>-1500</v>
      </c>
      <c r="H1905" s="49" t="s">
        <v>1404</v>
      </c>
    </row>
    <row r="1906" spans="1:8" x14ac:dyDescent="0.2">
      <c r="A1906" s="594">
        <v>42671</v>
      </c>
      <c r="B1906" s="41" t="s">
        <v>154</v>
      </c>
      <c r="C1906" s="41" t="s">
        <v>668</v>
      </c>
      <c r="D1906" s="108" t="s">
        <v>1637</v>
      </c>
      <c r="E1906" s="58">
        <v>290</v>
      </c>
      <c r="F1906" s="58"/>
      <c r="G1906" s="58">
        <f t="shared" si="33"/>
        <v>-290</v>
      </c>
      <c r="H1906" s="49" t="s">
        <v>1404</v>
      </c>
    </row>
    <row r="1907" spans="1:8" x14ac:dyDescent="0.2">
      <c r="A1907" s="594">
        <v>42671</v>
      </c>
      <c r="B1907" s="41" t="s">
        <v>18</v>
      </c>
      <c r="C1907" s="41" t="s">
        <v>668</v>
      </c>
      <c r="D1907" s="108" t="s">
        <v>1638</v>
      </c>
      <c r="E1907" s="58">
        <v>410</v>
      </c>
      <c r="F1907" s="58"/>
      <c r="G1907" s="58">
        <f t="shared" si="33"/>
        <v>-410</v>
      </c>
      <c r="H1907" s="49" t="s">
        <v>1404</v>
      </c>
    </row>
    <row r="1908" spans="1:8" x14ac:dyDescent="0.2">
      <c r="A1908" s="594">
        <v>42671</v>
      </c>
      <c r="B1908" s="41" t="s">
        <v>40</v>
      </c>
      <c r="C1908" s="41" t="s">
        <v>668</v>
      </c>
      <c r="D1908" s="108" t="s">
        <v>1639</v>
      </c>
      <c r="E1908" s="58">
        <v>2360</v>
      </c>
      <c r="F1908" s="58"/>
      <c r="G1908" s="58">
        <f t="shared" si="33"/>
        <v>-2360</v>
      </c>
      <c r="H1908" s="49" t="s">
        <v>1404</v>
      </c>
    </row>
    <row r="1909" spans="1:8" x14ac:dyDescent="0.2">
      <c r="A1909" s="594">
        <v>42672</v>
      </c>
      <c r="B1909" s="41" t="s">
        <v>1493</v>
      </c>
      <c r="C1909" s="41" t="s">
        <v>220</v>
      </c>
      <c r="D1909" s="108" t="s">
        <v>1640</v>
      </c>
      <c r="E1909" s="58">
        <v>2480</v>
      </c>
      <c r="F1909" s="58"/>
      <c r="G1909" s="58">
        <f t="shared" si="33"/>
        <v>-2480</v>
      </c>
      <c r="H1909" s="49" t="s">
        <v>1404</v>
      </c>
    </row>
    <row r="1910" spans="1:8" x14ac:dyDescent="0.2">
      <c r="A1910" s="594">
        <v>42672</v>
      </c>
      <c r="B1910" s="41" t="s">
        <v>1400</v>
      </c>
      <c r="C1910" s="41" t="s">
        <v>64</v>
      </c>
      <c r="D1910" s="108" t="s">
        <v>1641</v>
      </c>
      <c r="E1910" s="58">
        <v>1000</v>
      </c>
      <c r="F1910" s="58"/>
      <c r="G1910" s="58">
        <f t="shared" si="33"/>
        <v>-1000</v>
      </c>
      <c r="H1910" s="49" t="s">
        <v>1404</v>
      </c>
    </row>
    <row r="1911" spans="1:8" x14ac:dyDescent="0.2">
      <c r="A1911" s="594">
        <v>42674</v>
      </c>
      <c r="B1911" s="41" t="s">
        <v>40</v>
      </c>
      <c r="C1911" s="41" t="s">
        <v>80</v>
      </c>
      <c r="D1911" s="108" t="s">
        <v>1642</v>
      </c>
      <c r="E1911" s="58">
        <v>1110</v>
      </c>
      <c r="F1911" s="58"/>
      <c r="G1911" s="58">
        <f t="shared" si="33"/>
        <v>-1110</v>
      </c>
      <c r="H1911" s="49" t="s">
        <v>1404</v>
      </c>
    </row>
    <row r="1912" spans="1:8" x14ac:dyDescent="0.2">
      <c r="A1912" s="594">
        <v>42674</v>
      </c>
      <c r="B1912" s="41" t="s">
        <v>16</v>
      </c>
      <c r="C1912" s="41" t="s">
        <v>103</v>
      </c>
      <c r="D1912" s="108" t="s">
        <v>1643</v>
      </c>
      <c r="E1912" s="58">
        <v>200</v>
      </c>
      <c r="F1912" s="58"/>
      <c r="G1912" s="58">
        <f t="shared" si="33"/>
        <v>-200</v>
      </c>
      <c r="H1912" s="49" t="s">
        <v>1404</v>
      </c>
    </row>
    <row r="1913" spans="1:8" x14ac:dyDescent="0.2">
      <c r="A1913" s="594">
        <v>42674</v>
      </c>
      <c r="B1913" s="41" t="s">
        <v>16</v>
      </c>
      <c r="C1913" s="41" t="s">
        <v>103</v>
      </c>
      <c r="D1913" s="108" t="s">
        <v>1644</v>
      </c>
      <c r="E1913" s="58">
        <v>480</v>
      </c>
      <c r="F1913" s="58"/>
      <c r="G1913" s="58">
        <f t="shared" si="33"/>
        <v>-480</v>
      </c>
      <c r="H1913" s="49" t="s">
        <v>1404</v>
      </c>
    </row>
    <row r="1914" spans="1:8" x14ac:dyDescent="0.2">
      <c r="A1914" s="594">
        <v>42674</v>
      </c>
      <c r="B1914" s="41" t="s">
        <v>16</v>
      </c>
      <c r="C1914" s="41" t="s">
        <v>103</v>
      </c>
      <c r="D1914" s="108" t="s">
        <v>1645</v>
      </c>
      <c r="E1914" s="58">
        <v>120</v>
      </c>
      <c r="F1914" s="58"/>
      <c r="G1914" s="58">
        <f t="shared" si="33"/>
        <v>-120</v>
      </c>
      <c r="H1914" s="49" t="s">
        <v>1404</v>
      </c>
    </row>
    <row r="1915" spans="1:8" x14ac:dyDescent="0.2">
      <c r="A1915" s="594">
        <v>42674</v>
      </c>
      <c r="B1915" s="41" t="s">
        <v>16</v>
      </c>
      <c r="C1915" s="41" t="s">
        <v>103</v>
      </c>
      <c r="D1915" s="108" t="s">
        <v>1646</v>
      </c>
      <c r="E1915" s="58">
        <v>710</v>
      </c>
      <c r="F1915" s="58"/>
      <c r="G1915" s="58">
        <f t="shared" si="33"/>
        <v>-710</v>
      </c>
      <c r="H1915" s="49" t="s">
        <v>1404</v>
      </c>
    </row>
    <row r="1916" spans="1:8" x14ac:dyDescent="0.2">
      <c r="A1916" s="594">
        <v>42674</v>
      </c>
      <c r="B1916" s="41" t="s">
        <v>16</v>
      </c>
      <c r="C1916" s="41" t="s">
        <v>103</v>
      </c>
      <c r="D1916" s="108" t="s">
        <v>1647</v>
      </c>
      <c r="E1916" s="58">
        <v>15</v>
      </c>
      <c r="F1916" s="58"/>
      <c r="G1916" s="58">
        <f t="shared" si="33"/>
        <v>-15</v>
      </c>
      <c r="H1916" s="49" t="s">
        <v>1404</v>
      </c>
    </row>
    <row r="1917" spans="1:8" x14ac:dyDescent="0.2">
      <c r="A1917" s="594">
        <v>42674</v>
      </c>
      <c r="B1917" s="41" t="s">
        <v>16</v>
      </c>
      <c r="C1917" s="41" t="s">
        <v>103</v>
      </c>
      <c r="D1917" s="108" t="s">
        <v>1648</v>
      </c>
      <c r="E1917" s="58">
        <v>100</v>
      </c>
      <c r="F1917" s="58"/>
      <c r="G1917" s="58">
        <f t="shared" si="33"/>
        <v>-100</v>
      </c>
      <c r="H1917" s="49" t="s">
        <v>1404</v>
      </c>
    </row>
    <row r="1918" spans="1:8" x14ac:dyDescent="0.2">
      <c r="A1918" s="594">
        <v>42674</v>
      </c>
      <c r="B1918" s="41" t="s">
        <v>16</v>
      </c>
      <c r="C1918" s="41" t="s">
        <v>103</v>
      </c>
      <c r="D1918" s="108" t="s">
        <v>1649</v>
      </c>
      <c r="E1918" s="58">
        <v>60</v>
      </c>
      <c r="F1918" s="58"/>
      <c r="G1918" s="58">
        <f t="shared" si="33"/>
        <v>-60</v>
      </c>
      <c r="H1918" s="49" t="s">
        <v>1404</v>
      </c>
    </row>
    <row r="1919" spans="1:8" x14ac:dyDescent="0.2">
      <c r="A1919" s="594">
        <v>42674</v>
      </c>
      <c r="B1919" s="41" t="s">
        <v>16</v>
      </c>
      <c r="C1919" s="41" t="s">
        <v>103</v>
      </c>
      <c r="D1919" s="108" t="s">
        <v>1649</v>
      </c>
      <c r="E1919" s="58">
        <v>120</v>
      </c>
      <c r="F1919" s="58"/>
      <c r="G1919" s="58">
        <f t="shared" si="33"/>
        <v>-120</v>
      </c>
      <c r="H1919" s="49" t="s">
        <v>1404</v>
      </c>
    </row>
    <row r="1920" spans="1:8" x14ac:dyDescent="0.2">
      <c r="A1920" s="594">
        <v>42674</v>
      </c>
      <c r="B1920" s="41" t="s">
        <v>16</v>
      </c>
      <c r="C1920" s="41" t="s">
        <v>103</v>
      </c>
      <c r="D1920" s="108" t="s">
        <v>1650</v>
      </c>
      <c r="E1920" s="58">
        <v>120</v>
      </c>
      <c r="F1920" s="58"/>
      <c r="G1920" s="58">
        <f t="shared" si="33"/>
        <v>-120</v>
      </c>
      <c r="H1920" s="49" t="s">
        <v>1404</v>
      </c>
    </row>
    <row r="1921" spans="1:8" ht="12.75" customHeight="1" x14ac:dyDescent="0.2">
      <c r="A1921" s="594">
        <v>42674</v>
      </c>
      <c r="B1921" s="41" t="s">
        <v>16</v>
      </c>
      <c r="C1921" s="41" t="s">
        <v>103</v>
      </c>
      <c r="D1921" s="108" t="s">
        <v>1651</v>
      </c>
      <c r="E1921" s="58">
        <v>1400</v>
      </c>
      <c r="F1921" s="58"/>
      <c r="G1921" s="58">
        <f t="shared" si="33"/>
        <v>-1400</v>
      </c>
      <c r="H1921" s="49" t="s">
        <v>1404</v>
      </c>
    </row>
    <row r="1922" spans="1:8" x14ac:dyDescent="0.2">
      <c r="A1922" s="594">
        <v>42674</v>
      </c>
      <c r="B1922" s="41" t="s">
        <v>16</v>
      </c>
      <c r="C1922" s="41" t="s">
        <v>103</v>
      </c>
      <c r="D1922" s="108" t="s">
        <v>1426</v>
      </c>
      <c r="E1922" s="58">
        <v>150</v>
      </c>
      <c r="F1922" s="58"/>
      <c r="G1922" s="58">
        <f t="shared" si="33"/>
        <v>-150</v>
      </c>
      <c r="H1922" s="49" t="s">
        <v>1404</v>
      </c>
    </row>
    <row r="1923" spans="1:8" x14ac:dyDescent="0.2">
      <c r="A1923" s="594">
        <v>42674</v>
      </c>
      <c r="B1923" s="41" t="s">
        <v>16</v>
      </c>
      <c r="C1923" s="41" t="s">
        <v>103</v>
      </c>
      <c r="D1923" s="108" t="s">
        <v>1652</v>
      </c>
      <c r="E1923" s="58">
        <v>70</v>
      </c>
      <c r="F1923" s="58"/>
      <c r="G1923" s="58">
        <f t="shared" si="33"/>
        <v>-70</v>
      </c>
      <c r="H1923" s="49" t="s">
        <v>1404</v>
      </c>
    </row>
    <row r="1924" spans="1:8" x14ac:dyDescent="0.2">
      <c r="A1924" s="594">
        <v>42674</v>
      </c>
      <c r="B1924" s="41" t="s">
        <v>16</v>
      </c>
      <c r="C1924" s="41" t="s">
        <v>103</v>
      </c>
      <c r="D1924" s="108" t="s">
        <v>1653</v>
      </c>
      <c r="E1924" s="58">
        <v>120</v>
      </c>
      <c r="F1924" s="58"/>
      <c r="G1924" s="58">
        <f t="shared" si="33"/>
        <v>-120</v>
      </c>
      <c r="H1924" s="49" t="s">
        <v>1404</v>
      </c>
    </row>
    <row r="1925" spans="1:8" x14ac:dyDescent="0.2">
      <c r="A1925" s="594">
        <v>42674</v>
      </c>
      <c r="B1925" s="41" t="s">
        <v>16</v>
      </c>
      <c r="C1925" s="41" t="s">
        <v>103</v>
      </c>
      <c r="D1925" s="108" t="s">
        <v>1654</v>
      </c>
      <c r="E1925" s="58">
        <v>400</v>
      </c>
      <c r="F1925" s="58"/>
      <c r="G1925" s="58">
        <f t="shared" si="33"/>
        <v>-400</v>
      </c>
      <c r="H1925" s="49" t="s">
        <v>1404</v>
      </c>
    </row>
    <row r="1926" spans="1:8" x14ac:dyDescent="0.2">
      <c r="A1926" s="594">
        <v>42674</v>
      </c>
      <c r="B1926" s="41" t="s">
        <v>16</v>
      </c>
      <c r="C1926" s="41" t="s">
        <v>103</v>
      </c>
      <c r="D1926" s="108" t="s">
        <v>1655</v>
      </c>
      <c r="E1926" s="58">
        <v>100</v>
      </c>
      <c r="F1926" s="58"/>
      <c r="G1926" s="58">
        <f t="shared" si="33"/>
        <v>-100</v>
      </c>
      <c r="H1926" s="49" t="s">
        <v>1404</v>
      </c>
    </row>
    <row r="1927" spans="1:8" x14ac:dyDescent="0.2">
      <c r="A1927" s="594">
        <v>42674</v>
      </c>
      <c r="B1927" s="41" t="s">
        <v>16</v>
      </c>
      <c r="C1927" s="41" t="s">
        <v>103</v>
      </c>
      <c r="D1927" s="108" t="s">
        <v>1656</v>
      </c>
      <c r="E1927" s="58">
        <v>30</v>
      </c>
      <c r="F1927" s="58"/>
      <c r="G1927" s="58">
        <f t="shared" si="33"/>
        <v>-30</v>
      </c>
      <c r="H1927" s="49" t="s">
        <v>1404</v>
      </c>
    </row>
    <row r="1928" spans="1:8" x14ac:dyDescent="0.2">
      <c r="A1928" s="594">
        <v>42674</v>
      </c>
      <c r="B1928" s="41" t="s">
        <v>16</v>
      </c>
      <c r="C1928" s="41" t="s">
        <v>103</v>
      </c>
      <c r="D1928" s="108" t="s">
        <v>1657</v>
      </c>
      <c r="E1928" s="58">
        <v>96</v>
      </c>
      <c r="F1928" s="58"/>
      <c r="G1928" s="58">
        <f t="shared" si="33"/>
        <v>-96</v>
      </c>
      <c r="H1928" s="49" t="s">
        <v>1404</v>
      </c>
    </row>
    <row r="1929" spans="1:8" x14ac:dyDescent="0.2">
      <c r="A1929" s="594">
        <v>42674</v>
      </c>
      <c r="B1929" s="41" t="s">
        <v>16</v>
      </c>
      <c r="C1929" s="41" t="s">
        <v>103</v>
      </c>
      <c r="D1929" s="108" t="s">
        <v>984</v>
      </c>
      <c r="E1929" s="58">
        <v>300</v>
      </c>
      <c r="F1929" s="58"/>
      <c r="G1929" s="58">
        <f t="shared" ref="G1929:G1992" si="34">F1929-E1929</f>
        <v>-300</v>
      </c>
      <c r="H1929" s="49" t="s">
        <v>1404</v>
      </c>
    </row>
    <row r="1930" spans="1:8" x14ac:dyDescent="0.2">
      <c r="A1930" s="594">
        <v>42674</v>
      </c>
      <c r="B1930" s="41" t="s">
        <v>16</v>
      </c>
      <c r="C1930" s="41" t="s">
        <v>103</v>
      </c>
      <c r="D1930" s="108" t="s">
        <v>1658</v>
      </c>
      <c r="E1930" s="58">
        <v>70</v>
      </c>
      <c r="F1930" s="58"/>
      <c r="G1930" s="58">
        <f t="shared" si="34"/>
        <v>-70</v>
      </c>
      <c r="H1930" s="49" t="s">
        <v>1404</v>
      </c>
    </row>
    <row r="1931" spans="1:8" x14ac:dyDescent="0.2">
      <c r="A1931" s="594">
        <v>42674</v>
      </c>
      <c r="B1931" s="41" t="s">
        <v>16</v>
      </c>
      <c r="C1931" s="41" t="s">
        <v>103</v>
      </c>
      <c r="D1931" s="108" t="s">
        <v>1666</v>
      </c>
      <c r="E1931" s="58">
        <v>80</v>
      </c>
      <c r="F1931" s="58"/>
      <c r="G1931" s="58">
        <f t="shared" si="34"/>
        <v>-80</v>
      </c>
      <c r="H1931" s="49" t="s">
        <v>1404</v>
      </c>
    </row>
    <row r="1932" spans="1:8" x14ac:dyDescent="0.2">
      <c r="A1932" s="594">
        <v>42674</v>
      </c>
      <c r="B1932" s="41" t="s">
        <v>16</v>
      </c>
      <c r="C1932" s="41" t="s">
        <v>103</v>
      </c>
      <c r="D1932" s="108" t="s">
        <v>1665</v>
      </c>
      <c r="E1932" s="58">
        <v>350</v>
      </c>
      <c r="F1932" s="58"/>
      <c r="G1932" s="58">
        <f t="shared" si="34"/>
        <v>-350</v>
      </c>
      <c r="H1932" s="49" t="s">
        <v>1404</v>
      </c>
    </row>
    <row r="1933" spans="1:8" x14ac:dyDescent="0.2">
      <c r="A1933" s="594">
        <v>42674</v>
      </c>
      <c r="B1933" s="41" t="s">
        <v>16</v>
      </c>
      <c r="C1933" s="41" t="s">
        <v>103</v>
      </c>
      <c r="D1933" s="108" t="s">
        <v>1659</v>
      </c>
      <c r="E1933" s="58">
        <v>895</v>
      </c>
      <c r="F1933" s="58"/>
      <c r="G1933" s="58">
        <f t="shared" si="34"/>
        <v>-895</v>
      </c>
      <c r="H1933" s="49" t="s">
        <v>1404</v>
      </c>
    </row>
    <row r="1934" spans="1:8" x14ac:dyDescent="0.2">
      <c r="A1934" s="598">
        <v>42648</v>
      </c>
      <c r="B1934" s="59" t="s">
        <v>40</v>
      </c>
      <c r="C1934" s="59" t="s">
        <v>752</v>
      </c>
      <c r="D1934" s="103" t="s">
        <v>1403</v>
      </c>
      <c r="E1934" s="60">
        <v>30000</v>
      </c>
      <c r="F1934" s="60"/>
      <c r="G1934" s="60">
        <f t="shared" si="34"/>
        <v>-30000</v>
      </c>
      <c r="H1934" s="90" t="s">
        <v>1404</v>
      </c>
    </row>
    <row r="1935" spans="1:8" ht="36" x14ac:dyDescent="0.2">
      <c r="A1935" s="598">
        <v>42648</v>
      </c>
      <c r="B1935" s="59" t="s">
        <v>40</v>
      </c>
      <c r="C1935" s="59" t="s">
        <v>555</v>
      </c>
      <c r="D1935" s="104" t="s">
        <v>1405</v>
      </c>
      <c r="E1935" s="60">
        <v>1000000</v>
      </c>
      <c r="F1935" s="60"/>
      <c r="G1935" s="60">
        <f t="shared" si="34"/>
        <v>-1000000</v>
      </c>
      <c r="H1935" s="77" t="s">
        <v>1404</v>
      </c>
    </row>
    <row r="1936" spans="1:8" x14ac:dyDescent="0.2">
      <c r="A1936" s="598">
        <v>42656</v>
      </c>
      <c r="B1936" s="59" t="s">
        <v>1493</v>
      </c>
      <c r="C1936" s="59" t="s">
        <v>1501</v>
      </c>
      <c r="D1936" s="103" t="s">
        <v>1502</v>
      </c>
      <c r="E1936" s="60">
        <v>24500</v>
      </c>
      <c r="F1936" s="60"/>
      <c r="G1936" s="60">
        <f t="shared" si="34"/>
        <v>-24500</v>
      </c>
      <c r="H1936" s="77" t="s">
        <v>1404</v>
      </c>
    </row>
    <row r="1937" spans="1:8" x14ac:dyDescent="0.2">
      <c r="A1937" s="598">
        <v>42657</v>
      </c>
      <c r="B1937" s="59" t="s">
        <v>40</v>
      </c>
      <c r="C1937" s="59" t="s">
        <v>929</v>
      </c>
      <c r="D1937" s="104" t="s">
        <v>1503</v>
      </c>
      <c r="E1937" s="60">
        <v>40000</v>
      </c>
      <c r="F1937" s="60"/>
      <c r="G1937" s="60">
        <f t="shared" si="34"/>
        <v>-40000</v>
      </c>
      <c r="H1937" s="77" t="s">
        <v>1404</v>
      </c>
    </row>
    <row r="1938" spans="1:8" x14ac:dyDescent="0.2">
      <c r="A1938" s="598" t="s">
        <v>1401</v>
      </c>
      <c r="B1938" s="59" t="s">
        <v>40</v>
      </c>
      <c r="C1938" s="59" t="s">
        <v>573</v>
      </c>
      <c r="D1938" s="103" t="s">
        <v>1505</v>
      </c>
      <c r="E1938" s="60">
        <v>127000</v>
      </c>
      <c r="F1938" s="60"/>
      <c r="G1938" s="60">
        <f t="shared" si="34"/>
        <v>-127000</v>
      </c>
      <c r="H1938" s="77" t="s">
        <v>1404</v>
      </c>
    </row>
    <row r="1939" spans="1:8" x14ac:dyDescent="0.2">
      <c r="A1939" s="598">
        <v>42661</v>
      </c>
      <c r="B1939" s="59" t="s">
        <v>37</v>
      </c>
      <c r="C1939" s="59" t="s">
        <v>1511</v>
      </c>
      <c r="D1939" s="103" t="s">
        <v>1512</v>
      </c>
      <c r="E1939" s="60">
        <v>38000</v>
      </c>
      <c r="F1939" s="60"/>
      <c r="G1939" s="60">
        <f t="shared" si="34"/>
        <v>-38000</v>
      </c>
      <c r="H1939" s="77" t="s">
        <v>1404</v>
      </c>
    </row>
    <row r="1940" spans="1:8" x14ac:dyDescent="0.2">
      <c r="A1940" s="598">
        <v>42661</v>
      </c>
      <c r="B1940" s="59" t="s">
        <v>40</v>
      </c>
      <c r="C1940" s="59" t="s">
        <v>1339</v>
      </c>
      <c r="D1940" s="104" t="s">
        <v>1515</v>
      </c>
      <c r="E1940" s="60">
        <v>54000</v>
      </c>
      <c r="F1940" s="60"/>
      <c r="G1940" s="60">
        <f t="shared" si="34"/>
        <v>-54000</v>
      </c>
      <c r="H1940" s="77" t="s">
        <v>1404</v>
      </c>
    </row>
    <row r="1941" spans="1:8" x14ac:dyDescent="0.2">
      <c r="A1941" s="598">
        <v>42663</v>
      </c>
      <c r="B1941" s="59" t="s">
        <v>40</v>
      </c>
      <c r="C1941" s="59" t="s">
        <v>1513</v>
      </c>
      <c r="D1941" s="103" t="s">
        <v>1514</v>
      </c>
      <c r="E1941" s="60">
        <v>23100</v>
      </c>
      <c r="F1941" s="60"/>
      <c r="G1941" s="60">
        <f t="shared" si="34"/>
        <v>-23100</v>
      </c>
      <c r="H1941" s="77" t="s">
        <v>1404</v>
      </c>
    </row>
    <row r="1942" spans="1:8" x14ac:dyDescent="0.2">
      <c r="A1942" s="598">
        <v>42664</v>
      </c>
      <c r="B1942" s="59" t="s">
        <v>14</v>
      </c>
      <c r="C1942" s="59" t="s">
        <v>1517</v>
      </c>
      <c r="D1942" s="103" t="s">
        <v>1516</v>
      </c>
      <c r="E1942" s="60">
        <v>25000</v>
      </c>
      <c r="F1942" s="60"/>
      <c r="G1942" s="60">
        <f t="shared" si="34"/>
        <v>-25000</v>
      </c>
      <c r="H1942" s="77" t="s">
        <v>1404</v>
      </c>
    </row>
    <row r="1943" spans="1:8" x14ac:dyDescent="0.2">
      <c r="A1943" s="598">
        <v>42665</v>
      </c>
      <c r="B1943" s="59" t="s">
        <v>40</v>
      </c>
      <c r="C1943" s="59" t="s">
        <v>540</v>
      </c>
      <c r="D1943" s="103" t="s">
        <v>1518</v>
      </c>
      <c r="E1943" s="60">
        <v>100000</v>
      </c>
      <c r="F1943" s="60"/>
      <c r="G1943" s="60">
        <f t="shared" si="34"/>
        <v>-100000</v>
      </c>
      <c r="H1943" s="77" t="s">
        <v>1404</v>
      </c>
    </row>
    <row r="1944" spans="1:8" x14ac:dyDescent="0.2">
      <c r="A1944" s="598">
        <v>42665</v>
      </c>
      <c r="B1944" s="59" t="s">
        <v>40</v>
      </c>
      <c r="C1944" s="59" t="s">
        <v>263</v>
      </c>
      <c r="D1944" s="103" t="s">
        <v>1537</v>
      </c>
      <c r="E1944" s="60">
        <v>100000</v>
      </c>
      <c r="F1944" s="60"/>
      <c r="G1944" s="60">
        <f t="shared" si="34"/>
        <v>-100000</v>
      </c>
      <c r="H1944" s="77" t="s">
        <v>1404</v>
      </c>
    </row>
    <row r="1945" spans="1:8" x14ac:dyDescent="0.2">
      <c r="A1945" s="598">
        <v>42665</v>
      </c>
      <c r="B1945" s="59" t="s">
        <v>154</v>
      </c>
      <c r="C1945" s="59" t="s">
        <v>263</v>
      </c>
      <c r="D1945" s="103" t="s">
        <v>1537</v>
      </c>
      <c r="E1945" s="60">
        <v>75000</v>
      </c>
      <c r="F1945" s="60"/>
      <c r="G1945" s="60">
        <f t="shared" si="34"/>
        <v>-75000</v>
      </c>
      <c r="H1945" s="77" t="s">
        <v>1404</v>
      </c>
    </row>
    <row r="1946" spans="1:8" x14ac:dyDescent="0.2">
      <c r="A1946" s="598">
        <v>42665</v>
      </c>
      <c r="B1946" s="59" t="s">
        <v>154</v>
      </c>
      <c r="C1946" s="59" t="s">
        <v>1519</v>
      </c>
      <c r="D1946" s="103" t="s">
        <v>1520</v>
      </c>
      <c r="E1946" s="60">
        <v>150000</v>
      </c>
      <c r="F1946" s="60"/>
      <c r="G1946" s="60">
        <f t="shared" si="34"/>
        <v>-150000</v>
      </c>
      <c r="H1946" s="77" t="s">
        <v>1404</v>
      </c>
    </row>
    <row r="1947" spans="1:8" x14ac:dyDescent="0.2">
      <c r="A1947" s="598">
        <v>42669</v>
      </c>
      <c r="B1947" s="59" t="s">
        <v>40</v>
      </c>
      <c r="C1947" s="59" t="s">
        <v>705</v>
      </c>
      <c r="D1947" s="103" t="s">
        <v>1523</v>
      </c>
      <c r="E1947" s="60">
        <v>27261</v>
      </c>
      <c r="F1947" s="60"/>
      <c r="G1947" s="60">
        <f t="shared" si="34"/>
        <v>-27261</v>
      </c>
      <c r="H1947" s="77" t="s">
        <v>1404</v>
      </c>
    </row>
    <row r="1948" spans="1:8" x14ac:dyDescent="0.2">
      <c r="A1948" s="598">
        <v>42670</v>
      </c>
      <c r="B1948" s="59" t="s">
        <v>40</v>
      </c>
      <c r="C1948" s="59" t="s">
        <v>1388</v>
      </c>
      <c r="D1948" s="103" t="s">
        <v>1525</v>
      </c>
      <c r="E1948" s="60">
        <v>30445</v>
      </c>
      <c r="F1948" s="60"/>
      <c r="G1948" s="60">
        <f t="shared" si="34"/>
        <v>-30445</v>
      </c>
      <c r="H1948" s="77" t="s">
        <v>1404</v>
      </c>
    </row>
    <row r="1949" spans="1:8" x14ac:dyDescent="0.2">
      <c r="A1949" s="598">
        <v>42671</v>
      </c>
      <c r="B1949" s="59" t="s">
        <v>1493</v>
      </c>
      <c r="C1949" s="59" t="s">
        <v>1526</v>
      </c>
      <c r="D1949" s="103" t="s">
        <v>1527</v>
      </c>
      <c r="E1949" s="60">
        <v>245000</v>
      </c>
      <c r="F1949" s="60"/>
      <c r="G1949" s="60">
        <f t="shared" si="34"/>
        <v>-245000</v>
      </c>
      <c r="H1949" s="77" t="s">
        <v>1404</v>
      </c>
    </row>
    <row r="1950" spans="1:8" x14ac:dyDescent="0.2">
      <c r="A1950" s="598">
        <v>42672</v>
      </c>
      <c r="B1950" s="59" t="s">
        <v>40</v>
      </c>
      <c r="C1950" s="59" t="s">
        <v>1529</v>
      </c>
      <c r="D1950" s="103" t="s">
        <v>1533</v>
      </c>
      <c r="E1950" s="60">
        <v>100000</v>
      </c>
      <c r="F1950" s="60"/>
      <c r="G1950" s="60">
        <f t="shared" si="34"/>
        <v>-100000</v>
      </c>
      <c r="H1950" s="77" t="s">
        <v>1404</v>
      </c>
    </row>
    <row r="1951" spans="1:8" x14ac:dyDescent="0.2">
      <c r="A1951" s="598">
        <v>42674</v>
      </c>
      <c r="B1951" s="59" t="s">
        <v>16</v>
      </c>
      <c r="C1951" s="59" t="s">
        <v>1689</v>
      </c>
      <c r="D1951" s="103" t="s">
        <v>1534</v>
      </c>
      <c r="E1951" s="60">
        <v>28712</v>
      </c>
      <c r="F1951" s="60"/>
      <c r="G1951" s="60">
        <f t="shared" si="34"/>
        <v>-28712</v>
      </c>
      <c r="H1951" s="77" t="s">
        <v>1404</v>
      </c>
    </row>
    <row r="1952" spans="1:8" x14ac:dyDescent="0.2">
      <c r="A1952" s="598">
        <v>42674</v>
      </c>
      <c r="B1952" s="59" t="s">
        <v>25</v>
      </c>
      <c r="C1952" s="59" t="s">
        <v>1689</v>
      </c>
      <c r="D1952" s="103" t="s">
        <v>1534</v>
      </c>
      <c r="E1952" s="60">
        <v>28317</v>
      </c>
      <c r="F1952" s="60"/>
      <c r="G1952" s="60">
        <f t="shared" si="34"/>
        <v>-28317</v>
      </c>
      <c r="H1952" s="77" t="s">
        <v>1404</v>
      </c>
    </row>
    <row r="1953" spans="1:8" x14ac:dyDescent="0.2">
      <c r="A1953" s="599">
        <v>42661</v>
      </c>
      <c r="B1953" s="91" t="s">
        <v>37</v>
      </c>
      <c r="C1953" s="41" t="s">
        <v>37</v>
      </c>
      <c r="D1953" s="798" t="s">
        <v>1510</v>
      </c>
      <c r="E1953" s="92"/>
      <c r="F1953" s="92">
        <v>314280</v>
      </c>
      <c r="G1953" s="92">
        <f t="shared" si="34"/>
        <v>314280</v>
      </c>
      <c r="H1953" s="93" t="s">
        <v>1404</v>
      </c>
    </row>
    <row r="1954" spans="1:8" x14ac:dyDescent="0.2">
      <c r="A1954" s="599">
        <v>42665</v>
      </c>
      <c r="B1954" s="91" t="s">
        <v>14</v>
      </c>
      <c r="C1954" s="41" t="s">
        <v>14</v>
      </c>
      <c r="D1954" s="798" t="s">
        <v>1530</v>
      </c>
      <c r="E1954" s="92"/>
      <c r="F1954" s="92">
        <v>225000</v>
      </c>
      <c r="G1954" s="92">
        <f t="shared" si="34"/>
        <v>225000</v>
      </c>
      <c r="H1954" s="93" t="s">
        <v>1404</v>
      </c>
    </row>
    <row r="1955" spans="1:8" ht="12.75" customHeight="1" x14ac:dyDescent="0.2">
      <c r="A1955" s="599">
        <v>42674</v>
      </c>
      <c r="B1955" s="91" t="s">
        <v>1400</v>
      </c>
      <c r="C1955" s="41" t="s">
        <v>1400</v>
      </c>
      <c r="D1955" s="798" t="s">
        <v>1394</v>
      </c>
      <c r="E1955" s="92"/>
      <c r="F1955" s="92">
        <v>1500000</v>
      </c>
      <c r="G1955" s="92">
        <f t="shared" si="34"/>
        <v>1500000</v>
      </c>
      <c r="H1955" s="93" t="s">
        <v>1404</v>
      </c>
    </row>
    <row r="1956" spans="1:8" x14ac:dyDescent="0.2">
      <c r="A1956" s="597">
        <v>42679</v>
      </c>
      <c r="B1956" s="41" t="s">
        <v>40</v>
      </c>
      <c r="C1956" s="41" t="s">
        <v>1230</v>
      </c>
      <c r="D1956" s="129" t="s">
        <v>939</v>
      </c>
      <c r="E1956" s="58">
        <v>50000</v>
      </c>
      <c r="F1956" s="58"/>
      <c r="G1956" s="58">
        <f t="shared" si="34"/>
        <v>-50000</v>
      </c>
      <c r="H1956" s="95" t="s">
        <v>1577</v>
      </c>
    </row>
    <row r="1957" spans="1:8" x14ac:dyDescent="0.2">
      <c r="A1957" s="597">
        <v>42679</v>
      </c>
      <c r="B1957" s="41" t="s">
        <v>16</v>
      </c>
      <c r="C1957" s="41" t="s">
        <v>1230</v>
      </c>
      <c r="D1957" s="129" t="s">
        <v>1544</v>
      </c>
      <c r="E1957" s="58">
        <v>2500</v>
      </c>
      <c r="F1957" s="58"/>
      <c r="G1957" s="58">
        <f t="shared" si="34"/>
        <v>-2500</v>
      </c>
      <c r="H1957" s="95" t="s">
        <v>1577</v>
      </c>
    </row>
    <row r="1958" spans="1:8" x14ac:dyDescent="0.2">
      <c r="A1958" s="597">
        <v>42679</v>
      </c>
      <c r="B1958" s="41" t="s">
        <v>25</v>
      </c>
      <c r="C1958" s="41" t="s">
        <v>1230</v>
      </c>
      <c r="D1958" s="129" t="s">
        <v>1545</v>
      </c>
      <c r="E1958" s="58">
        <v>5000</v>
      </c>
      <c r="F1958" s="58"/>
      <c r="G1958" s="58">
        <f t="shared" si="34"/>
        <v>-5000</v>
      </c>
      <c r="H1958" s="95" t="s">
        <v>1577</v>
      </c>
    </row>
    <row r="1959" spans="1:8" x14ac:dyDescent="0.2">
      <c r="A1959" s="597">
        <v>42679</v>
      </c>
      <c r="B1959" s="41" t="s">
        <v>25</v>
      </c>
      <c r="C1959" s="41" t="s">
        <v>1230</v>
      </c>
      <c r="D1959" s="129" t="s">
        <v>1546</v>
      </c>
      <c r="E1959" s="58">
        <v>4000</v>
      </c>
      <c r="F1959" s="58"/>
      <c r="G1959" s="58">
        <f t="shared" si="34"/>
        <v>-4000</v>
      </c>
      <c r="H1959" s="95" t="s">
        <v>1577</v>
      </c>
    </row>
    <row r="1960" spans="1:8" x14ac:dyDescent="0.2">
      <c r="A1960" s="597">
        <v>42679</v>
      </c>
      <c r="B1960" s="41" t="s">
        <v>25</v>
      </c>
      <c r="C1960" s="41" t="s">
        <v>1230</v>
      </c>
      <c r="D1960" s="129" t="s">
        <v>1547</v>
      </c>
      <c r="E1960" s="58">
        <v>9000</v>
      </c>
      <c r="F1960" s="58"/>
      <c r="G1960" s="58">
        <f t="shared" si="34"/>
        <v>-9000</v>
      </c>
      <c r="H1960" s="95" t="s">
        <v>1577</v>
      </c>
    </row>
    <row r="1961" spans="1:8" x14ac:dyDescent="0.2">
      <c r="A1961" s="597">
        <v>42679</v>
      </c>
      <c r="B1961" s="41" t="s">
        <v>1493</v>
      </c>
      <c r="C1961" s="41" t="s">
        <v>1230</v>
      </c>
      <c r="D1961" s="129" t="s">
        <v>1683</v>
      </c>
      <c r="E1961" s="58">
        <v>10000</v>
      </c>
      <c r="F1961" s="58"/>
      <c r="G1961" s="58">
        <f t="shared" si="34"/>
        <v>-10000</v>
      </c>
      <c r="H1961" s="95" t="s">
        <v>1577</v>
      </c>
    </row>
    <row r="1962" spans="1:8" x14ac:dyDescent="0.2">
      <c r="A1962" s="597">
        <v>42679</v>
      </c>
      <c r="B1962" s="41" t="s">
        <v>1400</v>
      </c>
      <c r="C1962" s="41" t="s">
        <v>1230</v>
      </c>
      <c r="D1962" s="129" t="s">
        <v>1684</v>
      </c>
      <c r="E1962" s="58">
        <v>12500</v>
      </c>
      <c r="F1962" s="58"/>
      <c r="G1962" s="58">
        <f t="shared" si="34"/>
        <v>-12500</v>
      </c>
      <c r="H1962" s="95" t="s">
        <v>1577</v>
      </c>
    </row>
    <row r="1963" spans="1:8" x14ac:dyDescent="0.2">
      <c r="A1963" s="597">
        <v>42679</v>
      </c>
      <c r="B1963" s="41" t="s">
        <v>16</v>
      </c>
      <c r="C1963" s="41" t="s">
        <v>1230</v>
      </c>
      <c r="D1963" s="129" t="s">
        <v>199</v>
      </c>
      <c r="E1963" s="58">
        <v>20000</v>
      </c>
      <c r="F1963" s="58"/>
      <c r="G1963" s="58">
        <f t="shared" si="34"/>
        <v>-20000</v>
      </c>
      <c r="H1963" s="95" t="s">
        <v>1577</v>
      </c>
    </row>
    <row r="1964" spans="1:8" x14ac:dyDescent="0.2">
      <c r="A1964" s="597">
        <v>42679</v>
      </c>
      <c r="B1964" s="41" t="s">
        <v>16</v>
      </c>
      <c r="C1964" s="41" t="s">
        <v>1230</v>
      </c>
      <c r="D1964" s="129" t="s">
        <v>1548</v>
      </c>
      <c r="E1964" s="58">
        <v>14000</v>
      </c>
      <c r="F1964" s="58"/>
      <c r="G1964" s="58">
        <f t="shared" si="34"/>
        <v>-14000</v>
      </c>
      <c r="H1964" s="95" t="s">
        <v>1577</v>
      </c>
    </row>
    <row r="1965" spans="1:8" x14ac:dyDescent="0.2">
      <c r="A1965" s="597">
        <v>42679</v>
      </c>
      <c r="B1965" s="41" t="s">
        <v>16</v>
      </c>
      <c r="C1965" s="41" t="s">
        <v>1230</v>
      </c>
      <c r="D1965" s="129" t="s">
        <v>1549</v>
      </c>
      <c r="E1965" s="58">
        <v>22112.903225806451</v>
      </c>
      <c r="F1965" s="58"/>
      <c r="G1965" s="58">
        <f t="shared" si="34"/>
        <v>-22112.903225806451</v>
      </c>
      <c r="H1965" s="95" t="s">
        <v>1577</v>
      </c>
    </row>
    <row r="1966" spans="1:8" x14ac:dyDescent="0.2">
      <c r="A1966" s="597">
        <v>42679</v>
      </c>
      <c r="B1966" s="41" t="s">
        <v>1400</v>
      </c>
      <c r="C1966" s="41" t="s">
        <v>1230</v>
      </c>
      <c r="D1966" s="129" t="s">
        <v>1550</v>
      </c>
      <c r="E1966" s="58">
        <v>19451.612903225807</v>
      </c>
      <c r="F1966" s="58"/>
      <c r="G1966" s="58">
        <f t="shared" si="34"/>
        <v>-19451.612903225807</v>
      </c>
      <c r="H1966" s="95" t="s">
        <v>1577</v>
      </c>
    </row>
    <row r="1967" spans="1:8" x14ac:dyDescent="0.2">
      <c r="A1967" s="597">
        <v>42679</v>
      </c>
      <c r="B1967" s="41" t="s">
        <v>16</v>
      </c>
      <c r="C1967" s="41" t="s">
        <v>1230</v>
      </c>
      <c r="D1967" s="129" t="s">
        <v>1552</v>
      </c>
      <c r="E1967" s="58">
        <v>9000</v>
      </c>
      <c r="F1967" s="58"/>
      <c r="G1967" s="58">
        <f t="shared" si="34"/>
        <v>-9000</v>
      </c>
      <c r="H1967" s="95" t="s">
        <v>1577</v>
      </c>
    </row>
    <row r="1968" spans="1:8" x14ac:dyDescent="0.2">
      <c r="A1968" s="597">
        <v>42679</v>
      </c>
      <c r="B1968" s="41" t="s">
        <v>40</v>
      </c>
      <c r="C1968" s="41" t="s">
        <v>1230</v>
      </c>
      <c r="D1968" s="129" t="s">
        <v>80</v>
      </c>
      <c r="E1968" s="58">
        <v>30000</v>
      </c>
      <c r="F1968" s="58"/>
      <c r="G1968" s="58">
        <f t="shared" si="34"/>
        <v>-30000</v>
      </c>
      <c r="H1968" s="95" t="s">
        <v>1577</v>
      </c>
    </row>
    <row r="1969" spans="1:8" x14ac:dyDescent="0.2">
      <c r="A1969" s="597">
        <v>42679</v>
      </c>
      <c r="B1969" s="41" t="s">
        <v>1400</v>
      </c>
      <c r="C1969" s="41" t="s">
        <v>1230</v>
      </c>
      <c r="D1969" s="129" t="s">
        <v>1553</v>
      </c>
      <c r="E1969" s="58">
        <v>25000</v>
      </c>
      <c r="F1969" s="58"/>
      <c r="G1969" s="58">
        <f t="shared" si="34"/>
        <v>-25000</v>
      </c>
      <c r="H1969" s="95" t="s">
        <v>1577</v>
      </c>
    </row>
    <row r="1970" spans="1:8" x14ac:dyDescent="0.2">
      <c r="A1970" s="597">
        <v>42679</v>
      </c>
      <c r="B1970" s="41" t="s">
        <v>40</v>
      </c>
      <c r="C1970" s="41" t="s">
        <v>1230</v>
      </c>
      <c r="D1970" s="129" t="s">
        <v>1555</v>
      </c>
      <c r="E1970" s="58">
        <v>12717.741935483871</v>
      </c>
      <c r="F1970" s="58"/>
      <c r="G1970" s="58">
        <f t="shared" si="34"/>
        <v>-12717.741935483871</v>
      </c>
      <c r="H1970" s="95" t="s">
        <v>1577</v>
      </c>
    </row>
    <row r="1971" spans="1:8" ht="12.75" customHeight="1" x14ac:dyDescent="0.2">
      <c r="A1971" s="597">
        <v>42679</v>
      </c>
      <c r="B1971" s="41" t="s">
        <v>40</v>
      </c>
      <c r="C1971" s="41" t="s">
        <v>1230</v>
      </c>
      <c r="D1971" s="129" t="s">
        <v>1557</v>
      </c>
      <c r="E1971" s="58">
        <v>8193.5483870967746</v>
      </c>
      <c r="F1971" s="58"/>
      <c r="G1971" s="58">
        <f t="shared" si="34"/>
        <v>-8193.5483870967746</v>
      </c>
      <c r="H1971" s="95" t="s">
        <v>1577</v>
      </c>
    </row>
    <row r="1972" spans="1:8" ht="12.75" customHeight="1" x14ac:dyDescent="0.2">
      <c r="A1972" s="597">
        <v>42679</v>
      </c>
      <c r="B1972" s="41" t="s">
        <v>40</v>
      </c>
      <c r="C1972" s="41" t="s">
        <v>1230</v>
      </c>
      <c r="D1972" s="129" t="s">
        <v>1559</v>
      </c>
      <c r="E1972" s="58">
        <v>13145.16129032258</v>
      </c>
      <c r="F1972" s="58"/>
      <c r="G1972" s="58">
        <f t="shared" si="34"/>
        <v>-13145.16129032258</v>
      </c>
      <c r="H1972" s="95" t="s">
        <v>1577</v>
      </c>
    </row>
    <row r="1973" spans="1:8" ht="12.75" customHeight="1" x14ac:dyDescent="0.2">
      <c r="A1973" s="597">
        <v>42679</v>
      </c>
      <c r="B1973" s="41" t="s">
        <v>40</v>
      </c>
      <c r="C1973" s="41" t="s">
        <v>1230</v>
      </c>
      <c r="D1973" s="129" t="s">
        <v>1560</v>
      </c>
      <c r="E1973" s="58">
        <v>10806.451612903227</v>
      </c>
      <c r="F1973" s="58"/>
      <c r="G1973" s="58">
        <f t="shared" si="34"/>
        <v>-10806.451612903227</v>
      </c>
      <c r="H1973" s="95" t="s">
        <v>1577</v>
      </c>
    </row>
    <row r="1974" spans="1:8" ht="12.75" customHeight="1" x14ac:dyDescent="0.2">
      <c r="A1974" s="597">
        <v>42679</v>
      </c>
      <c r="B1974" s="41" t="s">
        <v>40</v>
      </c>
      <c r="C1974" s="41" t="s">
        <v>1230</v>
      </c>
      <c r="D1974" s="129" t="s">
        <v>1561</v>
      </c>
      <c r="E1974" s="58">
        <v>9600</v>
      </c>
      <c r="F1974" s="58"/>
      <c r="G1974" s="58">
        <f t="shared" si="34"/>
        <v>-9600</v>
      </c>
      <c r="H1974" s="95" t="s">
        <v>1577</v>
      </c>
    </row>
    <row r="1975" spans="1:8" ht="12.75" customHeight="1" x14ac:dyDescent="0.2">
      <c r="A1975" s="597">
        <v>42679</v>
      </c>
      <c r="B1975" s="41" t="s">
        <v>40</v>
      </c>
      <c r="C1975" s="41" t="s">
        <v>1230</v>
      </c>
      <c r="D1975" s="129" t="s">
        <v>1562</v>
      </c>
      <c r="E1975" s="58">
        <v>15104.83870967742</v>
      </c>
      <c r="F1975" s="58"/>
      <c r="G1975" s="58">
        <f t="shared" si="34"/>
        <v>-15104.83870967742</v>
      </c>
      <c r="H1975" s="95" t="s">
        <v>1577</v>
      </c>
    </row>
    <row r="1976" spans="1:8" x14ac:dyDescent="0.2">
      <c r="A1976" s="597">
        <v>42679</v>
      </c>
      <c r="B1976" s="41" t="s">
        <v>40</v>
      </c>
      <c r="C1976" s="41" t="s">
        <v>1230</v>
      </c>
      <c r="D1976" s="129" t="s">
        <v>1563</v>
      </c>
      <c r="E1976" s="58">
        <v>9911.7741935483864</v>
      </c>
      <c r="F1976" s="58"/>
      <c r="G1976" s="58">
        <f t="shared" si="34"/>
        <v>-9911.7741935483864</v>
      </c>
      <c r="H1976" s="95" t="s">
        <v>1577</v>
      </c>
    </row>
    <row r="1977" spans="1:8" x14ac:dyDescent="0.2">
      <c r="A1977" s="597">
        <v>42679</v>
      </c>
      <c r="B1977" s="41" t="s">
        <v>40</v>
      </c>
      <c r="C1977" s="41" t="s">
        <v>1230</v>
      </c>
      <c r="D1977" s="129" t="s">
        <v>1566</v>
      </c>
      <c r="E1977" s="58">
        <v>13645.16129032258</v>
      </c>
      <c r="F1977" s="58"/>
      <c r="G1977" s="58">
        <f t="shared" si="34"/>
        <v>-13645.16129032258</v>
      </c>
      <c r="H1977" s="95" t="s">
        <v>1577</v>
      </c>
    </row>
    <row r="1978" spans="1:8" x14ac:dyDescent="0.2">
      <c r="A1978" s="597">
        <v>42679</v>
      </c>
      <c r="B1978" s="41" t="s">
        <v>1493</v>
      </c>
      <c r="C1978" s="41" t="s">
        <v>1230</v>
      </c>
      <c r="D1978" s="129" t="s">
        <v>1567</v>
      </c>
      <c r="E1978" s="58">
        <v>22750</v>
      </c>
      <c r="F1978" s="58"/>
      <c r="G1978" s="58">
        <f t="shared" si="34"/>
        <v>-22750</v>
      </c>
      <c r="H1978" s="95" t="s">
        <v>1577</v>
      </c>
    </row>
    <row r="1979" spans="1:8" x14ac:dyDescent="0.2">
      <c r="A1979" s="597">
        <v>42679</v>
      </c>
      <c r="B1979" s="41" t="s">
        <v>1493</v>
      </c>
      <c r="C1979" s="41" t="s">
        <v>1230</v>
      </c>
      <c r="D1979" s="129" t="s">
        <v>1568</v>
      </c>
      <c r="E1979" s="58">
        <v>26407.258064516129</v>
      </c>
      <c r="F1979" s="58"/>
      <c r="G1979" s="58">
        <f t="shared" si="34"/>
        <v>-26407.258064516129</v>
      </c>
      <c r="H1979" s="95" t="s">
        <v>1577</v>
      </c>
    </row>
    <row r="1980" spans="1:8" x14ac:dyDescent="0.2">
      <c r="A1980" s="597">
        <v>42679</v>
      </c>
      <c r="B1980" s="41" t="s">
        <v>1493</v>
      </c>
      <c r="C1980" s="41" t="s">
        <v>1230</v>
      </c>
      <c r="D1980" s="129" t="s">
        <v>1569</v>
      </c>
      <c r="E1980" s="58">
        <v>11000</v>
      </c>
      <c r="F1980" s="58"/>
      <c r="G1980" s="58">
        <f t="shared" si="34"/>
        <v>-11000</v>
      </c>
      <c r="H1980" s="95" t="s">
        <v>1577</v>
      </c>
    </row>
    <row r="1981" spans="1:8" x14ac:dyDescent="0.2">
      <c r="A1981" s="597">
        <v>42679</v>
      </c>
      <c r="B1981" s="41" t="s">
        <v>40</v>
      </c>
      <c r="C1981" s="41" t="s">
        <v>1230</v>
      </c>
      <c r="D1981" s="129" t="s">
        <v>1570</v>
      </c>
      <c r="E1981" s="58">
        <v>16616.935483870966</v>
      </c>
      <c r="F1981" s="58"/>
      <c r="G1981" s="58">
        <f t="shared" si="34"/>
        <v>-16616.935483870966</v>
      </c>
      <c r="H1981" s="95" t="s">
        <v>1577</v>
      </c>
    </row>
    <row r="1982" spans="1:8" x14ac:dyDescent="0.2">
      <c r="A1982" s="597">
        <v>42679</v>
      </c>
      <c r="B1982" s="41" t="s">
        <v>37</v>
      </c>
      <c r="C1982" s="41" t="s">
        <v>1230</v>
      </c>
      <c r="D1982" s="129" t="s">
        <v>1571</v>
      </c>
      <c r="E1982" s="58">
        <v>12104.838709677419</v>
      </c>
      <c r="F1982" s="58"/>
      <c r="G1982" s="58">
        <f t="shared" si="34"/>
        <v>-12104.838709677419</v>
      </c>
      <c r="H1982" s="95" t="s">
        <v>1577</v>
      </c>
    </row>
    <row r="1983" spans="1:8" x14ac:dyDescent="0.2">
      <c r="A1983" s="597">
        <v>42679</v>
      </c>
      <c r="B1983" s="41" t="s">
        <v>37</v>
      </c>
      <c r="C1983" s="41" t="s">
        <v>1230</v>
      </c>
      <c r="D1983" s="129" t="s">
        <v>1572</v>
      </c>
      <c r="E1983" s="58">
        <v>13512.096774193549</v>
      </c>
      <c r="F1983" s="58"/>
      <c r="G1983" s="58">
        <f t="shared" si="34"/>
        <v>-13512.096774193549</v>
      </c>
      <c r="H1983" s="95" t="s">
        <v>1577</v>
      </c>
    </row>
    <row r="1984" spans="1:8" x14ac:dyDescent="0.2">
      <c r="A1984" s="597">
        <v>42679</v>
      </c>
      <c r="B1984" s="41" t="s">
        <v>37</v>
      </c>
      <c r="C1984" s="41" t="s">
        <v>1230</v>
      </c>
      <c r="D1984" s="129" t="s">
        <v>1573</v>
      </c>
      <c r="E1984" s="58">
        <v>10197.58064516129</v>
      </c>
      <c r="F1984" s="58"/>
      <c r="G1984" s="58">
        <f t="shared" si="34"/>
        <v>-10197.58064516129</v>
      </c>
      <c r="H1984" s="95" t="s">
        <v>1577</v>
      </c>
    </row>
    <row r="1985" spans="1:8" x14ac:dyDescent="0.2">
      <c r="A1985" s="597">
        <v>42679</v>
      </c>
      <c r="B1985" s="41" t="s">
        <v>37</v>
      </c>
      <c r="C1985" s="41" t="s">
        <v>1230</v>
      </c>
      <c r="D1985" s="129" t="s">
        <v>1574</v>
      </c>
      <c r="E1985" s="58">
        <v>2500</v>
      </c>
      <c r="F1985" s="58"/>
      <c r="G1985" s="58">
        <f t="shared" si="34"/>
        <v>-2500</v>
      </c>
      <c r="H1985" s="95" t="s">
        <v>1577</v>
      </c>
    </row>
    <row r="1986" spans="1:8" ht="12.75" customHeight="1" x14ac:dyDescent="0.2">
      <c r="A1986" s="597">
        <v>42679</v>
      </c>
      <c r="B1986" s="41" t="s">
        <v>37</v>
      </c>
      <c r="C1986" s="41" t="s">
        <v>1230</v>
      </c>
      <c r="D1986" s="129" t="s">
        <v>1575</v>
      </c>
      <c r="E1986" s="58">
        <v>11491.935483870968</v>
      </c>
      <c r="F1986" s="58"/>
      <c r="G1986" s="58">
        <f t="shared" si="34"/>
        <v>-11491.935483870968</v>
      </c>
      <c r="H1986" s="95" t="s">
        <v>1577</v>
      </c>
    </row>
    <row r="1987" spans="1:8" ht="12.75" customHeight="1" x14ac:dyDescent="0.2">
      <c r="A1987" s="597">
        <v>42679</v>
      </c>
      <c r="B1987" s="41" t="s">
        <v>37</v>
      </c>
      <c r="C1987" s="41" t="s">
        <v>1230</v>
      </c>
      <c r="D1987" s="129" t="s">
        <v>1576</v>
      </c>
      <c r="E1987" s="58">
        <v>12629.032258064515</v>
      </c>
      <c r="F1987" s="58"/>
      <c r="G1987" s="58">
        <f t="shared" si="34"/>
        <v>-12629.032258064515</v>
      </c>
      <c r="H1987" s="95" t="s">
        <v>1577</v>
      </c>
    </row>
    <row r="1988" spans="1:8" ht="12.75" customHeight="1" x14ac:dyDescent="0.2">
      <c r="A1988" s="597">
        <v>42679</v>
      </c>
      <c r="B1988" s="41" t="s">
        <v>37</v>
      </c>
      <c r="C1988" s="41" t="s">
        <v>1230</v>
      </c>
      <c r="D1988" s="129" t="s">
        <v>1685</v>
      </c>
      <c r="E1988" s="58">
        <v>9012.0967741935492</v>
      </c>
      <c r="F1988" s="58"/>
      <c r="G1988" s="58">
        <f t="shared" si="34"/>
        <v>-9012.0967741935492</v>
      </c>
      <c r="H1988" s="95" t="s">
        <v>1577</v>
      </c>
    </row>
    <row r="1989" spans="1:8" x14ac:dyDescent="0.2">
      <c r="A1989" s="597">
        <v>42679</v>
      </c>
      <c r="B1989" s="41" t="s">
        <v>11</v>
      </c>
      <c r="C1989" s="41" t="s">
        <v>1230</v>
      </c>
      <c r="D1989" s="129" t="s">
        <v>1541</v>
      </c>
      <c r="E1989" s="58">
        <v>5000</v>
      </c>
      <c r="F1989" s="58"/>
      <c r="G1989" s="58">
        <f t="shared" si="34"/>
        <v>-5000</v>
      </c>
      <c r="H1989" s="95" t="s">
        <v>1577</v>
      </c>
    </row>
    <row r="1990" spans="1:8" x14ac:dyDescent="0.2">
      <c r="A1990" s="597">
        <v>42679</v>
      </c>
      <c r="B1990" s="41" t="s">
        <v>16</v>
      </c>
      <c r="C1990" s="41" t="s">
        <v>1167</v>
      </c>
      <c r="D1990" s="129" t="s">
        <v>1772</v>
      </c>
      <c r="E1990" s="58">
        <v>5000</v>
      </c>
      <c r="F1990" s="58"/>
      <c r="G1990" s="58">
        <f t="shared" si="34"/>
        <v>-5000</v>
      </c>
      <c r="H1990" s="95" t="s">
        <v>1577</v>
      </c>
    </row>
    <row r="1991" spans="1:8" x14ac:dyDescent="0.2">
      <c r="A1991" s="597">
        <v>42679</v>
      </c>
      <c r="B1991" s="41" t="s">
        <v>40</v>
      </c>
      <c r="C1991" s="41" t="s">
        <v>1167</v>
      </c>
      <c r="D1991" s="129" t="s">
        <v>1662</v>
      </c>
      <c r="E1991" s="58">
        <v>3000</v>
      </c>
      <c r="F1991" s="58"/>
      <c r="G1991" s="58">
        <f t="shared" si="34"/>
        <v>-3000</v>
      </c>
      <c r="H1991" s="95" t="s">
        <v>1577</v>
      </c>
    </row>
    <row r="1992" spans="1:8" x14ac:dyDescent="0.2">
      <c r="A1992" s="597">
        <v>42679</v>
      </c>
      <c r="B1992" s="41" t="s">
        <v>40</v>
      </c>
      <c r="C1992" s="41" t="s">
        <v>1167</v>
      </c>
      <c r="D1992" s="129" t="s">
        <v>1773</v>
      </c>
      <c r="E1992" s="58">
        <v>1000</v>
      </c>
      <c r="F1992" s="58"/>
      <c r="G1992" s="58">
        <f t="shared" si="34"/>
        <v>-1000</v>
      </c>
      <c r="H1992" s="95" t="s">
        <v>1577</v>
      </c>
    </row>
    <row r="1993" spans="1:8" x14ac:dyDescent="0.2">
      <c r="A1993" s="594">
        <v>42675</v>
      </c>
      <c r="B1993" s="41" t="s">
        <v>1493</v>
      </c>
      <c r="C1993" s="41" t="s">
        <v>220</v>
      </c>
      <c r="D1993" s="108" t="s">
        <v>583</v>
      </c>
      <c r="E1993" s="58">
        <v>2000</v>
      </c>
      <c r="F1993" s="58"/>
      <c r="G1993" s="58">
        <f t="shared" ref="G1993:G2056" si="35">F1993-E1993</f>
        <v>-2000</v>
      </c>
      <c r="H1993" s="95" t="s">
        <v>1577</v>
      </c>
    </row>
    <row r="1994" spans="1:8" x14ac:dyDescent="0.2">
      <c r="A1994" s="594">
        <v>42675</v>
      </c>
      <c r="B1994" s="41" t="s">
        <v>40</v>
      </c>
      <c r="C1994" s="41" t="s">
        <v>80</v>
      </c>
      <c r="D1994" s="108" t="s">
        <v>583</v>
      </c>
      <c r="E1994" s="58">
        <v>7200</v>
      </c>
      <c r="F1994" s="58"/>
      <c r="G1994" s="58">
        <f t="shared" si="35"/>
        <v>-7200</v>
      </c>
      <c r="H1994" s="95" t="s">
        <v>1577</v>
      </c>
    </row>
    <row r="1995" spans="1:8" x14ac:dyDescent="0.2">
      <c r="A1995" s="594">
        <v>42675</v>
      </c>
      <c r="B1995" s="41" t="s">
        <v>18</v>
      </c>
      <c r="C1995" s="41" t="s">
        <v>325</v>
      </c>
      <c r="D1995" s="108" t="s">
        <v>1696</v>
      </c>
      <c r="E1995" s="58">
        <v>4470</v>
      </c>
      <c r="F1995" s="58"/>
      <c r="G1995" s="58">
        <f t="shared" si="35"/>
        <v>-4470</v>
      </c>
      <c r="H1995" s="95" t="s">
        <v>1577</v>
      </c>
    </row>
    <row r="1996" spans="1:8" x14ac:dyDescent="0.2">
      <c r="A1996" s="594">
        <v>42675</v>
      </c>
      <c r="B1996" s="41" t="s">
        <v>1493</v>
      </c>
      <c r="C1996" s="41" t="s">
        <v>220</v>
      </c>
      <c r="D1996" s="108" t="s">
        <v>998</v>
      </c>
      <c r="E1996" s="58">
        <v>650</v>
      </c>
      <c r="F1996" s="58"/>
      <c r="G1996" s="58">
        <f t="shared" si="35"/>
        <v>-650</v>
      </c>
      <c r="H1996" s="95" t="s">
        <v>1577</v>
      </c>
    </row>
    <row r="1997" spans="1:8" x14ac:dyDescent="0.2">
      <c r="A1997" s="594">
        <v>42676</v>
      </c>
      <c r="B1997" s="41" t="s">
        <v>40</v>
      </c>
      <c r="C1997" s="41" t="s">
        <v>146</v>
      </c>
      <c r="D1997" s="108" t="s">
        <v>801</v>
      </c>
      <c r="E1997" s="58">
        <v>125</v>
      </c>
      <c r="F1997" s="58"/>
      <c r="G1997" s="58">
        <f t="shared" si="35"/>
        <v>-125</v>
      </c>
      <c r="H1997" s="95" t="s">
        <v>1577</v>
      </c>
    </row>
    <row r="1998" spans="1:8" ht="12.75" customHeight="1" x14ac:dyDescent="0.2">
      <c r="A1998" s="594">
        <v>42676</v>
      </c>
      <c r="B1998" s="41" t="s">
        <v>1400</v>
      </c>
      <c r="C1998" s="41" t="s">
        <v>1897</v>
      </c>
      <c r="D1998" s="108" t="s">
        <v>1697</v>
      </c>
      <c r="E1998" s="58">
        <v>100</v>
      </c>
      <c r="F1998" s="58"/>
      <c r="G1998" s="58">
        <f t="shared" si="35"/>
        <v>-100</v>
      </c>
      <c r="H1998" s="95" t="s">
        <v>1577</v>
      </c>
    </row>
    <row r="1999" spans="1:8" ht="12.75" customHeight="1" x14ac:dyDescent="0.2">
      <c r="A1999" s="594">
        <v>42676</v>
      </c>
      <c r="B1999" s="41" t="s">
        <v>40</v>
      </c>
      <c r="C1999" s="41" t="s">
        <v>1419</v>
      </c>
      <c r="D1999" s="108" t="s">
        <v>1698</v>
      </c>
      <c r="E1999" s="58">
        <v>1400</v>
      </c>
      <c r="F1999" s="58"/>
      <c r="G1999" s="58">
        <f t="shared" si="35"/>
        <v>-1400</v>
      </c>
      <c r="H1999" s="95" t="s">
        <v>1577</v>
      </c>
    </row>
    <row r="2000" spans="1:8" ht="12.75" customHeight="1" x14ac:dyDescent="0.2">
      <c r="A2000" s="594">
        <v>42676</v>
      </c>
      <c r="B2000" s="41" t="s">
        <v>1400</v>
      </c>
      <c r="C2000" s="41" t="s">
        <v>64</v>
      </c>
      <c r="D2000" s="108" t="s">
        <v>286</v>
      </c>
      <c r="E2000" s="58">
        <v>500</v>
      </c>
      <c r="F2000" s="58"/>
      <c r="G2000" s="58">
        <f t="shared" si="35"/>
        <v>-500</v>
      </c>
      <c r="H2000" s="95" t="s">
        <v>1577</v>
      </c>
    </row>
    <row r="2001" spans="1:8" ht="12.75" customHeight="1" x14ac:dyDescent="0.2">
      <c r="A2001" s="594">
        <v>42677</v>
      </c>
      <c r="B2001" s="41" t="s">
        <v>16</v>
      </c>
      <c r="C2001" s="41" t="s">
        <v>103</v>
      </c>
      <c r="D2001" s="108" t="s">
        <v>1699</v>
      </c>
      <c r="E2001" s="58">
        <v>1960</v>
      </c>
      <c r="F2001" s="58"/>
      <c r="G2001" s="58">
        <f t="shared" si="35"/>
        <v>-1960</v>
      </c>
      <c r="H2001" s="95" t="s">
        <v>1577</v>
      </c>
    </row>
    <row r="2002" spans="1:8" ht="12.75" customHeight="1" x14ac:dyDescent="0.2">
      <c r="A2002" s="594">
        <v>42677</v>
      </c>
      <c r="B2002" s="41" t="s">
        <v>1400</v>
      </c>
      <c r="C2002" s="41" t="s">
        <v>64</v>
      </c>
      <c r="D2002" s="108" t="s">
        <v>286</v>
      </c>
      <c r="E2002" s="58">
        <v>500</v>
      </c>
      <c r="F2002" s="58"/>
      <c r="G2002" s="58">
        <f t="shared" si="35"/>
        <v>-500</v>
      </c>
      <c r="H2002" s="95" t="s">
        <v>1577</v>
      </c>
    </row>
    <row r="2003" spans="1:8" ht="12.75" customHeight="1" x14ac:dyDescent="0.2">
      <c r="A2003" s="594">
        <v>42677</v>
      </c>
      <c r="B2003" s="41" t="s">
        <v>1493</v>
      </c>
      <c r="C2003" s="41" t="s">
        <v>106</v>
      </c>
      <c r="D2003" s="108" t="s">
        <v>1700</v>
      </c>
      <c r="E2003" s="97">
        <v>635</v>
      </c>
      <c r="F2003" s="58"/>
      <c r="G2003" s="58">
        <f t="shared" si="35"/>
        <v>-635</v>
      </c>
      <c r="H2003" s="95" t="s">
        <v>1577</v>
      </c>
    </row>
    <row r="2004" spans="1:8" ht="12.75" customHeight="1" x14ac:dyDescent="0.2">
      <c r="A2004" s="594">
        <v>42678</v>
      </c>
      <c r="B2004" s="41" t="s">
        <v>1493</v>
      </c>
      <c r="C2004" s="41" t="s">
        <v>1252</v>
      </c>
      <c r="D2004" s="108" t="s">
        <v>1701</v>
      </c>
      <c r="E2004" s="97">
        <v>2374</v>
      </c>
      <c r="F2004" s="58"/>
      <c r="G2004" s="58">
        <f t="shared" si="35"/>
        <v>-2374</v>
      </c>
      <c r="H2004" s="95" t="s">
        <v>1577</v>
      </c>
    </row>
    <row r="2005" spans="1:8" ht="12.75" customHeight="1" x14ac:dyDescent="0.2">
      <c r="A2005" s="594">
        <v>42679</v>
      </c>
      <c r="B2005" s="41" t="s">
        <v>1400</v>
      </c>
      <c r="C2005" s="41" t="s">
        <v>64</v>
      </c>
      <c r="D2005" s="108" t="s">
        <v>286</v>
      </c>
      <c r="E2005" s="97">
        <v>500</v>
      </c>
      <c r="F2005" s="58"/>
      <c r="G2005" s="58">
        <f t="shared" si="35"/>
        <v>-500</v>
      </c>
      <c r="H2005" s="95" t="s">
        <v>1577</v>
      </c>
    </row>
    <row r="2006" spans="1:8" x14ac:dyDescent="0.2">
      <c r="A2006" s="594">
        <v>42679</v>
      </c>
      <c r="B2006" s="41" t="s">
        <v>1493</v>
      </c>
      <c r="C2006" s="41" t="s">
        <v>220</v>
      </c>
      <c r="D2006" s="108" t="s">
        <v>1702</v>
      </c>
      <c r="E2006" s="42">
        <v>2000</v>
      </c>
      <c r="F2006" s="58"/>
      <c r="G2006" s="58">
        <f t="shared" si="35"/>
        <v>-2000</v>
      </c>
      <c r="H2006" s="95" t="s">
        <v>1577</v>
      </c>
    </row>
    <row r="2007" spans="1:8" x14ac:dyDescent="0.2">
      <c r="A2007" s="594">
        <v>42679</v>
      </c>
      <c r="B2007" s="41" t="s">
        <v>154</v>
      </c>
      <c r="C2007" s="41" t="s">
        <v>220</v>
      </c>
      <c r="D2007" s="108" t="s">
        <v>1703</v>
      </c>
      <c r="E2007" s="42">
        <v>1660</v>
      </c>
      <c r="F2007" s="58"/>
      <c r="G2007" s="58">
        <f t="shared" si="35"/>
        <v>-1660</v>
      </c>
      <c r="H2007" s="95" t="s">
        <v>1577</v>
      </c>
    </row>
    <row r="2008" spans="1:8" x14ac:dyDescent="0.2">
      <c r="A2008" s="594">
        <v>42682</v>
      </c>
      <c r="B2008" s="41" t="s">
        <v>1400</v>
      </c>
      <c r="C2008" s="41" t="s">
        <v>64</v>
      </c>
      <c r="D2008" s="108" t="s">
        <v>286</v>
      </c>
      <c r="E2008" s="42">
        <v>500</v>
      </c>
      <c r="F2008" s="58"/>
      <c r="G2008" s="58">
        <f t="shared" si="35"/>
        <v>-500</v>
      </c>
      <c r="H2008" s="95" t="s">
        <v>1577</v>
      </c>
    </row>
    <row r="2009" spans="1:8" x14ac:dyDescent="0.2">
      <c r="A2009" s="594">
        <v>42684</v>
      </c>
      <c r="B2009" s="41" t="s">
        <v>1400</v>
      </c>
      <c r="C2009" s="41" t="s">
        <v>64</v>
      </c>
      <c r="D2009" s="108" t="s">
        <v>286</v>
      </c>
      <c r="E2009" s="42">
        <v>500</v>
      </c>
      <c r="F2009" s="58"/>
      <c r="G2009" s="58">
        <f t="shared" si="35"/>
        <v>-500</v>
      </c>
      <c r="H2009" s="95" t="s">
        <v>1577</v>
      </c>
    </row>
    <row r="2010" spans="1:8" x14ac:dyDescent="0.2">
      <c r="A2010" s="594">
        <v>42684</v>
      </c>
      <c r="B2010" s="41" t="s">
        <v>1400</v>
      </c>
      <c r="C2010" s="41" t="s">
        <v>1897</v>
      </c>
      <c r="D2010" s="108" t="s">
        <v>286</v>
      </c>
      <c r="E2010" s="42">
        <v>70</v>
      </c>
      <c r="F2010" s="58"/>
      <c r="G2010" s="58">
        <f t="shared" si="35"/>
        <v>-70</v>
      </c>
      <c r="H2010" s="95" t="s">
        <v>1577</v>
      </c>
    </row>
    <row r="2011" spans="1:8" x14ac:dyDescent="0.2">
      <c r="A2011" s="594">
        <v>42684</v>
      </c>
      <c r="B2011" s="41" t="s">
        <v>40</v>
      </c>
      <c r="C2011" s="41" t="s">
        <v>1339</v>
      </c>
      <c r="D2011" s="108" t="s">
        <v>1461</v>
      </c>
      <c r="E2011" s="42">
        <v>15000</v>
      </c>
      <c r="F2011" s="58"/>
      <c r="G2011" s="58">
        <f t="shared" si="35"/>
        <v>-15000</v>
      </c>
      <c r="H2011" s="95" t="s">
        <v>1577</v>
      </c>
    </row>
    <row r="2012" spans="1:8" x14ac:dyDescent="0.2">
      <c r="A2012" s="594">
        <v>42684</v>
      </c>
      <c r="B2012" s="41" t="s">
        <v>16</v>
      </c>
      <c r="C2012" s="41" t="s">
        <v>103</v>
      </c>
      <c r="D2012" s="108" t="s">
        <v>1705</v>
      </c>
      <c r="E2012" s="42">
        <v>400</v>
      </c>
      <c r="F2012" s="58"/>
      <c r="G2012" s="58">
        <f t="shared" si="35"/>
        <v>-400</v>
      </c>
      <c r="H2012" s="95" t="s">
        <v>1577</v>
      </c>
    </row>
    <row r="2013" spans="1:8" x14ac:dyDescent="0.2">
      <c r="A2013" s="594">
        <v>42684</v>
      </c>
      <c r="B2013" s="41" t="s">
        <v>1493</v>
      </c>
      <c r="C2013" s="41" t="s">
        <v>220</v>
      </c>
      <c r="D2013" s="108" t="s">
        <v>1706</v>
      </c>
      <c r="E2013" s="42">
        <v>8000</v>
      </c>
      <c r="F2013" s="58"/>
      <c r="G2013" s="58">
        <f t="shared" si="35"/>
        <v>-8000</v>
      </c>
      <c r="H2013" s="95" t="s">
        <v>1577</v>
      </c>
    </row>
    <row r="2014" spans="1:8" x14ac:dyDescent="0.2">
      <c r="A2014" s="594">
        <v>42684</v>
      </c>
      <c r="B2014" s="41" t="s">
        <v>40</v>
      </c>
      <c r="C2014" s="41" t="s">
        <v>220</v>
      </c>
      <c r="D2014" s="108" t="s">
        <v>1707</v>
      </c>
      <c r="E2014" s="42">
        <v>10000</v>
      </c>
      <c r="F2014" s="58"/>
      <c r="G2014" s="58">
        <f t="shared" si="35"/>
        <v>-10000</v>
      </c>
      <c r="H2014" s="95" t="s">
        <v>1577</v>
      </c>
    </row>
    <row r="2015" spans="1:8" x14ac:dyDescent="0.2">
      <c r="A2015" s="594">
        <v>42684</v>
      </c>
      <c r="B2015" s="41" t="s">
        <v>16</v>
      </c>
      <c r="C2015" s="41" t="s">
        <v>103</v>
      </c>
      <c r="D2015" s="108" t="s">
        <v>1708</v>
      </c>
      <c r="E2015" s="42">
        <v>280</v>
      </c>
      <c r="F2015" s="58"/>
      <c r="G2015" s="58">
        <f t="shared" si="35"/>
        <v>-280</v>
      </c>
      <c r="H2015" s="95" t="s">
        <v>1577</v>
      </c>
    </row>
    <row r="2016" spans="1:8" x14ac:dyDescent="0.2">
      <c r="A2016" s="594">
        <v>42684</v>
      </c>
      <c r="B2016" s="41" t="s">
        <v>16</v>
      </c>
      <c r="C2016" s="41" t="s">
        <v>103</v>
      </c>
      <c r="D2016" s="108" t="s">
        <v>1283</v>
      </c>
      <c r="E2016" s="42">
        <v>30</v>
      </c>
      <c r="F2016" s="58"/>
      <c r="G2016" s="58">
        <f t="shared" si="35"/>
        <v>-30</v>
      </c>
      <c r="H2016" s="95" t="s">
        <v>1577</v>
      </c>
    </row>
    <row r="2017" spans="1:8" x14ac:dyDescent="0.2">
      <c r="A2017" s="594">
        <v>42684</v>
      </c>
      <c r="B2017" s="41" t="s">
        <v>16</v>
      </c>
      <c r="C2017" s="41" t="s">
        <v>103</v>
      </c>
      <c r="D2017" s="108" t="s">
        <v>1709</v>
      </c>
      <c r="E2017" s="42">
        <v>200</v>
      </c>
      <c r="F2017" s="58"/>
      <c r="G2017" s="58">
        <f t="shared" si="35"/>
        <v>-200</v>
      </c>
      <c r="H2017" s="95" t="s">
        <v>1577</v>
      </c>
    </row>
    <row r="2018" spans="1:8" x14ac:dyDescent="0.2">
      <c r="A2018" s="594">
        <v>42684</v>
      </c>
      <c r="B2018" s="41" t="s">
        <v>16</v>
      </c>
      <c r="C2018" s="41" t="s">
        <v>103</v>
      </c>
      <c r="D2018" s="108" t="s">
        <v>600</v>
      </c>
      <c r="E2018" s="42">
        <v>130</v>
      </c>
      <c r="F2018" s="58"/>
      <c r="G2018" s="58">
        <f t="shared" si="35"/>
        <v>-130</v>
      </c>
      <c r="H2018" s="95" t="s">
        <v>1577</v>
      </c>
    </row>
    <row r="2019" spans="1:8" x14ac:dyDescent="0.2">
      <c r="A2019" s="594">
        <v>42684</v>
      </c>
      <c r="B2019" s="41" t="s">
        <v>16</v>
      </c>
      <c r="C2019" s="41" t="s">
        <v>103</v>
      </c>
      <c r="D2019" s="108" t="s">
        <v>1710</v>
      </c>
      <c r="E2019" s="42">
        <v>230</v>
      </c>
      <c r="F2019" s="58"/>
      <c r="G2019" s="58">
        <f t="shared" si="35"/>
        <v>-230</v>
      </c>
      <c r="H2019" s="95" t="s">
        <v>1577</v>
      </c>
    </row>
    <row r="2020" spans="1:8" x14ac:dyDescent="0.2">
      <c r="A2020" s="594">
        <v>42684</v>
      </c>
      <c r="B2020" s="41" t="s">
        <v>16</v>
      </c>
      <c r="C2020" s="41" t="s">
        <v>103</v>
      </c>
      <c r="D2020" s="108" t="s">
        <v>1711</v>
      </c>
      <c r="E2020" s="42">
        <v>200</v>
      </c>
      <c r="F2020" s="58"/>
      <c r="G2020" s="58">
        <f t="shared" si="35"/>
        <v>-200</v>
      </c>
      <c r="H2020" s="95" t="s">
        <v>1577</v>
      </c>
    </row>
    <row r="2021" spans="1:8" x14ac:dyDescent="0.2">
      <c r="A2021" s="594">
        <v>42684</v>
      </c>
      <c r="B2021" s="41" t="s">
        <v>16</v>
      </c>
      <c r="C2021" s="41" t="s">
        <v>103</v>
      </c>
      <c r="D2021" s="108" t="s">
        <v>1712</v>
      </c>
      <c r="E2021" s="42">
        <v>720</v>
      </c>
      <c r="F2021" s="58"/>
      <c r="G2021" s="58">
        <f t="shared" si="35"/>
        <v>-720</v>
      </c>
      <c r="H2021" s="95" t="s">
        <v>1577</v>
      </c>
    </row>
    <row r="2022" spans="1:8" x14ac:dyDescent="0.2">
      <c r="A2022" s="594">
        <v>42684</v>
      </c>
      <c r="B2022" s="41" t="s">
        <v>16</v>
      </c>
      <c r="C2022" s="41" t="s">
        <v>103</v>
      </c>
      <c r="D2022" s="108" t="s">
        <v>1713</v>
      </c>
      <c r="E2022" s="42">
        <v>475</v>
      </c>
      <c r="F2022" s="58"/>
      <c r="G2022" s="58">
        <f t="shared" si="35"/>
        <v>-475</v>
      </c>
      <c r="H2022" s="95" t="s">
        <v>1577</v>
      </c>
    </row>
    <row r="2023" spans="1:8" x14ac:dyDescent="0.2">
      <c r="A2023" s="594">
        <v>42684</v>
      </c>
      <c r="B2023" s="41" t="s">
        <v>16</v>
      </c>
      <c r="C2023" s="41" t="s">
        <v>103</v>
      </c>
      <c r="D2023" s="108" t="s">
        <v>1705</v>
      </c>
      <c r="E2023" s="42">
        <v>400</v>
      </c>
      <c r="F2023" s="58"/>
      <c r="G2023" s="58">
        <f t="shared" si="35"/>
        <v>-400</v>
      </c>
      <c r="H2023" s="95" t="s">
        <v>1577</v>
      </c>
    </row>
    <row r="2024" spans="1:8" x14ac:dyDescent="0.2">
      <c r="A2024" s="594">
        <v>42684</v>
      </c>
      <c r="B2024" s="41" t="s">
        <v>16</v>
      </c>
      <c r="C2024" s="41" t="s">
        <v>103</v>
      </c>
      <c r="D2024" s="108" t="s">
        <v>1714</v>
      </c>
      <c r="E2024" s="42">
        <v>2500</v>
      </c>
      <c r="F2024" s="58"/>
      <c r="G2024" s="58">
        <f t="shared" si="35"/>
        <v>-2500</v>
      </c>
      <c r="H2024" s="95" t="s">
        <v>1577</v>
      </c>
    </row>
    <row r="2025" spans="1:8" x14ac:dyDescent="0.2">
      <c r="A2025" s="594">
        <v>42684</v>
      </c>
      <c r="B2025" s="41" t="s">
        <v>16</v>
      </c>
      <c r="C2025" s="41" t="s">
        <v>103</v>
      </c>
      <c r="D2025" s="108" t="s">
        <v>1715</v>
      </c>
      <c r="E2025" s="42">
        <v>375</v>
      </c>
      <c r="F2025" s="58"/>
      <c r="G2025" s="58">
        <f t="shared" si="35"/>
        <v>-375</v>
      </c>
      <c r="H2025" s="95" t="s">
        <v>1577</v>
      </c>
    </row>
    <row r="2026" spans="1:8" x14ac:dyDescent="0.2">
      <c r="A2026" s="594">
        <v>42684</v>
      </c>
      <c r="B2026" s="41" t="s">
        <v>16</v>
      </c>
      <c r="C2026" s="41" t="s">
        <v>103</v>
      </c>
      <c r="D2026" s="108" t="s">
        <v>1716</v>
      </c>
      <c r="E2026" s="42">
        <v>500</v>
      </c>
      <c r="F2026" s="58"/>
      <c r="G2026" s="58">
        <f t="shared" si="35"/>
        <v>-500</v>
      </c>
      <c r="H2026" s="95" t="s">
        <v>1577</v>
      </c>
    </row>
    <row r="2027" spans="1:8" x14ac:dyDescent="0.2">
      <c r="A2027" s="594">
        <v>42684</v>
      </c>
      <c r="B2027" s="41" t="s">
        <v>16</v>
      </c>
      <c r="C2027" s="41" t="s">
        <v>103</v>
      </c>
      <c r="D2027" s="108" t="s">
        <v>1717</v>
      </c>
      <c r="E2027" s="42">
        <v>100</v>
      </c>
      <c r="F2027" s="58"/>
      <c r="G2027" s="58">
        <f t="shared" si="35"/>
        <v>-100</v>
      </c>
      <c r="H2027" s="95" t="s">
        <v>1577</v>
      </c>
    </row>
    <row r="2028" spans="1:8" x14ac:dyDescent="0.2">
      <c r="A2028" s="594">
        <v>42684</v>
      </c>
      <c r="B2028" s="41" t="s">
        <v>16</v>
      </c>
      <c r="C2028" s="41" t="s">
        <v>103</v>
      </c>
      <c r="D2028" s="108" t="s">
        <v>1718</v>
      </c>
      <c r="E2028" s="42">
        <v>100</v>
      </c>
      <c r="F2028" s="58"/>
      <c r="G2028" s="58">
        <f t="shared" si="35"/>
        <v>-100</v>
      </c>
      <c r="H2028" s="95" t="s">
        <v>1577</v>
      </c>
    </row>
    <row r="2029" spans="1:8" x14ac:dyDescent="0.2">
      <c r="A2029" s="594">
        <v>42684</v>
      </c>
      <c r="B2029" s="41" t="s">
        <v>16</v>
      </c>
      <c r="C2029" s="41" t="s">
        <v>103</v>
      </c>
      <c r="D2029" s="108" t="s">
        <v>1719</v>
      </c>
      <c r="E2029" s="42">
        <v>420</v>
      </c>
      <c r="F2029" s="58"/>
      <c r="G2029" s="58">
        <f t="shared" si="35"/>
        <v>-420</v>
      </c>
      <c r="H2029" s="95" t="s">
        <v>1577</v>
      </c>
    </row>
    <row r="2030" spans="1:8" x14ac:dyDescent="0.2">
      <c r="A2030" s="594">
        <v>42684</v>
      </c>
      <c r="B2030" s="41" t="s">
        <v>16</v>
      </c>
      <c r="C2030" s="41" t="s">
        <v>103</v>
      </c>
      <c r="D2030" s="108" t="s">
        <v>1720</v>
      </c>
      <c r="E2030" s="42">
        <v>480</v>
      </c>
      <c r="F2030" s="58"/>
      <c r="G2030" s="58">
        <f t="shared" si="35"/>
        <v>-480</v>
      </c>
      <c r="H2030" s="95" t="s">
        <v>1577</v>
      </c>
    </row>
    <row r="2031" spans="1:8" x14ac:dyDescent="0.2">
      <c r="A2031" s="594">
        <v>42684</v>
      </c>
      <c r="B2031" s="41" t="s">
        <v>16</v>
      </c>
      <c r="C2031" s="41" t="s">
        <v>103</v>
      </c>
      <c r="D2031" s="108" t="s">
        <v>1721</v>
      </c>
      <c r="E2031" s="42">
        <v>40</v>
      </c>
      <c r="F2031" s="58"/>
      <c r="G2031" s="58">
        <f t="shared" si="35"/>
        <v>-40</v>
      </c>
      <c r="H2031" s="95" t="s">
        <v>1577</v>
      </c>
    </row>
    <row r="2032" spans="1:8" x14ac:dyDescent="0.2">
      <c r="A2032" s="594">
        <v>42684</v>
      </c>
      <c r="B2032" s="41" t="s">
        <v>16</v>
      </c>
      <c r="C2032" s="41" t="s">
        <v>103</v>
      </c>
      <c r="D2032" s="108" t="s">
        <v>1658</v>
      </c>
      <c r="E2032" s="42">
        <v>50</v>
      </c>
      <c r="F2032" s="58"/>
      <c r="G2032" s="58">
        <f t="shared" si="35"/>
        <v>-50</v>
      </c>
      <c r="H2032" s="95" t="s">
        <v>1577</v>
      </c>
    </row>
    <row r="2033" spans="1:8" x14ac:dyDescent="0.2">
      <c r="A2033" s="594">
        <v>42685</v>
      </c>
      <c r="B2033" s="41" t="s">
        <v>1400</v>
      </c>
      <c r="C2033" s="41" t="s">
        <v>103</v>
      </c>
      <c r="D2033" s="108" t="s">
        <v>801</v>
      </c>
      <c r="E2033" s="42">
        <v>100</v>
      </c>
      <c r="F2033" s="58"/>
      <c r="G2033" s="58">
        <f t="shared" si="35"/>
        <v>-100</v>
      </c>
      <c r="H2033" s="95" t="s">
        <v>1577</v>
      </c>
    </row>
    <row r="2034" spans="1:8" x14ac:dyDescent="0.2">
      <c r="A2034" s="594">
        <v>42685</v>
      </c>
      <c r="B2034" s="41" t="s">
        <v>1400</v>
      </c>
      <c r="C2034" s="41" t="s">
        <v>1897</v>
      </c>
      <c r="D2034" s="108" t="s">
        <v>286</v>
      </c>
      <c r="E2034" s="42">
        <v>100</v>
      </c>
      <c r="F2034" s="58"/>
      <c r="G2034" s="58">
        <f t="shared" si="35"/>
        <v>-100</v>
      </c>
      <c r="H2034" s="95" t="s">
        <v>1577</v>
      </c>
    </row>
    <row r="2035" spans="1:8" ht="12.75" customHeight="1" x14ac:dyDescent="0.2">
      <c r="A2035" s="594">
        <v>42685</v>
      </c>
      <c r="B2035" s="41" t="s">
        <v>1400</v>
      </c>
      <c r="C2035" s="41" t="s">
        <v>1897</v>
      </c>
      <c r="D2035" s="108" t="s">
        <v>286</v>
      </c>
      <c r="E2035" s="42">
        <v>70</v>
      </c>
      <c r="F2035" s="58"/>
      <c r="G2035" s="58">
        <f t="shared" si="35"/>
        <v>-70</v>
      </c>
      <c r="H2035" s="95" t="s">
        <v>1577</v>
      </c>
    </row>
    <row r="2036" spans="1:8" x14ac:dyDescent="0.2">
      <c r="A2036" s="594">
        <v>42685</v>
      </c>
      <c r="B2036" s="41" t="s">
        <v>16</v>
      </c>
      <c r="C2036" s="41" t="s">
        <v>103</v>
      </c>
      <c r="D2036" s="108" t="s">
        <v>1722</v>
      </c>
      <c r="E2036" s="42">
        <v>200</v>
      </c>
      <c r="F2036" s="58"/>
      <c r="G2036" s="58">
        <f t="shared" si="35"/>
        <v>-200</v>
      </c>
      <c r="H2036" s="95" t="s">
        <v>1577</v>
      </c>
    </row>
    <row r="2037" spans="1:8" x14ac:dyDescent="0.2">
      <c r="A2037" s="594">
        <v>42685</v>
      </c>
      <c r="B2037" s="41" t="s">
        <v>16</v>
      </c>
      <c r="C2037" s="41" t="s">
        <v>551</v>
      </c>
      <c r="D2037" s="108" t="s">
        <v>1723</v>
      </c>
      <c r="E2037" s="42">
        <v>1680</v>
      </c>
      <c r="F2037" s="58"/>
      <c r="G2037" s="58">
        <f t="shared" si="35"/>
        <v>-1680</v>
      </c>
      <c r="H2037" s="95" t="s">
        <v>1577</v>
      </c>
    </row>
    <row r="2038" spans="1:8" x14ac:dyDescent="0.2">
      <c r="A2038" s="594">
        <v>42686</v>
      </c>
      <c r="B2038" s="41" t="s">
        <v>16</v>
      </c>
      <c r="C2038" s="41" t="s">
        <v>103</v>
      </c>
      <c r="D2038" s="108" t="s">
        <v>1724</v>
      </c>
      <c r="E2038" s="42">
        <v>100</v>
      </c>
      <c r="F2038" s="58"/>
      <c r="G2038" s="58">
        <f t="shared" si="35"/>
        <v>-100</v>
      </c>
      <c r="H2038" s="95" t="s">
        <v>1577</v>
      </c>
    </row>
    <row r="2039" spans="1:8" x14ac:dyDescent="0.2">
      <c r="A2039" s="594">
        <v>42686</v>
      </c>
      <c r="B2039" s="41" t="s">
        <v>1493</v>
      </c>
      <c r="C2039" s="41" t="s">
        <v>106</v>
      </c>
      <c r="D2039" s="108" t="s">
        <v>1725</v>
      </c>
      <c r="E2039" s="42">
        <v>1725</v>
      </c>
      <c r="F2039" s="58"/>
      <c r="G2039" s="58">
        <f t="shared" si="35"/>
        <v>-1725</v>
      </c>
      <c r="H2039" s="95" t="s">
        <v>1577</v>
      </c>
    </row>
    <row r="2040" spans="1:8" x14ac:dyDescent="0.2">
      <c r="A2040" s="594">
        <v>42686</v>
      </c>
      <c r="B2040" s="41" t="s">
        <v>1400</v>
      </c>
      <c r="C2040" s="41" t="s">
        <v>64</v>
      </c>
      <c r="D2040" s="108" t="s">
        <v>286</v>
      </c>
      <c r="E2040" s="42">
        <v>500</v>
      </c>
      <c r="F2040" s="58"/>
      <c r="G2040" s="58">
        <f t="shared" si="35"/>
        <v>-500</v>
      </c>
      <c r="H2040" s="95" t="s">
        <v>1577</v>
      </c>
    </row>
    <row r="2041" spans="1:8" x14ac:dyDescent="0.2">
      <c r="A2041" s="594">
        <v>42688</v>
      </c>
      <c r="B2041" s="41" t="s">
        <v>1400</v>
      </c>
      <c r="C2041" s="41" t="s">
        <v>1897</v>
      </c>
      <c r="D2041" s="108" t="s">
        <v>286</v>
      </c>
      <c r="E2041" s="42">
        <v>70</v>
      </c>
      <c r="F2041" s="58"/>
      <c r="G2041" s="58">
        <f t="shared" si="35"/>
        <v>-70</v>
      </c>
      <c r="H2041" s="95" t="s">
        <v>1577</v>
      </c>
    </row>
    <row r="2042" spans="1:8" x14ac:dyDescent="0.2">
      <c r="A2042" s="594">
        <v>42688</v>
      </c>
      <c r="B2042" s="41" t="s">
        <v>1400</v>
      </c>
      <c r="C2042" s="41" t="s">
        <v>64</v>
      </c>
      <c r="D2042" s="108" t="s">
        <v>1726</v>
      </c>
      <c r="E2042" s="42">
        <v>21150</v>
      </c>
      <c r="F2042" s="58"/>
      <c r="G2042" s="58">
        <f t="shared" si="35"/>
        <v>-21150</v>
      </c>
      <c r="H2042" s="95" t="s">
        <v>1577</v>
      </c>
    </row>
    <row r="2043" spans="1:8" x14ac:dyDescent="0.2">
      <c r="A2043" s="594">
        <v>42688</v>
      </c>
      <c r="B2043" s="41" t="s">
        <v>1400</v>
      </c>
      <c r="C2043" s="41" t="s">
        <v>1897</v>
      </c>
      <c r="D2043" s="108" t="s">
        <v>1727</v>
      </c>
      <c r="E2043" s="42">
        <v>100</v>
      </c>
      <c r="F2043" s="58"/>
      <c r="G2043" s="58">
        <f t="shared" si="35"/>
        <v>-100</v>
      </c>
      <c r="H2043" s="95" t="s">
        <v>1577</v>
      </c>
    </row>
    <row r="2044" spans="1:8" x14ac:dyDescent="0.2">
      <c r="A2044" s="594">
        <v>42688</v>
      </c>
      <c r="B2044" s="41" t="s">
        <v>1400</v>
      </c>
      <c r="C2044" s="41" t="s">
        <v>64</v>
      </c>
      <c r="D2044" s="108" t="s">
        <v>1728</v>
      </c>
      <c r="E2044" s="42">
        <v>500</v>
      </c>
      <c r="F2044" s="58"/>
      <c r="G2044" s="58">
        <f t="shared" si="35"/>
        <v>-500</v>
      </c>
      <c r="H2044" s="95" t="s">
        <v>1577</v>
      </c>
    </row>
    <row r="2045" spans="1:8" x14ac:dyDescent="0.2">
      <c r="A2045" s="594">
        <v>42689</v>
      </c>
      <c r="B2045" s="41" t="s">
        <v>1493</v>
      </c>
      <c r="C2045" s="41" t="s">
        <v>220</v>
      </c>
      <c r="D2045" s="108" t="s">
        <v>734</v>
      </c>
      <c r="E2045" s="42">
        <v>13800</v>
      </c>
      <c r="F2045" s="58"/>
      <c r="G2045" s="58">
        <f t="shared" si="35"/>
        <v>-13800</v>
      </c>
      <c r="H2045" s="95" t="s">
        <v>1577</v>
      </c>
    </row>
    <row r="2046" spans="1:8" x14ac:dyDescent="0.2">
      <c r="A2046" s="594">
        <v>42689</v>
      </c>
      <c r="B2046" s="41" t="s">
        <v>1493</v>
      </c>
      <c r="C2046" s="41" t="s">
        <v>220</v>
      </c>
      <c r="D2046" s="108" t="s">
        <v>1729</v>
      </c>
      <c r="E2046" s="42">
        <v>10000</v>
      </c>
      <c r="F2046" s="58"/>
      <c r="G2046" s="58">
        <f t="shared" si="35"/>
        <v>-10000</v>
      </c>
      <c r="H2046" s="95" t="s">
        <v>1577</v>
      </c>
    </row>
    <row r="2047" spans="1:8" x14ac:dyDescent="0.2">
      <c r="A2047" s="594">
        <v>42689</v>
      </c>
      <c r="B2047" s="41" t="s">
        <v>1400</v>
      </c>
      <c r="C2047" s="41" t="s">
        <v>103</v>
      </c>
      <c r="D2047" s="108" t="s">
        <v>801</v>
      </c>
      <c r="E2047" s="42">
        <v>450</v>
      </c>
      <c r="F2047" s="58"/>
      <c r="G2047" s="58">
        <f t="shared" si="35"/>
        <v>-450</v>
      </c>
      <c r="H2047" s="95" t="s">
        <v>1577</v>
      </c>
    </row>
    <row r="2048" spans="1:8" x14ac:dyDescent="0.2">
      <c r="A2048" s="594">
        <v>42689</v>
      </c>
      <c r="B2048" s="41" t="s">
        <v>1400</v>
      </c>
      <c r="C2048" s="41" t="s">
        <v>1000</v>
      </c>
      <c r="D2048" s="108" t="s">
        <v>801</v>
      </c>
      <c r="E2048" s="42">
        <v>100</v>
      </c>
      <c r="F2048" s="58"/>
      <c r="G2048" s="58">
        <f t="shared" si="35"/>
        <v>-100</v>
      </c>
      <c r="H2048" s="95" t="s">
        <v>1577</v>
      </c>
    </row>
    <row r="2049" spans="1:8" x14ac:dyDescent="0.2">
      <c r="A2049" s="594">
        <v>42689</v>
      </c>
      <c r="B2049" s="41" t="s">
        <v>1400</v>
      </c>
      <c r="C2049" s="41" t="s">
        <v>1000</v>
      </c>
      <c r="D2049" s="108" t="s">
        <v>801</v>
      </c>
      <c r="E2049" s="42">
        <v>1905</v>
      </c>
      <c r="F2049" s="58"/>
      <c r="G2049" s="58">
        <f t="shared" si="35"/>
        <v>-1905</v>
      </c>
      <c r="H2049" s="95" t="s">
        <v>1577</v>
      </c>
    </row>
    <row r="2050" spans="1:8" ht="12.75" customHeight="1" x14ac:dyDescent="0.2">
      <c r="A2050" s="594">
        <v>42689</v>
      </c>
      <c r="B2050" s="41" t="s">
        <v>1400</v>
      </c>
      <c r="C2050" s="41" t="s">
        <v>1000</v>
      </c>
      <c r="D2050" s="108" t="s">
        <v>801</v>
      </c>
      <c r="E2050" s="42">
        <v>280</v>
      </c>
      <c r="F2050" s="58"/>
      <c r="G2050" s="58">
        <f t="shared" si="35"/>
        <v>-280</v>
      </c>
      <c r="H2050" s="95" t="s">
        <v>1577</v>
      </c>
    </row>
    <row r="2051" spans="1:8" ht="12.75" customHeight="1" x14ac:dyDescent="0.2">
      <c r="A2051" s="594">
        <v>42690</v>
      </c>
      <c r="B2051" s="41" t="s">
        <v>18</v>
      </c>
      <c r="C2051" s="41" t="s">
        <v>372</v>
      </c>
      <c r="D2051" s="108" t="s">
        <v>396</v>
      </c>
      <c r="E2051" s="42">
        <v>1100</v>
      </c>
      <c r="F2051" s="58"/>
      <c r="G2051" s="58">
        <f t="shared" si="35"/>
        <v>-1100</v>
      </c>
      <c r="H2051" s="95" t="s">
        <v>1577</v>
      </c>
    </row>
    <row r="2052" spans="1:8" ht="12.75" customHeight="1" x14ac:dyDescent="0.2">
      <c r="A2052" s="594">
        <v>42690</v>
      </c>
      <c r="B2052" s="41" t="s">
        <v>16</v>
      </c>
      <c r="C2052" s="41" t="s">
        <v>372</v>
      </c>
      <c r="D2052" s="108" t="s">
        <v>1730</v>
      </c>
      <c r="E2052" s="42">
        <v>12000</v>
      </c>
      <c r="F2052" s="58"/>
      <c r="G2052" s="58">
        <f t="shared" si="35"/>
        <v>-12000</v>
      </c>
      <c r="H2052" s="95" t="s">
        <v>1577</v>
      </c>
    </row>
    <row r="2053" spans="1:8" x14ac:dyDescent="0.2">
      <c r="A2053" s="594">
        <v>42690</v>
      </c>
      <c r="B2053" s="41" t="s">
        <v>18</v>
      </c>
      <c r="C2053" s="41" t="s">
        <v>372</v>
      </c>
      <c r="D2053" s="108" t="s">
        <v>286</v>
      </c>
      <c r="E2053" s="42">
        <v>300</v>
      </c>
      <c r="F2053" s="58"/>
      <c r="G2053" s="58">
        <f t="shared" si="35"/>
        <v>-300</v>
      </c>
      <c r="H2053" s="95" t="s">
        <v>1577</v>
      </c>
    </row>
    <row r="2054" spans="1:8" x14ac:dyDescent="0.2">
      <c r="A2054" s="594">
        <v>42691</v>
      </c>
      <c r="B2054" s="41" t="s">
        <v>1493</v>
      </c>
      <c r="C2054" s="41" t="s">
        <v>1252</v>
      </c>
      <c r="D2054" s="108" t="s">
        <v>286</v>
      </c>
      <c r="E2054" s="42">
        <v>600</v>
      </c>
      <c r="F2054" s="58"/>
      <c r="G2054" s="58">
        <f t="shared" si="35"/>
        <v>-600</v>
      </c>
      <c r="H2054" s="95" t="s">
        <v>1577</v>
      </c>
    </row>
    <row r="2055" spans="1:8" x14ac:dyDescent="0.2">
      <c r="A2055" s="594">
        <v>42691</v>
      </c>
      <c r="B2055" s="41" t="s">
        <v>18</v>
      </c>
      <c r="C2055" s="41" t="s">
        <v>372</v>
      </c>
      <c r="D2055" s="108" t="s">
        <v>286</v>
      </c>
      <c r="E2055" s="42">
        <v>450</v>
      </c>
      <c r="F2055" s="58"/>
      <c r="G2055" s="58">
        <f t="shared" si="35"/>
        <v>-450</v>
      </c>
      <c r="H2055" s="95" t="s">
        <v>1577</v>
      </c>
    </row>
    <row r="2056" spans="1:8" x14ac:dyDescent="0.2">
      <c r="A2056" s="594">
        <v>42691</v>
      </c>
      <c r="B2056" s="41" t="s">
        <v>16</v>
      </c>
      <c r="C2056" s="41" t="s">
        <v>103</v>
      </c>
      <c r="D2056" s="108" t="s">
        <v>286</v>
      </c>
      <c r="E2056" s="42">
        <v>70</v>
      </c>
      <c r="F2056" s="58"/>
      <c r="G2056" s="58">
        <f t="shared" si="35"/>
        <v>-70</v>
      </c>
      <c r="H2056" s="95" t="s">
        <v>1577</v>
      </c>
    </row>
    <row r="2057" spans="1:8" x14ac:dyDescent="0.2">
      <c r="A2057" s="594">
        <v>42691</v>
      </c>
      <c r="B2057" s="41" t="s">
        <v>1493</v>
      </c>
      <c r="C2057" s="41" t="s">
        <v>220</v>
      </c>
      <c r="D2057" s="108" t="s">
        <v>1625</v>
      </c>
      <c r="E2057" s="42">
        <v>5965</v>
      </c>
      <c r="F2057" s="58"/>
      <c r="G2057" s="58">
        <f t="shared" ref="G2057:G2120" si="36">F2057-E2057</f>
        <v>-5965</v>
      </c>
      <c r="H2057" s="95" t="s">
        <v>1577</v>
      </c>
    </row>
    <row r="2058" spans="1:8" x14ac:dyDescent="0.2">
      <c r="A2058" s="594">
        <v>42691</v>
      </c>
      <c r="B2058" s="41" t="s">
        <v>40</v>
      </c>
      <c r="C2058" s="41" t="s">
        <v>80</v>
      </c>
      <c r="D2058" s="108" t="s">
        <v>1731</v>
      </c>
      <c r="E2058" s="42">
        <v>10555</v>
      </c>
      <c r="F2058" s="58"/>
      <c r="G2058" s="58">
        <f t="shared" si="36"/>
        <v>-10555</v>
      </c>
      <c r="H2058" s="95" t="s">
        <v>1577</v>
      </c>
    </row>
    <row r="2059" spans="1:8" x14ac:dyDescent="0.2">
      <c r="A2059" s="594">
        <v>42691</v>
      </c>
      <c r="B2059" s="41" t="s">
        <v>154</v>
      </c>
      <c r="C2059" s="41" t="s">
        <v>484</v>
      </c>
      <c r="D2059" s="108" t="s">
        <v>1732</v>
      </c>
      <c r="E2059" s="42">
        <v>1500</v>
      </c>
      <c r="F2059" s="58"/>
      <c r="G2059" s="58">
        <f t="shared" si="36"/>
        <v>-1500</v>
      </c>
      <c r="H2059" s="95" t="s">
        <v>1577</v>
      </c>
    </row>
    <row r="2060" spans="1:8" x14ac:dyDescent="0.2">
      <c r="A2060" s="594">
        <v>42692</v>
      </c>
      <c r="B2060" s="41" t="s">
        <v>25</v>
      </c>
      <c r="C2060" s="45" t="s">
        <v>1733</v>
      </c>
      <c r="D2060" s="108" t="s">
        <v>1734</v>
      </c>
      <c r="E2060" s="42">
        <v>1087</v>
      </c>
      <c r="F2060" s="58"/>
      <c r="G2060" s="58">
        <f t="shared" si="36"/>
        <v>-1087</v>
      </c>
      <c r="H2060" s="95" t="s">
        <v>1577</v>
      </c>
    </row>
    <row r="2061" spans="1:8" x14ac:dyDescent="0.2">
      <c r="A2061" s="594">
        <v>42692</v>
      </c>
      <c r="B2061" s="41" t="s">
        <v>40</v>
      </c>
      <c r="C2061" s="41" t="s">
        <v>1733</v>
      </c>
      <c r="D2061" s="108" t="s">
        <v>1735</v>
      </c>
      <c r="E2061" s="42">
        <v>4540</v>
      </c>
      <c r="F2061" s="58"/>
      <c r="G2061" s="58">
        <f t="shared" si="36"/>
        <v>-4540</v>
      </c>
      <c r="H2061" s="95" t="s">
        <v>1577</v>
      </c>
    </row>
    <row r="2062" spans="1:8" x14ac:dyDescent="0.2">
      <c r="A2062" s="594">
        <v>42692</v>
      </c>
      <c r="B2062" s="41" t="s">
        <v>25</v>
      </c>
      <c r="C2062" s="41" t="s">
        <v>1733</v>
      </c>
      <c r="D2062" s="108" t="s">
        <v>286</v>
      </c>
      <c r="E2062" s="42">
        <v>200</v>
      </c>
      <c r="F2062" s="58"/>
      <c r="G2062" s="58">
        <f t="shared" si="36"/>
        <v>-200</v>
      </c>
      <c r="H2062" s="95" t="s">
        <v>1577</v>
      </c>
    </row>
    <row r="2063" spans="1:8" x14ac:dyDescent="0.2">
      <c r="A2063" s="594">
        <v>42692</v>
      </c>
      <c r="B2063" s="41" t="s">
        <v>18</v>
      </c>
      <c r="C2063" s="41" t="s">
        <v>1733</v>
      </c>
      <c r="D2063" s="108" t="s">
        <v>286</v>
      </c>
      <c r="E2063" s="42">
        <v>500</v>
      </c>
      <c r="F2063" s="58"/>
      <c r="G2063" s="58">
        <f t="shared" si="36"/>
        <v>-500</v>
      </c>
      <c r="H2063" s="95" t="s">
        <v>1577</v>
      </c>
    </row>
    <row r="2064" spans="1:8" ht="12.75" customHeight="1" x14ac:dyDescent="0.2">
      <c r="A2064" s="594">
        <v>42692</v>
      </c>
      <c r="B2064" s="41" t="s">
        <v>154</v>
      </c>
      <c r="C2064" s="41" t="s">
        <v>220</v>
      </c>
      <c r="D2064" s="108" t="s">
        <v>1736</v>
      </c>
      <c r="E2064" s="42">
        <v>6000</v>
      </c>
      <c r="F2064" s="58"/>
      <c r="G2064" s="58">
        <f t="shared" si="36"/>
        <v>-6000</v>
      </c>
      <c r="H2064" s="95" t="s">
        <v>1577</v>
      </c>
    </row>
    <row r="2065" spans="1:8" ht="12.75" customHeight="1" x14ac:dyDescent="0.2">
      <c r="A2065" s="594">
        <v>42692</v>
      </c>
      <c r="B2065" s="41" t="s">
        <v>1493</v>
      </c>
      <c r="C2065" s="41" t="s">
        <v>220</v>
      </c>
      <c r="D2065" s="108" t="s">
        <v>392</v>
      </c>
      <c r="E2065" s="42">
        <v>1775</v>
      </c>
      <c r="F2065" s="58"/>
      <c r="G2065" s="58">
        <f t="shared" si="36"/>
        <v>-1775</v>
      </c>
      <c r="H2065" s="95" t="s">
        <v>1577</v>
      </c>
    </row>
    <row r="2066" spans="1:8" x14ac:dyDescent="0.2">
      <c r="A2066" s="594">
        <v>42692</v>
      </c>
      <c r="B2066" s="41" t="s">
        <v>1400</v>
      </c>
      <c r="C2066" s="41" t="s">
        <v>1897</v>
      </c>
      <c r="D2066" s="108" t="s">
        <v>286</v>
      </c>
      <c r="E2066" s="42">
        <v>100</v>
      </c>
      <c r="F2066" s="58"/>
      <c r="G2066" s="58">
        <f t="shared" si="36"/>
        <v>-100</v>
      </c>
      <c r="H2066" s="95" t="s">
        <v>1577</v>
      </c>
    </row>
    <row r="2067" spans="1:8" x14ac:dyDescent="0.2">
      <c r="A2067" s="594">
        <v>42692</v>
      </c>
      <c r="B2067" s="41" t="s">
        <v>37</v>
      </c>
      <c r="C2067" s="41" t="s">
        <v>194</v>
      </c>
      <c r="D2067" s="108" t="s">
        <v>286</v>
      </c>
      <c r="E2067" s="42">
        <v>100</v>
      </c>
      <c r="F2067" s="58"/>
      <c r="G2067" s="58">
        <f t="shared" si="36"/>
        <v>-100</v>
      </c>
      <c r="H2067" s="95" t="s">
        <v>1577</v>
      </c>
    </row>
    <row r="2068" spans="1:8" x14ac:dyDescent="0.2">
      <c r="A2068" s="594">
        <v>42692</v>
      </c>
      <c r="B2068" s="41" t="s">
        <v>1493</v>
      </c>
      <c r="C2068" s="41" t="s">
        <v>1042</v>
      </c>
      <c r="D2068" s="108" t="s">
        <v>1737</v>
      </c>
      <c r="E2068" s="42">
        <v>500</v>
      </c>
      <c r="F2068" s="58"/>
      <c r="G2068" s="58">
        <f t="shared" si="36"/>
        <v>-500</v>
      </c>
      <c r="H2068" s="95" t="s">
        <v>1577</v>
      </c>
    </row>
    <row r="2069" spans="1:8" x14ac:dyDescent="0.2">
      <c r="A2069" s="594">
        <v>42693</v>
      </c>
      <c r="B2069" s="41" t="s">
        <v>18</v>
      </c>
      <c r="C2069" s="41" t="s">
        <v>325</v>
      </c>
      <c r="D2069" s="108" t="s">
        <v>1738</v>
      </c>
      <c r="E2069" s="42">
        <v>2500</v>
      </c>
      <c r="F2069" s="58"/>
      <c r="G2069" s="58">
        <f t="shared" si="36"/>
        <v>-2500</v>
      </c>
      <c r="H2069" s="95" t="s">
        <v>1577</v>
      </c>
    </row>
    <row r="2070" spans="1:8" x14ac:dyDescent="0.2">
      <c r="A2070" s="594">
        <v>42693</v>
      </c>
      <c r="B2070" s="41" t="s">
        <v>25</v>
      </c>
      <c r="C2070" s="41" t="s">
        <v>551</v>
      </c>
      <c r="D2070" s="108" t="s">
        <v>1739</v>
      </c>
      <c r="E2070" s="42">
        <v>5187</v>
      </c>
      <c r="F2070" s="58"/>
      <c r="G2070" s="58">
        <f t="shared" si="36"/>
        <v>-5187</v>
      </c>
      <c r="H2070" s="95" t="s">
        <v>1577</v>
      </c>
    </row>
    <row r="2071" spans="1:8" x14ac:dyDescent="0.2">
      <c r="A2071" s="594">
        <v>42693</v>
      </c>
      <c r="B2071" s="41" t="s">
        <v>1400</v>
      </c>
      <c r="C2071" s="41" t="s">
        <v>1897</v>
      </c>
      <c r="D2071" s="108" t="s">
        <v>1740</v>
      </c>
      <c r="E2071" s="42">
        <v>150</v>
      </c>
      <c r="F2071" s="58"/>
      <c r="G2071" s="58">
        <f t="shared" si="36"/>
        <v>-150</v>
      </c>
      <c r="H2071" s="95" t="s">
        <v>1577</v>
      </c>
    </row>
    <row r="2072" spans="1:8" x14ac:dyDescent="0.2">
      <c r="A2072" s="594">
        <v>42693</v>
      </c>
      <c r="B2072" s="41" t="s">
        <v>16</v>
      </c>
      <c r="C2072" s="41" t="s">
        <v>773</v>
      </c>
      <c r="D2072" s="108" t="s">
        <v>1741</v>
      </c>
      <c r="E2072" s="42">
        <v>40850</v>
      </c>
      <c r="F2072" s="58"/>
      <c r="G2072" s="58">
        <f t="shared" si="36"/>
        <v>-40850</v>
      </c>
      <c r="H2072" s="95" t="s">
        <v>1577</v>
      </c>
    </row>
    <row r="2073" spans="1:8" x14ac:dyDescent="0.2">
      <c r="A2073" s="594">
        <v>42693</v>
      </c>
      <c r="B2073" s="41" t="s">
        <v>37</v>
      </c>
      <c r="C2073" s="41" t="s">
        <v>194</v>
      </c>
      <c r="D2073" s="108" t="s">
        <v>72</v>
      </c>
      <c r="E2073" s="42">
        <v>1481</v>
      </c>
      <c r="F2073" s="58"/>
      <c r="G2073" s="58">
        <f t="shared" si="36"/>
        <v>-1481</v>
      </c>
      <c r="H2073" s="95" t="s">
        <v>1577</v>
      </c>
    </row>
    <row r="2074" spans="1:8" x14ac:dyDescent="0.2">
      <c r="A2074" s="594">
        <v>42696</v>
      </c>
      <c r="B2074" s="41" t="s">
        <v>16</v>
      </c>
      <c r="C2074" s="41" t="s">
        <v>16</v>
      </c>
      <c r="D2074" s="108" t="s">
        <v>1745</v>
      </c>
      <c r="E2074" s="42">
        <v>240</v>
      </c>
      <c r="F2074" s="58"/>
      <c r="G2074" s="58">
        <f t="shared" si="36"/>
        <v>-240</v>
      </c>
      <c r="H2074" s="95" t="s">
        <v>1577</v>
      </c>
    </row>
    <row r="2075" spans="1:8" x14ac:dyDescent="0.2">
      <c r="A2075" s="594">
        <v>42696</v>
      </c>
      <c r="B2075" s="41" t="s">
        <v>37</v>
      </c>
      <c r="C2075" s="41" t="s">
        <v>194</v>
      </c>
      <c r="D2075" s="108" t="s">
        <v>392</v>
      </c>
      <c r="E2075" s="42">
        <v>100</v>
      </c>
      <c r="F2075" s="58"/>
      <c r="G2075" s="58">
        <f t="shared" si="36"/>
        <v>-100</v>
      </c>
      <c r="H2075" s="95" t="s">
        <v>1577</v>
      </c>
    </row>
    <row r="2076" spans="1:8" x14ac:dyDescent="0.2">
      <c r="A2076" s="594">
        <v>42697</v>
      </c>
      <c r="B2076" s="41" t="s">
        <v>1400</v>
      </c>
      <c r="C2076" s="41" t="s">
        <v>1897</v>
      </c>
      <c r="D2076" s="108" t="s">
        <v>1746</v>
      </c>
      <c r="E2076" s="42">
        <v>50</v>
      </c>
      <c r="F2076" s="58"/>
      <c r="G2076" s="58">
        <f t="shared" si="36"/>
        <v>-50</v>
      </c>
      <c r="H2076" s="95" t="s">
        <v>1577</v>
      </c>
    </row>
    <row r="2077" spans="1:8" ht="24" x14ac:dyDescent="0.2">
      <c r="A2077" s="594">
        <v>42697</v>
      </c>
      <c r="B2077" s="41" t="s">
        <v>82</v>
      </c>
      <c r="C2077" s="41" t="s">
        <v>1747</v>
      </c>
      <c r="D2077" s="129" t="s">
        <v>1748</v>
      </c>
      <c r="E2077" s="42">
        <v>440</v>
      </c>
      <c r="F2077" s="58"/>
      <c r="G2077" s="58">
        <f t="shared" si="36"/>
        <v>-440</v>
      </c>
      <c r="H2077" s="95" t="s">
        <v>1577</v>
      </c>
    </row>
    <row r="2078" spans="1:8" x14ac:dyDescent="0.2">
      <c r="A2078" s="594">
        <v>42697</v>
      </c>
      <c r="B2078" s="41" t="s">
        <v>18</v>
      </c>
      <c r="C2078" s="41" t="s">
        <v>1747</v>
      </c>
      <c r="D2078" s="108" t="s">
        <v>1749</v>
      </c>
      <c r="E2078" s="42">
        <v>440</v>
      </c>
      <c r="F2078" s="58"/>
      <c r="G2078" s="58">
        <f t="shared" si="36"/>
        <v>-440</v>
      </c>
      <c r="H2078" s="95" t="s">
        <v>1577</v>
      </c>
    </row>
    <row r="2079" spans="1:8" x14ac:dyDescent="0.2">
      <c r="A2079" s="594">
        <v>42697</v>
      </c>
      <c r="B2079" s="41" t="s">
        <v>40</v>
      </c>
      <c r="C2079" s="41" t="s">
        <v>64</v>
      </c>
      <c r="D2079" s="108" t="s">
        <v>1750</v>
      </c>
      <c r="E2079" s="42">
        <v>1420</v>
      </c>
      <c r="F2079" s="58"/>
      <c r="G2079" s="58">
        <f t="shared" si="36"/>
        <v>-1420</v>
      </c>
      <c r="H2079" s="95" t="s">
        <v>1577</v>
      </c>
    </row>
    <row r="2080" spans="1:8" x14ac:dyDescent="0.2">
      <c r="A2080" s="594">
        <v>42697</v>
      </c>
      <c r="B2080" s="41" t="s">
        <v>1400</v>
      </c>
      <c r="C2080" s="41" t="s">
        <v>1897</v>
      </c>
      <c r="D2080" s="129" t="s">
        <v>1751</v>
      </c>
      <c r="E2080" s="42">
        <v>350</v>
      </c>
      <c r="F2080" s="58"/>
      <c r="G2080" s="58">
        <f t="shared" si="36"/>
        <v>-350</v>
      </c>
      <c r="H2080" s="95" t="s">
        <v>1577</v>
      </c>
    </row>
    <row r="2081" spans="1:8" ht="24" x14ac:dyDescent="0.2">
      <c r="A2081" s="594">
        <v>42697</v>
      </c>
      <c r="B2081" s="41" t="s">
        <v>16</v>
      </c>
      <c r="C2081" s="41" t="s">
        <v>64</v>
      </c>
      <c r="D2081" s="129" t="s">
        <v>1752</v>
      </c>
      <c r="E2081" s="42">
        <v>6130</v>
      </c>
      <c r="F2081" s="58"/>
      <c r="G2081" s="58">
        <f t="shared" si="36"/>
        <v>-6130</v>
      </c>
      <c r="H2081" s="95" t="s">
        <v>1577</v>
      </c>
    </row>
    <row r="2082" spans="1:8" x14ac:dyDescent="0.2">
      <c r="A2082" s="594">
        <v>42697</v>
      </c>
      <c r="B2082" s="41" t="s">
        <v>1400</v>
      </c>
      <c r="C2082" s="41" t="s">
        <v>64</v>
      </c>
      <c r="D2082" s="129" t="s">
        <v>1753</v>
      </c>
      <c r="E2082" s="42">
        <v>4250</v>
      </c>
      <c r="F2082" s="58"/>
      <c r="G2082" s="58">
        <f t="shared" si="36"/>
        <v>-4250</v>
      </c>
      <c r="H2082" s="95" t="s">
        <v>1577</v>
      </c>
    </row>
    <row r="2083" spans="1:8" ht="12.75" customHeight="1" x14ac:dyDescent="0.2">
      <c r="A2083" s="594">
        <v>42698</v>
      </c>
      <c r="B2083" s="41" t="s">
        <v>40</v>
      </c>
      <c r="C2083" s="41" t="s">
        <v>1754</v>
      </c>
      <c r="D2083" s="129" t="s">
        <v>1755</v>
      </c>
      <c r="E2083" s="42">
        <v>500</v>
      </c>
      <c r="F2083" s="58"/>
      <c r="G2083" s="58">
        <f t="shared" si="36"/>
        <v>-500</v>
      </c>
      <c r="H2083" s="95" t="s">
        <v>1577</v>
      </c>
    </row>
    <row r="2084" spans="1:8" x14ac:dyDescent="0.2">
      <c r="A2084" s="594">
        <v>42698</v>
      </c>
      <c r="B2084" s="41" t="s">
        <v>37</v>
      </c>
      <c r="C2084" s="41" t="s">
        <v>194</v>
      </c>
      <c r="D2084" s="129" t="s">
        <v>853</v>
      </c>
      <c r="E2084" s="42">
        <v>540</v>
      </c>
      <c r="F2084" s="58"/>
      <c r="G2084" s="58">
        <f t="shared" si="36"/>
        <v>-540</v>
      </c>
      <c r="H2084" s="95" t="s">
        <v>1577</v>
      </c>
    </row>
    <row r="2085" spans="1:8" x14ac:dyDescent="0.2">
      <c r="A2085" s="594">
        <v>42698</v>
      </c>
      <c r="B2085" s="41" t="s">
        <v>1400</v>
      </c>
      <c r="C2085" s="41" t="s">
        <v>1897</v>
      </c>
      <c r="D2085" s="129" t="s">
        <v>1756</v>
      </c>
      <c r="E2085" s="42">
        <v>250</v>
      </c>
      <c r="F2085" s="58"/>
      <c r="G2085" s="58">
        <f t="shared" si="36"/>
        <v>-250</v>
      </c>
      <c r="H2085" s="95" t="s">
        <v>1577</v>
      </c>
    </row>
    <row r="2086" spans="1:8" x14ac:dyDescent="0.2">
      <c r="A2086" s="594">
        <v>42698</v>
      </c>
      <c r="B2086" s="41" t="s">
        <v>1400</v>
      </c>
      <c r="C2086" s="41" t="s">
        <v>1897</v>
      </c>
      <c r="D2086" s="129" t="s">
        <v>1757</v>
      </c>
      <c r="E2086" s="42">
        <v>150</v>
      </c>
      <c r="F2086" s="58"/>
      <c r="G2086" s="58">
        <f t="shared" si="36"/>
        <v>-150</v>
      </c>
      <c r="H2086" s="95" t="s">
        <v>1577</v>
      </c>
    </row>
    <row r="2087" spans="1:8" x14ac:dyDescent="0.2">
      <c r="A2087" s="594">
        <v>42698</v>
      </c>
      <c r="B2087" s="41" t="s">
        <v>37</v>
      </c>
      <c r="C2087" s="41" t="s">
        <v>194</v>
      </c>
      <c r="D2087" s="129" t="s">
        <v>286</v>
      </c>
      <c r="E2087" s="42">
        <v>100</v>
      </c>
      <c r="F2087" s="58"/>
      <c r="G2087" s="58">
        <f t="shared" si="36"/>
        <v>-100</v>
      </c>
      <c r="H2087" s="95" t="s">
        <v>1577</v>
      </c>
    </row>
    <row r="2088" spans="1:8" x14ac:dyDescent="0.2">
      <c r="A2088" s="594">
        <v>42698</v>
      </c>
      <c r="B2088" s="41" t="s">
        <v>1400</v>
      </c>
      <c r="C2088" s="41" t="s">
        <v>1897</v>
      </c>
      <c r="D2088" s="129" t="s">
        <v>286</v>
      </c>
      <c r="E2088" s="42">
        <v>100</v>
      </c>
      <c r="F2088" s="58"/>
      <c r="G2088" s="58">
        <f t="shared" si="36"/>
        <v>-100</v>
      </c>
      <c r="H2088" s="95" t="s">
        <v>1577</v>
      </c>
    </row>
    <row r="2089" spans="1:8" x14ac:dyDescent="0.2">
      <c r="A2089" s="594">
        <v>42698</v>
      </c>
      <c r="B2089" s="41" t="s">
        <v>1400</v>
      </c>
      <c r="C2089" s="41" t="s">
        <v>1897</v>
      </c>
      <c r="D2089" s="129" t="s">
        <v>286</v>
      </c>
      <c r="E2089" s="42">
        <v>70</v>
      </c>
      <c r="F2089" s="58"/>
      <c r="G2089" s="58">
        <f t="shared" si="36"/>
        <v>-70</v>
      </c>
      <c r="H2089" s="95" t="s">
        <v>1577</v>
      </c>
    </row>
    <row r="2090" spans="1:8" x14ac:dyDescent="0.2">
      <c r="A2090" s="594">
        <v>42699</v>
      </c>
      <c r="B2090" s="41" t="s">
        <v>1493</v>
      </c>
      <c r="C2090" s="41" t="s">
        <v>220</v>
      </c>
      <c r="D2090" s="129" t="s">
        <v>1758</v>
      </c>
      <c r="E2090" s="42">
        <v>1600</v>
      </c>
      <c r="F2090" s="58"/>
      <c r="G2090" s="58">
        <f t="shared" si="36"/>
        <v>-1600</v>
      </c>
      <c r="H2090" s="95" t="s">
        <v>1577</v>
      </c>
    </row>
    <row r="2091" spans="1:8" x14ac:dyDescent="0.2">
      <c r="A2091" s="594">
        <v>42699</v>
      </c>
      <c r="B2091" s="41" t="s">
        <v>82</v>
      </c>
      <c r="C2091" s="41" t="s">
        <v>325</v>
      </c>
      <c r="D2091" s="129" t="s">
        <v>1759</v>
      </c>
      <c r="E2091" s="42">
        <v>440</v>
      </c>
      <c r="F2091" s="58"/>
      <c r="G2091" s="58">
        <f t="shared" si="36"/>
        <v>-440</v>
      </c>
      <c r="H2091" s="95" t="s">
        <v>1577</v>
      </c>
    </row>
    <row r="2092" spans="1:8" x14ac:dyDescent="0.2">
      <c r="A2092" s="594">
        <v>42700</v>
      </c>
      <c r="B2092" s="41" t="s">
        <v>40</v>
      </c>
      <c r="C2092" s="41" t="s">
        <v>220</v>
      </c>
      <c r="D2092" s="129" t="s">
        <v>1760</v>
      </c>
      <c r="E2092" s="42">
        <v>3500</v>
      </c>
      <c r="F2092" s="58"/>
      <c r="G2092" s="58">
        <f t="shared" si="36"/>
        <v>-3500</v>
      </c>
      <c r="H2092" s="95" t="s">
        <v>1577</v>
      </c>
    </row>
    <row r="2093" spans="1:8" x14ac:dyDescent="0.2">
      <c r="A2093" s="594">
        <v>42700</v>
      </c>
      <c r="B2093" s="41" t="s">
        <v>1493</v>
      </c>
      <c r="C2093" s="41" t="s">
        <v>220</v>
      </c>
      <c r="D2093" s="129" t="s">
        <v>1760</v>
      </c>
      <c r="E2093" s="42">
        <v>2000</v>
      </c>
      <c r="F2093" s="58"/>
      <c r="G2093" s="58">
        <f t="shared" si="36"/>
        <v>-2000</v>
      </c>
      <c r="H2093" s="95" t="s">
        <v>1577</v>
      </c>
    </row>
    <row r="2094" spans="1:8" x14ac:dyDescent="0.2">
      <c r="A2094" s="594">
        <v>42700</v>
      </c>
      <c r="B2094" s="41" t="s">
        <v>16</v>
      </c>
      <c r="C2094" s="41" t="s">
        <v>1704</v>
      </c>
      <c r="D2094" s="129" t="s">
        <v>1761</v>
      </c>
      <c r="E2094" s="42">
        <v>185</v>
      </c>
      <c r="F2094" s="58"/>
      <c r="G2094" s="58">
        <f t="shared" si="36"/>
        <v>-185</v>
      </c>
      <c r="H2094" s="95" t="s">
        <v>1577</v>
      </c>
    </row>
    <row r="2095" spans="1:8" x14ac:dyDescent="0.2">
      <c r="A2095" s="594">
        <v>42702</v>
      </c>
      <c r="B2095" s="41" t="s">
        <v>1493</v>
      </c>
      <c r="C2095" s="41" t="s">
        <v>220</v>
      </c>
      <c r="D2095" s="129" t="s">
        <v>1763</v>
      </c>
      <c r="E2095" s="42">
        <v>605</v>
      </c>
      <c r="F2095" s="58"/>
      <c r="G2095" s="58">
        <f t="shared" si="36"/>
        <v>-605</v>
      </c>
      <c r="H2095" s="95" t="s">
        <v>1577</v>
      </c>
    </row>
    <row r="2096" spans="1:8" x14ac:dyDescent="0.2">
      <c r="A2096" s="594">
        <v>42702</v>
      </c>
      <c r="B2096" s="41" t="s">
        <v>1493</v>
      </c>
      <c r="C2096" s="41" t="s">
        <v>1764</v>
      </c>
      <c r="D2096" s="129" t="s">
        <v>1765</v>
      </c>
      <c r="E2096" s="42">
        <v>1530</v>
      </c>
      <c r="F2096" s="58"/>
      <c r="G2096" s="58">
        <f t="shared" si="36"/>
        <v>-1530</v>
      </c>
      <c r="H2096" s="95" t="s">
        <v>1577</v>
      </c>
    </row>
    <row r="2097" spans="1:8" x14ac:dyDescent="0.2">
      <c r="A2097" s="594">
        <v>42703</v>
      </c>
      <c r="B2097" s="41" t="s">
        <v>40</v>
      </c>
      <c r="C2097" s="41" t="s">
        <v>1742</v>
      </c>
      <c r="D2097" s="129" t="s">
        <v>370</v>
      </c>
      <c r="E2097" s="42">
        <v>3000</v>
      </c>
      <c r="F2097" s="58"/>
      <c r="G2097" s="58">
        <f t="shared" si="36"/>
        <v>-3000</v>
      </c>
      <c r="H2097" s="95" t="s">
        <v>1577</v>
      </c>
    </row>
    <row r="2098" spans="1:8" x14ac:dyDescent="0.2">
      <c r="A2098" s="594">
        <v>42703</v>
      </c>
      <c r="B2098" s="41" t="s">
        <v>40</v>
      </c>
      <c r="C2098" s="41" t="s">
        <v>325</v>
      </c>
      <c r="D2098" s="129" t="s">
        <v>1766</v>
      </c>
      <c r="E2098" s="42">
        <v>2900</v>
      </c>
      <c r="F2098" s="58"/>
      <c r="G2098" s="58">
        <f t="shared" si="36"/>
        <v>-2900</v>
      </c>
      <c r="H2098" s="95" t="s">
        <v>1577</v>
      </c>
    </row>
    <row r="2099" spans="1:8" x14ac:dyDescent="0.2">
      <c r="A2099" s="594">
        <v>42703</v>
      </c>
      <c r="B2099" s="41" t="s">
        <v>1400</v>
      </c>
      <c r="C2099" s="41" t="s">
        <v>1000</v>
      </c>
      <c r="D2099" s="129" t="s">
        <v>1744</v>
      </c>
      <c r="E2099" s="42">
        <v>1630</v>
      </c>
      <c r="F2099" s="58"/>
      <c r="G2099" s="58">
        <f t="shared" si="36"/>
        <v>-1630</v>
      </c>
      <c r="H2099" s="95" t="s">
        <v>1577</v>
      </c>
    </row>
    <row r="2100" spans="1:8" ht="15" customHeight="1" x14ac:dyDescent="0.25">
      <c r="A2100" s="600">
        <v>42685</v>
      </c>
      <c r="B2100" s="2" t="s">
        <v>16</v>
      </c>
      <c r="C2100" s="41" t="s">
        <v>16</v>
      </c>
      <c r="D2100" s="129" t="s">
        <v>1774</v>
      </c>
      <c r="E2100" s="15">
        <v>30</v>
      </c>
      <c r="F2100" s="58"/>
      <c r="G2100" s="58">
        <f t="shared" si="36"/>
        <v>-30</v>
      </c>
      <c r="H2100" s="95" t="s">
        <v>1577</v>
      </c>
    </row>
    <row r="2101" spans="1:8" ht="15" customHeight="1" x14ac:dyDescent="0.25">
      <c r="A2101" s="600">
        <v>42685</v>
      </c>
      <c r="B2101" s="2" t="s">
        <v>16</v>
      </c>
      <c r="C2101" s="41" t="s">
        <v>16</v>
      </c>
      <c r="D2101" s="129" t="s">
        <v>1775</v>
      </c>
      <c r="E2101" s="15">
        <v>800</v>
      </c>
      <c r="F2101" s="58"/>
      <c r="G2101" s="58">
        <f t="shared" si="36"/>
        <v>-800</v>
      </c>
      <c r="H2101" s="95" t="s">
        <v>1577</v>
      </c>
    </row>
    <row r="2102" spans="1:8" ht="15" customHeight="1" x14ac:dyDescent="0.25">
      <c r="A2102" s="600">
        <v>42686</v>
      </c>
      <c r="B2102" s="2" t="s">
        <v>16</v>
      </c>
      <c r="C2102" s="41" t="s">
        <v>16</v>
      </c>
      <c r="D2102" s="129" t="s">
        <v>1776</v>
      </c>
      <c r="E2102" s="15">
        <v>100</v>
      </c>
      <c r="F2102" s="58"/>
      <c r="G2102" s="58">
        <f t="shared" si="36"/>
        <v>-100</v>
      </c>
      <c r="H2102" s="95" t="s">
        <v>1577</v>
      </c>
    </row>
    <row r="2103" spans="1:8" ht="15" customHeight="1" x14ac:dyDescent="0.25">
      <c r="A2103" s="600">
        <v>42688</v>
      </c>
      <c r="B2103" s="2" t="s">
        <v>16</v>
      </c>
      <c r="C2103" s="41" t="s">
        <v>16</v>
      </c>
      <c r="D2103" s="129" t="s">
        <v>1777</v>
      </c>
      <c r="E2103" s="15">
        <v>90</v>
      </c>
      <c r="F2103" s="58"/>
      <c r="G2103" s="58">
        <f t="shared" si="36"/>
        <v>-90</v>
      </c>
      <c r="H2103" s="95" t="s">
        <v>1577</v>
      </c>
    </row>
    <row r="2104" spans="1:8" ht="15" customHeight="1" x14ac:dyDescent="0.25">
      <c r="A2104" s="600">
        <v>42688</v>
      </c>
      <c r="B2104" s="2" t="s">
        <v>16</v>
      </c>
      <c r="C2104" s="41" t="s">
        <v>16</v>
      </c>
      <c r="D2104" s="129" t="s">
        <v>1778</v>
      </c>
      <c r="E2104" s="15">
        <v>60</v>
      </c>
      <c r="F2104" s="58"/>
      <c r="G2104" s="58">
        <f t="shared" si="36"/>
        <v>-60</v>
      </c>
      <c r="H2104" s="95" t="s">
        <v>1577</v>
      </c>
    </row>
    <row r="2105" spans="1:8" ht="15" customHeight="1" x14ac:dyDescent="0.25">
      <c r="A2105" s="600">
        <v>42689</v>
      </c>
      <c r="B2105" s="2" t="s">
        <v>16</v>
      </c>
      <c r="C2105" s="41" t="s">
        <v>16</v>
      </c>
      <c r="D2105" s="129" t="s">
        <v>1658</v>
      </c>
      <c r="E2105" s="15">
        <v>70</v>
      </c>
      <c r="F2105" s="58"/>
      <c r="G2105" s="58">
        <f t="shared" si="36"/>
        <v>-70</v>
      </c>
      <c r="H2105" s="95" t="s">
        <v>1577</v>
      </c>
    </row>
    <row r="2106" spans="1:8" ht="15" customHeight="1" x14ac:dyDescent="0.25">
      <c r="A2106" s="600">
        <v>42690</v>
      </c>
      <c r="B2106" s="2" t="s">
        <v>16</v>
      </c>
      <c r="C2106" s="131" t="s">
        <v>16</v>
      </c>
      <c r="D2106" s="799" t="s">
        <v>1779</v>
      </c>
      <c r="E2106" s="15">
        <v>180</v>
      </c>
      <c r="F2106" s="58"/>
      <c r="G2106" s="58">
        <f t="shared" si="36"/>
        <v>-180</v>
      </c>
      <c r="H2106" s="95" t="s">
        <v>1577</v>
      </c>
    </row>
    <row r="2107" spans="1:8" ht="15" customHeight="1" x14ac:dyDescent="0.25">
      <c r="A2107" s="600">
        <v>42690</v>
      </c>
      <c r="B2107" s="2" t="s">
        <v>16</v>
      </c>
      <c r="C2107" s="131" t="s">
        <v>16</v>
      </c>
      <c r="D2107" s="799" t="s">
        <v>1780</v>
      </c>
      <c r="E2107" s="15">
        <v>50</v>
      </c>
      <c r="F2107" s="58"/>
      <c r="G2107" s="58">
        <f t="shared" si="36"/>
        <v>-50</v>
      </c>
      <c r="H2107" s="95" t="s">
        <v>1577</v>
      </c>
    </row>
    <row r="2108" spans="1:8" ht="15" customHeight="1" x14ac:dyDescent="0.25">
      <c r="A2108" s="600">
        <v>42691</v>
      </c>
      <c r="B2108" s="2" t="s">
        <v>16</v>
      </c>
      <c r="C2108" s="41" t="s">
        <v>16</v>
      </c>
      <c r="D2108" s="129" t="s">
        <v>1781</v>
      </c>
      <c r="E2108" s="15">
        <v>720</v>
      </c>
      <c r="F2108" s="58"/>
      <c r="G2108" s="58">
        <f t="shared" si="36"/>
        <v>-720</v>
      </c>
      <c r="H2108" s="95" t="s">
        <v>1577</v>
      </c>
    </row>
    <row r="2109" spans="1:8" ht="15" customHeight="1" x14ac:dyDescent="0.25">
      <c r="A2109" s="600">
        <v>42691</v>
      </c>
      <c r="B2109" s="2" t="s">
        <v>16</v>
      </c>
      <c r="C2109" s="41" t="s">
        <v>16</v>
      </c>
      <c r="D2109" s="129" t="s">
        <v>1782</v>
      </c>
      <c r="E2109" s="15">
        <v>1000</v>
      </c>
      <c r="F2109" s="58"/>
      <c r="G2109" s="58">
        <f t="shared" si="36"/>
        <v>-1000</v>
      </c>
      <c r="H2109" s="95" t="s">
        <v>1577</v>
      </c>
    </row>
    <row r="2110" spans="1:8" ht="15" customHeight="1" x14ac:dyDescent="0.25">
      <c r="A2110" s="600">
        <v>42691</v>
      </c>
      <c r="B2110" s="2" t="s">
        <v>16</v>
      </c>
      <c r="C2110" s="41" t="s">
        <v>16</v>
      </c>
      <c r="D2110" s="129" t="s">
        <v>1655</v>
      </c>
      <c r="E2110" s="15">
        <v>80</v>
      </c>
      <c r="F2110" s="58"/>
      <c r="G2110" s="58">
        <f t="shared" si="36"/>
        <v>-80</v>
      </c>
      <c r="H2110" s="95" t="s">
        <v>1577</v>
      </c>
    </row>
    <row r="2111" spans="1:8" ht="15" customHeight="1" x14ac:dyDescent="0.25">
      <c r="A2111" s="600">
        <v>42691</v>
      </c>
      <c r="B2111" s="2" t="s">
        <v>16</v>
      </c>
      <c r="C2111" s="41" t="s">
        <v>16</v>
      </c>
      <c r="D2111" s="129" t="s">
        <v>1783</v>
      </c>
      <c r="E2111" s="15">
        <v>80</v>
      </c>
      <c r="F2111" s="58"/>
      <c r="G2111" s="58">
        <f t="shared" si="36"/>
        <v>-80</v>
      </c>
      <c r="H2111" s="95" t="s">
        <v>1577</v>
      </c>
    </row>
    <row r="2112" spans="1:8" ht="15" customHeight="1" x14ac:dyDescent="0.25">
      <c r="A2112" s="600">
        <v>42692</v>
      </c>
      <c r="B2112" s="2" t="s">
        <v>16</v>
      </c>
      <c r="C2112" s="131" t="s">
        <v>16</v>
      </c>
      <c r="D2112" s="800" t="s">
        <v>1658</v>
      </c>
      <c r="E2112" s="100">
        <v>80</v>
      </c>
      <c r="F2112" s="58"/>
      <c r="G2112" s="58">
        <f t="shared" si="36"/>
        <v>-80</v>
      </c>
      <c r="H2112" s="95" t="s">
        <v>1577</v>
      </c>
    </row>
    <row r="2113" spans="1:8" ht="15" customHeight="1" x14ac:dyDescent="0.25">
      <c r="A2113" s="600">
        <v>42693</v>
      </c>
      <c r="B2113" s="2" t="s">
        <v>16</v>
      </c>
      <c r="C2113" s="131" t="s">
        <v>16</v>
      </c>
      <c r="D2113" s="799" t="s">
        <v>1655</v>
      </c>
      <c r="E2113" s="15">
        <v>80</v>
      </c>
      <c r="F2113" s="58"/>
      <c r="G2113" s="58">
        <f t="shared" si="36"/>
        <v>-80</v>
      </c>
      <c r="H2113" s="95" t="s">
        <v>1577</v>
      </c>
    </row>
    <row r="2114" spans="1:8" ht="15" customHeight="1" x14ac:dyDescent="0.25">
      <c r="A2114" s="600">
        <v>42693</v>
      </c>
      <c r="B2114" s="2" t="s">
        <v>16</v>
      </c>
      <c r="C2114" s="41" t="s">
        <v>16</v>
      </c>
      <c r="D2114" s="129" t="s">
        <v>1784</v>
      </c>
      <c r="E2114" s="15">
        <v>500</v>
      </c>
      <c r="F2114" s="58"/>
      <c r="G2114" s="58">
        <f t="shared" si="36"/>
        <v>-500</v>
      </c>
      <c r="H2114" s="95" t="s">
        <v>1577</v>
      </c>
    </row>
    <row r="2115" spans="1:8" ht="15" customHeight="1" x14ac:dyDescent="0.25">
      <c r="A2115" s="600">
        <v>42693</v>
      </c>
      <c r="B2115" s="2" t="s">
        <v>16</v>
      </c>
      <c r="C2115" s="41" t="s">
        <v>16</v>
      </c>
      <c r="D2115" s="129" t="s">
        <v>1655</v>
      </c>
      <c r="E2115" s="15">
        <v>80</v>
      </c>
      <c r="F2115" s="58"/>
      <c r="G2115" s="58">
        <f t="shared" si="36"/>
        <v>-80</v>
      </c>
      <c r="H2115" s="95" t="s">
        <v>1577</v>
      </c>
    </row>
    <row r="2116" spans="1:8" ht="15" customHeight="1" x14ac:dyDescent="0.25">
      <c r="A2116" s="600">
        <v>42695</v>
      </c>
      <c r="B2116" s="2" t="s">
        <v>16</v>
      </c>
      <c r="C2116" s="41" t="s">
        <v>16</v>
      </c>
      <c r="D2116" s="129" t="s">
        <v>1785</v>
      </c>
      <c r="E2116" s="15">
        <v>150</v>
      </c>
      <c r="F2116" s="58"/>
      <c r="G2116" s="58">
        <f t="shared" si="36"/>
        <v>-150</v>
      </c>
      <c r="H2116" s="95" t="s">
        <v>1577</v>
      </c>
    </row>
    <row r="2117" spans="1:8" ht="15" customHeight="1" x14ac:dyDescent="0.25">
      <c r="A2117" s="600">
        <v>42697</v>
      </c>
      <c r="B2117" s="2" t="s">
        <v>16</v>
      </c>
      <c r="C2117" s="41" t="s">
        <v>16</v>
      </c>
      <c r="D2117" s="129" t="s">
        <v>1786</v>
      </c>
      <c r="E2117" s="15">
        <v>1000</v>
      </c>
      <c r="F2117" s="58"/>
      <c r="G2117" s="58">
        <f t="shared" si="36"/>
        <v>-1000</v>
      </c>
      <c r="H2117" s="95" t="s">
        <v>1577</v>
      </c>
    </row>
    <row r="2118" spans="1:8" ht="15" customHeight="1" x14ac:dyDescent="0.25">
      <c r="A2118" s="600">
        <v>42697</v>
      </c>
      <c r="B2118" s="2" t="s">
        <v>16</v>
      </c>
      <c r="C2118" s="41" t="s">
        <v>16</v>
      </c>
      <c r="D2118" s="129" t="s">
        <v>1787</v>
      </c>
      <c r="E2118" s="15">
        <v>1400</v>
      </c>
      <c r="F2118" s="58"/>
      <c r="G2118" s="58">
        <f t="shared" si="36"/>
        <v>-1400</v>
      </c>
      <c r="H2118" s="95" t="s">
        <v>1577</v>
      </c>
    </row>
    <row r="2119" spans="1:8" ht="15" customHeight="1" x14ac:dyDescent="0.25">
      <c r="A2119" s="600">
        <v>42697</v>
      </c>
      <c r="B2119" s="2" t="s">
        <v>16</v>
      </c>
      <c r="C2119" s="41" t="s">
        <v>16</v>
      </c>
      <c r="D2119" s="129" t="s">
        <v>1788</v>
      </c>
      <c r="E2119" s="15">
        <v>90</v>
      </c>
      <c r="F2119" s="58"/>
      <c r="G2119" s="58">
        <f t="shared" si="36"/>
        <v>-90</v>
      </c>
      <c r="H2119" s="95" t="s">
        <v>1577</v>
      </c>
    </row>
    <row r="2120" spans="1:8" ht="15" customHeight="1" x14ac:dyDescent="0.25">
      <c r="A2120" s="600">
        <v>42697</v>
      </c>
      <c r="B2120" s="2" t="s">
        <v>16</v>
      </c>
      <c r="C2120" s="41" t="s">
        <v>16</v>
      </c>
      <c r="D2120" s="129" t="s">
        <v>1789</v>
      </c>
      <c r="E2120" s="15">
        <v>170</v>
      </c>
      <c r="F2120" s="58"/>
      <c r="G2120" s="58">
        <f t="shared" si="36"/>
        <v>-170</v>
      </c>
      <c r="H2120" s="95" t="s">
        <v>1577</v>
      </c>
    </row>
    <row r="2121" spans="1:8" ht="15" customHeight="1" x14ac:dyDescent="0.25">
      <c r="A2121" s="600">
        <v>42697</v>
      </c>
      <c r="B2121" s="2" t="s">
        <v>16</v>
      </c>
      <c r="C2121" s="41" t="s">
        <v>16</v>
      </c>
      <c r="D2121" s="129" t="s">
        <v>1790</v>
      </c>
      <c r="E2121" s="15">
        <v>210</v>
      </c>
      <c r="F2121" s="58"/>
      <c r="G2121" s="58">
        <f t="shared" ref="G2121:G2184" si="37">F2121-E2121</f>
        <v>-210</v>
      </c>
      <c r="H2121" s="95" t="s">
        <v>1577</v>
      </c>
    </row>
    <row r="2122" spans="1:8" ht="15" customHeight="1" x14ac:dyDescent="0.25">
      <c r="A2122" s="600">
        <v>42697</v>
      </c>
      <c r="B2122" s="2" t="s">
        <v>16</v>
      </c>
      <c r="C2122" s="41" t="s">
        <v>16</v>
      </c>
      <c r="D2122" s="129" t="s">
        <v>1791</v>
      </c>
      <c r="E2122" s="96">
        <v>185</v>
      </c>
      <c r="F2122" s="58"/>
      <c r="G2122" s="58">
        <f t="shared" si="37"/>
        <v>-185</v>
      </c>
      <c r="H2122" s="95" t="s">
        <v>1577</v>
      </c>
    </row>
    <row r="2123" spans="1:8" ht="15" customHeight="1" x14ac:dyDescent="0.25">
      <c r="A2123" s="600">
        <v>42698</v>
      </c>
      <c r="B2123" s="2" t="s">
        <v>16</v>
      </c>
      <c r="C2123" s="41" t="s">
        <v>16</v>
      </c>
      <c r="D2123" s="129" t="s">
        <v>1792</v>
      </c>
      <c r="E2123" s="15">
        <v>2000</v>
      </c>
      <c r="F2123" s="58"/>
      <c r="G2123" s="58">
        <f t="shared" si="37"/>
        <v>-2000</v>
      </c>
      <c r="H2123" s="95" t="s">
        <v>1577</v>
      </c>
    </row>
    <row r="2124" spans="1:8" ht="15" customHeight="1" x14ac:dyDescent="0.25">
      <c r="A2124" s="600">
        <v>42698</v>
      </c>
      <c r="B2124" s="2" t="s">
        <v>16</v>
      </c>
      <c r="C2124" s="41" t="s">
        <v>16</v>
      </c>
      <c r="D2124" s="129" t="s">
        <v>1793</v>
      </c>
      <c r="E2124" s="15">
        <v>15</v>
      </c>
      <c r="F2124" s="58"/>
      <c r="G2124" s="58">
        <f t="shared" si="37"/>
        <v>-15</v>
      </c>
      <c r="H2124" s="95" t="s">
        <v>1577</v>
      </c>
    </row>
    <row r="2125" spans="1:8" ht="15" customHeight="1" x14ac:dyDescent="0.25">
      <c r="A2125" s="600">
        <v>42698</v>
      </c>
      <c r="B2125" s="2" t="s">
        <v>16</v>
      </c>
      <c r="C2125" s="41" t="s">
        <v>16</v>
      </c>
      <c r="D2125" s="129" t="s">
        <v>1794</v>
      </c>
      <c r="E2125" s="15">
        <v>180</v>
      </c>
      <c r="F2125" s="58"/>
      <c r="G2125" s="58">
        <f t="shared" si="37"/>
        <v>-180</v>
      </c>
      <c r="H2125" s="95" t="s">
        <v>1577</v>
      </c>
    </row>
    <row r="2126" spans="1:8" ht="15" customHeight="1" x14ac:dyDescent="0.25">
      <c r="A2126" s="600">
        <v>42699</v>
      </c>
      <c r="B2126" s="2" t="s">
        <v>16</v>
      </c>
      <c r="C2126" s="41" t="s">
        <v>16</v>
      </c>
      <c r="D2126" s="129" t="s">
        <v>1614</v>
      </c>
      <c r="E2126" s="15">
        <v>100</v>
      </c>
      <c r="F2126" s="58"/>
      <c r="G2126" s="58">
        <f t="shared" si="37"/>
        <v>-100</v>
      </c>
      <c r="H2126" s="95" t="s">
        <v>1577</v>
      </c>
    </row>
    <row r="2127" spans="1:8" ht="15" customHeight="1" x14ac:dyDescent="0.25">
      <c r="A2127" s="600">
        <v>42700</v>
      </c>
      <c r="B2127" s="2" t="s">
        <v>16</v>
      </c>
      <c r="C2127" s="41" t="s">
        <v>16</v>
      </c>
      <c r="D2127" s="129" t="s">
        <v>1795</v>
      </c>
      <c r="E2127" s="15">
        <v>74</v>
      </c>
      <c r="F2127" s="58"/>
      <c r="G2127" s="58">
        <f t="shared" si="37"/>
        <v>-74</v>
      </c>
      <c r="H2127" s="95" t="s">
        <v>1577</v>
      </c>
    </row>
    <row r="2128" spans="1:8" ht="15" customHeight="1" x14ac:dyDescent="0.25">
      <c r="A2128" s="600">
        <v>42701</v>
      </c>
      <c r="B2128" s="2" t="s">
        <v>16</v>
      </c>
      <c r="C2128" s="41" t="s">
        <v>16</v>
      </c>
      <c r="D2128" s="129" t="s">
        <v>1796</v>
      </c>
      <c r="E2128" s="15">
        <v>500</v>
      </c>
      <c r="F2128" s="58"/>
      <c r="G2128" s="58">
        <f t="shared" si="37"/>
        <v>-500</v>
      </c>
      <c r="H2128" s="95" t="s">
        <v>1577</v>
      </c>
    </row>
    <row r="2129" spans="1:8" ht="15" customHeight="1" x14ac:dyDescent="0.25">
      <c r="A2129" s="600">
        <v>42702</v>
      </c>
      <c r="B2129" s="2" t="s">
        <v>16</v>
      </c>
      <c r="C2129" s="41" t="s">
        <v>16</v>
      </c>
      <c r="D2129" s="129" t="s">
        <v>1797</v>
      </c>
      <c r="E2129" s="15">
        <v>120</v>
      </c>
      <c r="F2129" s="58"/>
      <c r="G2129" s="58">
        <f t="shared" si="37"/>
        <v>-120</v>
      </c>
      <c r="H2129" s="95" t="s">
        <v>1577</v>
      </c>
    </row>
    <row r="2130" spans="1:8" ht="15" customHeight="1" x14ac:dyDescent="0.25">
      <c r="A2130" s="600">
        <v>42702</v>
      </c>
      <c r="B2130" s="2" t="s">
        <v>16</v>
      </c>
      <c r="C2130" s="41" t="s">
        <v>16</v>
      </c>
      <c r="D2130" s="108" t="s">
        <v>1798</v>
      </c>
      <c r="E2130" s="15">
        <v>25</v>
      </c>
      <c r="F2130" s="58"/>
      <c r="G2130" s="58">
        <f t="shared" si="37"/>
        <v>-25</v>
      </c>
      <c r="H2130" s="95" t="s">
        <v>1577</v>
      </c>
    </row>
    <row r="2131" spans="1:8" ht="15" customHeight="1" x14ac:dyDescent="0.25">
      <c r="A2131" s="600">
        <v>42703</v>
      </c>
      <c r="B2131" s="2" t="s">
        <v>16</v>
      </c>
      <c r="C2131" s="41" t="s">
        <v>16</v>
      </c>
      <c r="D2131" s="108" t="s">
        <v>1799</v>
      </c>
      <c r="E2131" s="15">
        <v>850</v>
      </c>
      <c r="F2131" s="58"/>
      <c r="G2131" s="58">
        <f t="shared" si="37"/>
        <v>-850</v>
      </c>
      <c r="H2131" s="95" t="s">
        <v>1577</v>
      </c>
    </row>
    <row r="2132" spans="1:8" ht="15" customHeight="1" x14ac:dyDescent="0.25">
      <c r="A2132" s="600">
        <v>42703</v>
      </c>
      <c r="B2132" s="2" t="s">
        <v>16</v>
      </c>
      <c r="C2132" s="41" t="s">
        <v>16</v>
      </c>
      <c r="D2132" s="108" t="s">
        <v>1800</v>
      </c>
      <c r="E2132" s="15">
        <v>140</v>
      </c>
      <c r="F2132" s="58"/>
      <c r="G2132" s="58">
        <f t="shared" si="37"/>
        <v>-140</v>
      </c>
      <c r="H2132" s="95" t="s">
        <v>1577</v>
      </c>
    </row>
    <row r="2133" spans="1:8" ht="12.75" customHeight="1" x14ac:dyDescent="0.2">
      <c r="A2133" s="598">
        <v>42676</v>
      </c>
      <c r="B2133" s="59" t="s">
        <v>40</v>
      </c>
      <c r="C2133" s="59" t="s">
        <v>1531</v>
      </c>
      <c r="D2133" s="103" t="s">
        <v>1535</v>
      </c>
      <c r="E2133" s="60">
        <v>35000</v>
      </c>
      <c r="F2133" s="60"/>
      <c r="G2133" s="60">
        <f t="shared" si="37"/>
        <v>-35000</v>
      </c>
      <c r="H2133" s="77" t="s">
        <v>1577</v>
      </c>
    </row>
    <row r="2134" spans="1:8" ht="12.75" customHeight="1" x14ac:dyDescent="0.2">
      <c r="A2134" s="598">
        <v>42677</v>
      </c>
      <c r="B2134" s="59" t="s">
        <v>40</v>
      </c>
      <c r="C2134" s="59" t="s">
        <v>1532</v>
      </c>
      <c r="D2134" s="103" t="s">
        <v>1536</v>
      </c>
      <c r="E2134" s="60">
        <v>250000</v>
      </c>
      <c r="F2134" s="60"/>
      <c r="G2134" s="60">
        <f t="shared" si="37"/>
        <v>-250000</v>
      </c>
      <c r="H2134" s="77" t="s">
        <v>1577</v>
      </c>
    </row>
    <row r="2135" spans="1:8" ht="12.75" customHeight="1" x14ac:dyDescent="0.2">
      <c r="A2135" s="601">
        <v>42676</v>
      </c>
      <c r="B2135" s="88" t="s">
        <v>40</v>
      </c>
      <c r="C2135" s="59" t="s">
        <v>180</v>
      </c>
      <c r="D2135" s="103" t="s">
        <v>1538</v>
      </c>
      <c r="E2135" s="89">
        <v>146519</v>
      </c>
      <c r="F2135" s="60"/>
      <c r="G2135" s="60">
        <f t="shared" si="37"/>
        <v>-146519</v>
      </c>
      <c r="H2135" s="77" t="s">
        <v>1577</v>
      </c>
    </row>
    <row r="2136" spans="1:8" ht="12.75" customHeight="1" x14ac:dyDescent="0.2">
      <c r="A2136" s="601">
        <v>42676</v>
      </c>
      <c r="B2136" s="88" t="s">
        <v>82</v>
      </c>
      <c r="C2136" s="59" t="s">
        <v>180</v>
      </c>
      <c r="D2136" s="103" t="s">
        <v>1538</v>
      </c>
      <c r="E2136" s="89">
        <v>255004</v>
      </c>
      <c r="F2136" s="60"/>
      <c r="G2136" s="60">
        <f t="shared" si="37"/>
        <v>-255004</v>
      </c>
      <c r="H2136" s="77" t="s">
        <v>1577</v>
      </c>
    </row>
    <row r="2137" spans="1:8" ht="12.75" customHeight="1" x14ac:dyDescent="0.2">
      <c r="A2137" s="598">
        <v>42681</v>
      </c>
      <c r="B2137" s="59" t="s">
        <v>40</v>
      </c>
      <c r="C2137" s="59" t="s">
        <v>555</v>
      </c>
      <c r="D2137" s="103" t="s">
        <v>1578</v>
      </c>
      <c r="E2137" s="60">
        <v>1000000</v>
      </c>
      <c r="F2137" s="60"/>
      <c r="G2137" s="60">
        <f t="shared" si="37"/>
        <v>-1000000</v>
      </c>
      <c r="H2137" s="77" t="s">
        <v>1577</v>
      </c>
    </row>
    <row r="2138" spans="1:8" ht="12.75" customHeight="1" x14ac:dyDescent="0.2">
      <c r="A2138" s="598">
        <v>42681</v>
      </c>
      <c r="B2138" s="59" t="s">
        <v>40</v>
      </c>
      <c r="C2138" s="59" t="s">
        <v>63</v>
      </c>
      <c r="D2138" s="103" t="s">
        <v>1579</v>
      </c>
      <c r="E2138" s="60">
        <v>30000</v>
      </c>
      <c r="F2138" s="60"/>
      <c r="G2138" s="60">
        <f t="shared" si="37"/>
        <v>-30000</v>
      </c>
      <c r="H2138" s="77" t="s">
        <v>1577</v>
      </c>
    </row>
    <row r="2139" spans="1:8" ht="12.75" customHeight="1" x14ac:dyDescent="0.2">
      <c r="A2139" s="598">
        <v>42689</v>
      </c>
      <c r="B2139" s="59" t="s">
        <v>40</v>
      </c>
      <c r="C2139" s="59" t="s">
        <v>247</v>
      </c>
      <c r="D2139" s="103" t="s">
        <v>1674</v>
      </c>
      <c r="E2139" s="60">
        <v>15000</v>
      </c>
      <c r="F2139" s="60"/>
      <c r="G2139" s="60">
        <f t="shared" si="37"/>
        <v>-15000</v>
      </c>
      <c r="H2139" s="77" t="s">
        <v>1577</v>
      </c>
    </row>
    <row r="2140" spans="1:8" ht="12.75" customHeight="1" x14ac:dyDescent="0.2">
      <c r="A2140" s="598">
        <v>42689</v>
      </c>
      <c r="B2140" s="59" t="s">
        <v>1493</v>
      </c>
      <c r="C2140" s="59" t="s">
        <v>929</v>
      </c>
      <c r="D2140" s="103" t="s">
        <v>1675</v>
      </c>
      <c r="E2140" s="60">
        <v>50000</v>
      </c>
      <c r="F2140" s="60"/>
      <c r="G2140" s="60">
        <f t="shared" si="37"/>
        <v>-50000</v>
      </c>
      <c r="H2140" s="77" t="s">
        <v>1577</v>
      </c>
    </row>
    <row r="2141" spans="1:8" x14ac:dyDescent="0.2">
      <c r="A2141" s="598">
        <v>42690</v>
      </c>
      <c r="B2141" s="59" t="s">
        <v>1493</v>
      </c>
      <c r="C2141" s="59" t="s">
        <v>670</v>
      </c>
      <c r="D2141" s="103" t="s">
        <v>1678</v>
      </c>
      <c r="E2141" s="60">
        <v>23760</v>
      </c>
      <c r="F2141" s="60"/>
      <c r="G2141" s="60">
        <f t="shared" si="37"/>
        <v>-23760</v>
      </c>
      <c r="H2141" s="77" t="s">
        <v>1577</v>
      </c>
    </row>
    <row r="2142" spans="1:8" ht="24" x14ac:dyDescent="0.2">
      <c r="A2142" s="598">
        <v>42691</v>
      </c>
      <c r="B2142" s="59" t="s">
        <v>1493</v>
      </c>
      <c r="C2142" s="59" t="s">
        <v>895</v>
      </c>
      <c r="D2142" s="104" t="s">
        <v>1679</v>
      </c>
      <c r="E2142" s="60">
        <v>241020</v>
      </c>
      <c r="F2142" s="60"/>
      <c r="G2142" s="60">
        <f t="shared" si="37"/>
        <v>-241020</v>
      </c>
      <c r="H2142" s="77" t="s">
        <v>1577</v>
      </c>
    </row>
    <row r="2143" spans="1:8" x14ac:dyDescent="0.2">
      <c r="A2143" s="598">
        <v>42692</v>
      </c>
      <c r="B2143" s="59" t="s">
        <v>40</v>
      </c>
      <c r="C2143" s="59" t="s">
        <v>573</v>
      </c>
      <c r="D2143" s="103" t="s">
        <v>1680</v>
      </c>
      <c r="E2143" s="60">
        <v>100000</v>
      </c>
      <c r="F2143" s="60"/>
      <c r="G2143" s="60">
        <f t="shared" si="37"/>
        <v>-100000</v>
      </c>
      <c r="H2143" s="77" t="s">
        <v>1577</v>
      </c>
    </row>
    <row r="2144" spans="1:8" x14ac:dyDescent="0.2">
      <c r="A2144" s="598">
        <v>42692</v>
      </c>
      <c r="B2144" s="59" t="s">
        <v>1493</v>
      </c>
      <c r="C2144" s="59" t="s">
        <v>307</v>
      </c>
      <c r="D2144" s="103" t="s">
        <v>1830</v>
      </c>
      <c r="E2144" s="60">
        <v>99000</v>
      </c>
      <c r="F2144" s="60"/>
      <c r="G2144" s="60">
        <f t="shared" si="37"/>
        <v>-99000</v>
      </c>
      <c r="H2144" s="77" t="s">
        <v>1577</v>
      </c>
    </row>
    <row r="2145" spans="1:8" x14ac:dyDescent="0.2">
      <c r="A2145" s="598">
        <v>42692</v>
      </c>
      <c r="B2145" s="59" t="s">
        <v>154</v>
      </c>
      <c r="C2145" s="59" t="s">
        <v>1519</v>
      </c>
      <c r="D2145" s="103" t="s">
        <v>1681</v>
      </c>
      <c r="E2145" s="60">
        <v>50000</v>
      </c>
      <c r="F2145" s="60"/>
      <c r="G2145" s="60">
        <f t="shared" si="37"/>
        <v>-50000</v>
      </c>
      <c r="H2145" s="77" t="s">
        <v>1577</v>
      </c>
    </row>
    <row r="2146" spans="1:8" x14ac:dyDescent="0.2">
      <c r="A2146" s="598">
        <v>42692</v>
      </c>
      <c r="B2146" s="59" t="s">
        <v>154</v>
      </c>
      <c r="C2146" s="59" t="s">
        <v>1519</v>
      </c>
      <c r="D2146" s="103" t="s">
        <v>1682</v>
      </c>
      <c r="E2146" s="60">
        <v>28000</v>
      </c>
      <c r="F2146" s="60"/>
      <c r="G2146" s="60">
        <f t="shared" si="37"/>
        <v>-28000</v>
      </c>
      <c r="H2146" s="77" t="s">
        <v>1577</v>
      </c>
    </row>
    <row r="2147" spans="1:8" x14ac:dyDescent="0.2">
      <c r="A2147" s="598">
        <v>42702</v>
      </c>
      <c r="B2147" s="59" t="s">
        <v>16</v>
      </c>
      <c r="C2147" s="59" t="s">
        <v>1689</v>
      </c>
      <c r="D2147" s="103" t="s">
        <v>1690</v>
      </c>
      <c r="E2147" s="60">
        <v>21060</v>
      </c>
      <c r="F2147" s="60"/>
      <c r="G2147" s="60">
        <f t="shared" si="37"/>
        <v>-21060</v>
      </c>
      <c r="H2147" s="77" t="s">
        <v>1577</v>
      </c>
    </row>
    <row r="2148" spans="1:8" x14ac:dyDescent="0.2">
      <c r="A2148" s="598">
        <v>42702</v>
      </c>
      <c r="B2148" s="59" t="s">
        <v>25</v>
      </c>
      <c r="C2148" s="59" t="s">
        <v>1689</v>
      </c>
      <c r="D2148" s="103" t="s">
        <v>1690</v>
      </c>
      <c r="E2148" s="60">
        <v>14935</v>
      </c>
      <c r="F2148" s="60"/>
      <c r="G2148" s="60">
        <f t="shared" si="37"/>
        <v>-14935</v>
      </c>
      <c r="H2148" s="77" t="s">
        <v>1577</v>
      </c>
    </row>
    <row r="2149" spans="1:8" x14ac:dyDescent="0.2">
      <c r="A2149" s="598">
        <v>42702</v>
      </c>
      <c r="B2149" s="59" t="s">
        <v>1691</v>
      </c>
      <c r="C2149" s="59" t="s">
        <v>1692</v>
      </c>
      <c r="D2149" s="103" t="s">
        <v>1693</v>
      </c>
      <c r="E2149" s="60">
        <v>69750</v>
      </c>
      <c r="F2149" s="60"/>
      <c r="G2149" s="60">
        <f t="shared" si="37"/>
        <v>-69750</v>
      </c>
      <c r="H2149" s="77" t="s">
        <v>1577</v>
      </c>
    </row>
    <row r="2150" spans="1:8" x14ac:dyDescent="0.2">
      <c r="A2150" s="598">
        <v>42702</v>
      </c>
      <c r="B2150" s="59" t="s">
        <v>40</v>
      </c>
      <c r="C2150" s="59" t="s">
        <v>895</v>
      </c>
      <c r="D2150" s="103" t="s">
        <v>1768</v>
      </c>
      <c r="E2150" s="60">
        <v>24000</v>
      </c>
      <c r="F2150" s="60"/>
      <c r="G2150" s="60">
        <f t="shared" si="37"/>
        <v>-24000</v>
      </c>
      <c r="H2150" s="77" t="s">
        <v>1577</v>
      </c>
    </row>
    <row r="2151" spans="1:8" x14ac:dyDescent="0.2">
      <c r="A2151" s="598">
        <v>42702</v>
      </c>
      <c r="B2151" s="59" t="s">
        <v>1493</v>
      </c>
      <c r="C2151" s="59" t="s">
        <v>895</v>
      </c>
      <c r="D2151" s="103" t="s">
        <v>1768</v>
      </c>
      <c r="E2151" s="60">
        <v>65000</v>
      </c>
      <c r="F2151" s="60"/>
      <c r="G2151" s="60">
        <f t="shared" si="37"/>
        <v>-65000</v>
      </c>
      <c r="H2151" s="77" t="s">
        <v>1577</v>
      </c>
    </row>
    <row r="2152" spans="1:8" x14ac:dyDescent="0.2">
      <c r="A2152" s="598">
        <v>42703</v>
      </c>
      <c r="B2152" s="59" t="s">
        <v>25</v>
      </c>
      <c r="C2152" s="59" t="s">
        <v>551</v>
      </c>
      <c r="D2152" s="103" t="s">
        <v>1769</v>
      </c>
      <c r="E2152" s="60">
        <v>45000</v>
      </c>
      <c r="F2152" s="60"/>
      <c r="G2152" s="60">
        <f t="shared" si="37"/>
        <v>-45000</v>
      </c>
      <c r="H2152" s="77" t="s">
        <v>1577</v>
      </c>
    </row>
    <row r="2153" spans="1:8" x14ac:dyDescent="0.2">
      <c r="A2153" s="598">
        <v>42703</v>
      </c>
      <c r="B2153" s="59" t="s">
        <v>154</v>
      </c>
      <c r="C2153" s="59" t="s">
        <v>263</v>
      </c>
      <c r="D2153" s="103" t="s">
        <v>1770</v>
      </c>
      <c r="E2153" s="60">
        <v>109590</v>
      </c>
      <c r="F2153" s="60"/>
      <c r="G2153" s="60">
        <f t="shared" si="37"/>
        <v>-109590</v>
      </c>
      <c r="H2153" s="77" t="s">
        <v>1577</v>
      </c>
    </row>
    <row r="2154" spans="1:8" x14ac:dyDescent="0.2">
      <c r="A2154" s="598">
        <v>42703</v>
      </c>
      <c r="B2154" s="59" t="s">
        <v>40</v>
      </c>
      <c r="C2154" s="59" t="s">
        <v>263</v>
      </c>
      <c r="D2154" s="103" t="s">
        <v>1770</v>
      </c>
      <c r="E2154" s="60">
        <v>110</v>
      </c>
      <c r="F2154" s="60"/>
      <c r="G2154" s="60">
        <f t="shared" si="37"/>
        <v>-110</v>
      </c>
      <c r="H2154" s="77" t="s">
        <v>1577</v>
      </c>
    </row>
    <row r="2155" spans="1:8" x14ac:dyDescent="0.2">
      <c r="A2155" s="598">
        <v>42703</v>
      </c>
      <c r="B2155" s="59" t="s">
        <v>1493</v>
      </c>
      <c r="C2155" s="59" t="s">
        <v>670</v>
      </c>
      <c r="D2155" s="103" t="s">
        <v>1771</v>
      </c>
      <c r="E2155" s="60">
        <v>13000</v>
      </c>
      <c r="F2155" s="60"/>
      <c r="G2155" s="60">
        <f t="shared" si="37"/>
        <v>-13000</v>
      </c>
      <c r="H2155" s="77" t="s">
        <v>1577</v>
      </c>
    </row>
    <row r="2156" spans="1:8" x14ac:dyDescent="0.2">
      <c r="A2156" s="599">
        <v>42684</v>
      </c>
      <c r="B2156" s="91" t="s">
        <v>82</v>
      </c>
      <c r="C2156" s="41" t="s">
        <v>82</v>
      </c>
      <c r="D2156" s="798" t="s">
        <v>1660</v>
      </c>
      <c r="E2156" s="92"/>
      <c r="F2156" s="92">
        <v>197085</v>
      </c>
      <c r="G2156" s="92">
        <f t="shared" si="37"/>
        <v>197085</v>
      </c>
      <c r="H2156" s="93" t="s">
        <v>1577</v>
      </c>
    </row>
    <row r="2157" spans="1:8" x14ac:dyDescent="0.2">
      <c r="A2157" s="599">
        <v>42684</v>
      </c>
      <c r="B2157" s="91" t="s">
        <v>37</v>
      </c>
      <c r="C2157" s="41" t="s">
        <v>37</v>
      </c>
      <c r="D2157" s="798" t="s">
        <v>1673</v>
      </c>
      <c r="E2157" s="92"/>
      <c r="F2157" s="92">
        <v>157140</v>
      </c>
      <c r="G2157" s="92">
        <f t="shared" si="37"/>
        <v>157140</v>
      </c>
      <c r="H2157" s="93" t="s">
        <v>1577</v>
      </c>
    </row>
    <row r="2158" spans="1:8" x14ac:dyDescent="0.2">
      <c r="A2158" s="599">
        <v>42684</v>
      </c>
      <c r="B2158" s="91" t="s">
        <v>1493</v>
      </c>
      <c r="C2158" s="41" t="s">
        <v>1493</v>
      </c>
      <c r="D2158" s="798" t="s">
        <v>1669</v>
      </c>
      <c r="E2158" s="92"/>
      <c r="F2158" s="92">
        <v>1102698</v>
      </c>
      <c r="G2158" s="92">
        <f t="shared" si="37"/>
        <v>1102698</v>
      </c>
      <c r="H2158" s="93" t="s">
        <v>1577</v>
      </c>
    </row>
    <row r="2159" spans="1:8" x14ac:dyDescent="0.2">
      <c r="A2159" s="599">
        <v>42690</v>
      </c>
      <c r="B2159" s="91" t="s">
        <v>40</v>
      </c>
      <c r="C2159" s="41" t="s">
        <v>40</v>
      </c>
      <c r="D2159" s="798" t="s">
        <v>1672</v>
      </c>
      <c r="E2159" s="92"/>
      <c r="F2159" s="92">
        <v>1000000</v>
      </c>
      <c r="G2159" s="92">
        <f t="shared" si="37"/>
        <v>1000000</v>
      </c>
      <c r="H2159" s="93" t="s">
        <v>1577</v>
      </c>
    </row>
    <row r="2160" spans="1:8" x14ac:dyDescent="0.2">
      <c r="A2160" s="599">
        <v>42690</v>
      </c>
      <c r="B2160" s="91" t="s">
        <v>40</v>
      </c>
      <c r="C2160" s="41" t="s">
        <v>40</v>
      </c>
      <c r="D2160" s="798" t="s">
        <v>1672</v>
      </c>
      <c r="E2160" s="92"/>
      <c r="F2160" s="92">
        <v>880000</v>
      </c>
      <c r="G2160" s="92">
        <f t="shared" si="37"/>
        <v>880000</v>
      </c>
      <c r="H2160" s="93" t="s">
        <v>1577</v>
      </c>
    </row>
    <row r="2161" spans="1:8" x14ac:dyDescent="0.2">
      <c r="A2161" s="597">
        <v>42709</v>
      </c>
      <c r="B2161" s="41" t="s">
        <v>16</v>
      </c>
      <c r="C2161" s="41" t="s">
        <v>1230</v>
      </c>
      <c r="D2161" s="129" t="s">
        <v>1838</v>
      </c>
      <c r="E2161" s="58">
        <v>2500</v>
      </c>
      <c r="F2161" s="58"/>
      <c r="G2161" s="58">
        <f t="shared" si="37"/>
        <v>-2500</v>
      </c>
      <c r="H2161" s="49" t="s">
        <v>1801</v>
      </c>
    </row>
    <row r="2162" spans="1:8" x14ac:dyDescent="0.2">
      <c r="A2162" s="597">
        <v>42709</v>
      </c>
      <c r="B2162" s="41" t="s">
        <v>25</v>
      </c>
      <c r="C2162" s="41" t="s">
        <v>1230</v>
      </c>
      <c r="D2162" s="129" t="s">
        <v>1839</v>
      </c>
      <c r="E2162" s="58">
        <v>5000</v>
      </c>
      <c r="F2162" s="58"/>
      <c r="G2162" s="58">
        <f t="shared" si="37"/>
        <v>-5000</v>
      </c>
      <c r="H2162" s="49" t="s">
        <v>1801</v>
      </c>
    </row>
    <row r="2163" spans="1:8" x14ac:dyDescent="0.2">
      <c r="A2163" s="597">
        <v>42709</v>
      </c>
      <c r="B2163" s="41" t="s">
        <v>25</v>
      </c>
      <c r="C2163" s="41" t="s">
        <v>1230</v>
      </c>
      <c r="D2163" s="129" t="s">
        <v>1840</v>
      </c>
      <c r="E2163" s="58">
        <v>4000</v>
      </c>
      <c r="F2163" s="58"/>
      <c r="G2163" s="58">
        <f t="shared" si="37"/>
        <v>-4000</v>
      </c>
      <c r="H2163" s="49" t="s">
        <v>1801</v>
      </c>
    </row>
    <row r="2164" spans="1:8" x14ac:dyDescent="0.2">
      <c r="A2164" s="597">
        <v>42709</v>
      </c>
      <c r="B2164" s="41" t="s">
        <v>25</v>
      </c>
      <c r="C2164" s="41" t="s">
        <v>1230</v>
      </c>
      <c r="D2164" s="129" t="s">
        <v>1547</v>
      </c>
      <c r="E2164" s="58">
        <v>9000</v>
      </c>
      <c r="F2164" s="58"/>
      <c r="G2164" s="58">
        <f t="shared" si="37"/>
        <v>-9000</v>
      </c>
      <c r="H2164" s="49" t="s">
        <v>1801</v>
      </c>
    </row>
    <row r="2165" spans="1:8" x14ac:dyDescent="0.2">
      <c r="A2165" s="597">
        <v>42709</v>
      </c>
      <c r="B2165" s="41" t="s">
        <v>1400</v>
      </c>
      <c r="C2165" s="41" t="s">
        <v>1230</v>
      </c>
      <c r="D2165" s="129" t="s">
        <v>1684</v>
      </c>
      <c r="E2165" s="58">
        <v>15000</v>
      </c>
      <c r="F2165" s="58"/>
      <c r="G2165" s="58">
        <f t="shared" si="37"/>
        <v>-15000</v>
      </c>
      <c r="H2165" s="49" t="s">
        <v>1801</v>
      </c>
    </row>
    <row r="2166" spans="1:8" x14ac:dyDescent="0.2">
      <c r="A2166" s="597">
        <v>42709</v>
      </c>
      <c r="B2166" s="41" t="s">
        <v>16</v>
      </c>
      <c r="C2166" s="41" t="s">
        <v>1230</v>
      </c>
      <c r="D2166" s="129" t="s">
        <v>1842</v>
      </c>
      <c r="E2166" s="58">
        <v>20000</v>
      </c>
      <c r="F2166" s="58"/>
      <c r="G2166" s="58">
        <f t="shared" si="37"/>
        <v>-20000</v>
      </c>
      <c r="H2166" s="49" t="s">
        <v>1801</v>
      </c>
    </row>
    <row r="2167" spans="1:8" x14ac:dyDescent="0.2">
      <c r="A2167" s="597">
        <v>42709</v>
      </c>
      <c r="B2167" s="41" t="s">
        <v>16</v>
      </c>
      <c r="C2167" s="41" t="s">
        <v>1230</v>
      </c>
      <c r="D2167" s="129" t="s">
        <v>1843</v>
      </c>
      <c r="E2167" s="58">
        <v>14000</v>
      </c>
      <c r="F2167" s="58"/>
      <c r="G2167" s="58">
        <f t="shared" si="37"/>
        <v>-14000</v>
      </c>
      <c r="H2167" s="49" t="s">
        <v>1801</v>
      </c>
    </row>
    <row r="2168" spans="1:8" x14ac:dyDescent="0.2">
      <c r="A2168" s="597">
        <v>42709</v>
      </c>
      <c r="B2168" s="41" t="s">
        <v>16</v>
      </c>
      <c r="C2168" s="41" t="s">
        <v>1230</v>
      </c>
      <c r="D2168" s="129" t="s">
        <v>1844</v>
      </c>
      <c r="E2168" s="58">
        <v>21000</v>
      </c>
      <c r="F2168" s="58"/>
      <c r="G2168" s="58">
        <f t="shared" si="37"/>
        <v>-21000</v>
      </c>
      <c r="H2168" s="49" t="s">
        <v>1801</v>
      </c>
    </row>
    <row r="2169" spans="1:8" x14ac:dyDescent="0.2">
      <c r="A2169" s="597">
        <v>42709</v>
      </c>
      <c r="B2169" s="41" t="s">
        <v>1400</v>
      </c>
      <c r="C2169" s="41" t="s">
        <v>1230</v>
      </c>
      <c r="D2169" s="129" t="s">
        <v>1550</v>
      </c>
      <c r="E2169" s="58">
        <v>17700</v>
      </c>
      <c r="F2169" s="58"/>
      <c r="G2169" s="58">
        <f t="shared" si="37"/>
        <v>-17700</v>
      </c>
      <c r="H2169" s="49" t="s">
        <v>1801</v>
      </c>
    </row>
    <row r="2170" spans="1:8" x14ac:dyDescent="0.2">
      <c r="A2170" s="597">
        <v>42709</v>
      </c>
      <c r="B2170" s="41" t="s">
        <v>16</v>
      </c>
      <c r="C2170" s="41" t="s">
        <v>1230</v>
      </c>
      <c r="D2170" s="129" t="s">
        <v>1552</v>
      </c>
      <c r="E2170" s="58">
        <v>9000</v>
      </c>
      <c r="F2170" s="58"/>
      <c r="G2170" s="58">
        <f t="shared" si="37"/>
        <v>-9000</v>
      </c>
      <c r="H2170" s="49" t="s">
        <v>1801</v>
      </c>
    </row>
    <row r="2171" spans="1:8" x14ac:dyDescent="0.2">
      <c r="A2171" s="597">
        <v>42709</v>
      </c>
      <c r="B2171" s="41" t="s">
        <v>40</v>
      </c>
      <c r="C2171" s="41" t="s">
        <v>1230</v>
      </c>
      <c r="D2171" s="129" t="s">
        <v>1846</v>
      </c>
      <c r="E2171" s="58">
        <v>35000</v>
      </c>
      <c r="F2171" s="58"/>
      <c r="G2171" s="58">
        <f t="shared" si="37"/>
        <v>-35000</v>
      </c>
      <c r="H2171" s="49" t="s">
        <v>1801</v>
      </c>
    </row>
    <row r="2172" spans="1:8" x14ac:dyDescent="0.2">
      <c r="A2172" s="597">
        <v>42709</v>
      </c>
      <c r="B2172" s="41" t="s">
        <v>1400</v>
      </c>
      <c r="C2172" s="41" t="s">
        <v>1230</v>
      </c>
      <c r="D2172" s="129" t="s">
        <v>418</v>
      </c>
      <c r="E2172" s="58">
        <v>11666.666666666668</v>
      </c>
      <c r="F2172" s="58"/>
      <c r="G2172" s="58">
        <f t="shared" si="37"/>
        <v>-11666.666666666668</v>
      </c>
      <c r="H2172" s="49" t="s">
        <v>1801</v>
      </c>
    </row>
    <row r="2173" spans="1:8" x14ac:dyDescent="0.2">
      <c r="A2173" s="597">
        <v>42709</v>
      </c>
      <c r="B2173" s="41" t="s">
        <v>40</v>
      </c>
      <c r="C2173" s="41" t="s">
        <v>1230</v>
      </c>
      <c r="D2173" s="129" t="s">
        <v>1847</v>
      </c>
      <c r="E2173" s="58">
        <v>19750</v>
      </c>
      <c r="F2173" s="58"/>
      <c r="G2173" s="58">
        <f t="shared" si="37"/>
        <v>-19750</v>
      </c>
      <c r="H2173" s="49" t="s">
        <v>1801</v>
      </c>
    </row>
    <row r="2174" spans="1:8" x14ac:dyDescent="0.2">
      <c r="A2174" s="597">
        <v>42709</v>
      </c>
      <c r="B2174" s="41" t="s">
        <v>40</v>
      </c>
      <c r="C2174" s="41" t="s">
        <v>1230</v>
      </c>
      <c r="D2174" s="129" t="s">
        <v>1849</v>
      </c>
      <c r="E2174" s="58">
        <v>12010.416666666666</v>
      </c>
      <c r="F2174" s="58"/>
      <c r="G2174" s="58">
        <f t="shared" si="37"/>
        <v>-12010.416666666666</v>
      </c>
      <c r="H2174" s="49" t="s">
        <v>1801</v>
      </c>
    </row>
    <row r="2175" spans="1:8" ht="12.75" customHeight="1" x14ac:dyDescent="0.2">
      <c r="A2175" s="597">
        <v>42709</v>
      </c>
      <c r="B2175" s="41" t="s">
        <v>40</v>
      </c>
      <c r="C2175" s="41" t="s">
        <v>1230</v>
      </c>
      <c r="D2175" s="129" t="s">
        <v>1850</v>
      </c>
      <c r="E2175" s="58">
        <v>6874.9999999999982</v>
      </c>
      <c r="F2175" s="58"/>
      <c r="G2175" s="58">
        <f t="shared" si="37"/>
        <v>-6874.9999999999982</v>
      </c>
      <c r="H2175" s="49" t="s">
        <v>1801</v>
      </c>
    </row>
    <row r="2176" spans="1:8" x14ac:dyDescent="0.2">
      <c r="A2176" s="597">
        <v>42709</v>
      </c>
      <c r="B2176" s="41" t="s">
        <v>40</v>
      </c>
      <c r="C2176" s="41" t="s">
        <v>1230</v>
      </c>
      <c r="D2176" s="129" t="s">
        <v>1851</v>
      </c>
      <c r="E2176" s="58">
        <v>8200.0000000000018</v>
      </c>
      <c r="F2176" s="58"/>
      <c r="G2176" s="58">
        <f t="shared" si="37"/>
        <v>-8200.0000000000018</v>
      </c>
      <c r="H2176" s="49" t="s">
        <v>1801</v>
      </c>
    </row>
    <row r="2177" spans="1:8" x14ac:dyDescent="0.2">
      <c r="A2177" s="597">
        <v>42709</v>
      </c>
      <c r="B2177" s="41" t="s">
        <v>40</v>
      </c>
      <c r="C2177" s="41" t="s">
        <v>1230</v>
      </c>
      <c r="D2177" s="129" t="s">
        <v>1853</v>
      </c>
      <c r="E2177" s="58">
        <v>12108.333333333334</v>
      </c>
      <c r="F2177" s="58"/>
      <c r="G2177" s="58">
        <f t="shared" si="37"/>
        <v>-12108.333333333334</v>
      </c>
      <c r="H2177" s="49" t="s">
        <v>1801</v>
      </c>
    </row>
    <row r="2178" spans="1:8" x14ac:dyDescent="0.2">
      <c r="A2178" s="597">
        <v>42709</v>
      </c>
      <c r="B2178" s="41" t="s">
        <v>40</v>
      </c>
      <c r="C2178" s="41" t="s">
        <v>1230</v>
      </c>
      <c r="D2178" s="129" t="s">
        <v>1855</v>
      </c>
      <c r="E2178" s="58">
        <v>18000</v>
      </c>
      <c r="F2178" s="58"/>
      <c r="G2178" s="58">
        <f t="shared" si="37"/>
        <v>-18000</v>
      </c>
      <c r="H2178" s="49" t="s">
        <v>1801</v>
      </c>
    </row>
    <row r="2179" spans="1:8" x14ac:dyDescent="0.2">
      <c r="A2179" s="597">
        <v>42709</v>
      </c>
      <c r="B2179" s="41" t="s">
        <v>40</v>
      </c>
      <c r="C2179" s="41" t="s">
        <v>1230</v>
      </c>
      <c r="D2179" s="129" t="s">
        <v>1856</v>
      </c>
      <c r="E2179" s="58">
        <v>10750</v>
      </c>
      <c r="F2179" s="58"/>
      <c r="G2179" s="58">
        <f t="shared" si="37"/>
        <v>-10750</v>
      </c>
      <c r="H2179" s="49" t="s">
        <v>1801</v>
      </c>
    </row>
    <row r="2180" spans="1:8" x14ac:dyDescent="0.2">
      <c r="A2180" s="597">
        <v>42709</v>
      </c>
      <c r="B2180" s="41" t="s">
        <v>37</v>
      </c>
      <c r="C2180" s="41" t="s">
        <v>1230</v>
      </c>
      <c r="D2180" s="129" t="s">
        <v>1857</v>
      </c>
      <c r="E2180" s="58">
        <v>3787.5</v>
      </c>
      <c r="F2180" s="58"/>
      <c r="G2180" s="58">
        <f t="shared" si="37"/>
        <v>-3787.5</v>
      </c>
      <c r="H2180" s="49" t="s">
        <v>1801</v>
      </c>
    </row>
    <row r="2181" spans="1:8" x14ac:dyDescent="0.2">
      <c r="A2181" s="597">
        <v>42709</v>
      </c>
      <c r="B2181" s="41" t="s">
        <v>40</v>
      </c>
      <c r="C2181" s="41" t="s">
        <v>1230</v>
      </c>
      <c r="D2181" s="129" t="s">
        <v>1862</v>
      </c>
      <c r="E2181" s="58">
        <v>12708.333333333332</v>
      </c>
      <c r="F2181" s="58"/>
      <c r="G2181" s="58">
        <f t="shared" si="37"/>
        <v>-12708.333333333332</v>
      </c>
      <c r="H2181" s="49" t="s">
        <v>1801</v>
      </c>
    </row>
    <row r="2182" spans="1:8" x14ac:dyDescent="0.2">
      <c r="A2182" s="597">
        <v>42709</v>
      </c>
      <c r="B2182" s="41" t="s">
        <v>1493</v>
      </c>
      <c r="C2182" s="41" t="s">
        <v>1230</v>
      </c>
      <c r="D2182" s="129" t="s">
        <v>1863</v>
      </c>
      <c r="E2182" s="58">
        <v>18243.75</v>
      </c>
      <c r="F2182" s="58"/>
      <c r="G2182" s="58">
        <f t="shared" si="37"/>
        <v>-18243.75</v>
      </c>
      <c r="H2182" s="49" t="s">
        <v>1801</v>
      </c>
    </row>
    <row r="2183" spans="1:8" x14ac:dyDescent="0.2">
      <c r="A2183" s="597">
        <v>42709</v>
      </c>
      <c r="B2183" s="41" t="s">
        <v>1493</v>
      </c>
      <c r="C2183" s="41" t="s">
        <v>1230</v>
      </c>
      <c r="D2183" s="129" t="s">
        <v>1864</v>
      </c>
      <c r="E2183" s="58">
        <v>24387.5</v>
      </c>
      <c r="F2183" s="58"/>
      <c r="G2183" s="58">
        <f t="shared" si="37"/>
        <v>-24387.5</v>
      </c>
      <c r="H2183" s="49" t="s">
        <v>1801</v>
      </c>
    </row>
    <row r="2184" spans="1:8" x14ac:dyDescent="0.2">
      <c r="A2184" s="597">
        <v>42709</v>
      </c>
      <c r="B2184" s="41" t="s">
        <v>40</v>
      </c>
      <c r="C2184" s="41" t="s">
        <v>1230</v>
      </c>
      <c r="D2184" s="129" t="s">
        <v>1866</v>
      </c>
      <c r="E2184" s="58">
        <v>17452.083333333332</v>
      </c>
      <c r="F2184" s="58"/>
      <c r="G2184" s="58">
        <f t="shared" si="37"/>
        <v>-17452.083333333332</v>
      </c>
      <c r="H2184" s="49" t="s">
        <v>1801</v>
      </c>
    </row>
    <row r="2185" spans="1:8" ht="12.75" customHeight="1" x14ac:dyDescent="0.2">
      <c r="A2185" s="597">
        <v>42709</v>
      </c>
      <c r="B2185" s="41" t="s">
        <v>37</v>
      </c>
      <c r="C2185" s="41" t="s">
        <v>1230</v>
      </c>
      <c r="D2185" s="129" t="s">
        <v>1867</v>
      </c>
      <c r="E2185" s="58">
        <v>11716.666666666666</v>
      </c>
      <c r="F2185" s="58"/>
      <c r="G2185" s="58">
        <f t="shared" ref="G2185:G2248" si="38">F2185-E2185</f>
        <v>-11716.666666666666</v>
      </c>
      <c r="H2185" s="49" t="s">
        <v>1801</v>
      </c>
    </row>
    <row r="2186" spans="1:8" ht="12.75" customHeight="1" x14ac:dyDescent="0.2">
      <c r="A2186" s="597">
        <v>42709</v>
      </c>
      <c r="B2186" s="41" t="s">
        <v>37</v>
      </c>
      <c r="C2186" s="41" t="s">
        <v>1230</v>
      </c>
      <c r="D2186" s="129" t="s">
        <v>1868</v>
      </c>
      <c r="E2186" s="58">
        <v>13500</v>
      </c>
      <c r="F2186" s="58"/>
      <c r="G2186" s="58">
        <f t="shared" si="38"/>
        <v>-13500</v>
      </c>
      <c r="H2186" s="49" t="s">
        <v>1801</v>
      </c>
    </row>
    <row r="2187" spans="1:8" ht="12.75" customHeight="1" x14ac:dyDescent="0.2">
      <c r="A2187" s="597">
        <v>42709</v>
      </c>
      <c r="B2187" s="41" t="s">
        <v>37</v>
      </c>
      <c r="C2187" s="41" t="s">
        <v>1230</v>
      </c>
      <c r="D2187" s="129" t="s">
        <v>1869</v>
      </c>
      <c r="E2187" s="58">
        <v>12225</v>
      </c>
      <c r="F2187" s="58"/>
      <c r="G2187" s="58">
        <f t="shared" si="38"/>
        <v>-12225</v>
      </c>
      <c r="H2187" s="49" t="s">
        <v>1801</v>
      </c>
    </row>
    <row r="2188" spans="1:8" x14ac:dyDescent="0.2">
      <c r="A2188" s="597">
        <v>42709</v>
      </c>
      <c r="B2188" s="41" t="s">
        <v>37</v>
      </c>
      <c r="C2188" s="41" t="s">
        <v>1230</v>
      </c>
      <c r="D2188" s="129" t="s">
        <v>1575</v>
      </c>
      <c r="E2188" s="58">
        <v>11000</v>
      </c>
      <c r="F2188" s="58"/>
      <c r="G2188" s="58">
        <f t="shared" si="38"/>
        <v>-11000</v>
      </c>
      <c r="H2188" s="49" t="s">
        <v>1801</v>
      </c>
    </row>
    <row r="2189" spans="1:8" x14ac:dyDescent="0.2">
      <c r="A2189" s="597">
        <v>42709</v>
      </c>
      <c r="B2189" s="41" t="s">
        <v>37</v>
      </c>
      <c r="C2189" s="41" t="s">
        <v>1230</v>
      </c>
      <c r="D2189" s="129" t="s">
        <v>1576</v>
      </c>
      <c r="E2189" s="58">
        <v>1950</v>
      </c>
      <c r="F2189" s="58"/>
      <c r="G2189" s="58">
        <f t="shared" si="38"/>
        <v>-1950</v>
      </c>
      <c r="H2189" s="49" t="s">
        <v>1801</v>
      </c>
    </row>
    <row r="2190" spans="1:8" x14ac:dyDescent="0.2">
      <c r="A2190" s="597">
        <v>42709</v>
      </c>
      <c r="B2190" s="41" t="s">
        <v>37</v>
      </c>
      <c r="C2190" s="41" t="s">
        <v>1230</v>
      </c>
      <c r="D2190" s="129" t="s">
        <v>1685</v>
      </c>
      <c r="E2190" s="58">
        <v>10250</v>
      </c>
      <c r="F2190" s="58"/>
      <c r="G2190" s="58">
        <f t="shared" si="38"/>
        <v>-10250</v>
      </c>
      <c r="H2190" s="49" t="s">
        <v>1801</v>
      </c>
    </row>
    <row r="2191" spans="1:8" x14ac:dyDescent="0.2">
      <c r="A2191" s="597">
        <v>42709</v>
      </c>
      <c r="B2191" s="41" t="s">
        <v>11</v>
      </c>
      <c r="C2191" s="41" t="s">
        <v>1230</v>
      </c>
      <c r="D2191" s="129" t="s">
        <v>1870</v>
      </c>
      <c r="E2191" s="58">
        <v>5000</v>
      </c>
      <c r="F2191" s="58"/>
      <c r="G2191" s="58">
        <f t="shared" si="38"/>
        <v>-5000</v>
      </c>
      <c r="H2191" s="49" t="s">
        <v>1801</v>
      </c>
    </row>
    <row r="2192" spans="1:8" x14ac:dyDescent="0.2">
      <c r="A2192" s="597">
        <v>42709</v>
      </c>
      <c r="B2192" s="41" t="s">
        <v>40</v>
      </c>
      <c r="C2192" s="41" t="s">
        <v>1230</v>
      </c>
      <c r="D2192" s="129" t="s">
        <v>1873</v>
      </c>
      <c r="E2192" s="58">
        <v>9000</v>
      </c>
      <c r="F2192" s="58"/>
      <c r="G2192" s="58">
        <f t="shared" si="38"/>
        <v>-9000</v>
      </c>
      <c r="H2192" s="49" t="s">
        <v>1801</v>
      </c>
    </row>
    <row r="2193" spans="1:8" x14ac:dyDescent="0.2">
      <c r="A2193" s="597">
        <v>42709</v>
      </c>
      <c r="B2193" s="41" t="s">
        <v>16</v>
      </c>
      <c r="C2193" s="41" t="s">
        <v>1167</v>
      </c>
      <c r="D2193" s="129" t="s">
        <v>1549</v>
      </c>
      <c r="E2193" s="58">
        <v>5000</v>
      </c>
      <c r="F2193" s="58"/>
      <c r="G2193" s="58">
        <f t="shared" si="38"/>
        <v>-5000</v>
      </c>
      <c r="H2193" s="49" t="s">
        <v>1801</v>
      </c>
    </row>
    <row r="2194" spans="1:8" x14ac:dyDescent="0.2">
      <c r="A2194" s="597">
        <v>42709</v>
      </c>
      <c r="B2194" s="41" t="s">
        <v>40</v>
      </c>
      <c r="C2194" s="41" t="s">
        <v>1167</v>
      </c>
      <c r="D2194" s="129" t="s">
        <v>202</v>
      </c>
      <c r="E2194" s="58">
        <v>3000</v>
      </c>
      <c r="F2194" s="58"/>
      <c r="G2194" s="58">
        <f t="shared" si="38"/>
        <v>-3000</v>
      </c>
      <c r="H2194" s="49" t="s">
        <v>1801</v>
      </c>
    </row>
    <row r="2195" spans="1:8" x14ac:dyDescent="0.2">
      <c r="A2195" s="597">
        <v>42709</v>
      </c>
      <c r="B2195" s="41" t="s">
        <v>40</v>
      </c>
      <c r="C2195" s="41" t="s">
        <v>1167</v>
      </c>
      <c r="D2195" s="129" t="s">
        <v>1250</v>
      </c>
      <c r="E2195" s="58">
        <v>1000</v>
      </c>
      <c r="F2195" s="58"/>
      <c r="G2195" s="58">
        <f t="shared" si="38"/>
        <v>-1000</v>
      </c>
      <c r="H2195" s="49" t="s">
        <v>1801</v>
      </c>
    </row>
    <row r="2196" spans="1:8" x14ac:dyDescent="0.2">
      <c r="A2196" s="597">
        <v>42709</v>
      </c>
      <c r="B2196" s="41" t="s">
        <v>16</v>
      </c>
      <c r="C2196" s="41" t="s">
        <v>1167</v>
      </c>
      <c r="D2196" s="129" t="s">
        <v>1936</v>
      </c>
      <c r="E2196" s="58">
        <v>3000</v>
      </c>
      <c r="F2196" s="58"/>
      <c r="G2196" s="58">
        <f t="shared" si="38"/>
        <v>-3000</v>
      </c>
      <c r="H2196" s="49" t="s">
        <v>1801</v>
      </c>
    </row>
    <row r="2197" spans="1:8" x14ac:dyDescent="0.2">
      <c r="A2197" s="597">
        <v>42709</v>
      </c>
      <c r="B2197" s="41" t="s">
        <v>40</v>
      </c>
      <c r="C2197" s="41" t="s">
        <v>1167</v>
      </c>
      <c r="D2197" s="129" t="s">
        <v>1896</v>
      </c>
      <c r="E2197" s="58">
        <v>5000</v>
      </c>
      <c r="F2197" s="58"/>
      <c r="G2197" s="58">
        <f t="shared" si="38"/>
        <v>-5000</v>
      </c>
      <c r="H2197" s="49" t="s">
        <v>1801</v>
      </c>
    </row>
    <row r="2198" spans="1:8" ht="12.75" customHeight="1" x14ac:dyDescent="0.2">
      <c r="A2198" s="597">
        <v>42709</v>
      </c>
      <c r="B2198" s="41" t="s">
        <v>40</v>
      </c>
      <c r="C2198" s="41" t="s">
        <v>1167</v>
      </c>
      <c r="D2198" s="129" t="s">
        <v>661</v>
      </c>
      <c r="E2198" s="58">
        <v>500</v>
      </c>
      <c r="F2198" s="58"/>
      <c r="G2198" s="58">
        <f t="shared" si="38"/>
        <v>-500</v>
      </c>
      <c r="H2198" s="49" t="s">
        <v>1801</v>
      </c>
    </row>
    <row r="2199" spans="1:8" ht="12.75" customHeight="1" x14ac:dyDescent="0.2">
      <c r="A2199" s="597">
        <v>42709</v>
      </c>
      <c r="B2199" s="41" t="s">
        <v>1493</v>
      </c>
      <c r="C2199" s="41" t="s">
        <v>1167</v>
      </c>
      <c r="D2199" s="129" t="s">
        <v>210</v>
      </c>
      <c r="E2199" s="58">
        <v>3000</v>
      </c>
      <c r="F2199" s="58"/>
      <c r="G2199" s="58">
        <f t="shared" si="38"/>
        <v>-3000</v>
      </c>
      <c r="H2199" s="49" t="s">
        <v>1801</v>
      </c>
    </row>
    <row r="2200" spans="1:8" x14ac:dyDescent="0.2">
      <c r="A2200" s="597">
        <v>42709</v>
      </c>
      <c r="B2200" s="41" t="s">
        <v>40</v>
      </c>
      <c r="C2200" s="41" t="s">
        <v>1167</v>
      </c>
      <c r="D2200" s="129" t="s">
        <v>202</v>
      </c>
      <c r="E2200" s="58">
        <v>3000</v>
      </c>
      <c r="F2200" s="58"/>
      <c r="G2200" s="58">
        <f t="shared" si="38"/>
        <v>-3000</v>
      </c>
      <c r="H2200" s="49" t="s">
        <v>1801</v>
      </c>
    </row>
    <row r="2201" spans="1:8" x14ac:dyDescent="0.2">
      <c r="A2201" s="597">
        <v>42709</v>
      </c>
      <c r="B2201" s="41" t="s">
        <v>40</v>
      </c>
      <c r="C2201" s="41" t="s">
        <v>1167</v>
      </c>
      <c r="D2201" s="129" t="s">
        <v>1937</v>
      </c>
      <c r="E2201" s="58">
        <v>5000</v>
      </c>
      <c r="F2201" s="58"/>
      <c r="G2201" s="58">
        <f t="shared" si="38"/>
        <v>-5000</v>
      </c>
      <c r="H2201" s="49" t="s">
        <v>1801</v>
      </c>
    </row>
    <row r="2202" spans="1:8" x14ac:dyDescent="0.2">
      <c r="A2202" s="597">
        <v>42709</v>
      </c>
      <c r="B2202" s="41" t="s">
        <v>37</v>
      </c>
      <c r="C2202" s="41" t="s">
        <v>1167</v>
      </c>
      <c r="D2202" s="129" t="s">
        <v>195</v>
      </c>
      <c r="E2202" s="58">
        <v>5000</v>
      </c>
      <c r="F2202" s="58"/>
      <c r="G2202" s="58">
        <f t="shared" si="38"/>
        <v>-5000</v>
      </c>
      <c r="H2202" s="49" t="s">
        <v>1801</v>
      </c>
    </row>
    <row r="2203" spans="1:8" ht="12.75" customHeight="1" x14ac:dyDescent="0.2">
      <c r="A2203" s="597">
        <v>42709</v>
      </c>
      <c r="B2203" s="41" t="s">
        <v>40</v>
      </c>
      <c r="C2203" s="41" t="s">
        <v>1167</v>
      </c>
      <c r="D2203" s="129" t="s">
        <v>1938</v>
      </c>
      <c r="E2203" s="58">
        <v>8000</v>
      </c>
      <c r="F2203" s="58"/>
      <c r="G2203" s="58">
        <f t="shared" si="38"/>
        <v>-8000</v>
      </c>
      <c r="H2203" s="49" t="s">
        <v>1801</v>
      </c>
    </row>
    <row r="2204" spans="1:8" ht="12.75" customHeight="1" x14ac:dyDescent="0.2">
      <c r="A2204" s="597">
        <v>42705</v>
      </c>
      <c r="B2204" s="41" t="s">
        <v>40</v>
      </c>
      <c r="C2204" s="41" t="s">
        <v>1897</v>
      </c>
      <c r="D2204" s="129" t="s">
        <v>286</v>
      </c>
      <c r="E2204" s="58">
        <v>100</v>
      </c>
      <c r="F2204" s="58"/>
      <c r="G2204" s="58">
        <f t="shared" si="38"/>
        <v>-100</v>
      </c>
      <c r="H2204" s="49" t="s">
        <v>1801</v>
      </c>
    </row>
    <row r="2205" spans="1:8" ht="12.75" customHeight="1" x14ac:dyDescent="0.2">
      <c r="A2205" s="597">
        <v>42705</v>
      </c>
      <c r="B2205" s="41" t="s">
        <v>1493</v>
      </c>
      <c r="C2205" s="41" t="s">
        <v>450</v>
      </c>
      <c r="D2205" s="129" t="s">
        <v>1874</v>
      </c>
      <c r="E2205" s="58">
        <v>1370</v>
      </c>
      <c r="F2205" s="58"/>
      <c r="G2205" s="58">
        <f t="shared" si="38"/>
        <v>-1370</v>
      </c>
      <c r="H2205" s="49" t="s">
        <v>1801</v>
      </c>
    </row>
    <row r="2206" spans="1:8" ht="12.75" customHeight="1" x14ac:dyDescent="0.2">
      <c r="A2206" s="597">
        <v>42705</v>
      </c>
      <c r="B2206" s="41" t="s">
        <v>1400</v>
      </c>
      <c r="C2206" s="41" t="s">
        <v>64</v>
      </c>
      <c r="D2206" s="129" t="s">
        <v>286</v>
      </c>
      <c r="E2206" s="58">
        <v>370</v>
      </c>
      <c r="F2206" s="58"/>
      <c r="G2206" s="58">
        <f t="shared" si="38"/>
        <v>-370</v>
      </c>
      <c r="H2206" s="49" t="s">
        <v>1801</v>
      </c>
    </row>
    <row r="2207" spans="1:8" ht="12.75" customHeight="1" x14ac:dyDescent="0.2">
      <c r="A2207" s="597">
        <v>42705</v>
      </c>
      <c r="B2207" s="41" t="s">
        <v>1400</v>
      </c>
      <c r="C2207" s="41" t="s">
        <v>64</v>
      </c>
      <c r="D2207" s="129" t="s">
        <v>286</v>
      </c>
      <c r="E2207" s="58">
        <v>500</v>
      </c>
      <c r="F2207" s="58"/>
      <c r="G2207" s="58">
        <f t="shared" si="38"/>
        <v>-500</v>
      </c>
      <c r="H2207" s="49" t="s">
        <v>1801</v>
      </c>
    </row>
    <row r="2208" spans="1:8" ht="12.75" customHeight="1" x14ac:dyDescent="0.2">
      <c r="A2208" s="597">
        <v>42705</v>
      </c>
      <c r="B2208" s="41" t="s">
        <v>14</v>
      </c>
      <c r="C2208" s="41" t="s">
        <v>247</v>
      </c>
      <c r="D2208" s="129" t="s">
        <v>1876</v>
      </c>
      <c r="E2208" s="58">
        <v>10000</v>
      </c>
      <c r="F2208" s="58"/>
      <c r="G2208" s="58">
        <f t="shared" si="38"/>
        <v>-10000</v>
      </c>
      <c r="H2208" s="49" t="s">
        <v>1801</v>
      </c>
    </row>
    <row r="2209" spans="1:8" ht="12.75" customHeight="1" x14ac:dyDescent="0.2">
      <c r="A2209" s="597">
        <v>42705</v>
      </c>
      <c r="B2209" s="41" t="s">
        <v>1400</v>
      </c>
      <c r="C2209" s="41" t="s">
        <v>1897</v>
      </c>
      <c r="D2209" s="129" t="s">
        <v>1756</v>
      </c>
      <c r="E2209" s="58">
        <v>100</v>
      </c>
      <c r="F2209" s="58"/>
      <c r="G2209" s="58">
        <f t="shared" si="38"/>
        <v>-100</v>
      </c>
      <c r="H2209" s="49" t="s">
        <v>1801</v>
      </c>
    </row>
    <row r="2210" spans="1:8" ht="12.75" customHeight="1" x14ac:dyDescent="0.2">
      <c r="A2210" s="597">
        <v>42705</v>
      </c>
      <c r="B2210" s="41" t="s">
        <v>16</v>
      </c>
      <c r="C2210" s="41" t="s">
        <v>16</v>
      </c>
      <c r="D2210" s="108" t="s">
        <v>1799</v>
      </c>
      <c r="E2210" s="47">
        <v>850</v>
      </c>
      <c r="F2210" s="58"/>
      <c r="G2210" s="58">
        <f t="shared" si="38"/>
        <v>-850</v>
      </c>
      <c r="H2210" s="49" t="s">
        <v>1801</v>
      </c>
    </row>
    <row r="2211" spans="1:8" ht="12.75" customHeight="1" x14ac:dyDescent="0.2">
      <c r="A2211" s="597">
        <v>42705</v>
      </c>
      <c r="B2211" s="41" t="s">
        <v>16</v>
      </c>
      <c r="C2211" s="41" t="s">
        <v>16</v>
      </c>
      <c r="D2211" s="108" t="s">
        <v>1800</v>
      </c>
      <c r="E2211" s="47">
        <v>140</v>
      </c>
      <c r="F2211" s="58"/>
      <c r="G2211" s="58">
        <f t="shared" si="38"/>
        <v>-140</v>
      </c>
      <c r="H2211" s="49" t="s">
        <v>1801</v>
      </c>
    </row>
    <row r="2212" spans="1:8" ht="12.75" customHeight="1" x14ac:dyDescent="0.2">
      <c r="A2212" s="597">
        <v>42706</v>
      </c>
      <c r="B2212" s="41" t="s">
        <v>16</v>
      </c>
      <c r="C2212" s="41" t="s">
        <v>16</v>
      </c>
      <c r="D2212" s="108" t="s">
        <v>1939</v>
      </c>
      <c r="E2212" s="47">
        <v>1500</v>
      </c>
      <c r="F2212" s="58"/>
      <c r="G2212" s="58">
        <f t="shared" si="38"/>
        <v>-1500</v>
      </c>
      <c r="H2212" s="49" t="s">
        <v>1801</v>
      </c>
    </row>
    <row r="2213" spans="1:8" ht="12.75" customHeight="1" x14ac:dyDescent="0.2">
      <c r="A2213" s="597">
        <v>42706</v>
      </c>
      <c r="B2213" s="41" t="s">
        <v>16</v>
      </c>
      <c r="C2213" s="41" t="s">
        <v>16</v>
      </c>
      <c r="D2213" s="108" t="s">
        <v>1940</v>
      </c>
      <c r="E2213" s="47">
        <v>50</v>
      </c>
      <c r="F2213" s="58"/>
      <c r="G2213" s="58">
        <f t="shared" si="38"/>
        <v>-50</v>
      </c>
      <c r="H2213" s="49" t="s">
        <v>1801</v>
      </c>
    </row>
    <row r="2214" spans="1:8" ht="12.75" customHeight="1" x14ac:dyDescent="0.2">
      <c r="A2214" s="597">
        <v>42706</v>
      </c>
      <c r="B2214" s="41" t="s">
        <v>40</v>
      </c>
      <c r="C2214" s="41" t="s">
        <v>372</v>
      </c>
      <c r="D2214" s="129" t="s">
        <v>1899</v>
      </c>
      <c r="E2214" s="58">
        <v>6800</v>
      </c>
      <c r="F2214" s="58"/>
      <c r="G2214" s="58">
        <f t="shared" si="38"/>
        <v>-6800</v>
      </c>
      <c r="H2214" s="49" t="s">
        <v>1801</v>
      </c>
    </row>
    <row r="2215" spans="1:8" ht="12.75" customHeight="1" x14ac:dyDescent="0.2">
      <c r="A2215" s="597">
        <v>42707</v>
      </c>
      <c r="B2215" s="41" t="s">
        <v>16</v>
      </c>
      <c r="C2215" s="41" t="s">
        <v>16</v>
      </c>
      <c r="D2215" s="108" t="s">
        <v>1941</v>
      </c>
      <c r="E2215" s="47">
        <v>40</v>
      </c>
      <c r="F2215" s="58"/>
      <c r="G2215" s="58">
        <f t="shared" si="38"/>
        <v>-40</v>
      </c>
      <c r="H2215" s="49" t="s">
        <v>1801</v>
      </c>
    </row>
    <row r="2216" spans="1:8" ht="12.75" customHeight="1" x14ac:dyDescent="0.2">
      <c r="A2216" s="597">
        <v>42707</v>
      </c>
      <c r="B2216" s="41" t="s">
        <v>16</v>
      </c>
      <c r="C2216" s="41" t="s">
        <v>16</v>
      </c>
      <c r="D2216" s="108" t="s">
        <v>1942</v>
      </c>
      <c r="E2216" s="47">
        <v>70</v>
      </c>
      <c r="F2216" s="58"/>
      <c r="G2216" s="58">
        <f t="shared" si="38"/>
        <v>-70</v>
      </c>
      <c r="H2216" s="49" t="s">
        <v>1801</v>
      </c>
    </row>
    <row r="2217" spans="1:8" ht="12.75" customHeight="1" x14ac:dyDescent="0.2">
      <c r="A2217" s="597">
        <v>42709</v>
      </c>
      <c r="B2217" s="41" t="s">
        <v>16</v>
      </c>
      <c r="C2217" s="41" t="s">
        <v>16</v>
      </c>
      <c r="D2217" s="108" t="s">
        <v>1943</v>
      </c>
      <c r="E2217" s="47">
        <v>500</v>
      </c>
      <c r="F2217" s="58"/>
      <c r="G2217" s="58">
        <f t="shared" si="38"/>
        <v>-500</v>
      </c>
      <c r="H2217" s="49" t="s">
        <v>1801</v>
      </c>
    </row>
    <row r="2218" spans="1:8" ht="12.75" customHeight="1" x14ac:dyDescent="0.2">
      <c r="A2218" s="597">
        <v>42709</v>
      </c>
      <c r="B2218" s="41" t="s">
        <v>16</v>
      </c>
      <c r="C2218" s="41" t="s">
        <v>16</v>
      </c>
      <c r="D2218" s="108" t="s">
        <v>1944</v>
      </c>
      <c r="E2218" s="47">
        <v>250</v>
      </c>
      <c r="F2218" s="58"/>
      <c r="G2218" s="58">
        <f t="shared" si="38"/>
        <v>-250</v>
      </c>
      <c r="H2218" s="49" t="s">
        <v>1801</v>
      </c>
    </row>
    <row r="2219" spans="1:8" ht="12.75" customHeight="1" x14ac:dyDescent="0.2">
      <c r="A2219" s="597">
        <v>42707</v>
      </c>
      <c r="B2219" s="41" t="s">
        <v>1691</v>
      </c>
      <c r="C2219" s="41" t="s">
        <v>668</v>
      </c>
      <c r="D2219" s="129" t="s">
        <v>1877</v>
      </c>
      <c r="E2219" s="58">
        <v>19740</v>
      </c>
      <c r="F2219" s="58"/>
      <c r="G2219" s="58">
        <f t="shared" si="38"/>
        <v>-19740</v>
      </c>
      <c r="H2219" s="49" t="s">
        <v>1801</v>
      </c>
    </row>
    <row r="2220" spans="1:8" ht="12.75" customHeight="1" x14ac:dyDescent="0.2">
      <c r="A2220" s="597">
        <v>42709</v>
      </c>
      <c r="B2220" s="41" t="s">
        <v>1493</v>
      </c>
      <c r="C2220" s="41" t="s">
        <v>220</v>
      </c>
      <c r="D2220" s="129" t="s">
        <v>1878</v>
      </c>
      <c r="E2220" s="58">
        <v>2495</v>
      </c>
      <c r="F2220" s="58"/>
      <c r="G2220" s="58">
        <f t="shared" si="38"/>
        <v>-2495</v>
      </c>
      <c r="H2220" s="49" t="s">
        <v>1801</v>
      </c>
    </row>
    <row r="2221" spans="1:8" x14ac:dyDescent="0.2">
      <c r="A2221" s="597">
        <v>42709</v>
      </c>
      <c r="B2221" s="41" t="s">
        <v>1493</v>
      </c>
      <c r="C2221" s="41" t="s">
        <v>1501</v>
      </c>
      <c r="D2221" s="129" t="s">
        <v>1879</v>
      </c>
      <c r="E2221" s="58">
        <v>300</v>
      </c>
      <c r="F2221" s="58"/>
      <c r="G2221" s="58">
        <f t="shared" si="38"/>
        <v>-300</v>
      </c>
      <c r="H2221" s="49" t="s">
        <v>1801</v>
      </c>
    </row>
    <row r="2222" spans="1:8" x14ac:dyDescent="0.2">
      <c r="A2222" s="597">
        <v>42709</v>
      </c>
      <c r="B2222" s="41" t="s">
        <v>40</v>
      </c>
      <c r="C2222" s="41" t="s">
        <v>64</v>
      </c>
      <c r="D2222" s="129" t="s">
        <v>286</v>
      </c>
      <c r="E2222" s="58">
        <v>1500</v>
      </c>
      <c r="F2222" s="58"/>
      <c r="G2222" s="58">
        <f t="shared" si="38"/>
        <v>-1500</v>
      </c>
      <c r="H2222" s="49" t="s">
        <v>1801</v>
      </c>
    </row>
    <row r="2223" spans="1:8" x14ac:dyDescent="0.2">
      <c r="A2223" s="597">
        <v>42709</v>
      </c>
      <c r="B2223" s="41" t="s">
        <v>40</v>
      </c>
      <c r="C2223" s="41" t="s">
        <v>40</v>
      </c>
      <c r="D2223" s="129" t="s">
        <v>1880</v>
      </c>
      <c r="E2223" s="58">
        <v>500</v>
      </c>
      <c r="F2223" s="58"/>
      <c r="G2223" s="58">
        <f t="shared" si="38"/>
        <v>-500</v>
      </c>
      <c r="H2223" s="49" t="s">
        <v>1801</v>
      </c>
    </row>
    <row r="2224" spans="1:8" x14ac:dyDescent="0.2">
      <c r="A2224" s="597">
        <v>42709</v>
      </c>
      <c r="B2224" s="41" t="s">
        <v>1493</v>
      </c>
      <c r="C2224" s="41" t="s">
        <v>220</v>
      </c>
      <c r="D2224" s="129" t="s">
        <v>1881</v>
      </c>
      <c r="E2224" s="58">
        <v>2260</v>
      </c>
      <c r="F2224" s="58"/>
      <c r="G2224" s="58">
        <f t="shared" si="38"/>
        <v>-2260</v>
      </c>
      <c r="H2224" s="49" t="s">
        <v>1801</v>
      </c>
    </row>
    <row r="2225" spans="1:8" ht="24" x14ac:dyDescent="0.2">
      <c r="A2225" s="597">
        <v>42709</v>
      </c>
      <c r="B2225" s="41" t="s">
        <v>16</v>
      </c>
      <c r="C2225" s="41" t="s">
        <v>773</v>
      </c>
      <c r="D2225" s="129" t="s">
        <v>1882</v>
      </c>
      <c r="E2225" s="58">
        <v>2200</v>
      </c>
      <c r="F2225" s="58"/>
      <c r="G2225" s="58">
        <f t="shared" si="38"/>
        <v>-2200</v>
      </c>
      <c r="H2225" s="49" t="s">
        <v>1801</v>
      </c>
    </row>
    <row r="2226" spans="1:8" x14ac:dyDescent="0.2">
      <c r="A2226" s="597">
        <v>42711</v>
      </c>
      <c r="B2226" s="41" t="s">
        <v>16</v>
      </c>
      <c r="C2226" s="41" t="s">
        <v>794</v>
      </c>
      <c r="D2226" s="129" t="s">
        <v>1883</v>
      </c>
      <c r="E2226" s="58">
        <v>1000</v>
      </c>
      <c r="F2226" s="58"/>
      <c r="G2226" s="58">
        <f t="shared" si="38"/>
        <v>-1000</v>
      </c>
      <c r="H2226" s="49" t="s">
        <v>1801</v>
      </c>
    </row>
    <row r="2227" spans="1:8" x14ac:dyDescent="0.2">
      <c r="A2227" s="597">
        <v>42711</v>
      </c>
      <c r="B2227" s="41" t="s">
        <v>16</v>
      </c>
      <c r="C2227" s="41" t="s">
        <v>1884</v>
      </c>
      <c r="D2227" s="129" t="s">
        <v>1885</v>
      </c>
      <c r="E2227" s="58">
        <v>1400</v>
      </c>
      <c r="F2227" s="58"/>
      <c r="G2227" s="58">
        <f t="shared" si="38"/>
        <v>-1400</v>
      </c>
      <c r="H2227" s="49" t="s">
        <v>1801</v>
      </c>
    </row>
    <row r="2228" spans="1:8" x14ac:dyDescent="0.2">
      <c r="A2228" s="597">
        <v>42711</v>
      </c>
      <c r="B2228" s="41" t="s">
        <v>16</v>
      </c>
      <c r="C2228" s="41" t="s">
        <v>16</v>
      </c>
      <c r="D2228" s="108" t="s">
        <v>1945</v>
      </c>
      <c r="E2228" s="47">
        <v>45</v>
      </c>
      <c r="F2228" s="58"/>
      <c r="G2228" s="58">
        <f t="shared" si="38"/>
        <v>-45</v>
      </c>
      <c r="H2228" s="49" t="s">
        <v>1801</v>
      </c>
    </row>
    <row r="2229" spans="1:8" x14ac:dyDescent="0.2">
      <c r="A2229" s="597">
        <v>42711</v>
      </c>
      <c r="B2229" s="41" t="s">
        <v>16</v>
      </c>
      <c r="C2229" s="41" t="s">
        <v>16</v>
      </c>
      <c r="D2229" s="108" t="s">
        <v>1946</v>
      </c>
      <c r="E2229" s="47">
        <v>50</v>
      </c>
      <c r="F2229" s="58"/>
      <c r="G2229" s="58">
        <f t="shared" si="38"/>
        <v>-50</v>
      </c>
      <c r="H2229" s="49" t="s">
        <v>1801</v>
      </c>
    </row>
    <row r="2230" spans="1:8" x14ac:dyDescent="0.2">
      <c r="A2230" s="597">
        <v>42711</v>
      </c>
      <c r="B2230" s="41" t="s">
        <v>16</v>
      </c>
      <c r="C2230" s="41" t="s">
        <v>16</v>
      </c>
      <c r="D2230" s="108" t="s">
        <v>1614</v>
      </c>
      <c r="E2230" s="47">
        <v>20</v>
      </c>
      <c r="F2230" s="58"/>
      <c r="G2230" s="58">
        <f t="shared" si="38"/>
        <v>-20</v>
      </c>
      <c r="H2230" s="49" t="s">
        <v>1801</v>
      </c>
    </row>
    <row r="2231" spans="1:8" x14ac:dyDescent="0.2">
      <c r="A2231" s="597">
        <v>42711</v>
      </c>
      <c r="B2231" s="41" t="s">
        <v>16</v>
      </c>
      <c r="C2231" s="41" t="s">
        <v>16</v>
      </c>
      <c r="D2231" s="108" t="s">
        <v>1883</v>
      </c>
      <c r="E2231" s="47">
        <v>1000</v>
      </c>
      <c r="F2231" s="58"/>
      <c r="G2231" s="58">
        <f t="shared" si="38"/>
        <v>-1000</v>
      </c>
      <c r="H2231" s="49" t="s">
        <v>1801</v>
      </c>
    </row>
    <row r="2232" spans="1:8" x14ac:dyDescent="0.2">
      <c r="A2232" s="597">
        <v>42712</v>
      </c>
      <c r="B2232" s="41" t="s">
        <v>16</v>
      </c>
      <c r="C2232" s="41" t="s">
        <v>16</v>
      </c>
      <c r="D2232" s="108" t="s">
        <v>1947</v>
      </c>
      <c r="E2232" s="47">
        <v>490</v>
      </c>
      <c r="F2232" s="58"/>
      <c r="G2232" s="58">
        <f t="shared" si="38"/>
        <v>-490</v>
      </c>
      <c r="H2232" s="49" t="s">
        <v>1801</v>
      </c>
    </row>
    <row r="2233" spans="1:8" x14ac:dyDescent="0.2">
      <c r="A2233" s="597">
        <v>42712</v>
      </c>
      <c r="B2233" s="41" t="s">
        <v>16</v>
      </c>
      <c r="C2233" s="41" t="s">
        <v>16</v>
      </c>
      <c r="D2233" s="108" t="s">
        <v>1948</v>
      </c>
      <c r="E2233" s="47">
        <v>370</v>
      </c>
      <c r="F2233" s="58"/>
      <c r="G2233" s="58">
        <f t="shared" si="38"/>
        <v>-370</v>
      </c>
      <c r="H2233" s="49" t="s">
        <v>1801</v>
      </c>
    </row>
    <row r="2234" spans="1:8" x14ac:dyDescent="0.2">
      <c r="A2234" s="597">
        <v>42712</v>
      </c>
      <c r="B2234" s="41" t="s">
        <v>16</v>
      </c>
      <c r="C2234" s="41" t="s">
        <v>16</v>
      </c>
      <c r="D2234" s="108" t="s">
        <v>1949</v>
      </c>
      <c r="E2234" s="47">
        <v>90</v>
      </c>
      <c r="F2234" s="58"/>
      <c r="G2234" s="58">
        <f t="shared" si="38"/>
        <v>-90</v>
      </c>
      <c r="H2234" s="49" t="s">
        <v>1801</v>
      </c>
    </row>
    <row r="2235" spans="1:8" x14ac:dyDescent="0.2">
      <c r="A2235" s="597">
        <v>42712</v>
      </c>
      <c r="B2235" s="41" t="s">
        <v>1400</v>
      </c>
      <c r="C2235" s="41" t="s">
        <v>1897</v>
      </c>
      <c r="D2235" s="129" t="s">
        <v>1756</v>
      </c>
      <c r="E2235" s="58">
        <v>100</v>
      </c>
      <c r="F2235" s="58"/>
      <c r="G2235" s="58">
        <f t="shared" si="38"/>
        <v>-100</v>
      </c>
      <c r="H2235" s="49" t="s">
        <v>1801</v>
      </c>
    </row>
    <row r="2236" spans="1:8" x14ac:dyDescent="0.2">
      <c r="A2236" s="597">
        <v>42712</v>
      </c>
      <c r="B2236" s="41" t="s">
        <v>40</v>
      </c>
      <c r="C2236" s="41" t="s">
        <v>325</v>
      </c>
      <c r="D2236" s="129" t="s">
        <v>1887</v>
      </c>
      <c r="E2236" s="58">
        <v>200</v>
      </c>
      <c r="F2236" s="58"/>
      <c r="G2236" s="58">
        <f t="shared" si="38"/>
        <v>-200</v>
      </c>
      <c r="H2236" s="49" t="s">
        <v>1801</v>
      </c>
    </row>
    <row r="2237" spans="1:8" x14ac:dyDescent="0.2">
      <c r="A2237" s="597">
        <v>42712</v>
      </c>
      <c r="B2237" s="41" t="s">
        <v>1400</v>
      </c>
      <c r="C2237" s="41" t="s">
        <v>1897</v>
      </c>
      <c r="D2237" s="129" t="s">
        <v>286</v>
      </c>
      <c r="E2237" s="58">
        <v>100</v>
      </c>
      <c r="F2237" s="58"/>
      <c r="G2237" s="58">
        <f t="shared" si="38"/>
        <v>-100</v>
      </c>
      <c r="H2237" s="49" t="s">
        <v>1801</v>
      </c>
    </row>
    <row r="2238" spans="1:8" x14ac:dyDescent="0.2">
      <c r="A2238" s="597">
        <v>42712</v>
      </c>
      <c r="B2238" s="41" t="s">
        <v>40</v>
      </c>
      <c r="C2238" s="41" t="s">
        <v>325</v>
      </c>
      <c r="D2238" s="129" t="s">
        <v>1888</v>
      </c>
      <c r="E2238" s="58">
        <v>100</v>
      </c>
      <c r="F2238" s="58"/>
      <c r="G2238" s="58">
        <f t="shared" si="38"/>
        <v>-100</v>
      </c>
      <c r="H2238" s="49" t="s">
        <v>1801</v>
      </c>
    </row>
    <row r="2239" spans="1:8" x14ac:dyDescent="0.2">
      <c r="A2239" s="597">
        <v>42712</v>
      </c>
      <c r="B2239" s="41" t="s">
        <v>1400</v>
      </c>
      <c r="C2239" s="41" t="s">
        <v>64</v>
      </c>
      <c r="D2239" s="129" t="s">
        <v>286</v>
      </c>
      <c r="E2239" s="58">
        <v>500</v>
      </c>
      <c r="F2239" s="58"/>
      <c r="G2239" s="58">
        <f t="shared" si="38"/>
        <v>-500</v>
      </c>
      <c r="H2239" s="49" t="s">
        <v>1801</v>
      </c>
    </row>
    <row r="2240" spans="1:8" x14ac:dyDescent="0.2">
      <c r="A2240" s="597">
        <v>42713</v>
      </c>
      <c r="B2240" s="41" t="s">
        <v>154</v>
      </c>
      <c r="C2240" s="41" t="s">
        <v>220</v>
      </c>
      <c r="D2240" s="129" t="s">
        <v>1892</v>
      </c>
      <c r="E2240" s="58">
        <v>2500</v>
      </c>
      <c r="F2240" s="58"/>
      <c r="G2240" s="58">
        <f t="shared" si="38"/>
        <v>-2500</v>
      </c>
      <c r="H2240" s="49" t="s">
        <v>1801</v>
      </c>
    </row>
    <row r="2241" spans="1:8" x14ac:dyDescent="0.2">
      <c r="A2241" s="597">
        <v>42713</v>
      </c>
      <c r="B2241" s="41" t="s">
        <v>1493</v>
      </c>
      <c r="C2241" s="41" t="s">
        <v>220</v>
      </c>
      <c r="D2241" s="129" t="s">
        <v>1889</v>
      </c>
      <c r="E2241" s="58">
        <v>2000</v>
      </c>
      <c r="F2241" s="58"/>
      <c r="G2241" s="58">
        <f t="shared" si="38"/>
        <v>-2000</v>
      </c>
      <c r="H2241" s="49" t="s">
        <v>1801</v>
      </c>
    </row>
    <row r="2242" spans="1:8" x14ac:dyDescent="0.2">
      <c r="A2242" s="597">
        <v>42713</v>
      </c>
      <c r="B2242" s="41" t="s">
        <v>16</v>
      </c>
      <c r="C2242" s="41" t="s">
        <v>16</v>
      </c>
      <c r="D2242" s="108" t="s">
        <v>1950</v>
      </c>
      <c r="E2242" s="47">
        <v>200</v>
      </c>
      <c r="F2242" s="58"/>
      <c r="G2242" s="58">
        <f t="shared" si="38"/>
        <v>-200</v>
      </c>
      <c r="H2242" s="49" t="s">
        <v>1801</v>
      </c>
    </row>
    <row r="2243" spans="1:8" x14ac:dyDescent="0.2">
      <c r="A2243" s="597">
        <v>42713</v>
      </c>
      <c r="B2243" s="41" t="s">
        <v>16</v>
      </c>
      <c r="C2243" s="41" t="s">
        <v>16</v>
      </c>
      <c r="D2243" s="108" t="s">
        <v>1951</v>
      </c>
      <c r="E2243" s="47">
        <v>40</v>
      </c>
      <c r="F2243" s="58"/>
      <c r="G2243" s="58">
        <f t="shared" si="38"/>
        <v>-40</v>
      </c>
      <c r="H2243" s="49" t="s">
        <v>1801</v>
      </c>
    </row>
    <row r="2244" spans="1:8" x14ac:dyDescent="0.2">
      <c r="A2244" s="597">
        <v>42713</v>
      </c>
      <c r="B2244" s="41" t="s">
        <v>16</v>
      </c>
      <c r="C2244" s="41" t="s">
        <v>16</v>
      </c>
      <c r="D2244" s="108" t="s">
        <v>1952</v>
      </c>
      <c r="E2244" s="47">
        <v>90</v>
      </c>
      <c r="F2244" s="58"/>
      <c r="G2244" s="58">
        <f t="shared" si="38"/>
        <v>-90</v>
      </c>
      <c r="H2244" s="49" t="s">
        <v>1801</v>
      </c>
    </row>
    <row r="2245" spans="1:8" x14ac:dyDescent="0.2">
      <c r="A2245" s="597">
        <v>42713</v>
      </c>
      <c r="B2245" s="41" t="s">
        <v>16</v>
      </c>
      <c r="C2245" s="41" t="s">
        <v>16</v>
      </c>
      <c r="D2245" s="108" t="s">
        <v>1953</v>
      </c>
      <c r="E2245" s="47">
        <v>50</v>
      </c>
      <c r="F2245" s="58"/>
      <c r="G2245" s="58">
        <f t="shared" si="38"/>
        <v>-50</v>
      </c>
      <c r="H2245" s="49" t="s">
        <v>1801</v>
      </c>
    </row>
    <row r="2246" spans="1:8" x14ac:dyDescent="0.2">
      <c r="A2246" s="597">
        <v>42714</v>
      </c>
      <c r="B2246" s="41" t="s">
        <v>16</v>
      </c>
      <c r="C2246" s="41" t="s">
        <v>16</v>
      </c>
      <c r="D2246" s="108" t="s">
        <v>1954</v>
      </c>
      <c r="E2246" s="47">
        <v>70</v>
      </c>
      <c r="F2246" s="58"/>
      <c r="G2246" s="58">
        <f t="shared" si="38"/>
        <v>-70</v>
      </c>
      <c r="H2246" s="49" t="s">
        <v>1801</v>
      </c>
    </row>
    <row r="2247" spans="1:8" x14ac:dyDescent="0.2">
      <c r="A2247" s="597">
        <v>42714</v>
      </c>
      <c r="B2247" s="41" t="s">
        <v>16</v>
      </c>
      <c r="C2247" s="41" t="s">
        <v>16</v>
      </c>
      <c r="D2247" s="108" t="s">
        <v>1955</v>
      </c>
      <c r="E2247" s="47">
        <v>80</v>
      </c>
      <c r="F2247" s="58"/>
      <c r="G2247" s="58">
        <f t="shared" si="38"/>
        <v>-80</v>
      </c>
      <c r="H2247" s="49" t="s">
        <v>1801</v>
      </c>
    </row>
    <row r="2248" spans="1:8" ht="24" x14ac:dyDescent="0.2">
      <c r="A2248" s="597">
        <v>42714</v>
      </c>
      <c r="B2248" s="41" t="s">
        <v>40</v>
      </c>
      <c r="C2248" s="41" t="s">
        <v>111</v>
      </c>
      <c r="D2248" s="129" t="s">
        <v>1890</v>
      </c>
      <c r="E2248" s="58">
        <v>1930</v>
      </c>
      <c r="F2248" s="58"/>
      <c r="G2248" s="58">
        <f t="shared" si="38"/>
        <v>-1930</v>
      </c>
      <c r="H2248" s="49" t="s">
        <v>1801</v>
      </c>
    </row>
    <row r="2249" spans="1:8" x14ac:dyDescent="0.2">
      <c r="A2249" s="597">
        <v>42714</v>
      </c>
      <c r="B2249" s="41" t="s">
        <v>1493</v>
      </c>
      <c r="C2249" s="41" t="s">
        <v>106</v>
      </c>
      <c r="D2249" s="129" t="s">
        <v>1891</v>
      </c>
      <c r="E2249" s="58">
        <v>1930</v>
      </c>
      <c r="F2249" s="58"/>
      <c r="G2249" s="58">
        <f t="shared" ref="G2249:G2312" si="39">F2249-E2249</f>
        <v>-1930</v>
      </c>
      <c r="H2249" s="49" t="s">
        <v>1801</v>
      </c>
    </row>
    <row r="2250" spans="1:8" x14ac:dyDescent="0.2">
      <c r="A2250" s="597">
        <v>42714</v>
      </c>
      <c r="B2250" s="41" t="s">
        <v>40</v>
      </c>
      <c r="C2250" s="41" t="s">
        <v>551</v>
      </c>
      <c r="D2250" s="129" t="s">
        <v>286</v>
      </c>
      <c r="E2250" s="58">
        <v>2000</v>
      </c>
      <c r="F2250" s="58"/>
      <c r="G2250" s="58">
        <f t="shared" si="39"/>
        <v>-2000</v>
      </c>
      <c r="H2250" s="49" t="s">
        <v>1801</v>
      </c>
    </row>
    <row r="2251" spans="1:8" x14ac:dyDescent="0.2">
      <c r="A2251" s="597">
        <v>42715</v>
      </c>
      <c r="B2251" s="41" t="s">
        <v>82</v>
      </c>
      <c r="C2251" s="41" t="s">
        <v>325</v>
      </c>
      <c r="D2251" s="129" t="s">
        <v>1900</v>
      </c>
      <c r="E2251" s="58">
        <v>800</v>
      </c>
      <c r="F2251" s="58"/>
      <c r="G2251" s="58">
        <f t="shared" si="39"/>
        <v>-800</v>
      </c>
      <c r="H2251" s="49" t="s">
        <v>1801</v>
      </c>
    </row>
    <row r="2252" spans="1:8" x14ac:dyDescent="0.2">
      <c r="A2252" s="597">
        <v>42715</v>
      </c>
      <c r="B2252" s="41" t="s">
        <v>1400</v>
      </c>
      <c r="C2252" s="41" t="s">
        <v>64</v>
      </c>
      <c r="D2252" s="129" t="s">
        <v>286</v>
      </c>
      <c r="E2252" s="58">
        <v>600</v>
      </c>
      <c r="F2252" s="58"/>
      <c r="G2252" s="58">
        <f t="shared" si="39"/>
        <v>-600</v>
      </c>
      <c r="H2252" s="49" t="s">
        <v>1801</v>
      </c>
    </row>
    <row r="2253" spans="1:8" x14ac:dyDescent="0.2">
      <c r="A2253" s="597">
        <v>42716</v>
      </c>
      <c r="B2253" s="41" t="s">
        <v>40</v>
      </c>
      <c r="C2253" s="41" t="s">
        <v>325</v>
      </c>
      <c r="D2253" s="129" t="s">
        <v>1901</v>
      </c>
      <c r="E2253" s="58">
        <v>2200</v>
      </c>
      <c r="F2253" s="58"/>
      <c r="G2253" s="58">
        <f t="shared" si="39"/>
        <v>-2200</v>
      </c>
      <c r="H2253" s="49" t="s">
        <v>1801</v>
      </c>
    </row>
    <row r="2254" spans="1:8" x14ac:dyDescent="0.2">
      <c r="A2254" s="597">
        <v>42717</v>
      </c>
      <c r="B2254" s="41" t="s">
        <v>40</v>
      </c>
      <c r="C2254" s="41" t="s">
        <v>80</v>
      </c>
      <c r="D2254" s="129" t="s">
        <v>1902</v>
      </c>
      <c r="E2254" s="58">
        <v>2300</v>
      </c>
      <c r="F2254" s="58"/>
      <c r="G2254" s="58">
        <f t="shared" si="39"/>
        <v>-2300</v>
      </c>
      <c r="H2254" s="49" t="s">
        <v>1801</v>
      </c>
    </row>
    <row r="2255" spans="1:8" x14ac:dyDescent="0.2">
      <c r="A2255" s="597">
        <v>42717</v>
      </c>
      <c r="B2255" s="41" t="s">
        <v>1400</v>
      </c>
      <c r="C2255" s="41" t="s">
        <v>450</v>
      </c>
      <c r="D2255" s="129" t="s">
        <v>1904</v>
      </c>
      <c r="E2255" s="58">
        <v>5000</v>
      </c>
      <c r="F2255" s="58"/>
      <c r="G2255" s="58">
        <f t="shared" si="39"/>
        <v>-5000</v>
      </c>
      <c r="H2255" s="49" t="s">
        <v>1801</v>
      </c>
    </row>
    <row r="2256" spans="1:8" x14ac:dyDescent="0.2">
      <c r="A2256" s="597">
        <v>42717</v>
      </c>
      <c r="B2256" s="41" t="s">
        <v>82</v>
      </c>
      <c r="C2256" s="41" t="s">
        <v>247</v>
      </c>
      <c r="D2256" s="129" t="s">
        <v>370</v>
      </c>
      <c r="E2256" s="58">
        <v>5000</v>
      </c>
      <c r="F2256" s="58"/>
      <c r="G2256" s="58">
        <f t="shared" si="39"/>
        <v>-5000</v>
      </c>
      <c r="H2256" s="49" t="s">
        <v>1801</v>
      </c>
    </row>
    <row r="2257" spans="1:8" x14ac:dyDescent="0.2">
      <c r="A2257" s="597">
        <v>42717</v>
      </c>
      <c r="B2257" s="41" t="s">
        <v>37</v>
      </c>
      <c r="C2257" s="41" t="s">
        <v>247</v>
      </c>
      <c r="D2257" s="129" t="s">
        <v>370</v>
      </c>
      <c r="E2257" s="58">
        <v>6000</v>
      </c>
      <c r="F2257" s="58"/>
      <c r="G2257" s="58">
        <f t="shared" si="39"/>
        <v>-6000</v>
      </c>
      <c r="H2257" s="49" t="s">
        <v>1801</v>
      </c>
    </row>
    <row r="2258" spans="1:8" x14ac:dyDescent="0.2">
      <c r="A2258" s="597">
        <v>42717</v>
      </c>
      <c r="B2258" s="41" t="s">
        <v>1400</v>
      </c>
      <c r="C2258" s="41" t="s">
        <v>1897</v>
      </c>
      <c r="D2258" s="129" t="s">
        <v>1756</v>
      </c>
      <c r="E2258" s="58">
        <v>100</v>
      </c>
      <c r="F2258" s="58"/>
      <c r="G2258" s="58">
        <f t="shared" si="39"/>
        <v>-100</v>
      </c>
      <c r="H2258" s="49" t="s">
        <v>1801</v>
      </c>
    </row>
    <row r="2259" spans="1:8" x14ac:dyDescent="0.2">
      <c r="A2259" s="597">
        <v>42717</v>
      </c>
      <c r="B2259" s="41" t="s">
        <v>1400</v>
      </c>
      <c r="C2259" s="41" t="s">
        <v>780</v>
      </c>
      <c r="D2259" s="129" t="s">
        <v>1903</v>
      </c>
      <c r="E2259" s="58">
        <v>455</v>
      </c>
      <c r="F2259" s="58"/>
      <c r="G2259" s="58">
        <f t="shared" si="39"/>
        <v>-455</v>
      </c>
      <c r="H2259" s="49" t="s">
        <v>1801</v>
      </c>
    </row>
    <row r="2260" spans="1:8" x14ac:dyDescent="0.2">
      <c r="A2260" s="597">
        <v>42717</v>
      </c>
      <c r="B2260" s="41" t="s">
        <v>1493</v>
      </c>
      <c r="C2260" s="41" t="s">
        <v>780</v>
      </c>
      <c r="D2260" s="129" t="s">
        <v>1903</v>
      </c>
      <c r="E2260" s="58">
        <v>1330</v>
      </c>
      <c r="F2260" s="58"/>
      <c r="G2260" s="58">
        <f t="shared" si="39"/>
        <v>-1330</v>
      </c>
      <c r="H2260" s="49" t="s">
        <v>1801</v>
      </c>
    </row>
    <row r="2261" spans="1:8" x14ac:dyDescent="0.2">
      <c r="A2261" s="597">
        <v>42717</v>
      </c>
      <c r="B2261" s="41" t="s">
        <v>1493</v>
      </c>
      <c r="C2261" s="41" t="s">
        <v>220</v>
      </c>
      <c r="D2261" s="129" t="s">
        <v>1905</v>
      </c>
      <c r="E2261" s="58">
        <v>850</v>
      </c>
      <c r="F2261" s="58"/>
      <c r="G2261" s="58">
        <f t="shared" si="39"/>
        <v>-850</v>
      </c>
      <c r="H2261" s="49" t="s">
        <v>1801</v>
      </c>
    </row>
    <row r="2262" spans="1:8" x14ac:dyDescent="0.2">
      <c r="A2262" s="597">
        <v>42717</v>
      </c>
      <c r="B2262" s="41" t="s">
        <v>1400</v>
      </c>
      <c r="C2262" s="41" t="s">
        <v>1897</v>
      </c>
      <c r="D2262" s="129" t="s">
        <v>286</v>
      </c>
      <c r="E2262" s="58">
        <v>100</v>
      </c>
      <c r="F2262" s="58"/>
      <c r="G2262" s="58">
        <f t="shared" si="39"/>
        <v>-100</v>
      </c>
      <c r="H2262" s="49" t="s">
        <v>1801</v>
      </c>
    </row>
    <row r="2263" spans="1:8" x14ac:dyDescent="0.2">
      <c r="A2263" s="597">
        <v>42718</v>
      </c>
      <c r="B2263" s="41" t="s">
        <v>1400</v>
      </c>
      <c r="C2263" s="41" t="s">
        <v>64</v>
      </c>
      <c r="D2263" s="129" t="s">
        <v>286</v>
      </c>
      <c r="E2263" s="58">
        <v>100</v>
      </c>
      <c r="F2263" s="58"/>
      <c r="G2263" s="58">
        <f t="shared" si="39"/>
        <v>-100</v>
      </c>
      <c r="H2263" s="49" t="s">
        <v>1801</v>
      </c>
    </row>
    <row r="2264" spans="1:8" x14ac:dyDescent="0.2">
      <c r="A2264" s="597">
        <v>42718</v>
      </c>
      <c r="B2264" s="41" t="s">
        <v>1400</v>
      </c>
      <c r="C2264" s="41" t="s">
        <v>1897</v>
      </c>
      <c r="D2264" s="129" t="s">
        <v>286</v>
      </c>
      <c r="E2264" s="58">
        <v>100</v>
      </c>
      <c r="F2264" s="58"/>
      <c r="G2264" s="58">
        <f t="shared" si="39"/>
        <v>-100</v>
      </c>
      <c r="H2264" s="49" t="s">
        <v>1801</v>
      </c>
    </row>
    <row r="2265" spans="1:8" x14ac:dyDescent="0.2">
      <c r="A2265" s="597">
        <v>42718</v>
      </c>
      <c r="B2265" s="41" t="s">
        <v>40</v>
      </c>
      <c r="C2265" s="41" t="s">
        <v>111</v>
      </c>
      <c r="D2265" s="129" t="s">
        <v>1906</v>
      </c>
      <c r="E2265" s="58">
        <v>1604</v>
      </c>
      <c r="F2265" s="58"/>
      <c r="G2265" s="58">
        <f t="shared" si="39"/>
        <v>-1604</v>
      </c>
      <c r="H2265" s="49" t="s">
        <v>1801</v>
      </c>
    </row>
    <row r="2266" spans="1:8" x14ac:dyDescent="0.2">
      <c r="A2266" s="597">
        <v>42718</v>
      </c>
      <c r="B2266" s="41" t="s">
        <v>16</v>
      </c>
      <c r="C2266" s="41" t="s">
        <v>111</v>
      </c>
      <c r="D2266" s="129" t="s">
        <v>1907</v>
      </c>
      <c r="E2266" s="58">
        <v>5960</v>
      </c>
      <c r="F2266" s="58"/>
      <c r="G2266" s="58">
        <f t="shared" si="39"/>
        <v>-5960</v>
      </c>
      <c r="H2266" s="49" t="s">
        <v>1801</v>
      </c>
    </row>
    <row r="2267" spans="1:8" x14ac:dyDescent="0.2">
      <c r="A2267" s="597">
        <v>42718</v>
      </c>
      <c r="B2267" s="41" t="s">
        <v>16</v>
      </c>
      <c r="C2267" s="41" t="s">
        <v>773</v>
      </c>
      <c r="D2267" s="129" t="s">
        <v>1908</v>
      </c>
      <c r="E2267" s="58">
        <v>100</v>
      </c>
      <c r="F2267" s="58"/>
      <c r="G2267" s="58">
        <f t="shared" si="39"/>
        <v>-100</v>
      </c>
      <c r="H2267" s="49" t="s">
        <v>1801</v>
      </c>
    </row>
    <row r="2268" spans="1:8" x14ac:dyDescent="0.2">
      <c r="A2268" s="597">
        <v>42718</v>
      </c>
      <c r="B2268" s="41" t="s">
        <v>1400</v>
      </c>
      <c r="C2268" s="41" t="s">
        <v>64</v>
      </c>
      <c r="D2268" s="129" t="s">
        <v>1756</v>
      </c>
      <c r="E2268" s="58">
        <v>500</v>
      </c>
      <c r="F2268" s="58"/>
      <c r="G2268" s="58">
        <f t="shared" si="39"/>
        <v>-500</v>
      </c>
      <c r="H2268" s="49" t="s">
        <v>1801</v>
      </c>
    </row>
    <row r="2269" spans="1:8" x14ac:dyDescent="0.2">
      <c r="A2269" s="597">
        <v>42718</v>
      </c>
      <c r="B2269" s="41" t="s">
        <v>16</v>
      </c>
      <c r="C2269" s="41" t="s">
        <v>773</v>
      </c>
      <c r="D2269" s="129" t="s">
        <v>1909</v>
      </c>
      <c r="E2269" s="58">
        <v>100</v>
      </c>
      <c r="F2269" s="58"/>
      <c r="G2269" s="58">
        <f t="shared" si="39"/>
        <v>-100</v>
      </c>
      <c r="H2269" s="49" t="s">
        <v>1801</v>
      </c>
    </row>
    <row r="2270" spans="1:8" x14ac:dyDescent="0.2">
      <c r="A2270" s="597">
        <v>42719</v>
      </c>
      <c r="B2270" s="41" t="s">
        <v>16</v>
      </c>
      <c r="C2270" s="41" t="s">
        <v>773</v>
      </c>
      <c r="D2270" s="129" t="s">
        <v>286</v>
      </c>
      <c r="E2270" s="58">
        <v>100</v>
      </c>
      <c r="F2270" s="58"/>
      <c r="G2270" s="58">
        <f t="shared" si="39"/>
        <v>-100</v>
      </c>
      <c r="H2270" s="49" t="s">
        <v>1801</v>
      </c>
    </row>
    <row r="2271" spans="1:8" x14ac:dyDescent="0.2">
      <c r="A2271" s="597">
        <v>42719</v>
      </c>
      <c r="B2271" s="41" t="s">
        <v>1493</v>
      </c>
      <c r="C2271" s="41" t="s">
        <v>220</v>
      </c>
      <c r="D2271" s="129" t="s">
        <v>1910</v>
      </c>
      <c r="E2271" s="58">
        <v>1795</v>
      </c>
      <c r="F2271" s="58"/>
      <c r="G2271" s="58">
        <f t="shared" si="39"/>
        <v>-1795</v>
      </c>
      <c r="H2271" s="49" t="s">
        <v>1801</v>
      </c>
    </row>
    <row r="2272" spans="1:8" x14ac:dyDescent="0.2">
      <c r="A2272" s="597">
        <v>42720</v>
      </c>
      <c r="B2272" s="41" t="s">
        <v>1400</v>
      </c>
      <c r="C2272" s="41" t="s">
        <v>64</v>
      </c>
      <c r="D2272" s="129" t="s">
        <v>286</v>
      </c>
      <c r="E2272" s="58">
        <v>500</v>
      </c>
      <c r="F2272" s="58"/>
      <c r="G2272" s="58">
        <f t="shared" si="39"/>
        <v>-500</v>
      </c>
      <c r="H2272" s="49" t="s">
        <v>1801</v>
      </c>
    </row>
    <row r="2273" spans="1:8" x14ac:dyDescent="0.2">
      <c r="A2273" s="597">
        <v>42719</v>
      </c>
      <c r="B2273" s="41" t="s">
        <v>16</v>
      </c>
      <c r="C2273" s="41" t="s">
        <v>16</v>
      </c>
      <c r="D2273" s="108" t="s">
        <v>1956</v>
      </c>
      <c r="E2273" s="47">
        <v>70</v>
      </c>
      <c r="F2273" s="58"/>
      <c r="G2273" s="58">
        <f t="shared" si="39"/>
        <v>-70</v>
      </c>
      <c r="H2273" s="49" t="s">
        <v>1801</v>
      </c>
    </row>
    <row r="2274" spans="1:8" x14ac:dyDescent="0.2">
      <c r="A2274" s="597">
        <v>42719</v>
      </c>
      <c r="B2274" s="41" t="s">
        <v>16</v>
      </c>
      <c r="C2274" s="41" t="s">
        <v>16</v>
      </c>
      <c r="D2274" s="108" t="s">
        <v>1957</v>
      </c>
      <c r="E2274" s="47">
        <v>360</v>
      </c>
      <c r="F2274" s="58"/>
      <c r="G2274" s="58">
        <f t="shared" si="39"/>
        <v>-360</v>
      </c>
      <c r="H2274" s="49" t="s">
        <v>1801</v>
      </c>
    </row>
    <row r="2275" spans="1:8" x14ac:dyDescent="0.2">
      <c r="A2275" s="597">
        <v>42719</v>
      </c>
      <c r="B2275" s="41" t="s">
        <v>16</v>
      </c>
      <c r="C2275" s="41" t="s">
        <v>16</v>
      </c>
      <c r="D2275" s="108" t="s">
        <v>1954</v>
      </c>
      <c r="E2275" s="47">
        <v>70</v>
      </c>
      <c r="F2275" s="58"/>
      <c r="G2275" s="58">
        <f t="shared" si="39"/>
        <v>-70</v>
      </c>
      <c r="H2275" s="49" t="s">
        <v>1801</v>
      </c>
    </row>
    <row r="2276" spans="1:8" x14ac:dyDescent="0.2">
      <c r="A2276" s="597">
        <v>42719</v>
      </c>
      <c r="B2276" s="41" t="s">
        <v>16</v>
      </c>
      <c r="C2276" s="41" t="s">
        <v>16</v>
      </c>
      <c r="D2276" s="108" t="s">
        <v>1958</v>
      </c>
      <c r="E2276" s="47">
        <v>30</v>
      </c>
      <c r="F2276" s="58"/>
      <c r="G2276" s="58">
        <f t="shared" si="39"/>
        <v>-30</v>
      </c>
      <c r="H2276" s="49" t="s">
        <v>1801</v>
      </c>
    </row>
    <row r="2277" spans="1:8" x14ac:dyDescent="0.2">
      <c r="A2277" s="597">
        <v>42719</v>
      </c>
      <c r="B2277" s="41" t="s">
        <v>16</v>
      </c>
      <c r="C2277" s="41" t="s">
        <v>16</v>
      </c>
      <c r="D2277" s="108" t="s">
        <v>1959</v>
      </c>
      <c r="E2277" s="47">
        <v>795</v>
      </c>
      <c r="F2277" s="58"/>
      <c r="G2277" s="58">
        <f t="shared" si="39"/>
        <v>-795</v>
      </c>
      <c r="H2277" s="49" t="s">
        <v>1801</v>
      </c>
    </row>
    <row r="2278" spans="1:8" x14ac:dyDescent="0.2">
      <c r="A2278" s="597">
        <v>42719</v>
      </c>
      <c r="B2278" s="41" t="s">
        <v>16</v>
      </c>
      <c r="C2278" s="41" t="s">
        <v>16</v>
      </c>
      <c r="D2278" s="108" t="s">
        <v>1960</v>
      </c>
      <c r="E2278" s="47">
        <v>90</v>
      </c>
      <c r="F2278" s="58"/>
      <c r="G2278" s="58">
        <f t="shared" si="39"/>
        <v>-90</v>
      </c>
      <c r="H2278" s="49" t="s">
        <v>1801</v>
      </c>
    </row>
    <row r="2279" spans="1:8" x14ac:dyDescent="0.2">
      <c r="A2279" s="597">
        <v>42721</v>
      </c>
      <c r="B2279" s="41" t="s">
        <v>16</v>
      </c>
      <c r="C2279" s="41" t="s">
        <v>64</v>
      </c>
      <c r="D2279" s="129" t="s">
        <v>1911</v>
      </c>
      <c r="E2279" s="58">
        <v>1500</v>
      </c>
      <c r="F2279" s="58"/>
      <c r="G2279" s="58">
        <f t="shared" si="39"/>
        <v>-1500</v>
      </c>
      <c r="H2279" s="49" t="s">
        <v>1801</v>
      </c>
    </row>
    <row r="2280" spans="1:8" x14ac:dyDescent="0.2">
      <c r="A2280" s="597">
        <v>42723</v>
      </c>
      <c r="B2280" s="41" t="s">
        <v>40</v>
      </c>
      <c r="C2280" s="41" t="s">
        <v>14</v>
      </c>
      <c r="D2280" s="129" t="s">
        <v>1912</v>
      </c>
      <c r="E2280" s="58">
        <v>320</v>
      </c>
      <c r="F2280" s="58"/>
      <c r="G2280" s="58">
        <f t="shared" si="39"/>
        <v>-320</v>
      </c>
      <c r="H2280" s="49" t="s">
        <v>1801</v>
      </c>
    </row>
    <row r="2281" spans="1:8" x14ac:dyDescent="0.2">
      <c r="A2281" s="597">
        <v>42723</v>
      </c>
      <c r="B2281" s="41" t="s">
        <v>40</v>
      </c>
      <c r="C2281" s="41" t="s">
        <v>1896</v>
      </c>
      <c r="D2281" s="129" t="s">
        <v>1913</v>
      </c>
      <c r="E2281" s="58">
        <v>4970</v>
      </c>
      <c r="F2281" s="58"/>
      <c r="G2281" s="58">
        <f t="shared" si="39"/>
        <v>-4970</v>
      </c>
      <c r="H2281" s="49" t="s">
        <v>1801</v>
      </c>
    </row>
    <row r="2282" spans="1:8" x14ac:dyDescent="0.2">
      <c r="A2282" s="597">
        <v>42723</v>
      </c>
      <c r="B2282" s="41" t="s">
        <v>1493</v>
      </c>
      <c r="C2282" s="41" t="s">
        <v>106</v>
      </c>
      <c r="D2282" s="129" t="s">
        <v>1914</v>
      </c>
      <c r="E2282" s="58">
        <v>2100</v>
      </c>
      <c r="F2282" s="58"/>
      <c r="G2282" s="58">
        <f t="shared" si="39"/>
        <v>-2100</v>
      </c>
      <c r="H2282" s="49" t="s">
        <v>1801</v>
      </c>
    </row>
    <row r="2283" spans="1:8" x14ac:dyDescent="0.2">
      <c r="A2283" s="597">
        <v>42723</v>
      </c>
      <c r="B2283" s="41" t="s">
        <v>40</v>
      </c>
      <c r="C2283" s="41" t="s">
        <v>773</v>
      </c>
      <c r="D2283" s="129" t="s">
        <v>1915</v>
      </c>
      <c r="E2283" s="58">
        <v>300</v>
      </c>
      <c r="F2283" s="58"/>
      <c r="G2283" s="58">
        <f t="shared" si="39"/>
        <v>-300</v>
      </c>
      <c r="H2283" s="49" t="s">
        <v>1801</v>
      </c>
    </row>
    <row r="2284" spans="1:8" x14ac:dyDescent="0.2">
      <c r="A2284" s="597">
        <v>42723</v>
      </c>
      <c r="B2284" s="41" t="s">
        <v>1400</v>
      </c>
      <c r="C2284" s="41" t="s">
        <v>64</v>
      </c>
      <c r="D2284" s="129" t="s">
        <v>286</v>
      </c>
      <c r="E2284" s="58">
        <v>1000</v>
      </c>
      <c r="F2284" s="58"/>
      <c r="G2284" s="58">
        <f t="shared" si="39"/>
        <v>-1000</v>
      </c>
      <c r="H2284" s="49" t="s">
        <v>1801</v>
      </c>
    </row>
    <row r="2285" spans="1:8" ht="12.75" customHeight="1" x14ac:dyDescent="0.2">
      <c r="A2285" s="597">
        <v>42723</v>
      </c>
      <c r="B2285" s="41" t="s">
        <v>16</v>
      </c>
      <c r="C2285" s="41" t="s">
        <v>16</v>
      </c>
      <c r="D2285" s="108" t="s">
        <v>1961</v>
      </c>
      <c r="E2285" s="47">
        <v>780</v>
      </c>
      <c r="F2285" s="58"/>
      <c r="G2285" s="58">
        <f t="shared" si="39"/>
        <v>-780</v>
      </c>
      <c r="H2285" s="49" t="s">
        <v>1801</v>
      </c>
    </row>
    <row r="2286" spans="1:8" ht="12.75" customHeight="1" x14ac:dyDescent="0.2">
      <c r="A2286" s="597">
        <v>42723</v>
      </c>
      <c r="B2286" s="41" t="s">
        <v>16</v>
      </c>
      <c r="C2286" s="41" t="s">
        <v>16</v>
      </c>
      <c r="D2286" s="108" t="s">
        <v>1962</v>
      </c>
      <c r="E2286" s="47">
        <v>145</v>
      </c>
      <c r="F2286" s="58"/>
      <c r="G2286" s="58">
        <f t="shared" si="39"/>
        <v>-145</v>
      </c>
      <c r="H2286" s="49" t="s">
        <v>1801</v>
      </c>
    </row>
    <row r="2287" spans="1:8" x14ac:dyDescent="0.2">
      <c r="A2287" s="597">
        <v>42724</v>
      </c>
      <c r="B2287" s="41" t="s">
        <v>16</v>
      </c>
      <c r="C2287" s="41" t="s">
        <v>16</v>
      </c>
      <c r="D2287" s="108" t="s">
        <v>1963</v>
      </c>
      <c r="E2287" s="47">
        <v>100</v>
      </c>
      <c r="F2287" s="58"/>
      <c r="G2287" s="58">
        <f t="shared" si="39"/>
        <v>-100</v>
      </c>
      <c r="H2287" s="49" t="s">
        <v>1801</v>
      </c>
    </row>
    <row r="2288" spans="1:8" x14ac:dyDescent="0.2">
      <c r="A2288" s="597">
        <v>42724</v>
      </c>
      <c r="B2288" s="41" t="s">
        <v>16</v>
      </c>
      <c r="C2288" s="41" t="s">
        <v>16</v>
      </c>
      <c r="D2288" s="108" t="s">
        <v>1614</v>
      </c>
      <c r="E2288" s="47">
        <v>50</v>
      </c>
      <c r="F2288" s="58"/>
      <c r="G2288" s="58">
        <f t="shared" si="39"/>
        <v>-50</v>
      </c>
      <c r="H2288" s="49" t="s">
        <v>1801</v>
      </c>
    </row>
    <row r="2289" spans="1:8" x14ac:dyDescent="0.2">
      <c r="A2289" s="597">
        <v>42724</v>
      </c>
      <c r="B2289" s="41" t="s">
        <v>16</v>
      </c>
      <c r="C2289" s="41" t="s">
        <v>16</v>
      </c>
      <c r="D2289" s="108" t="s">
        <v>1954</v>
      </c>
      <c r="E2289" s="47">
        <v>70</v>
      </c>
      <c r="F2289" s="58"/>
      <c r="G2289" s="58">
        <f t="shared" si="39"/>
        <v>-70</v>
      </c>
      <c r="H2289" s="49" t="s">
        <v>1801</v>
      </c>
    </row>
    <row r="2290" spans="1:8" x14ac:dyDescent="0.2">
      <c r="A2290" s="597">
        <v>42724</v>
      </c>
      <c r="B2290" s="41" t="s">
        <v>16</v>
      </c>
      <c r="C2290" s="41" t="s">
        <v>16</v>
      </c>
      <c r="D2290" s="108" t="s">
        <v>1964</v>
      </c>
      <c r="E2290" s="47">
        <v>530</v>
      </c>
      <c r="F2290" s="58"/>
      <c r="G2290" s="58">
        <f t="shared" si="39"/>
        <v>-530</v>
      </c>
      <c r="H2290" s="49" t="s">
        <v>1801</v>
      </c>
    </row>
    <row r="2291" spans="1:8" x14ac:dyDescent="0.2">
      <c r="A2291" s="597">
        <v>42724</v>
      </c>
      <c r="B2291" s="41" t="s">
        <v>16</v>
      </c>
      <c r="C2291" s="41" t="s">
        <v>16</v>
      </c>
      <c r="D2291" s="108" t="s">
        <v>1965</v>
      </c>
      <c r="E2291" s="47">
        <v>190</v>
      </c>
      <c r="F2291" s="58"/>
      <c r="G2291" s="58">
        <f t="shared" si="39"/>
        <v>-190</v>
      </c>
      <c r="H2291" s="49" t="s">
        <v>1801</v>
      </c>
    </row>
    <row r="2292" spans="1:8" x14ac:dyDescent="0.2">
      <c r="A2292" s="597">
        <v>42724</v>
      </c>
      <c r="B2292" s="41" t="s">
        <v>16</v>
      </c>
      <c r="C2292" s="41" t="s">
        <v>16</v>
      </c>
      <c r="D2292" s="108" t="s">
        <v>1966</v>
      </c>
      <c r="E2292" s="47">
        <v>40</v>
      </c>
      <c r="F2292" s="58"/>
      <c r="G2292" s="58">
        <f t="shared" si="39"/>
        <v>-40</v>
      </c>
      <c r="H2292" s="49" t="s">
        <v>1801</v>
      </c>
    </row>
    <row r="2293" spans="1:8" x14ac:dyDescent="0.2">
      <c r="A2293" s="597">
        <v>42724</v>
      </c>
      <c r="B2293" s="41" t="s">
        <v>16</v>
      </c>
      <c r="C2293" s="41" t="s">
        <v>16</v>
      </c>
      <c r="D2293" s="108" t="s">
        <v>1967</v>
      </c>
      <c r="E2293" s="47">
        <v>540</v>
      </c>
      <c r="F2293" s="58"/>
      <c r="G2293" s="58">
        <f t="shared" si="39"/>
        <v>-540</v>
      </c>
      <c r="H2293" s="49" t="s">
        <v>1801</v>
      </c>
    </row>
    <row r="2294" spans="1:8" x14ac:dyDescent="0.2">
      <c r="A2294" s="597">
        <v>42724</v>
      </c>
      <c r="B2294" s="41" t="s">
        <v>16</v>
      </c>
      <c r="C2294" s="41" t="s">
        <v>16</v>
      </c>
      <c r="D2294" s="108" t="s">
        <v>1968</v>
      </c>
      <c r="E2294" s="47">
        <v>20</v>
      </c>
      <c r="F2294" s="58"/>
      <c r="G2294" s="58">
        <f t="shared" si="39"/>
        <v>-20</v>
      </c>
      <c r="H2294" s="49" t="s">
        <v>1801</v>
      </c>
    </row>
    <row r="2295" spans="1:8" x14ac:dyDescent="0.2">
      <c r="A2295" s="597">
        <v>42724</v>
      </c>
      <c r="B2295" s="41" t="s">
        <v>25</v>
      </c>
      <c r="C2295" s="41" t="s">
        <v>1916</v>
      </c>
      <c r="D2295" s="129" t="s">
        <v>1917</v>
      </c>
      <c r="E2295" s="58">
        <v>500</v>
      </c>
      <c r="F2295" s="58"/>
      <c r="G2295" s="58">
        <f t="shared" si="39"/>
        <v>-500</v>
      </c>
      <c r="H2295" s="49" t="s">
        <v>1801</v>
      </c>
    </row>
    <row r="2296" spans="1:8" x14ac:dyDescent="0.2">
      <c r="A2296" s="597">
        <v>42725</v>
      </c>
      <c r="B2296" s="41" t="s">
        <v>82</v>
      </c>
      <c r="C2296" s="41" t="s">
        <v>220</v>
      </c>
      <c r="D2296" s="129" t="s">
        <v>1923</v>
      </c>
      <c r="E2296" s="58">
        <v>500</v>
      </c>
      <c r="F2296" s="58"/>
      <c r="G2296" s="58">
        <f t="shared" si="39"/>
        <v>-500</v>
      </c>
      <c r="H2296" s="49" t="s">
        <v>1801</v>
      </c>
    </row>
    <row r="2297" spans="1:8" x14ac:dyDescent="0.2">
      <c r="A2297" s="597">
        <v>42725</v>
      </c>
      <c r="B2297" s="41" t="s">
        <v>1493</v>
      </c>
      <c r="C2297" s="41" t="s">
        <v>220</v>
      </c>
      <c r="D2297" s="129" t="s">
        <v>1924</v>
      </c>
      <c r="E2297" s="58">
        <v>900</v>
      </c>
      <c r="F2297" s="58"/>
      <c r="G2297" s="58">
        <f t="shared" si="39"/>
        <v>-900</v>
      </c>
      <c r="H2297" s="49" t="s">
        <v>1801</v>
      </c>
    </row>
    <row r="2298" spans="1:8" x14ac:dyDescent="0.2">
      <c r="A2298" s="597">
        <v>42725</v>
      </c>
      <c r="B2298" s="41" t="s">
        <v>154</v>
      </c>
      <c r="C2298" s="41" t="s">
        <v>220</v>
      </c>
      <c r="D2298" s="129" t="s">
        <v>1300</v>
      </c>
      <c r="E2298" s="58">
        <v>60</v>
      </c>
      <c r="F2298" s="58"/>
      <c r="G2298" s="58">
        <f t="shared" si="39"/>
        <v>-60</v>
      </c>
      <c r="H2298" s="49" t="s">
        <v>1801</v>
      </c>
    </row>
    <row r="2299" spans="1:8" x14ac:dyDescent="0.2">
      <c r="A2299" s="597">
        <v>42725</v>
      </c>
      <c r="B2299" s="41" t="s">
        <v>25</v>
      </c>
      <c r="C2299" s="41" t="s">
        <v>773</v>
      </c>
      <c r="D2299" s="129" t="s">
        <v>1922</v>
      </c>
      <c r="E2299" s="58">
        <v>100</v>
      </c>
      <c r="F2299" s="58"/>
      <c r="G2299" s="58">
        <f t="shared" si="39"/>
        <v>-100</v>
      </c>
      <c r="H2299" s="49" t="s">
        <v>1801</v>
      </c>
    </row>
    <row r="2300" spans="1:8" x14ac:dyDescent="0.2">
      <c r="A2300" s="597">
        <v>42725</v>
      </c>
      <c r="B2300" s="41" t="s">
        <v>25</v>
      </c>
      <c r="C2300" s="41" t="s">
        <v>1894</v>
      </c>
      <c r="D2300" s="129" t="s">
        <v>1925</v>
      </c>
      <c r="E2300" s="58">
        <v>1500</v>
      </c>
      <c r="F2300" s="58"/>
      <c r="G2300" s="58">
        <f t="shared" si="39"/>
        <v>-1500</v>
      </c>
      <c r="H2300" s="49" t="s">
        <v>1801</v>
      </c>
    </row>
    <row r="2301" spans="1:8" x14ac:dyDescent="0.2">
      <c r="A2301" s="597">
        <v>42726</v>
      </c>
      <c r="B2301" s="41" t="s">
        <v>1493</v>
      </c>
      <c r="C2301" s="41" t="s">
        <v>454</v>
      </c>
      <c r="D2301" s="129" t="s">
        <v>1926</v>
      </c>
      <c r="E2301" s="58">
        <v>100</v>
      </c>
      <c r="F2301" s="58"/>
      <c r="G2301" s="58">
        <f t="shared" si="39"/>
        <v>-100</v>
      </c>
      <c r="H2301" s="49" t="s">
        <v>1801</v>
      </c>
    </row>
    <row r="2302" spans="1:8" x14ac:dyDescent="0.2">
      <c r="A2302" s="597">
        <v>42727</v>
      </c>
      <c r="B2302" s="41" t="s">
        <v>40</v>
      </c>
      <c r="C2302" s="41" t="s">
        <v>1687</v>
      </c>
      <c r="D2302" s="129" t="s">
        <v>1927</v>
      </c>
      <c r="E2302" s="58">
        <v>1010</v>
      </c>
      <c r="F2302" s="58"/>
      <c r="G2302" s="58">
        <f t="shared" si="39"/>
        <v>-1010</v>
      </c>
      <c r="H2302" s="49" t="s">
        <v>1801</v>
      </c>
    </row>
    <row r="2303" spans="1:8" x14ac:dyDescent="0.2">
      <c r="A2303" s="597">
        <v>42728</v>
      </c>
      <c r="B2303" s="41" t="s">
        <v>40</v>
      </c>
      <c r="C2303" s="41" t="s">
        <v>63</v>
      </c>
      <c r="D2303" s="129" t="s">
        <v>1928</v>
      </c>
      <c r="E2303" s="58">
        <v>4400</v>
      </c>
      <c r="F2303" s="58"/>
      <c r="G2303" s="58">
        <f t="shared" si="39"/>
        <v>-4400</v>
      </c>
      <c r="H2303" s="49" t="s">
        <v>1801</v>
      </c>
    </row>
    <row r="2304" spans="1:8" x14ac:dyDescent="0.2">
      <c r="A2304" s="597">
        <v>42729</v>
      </c>
      <c r="B2304" s="41" t="s">
        <v>1691</v>
      </c>
      <c r="C2304" s="41" t="s">
        <v>668</v>
      </c>
      <c r="D2304" s="129" t="s">
        <v>1929</v>
      </c>
      <c r="E2304" s="58">
        <v>18000</v>
      </c>
      <c r="F2304" s="58"/>
      <c r="G2304" s="58">
        <f t="shared" si="39"/>
        <v>-18000</v>
      </c>
      <c r="H2304" s="49" t="s">
        <v>1801</v>
      </c>
    </row>
    <row r="2305" spans="1:8" x14ac:dyDescent="0.2">
      <c r="A2305" s="597">
        <v>42731</v>
      </c>
      <c r="B2305" s="41" t="s">
        <v>82</v>
      </c>
      <c r="C2305" s="41" t="s">
        <v>668</v>
      </c>
      <c r="D2305" s="129" t="s">
        <v>1930</v>
      </c>
      <c r="E2305" s="58">
        <v>3300</v>
      </c>
      <c r="F2305" s="58"/>
      <c r="G2305" s="58">
        <f t="shared" si="39"/>
        <v>-3300</v>
      </c>
      <c r="H2305" s="49" t="s">
        <v>1801</v>
      </c>
    </row>
    <row r="2306" spans="1:8" x14ac:dyDescent="0.2">
      <c r="A2306" s="597">
        <v>42731</v>
      </c>
      <c r="B2306" s="41" t="s">
        <v>1400</v>
      </c>
      <c r="C2306" s="41" t="s">
        <v>1000</v>
      </c>
      <c r="D2306" s="129" t="s">
        <v>1744</v>
      </c>
      <c r="E2306" s="58">
        <v>200</v>
      </c>
      <c r="F2306" s="58"/>
      <c r="G2306" s="58">
        <f t="shared" si="39"/>
        <v>-200</v>
      </c>
      <c r="H2306" s="49" t="s">
        <v>1801</v>
      </c>
    </row>
    <row r="2307" spans="1:8" x14ac:dyDescent="0.2">
      <c r="A2307" s="597">
        <v>42731</v>
      </c>
      <c r="B2307" s="41" t="s">
        <v>16</v>
      </c>
      <c r="C2307" s="41" t="s">
        <v>1689</v>
      </c>
      <c r="D2307" s="129" t="s">
        <v>370</v>
      </c>
      <c r="E2307" s="58">
        <v>17574</v>
      </c>
      <c r="F2307" s="58"/>
      <c r="G2307" s="58">
        <f t="shared" si="39"/>
        <v>-17574</v>
      </c>
      <c r="H2307" s="49" t="s">
        <v>1801</v>
      </c>
    </row>
    <row r="2308" spans="1:8" x14ac:dyDescent="0.2">
      <c r="A2308" s="597">
        <v>42731</v>
      </c>
      <c r="B2308" s="41" t="s">
        <v>25</v>
      </c>
      <c r="C2308" s="41" t="s">
        <v>1689</v>
      </c>
      <c r="D2308" s="129" t="s">
        <v>370</v>
      </c>
      <c r="E2308" s="58">
        <v>9441</v>
      </c>
      <c r="F2308" s="58"/>
      <c r="G2308" s="58">
        <f t="shared" si="39"/>
        <v>-9441</v>
      </c>
      <c r="H2308" s="49" t="s">
        <v>1801</v>
      </c>
    </row>
    <row r="2309" spans="1:8" x14ac:dyDescent="0.2">
      <c r="A2309" s="597">
        <v>42731</v>
      </c>
      <c r="B2309" s="41" t="s">
        <v>82</v>
      </c>
      <c r="C2309" s="41" t="s">
        <v>220</v>
      </c>
      <c r="D2309" s="129" t="s">
        <v>1931</v>
      </c>
      <c r="E2309" s="58">
        <v>300</v>
      </c>
      <c r="F2309" s="58"/>
      <c r="G2309" s="58">
        <f t="shared" si="39"/>
        <v>-300</v>
      </c>
      <c r="H2309" s="49" t="s">
        <v>1801</v>
      </c>
    </row>
    <row r="2310" spans="1:8" x14ac:dyDescent="0.2">
      <c r="A2310" s="597">
        <v>42731</v>
      </c>
      <c r="B2310" s="41" t="s">
        <v>40</v>
      </c>
      <c r="C2310" s="41" t="s">
        <v>220</v>
      </c>
      <c r="D2310" s="129" t="s">
        <v>1932</v>
      </c>
      <c r="E2310" s="58">
        <v>1600</v>
      </c>
      <c r="F2310" s="58"/>
      <c r="G2310" s="58">
        <f t="shared" si="39"/>
        <v>-1600</v>
      </c>
      <c r="H2310" s="49" t="s">
        <v>1801</v>
      </c>
    </row>
    <row r="2311" spans="1:8" x14ac:dyDescent="0.2">
      <c r="A2311" s="597">
        <v>42731</v>
      </c>
      <c r="B2311" s="41" t="s">
        <v>1493</v>
      </c>
      <c r="C2311" s="41" t="s">
        <v>220</v>
      </c>
      <c r="D2311" s="129" t="s">
        <v>1933</v>
      </c>
      <c r="E2311" s="58">
        <v>910</v>
      </c>
      <c r="F2311" s="58"/>
      <c r="G2311" s="58">
        <f t="shared" si="39"/>
        <v>-910</v>
      </c>
      <c r="H2311" s="49" t="s">
        <v>1801</v>
      </c>
    </row>
    <row r="2312" spans="1:8" x14ac:dyDescent="0.2">
      <c r="A2312" s="597">
        <v>42732</v>
      </c>
      <c r="B2312" s="41" t="s">
        <v>16</v>
      </c>
      <c r="C2312" s="41" t="s">
        <v>16</v>
      </c>
      <c r="D2312" s="108" t="s">
        <v>1969</v>
      </c>
      <c r="E2312" s="47">
        <v>27015</v>
      </c>
      <c r="F2312" s="58"/>
      <c r="G2312" s="58">
        <f t="shared" si="39"/>
        <v>-27015</v>
      </c>
      <c r="H2312" s="49" t="s">
        <v>1801</v>
      </c>
    </row>
    <row r="2313" spans="1:8" x14ac:dyDescent="0.2">
      <c r="A2313" s="597">
        <v>42732</v>
      </c>
      <c r="B2313" s="41" t="s">
        <v>16</v>
      </c>
      <c r="C2313" s="41" t="s">
        <v>16</v>
      </c>
      <c r="D2313" s="108" t="s">
        <v>1374</v>
      </c>
      <c r="E2313" s="47">
        <v>340</v>
      </c>
      <c r="F2313" s="58"/>
      <c r="G2313" s="58">
        <f t="shared" ref="G2313:G2376" si="40">F2313-E2313</f>
        <v>-340</v>
      </c>
      <c r="H2313" s="49" t="s">
        <v>1801</v>
      </c>
    </row>
    <row r="2314" spans="1:8" x14ac:dyDescent="0.2">
      <c r="A2314" s="597">
        <v>42732</v>
      </c>
      <c r="B2314" s="41" t="s">
        <v>16</v>
      </c>
      <c r="C2314" s="41" t="s">
        <v>16</v>
      </c>
      <c r="D2314" s="108" t="s">
        <v>1970</v>
      </c>
      <c r="E2314" s="47">
        <v>100</v>
      </c>
      <c r="F2314" s="58"/>
      <c r="G2314" s="58">
        <f t="shared" si="40"/>
        <v>-100</v>
      </c>
      <c r="H2314" s="49" t="s">
        <v>1801</v>
      </c>
    </row>
    <row r="2315" spans="1:8" x14ac:dyDescent="0.2">
      <c r="A2315" s="597">
        <v>42733</v>
      </c>
      <c r="B2315" s="41" t="s">
        <v>16</v>
      </c>
      <c r="C2315" s="41" t="s">
        <v>16</v>
      </c>
      <c r="D2315" s="108" t="s">
        <v>1971</v>
      </c>
      <c r="E2315" s="47">
        <v>30</v>
      </c>
      <c r="F2315" s="58"/>
      <c r="G2315" s="58">
        <f t="shared" si="40"/>
        <v>-30</v>
      </c>
      <c r="H2315" s="49" t="s">
        <v>1801</v>
      </c>
    </row>
    <row r="2316" spans="1:8" x14ac:dyDescent="0.2">
      <c r="A2316" s="597">
        <v>42733</v>
      </c>
      <c r="B2316" s="41" t="s">
        <v>1400</v>
      </c>
      <c r="C2316" s="41" t="s">
        <v>64</v>
      </c>
      <c r="D2316" s="129" t="s">
        <v>1934</v>
      </c>
      <c r="E2316" s="58">
        <v>2400</v>
      </c>
      <c r="F2316" s="58"/>
      <c r="G2316" s="58">
        <f t="shared" si="40"/>
        <v>-2400</v>
      </c>
      <c r="H2316" s="49" t="s">
        <v>1801</v>
      </c>
    </row>
    <row r="2317" spans="1:8" x14ac:dyDescent="0.2">
      <c r="A2317" s="597">
        <v>42733</v>
      </c>
      <c r="B2317" s="41" t="s">
        <v>22</v>
      </c>
      <c r="C2317" s="41" t="s">
        <v>325</v>
      </c>
      <c r="D2317" s="129" t="s">
        <v>1972</v>
      </c>
      <c r="E2317" s="58">
        <v>6050</v>
      </c>
      <c r="F2317" s="58"/>
      <c r="G2317" s="58">
        <f t="shared" si="40"/>
        <v>-6050</v>
      </c>
      <c r="H2317" s="49" t="s">
        <v>1801</v>
      </c>
    </row>
    <row r="2318" spans="1:8" x14ac:dyDescent="0.2">
      <c r="A2318" s="597">
        <v>42733</v>
      </c>
      <c r="B2318" s="41" t="s">
        <v>40</v>
      </c>
      <c r="C2318" s="41" t="s">
        <v>325</v>
      </c>
      <c r="D2318" s="129" t="s">
        <v>1973</v>
      </c>
      <c r="E2318" s="58">
        <v>3920</v>
      </c>
      <c r="F2318" s="58"/>
      <c r="G2318" s="58">
        <f t="shared" si="40"/>
        <v>-3920</v>
      </c>
      <c r="H2318" s="49" t="s">
        <v>1801</v>
      </c>
    </row>
    <row r="2319" spans="1:8" x14ac:dyDescent="0.2">
      <c r="A2319" s="597">
        <v>42733</v>
      </c>
      <c r="B2319" s="41" t="s">
        <v>1493</v>
      </c>
      <c r="C2319" s="41" t="s">
        <v>220</v>
      </c>
      <c r="D2319" s="129" t="s">
        <v>1881</v>
      </c>
      <c r="E2319" s="58">
        <v>800</v>
      </c>
      <c r="F2319" s="58"/>
      <c r="G2319" s="58">
        <f t="shared" si="40"/>
        <v>-800</v>
      </c>
      <c r="H2319" s="49" t="s">
        <v>1801</v>
      </c>
    </row>
    <row r="2320" spans="1:8" ht="24" x14ac:dyDescent="0.2">
      <c r="A2320" s="597">
        <v>42733</v>
      </c>
      <c r="B2320" s="41" t="s">
        <v>82</v>
      </c>
      <c r="C2320" s="41" t="s">
        <v>220</v>
      </c>
      <c r="D2320" s="129" t="s">
        <v>1976</v>
      </c>
      <c r="E2320" s="58">
        <v>2450</v>
      </c>
      <c r="F2320" s="58"/>
      <c r="G2320" s="58">
        <f t="shared" si="40"/>
        <v>-2450</v>
      </c>
      <c r="H2320" s="49" t="s">
        <v>1801</v>
      </c>
    </row>
    <row r="2321" spans="1:8" x14ac:dyDescent="0.2">
      <c r="A2321" s="597">
        <v>42733</v>
      </c>
      <c r="B2321" s="41" t="s">
        <v>16</v>
      </c>
      <c r="C2321" s="41" t="s">
        <v>220</v>
      </c>
      <c r="D2321" s="129" t="s">
        <v>1977</v>
      </c>
      <c r="E2321" s="58">
        <v>1700</v>
      </c>
      <c r="F2321" s="58"/>
      <c r="G2321" s="58">
        <f t="shared" si="40"/>
        <v>-1700</v>
      </c>
      <c r="H2321" s="49" t="s">
        <v>1801</v>
      </c>
    </row>
    <row r="2322" spans="1:8" x14ac:dyDescent="0.2">
      <c r="A2322" s="597">
        <v>42735</v>
      </c>
      <c r="B2322" s="41" t="s">
        <v>1493</v>
      </c>
      <c r="C2322" s="41" t="s">
        <v>106</v>
      </c>
      <c r="D2322" s="129" t="s">
        <v>1978</v>
      </c>
      <c r="E2322" s="58">
        <v>1303</v>
      </c>
      <c r="F2322" s="58"/>
      <c r="G2322" s="58">
        <f t="shared" si="40"/>
        <v>-1303</v>
      </c>
      <c r="H2322" s="49" t="s">
        <v>1801</v>
      </c>
    </row>
    <row r="2323" spans="1:8" x14ac:dyDescent="0.2">
      <c r="A2323" s="597">
        <v>42735</v>
      </c>
      <c r="B2323" s="41" t="s">
        <v>1493</v>
      </c>
      <c r="C2323" s="41" t="s">
        <v>450</v>
      </c>
      <c r="D2323" s="129" t="s">
        <v>1979</v>
      </c>
      <c r="E2323" s="58">
        <v>965</v>
      </c>
      <c r="F2323" s="58"/>
      <c r="G2323" s="58">
        <f t="shared" si="40"/>
        <v>-965</v>
      </c>
      <c r="H2323" s="49" t="s">
        <v>1801</v>
      </c>
    </row>
    <row r="2324" spans="1:8" ht="24" x14ac:dyDescent="0.2">
      <c r="A2324" s="597">
        <v>42735</v>
      </c>
      <c r="B2324" s="41" t="s">
        <v>16</v>
      </c>
      <c r="C2324" s="41" t="s">
        <v>773</v>
      </c>
      <c r="D2324" s="129" t="s">
        <v>1988</v>
      </c>
      <c r="E2324" s="58">
        <v>1600</v>
      </c>
      <c r="F2324" s="58"/>
      <c r="G2324" s="58">
        <f t="shared" si="40"/>
        <v>-1600</v>
      </c>
      <c r="H2324" s="49" t="s">
        <v>1801</v>
      </c>
    </row>
    <row r="2325" spans="1:8" x14ac:dyDescent="0.2">
      <c r="A2325" s="597">
        <v>42735</v>
      </c>
      <c r="B2325" s="41" t="s">
        <v>16</v>
      </c>
      <c r="C2325" s="41" t="s">
        <v>773</v>
      </c>
      <c r="D2325" s="129" t="s">
        <v>1989</v>
      </c>
      <c r="E2325" s="58">
        <v>500</v>
      </c>
      <c r="F2325" s="58"/>
      <c r="G2325" s="58">
        <f t="shared" si="40"/>
        <v>-500</v>
      </c>
      <c r="H2325" s="49" t="s">
        <v>1801</v>
      </c>
    </row>
    <row r="2326" spans="1:8" x14ac:dyDescent="0.2">
      <c r="A2326" s="102">
        <v>42709</v>
      </c>
      <c r="B2326" s="59" t="s">
        <v>1493</v>
      </c>
      <c r="C2326" s="59" t="s">
        <v>1501</v>
      </c>
      <c r="D2326" s="104" t="s">
        <v>1809</v>
      </c>
      <c r="E2326" s="60">
        <v>9000</v>
      </c>
      <c r="F2326" s="60"/>
      <c r="G2326" s="60">
        <f t="shared" si="40"/>
        <v>-9000</v>
      </c>
      <c r="H2326" s="90" t="s">
        <v>1801</v>
      </c>
    </row>
    <row r="2327" spans="1:8" x14ac:dyDescent="0.2">
      <c r="A2327" s="102">
        <v>42709</v>
      </c>
      <c r="B2327" s="59" t="s">
        <v>37</v>
      </c>
      <c r="C2327" s="59" t="s">
        <v>1810</v>
      </c>
      <c r="D2327" s="104" t="s">
        <v>1898</v>
      </c>
      <c r="E2327" s="60">
        <v>35105</v>
      </c>
      <c r="F2327" s="60"/>
      <c r="G2327" s="60">
        <f t="shared" si="40"/>
        <v>-35105</v>
      </c>
      <c r="H2327" s="90" t="s">
        <v>1801</v>
      </c>
    </row>
    <row r="2328" spans="1:8" ht="24" x14ac:dyDescent="0.2">
      <c r="A2328" s="102">
        <v>42709</v>
      </c>
      <c r="B2328" s="59" t="s">
        <v>40</v>
      </c>
      <c r="C2328" s="59" t="s">
        <v>137</v>
      </c>
      <c r="D2328" s="104" t="s">
        <v>1812</v>
      </c>
      <c r="E2328" s="60">
        <v>100000</v>
      </c>
      <c r="F2328" s="60"/>
      <c r="G2328" s="60">
        <f t="shared" si="40"/>
        <v>-100000</v>
      </c>
      <c r="H2328" s="90" t="s">
        <v>1801</v>
      </c>
    </row>
    <row r="2329" spans="1:8" x14ac:dyDescent="0.2">
      <c r="A2329" s="102">
        <v>42711</v>
      </c>
      <c r="B2329" s="59" t="s">
        <v>40</v>
      </c>
      <c r="C2329" s="59" t="s">
        <v>325</v>
      </c>
      <c r="D2329" s="104" t="s">
        <v>1811</v>
      </c>
      <c r="E2329" s="60">
        <v>37000</v>
      </c>
      <c r="F2329" s="60"/>
      <c r="G2329" s="60">
        <f t="shared" si="40"/>
        <v>-37000</v>
      </c>
      <c r="H2329" s="90" t="s">
        <v>1801</v>
      </c>
    </row>
    <row r="2330" spans="1:8" x14ac:dyDescent="0.2">
      <c r="A2330" s="102">
        <v>42711</v>
      </c>
      <c r="B2330" s="59" t="s">
        <v>40</v>
      </c>
      <c r="C2330" s="59" t="s">
        <v>573</v>
      </c>
      <c r="D2330" s="104" t="s">
        <v>1813</v>
      </c>
      <c r="E2330" s="60">
        <v>170000</v>
      </c>
      <c r="F2330" s="60"/>
      <c r="G2330" s="60">
        <f t="shared" si="40"/>
        <v>-170000</v>
      </c>
      <c r="H2330" s="90" t="s">
        <v>1801</v>
      </c>
    </row>
    <row r="2331" spans="1:8" x14ac:dyDescent="0.2">
      <c r="A2331" s="102">
        <v>42712</v>
      </c>
      <c r="B2331" s="59" t="s">
        <v>40</v>
      </c>
      <c r="C2331" s="59" t="s">
        <v>1388</v>
      </c>
      <c r="D2331" s="104" t="s">
        <v>1814</v>
      </c>
      <c r="E2331" s="60">
        <v>57000</v>
      </c>
      <c r="F2331" s="60"/>
      <c r="G2331" s="60">
        <f t="shared" si="40"/>
        <v>-57000</v>
      </c>
      <c r="H2331" s="90" t="s">
        <v>1801</v>
      </c>
    </row>
    <row r="2332" spans="1:8" x14ac:dyDescent="0.2">
      <c r="A2332" s="102">
        <v>42712</v>
      </c>
      <c r="B2332" s="59" t="s">
        <v>1400</v>
      </c>
      <c r="C2332" s="59" t="s">
        <v>1815</v>
      </c>
      <c r="D2332" s="104" t="s">
        <v>1816</v>
      </c>
      <c r="E2332" s="60">
        <v>500000</v>
      </c>
      <c r="F2332" s="60"/>
      <c r="G2332" s="60">
        <f t="shared" si="40"/>
        <v>-500000</v>
      </c>
      <c r="H2332" s="90" t="s">
        <v>1801</v>
      </c>
    </row>
    <row r="2333" spans="1:8" x14ac:dyDescent="0.2">
      <c r="A2333" s="102">
        <v>42714</v>
      </c>
      <c r="B2333" s="59" t="s">
        <v>1493</v>
      </c>
      <c r="C2333" s="59" t="s">
        <v>406</v>
      </c>
      <c r="D2333" s="104" t="s">
        <v>1817</v>
      </c>
      <c r="E2333" s="60">
        <v>170000</v>
      </c>
      <c r="F2333" s="60"/>
      <c r="G2333" s="60">
        <f t="shared" si="40"/>
        <v>-170000</v>
      </c>
      <c r="H2333" s="90" t="s">
        <v>1801</v>
      </c>
    </row>
    <row r="2334" spans="1:8" x14ac:dyDescent="0.2">
      <c r="A2334" s="102">
        <v>42714</v>
      </c>
      <c r="B2334" s="59" t="s">
        <v>16</v>
      </c>
      <c r="C2334" s="59" t="s">
        <v>1818</v>
      </c>
      <c r="D2334" s="104" t="s">
        <v>1819</v>
      </c>
      <c r="E2334" s="60">
        <v>17000</v>
      </c>
      <c r="F2334" s="60"/>
      <c r="G2334" s="60">
        <f t="shared" si="40"/>
        <v>-17000</v>
      </c>
      <c r="H2334" s="90" t="s">
        <v>1801</v>
      </c>
    </row>
    <row r="2335" spans="1:8" x14ac:dyDescent="0.2">
      <c r="A2335" s="102">
        <v>42717</v>
      </c>
      <c r="B2335" s="59" t="s">
        <v>22</v>
      </c>
      <c r="C2335" s="59" t="s">
        <v>1895</v>
      </c>
      <c r="D2335" s="104" t="s">
        <v>1820</v>
      </c>
      <c r="E2335" s="60">
        <v>20600</v>
      </c>
      <c r="F2335" s="60"/>
      <c r="G2335" s="60">
        <f t="shared" si="40"/>
        <v>-20600</v>
      </c>
      <c r="H2335" s="90" t="s">
        <v>1801</v>
      </c>
    </row>
    <row r="2336" spans="1:8" x14ac:dyDescent="0.2">
      <c r="A2336" s="102">
        <v>42717</v>
      </c>
      <c r="B2336" s="103" t="s">
        <v>25</v>
      </c>
      <c r="C2336" s="103" t="s">
        <v>1827</v>
      </c>
      <c r="D2336" s="104" t="s">
        <v>1829</v>
      </c>
      <c r="E2336" s="60">
        <v>8789</v>
      </c>
      <c r="F2336" s="60"/>
      <c r="G2336" s="60">
        <f t="shared" si="40"/>
        <v>-8789</v>
      </c>
      <c r="H2336" s="90" t="s">
        <v>1801</v>
      </c>
    </row>
    <row r="2337" spans="1:8" x14ac:dyDescent="0.2">
      <c r="A2337" s="102">
        <v>42717</v>
      </c>
      <c r="B2337" s="103" t="s">
        <v>37</v>
      </c>
      <c r="C2337" s="103" t="s">
        <v>1828</v>
      </c>
      <c r="D2337" s="104" t="s">
        <v>1829</v>
      </c>
      <c r="E2337" s="60">
        <v>105674</v>
      </c>
      <c r="F2337" s="60"/>
      <c r="G2337" s="60">
        <f t="shared" si="40"/>
        <v>-105674</v>
      </c>
      <c r="H2337" s="90" t="s">
        <v>1801</v>
      </c>
    </row>
    <row r="2338" spans="1:8" x14ac:dyDescent="0.2">
      <c r="A2338" s="102">
        <v>42717</v>
      </c>
      <c r="B2338" s="103" t="s">
        <v>82</v>
      </c>
      <c r="C2338" s="103" t="s">
        <v>1828</v>
      </c>
      <c r="D2338" s="104" t="s">
        <v>1829</v>
      </c>
      <c r="E2338" s="60">
        <v>20683</v>
      </c>
      <c r="F2338" s="60"/>
      <c r="G2338" s="60">
        <f t="shared" si="40"/>
        <v>-20683</v>
      </c>
      <c r="H2338" s="90" t="s">
        <v>1801</v>
      </c>
    </row>
    <row r="2339" spans="1:8" x14ac:dyDescent="0.2">
      <c r="A2339" s="102">
        <v>42717</v>
      </c>
      <c r="B2339" s="103" t="s">
        <v>1493</v>
      </c>
      <c r="C2339" s="103" t="s">
        <v>1828</v>
      </c>
      <c r="D2339" s="104" t="s">
        <v>1829</v>
      </c>
      <c r="E2339" s="60">
        <v>30158</v>
      </c>
      <c r="F2339" s="60"/>
      <c r="G2339" s="60">
        <f t="shared" si="40"/>
        <v>-30158</v>
      </c>
      <c r="H2339" s="90" t="s">
        <v>1801</v>
      </c>
    </row>
    <row r="2340" spans="1:8" x14ac:dyDescent="0.2">
      <c r="A2340" s="102">
        <v>42717</v>
      </c>
      <c r="B2340" s="103" t="s">
        <v>82</v>
      </c>
      <c r="C2340" s="103" t="s">
        <v>1831</v>
      </c>
      <c r="D2340" s="104" t="s">
        <v>1832</v>
      </c>
      <c r="E2340" s="60">
        <v>20000</v>
      </c>
      <c r="F2340" s="60"/>
      <c r="G2340" s="60">
        <f t="shared" si="40"/>
        <v>-20000</v>
      </c>
      <c r="H2340" s="90" t="s">
        <v>1801</v>
      </c>
    </row>
    <row r="2341" spans="1:8" x14ac:dyDescent="0.2">
      <c r="A2341" s="102">
        <v>42718</v>
      </c>
      <c r="B2341" s="103" t="s">
        <v>1493</v>
      </c>
      <c r="C2341" s="103" t="s">
        <v>929</v>
      </c>
      <c r="D2341" s="104" t="s">
        <v>1821</v>
      </c>
      <c r="E2341" s="60">
        <v>48500</v>
      </c>
      <c r="F2341" s="60"/>
      <c r="G2341" s="60">
        <f t="shared" si="40"/>
        <v>-48500</v>
      </c>
      <c r="H2341" s="90" t="s">
        <v>1801</v>
      </c>
    </row>
    <row r="2342" spans="1:8" ht="15" customHeight="1" x14ac:dyDescent="0.25">
      <c r="A2342" s="102">
        <v>42718</v>
      </c>
      <c r="B2342" s="105" t="s">
        <v>40</v>
      </c>
      <c r="C2342" s="59" t="s">
        <v>263</v>
      </c>
      <c r="D2342" s="104" t="s">
        <v>1825</v>
      </c>
      <c r="E2342" s="101">
        <v>52616</v>
      </c>
      <c r="F2342" s="60"/>
      <c r="G2342" s="60">
        <f t="shared" si="40"/>
        <v>-52616</v>
      </c>
      <c r="H2342" s="90" t="s">
        <v>1801</v>
      </c>
    </row>
    <row r="2343" spans="1:8" ht="15" customHeight="1" x14ac:dyDescent="0.25">
      <c r="A2343" s="102">
        <v>42718</v>
      </c>
      <c r="B2343" s="105" t="s">
        <v>1493</v>
      </c>
      <c r="C2343" s="59" t="s">
        <v>263</v>
      </c>
      <c r="D2343" s="104" t="s">
        <v>1825</v>
      </c>
      <c r="E2343" s="101">
        <v>30000</v>
      </c>
      <c r="F2343" s="60"/>
      <c r="G2343" s="60">
        <f t="shared" si="40"/>
        <v>-30000</v>
      </c>
      <c r="H2343" s="90" t="s">
        <v>1801</v>
      </c>
    </row>
    <row r="2344" spans="1:8" ht="36.75" customHeight="1" x14ac:dyDescent="0.25">
      <c r="A2344" s="102">
        <v>42719</v>
      </c>
      <c r="B2344" s="105" t="s">
        <v>154</v>
      </c>
      <c r="C2344" s="103" t="s">
        <v>1494</v>
      </c>
      <c r="D2344" s="104" t="s">
        <v>1826</v>
      </c>
      <c r="E2344" s="101">
        <v>45094</v>
      </c>
      <c r="F2344" s="60"/>
      <c r="G2344" s="60">
        <f t="shared" si="40"/>
        <v>-45094</v>
      </c>
      <c r="H2344" s="90" t="s">
        <v>1801</v>
      </c>
    </row>
    <row r="2345" spans="1:8" ht="36.75" customHeight="1" x14ac:dyDescent="0.25">
      <c r="A2345" s="102">
        <v>42719</v>
      </c>
      <c r="B2345" s="105" t="s">
        <v>40</v>
      </c>
      <c r="C2345" s="103" t="s">
        <v>1494</v>
      </c>
      <c r="D2345" s="104" t="s">
        <v>1826</v>
      </c>
      <c r="E2345" s="101">
        <v>8544</v>
      </c>
      <c r="F2345" s="60"/>
      <c r="G2345" s="60">
        <f t="shared" si="40"/>
        <v>-8544</v>
      </c>
      <c r="H2345" s="90" t="s">
        <v>1801</v>
      </c>
    </row>
    <row r="2346" spans="1:8" ht="15" customHeight="1" x14ac:dyDescent="0.25">
      <c r="A2346" s="102">
        <v>42721</v>
      </c>
      <c r="B2346" s="103" t="s">
        <v>82</v>
      </c>
      <c r="C2346" s="103" t="s">
        <v>1833</v>
      </c>
      <c r="D2346" s="104" t="s">
        <v>1834</v>
      </c>
      <c r="E2346" s="101">
        <v>62500</v>
      </c>
      <c r="F2346" s="60"/>
      <c r="G2346" s="60">
        <f t="shared" si="40"/>
        <v>-62500</v>
      </c>
      <c r="H2346" s="90" t="s">
        <v>1801</v>
      </c>
    </row>
    <row r="2347" spans="1:8" x14ac:dyDescent="0.2">
      <c r="A2347" s="102">
        <v>42724</v>
      </c>
      <c r="B2347" s="59" t="s">
        <v>40</v>
      </c>
      <c r="C2347" s="59" t="s">
        <v>63</v>
      </c>
      <c r="D2347" s="104" t="s">
        <v>1893</v>
      </c>
      <c r="E2347" s="60">
        <v>10000</v>
      </c>
      <c r="F2347" s="60"/>
      <c r="G2347" s="60">
        <f t="shared" si="40"/>
        <v>-10000</v>
      </c>
      <c r="H2347" s="90" t="s">
        <v>1801</v>
      </c>
    </row>
    <row r="2348" spans="1:8" x14ac:dyDescent="0.2">
      <c r="A2348" s="102">
        <v>42724</v>
      </c>
      <c r="B2348" s="59" t="s">
        <v>40</v>
      </c>
      <c r="C2348" s="59" t="s">
        <v>247</v>
      </c>
      <c r="D2348" s="104" t="s">
        <v>1918</v>
      </c>
      <c r="E2348" s="60">
        <v>78282</v>
      </c>
      <c r="F2348" s="60"/>
      <c r="G2348" s="60">
        <f t="shared" si="40"/>
        <v>-78282</v>
      </c>
      <c r="H2348" s="90" t="s">
        <v>1801</v>
      </c>
    </row>
    <row r="2349" spans="1:8" x14ac:dyDescent="0.2">
      <c r="A2349" s="102">
        <v>42725</v>
      </c>
      <c r="B2349" s="59" t="s">
        <v>16</v>
      </c>
      <c r="C2349" s="59" t="s">
        <v>1818</v>
      </c>
      <c r="D2349" s="104" t="s">
        <v>1919</v>
      </c>
      <c r="E2349" s="60">
        <v>18000</v>
      </c>
      <c r="F2349" s="60"/>
      <c r="G2349" s="60">
        <f t="shared" si="40"/>
        <v>-18000</v>
      </c>
      <c r="H2349" s="90" t="s">
        <v>1801</v>
      </c>
    </row>
    <row r="2350" spans="1:8" x14ac:dyDescent="0.2">
      <c r="A2350" s="102">
        <v>42725</v>
      </c>
      <c r="B2350" s="59" t="s">
        <v>40</v>
      </c>
      <c r="C2350" s="59" t="s">
        <v>1339</v>
      </c>
      <c r="D2350" s="104" t="s">
        <v>1920</v>
      </c>
      <c r="E2350" s="60">
        <v>20000</v>
      </c>
      <c r="F2350" s="60"/>
      <c r="G2350" s="60">
        <f t="shared" si="40"/>
        <v>-20000</v>
      </c>
      <c r="H2350" s="90" t="s">
        <v>1801</v>
      </c>
    </row>
    <row r="2351" spans="1:8" x14ac:dyDescent="0.2">
      <c r="A2351" s="599">
        <v>42706</v>
      </c>
      <c r="B2351" s="91" t="s">
        <v>37</v>
      </c>
      <c r="C2351" s="41" t="s">
        <v>37</v>
      </c>
      <c r="D2351" s="798" t="s">
        <v>1804</v>
      </c>
      <c r="E2351" s="92"/>
      <c r="F2351" s="92">
        <v>157140</v>
      </c>
      <c r="G2351" s="92">
        <f t="shared" si="40"/>
        <v>157140</v>
      </c>
      <c r="H2351" s="93" t="s">
        <v>1801</v>
      </c>
    </row>
    <row r="2352" spans="1:8" x14ac:dyDescent="0.2">
      <c r="A2352" s="599">
        <v>42713</v>
      </c>
      <c r="B2352" s="91" t="s">
        <v>1493</v>
      </c>
      <c r="C2352" s="41" t="s">
        <v>1493</v>
      </c>
      <c r="D2352" s="801" t="s">
        <v>1806</v>
      </c>
      <c r="E2352" s="92"/>
      <c r="F2352" s="92">
        <v>630113</v>
      </c>
      <c r="G2352" s="92">
        <f t="shared" si="40"/>
        <v>630113</v>
      </c>
      <c r="H2352" s="93" t="s">
        <v>1801</v>
      </c>
    </row>
    <row r="2353" spans="1:8" x14ac:dyDescent="0.2">
      <c r="A2353" s="599">
        <v>42719</v>
      </c>
      <c r="B2353" s="91" t="s">
        <v>82</v>
      </c>
      <c r="C2353" s="41" t="s">
        <v>82</v>
      </c>
      <c r="D2353" s="798" t="s">
        <v>1808</v>
      </c>
      <c r="E2353" s="92"/>
      <c r="F2353" s="92">
        <v>101205</v>
      </c>
      <c r="G2353" s="92">
        <f t="shared" si="40"/>
        <v>101205</v>
      </c>
      <c r="H2353" s="93" t="s">
        <v>1801</v>
      </c>
    </row>
    <row r="2354" spans="1:8" x14ac:dyDescent="0.2">
      <c r="A2354" s="599">
        <v>42731</v>
      </c>
      <c r="B2354" s="91" t="s">
        <v>1493</v>
      </c>
      <c r="C2354" s="41" t="s">
        <v>1493</v>
      </c>
      <c r="D2354" s="801" t="s">
        <v>1921</v>
      </c>
      <c r="E2354" s="92"/>
      <c r="F2354" s="92">
        <v>472585</v>
      </c>
      <c r="G2354" s="92">
        <f t="shared" si="40"/>
        <v>472585</v>
      </c>
      <c r="H2354" s="93" t="s">
        <v>1801</v>
      </c>
    </row>
    <row r="2355" spans="1:8" x14ac:dyDescent="0.2">
      <c r="A2355" s="597">
        <v>42740</v>
      </c>
      <c r="B2355" s="41" t="s">
        <v>40</v>
      </c>
      <c r="C2355" s="41" t="s">
        <v>794</v>
      </c>
      <c r="D2355" s="108" t="s">
        <v>1837</v>
      </c>
      <c r="E2355" s="58">
        <v>25000</v>
      </c>
      <c r="F2355" s="58"/>
      <c r="G2355" s="58">
        <f t="shared" si="40"/>
        <v>-25000</v>
      </c>
      <c r="H2355" s="49" t="s">
        <v>1991</v>
      </c>
    </row>
    <row r="2356" spans="1:8" x14ac:dyDescent="0.2">
      <c r="A2356" s="597">
        <v>42740</v>
      </c>
      <c r="B2356" s="41" t="s">
        <v>25</v>
      </c>
      <c r="C2356" s="41" t="s">
        <v>794</v>
      </c>
      <c r="D2356" s="108" t="s">
        <v>1839</v>
      </c>
      <c r="E2356" s="58">
        <v>5000</v>
      </c>
      <c r="F2356" s="58"/>
      <c r="G2356" s="58">
        <f t="shared" si="40"/>
        <v>-5000</v>
      </c>
      <c r="H2356" s="49" t="s">
        <v>1991</v>
      </c>
    </row>
    <row r="2357" spans="1:8" x14ac:dyDescent="0.2">
      <c r="A2357" s="597">
        <v>42740</v>
      </c>
      <c r="B2357" s="41" t="s">
        <v>25</v>
      </c>
      <c r="C2357" s="41" t="s">
        <v>794</v>
      </c>
      <c r="D2357" s="108" t="s">
        <v>1840</v>
      </c>
      <c r="E2357" s="58">
        <v>4000</v>
      </c>
      <c r="F2357" s="58"/>
      <c r="G2357" s="58">
        <f t="shared" si="40"/>
        <v>-4000</v>
      </c>
      <c r="H2357" s="49" t="s">
        <v>1991</v>
      </c>
    </row>
    <row r="2358" spans="1:8" x14ac:dyDescent="0.2">
      <c r="A2358" s="597">
        <v>42740</v>
      </c>
      <c r="B2358" s="41" t="s">
        <v>16</v>
      </c>
      <c r="C2358" s="41" t="s">
        <v>794</v>
      </c>
      <c r="D2358" s="108" t="s">
        <v>1547</v>
      </c>
      <c r="E2358" s="58">
        <v>9000</v>
      </c>
      <c r="F2358" s="58"/>
      <c r="G2358" s="58">
        <f t="shared" si="40"/>
        <v>-9000</v>
      </c>
      <c r="H2358" s="49" t="s">
        <v>1991</v>
      </c>
    </row>
    <row r="2359" spans="1:8" x14ac:dyDescent="0.2">
      <c r="A2359" s="597">
        <v>42740</v>
      </c>
      <c r="B2359" s="41" t="s">
        <v>16</v>
      </c>
      <c r="C2359" s="41" t="s">
        <v>794</v>
      </c>
      <c r="D2359" s="108" t="s">
        <v>1842</v>
      </c>
      <c r="E2359" s="58">
        <v>20000</v>
      </c>
      <c r="F2359" s="58"/>
      <c r="G2359" s="58">
        <f t="shared" si="40"/>
        <v>-20000</v>
      </c>
      <c r="H2359" s="49" t="s">
        <v>1991</v>
      </c>
    </row>
    <row r="2360" spans="1:8" x14ac:dyDescent="0.2">
      <c r="A2360" s="597">
        <v>42740</v>
      </c>
      <c r="B2360" s="41" t="s">
        <v>16</v>
      </c>
      <c r="C2360" s="41" t="s">
        <v>794</v>
      </c>
      <c r="D2360" s="108" t="s">
        <v>1843</v>
      </c>
      <c r="E2360" s="58">
        <v>15000</v>
      </c>
      <c r="F2360" s="58"/>
      <c r="G2360" s="58">
        <f t="shared" si="40"/>
        <v>-15000</v>
      </c>
      <c r="H2360" s="49" t="s">
        <v>1991</v>
      </c>
    </row>
    <row r="2361" spans="1:8" x14ac:dyDescent="0.2">
      <c r="A2361" s="597">
        <v>42740</v>
      </c>
      <c r="B2361" s="41" t="s">
        <v>16</v>
      </c>
      <c r="C2361" s="41" t="s">
        <v>794</v>
      </c>
      <c r="D2361" s="108" t="s">
        <v>1844</v>
      </c>
      <c r="E2361" s="58">
        <v>23000</v>
      </c>
      <c r="F2361" s="58"/>
      <c r="G2361" s="58">
        <f t="shared" si="40"/>
        <v>-23000</v>
      </c>
      <c r="H2361" s="49" t="s">
        <v>1991</v>
      </c>
    </row>
    <row r="2362" spans="1:8" x14ac:dyDescent="0.2">
      <c r="A2362" s="597">
        <v>42740</v>
      </c>
      <c r="B2362" s="41" t="s">
        <v>16</v>
      </c>
      <c r="C2362" s="41" t="s">
        <v>794</v>
      </c>
      <c r="D2362" s="108" t="s">
        <v>1552</v>
      </c>
      <c r="E2362" s="58">
        <v>10000</v>
      </c>
      <c r="F2362" s="58"/>
      <c r="G2362" s="58">
        <f t="shared" si="40"/>
        <v>-10000</v>
      </c>
      <c r="H2362" s="49" t="s">
        <v>1991</v>
      </c>
    </row>
    <row r="2363" spans="1:8" x14ac:dyDescent="0.2">
      <c r="A2363" s="597">
        <v>42740</v>
      </c>
      <c r="B2363" s="41" t="s">
        <v>16</v>
      </c>
      <c r="C2363" s="41" t="s">
        <v>794</v>
      </c>
      <c r="D2363" s="108" t="s">
        <v>1838</v>
      </c>
      <c r="E2363" s="58">
        <v>2600</v>
      </c>
      <c r="F2363" s="58"/>
      <c r="G2363" s="58">
        <f t="shared" si="40"/>
        <v>-2600</v>
      </c>
      <c r="H2363" s="49" t="s">
        <v>1991</v>
      </c>
    </row>
    <row r="2364" spans="1:8" x14ac:dyDescent="0.2">
      <c r="A2364" s="597">
        <v>42740</v>
      </c>
      <c r="B2364" s="41" t="s">
        <v>1400</v>
      </c>
      <c r="C2364" s="41" t="s">
        <v>794</v>
      </c>
      <c r="D2364" s="108" t="s">
        <v>1684</v>
      </c>
      <c r="E2364" s="58">
        <v>18000</v>
      </c>
      <c r="F2364" s="58"/>
      <c r="G2364" s="58">
        <f t="shared" si="40"/>
        <v>-18000</v>
      </c>
      <c r="H2364" s="49" t="s">
        <v>1991</v>
      </c>
    </row>
    <row r="2365" spans="1:8" x14ac:dyDescent="0.2">
      <c r="A2365" s="597">
        <v>42740</v>
      </c>
      <c r="B2365" s="41" t="s">
        <v>1400</v>
      </c>
      <c r="C2365" s="41" t="s">
        <v>794</v>
      </c>
      <c r="D2365" s="108" t="s">
        <v>1550</v>
      </c>
      <c r="E2365" s="58">
        <v>18725.806451612902</v>
      </c>
      <c r="F2365" s="58"/>
      <c r="G2365" s="58">
        <f t="shared" si="40"/>
        <v>-18725.806451612902</v>
      </c>
      <c r="H2365" s="49" t="s">
        <v>1991</v>
      </c>
    </row>
    <row r="2366" spans="1:8" x14ac:dyDescent="0.2">
      <c r="A2366" s="597">
        <v>42740</v>
      </c>
      <c r="B2366" s="41" t="s">
        <v>1400</v>
      </c>
      <c r="C2366" s="41" t="s">
        <v>794</v>
      </c>
      <c r="D2366" s="108" t="s">
        <v>1858</v>
      </c>
      <c r="E2366" s="58">
        <v>38854.838709677417</v>
      </c>
      <c r="F2366" s="58"/>
      <c r="G2366" s="58">
        <f t="shared" si="40"/>
        <v>-38854.838709677417</v>
      </c>
      <c r="H2366" s="49" t="s">
        <v>1991</v>
      </c>
    </row>
    <row r="2367" spans="1:8" x14ac:dyDescent="0.2">
      <c r="A2367" s="597">
        <v>42740</v>
      </c>
      <c r="B2367" s="41" t="s">
        <v>40</v>
      </c>
      <c r="C2367" s="41" t="s">
        <v>794</v>
      </c>
      <c r="D2367" s="108" t="s">
        <v>1846</v>
      </c>
      <c r="E2367" s="58">
        <v>38709.677419354834</v>
      </c>
      <c r="F2367" s="58"/>
      <c r="G2367" s="58">
        <f t="shared" si="40"/>
        <v>-38709.677419354834</v>
      </c>
      <c r="H2367" s="49" t="s">
        <v>1991</v>
      </c>
    </row>
    <row r="2368" spans="1:8" x14ac:dyDescent="0.2">
      <c r="A2368" s="597">
        <v>42740</v>
      </c>
      <c r="B2368" s="41" t="s">
        <v>40</v>
      </c>
      <c r="C2368" s="41" t="s">
        <v>794</v>
      </c>
      <c r="D2368" s="108" t="s">
        <v>1847</v>
      </c>
      <c r="E2368" s="58">
        <v>23862.903225806451</v>
      </c>
      <c r="F2368" s="58"/>
      <c r="G2368" s="58">
        <f t="shared" si="40"/>
        <v>-23862.903225806451</v>
      </c>
      <c r="H2368" s="49" t="s">
        <v>1991</v>
      </c>
    </row>
    <row r="2369" spans="1:8" x14ac:dyDescent="0.2">
      <c r="A2369" s="597">
        <v>42740</v>
      </c>
      <c r="B2369" s="41" t="s">
        <v>40</v>
      </c>
      <c r="C2369" s="41" t="s">
        <v>794</v>
      </c>
      <c r="D2369" s="108" t="s">
        <v>1848</v>
      </c>
      <c r="E2369" s="58">
        <v>14231.854838709678</v>
      </c>
      <c r="F2369" s="58"/>
      <c r="G2369" s="58">
        <f t="shared" si="40"/>
        <v>-14231.854838709678</v>
      </c>
      <c r="H2369" s="49" t="s">
        <v>1991</v>
      </c>
    </row>
    <row r="2370" spans="1:8" x14ac:dyDescent="0.2">
      <c r="A2370" s="597">
        <v>42740</v>
      </c>
      <c r="B2370" s="41" t="s">
        <v>40</v>
      </c>
      <c r="C2370" s="41" t="s">
        <v>794</v>
      </c>
      <c r="D2370" s="108" t="s">
        <v>1849</v>
      </c>
      <c r="E2370" s="58">
        <v>14087.701612903225</v>
      </c>
      <c r="F2370" s="58"/>
      <c r="G2370" s="58">
        <f t="shared" si="40"/>
        <v>-14087.701612903225</v>
      </c>
      <c r="H2370" s="49" t="s">
        <v>1991</v>
      </c>
    </row>
    <row r="2371" spans="1:8" x14ac:dyDescent="0.2">
      <c r="A2371" s="597">
        <v>42740</v>
      </c>
      <c r="B2371" s="41" t="s">
        <v>40</v>
      </c>
      <c r="C2371" s="41" t="s">
        <v>794</v>
      </c>
      <c r="D2371" s="108" t="s">
        <v>1853</v>
      </c>
      <c r="E2371" s="58">
        <v>15411.290322580646</v>
      </c>
      <c r="F2371" s="58"/>
      <c r="G2371" s="58">
        <f t="shared" si="40"/>
        <v>-15411.290322580646</v>
      </c>
      <c r="H2371" s="49" t="s">
        <v>1991</v>
      </c>
    </row>
    <row r="2372" spans="1:8" x14ac:dyDescent="0.2">
      <c r="A2372" s="597">
        <v>42740</v>
      </c>
      <c r="B2372" s="41" t="s">
        <v>40</v>
      </c>
      <c r="C2372" s="41" t="s">
        <v>794</v>
      </c>
      <c r="D2372" s="108" t="s">
        <v>1855</v>
      </c>
      <c r="E2372" s="58">
        <v>23225.806451612902</v>
      </c>
      <c r="F2372" s="58"/>
      <c r="G2372" s="58">
        <f t="shared" si="40"/>
        <v>-23225.806451612902</v>
      </c>
      <c r="H2372" s="49" t="s">
        <v>1991</v>
      </c>
    </row>
    <row r="2373" spans="1:8" x14ac:dyDescent="0.2">
      <c r="A2373" s="597">
        <v>42740</v>
      </c>
      <c r="B2373" s="41" t="s">
        <v>40</v>
      </c>
      <c r="C2373" s="41" t="s">
        <v>794</v>
      </c>
      <c r="D2373" s="108" t="s">
        <v>1856</v>
      </c>
      <c r="E2373" s="58">
        <v>13935.483870967742</v>
      </c>
      <c r="F2373" s="58"/>
      <c r="G2373" s="58">
        <f t="shared" si="40"/>
        <v>-13935.483870967742</v>
      </c>
      <c r="H2373" s="49" t="s">
        <v>1991</v>
      </c>
    </row>
    <row r="2374" spans="1:8" x14ac:dyDescent="0.2">
      <c r="A2374" s="597">
        <v>42740</v>
      </c>
      <c r="B2374" s="41" t="s">
        <v>40</v>
      </c>
      <c r="C2374" s="41" t="s">
        <v>794</v>
      </c>
      <c r="D2374" s="108" t="s">
        <v>1862</v>
      </c>
      <c r="E2374" s="58">
        <v>18782.258064516129</v>
      </c>
      <c r="F2374" s="58"/>
      <c r="G2374" s="58">
        <f t="shared" si="40"/>
        <v>-18782.258064516129</v>
      </c>
      <c r="H2374" s="49" t="s">
        <v>1991</v>
      </c>
    </row>
    <row r="2375" spans="1:8" x14ac:dyDescent="0.2">
      <c r="A2375" s="597">
        <v>42740</v>
      </c>
      <c r="B2375" s="41" t="s">
        <v>40</v>
      </c>
      <c r="C2375" s="41" t="s">
        <v>794</v>
      </c>
      <c r="D2375" s="108" t="s">
        <v>1866</v>
      </c>
      <c r="E2375" s="58">
        <v>19364.919354838708</v>
      </c>
      <c r="F2375" s="58"/>
      <c r="G2375" s="58">
        <f t="shared" si="40"/>
        <v>-19364.919354838708</v>
      </c>
      <c r="H2375" s="49" t="s">
        <v>1991</v>
      </c>
    </row>
    <row r="2376" spans="1:8" x14ac:dyDescent="0.2">
      <c r="A2376" s="597">
        <v>42740</v>
      </c>
      <c r="B2376" s="41" t="s">
        <v>40</v>
      </c>
      <c r="C2376" s="41" t="s">
        <v>794</v>
      </c>
      <c r="D2376" s="108" t="s">
        <v>1873</v>
      </c>
      <c r="E2376" s="58">
        <v>11330.645161290322</v>
      </c>
      <c r="F2376" s="58"/>
      <c r="G2376" s="58">
        <f t="shared" si="40"/>
        <v>-11330.645161290322</v>
      </c>
      <c r="H2376" s="49" t="s">
        <v>1991</v>
      </c>
    </row>
    <row r="2377" spans="1:8" x14ac:dyDescent="0.2">
      <c r="A2377" s="597">
        <v>42740</v>
      </c>
      <c r="B2377" s="41" t="s">
        <v>1493</v>
      </c>
      <c r="C2377" s="41" t="s">
        <v>794</v>
      </c>
      <c r="D2377" s="108" t="s">
        <v>1851</v>
      </c>
      <c r="E2377" s="58">
        <v>8645.1612903225814</v>
      </c>
      <c r="F2377" s="58"/>
      <c r="G2377" s="58">
        <f t="shared" ref="G2377:G2440" si="41">F2377-E2377</f>
        <v>-8645.1612903225814</v>
      </c>
      <c r="H2377" s="49" t="s">
        <v>1991</v>
      </c>
    </row>
    <row r="2378" spans="1:8" x14ac:dyDescent="0.2">
      <c r="A2378" s="597">
        <v>42740</v>
      </c>
      <c r="B2378" s="41" t="s">
        <v>1493</v>
      </c>
      <c r="C2378" s="41" t="s">
        <v>794</v>
      </c>
      <c r="D2378" s="108" t="s">
        <v>1863</v>
      </c>
      <c r="E2378" s="58">
        <v>21589.717741935485</v>
      </c>
      <c r="F2378" s="58"/>
      <c r="G2378" s="58">
        <f t="shared" si="41"/>
        <v>-21589.717741935485</v>
      </c>
      <c r="H2378" s="49" t="s">
        <v>1991</v>
      </c>
    </row>
    <row r="2379" spans="1:8" x14ac:dyDescent="0.2">
      <c r="A2379" s="597">
        <v>42740</v>
      </c>
      <c r="B2379" s="41" t="s">
        <v>1691</v>
      </c>
      <c r="C2379" s="41" t="s">
        <v>794</v>
      </c>
      <c r="D2379" s="108" t="s">
        <v>1854</v>
      </c>
      <c r="E2379" s="58">
        <v>20175</v>
      </c>
      <c r="F2379" s="58"/>
      <c r="G2379" s="58">
        <f t="shared" si="41"/>
        <v>-20175</v>
      </c>
      <c r="H2379" s="49" t="s">
        <v>1991</v>
      </c>
    </row>
    <row r="2380" spans="1:8" x14ac:dyDescent="0.2">
      <c r="A2380" s="597">
        <v>42740</v>
      </c>
      <c r="B2380" s="41" t="s">
        <v>37</v>
      </c>
      <c r="C2380" s="41" t="s">
        <v>794</v>
      </c>
      <c r="D2380" s="108" t="s">
        <v>1857</v>
      </c>
      <c r="E2380" s="58">
        <v>9580.645161290322</v>
      </c>
      <c r="F2380" s="58"/>
      <c r="G2380" s="58">
        <f t="shared" si="41"/>
        <v>-9580.645161290322</v>
      </c>
      <c r="H2380" s="49" t="s">
        <v>1991</v>
      </c>
    </row>
    <row r="2381" spans="1:8" x14ac:dyDescent="0.2">
      <c r="A2381" s="597">
        <v>42740</v>
      </c>
      <c r="B2381" s="41" t="s">
        <v>37</v>
      </c>
      <c r="C2381" s="41" t="s">
        <v>794</v>
      </c>
      <c r="D2381" s="108" t="s">
        <v>1867</v>
      </c>
      <c r="E2381" s="58">
        <v>13629.032258064515</v>
      </c>
      <c r="F2381" s="58"/>
      <c r="G2381" s="58">
        <f t="shared" si="41"/>
        <v>-13629.032258064515</v>
      </c>
      <c r="H2381" s="49" t="s">
        <v>1991</v>
      </c>
    </row>
    <row r="2382" spans="1:8" x14ac:dyDescent="0.2">
      <c r="A2382" s="597">
        <v>42740</v>
      </c>
      <c r="B2382" s="41" t="s">
        <v>37</v>
      </c>
      <c r="C2382" s="41" t="s">
        <v>794</v>
      </c>
      <c r="D2382" s="108" t="s">
        <v>1868</v>
      </c>
      <c r="E2382" s="58">
        <v>16149.193548387097</v>
      </c>
      <c r="F2382" s="58"/>
      <c r="G2382" s="58">
        <f t="shared" si="41"/>
        <v>-16149.193548387097</v>
      </c>
      <c r="H2382" s="49" t="s">
        <v>1991</v>
      </c>
    </row>
    <row r="2383" spans="1:8" x14ac:dyDescent="0.2">
      <c r="A2383" s="597">
        <v>42740</v>
      </c>
      <c r="B2383" s="41" t="s">
        <v>37</v>
      </c>
      <c r="C2383" s="41" t="s">
        <v>794</v>
      </c>
      <c r="D2383" s="108" t="s">
        <v>1869</v>
      </c>
      <c r="E2383" s="58">
        <v>10270.16129032258</v>
      </c>
      <c r="F2383" s="58"/>
      <c r="G2383" s="58">
        <f t="shared" si="41"/>
        <v>-10270.16129032258</v>
      </c>
      <c r="H2383" s="49" t="s">
        <v>1991</v>
      </c>
    </row>
    <row r="2384" spans="1:8" x14ac:dyDescent="0.2">
      <c r="A2384" s="597">
        <v>42740</v>
      </c>
      <c r="B2384" s="41" t="s">
        <v>37</v>
      </c>
      <c r="C2384" s="41" t="s">
        <v>794</v>
      </c>
      <c r="D2384" s="108" t="s">
        <v>1575</v>
      </c>
      <c r="E2384" s="58">
        <v>10967.741935483871</v>
      </c>
      <c r="F2384" s="58"/>
      <c r="G2384" s="58">
        <f t="shared" si="41"/>
        <v>-10967.741935483871</v>
      </c>
      <c r="H2384" s="49" t="s">
        <v>1991</v>
      </c>
    </row>
    <row r="2385" spans="1:8" x14ac:dyDescent="0.2">
      <c r="A2385" s="597">
        <v>42740</v>
      </c>
      <c r="B2385" s="41" t="s">
        <v>37</v>
      </c>
      <c r="C2385" s="41" t="s">
        <v>794</v>
      </c>
      <c r="D2385" s="108" t="s">
        <v>1685</v>
      </c>
      <c r="E2385" s="58">
        <v>4637.0967741935483</v>
      </c>
      <c r="F2385" s="58"/>
      <c r="G2385" s="58">
        <f t="shared" si="41"/>
        <v>-4637.0967741935483</v>
      </c>
      <c r="H2385" s="49" t="s">
        <v>1991</v>
      </c>
    </row>
    <row r="2386" spans="1:8" x14ac:dyDescent="0.2">
      <c r="A2386" s="597">
        <v>42740</v>
      </c>
      <c r="B2386" s="41" t="s">
        <v>37</v>
      </c>
      <c r="C2386" s="41" t="s">
        <v>794</v>
      </c>
      <c r="D2386" s="108" t="s">
        <v>1860</v>
      </c>
      <c r="E2386" s="58">
        <v>16145.161290322581</v>
      </c>
      <c r="F2386" s="58"/>
      <c r="G2386" s="58">
        <f t="shared" si="41"/>
        <v>-16145.161290322581</v>
      </c>
      <c r="H2386" s="49" t="s">
        <v>1991</v>
      </c>
    </row>
    <row r="2387" spans="1:8" x14ac:dyDescent="0.2">
      <c r="A2387" s="597">
        <v>42740</v>
      </c>
      <c r="B2387" s="41" t="s">
        <v>11</v>
      </c>
      <c r="C2387" s="41" t="s">
        <v>794</v>
      </c>
      <c r="D2387" s="108" t="s">
        <v>1870</v>
      </c>
      <c r="E2387" s="58">
        <v>5000</v>
      </c>
      <c r="F2387" s="58"/>
      <c r="G2387" s="58">
        <f t="shared" si="41"/>
        <v>-5000</v>
      </c>
      <c r="H2387" s="49" t="s">
        <v>1991</v>
      </c>
    </row>
    <row r="2388" spans="1:8" x14ac:dyDescent="0.2">
      <c r="A2388" s="597">
        <v>42740</v>
      </c>
      <c r="B2388" s="41" t="s">
        <v>16</v>
      </c>
      <c r="C2388" s="41" t="s">
        <v>1167</v>
      </c>
      <c r="D2388" s="108" t="s">
        <v>1667</v>
      </c>
      <c r="E2388" s="58">
        <v>1000</v>
      </c>
      <c r="F2388" s="58"/>
      <c r="G2388" s="58">
        <f t="shared" si="41"/>
        <v>-1000</v>
      </c>
      <c r="H2388" s="49" t="s">
        <v>1991</v>
      </c>
    </row>
    <row r="2389" spans="1:8" x14ac:dyDescent="0.2">
      <c r="A2389" s="597">
        <v>42740</v>
      </c>
      <c r="B2389" s="41" t="s">
        <v>1400</v>
      </c>
      <c r="C2389" s="41" t="s">
        <v>1167</v>
      </c>
      <c r="D2389" s="108" t="s">
        <v>2082</v>
      </c>
      <c r="E2389" s="58">
        <v>2000</v>
      </c>
      <c r="F2389" s="58"/>
      <c r="G2389" s="58">
        <f t="shared" si="41"/>
        <v>-2000</v>
      </c>
      <c r="H2389" s="49" t="s">
        <v>1991</v>
      </c>
    </row>
    <row r="2390" spans="1:8" x14ac:dyDescent="0.2">
      <c r="A2390" s="597">
        <v>42740</v>
      </c>
      <c r="B2390" s="41" t="s">
        <v>1400</v>
      </c>
      <c r="C2390" s="41" t="s">
        <v>1167</v>
      </c>
      <c r="D2390" s="108" t="s">
        <v>2083</v>
      </c>
      <c r="E2390" s="58">
        <v>4700</v>
      </c>
      <c r="F2390" s="58"/>
      <c r="G2390" s="58">
        <f t="shared" si="41"/>
        <v>-4700</v>
      </c>
      <c r="H2390" s="49" t="s">
        <v>1991</v>
      </c>
    </row>
    <row r="2391" spans="1:8" x14ac:dyDescent="0.2">
      <c r="A2391" s="597">
        <v>42740</v>
      </c>
      <c r="B2391" s="41" t="s">
        <v>40</v>
      </c>
      <c r="C2391" s="41" t="s">
        <v>1167</v>
      </c>
      <c r="D2391" s="108" t="s">
        <v>290</v>
      </c>
      <c r="E2391" s="58">
        <v>3000</v>
      </c>
      <c r="F2391" s="58"/>
      <c r="G2391" s="58">
        <f t="shared" si="41"/>
        <v>-3000</v>
      </c>
      <c r="H2391" s="49" t="s">
        <v>1991</v>
      </c>
    </row>
    <row r="2392" spans="1:8" x14ac:dyDescent="0.2">
      <c r="A2392" s="597">
        <v>42740</v>
      </c>
      <c r="B2392" s="41" t="s">
        <v>40</v>
      </c>
      <c r="C2392" s="41" t="s">
        <v>1167</v>
      </c>
      <c r="D2392" s="108" t="s">
        <v>451</v>
      </c>
      <c r="E2392" s="58">
        <v>500</v>
      </c>
      <c r="F2392" s="58"/>
      <c r="G2392" s="58">
        <f t="shared" si="41"/>
        <v>-500</v>
      </c>
      <c r="H2392" s="49" t="s">
        <v>1991</v>
      </c>
    </row>
    <row r="2393" spans="1:8" x14ac:dyDescent="0.2">
      <c r="A2393" s="597">
        <v>42740</v>
      </c>
      <c r="B2393" s="41" t="s">
        <v>40</v>
      </c>
      <c r="C2393" s="41" t="s">
        <v>1167</v>
      </c>
      <c r="D2393" s="108" t="s">
        <v>208</v>
      </c>
      <c r="E2393" s="58">
        <v>1000</v>
      </c>
      <c r="F2393" s="58"/>
      <c r="G2393" s="58">
        <f t="shared" si="41"/>
        <v>-1000</v>
      </c>
      <c r="H2393" s="49" t="s">
        <v>1991</v>
      </c>
    </row>
    <row r="2394" spans="1:8" x14ac:dyDescent="0.2">
      <c r="A2394" s="597">
        <v>42740</v>
      </c>
      <c r="B2394" s="41" t="s">
        <v>40</v>
      </c>
      <c r="C2394" s="41" t="s">
        <v>1167</v>
      </c>
      <c r="D2394" s="108" t="s">
        <v>1250</v>
      </c>
      <c r="E2394" s="58">
        <v>2000</v>
      </c>
      <c r="F2394" s="58"/>
      <c r="G2394" s="58">
        <f t="shared" si="41"/>
        <v>-2000</v>
      </c>
      <c r="H2394" s="49" t="s">
        <v>1991</v>
      </c>
    </row>
    <row r="2395" spans="1:8" x14ac:dyDescent="0.2">
      <c r="A2395" s="597">
        <v>42740</v>
      </c>
      <c r="B2395" s="41" t="s">
        <v>1493</v>
      </c>
      <c r="C2395" s="41" t="s">
        <v>1167</v>
      </c>
      <c r="D2395" s="108" t="s">
        <v>210</v>
      </c>
      <c r="E2395" s="58">
        <v>1000</v>
      </c>
      <c r="F2395" s="58"/>
      <c r="G2395" s="58">
        <f t="shared" si="41"/>
        <v>-1000</v>
      </c>
      <c r="H2395" s="49" t="s">
        <v>1991</v>
      </c>
    </row>
    <row r="2396" spans="1:8" x14ac:dyDescent="0.2">
      <c r="A2396" s="597">
        <v>42740</v>
      </c>
      <c r="B2396" s="41" t="s">
        <v>1493</v>
      </c>
      <c r="C2396" s="41" t="s">
        <v>1167</v>
      </c>
      <c r="D2396" s="108" t="s">
        <v>454</v>
      </c>
      <c r="E2396" s="58">
        <v>2000</v>
      </c>
      <c r="F2396" s="58"/>
      <c r="G2396" s="58">
        <f t="shared" si="41"/>
        <v>-2000</v>
      </c>
      <c r="H2396" s="49" t="s">
        <v>1991</v>
      </c>
    </row>
    <row r="2397" spans="1:8" x14ac:dyDescent="0.2">
      <c r="A2397" s="597">
        <v>42740</v>
      </c>
      <c r="B2397" s="41" t="s">
        <v>1400</v>
      </c>
      <c r="C2397" s="41" t="s">
        <v>1167</v>
      </c>
      <c r="D2397" s="108" t="s">
        <v>754</v>
      </c>
      <c r="E2397" s="58">
        <v>2200</v>
      </c>
      <c r="F2397" s="58"/>
      <c r="G2397" s="58">
        <f t="shared" si="41"/>
        <v>-2200</v>
      </c>
      <c r="H2397" s="49" t="s">
        <v>1991</v>
      </c>
    </row>
    <row r="2398" spans="1:8" x14ac:dyDescent="0.2">
      <c r="A2398" s="597">
        <v>42738</v>
      </c>
      <c r="B2398" s="41" t="s">
        <v>11</v>
      </c>
      <c r="C2398" s="41" t="s">
        <v>267</v>
      </c>
      <c r="D2398" s="108" t="s">
        <v>2000</v>
      </c>
      <c r="E2398" s="58">
        <v>1500</v>
      </c>
      <c r="F2398" s="58"/>
      <c r="G2398" s="58">
        <f t="shared" si="41"/>
        <v>-1500</v>
      </c>
      <c r="H2398" s="49" t="s">
        <v>1991</v>
      </c>
    </row>
    <row r="2399" spans="1:8" ht="24" x14ac:dyDescent="0.2">
      <c r="A2399" s="597">
        <v>42738</v>
      </c>
      <c r="B2399" s="41" t="s">
        <v>1400</v>
      </c>
      <c r="C2399" s="41" t="s">
        <v>64</v>
      </c>
      <c r="D2399" s="129" t="s">
        <v>2001</v>
      </c>
      <c r="E2399" s="58">
        <v>3500</v>
      </c>
      <c r="F2399" s="58"/>
      <c r="G2399" s="58">
        <f t="shared" si="41"/>
        <v>-3500</v>
      </c>
      <c r="H2399" s="49" t="s">
        <v>1991</v>
      </c>
    </row>
    <row r="2400" spans="1:8" ht="24" x14ac:dyDescent="0.2">
      <c r="A2400" s="597">
        <v>42738</v>
      </c>
      <c r="B2400" s="41" t="s">
        <v>16</v>
      </c>
      <c r="C2400" s="41" t="s">
        <v>773</v>
      </c>
      <c r="D2400" s="129" t="s">
        <v>2003</v>
      </c>
      <c r="E2400" s="58">
        <v>100</v>
      </c>
      <c r="F2400" s="58"/>
      <c r="G2400" s="58">
        <f t="shared" si="41"/>
        <v>-100</v>
      </c>
      <c r="H2400" s="49" t="s">
        <v>1991</v>
      </c>
    </row>
    <row r="2401" spans="1:8" x14ac:dyDescent="0.2">
      <c r="A2401" s="597">
        <v>42738</v>
      </c>
      <c r="B2401" s="41" t="s">
        <v>37</v>
      </c>
      <c r="C2401" s="41" t="s">
        <v>194</v>
      </c>
      <c r="D2401" s="129" t="s">
        <v>2004</v>
      </c>
      <c r="E2401" s="58">
        <v>3310</v>
      </c>
      <c r="F2401" s="58"/>
      <c r="G2401" s="58">
        <f t="shared" si="41"/>
        <v>-3310</v>
      </c>
      <c r="H2401" s="49" t="s">
        <v>1991</v>
      </c>
    </row>
    <row r="2402" spans="1:8" x14ac:dyDescent="0.2">
      <c r="A2402" s="597">
        <v>42738</v>
      </c>
      <c r="B2402" s="41" t="s">
        <v>1493</v>
      </c>
      <c r="C2402" s="41" t="s">
        <v>929</v>
      </c>
      <c r="D2402" s="129" t="s">
        <v>370</v>
      </c>
      <c r="E2402" s="58">
        <v>10000</v>
      </c>
      <c r="F2402" s="58"/>
      <c r="G2402" s="58">
        <f t="shared" si="41"/>
        <v>-10000</v>
      </c>
      <c r="H2402" s="49" t="s">
        <v>1991</v>
      </c>
    </row>
    <row r="2403" spans="1:8" x14ac:dyDescent="0.2">
      <c r="A2403" s="597">
        <v>42738</v>
      </c>
      <c r="B2403" s="108" t="s">
        <v>82</v>
      </c>
      <c r="C2403" s="41" t="s">
        <v>2005</v>
      </c>
      <c r="D2403" s="129" t="s">
        <v>2006</v>
      </c>
      <c r="E2403" s="58">
        <v>100000</v>
      </c>
      <c r="F2403" s="58"/>
      <c r="G2403" s="58">
        <f t="shared" si="41"/>
        <v>-100000</v>
      </c>
      <c r="H2403" s="49" t="s">
        <v>1991</v>
      </c>
    </row>
    <row r="2404" spans="1:8" x14ac:dyDescent="0.2">
      <c r="A2404" s="597">
        <v>42738</v>
      </c>
      <c r="B2404" s="41" t="s">
        <v>16</v>
      </c>
      <c r="C2404" s="41" t="s">
        <v>2007</v>
      </c>
      <c r="D2404" s="129" t="s">
        <v>2008</v>
      </c>
      <c r="E2404" s="58">
        <v>8000</v>
      </c>
      <c r="F2404" s="58"/>
      <c r="G2404" s="58">
        <f t="shared" si="41"/>
        <v>-8000</v>
      </c>
      <c r="H2404" s="49" t="s">
        <v>1991</v>
      </c>
    </row>
    <row r="2405" spans="1:8" x14ac:dyDescent="0.2">
      <c r="A2405" s="597">
        <v>42739</v>
      </c>
      <c r="B2405" s="41" t="s">
        <v>1493</v>
      </c>
      <c r="C2405" s="41" t="s">
        <v>106</v>
      </c>
      <c r="D2405" s="129" t="s">
        <v>2009</v>
      </c>
      <c r="E2405" s="58">
        <v>220</v>
      </c>
      <c r="F2405" s="58"/>
      <c r="G2405" s="58">
        <f t="shared" si="41"/>
        <v>-220</v>
      </c>
      <c r="H2405" s="49" t="s">
        <v>1991</v>
      </c>
    </row>
    <row r="2406" spans="1:8" x14ac:dyDescent="0.2">
      <c r="A2406" s="597">
        <v>42739</v>
      </c>
      <c r="B2406" s="41" t="s">
        <v>16</v>
      </c>
      <c r="C2406" s="41" t="s">
        <v>199</v>
      </c>
      <c r="D2406" s="129" t="s">
        <v>1291</v>
      </c>
      <c r="E2406" s="58">
        <v>800</v>
      </c>
      <c r="F2406" s="58"/>
      <c r="G2406" s="58">
        <f t="shared" si="41"/>
        <v>-800</v>
      </c>
      <c r="H2406" s="49" t="s">
        <v>1991</v>
      </c>
    </row>
    <row r="2407" spans="1:8" x14ac:dyDescent="0.2">
      <c r="A2407" s="597">
        <v>42740</v>
      </c>
      <c r="B2407" s="108" t="s">
        <v>82</v>
      </c>
      <c r="C2407" s="41" t="s">
        <v>63</v>
      </c>
      <c r="D2407" s="129" t="s">
        <v>370</v>
      </c>
      <c r="E2407" s="58">
        <v>2000</v>
      </c>
      <c r="F2407" s="58"/>
      <c r="G2407" s="58">
        <f t="shared" si="41"/>
        <v>-2000</v>
      </c>
      <c r="H2407" s="49" t="s">
        <v>1991</v>
      </c>
    </row>
    <row r="2408" spans="1:8" x14ac:dyDescent="0.2">
      <c r="A2408" s="597">
        <v>42740</v>
      </c>
      <c r="B2408" s="41" t="s">
        <v>1400</v>
      </c>
      <c r="C2408" s="41" t="s">
        <v>64</v>
      </c>
      <c r="D2408" s="129" t="s">
        <v>938</v>
      </c>
      <c r="E2408" s="58">
        <v>500</v>
      </c>
      <c r="F2408" s="58"/>
      <c r="G2408" s="58">
        <f t="shared" si="41"/>
        <v>-500</v>
      </c>
      <c r="H2408" s="49" t="s">
        <v>1991</v>
      </c>
    </row>
    <row r="2409" spans="1:8" ht="24" x14ac:dyDescent="0.2">
      <c r="A2409" s="597">
        <v>42741</v>
      </c>
      <c r="B2409" s="41" t="s">
        <v>16</v>
      </c>
      <c r="C2409" s="41" t="s">
        <v>773</v>
      </c>
      <c r="D2409" s="129" t="s">
        <v>2010</v>
      </c>
      <c r="E2409" s="58">
        <v>100</v>
      </c>
      <c r="F2409" s="58"/>
      <c r="G2409" s="58">
        <f t="shared" si="41"/>
        <v>-100</v>
      </c>
      <c r="H2409" s="49" t="s">
        <v>1991</v>
      </c>
    </row>
    <row r="2410" spans="1:8" x14ac:dyDescent="0.2">
      <c r="A2410" s="597">
        <v>42742</v>
      </c>
      <c r="B2410" s="41" t="s">
        <v>1400</v>
      </c>
      <c r="C2410" s="41" t="s">
        <v>64</v>
      </c>
      <c r="D2410" s="129" t="s">
        <v>286</v>
      </c>
      <c r="E2410" s="58">
        <v>360</v>
      </c>
      <c r="F2410" s="58"/>
      <c r="G2410" s="58">
        <f t="shared" si="41"/>
        <v>-360</v>
      </c>
      <c r="H2410" s="49" t="s">
        <v>1991</v>
      </c>
    </row>
    <row r="2411" spans="1:8" x14ac:dyDescent="0.2">
      <c r="A2411" s="597">
        <v>42742</v>
      </c>
      <c r="B2411" s="41" t="s">
        <v>1493</v>
      </c>
      <c r="C2411" s="41" t="s">
        <v>106</v>
      </c>
      <c r="D2411" s="129" t="s">
        <v>2011</v>
      </c>
      <c r="E2411" s="58">
        <v>850</v>
      </c>
      <c r="F2411" s="58"/>
      <c r="G2411" s="58">
        <f t="shared" si="41"/>
        <v>-850</v>
      </c>
      <c r="H2411" s="49" t="s">
        <v>1991</v>
      </c>
    </row>
    <row r="2412" spans="1:8" x14ac:dyDescent="0.2">
      <c r="A2412" s="597">
        <v>42741</v>
      </c>
      <c r="B2412" s="41" t="s">
        <v>16</v>
      </c>
      <c r="C2412" s="41" t="s">
        <v>220</v>
      </c>
      <c r="D2412" s="129" t="s">
        <v>2012</v>
      </c>
      <c r="E2412" s="58">
        <v>450</v>
      </c>
      <c r="F2412" s="58"/>
      <c r="G2412" s="58">
        <f t="shared" si="41"/>
        <v>-450</v>
      </c>
      <c r="H2412" s="49" t="s">
        <v>1991</v>
      </c>
    </row>
    <row r="2413" spans="1:8" x14ac:dyDescent="0.2">
      <c r="A2413" s="597">
        <v>42741</v>
      </c>
      <c r="B2413" s="41" t="s">
        <v>40</v>
      </c>
      <c r="C2413" s="41" t="s">
        <v>1704</v>
      </c>
      <c r="D2413" s="129" t="s">
        <v>1744</v>
      </c>
      <c r="E2413" s="58">
        <v>3500</v>
      </c>
      <c r="F2413" s="58"/>
      <c r="G2413" s="58">
        <f t="shared" si="41"/>
        <v>-3500</v>
      </c>
      <c r="H2413" s="49" t="s">
        <v>1991</v>
      </c>
    </row>
    <row r="2414" spans="1:8" x14ac:dyDescent="0.2">
      <c r="A2414" s="597">
        <v>42744</v>
      </c>
      <c r="B2414" s="41" t="s">
        <v>40</v>
      </c>
      <c r="C2414" s="41" t="s">
        <v>325</v>
      </c>
      <c r="D2414" s="129" t="s">
        <v>2013</v>
      </c>
      <c r="E2414" s="58">
        <v>1000</v>
      </c>
      <c r="F2414" s="58"/>
      <c r="G2414" s="58">
        <f t="shared" si="41"/>
        <v>-1000</v>
      </c>
      <c r="H2414" s="49" t="s">
        <v>1991</v>
      </c>
    </row>
    <row r="2415" spans="1:8" x14ac:dyDescent="0.2">
      <c r="A2415" s="597">
        <v>42744</v>
      </c>
      <c r="B2415" s="41" t="s">
        <v>11</v>
      </c>
      <c r="C2415" s="41" t="s">
        <v>267</v>
      </c>
      <c r="D2415" s="129" t="s">
        <v>2014</v>
      </c>
      <c r="E2415" s="58">
        <v>1900</v>
      </c>
      <c r="F2415" s="58"/>
      <c r="G2415" s="58">
        <f t="shared" si="41"/>
        <v>-1900</v>
      </c>
      <c r="H2415" s="49" t="s">
        <v>1991</v>
      </c>
    </row>
    <row r="2416" spans="1:8" x14ac:dyDescent="0.2">
      <c r="A2416" s="597">
        <v>42744</v>
      </c>
      <c r="B2416" s="41" t="s">
        <v>40</v>
      </c>
      <c r="C2416" s="41" t="s">
        <v>372</v>
      </c>
      <c r="D2416" s="129" t="s">
        <v>2015</v>
      </c>
      <c r="E2416" s="58">
        <v>33110</v>
      </c>
      <c r="F2416" s="58"/>
      <c r="G2416" s="58">
        <f t="shared" si="41"/>
        <v>-33110</v>
      </c>
      <c r="H2416" s="49" t="s">
        <v>1991</v>
      </c>
    </row>
    <row r="2417" spans="1:8" x14ac:dyDescent="0.2">
      <c r="A2417" s="597">
        <v>42744</v>
      </c>
      <c r="B2417" s="41" t="s">
        <v>40</v>
      </c>
      <c r="C2417" s="41" t="s">
        <v>258</v>
      </c>
      <c r="D2417" s="129" t="s">
        <v>2016</v>
      </c>
      <c r="E2417" s="58">
        <v>2400</v>
      </c>
      <c r="F2417" s="58"/>
      <c r="G2417" s="58">
        <f t="shared" si="41"/>
        <v>-2400</v>
      </c>
      <c r="H2417" s="49" t="s">
        <v>1991</v>
      </c>
    </row>
    <row r="2418" spans="1:8" ht="24" x14ac:dyDescent="0.2">
      <c r="A2418" s="597">
        <v>42745</v>
      </c>
      <c r="B2418" s="41" t="s">
        <v>16</v>
      </c>
      <c r="C2418" s="41" t="s">
        <v>773</v>
      </c>
      <c r="D2418" s="129" t="s">
        <v>2017</v>
      </c>
      <c r="E2418" s="58">
        <v>150</v>
      </c>
      <c r="F2418" s="58"/>
      <c r="G2418" s="58">
        <f t="shared" si="41"/>
        <v>-150</v>
      </c>
      <c r="H2418" s="49" t="s">
        <v>1991</v>
      </c>
    </row>
    <row r="2419" spans="1:8" x14ac:dyDescent="0.2">
      <c r="A2419" s="597">
        <v>42745</v>
      </c>
      <c r="B2419" s="41" t="s">
        <v>16</v>
      </c>
      <c r="C2419" s="41" t="s">
        <v>773</v>
      </c>
      <c r="D2419" s="129" t="s">
        <v>2018</v>
      </c>
      <c r="E2419" s="58">
        <v>100</v>
      </c>
      <c r="F2419" s="58"/>
      <c r="G2419" s="58">
        <f t="shared" si="41"/>
        <v>-100</v>
      </c>
      <c r="H2419" s="49" t="s">
        <v>1991</v>
      </c>
    </row>
    <row r="2420" spans="1:8" x14ac:dyDescent="0.2">
      <c r="A2420" s="597">
        <v>42745</v>
      </c>
      <c r="B2420" s="41" t="s">
        <v>1400</v>
      </c>
      <c r="C2420" s="41" t="s">
        <v>2019</v>
      </c>
      <c r="D2420" s="129" t="s">
        <v>734</v>
      </c>
      <c r="E2420" s="58">
        <v>12872</v>
      </c>
      <c r="F2420" s="58"/>
      <c r="G2420" s="58">
        <f t="shared" si="41"/>
        <v>-12872</v>
      </c>
      <c r="H2420" s="49" t="s">
        <v>1991</v>
      </c>
    </row>
    <row r="2421" spans="1:8" x14ac:dyDescent="0.2">
      <c r="A2421" s="597">
        <v>42745</v>
      </c>
      <c r="B2421" s="108" t="s">
        <v>82</v>
      </c>
      <c r="C2421" s="41" t="s">
        <v>220</v>
      </c>
      <c r="D2421" s="129" t="s">
        <v>2020</v>
      </c>
      <c r="E2421" s="58">
        <v>2245</v>
      </c>
      <c r="F2421" s="58"/>
      <c r="G2421" s="58">
        <f t="shared" si="41"/>
        <v>-2245</v>
      </c>
      <c r="H2421" s="49" t="s">
        <v>1991</v>
      </c>
    </row>
    <row r="2422" spans="1:8" x14ac:dyDescent="0.2">
      <c r="A2422" s="597">
        <v>42745</v>
      </c>
      <c r="B2422" s="41" t="s">
        <v>40</v>
      </c>
      <c r="C2422" s="41" t="s">
        <v>220</v>
      </c>
      <c r="D2422" s="129" t="s">
        <v>2021</v>
      </c>
      <c r="E2422" s="58">
        <v>2145</v>
      </c>
      <c r="F2422" s="58"/>
      <c r="G2422" s="58">
        <f t="shared" si="41"/>
        <v>-2145</v>
      </c>
      <c r="H2422" s="49" t="s">
        <v>1991</v>
      </c>
    </row>
    <row r="2423" spans="1:8" x14ac:dyDescent="0.2">
      <c r="A2423" s="597">
        <v>42745</v>
      </c>
      <c r="B2423" s="41" t="s">
        <v>1400</v>
      </c>
      <c r="C2423" s="41" t="s">
        <v>64</v>
      </c>
      <c r="D2423" s="129" t="s">
        <v>2022</v>
      </c>
      <c r="E2423" s="58">
        <v>5470</v>
      </c>
      <c r="F2423" s="58"/>
      <c r="G2423" s="58">
        <f t="shared" si="41"/>
        <v>-5470</v>
      </c>
      <c r="H2423" s="49" t="s">
        <v>1991</v>
      </c>
    </row>
    <row r="2424" spans="1:8" x14ac:dyDescent="0.2">
      <c r="A2424" s="597">
        <v>42745</v>
      </c>
      <c r="B2424" s="41" t="s">
        <v>1400</v>
      </c>
      <c r="C2424" s="41" t="s">
        <v>64</v>
      </c>
      <c r="D2424" s="129" t="s">
        <v>286</v>
      </c>
      <c r="E2424" s="58">
        <v>500</v>
      </c>
      <c r="F2424" s="58"/>
      <c r="G2424" s="58">
        <f t="shared" si="41"/>
        <v>-500</v>
      </c>
      <c r="H2424" s="49" t="s">
        <v>1991</v>
      </c>
    </row>
    <row r="2425" spans="1:8" ht="24" x14ac:dyDescent="0.2">
      <c r="A2425" s="597">
        <v>42746</v>
      </c>
      <c r="B2425" s="41" t="s">
        <v>16</v>
      </c>
      <c r="C2425" s="41" t="s">
        <v>773</v>
      </c>
      <c r="D2425" s="129" t="s">
        <v>2024</v>
      </c>
      <c r="E2425" s="58">
        <v>2300</v>
      </c>
      <c r="F2425" s="58"/>
      <c r="G2425" s="58">
        <f t="shared" si="41"/>
        <v>-2300</v>
      </c>
      <c r="H2425" s="49" t="s">
        <v>1991</v>
      </c>
    </row>
    <row r="2426" spans="1:8" ht="24" x14ac:dyDescent="0.2">
      <c r="A2426" s="597">
        <v>42746</v>
      </c>
      <c r="B2426" s="41" t="s">
        <v>1400</v>
      </c>
      <c r="C2426" s="41" t="s">
        <v>773</v>
      </c>
      <c r="D2426" s="129" t="s">
        <v>2025</v>
      </c>
      <c r="E2426" s="58">
        <v>200</v>
      </c>
      <c r="F2426" s="58"/>
      <c r="G2426" s="58">
        <f t="shared" si="41"/>
        <v>-200</v>
      </c>
      <c r="H2426" s="49" t="s">
        <v>1991</v>
      </c>
    </row>
    <row r="2427" spans="1:8" x14ac:dyDescent="0.2">
      <c r="A2427" s="597">
        <v>42747</v>
      </c>
      <c r="B2427" s="41" t="s">
        <v>40</v>
      </c>
      <c r="C2427" s="41" t="s">
        <v>1894</v>
      </c>
      <c r="D2427" s="129" t="s">
        <v>2026</v>
      </c>
      <c r="E2427" s="58">
        <v>10500</v>
      </c>
      <c r="F2427" s="58"/>
      <c r="G2427" s="58">
        <f t="shared" si="41"/>
        <v>-10500</v>
      </c>
      <c r="H2427" s="49" t="s">
        <v>1991</v>
      </c>
    </row>
    <row r="2428" spans="1:8" x14ac:dyDescent="0.2">
      <c r="A2428" s="597">
        <v>42747</v>
      </c>
      <c r="B2428" s="41" t="s">
        <v>40</v>
      </c>
      <c r="C2428" s="41" t="s">
        <v>111</v>
      </c>
      <c r="D2428" s="129" t="s">
        <v>2027</v>
      </c>
      <c r="E2428" s="58">
        <v>2000</v>
      </c>
      <c r="F2428" s="58"/>
      <c r="G2428" s="58">
        <f t="shared" si="41"/>
        <v>-2000</v>
      </c>
      <c r="H2428" s="49" t="s">
        <v>1991</v>
      </c>
    </row>
    <row r="2429" spans="1:8" x14ac:dyDescent="0.2">
      <c r="A2429" s="597">
        <v>42747</v>
      </c>
      <c r="B2429" s="41" t="s">
        <v>1400</v>
      </c>
      <c r="C2429" s="41" t="s">
        <v>64</v>
      </c>
      <c r="D2429" s="129" t="s">
        <v>2028</v>
      </c>
      <c r="E2429" s="58">
        <v>300</v>
      </c>
      <c r="F2429" s="58"/>
      <c r="G2429" s="58">
        <f t="shared" si="41"/>
        <v>-300</v>
      </c>
      <c r="H2429" s="49" t="s">
        <v>1991</v>
      </c>
    </row>
    <row r="2430" spans="1:8" x14ac:dyDescent="0.2">
      <c r="A2430" s="597">
        <v>42748</v>
      </c>
      <c r="B2430" s="41" t="s">
        <v>25</v>
      </c>
      <c r="C2430" s="41" t="s">
        <v>1894</v>
      </c>
      <c r="D2430" s="129" t="s">
        <v>2029</v>
      </c>
      <c r="E2430" s="58">
        <v>3000</v>
      </c>
      <c r="F2430" s="58"/>
      <c r="G2430" s="58">
        <f t="shared" si="41"/>
        <v>-3000</v>
      </c>
      <c r="H2430" s="49" t="s">
        <v>1991</v>
      </c>
    </row>
    <row r="2431" spans="1:8" x14ac:dyDescent="0.2">
      <c r="A2431" s="597">
        <v>42748</v>
      </c>
      <c r="B2431" s="41" t="s">
        <v>1400</v>
      </c>
      <c r="C2431" s="41" t="s">
        <v>64</v>
      </c>
      <c r="D2431" s="129" t="s">
        <v>1756</v>
      </c>
      <c r="E2431" s="58">
        <v>100</v>
      </c>
      <c r="F2431" s="58"/>
      <c r="G2431" s="58">
        <f t="shared" si="41"/>
        <v>-100</v>
      </c>
      <c r="H2431" s="49" t="s">
        <v>1991</v>
      </c>
    </row>
    <row r="2432" spans="1:8" x14ac:dyDescent="0.2">
      <c r="A2432" s="597">
        <v>42748</v>
      </c>
      <c r="B2432" s="108" t="s">
        <v>82</v>
      </c>
      <c r="C2432" s="41" t="s">
        <v>220</v>
      </c>
      <c r="D2432" s="129" t="s">
        <v>2031</v>
      </c>
      <c r="E2432" s="58">
        <v>90</v>
      </c>
      <c r="F2432" s="58"/>
      <c r="G2432" s="58">
        <f t="shared" si="41"/>
        <v>-90</v>
      </c>
      <c r="H2432" s="49" t="s">
        <v>1991</v>
      </c>
    </row>
    <row r="2433" spans="1:8" x14ac:dyDescent="0.2">
      <c r="A2433" s="597">
        <v>42748</v>
      </c>
      <c r="B2433" s="41" t="s">
        <v>1493</v>
      </c>
      <c r="C2433" s="41" t="s">
        <v>220</v>
      </c>
      <c r="D2433" s="129" t="s">
        <v>2030</v>
      </c>
      <c r="E2433" s="58">
        <v>2500</v>
      </c>
      <c r="F2433" s="58"/>
      <c r="G2433" s="58">
        <f t="shared" si="41"/>
        <v>-2500</v>
      </c>
      <c r="H2433" s="49" t="s">
        <v>1991</v>
      </c>
    </row>
    <row r="2434" spans="1:8" x14ac:dyDescent="0.2">
      <c r="A2434" s="597">
        <v>42748</v>
      </c>
      <c r="B2434" s="41" t="s">
        <v>25</v>
      </c>
      <c r="C2434" s="41" t="s">
        <v>1894</v>
      </c>
      <c r="D2434" s="129" t="s">
        <v>2032</v>
      </c>
      <c r="E2434" s="58">
        <v>5655</v>
      </c>
      <c r="F2434" s="58"/>
      <c r="G2434" s="58">
        <f t="shared" si="41"/>
        <v>-5655</v>
      </c>
      <c r="H2434" s="49" t="s">
        <v>1991</v>
      </c>
    </row>
    <row r="2435" spans="1:8" x14ac:dyDescent="0.2">
      <c r="A2435" s="597">
        <v>42751</v>
      </c>
      <c r="B2435" s="41" t="s">
        <v>1493</v>
      </c>
      <c r="C2435" s="41" t="s">
        <v>220</v>
      </c>
      <c r="D2435" s="129" t="s">
        <v>286</v>
      </c>
      <c r="E2435" s="58">
        <v>550</v>
      </c>
      <c r="F2435" s="58"/>
      <c r="G2435" s="58">
        <f t="shared" si="41"/>
        <v>-550</v>
      </c>
      <c r="H2435" s="49" t="s">
        <v>1991</v>
      </c>
    </row>
    <row r="2436" spans="1:8" x14ac:dyDescent="0.2">
      <c r="A2436" s="597">
        <v>42752</v>
      </c>
      <c r="B2436" s="41" t="s">
        <v>16</v>
      </c>
      <c r="C2436" s="41" t="s">
        <v>1704</v>
      </c>
      <c r="D2436" s="129" t="s">
        <v>2033</v>
      </c>
      <c r="E2436" s="58">
        <v>3000</v>
      </c>
      <c r="F2436" s="58"/>
      <c r="G2436" s="58">
        <f t="shared" si="41"/>
        <v>-3000</v>
      </c>
      <c r="H2436" s="49" t="s">
        <v>1991</v>
      </c>
    </row>
    <row r="2437" spans="1:8" ht="24" x14ac:dyDescent="0.2">
      <c r="A2437" s="597">
        <v>42752</v>
      </c>
      <c r="B2437" s="41" t="s">
        <v>1493</v>
      </c>
      <c r="C2437" s="41" t="s">
        <v>111</v>
      </c>
      <c r="D2437" s="129" t="s">
        <v>2034</v>
      </c>
      <c r="E2437" s="58">
        <v>5563</v>
      </c>
      <c r="F2437" s="58"/>
      <c r="G2437" s="58">
        <f t="shared" si="41"/>
        <v>-5563</v>
      </c>
      <c r="H2437" s="49" t="s">
        <v>1991</v>
      </c>
    </row>
    <row r="2438" spans="1:8" x14ac:dyDescent="0.2">
      <c r="A2438" s="597">
        <v>42752</v>
      </c>
      <c r="B2438" s="41" t="s">
        <v>40</v>
      </c>
      <c r="C2438" s="41" t="s">
        <v>1894</v>
      </c>
      <c r="D2438" s="129" t="s">
        <v>286</v>
      </c>
      <c r="E2438" s="58">
        <v>2000</v>
      </c>
      <c r="F2438" s="58"/>
      <c r="G2438" s="58">
        <f t="shared" si="41"/>
        <v>-2000</v>
      </c>
      <c r="H2438" s="49" t="s">
        <v>1991</v>
      </c>
    </row>
    <row r="2439" spans="1:8" x14ac:dyDescent="0.2">
      <c r="A2439" s="597">
        <v>42752</v>
      </c>
      <c r="B2439" s="41" t="s">
        <v>25</v>
      </c>
      <c r="C2439" s="41" t="s">
        <v>1894</v>
      </c>
      <c r="D2439" s="129" t="s">
        <v>2035</v>
      </c>
      <c r="E2439" s="58">
        <v>3500</v>
      </c>
      <c r="F2439" s="58"/>
      <c r="G2439" s="58">
        <f t="shared" si="41"/>
        <v>-3500</v>
      </c>
      <c r="H2439" s="49" t="s">
        <v>1991</v>
      </c>
    </row>
    <row r="2440" spans="1:8" x14ac:dyDescent="0.2">
      <c r="A2440" s="597">
        <v>42752</v>
      </c>
      <c r="B2440" s="41" t="s">
        <v>25</v>
      </c>
      <c r="C2440" s="41" t="s">
        <v>2051</v>
      </c>
      <c r="D2440" s="129" t="s">
        <v>2052</v>
      </c>
      <c r="E2440" s="58">
        <v>500</v>
      </c>
      <c r="F2440" s="58"/>
      <c r="G2440" s="58">
        <f t="shared" si="41"/>
        <v>-500</v>
      </c>
      <c r="H2440" s="49" t="s">
        <v>1991</v>
      </c>
    </row>
    <row r="2441" spans="1:8" x14ac:dyDescent="0.2">
      <c r="A2441" s="597">
        <v>42752</v>
      </c>
      <c r="B2441" s="41" t="s">
        <v>25</v>
      </c>
      <c r="C2441" s="41" t="s">
        <v>2053</v>
      </c>
      <c r="D2441" s="129" t="s">
        <v>2054</v>
      </c>
      <c r="E2441" s="58">
        <v>600</v>
      </c>
      <c r="F2441" s="58"/>
      <c r="G2441" s="58">
        <f t="shared" ref="G2441:G2504" si="42">F2441-E2441</f>
        <v>-600</v>
      </c>
      <c r="H2441" s="49" t="s">
        <v>1991</v>
      </c>
    </row>
    <row r="2442" spans="1:8" x14ac:dyDescent="0.2">
      <c r="A2442" s="597">
        <v>42754</v>
      </c>
      <c r="B2442" s="41" t="s">
        <v>40</v>
      </c>
      <c r="C2442" s="41" t="s">
        <v>213</v>
      </c>
      <c r="D2442" s="129" t="s">
        <v>2055</v>
      </c>
      <c r="E2442" s="58">
        <v>770</v>
      </c>
      <c r="F2442" s="58"/>
      <c r="G2442" s="58">
        <f t="shared" si="42"/>
        <v>-770</v>
      </c>
      <c r="H2442" s="49" t="s">
        <v>1991</v>
      </c>
    </row>
    <row r="2443" spans="1:8" x14ac:dyDescent="0.2">
      <c r="A2443" s="597">
        <v>42754</v>
      </c>
      <c r="B2443" s="41" t="s">
        <v>40</v>
      </c>
      <c r="C2443" s="41" t="s">
        <v>1894</v>
      </c>
      <c r="D2443" s="129" t="s">
        <v>286</v>
      </c>
      <c r="E2443" s="58">
        <v>2500</v>
      </c>
      <c r="F2443" s="58"/>
      <c r="G2443" s="58">
        <f t="shared" si="42"/>
        <v>-2500</v>
      </c>
      <c r="H2443" s="49" t="s">
        <v>1991</v>
      </c>
    </row>
    <row r="2444" spans="1:8" x14ac:dyDescent="0.2">
      <c r="A2444" s="597">
        <v>42754</v>
      </c>
      <c r="B2444" s="41" t="s">
        <v>25</v>
      </c>
      <c r="C2444" s="41" t="s">
        <v>1894</v>
      </c>
      <c r="D2444" s="129" t="s">
        <v>2056</v>
      </c>
      <c r="E2444" s="58">
        <v>1630</v>
      </c>
      <c r="F2444" s="58"/>
      <c r="G2444" s="58">
        <f t="shared" si="42"/>
        <v>-1630</v>
      </c>
      <c r="H2444" s="49" t="s">
        <v>1991</v>
      </c>
    </row>
    <row r="2445" spans="1:8" x14ac:dyDescent="0.2">
      <c r="A2445" s="597">
        <v>42756</v>
      </c>
      <c r="B2445" s="41" t="s">
        <v>40</v>
      </c>
      <c r="C2445" s="41" t="s">
        <v>325</v>
      </c>
      <c r="D2445" s="129" t="s">
        <v>2057</v>
      </c>
      <c r="E2445" s="58">
        <v>750</v>
      </c>
      <c r="F2445" s="58"/>
      <c r="G2445" s="58">
        <f t="shared" si="42"/>
        <v>-750</v>
      </c>
      <c r="H2445" s="49" t="s">
        <v>1991</v>
      </c>
    </row>
    <row r="2446" spans="1:8" x14ac:dyDescent="0.2">
      <c r="A2446" s="597">
        <v>42756</v>
      </c>
      <c r="B2446" s="41" t="s">
        <v>40</v>
      </c>
      <c r="C2446" s="41" t="s">
        <v>372</v>
      </c>
      <c r="D2446" s="129" t="s">
        <v>2058</v>
      </c>
      <c r="E2446" s="58">
        <v>1000</v>
      </c>
      <c r="F2446" s="58"/>
      <c r="G2446" s="58">
        <f t="shared" si="42"/>
        <v>-1000</v>
      </c>
      <c r="H2446" s="49" t="s">
        <v>1991</v>
      </c>
    </row>
    <row r="2447" spans="1:8" x14ac:dyDescent="0.2">
      <c r="A2447" s="597">
        <v>42756</v>
      </c>
      <c r="B2447" s="43" t="s">
        <v>18</v>
      </c>
      <c r="C2447" s="41" t="s">
        <v>111</v>
      </c>
      <c r="D2447" s="129" t="s">
        <v>2059</v>
      </c>
      <c r="E2447" s="58">
        <v>2890</v>
      </c>
      <c r="F2447" s="58"/>
      <c r="G2447" s="58">
        <f t="shared" si="42"/>
        <v>-2890</v>
      </c>
      <c r="H2447" s="49" t="s">
        <v>1991</v>
      </c>
    </row>
    <row r="2448" spans="1:8" x14ac:dyDescent="0.2">
      <c r="A2448" s="597">
        <v>42756</v>
      </c>
      <c r="B2448" s="41" t="s">
        <v>25</v>
      </c>
      <c r="C2448" s="41" t="s">
        <v>2060</v>
      </c>
      <c r="D2448" s="129" t="s">
        <v>2061</v>
      </c>
      <c r="E2448" s="58">
        <v>600</v>
      </c>
      <c r="F2448" s="58"/>
      <c r="G2448" s="58">
        <f t="shared" si="42"/>
        <v>-600</v>
      </c>
      <c r="H2448" s="49" t="s">
        <v>1991</v>
      </c>
    </row>
    <row r="2449" spans="1:8" x14ac:dyDescent="0.2">
      <c r="A2449" s="597">
        <v>42758</v>
      </c>
      <c r="B2449" s="41" t="s">
        <v>1400</v>
      </c>
      <c r="C2449" s="41" t="s">
        <v>1000</v>
      </c>
      <c r="D2449" s="129" t="s">
        <v>1744</v>
      </c>
      <c r="E2449" s="58">
        <v>1520</v>
      </c>
      <c r="F2449" s="58"/>
      <c r="G2449" s="58">
        <f t="shared" si="42"/>
        <v>-1520</v>
      </c>
      <c r="H2449" s="49" t="s">
        <v>1991</v>
      </c>
    </row>
    <row r="2450" spans="1:8" x14ac:dyDescent="0.2">
      <c r="A2450" s="597">
        <v>42758</v>
      </c>
      <c r="B2450" s="41" t="s">
        <v>1400</v>
      </c>
      <c r="C2450" s="41" t="s">
        <v>64</v>
      </c>
      <c r="D2450" s="129" t="s">
        <v>2062</v>
      </c>
      <c r="E2450" s="58">
        <v>500</v>
      </c>
      <c r="F2450" s="58"/>
      <c r="G2450" s="58">
        <f t="shared" si="42"/>
        <v>-500</v>
      </c>
      <c r="H2450" s="49" t="s">
        <v>1991</v>
      </c>
    </row>
    <row r="2451" spans="1:8" x14ac:dyDescent="0.2">
      <c r="A2451" s="597">
        <v>42759</v>
      </c>
      <c r="B2451" s="41" t="s">
        <v>1493</v>
      </c>
      <c r="C2451" s="41" t="s">
        <v>450</v>
      </c>
      <c r="D2451" s="129" t="s">
        <v>2063</v>
      </c>
      <c r="E2451" s="58">
        <v>1030</v>
      </c>
      <c r="F2451" s="58"/>
      <c r="G2451" s="58">
        <f t="shared" si="42"/>
        <v>-1030</v>
      </c>
      <c r="H2451" s="49" t="s">
        <v>1991</v>
      </c>
    </row>
    <row r="2452" spans="1:8" x14ac:dyDescent="0.2">
      <c r="A2452" s="597">
        <v>42759</v>
      </c>
      <c r="B2452" s="41" t="s">
        <v>37</v>
      </c>
      <c r="C2452" s="41" t="s">
        <v>1894</v>
      </c>
      <c r="D2452" s="129" t="s">
        <v>2064</v>
      </c>
      <c r="E2452" s="58">
        <v>1000</v>
      </c>
      <c r="F2452" s="58"/>
      <c r="G2452" s="58">
        <f t="shared" si="42"/>
        <v>-1000</v>
      </c>
      <c r="H2452" s="49" t="s">
        <v>1991</v>
      </c>
    </row>
    <row r="2453" spans="1:8" x14ac:dyDescent="0.2">
      <c r="A2453" s="597">
        <v>42759</v>
      </c>
      <c r="B2453" s="41" t="s">
        <v>40</v>
      </c>
      <c r="C2453" s="41" t="s">
        <v>1894</v>
      </c>
      <c r="D2453" s="129" t="s">
        <v>2065</v>
      </c>
      <c r="E2453" s="58">
        <v>5000</v>
      </c>
      <c r="F2453" s="58"/>
      <c r="G2453" s="58">
        <f t="shared" si="42"/>
        <v>-5000</v>
      </c>
      <c r="H2453" s="49" t="s">
        <v>1991</v>
      </c>
    </row>
    <row r="2454" spans="1:8" x14ac:dyDescent="0.2">
      <c r="A2454" s="597">
        <v>42759</v>
      </c>
      <c r="B2454" s="41" t="s">
        <v>1400</v>
      </c>
      <c r="C2454" s="41" t="s">
        <v>1894</v>
      </c>
      <c r="D2454" s="129" t="s">
        <v>2066</v>
      </c>
      <c r="E2454" s="58">
        <v>10000</v>
      </c>
      <c r="F2454" s="58"/>
      <c r="G2454" s="58">
        <f t="shared" si="42"/>
        <v>-10000</v>
      </c>
      <c r="H2454" s="49" t="s">
        <v>1991</v>
      </c>
    </row>
    <row r="2455" spans="1:8" x14ac:dyDescent="0.2">
      <c r="A2455" s="597">
        <v>42759</v>
      </c>
      <c r="B2455" s="41" t="s">
        <v>40</v>
      </c>
      <c r="C2455" s="41" t="s">
        <v>454</v>
      </c>
      <c r="D2455" s="129" t="s">
        <v>2067</v>
      </c>
      <c r="E2455" s="58">
        <v>100</v>
      </c>
      <c r="F2455" s="58"/>
      <c r="G2455" s="58">
        <f t="shared" si="42"/>
        <v>-100</v>
      </c>
      <c r="H2455" s="49" t="s">
        <v>1991</v>
      </c>
    </row>
    <row r="2456" spans="1:8" x14ac:dyDescent="0.2">
      <c r="A2456" s="597">
        <v>42759</v>
      </c>
      <c r="B2456" s="41" t="s">
        <v>1493</v>
      </c>
      <c r="C2456" s="41" t="s">
        <v>454</v>
      </c>
      <c r="D2456" s="129" t="s">
        <v>2067</v>
      </c>
      <c r="E2456" s="58">
        <v>300</v>
      </c>
      <c r="F2456" s="58"/>
      <c r="G2456" s="58">
        <f t="shared" si="42"/>
        <v>-300</v>
      </c>
      <c r="H2456" s="49" t="s">
        <v>1991</v>
      </c>
    </row>
    <row r="2457" spans="1:8" x14ac:dyDescent="0.2">
      <c r="A2457" s="597">
        <v>42759</v>
      </c>
      <c r="B2457" s="41" t="s">
        <v>40</v>
      </c>
      <c r="C2457" s="41" t="s">
        <v>202</v>
      </c>
      <c r="D2457" s="129" t="s">
        <v>2068</v>
      </c>
      <c r="E2457" s="58">
        <v>240</v>
      </c>
      <c r="F2457" s="58"/>
      <c r="G2457" s="58">
        <f t="shared" si="42"/>
        <v>-240</v>
      </c>
      <c r="H2457" s="49" t="s">
        <v>1991</v>
      </c>
    </row>
    <row r="2458" spans="1:8" x14ac:dyDescent="0.2">
      <c r="A2458" s="597">
        <v>42759</v>
      </c>
      <c r="B2458" s="41" t="s">
        <v>1400</v>
      </c>
      <c r="C2458" s="41" t="s">
        <v>1704</v>
      </c>
      <c r="D2458" s="129" t="s">
        <v>286</v>
      </c>
      <c r="E2458" s="58">
        <v>50</v>
      </c>
      <c r="F2458" s="58"/>
      <c r="G2458" s="58">
        <f t="shared" si="42"/>
        <v>-50</v>
      </c>
      <c r="H2458" s="49" t="s">
        <v>1991</v>
      </c>
    </row>
    <row r="2459" spans="1:8" x14ac:dyDescent="0.2">
      <c r="A2459" s="597">
        <v>42760</v>
      </c>
      <c r="B2459" s="41" t="s">
        <v>25</v>
      </c>
      <c r="C2459" s="41" t="s">
        <v>220</v>
      </c>
      <c r="D2459" s="129" t="s">
        <v>1440</v>
      </c>
      <c r="E2459" s="58">
        <v>320</v>
      </c>
      <c r="F2459" s="58"/>
      <c r="G2459" s="58">
        <f t="shared" si="42"/>
        <v>-320</v>
      </c>
      <c r="H2459" s="49" t="s">
        <v>1991</v>
      </c>
    </row>
    <row r="2460" spans="1:8" x14ac:dyDescent="0.2">
      <c r="A2460" s="597">
        <v>42760</v>
      </c>
      <c r="B2460" s="41" t="s">
        <v>40</v>
      </c>
      <c r="C2460" s="41" t="s">
        <v>220</v>
      </c>
      <c r="D2460" s="129" t="s">
        <v>2002</v>
      </c>
      <c r="E2460" s="58">
        <v>661</v>
      </c>
      <c r="F2460" s="58"/>
      <c r="G2460" s="58">
        <f t="shared" si="42"/>
        <v>-661</v>
      </c>
      <c r="H2460" s="49" t="s">
        <v>1991</v>
      </c>
    </row>
    <row r="2461" spans="1:8" x14ac:dyDescent="0.2">
      <c r="A2461" s="597">
        <v>42760</v>
      </c>
      <c r="B2461" s="41" t="s">
        <v>1493</v>
      </c>
      <c r="C2461" s="41" t="s">
        <v>220</v>
      </c>
      <c r="D2461" s="129" t="s">
        <v>72</v>
      </c>
      <c r="E2461" s="58">
        <v>805</v>
      </c>
      <c r="F2461" s="58"/>
      <c r="G2461" s="58">
        <f t="shared" si="42"/>
        <v>-805</v>
      </c>
      <c r="H2461" s="49" t="s">
        <v>1991</v>
      </c>
    </row>
    <row r="2462" spans="1:8" x14ac:dyDescent="0.2">
      <c r="A2462" s="597">
        <v>42760</v>
      </c>
      <c r="B2462" s="108" t="s">
        <v>82</v>
      </c>
      <c r="C2462" s="41" t="s">
        <v>220</v>
      </c>
      <c r="D2462" s="129" t="s">
        <v>72</v>
      </c>
      <c r="E2462" s="58">
        <v>670</v>
      </c>
      <c r="F2462" s="58"/>
      <c r="G2462" s="58">
        <f t="shared" si="42"/>
        <v>-670</v>
      </c>
      <c r="H2462" s="49" t="s">
        <v>1991</v>
      </c>
    </row>
    <row r="2463" spans="1:8" x14ac:dyDescent="0.2">
      <c r="A2463" s="597">
        <v>42760</v>
      </c>
      <c r="B2463" s="41" t="s">
        <v>40</v>
      </c>
      <c r="C2463" s="41" t="s">
        <v>220</v>
      </c>
      <c r="D2463" s="129" t="s">
        <v>2069</v>
      </c>
      <c r="E2463" s="58">
        <v>900</v>
      </c>
      <c r="F2463" s="58"/>
      <c r="G2463" s="58">
        <f t="shared" si="42"/>
        <v>-900</v>
      </c>
      <c r="H2463" s="49" t="s">
        <v>1991</v>
      </c>
    </row>
    <row r="2464" spans="1:8" x14ac:dyDescent="0.2">
      <c r="A2464" s="597">
        <v>42760</v>
      </c>
      <c r="B2464" s="41" t="s">
        <v>25</v>
      </c>
      <c r="C2464" s="41" t="s">
        <v>220</v>
      </c>
      <c r="D2464" s="129" t="s">
        <v>72</v>
      </c>
      <c r="E2464" s="58">
        <v>600</v>
      </c>
      <c r="F2464" s="58"/>
      <c r="G2464" s="58">
        <f t="shared" si="42"/>
        <v>-600</v>
      </c>
      <c r="H2464" s="49" t="s">
        <v>1991</v>
      </c>
    </row>
    <row r="2465" spans="1:8" ht="24" x14ac:dyDescent="0.2">
      <c r="A2465" s="597">
        <v>42761</v>
      </c>
      <c r="B2465" s="41" t="s">
        <v>40</v>
      </c>
      <c r="C2465" s="41" t="s">
        <v>325</v>
      </c>
      <c r="D2465" s="129" t="s">
        <v>2070</v>
      </c>
      <c r="E2465" s="58">
        <v>3150</v>
      </c>
      <c r="F2465" s="58"/>
      <c r="G2465" s="58">
        <f t="shared" si="42"/>
        <v>-3150</v>
      </c>
      <c r="H2465" s="49" t="s">
        <v>1991</v>
      </c>
    </row>
    <row r="2466" spans="1:8" x14ac:dyDescent="0.2">
      <c r="A2466" s="597">
        <v>42761</v>
      </c>
      <c r="B2466" s="41" t="s">
        <v>25</v>
      </c>
      <c r="C2466" s="41" t="s">
        <v>2060</v>
      </c>
      <c r="D2466" s="129" t="s">
        <v>2061</v>
      </c>
      <c r="E2466" s="58">
        <v>600</v>
      </c>
      <c r="F2466" s="58"/>
      <c r="G2466" s="58">
        <f t="shared" si="42"/>
        <v>-600</v>
      </c>
      <c r="H2466" s="49" t="s">
        <v>1991</v>
      </c>
    </row>
    <row r="2467" spans="1:8" ht="24" x14ac:dyDescent="0.2">
      <c r="A2467" s="597">
        <v>42761</v>
      </c>
      <c r="B2467" s="41" t="s">
        <v>1400</v>
      </c>
      <c r="C2467" s="41" t="s">
        <v>64</v>
      </c>
      <c r="D2467" s="129" t="s">
        <v>2071</v>
      </c>
      <c r="E2467" s="58">
        <v>14425</v>
      </c>
      <c r="F2467" s="58"/>
      <c r="G2467" s="58">
        <f t="shared" si="42"/>
        <v>-14425</v>
      </c>
      <c r="H2467" s="49" t="s">
        <v>1991</v>
      </c>
    </row>
    <row r="2468" spans="1:8" x14ac:dyDescent="0.2">
      <c r="A2468" s="597">
        <v>42761</v>
      </c>
      <c r="B2468" s="41" t="s">
        <v>25</v>
      </c>
      <c r="C2468" s="41" t="s">
        <v>64</v>
      </c>
      <c r="D2468" s="129" t="s">
        <v>2072</v>
      </c>
      <c r="E2468" s="58">
        <v>1500</v>
      </c>
      <c r="F2468" s="58"/>
      <c r="G2468" s="58">
        <f t="shared" si="42"/>
        <v>-1500</v>
      </c>
      <c r="H2468" s="49" t="s">
        <v>1991</v>
      </c>
    </row>
    <row r="2469" spans="1:8" x14ac:dyDescent="0.2">
      <c r="A2469" s="597">
        <v>42762</v>
      </c>
      <c r="B2469" s="41" t="s">
        <v>25</v>
      </c>
      <c r="C2469" s="41" t="s">
        <v>1894</v>
      </c>
      <c r="D2469" s="129" t="s">
        <v>2073</v>
      </c>
      <c r="E2469" s="58">
        <v>2900</v>
      </c>
      <c r="F2469" s="58"/>
      <c r="G2469" s="58">
        <f t="shared" si="42"/>
        <v>-2900</v>
      </c>
      <c r="H2469" s="49" t="s">
        <v>1991</v>
      </c>
    </row>
    <row r="2470" spans="1:8" x14ac:dyDescent="0.2">
      <c r="A2470" s="597">
        <v>42762</v>
      </c>
      <c r="B2470" s="41" t="s">
        <v>1400</v>
      </c>
      <c r="C2470" s="41" t="s">
        <v>220</v>
      </c>
      <c r="D2470" s="129" t="s">
        <v>72</v>
      </c>
      <c r="E2470" s="58">
        <v>495</v>
      </c>
      <c r="F2470" s="58"/>
      <c r="G2470" s="58">
        <f t="shared" si="42"/>
        <v>-495</v>
      </c>
      <c r="H2470" s="49" t="s">
        <v>1991</v>
      </c>
    </row>
    <row r="2471" spans="1:8" ht="24" x14ac:dyDescent="0.2">
      <c r="A2471" s="597">
        <v>42763</v>
      </c>
      <c r="B2471" s="41" t="s">
        <v>1400</v>
      </c>
      <c r="C2471" s="41" t="s">
        <v>64</v>
      </c>
      <c r="D2471" s="129" t="s">
        <v>2075</v>
      </c>
      <c r="E2471" s="58">
        <v>36160</v>
      </c>
      <c r="F2471" s="58"/>
      <c r="G2471" s="58">
        <f t="shared" si="42"/>
        <v>-36160</v>
      </c>
      <c r="H2471" s="49" t="s">
        <v>1991</v>
      </c>
    </row>
    <row r="2472" spans="1:8" ht="24" x14ac:dyDescent="0.2">
      <c r="A2472" s="597">
        <v>42763</v>
      </c>
      <c r="B2472" s="41" t="s">
        <v>40</v>
      </c>
      <c r="C2472" s="41" t="s">
        <v>202</v>
      </c>
      <c r="D2472" s="129" t="s">
        <v>2076</v>
      </c>
      <c r="E2472" s="58">
        <v>1220</v>
      </c>
      <c r="F2472" s="58"/>
      <c r="G2472" s="58">
        <f t="shared" si="42"/>
        <v>-1220</v>
      </c>
      <c r="H2472" s="49" t="s">
        <v>1991</v>
      </c>
    </row>
    <row r="2473" spans="1:8" x14ac:dyDescent="0.2">
      <c r="A2473" s="597">
        <v>42763</v>
      </c>
      <c r="B2473" s="41" t="s">
        <v>40</v>
      </c>
      <c r="C2473" s="41" t="s">
        <v>1894</v>
      </c>
      <c r="D2473" s="129" t="s">
        <v>244</v>
      </c>
      <c r="E2473" s="58">
        <v>1500</v>
      </c>
      <c r="F2473" s="58"/>
      <c r="G2473" s="58">
        <f t="shared" si="42"/>
        <v>-1500</v>
      </c>
      <c r="H2473" s="49" t="s">
        <v>1991</v>
      </c>
    </row>
    <row r="2474" spans="1:8" x14ac:dyDescent="0.2">
      <c r="A2474" s="597">
        <v>42765</v>
      </c>
      <c r="B2474" s="41" t="s">
        <v>40</v>
      </c>
      <c r="C2474" s="41" t="s">
        <v>1066</v>
      </c>
      <c r="D2474" s="129" t="s">
        <v>2078</v>
      </c>
      <c r="E2474" s="58">
        <v>500</v>
      </c>
      <c r="F2474" s="58"/>
      <c r="G2474" s="58">
        <f t="shared" si="42"/>
        <v>-500</v>
      </c>
      <c r="H2474" s="49" t="s">
        <v>1991</v>
      </c>
    </row>
    <row r="2475" spans="1:8" x14ac:dyDescent="0.2">
      <c r="A2475" s="597">
        <v>42765</v>
      </c>
      <c r="B2475" s="41" t="s">
        <v>1400</v>
      </c>
      <c r="C2475" s="41" t="s">
        <v>773</v>
      </c>
      <c r="D2475" s="129" t="s">
        <v>2079</v>
      </c>
      <c r="E2475" s="58">
        <v>100</v>
      </c>
      <c r="F2475" s="58"/>
      <c r="G2475" s="58">
        <f t="shared" si="42"/>
        <v>-100</v>
      </c>
      <c r="H2475" s="49" t="s">
        <v>1991</v>
      </c>
    </row>
    <row r="2476" spans="1:8" x14ac:dyDescent="0.2">
      <c r="A2476" s="597">
        <v>42765</v>
      </c>
      <c r="B2476" s="41" t="s">
        <v>16</v>
      </c>
      <c r="C2476" s="41" t="s">
        <v>372</v>
      </c>
      <c r="D2476" s="129" t="s">
        <v>2080</v>
      </c>
      <c r="E2476" s="58">
        <v>10114</v>
      </c>
      <c r="F2476" s="58"/>
      <c r="G2476" s="58">
        <f t="shared" si="42"/>
        <v>-10114</v>
      </c>
      <c r="H2476" s="49" t="s">
        <v>1991</v>
      </c>
    </row>
    <row r="2477" spans="1:8" x14ac:dyDescent="0.2">
      <c r="A2477" s="597">
        <v>42765</v>
      </c>
      <c r="B2477" s="41" t="s">
        <v>1493</v>
      </c>
      <c r="C2477" s="41" t="s">
        <v>106</v>
      </c>
      <c r="D2477" s="129" t="s">
        <v>2081</v>
      </c>
      <c r="E2477" s="58">
        <v>960</v>
      </c>
      <c r="F2477" s="58"/>
      <c r="G2477" s="58">
        <f t="shared" si="42"/>
        <v>-960</v>
      </c>
      <c r="H2477" s="49" t="s">
        <v>1991</v>
      </c>
    </row>
    <row r="2478" spans="1:8" x14ac:dyDescent="0.2">
      <c r="A2478" s="597">
        <v>42765</v>
      </c>
      <c r="B2478" s="41" t="s">
        <v>1691</v>
      </c>
      <c r="C2478" s="41" t="s">
        <v>372</v>
      </c>
      <c r="D2478" s="129" t="s">
        <v>2077</v>
      </c>
      <c r="E2478" s="58">
        <v>4250</v>
      </c>
      <c r="F2478" s="58"/>
      <c r="G2478" s="58">
        <f t="shared" si="42"/>
        <v>-4250</v>
      </c>
      <c r="H2478" s="49" t="s">
        <v>1991</v>
      </c>
    </row>
    <row r="2479" spans="1:8" x14ac:dyDescent="0.2">
      <c r="A2479" s="102">
        <v>42739</v>
      </c>
      <c r="B2479" s="59" t="s">
        <v>40</v>
      </c>
      <c r="C2479" s="41" t="s">
        <v>40</v>
      </c>
      <c r="D2479" s="104" t="s">
        <v>1982</v>
      </c>
      <c r="E2479" s="60">
        <v>126000</v>
      </c>
      <c r="F2479" s="60"/>
      <c r="G2479" s="60">
        <f t="shared" si="42"/>
        <v>-126000</v>
      </c>
      <c r="H2479" s="90" t="s">
        <v>1991</v>
      </c>
    </row>
    <row r="2480" spans="1:8" x14ac:dyDescent="0.2">
      <c r="A2480" s="102">
        <v>42739</v>
      </c>
      <c r="B2480" s="59" t="s">
        <v>40</v>
      </c>
      <c r="C2480" s="59" t="s">
        <v>1983</v>
      </c>
      <c r="D2480" s="104" t="s">
        <v>1984</v>
      </c>
      <c r="E2480" s="60">
        <v>149000</v>
      </c>
      <c r="F2480" s="60"/>
      <c r="G2480" s="60">
        <f t="shared" si="42"/>
        <v>-149000</v>
      </c>
      <c r="H2480" s="90" t="s">
        <v>1991</v>
      </c>
    </row>
    <row r="2481" spans="1:8" ht="24" x14ac:dyDescent="0.2">
      <c r="A2481" s="102">
        <v>42740</v>
      </c>
      <c r="B2481" s="59" t="s">
        <v>40</v>
      </c>
      <c r="C2481" s="59" t="s">
        <v>895</v>
      </c>
      <c r="D2481" s="104" t="s">
        <v>1985</v>
      </c>
      <c r="E2481" s="60">
        <v>61000</v>
      </c>
      <c r="F2481" s="60"/>
      <c r="G2481" s="60">
        <f t="shared" si="42"/>
        <v>-61000</v>
      </c>
      <c r="H2481" s="90" t="s">
        <v>1991</v>
      </c>
    </row>
    <row r="2482" spans="1:8" x14ac:dyDescent="0.2">
      <c r="A2482" s="102">
        <v>42740</v>
      </c>
      <c r="B2482" s="59" t="s">
        <v>1400</v>
      </c>
      <c r="C2482" s="59" t="s">
        <v>1803</v>
      </c>
      <c r="D2482" s="104" t="s">
        <v>1986</v>
      </c>
      <c r="E2482" s="60">
        <v>433634</v>
      </c>
      <c r="F2482" s="60"/>
      <c r="G2482" s="60">
        <f t="shared" si="42"/>
        <v>-433634</v>
      </c>
      <c r="H2482" s="90" t="s">
        <v>1991</v>
      </c>
    </row>
    <row r="2483" spans="1:8" x14ac:dyDescent="0.2">
      <c r="A2483" s="102">
        <v>42741</v>
      </c>
      <c r="B2483" s="107" t="s">
        <v>40</v>
      </c>
      <c r="C2483" s="59" t="s">
        <v>1339</v>
      </c>
      <c r="D2483" s="104" t="s">
        <v>1987</v>
      </c>
      <c r="E2483" s="60">
        <v>10000</v>
      </c>
      <c r="F2483" s="60"/>
      <c r="G2483" s="60">
        <f t="shared" si="42"/>
        <v>-10000</v>
      </c>
      <c r="H2483" s="90" t="s">
        <v>1991</v>
      </c>
    </row>
    <row r="2484" spans="1:8" x14ac:dyDescent="0.2">
      <c r="A2484" s="102">
        <v>42745</v>
      </c>
      <c r="B2484" s="103" t="s">
        <v>82</v>
      </c>
      <c r="C2484" s="59" t="s">
        <v>1831</v>
      </c>
      <c r="D2484" s="104" t="s">
        <v>1992</v>
      </c>
      <c r="E2484" s="60">
        <v>20000</v>
      </c>
      <c r="F2484" s="60"/>
      <c r="G2484" s="60">
        <f t="shared" si="42"/>
        <v>-20000</v>
      </c>
      <c r="H2484" s="90" t="s">
        <v>1991</v>
      </c>
    </row>
    <row r="2485" spans="1:8" ht="24" x14ac:dyDescent="0.2">
      <c r="A2485" s="102">
        <v>42747</v>
      </c>
      <c r="B2485" s="107" t="s">
        <v>40</v>
      </c>
      <c r="C2485" s="59" t="s">
        <v>111</v>
      </c>
      <c r="D2485" s="104" t="s">
        <v>1993</v>
      </c>
      <c r="E2485" s="60">
        <v>20000</v>
      </c>
      <c r="F2485" s="60"/>
      <c r="G2485" s="60">
        <f t="shared" si="42"/>
        <v>-20000</v>
      </c>
      <c r="H2485" s="90" t="s">
        <v>1991</v>
      </c>
    </row>
    <row r="2486" spans="1:8" x14ac:dyDescent="0.2">
      <c r="A2486" s="102">
        <v>42747</v>
      </c>
      <c r="B2486" s="107" t="s">
        <v>1493</v>
      </c>
      <c r="C2486" s="59" t="s">
        <v>929</v>
      </c>
      <c r="D2486" s="104" t="s">
        <v>1994</v>
      </c>
      <c r="E2486" s="60">
        <v>50000</v>
      </c>
      <c r="F2486" s="60"/>
      <c r="G2486" s="60">
        <f t="shared" si="42"/>
        <v>-50000</v>
      </c>
      <c r="H2486" s="90" t="s">
        <v>1991</v>
      </c>
    </row>
    <row r="2487" spans="1:8" x14ac:dyDescent="0.2">
      <c r="A2487" s="102">
        <v>42747</v>
      </c>
      <c r="B2487" s="107" t="s">
        <v>40</v>
      </c>
      <c r="C2487" s="59" t="s">
        <v>63</v>
      </c>
      <c r="D2487" s="104" t="s">
        <v>1995</v>
      </c>
      <c r="E2487" s="60">
        <v>10000</v>
      </c>
      <c r="F2487" s="60"/>
      <c r="G2487" s="60">
        <f t="shared" si="42"/>
        <v>-10000</v>
      </c>
      <c r="H2487" s="90" t="s">
        <v>1991</v>
      </c>
    </row>
    <row r="2488" spans="1:8" x14ac:dyDescent="0.2">
      <c r="A2488" s="102">
        <v>42747</v>
      </c>
      <c r="B2488" s="107" t="s">
        <v>1691</v>
      </c>
      <c r="C2488" s="59" t="s">
        <v>668</v>
      </c>
      <c r="D2488" s="104" t="s">
        <v>1996</v>
      </c>
      <c r="E2488" s="60">
        <v>18000</v>
      </c>
      <c r="F2488" s="60"/>
      <c r="G2488" s="60">
        <f t="shared" si="42"/>
        <v>-18000</v>
      </c>
      <c r="H2488" s="90" t="s">
        <v>1991</v>
      </c>
    </row>
    <row r="2489" spans="1:8" x14ac:dyDescent="0.2">
      <c r="A2489" s="102">
        <v>42747</v>
      </c>
      <c r="B2489" s="107" t="s">
        <v>1691</v>
      </c>
      <c r="C2489" s="59" t="s">
        <v>668</v>
      </c>
      <c r="D2489" s="104" t="s">
        <v>1997</v>
      </c>
      <c r="E2489" s="60">
        <v>16000</v>
      </c>
      <c r="F2489" s="60"/>
      <c r="G2489" s="60">
        <f t="shared" si="42"/>
        <v>-16000</v>
      </c>
      <c r="H2489" s="90" t="s">
        <v>1991</v>
      </c>
    </row>
    <row r="2490" spans="1:8" ht="24" x14ac:dyDescent="0.2">
      <c r="A2490" s="102">
        <v>42758</v>
      </c>
      <c r="B2490" s="107" t="s">
        <v>1400</v>
      </c>
      <c r="C2490" s="59" t="s">
        <v>64</v>
      </c>
      <c r="D2490" s="104" t="s">
        <v>2041</v>
      </c>
      <c r="E2490" s="60">
        <v>9380</v>
      </c>
      <c r="F2490" s="60"/>
      <c r="G2490" s="60">
        <f t="shared" si="42"/>
        <v>-9380</v>
      </c>
      <c r="H2490" s="90" t="s">
        <v>1991</v>
      </c>
    </row>
    <row r="2491" spans="1:8" x14ac:dyDescent="0.2">
      <c r="A2491" s="102">
        <v>42758</v>
      </c>
      <c r="B2491" s="107" t="s">
        <v>40</v>
      </c>
      <c r="C2491" s="59" t="s">
        <v>359</v>
      </c>
      <c r="D2491" s="104" t="s">
        <v>2046</v>
      </c>
      <c r="E2491" s="60">
        <v>99012</v>
      </c>
      <c r="F2491" s="60"/>
      <c r="G2491" s="60">
        <f t="shared" si="42"/>
        <v>-99012</v>
      </c>
      <c r="H2491" s="90" t="s">
        <v>1991</v>
      </c>
    </row>
    <row r="2492" spans="1:8" x14ac:dyDescent="0.2">
      <c r="A2492" s="102">
        <v>42759</v>
      </c>
      <c r="B2492" s="107" t="s">
        <v>1493</v>
      </c>
      <c r="C2492" s="59" t="s">
        <v>263</v>
      </c>
      <c r="D2492" s="104" t="s">
        <v>2044</v>
      </c>
      <c r="E2492" s="60">
        <v>70650</v>
      </c>
      <c r="F2492" s="60"/>
      <c r="G2492" s="60">
        <f t="shared" si="42"/>
        <v>-70650</v>
      </c>
      <c r="H2492" s="90" t="s">
        <v>1991</v>
      </c>
    </row>
    <row r="2493" spans="1:8" x14ac:dyDescent="0.2">
      <c r="A2493" s="102">
        <v>42759</v>
      </c>
      <c r="B2493" s="107" t="s">
        <v>40</v>
      </c>
      <c r="C2493" s="59" t="s">
        <v>1388</v>
      </c>
      <c r="D2493" s="104" t="s">
        <v>2045</v>
      </c>
      <c r="E2493" s="60">
        <v>12000</v>
      </c>
      <c r="F2493" s="60"/>
      <c r="G2493" s="60">
        <f t="shared" si="42"/>
        <v>-12000</v>
      </c>
      <c r="H2493" s="90" t="s">
        <v>1991</v>
      </c>
    </row>
    <row r="2494" spans="1:8" x14ac:dyDescent="0.2">
      <c r="A2494" s="102">
        <v>42759</v>
      </c>
      <c r="B2494" s="107" t="s">
        <v>16</v>
      </c>
      <c r="C2494" s="59" t="s">
        <v>2047</v>
      </c>
      <c r="D2494" s="104" t="s">
        <v>2048</v>
      </c>
      <c r="E2494" s="60">
        <v>8000</v>
      </c>
      <c r="F2494" s="60"/>
      <c r="G2494" s="60">
        <f t="shared" si="42"/>
        <v>-8000</v>
      </c>
      <c r="H2494" s="90" t="s">
        <v>1991</v>
      </c>
    </row>
    <row r="2495" spans="1:8" x14ac:dyDescent="0.2">
      <c r="A2495" s="102">
        <v>42759</v>
      </c>
      <c r="B2495" s="107" t="s">
        <v>16</v>
      </c>
      <c r="C2495" s="59" t="s">
        <v>1689</v>
      </c>
      <c r="D2495" s="104" t="s">
        <v>2050</v>
      </c>
      <c r="E2495" s="60">
        <v>15511</v>
      </c>
      <c r="F2495" s="60"/>
      <c r="G2495" s="60">
        <f t="shared" si="42"/>
        <v>-15511</v>
      </c>
      <c r="H2495" s="90" t="s">
        <v>1991</v>
      </c>
    </row>
    <row r="2496" spans="1:8" x14ac:dyDescent="0.2">
      <c r="A2496" s="102">
        <v>42759</v>
      </c>
      <c r="B2496" s="107" t="s">
        <v>25</v>
      </c>
      <c r="C2496" s="59" t="s">
        <v>1689</v>
      </c>
      <c r="D2496" s="104" t="s">
        <v>2050</v>
      </c>
      <c r="E2496" s="60">
        <v>7571</v>
      </c>
      <c r="F2496" s="60"/>
      <c r="G2496" s="60">
        <f t="shared" si="42"/>
        <v>-7571</v>
      </c>
      <c r="H2496" s="90" t="s">
        <v>1991</v>
      </c>
    </row>
    <row r="2497" spans="1:8" x14ac:dyDescent="0.2">
      <c r="A2497" s="599">
        <v>42740</v>
      </c>
      <c r="B2497" s="91" t="s">
        <v>40</v>
      </c>
      <c r="C2497" s="41" t="s">
        <v>40</v>
      </c>
      <c r="D2497" s="801" t="s">
        <v>1980</v>
      </c>
      <c r="E2497" s="92"/>
      <c r="F2497" s="92">
        <v>700000</v>
      </c>
      <c r="G2497" s="92">
        <f t="shared" si="42"/>
        <v>700000</v>
      </c>
      <c r="H2497" s="93" t="s">
        <v>1991</v>
      </c>
    </row>
    <row r="2498" spans="1:8" x14ac:dyDescent="0.2">
      <c r="A2498" s="599">
        <v>42740</v>
      </c>
      <c r="B2498" s="91" t="s">
        <v>40</v>
      </c>
      <c r="C2498" s="41" t="s">
        <v>40</v>
      </c>
      <c r="D2498" s="801" t="s">
        <v>1980</v>
      </c>
      <c r="E2498" s="92"/>
      <c r="F2498" s="92">
        <v>700000</v>
      </c>
      <c r="G2498" s="92">
        <f t="shared" si="42"/>
        <v>700000</v>
      </c>
      <c r="H2498" s="93" t="s">
        <v>1991</v>
      </c>
    </row>
    <row r="2499" spans="1:8" x14ac:dyDescent="0.2">
      <c r="A2499" s="599">
        <v>42740</v>
      </c>
      <c r="B2499" s="91" t="s">
        <v>40</v>
      </c>
      <c r="C2499" s="41" t="s">
        <v>40</v>
      </c>
      <c r="D2499" s="801" t="s">
        <v>1980</v>
      </c>
      <c r="E2499" s="92"/>
      <c r="F2499" s="92">
        <v>700000</v>
      </c>
      <c r="G2499" s="92">
        <f t="shared" si="42"/>
        <v>700000</v>
      </c>
      <c r="H2499" s="93" t="s">
        <v>1991</v>
      </c>
    </row>
    <row r="2500" spans="1:8" ht="12.75" customHeight="1" x14ac:dyDescent="0.2">
      <c r="A2500" s="599">
        <v>42740</v>
      </c>
      <c r="B2500" s="91" t="s">
        <v>40</v>
      </c>
      <c r="C2500" s="41" t="s">
        <v>40</v>
      </c>
      <c r="D2500" s="801" t="s">
        <v>1981</v>
      </c>
      <c r="E2500" s="92"/>
      <c r="F2500" s="92">
        <v>270000</v>
      </c>
      <c r="G2500" s="92">
        <f t="shared" si="42"/>
        <v>270000</v>
      </c>
      <c r="H2500" s="93" t="s">
        <v>1991</v>
      </c>
    </row>
    <row r="2501" spans="1:8" x14ac:dyDescent="0.2">
      <c r="A2501" s="599">
        <v>42745</v>
      </c>
      <c r="B2501" s="91" t="s">
        <v>37</v>
      </c>
      <c r="C2501" s="41" t="s">
        <v>37</v>
      </c>
      <c r="D2501" s="801" t="s">
        <v>1990</v>
      </c>
      <c r="E2501" s="92"/>
      <c r="F2501" s="92">
        <v>157140</v>
      </c>
      <c r="G2501" s="92">
        <f t="shared" si="42"/>
        <v>157140</v>
      </c>
      <c r="H2501" s="93" t="s">
        <v>1991</v>
      </c>
    </row>
    <row r="2502" spans="1:8" x14ac:dyDescent="0.2">
      <c r="A2502" s="599">
        <v>42752</v>
      </c>
      <c r="B2502" s="91" t="s">
        <v>37</v>
      </c>
      <c r="C2502" s="41" t="s">
        <v>565</v>
      </c>
      <c r="D2502" s="801" t="s">
        <v>1999</v>
      </c>
      <c r="E2502" s="92"/>
      <c r="F2502" s="92">
        <v>157140</v>
      </c>
      <c r="G2502" s="92">
        <f t="shared" si="42"/>
        <v>157140</v>
      </c>
      <c r="H2502" s="93" t="s">
        <v>1991</v>
      </c>
    </row>
    <row r="2503" spans="1:8" ht="15" customHeight="1" x14ac:dyDescent="0.25">
      <c r="A2503" s="597">
        <v>42771</v>
      </c>
      <c r="B2503" s="2" t="s">
        <v>40</v>
      </c>
      <c r="C2503" s="2" t="s">
        <v>1230</v>
      </c>
      <c r="D2503" s="108" t="s">
        <v>1837</v>
      </c>
      <c r="E2503" s="96">
        <v>25000</v>
      </c>
      <c r="F2503" s="96"/>
      <c r="G2503" s="96">
        <f t="shared" si="42"/>
        <v>-25000</v>
      </c>
      <c r="H2503" s="114" t="s">
        <v>2074</v>
      </c>
    </row>
    <row r="2504" spans="1:8" ht="15" customHeight="1" x14ac:dyDescent="0.25">
      <c r="A2504" s="597">
        <v>42771</v>
      </c>
      <c r="B2504" s="2" t="s">
        <v>25</v>
      </c>
      <c r="C2504" s="2" t="s">
        <v>1230</v>
      </c>
      <c r="D2504" s="108" t="s">
        <v>1839</v>
      </c>
      <c r="E2504" s="96">
        <v>5000</v>
      </c>
      <c r="F2504" s="96"/>
      <c r="G2504" s="96">
        <f t="shared" si="42"/>
        <v>-5000</v>
      </c>
      <c r="H2504" s="114" t="s">
        <v>2074</v>
      </c>
    </row>
    <row r="2505" spans="1:8" ht="15" customHeight="1" x14ac:dyDescent="0.25">
      <c r="A2505" s="597">
        <v>42771</v>
      </c>
      <c r="B2505" s="2" t="s">
        <v>25</v>
      </c>
      <c r="C2505" s="2" t="s">
        <v>1230</v>
      </c>
      <c r="D2505" s="108" t="s">
        <v>1840</v>
      </c>
      <c r="E2505" s="96">
        <v>4000</v>
      </c>
      <c r="F2505" s="96"/>
      <c r="G2505" s="96">
        <f t="shared" ref="G2505:G2568" si="43">F2505-E2505</f>
        <v>-4000</v>
      </c>
      <c r="H2505" s="114" t="s">
        <v>2074</v>
      </c>
    </row>
    <row r="2506" spans="1:8" ht="15" customHeight="1" x14ac:dyDescent="0.25">
      <c r="A2506" s="597">
        <v>42771</v>
      </c>
      <c r="B2506" s="2" t="s">
        <v>25</v>
      </c>
      <c r="C2506" s="2" t="s">
        <v>1230</v>
      </c>
      <c r="D2506" s="108" t="s">
        <v>1547</v>
      </c>
      <c r="E2506" s="96">
        <v>9000</v>
      </c>
      <c r="F2506" s="96"/>
      <c r="G2506" s="96">
        <f t="shared" si="43"/>
        <v>-9000</v>
      </c>
      <c r="H2506" s="114" t="s">
        <v>2074</v>
      </c>
    </row>
    <row r="2507" spans="1:8" ht="15" customHeight="1" x14ac:dyDescent="0.25">
      <c r="A2507" s="597">
        <v>42771</v>
      </c>
      <c r="B2507" s="2" t="s">
        <v>16</v>
      </c>
      <c r="C2507" s="2" t="s">
        <v>1230</v>
      </c>
      <c r="D2507" s="108" t="s">
        <v>1842</v>
      </c>
      <c r="E2507" s="96">
        <v>20000</v>
      </c>
      <c r="F2507" s="96"/>
      <c r="G2507" s="96">
        <f t="shared" si="43"/>
        <v>-20000</v>
      </c>
      <c r="H2507" s="114" t="s">
        <v>2074</v>
      </c>
    </row>
    <row r="2508" spans="1:8" ht="15" customHeight="1" x14ac:dyDescent="0.25">
      <c r="A2508" s="597">
        <v>42771</v>
      </c>
      <c r="B2508" s="2" t="s">
        <v>16</v>
      </c>
      <c r="C2508" s="2" t="s">
        <v>1230</v>
      </c>
      <c r="D2508" s="108" t="s">
        <v>1843</v>
      </c>
      <c r="E2508" s="96">
        <v>18000</v>
      </c>
      <c r="F2508" s="96"/>
      <c r="G2508" s="96">
        <f t="shared" si="43"/>
        <v>-18000</v>
      </c>
      <c r="H2508" s="114" t="s">
        <v>2074</v>
      </c>
    </row>
    <row r="2509" spans="1:8" ht="15" customHeight="1" x14ac:dyDescent="0.25">
      <c r="A2509" s="597">
        <v>42771</v>
      </c>
      <c r="B2509" s="2" t="s">
        <v>16</v>
      </c>
      <c r="C2509" s="2" t="s">
        <v>1230</v>
      </c>
      <c r="D2509" s="108" t="s">
        <v>1844</v>
      </c>
      <c r="E2509" s="96">
        <v>22000</v>
      </c>
      <c r="F2509" s="96"/>
      <c r="G2509" s="96">
        <f t="shared" si="43"/>
        <v>-22000</v>
      </c>
      <c r="H2509" s="114" t="s">
        <v>2074</v>
      </c>
    </row>
    <row r="2510" spans="1:8" ht="15" customHeight="1" x14ac:dyDescent="0.25">
      <c r="A2510" s="597">
        <v>42771</v>
      </c>
      <c r="B2510" s="2" t="s">
        <v>40</v>
      </c>
      <c r="C2510" s="2" t="s">
        <v>1230</v>
      </c>
      <c r="D2510" s="108" t="s">
        <v>1552</v>
      </c>
      <c r="E2510" s="96">
        <v>4314.5161290322576</v>
      </c>
      <c r="F2510" s="96"/>
      <c r="G2510" s="96">
        <f t="shared" si="43"/>
        <v>-4314.5161290322576</v>
      </c>
      <c r="H2510" s="114" t="s">
        <v>2074</v>
      </c>
    </row>
    <row r="2511" spans="1:8" ht="15" customHeight="1" x14ac:dyDescent="0.25">
      <c r="A2511" s="597">
        <v>42771</v>
      </c>
      <c r="B2511" s="2" t="s">
        <v>1400</v>
      </c>
      <c r="C2511" s="2" t="s">
        <v>1230</v>
      </c>
      <c r="D2511" s="108" t="s">
        <v>1684</v>
      </c>
      <c r="E2511" s="96">
        <v>15000</v>
      </c>
      <c r="F2511" s="96"/>
      <c r="G2511" s="96">
        <f t="shared" si="43"/>
        <v>-15000</v>
      </c>
      <c r="H2511" s="114" t="s">
        <v>2074</v>
      </c>
    </row>
    <row r="2512" spans="1:8" ht="15" customHeight="1" x14ac:dyDescent="0.25">
      <c r="A2512" s="597">
        <v>42771</v>
      </c>
      <c r="B2512" s="2" t="s">
        <v>1400</v>
      </c>
      <c r="C2512" s="2" t="s">
        <v>1230</v>
      </c>
      <c r="D2512" s="108" t="s">
        <v>1550</v>
      </c>
      <c r="E2512" s="96">
        <v>16584.677419354837</v>
      </c>
      <c r="F2512" s="96"/>
      <c r="G2512" s="96">
        <f t="shared" si="43"/>
        <v>-16584.677419354837</v>
      </c>
      <c r="H2512" s="114" t="s">
        <v>2074</v>
      </c>
    </row>
    <row r="2513" spans="1:8" ht="15" customHeight="1" x14ac:dyDescent="0.25">
      <c r="A2513" s="597">
        <v>42771</v>
      </c>
      <c r="B2513" s="2" t="s">
        <v>1400</v>
      </c>
      <c r="C2513" s="2" t="s">
        <v>1230</v>
      </c>
      <c r="D2513" s="108" t="s">
        <v>1998</v>
      </c>
      <c r="E2513" s="96">
        <v>9751.6129032258068</v>
      </c>
      <c r="F2513" s="96"/>
      <c r="G2513" s="96">
        <f t="shared" si="43"/>
        <v>-9751.6129032258068</v>
      </c>
      <c r="H2513" s="114" t="s">
        <v>2074</v>
      </c>
    </row>
    <row r="2514" spans="1:8" ht="15" customHeight="1" x14ac:dyDescent="0.25">
      <c r="A2514" s="597">
        <v>42771</v>
      </c>
      <c r="B2514" s="2" t="s">
        <v>1400</v>
      </c>
      <c r="C2514" s="2" t="s">
        <v>1230</v>
      </c>
      <c r="D2514" s="108" t="s">
        <v>2084</v>
      </c>
      <c r="E2514" s="96">
        <v>10445.161290322581</v>
      </c>
      <c r="F2514" s="96"/>
      <c r="G2514" s="96">
        <f t="shared" si="43"/>
        <v>-10445.161290322581</v>
      </c>
      <c r="H2514" s="114" t="s">
        <v>2074</v>
      </c>
    </row>
    <row r="2515" spans="1:8" ht="15" customHeight="1" x14ac:dyDescent="0.25">
      <c r="A2515" s="597">
        <v>42771</v>
      </c>
      <c r="B2515" s="2" t="s">
        <v>1400</v>
      </c>
      <c r="C2515" s="2" t="s">
        <v>1230</v>
      </c>
      <c r="D2515" s="108" t="s">
        <v>1858</v>
      </c>
      <c r="E2515" s="96">
        <v>31127.016129032258</v>
      </c>
      <c r="F2515" s="96"/>
      <c r="G2515" s="96">
        <f t="shared" si="43"/>
        <v>-31127.016129032258</v>
      </c>
      <c r="H2515" s="114" t="s">
        <v>2074</v>
      </c>
    </row>
    <row r="2516" spans="1:8" ht="15" customHeight="1" x14ac:dyDescent="0.25">
      <c r="A2516" s="597">
        <v>42771</v>
      </c>
      <c r="B2516" s="2" t="s">
        <v>40</v>
      </c>
      <c r="C2516" s="2" t="s">
        <v>1230</v>
      </c>
      <c r="D2516" s="108" t="s">
        <v>1846</v>
      </c>
      <c r="E2516" s="96">
        <v>40000</v>
      </c>
      <c r="F2516" s="96"/>
      <c r="G2516" s="96">
        <f t="shared" si="43"/>
        <v>-40000</v>
      </c>
      <c r="H2516" s="114" t="s">
        <v>2074</v>
      </c>
    </row>
    <row r="2517" spans="1:8" ht="15" customHeight="1" x14ac:dyDescent="0.25">
      <c r="A2517" s="597">
        <v>42771</v>
      </c>
      <c r="B2517" s="2" t="s">
        <v>40</v>
      </c>
      <c r="C2517" s="2" t="s">
        <v>1230</v>
      </c>
      <c r="D2517" s="108" t="s">
        <v>1847</v>
      </c>
      <c r="E2517" s="96">
        <v>18108.870967741936</v>
      </c>
      <c r="F2517" s="96"/>
      <c r="G2517" s="96">
        <f t="shared" si="43"/>
        <v>-18108.870967741936</v>
      </c>
      <c r="H2517" s="114" t="s">
        <v>2074</v>
      </c>
    </row>
    <row r="2518" spans="1:8" ht="15" customHeight="1" x14ac:dyDescent="0.25">
      <c r="A2518" s="597">
        <v>42771</v>
      </c>
      <c r="B2518" s="2" t="s">
        <v>40</v>
      </c>
      <c r="C2518" s="2" t="s">
        <v>1230</v>
      </c>
      <c r="D2518" s="108" t="s">
        <v>1848</v>
      </c>
      <c r="E2518" s="96">
        <v>13024.193548387097</v>
      </c>
      <c r="F2518" s="96"/>
      <c r="G2518" s="96">
        <f t="shared" si="43"/>
        <v>-13024.193548387097</v>
      </c>
      <c r="H2518" s="114" t="s">
        <v>2074</v>
      </c>
    </row>
    <row r="2519" spans="1:8" ht="15" customHeight="1" x14ac:dyDescent="0.25">
      <c r="A2519" s="597">
        <v>42771</v>
      </c>
      <c r="B2519" s="2" t="s">
        <v>40</v>
      </c>
      <c r="C2519" s="2" t="s">
        <v>1230</v>
      </c>
      <c r="D2519" s="108" t="s">
        <v>1849</v>
      </c>
      <c r="E2519" s="96">
        <v>13087.701612903225</v>
      </c>
      <c r="F2519" s="96"/>
      <c r="G2519" s="96">
        <f t="shared" si="43"/>
        <v>-13087.701612903225</v>
      </c>
      <c r="H2519" s="114" t="s">
        <v>2074</v>
      </c>
    </row>
    <row r="2520" spans="1:8" ht="15" customHeight="1" x14ac:dyDescent="0.25">
      <c r="A2520" s="597">
        <v>42771</v>
      </c>
      <c r="B2520" s="2" t="s">
        <v>40</v>
      </c>
      <c r="C2520" s="2" t="s">
        <v>1230</v>
      </c>
      <c r="D2520" s="108" t="s">
        <v>1853</v>
      </c>
      <c r="E2520" s="96">
        <v>19161.290322580644</v>
      </c>
      <c r="F2520" s="96"/>
      <c r="G2520" s="96">
        <f t="shared" si="43"/>
        <v>-19161.290322580644</v>
      </c>
      <c r="H2520" s="114" t="s">
        <v>2074</v>
      </c>
    </row>
    <row r="2521" spans="1:8" ht="15" customHeight="1" x14ac:dyDescent="0.25">
      <c r="A2521" s="597">
        <v>42771</v>
      </c>
      <c r="B2521" s="2" t="s">
        <v>40</v>
      </c>
      <c r="C2521" s="2" t="s">
        <v>1230</v>
      </c>
      <c r="D2521" s="108" t="s">
        <v>1855</v>
      </c>
      <c r="E2521" s="96">
        <v>21145.16129032258</v>
      </c>
      <c r="F2521" s="96"/>
      <c r="G2521" s="96">
        <f t="shared" si="43"/>
        <v>-21145.16129032258</v>
      </c>
      <c r="H2521" s="114" t="s">
        <v>2074</v>
      </c>
    </row>
    <row r="2522" spans="1:8" ht="15" customHeight="1" x14ac:dyDescent="0.25">
      <c r="A2522" s="597">
        <v>42771</v>
      </c>
      <c r="B2522" s="2" t="s">
        <v>40</v>
      </c>
      <c r="C2522" s="2" t="s">
        <v>1230</v>
      </c>
      <c r="D2522" s="108" t="s">
        <v>1856</v>
      </c>
      <c r="E2522" s="96">
        <v>11991.935483870968</v>
      </c>
      <c r="F2522" s="96"/>
      <c r="G2522" s="96">
        <f t="shared" si="43"/>
        <v>-11991.935483870968</v>
      </c>
      <c r="H2522" s="114" t="s">
        <v>2074</v>
      </c>
    </row>
    <row r="2523" spans="1:8" ht="15" customHeight="1" x14ac:dyDescent="0.25">
      <c r="A2523" s="597">
        <v>42771</v>
      </c>
      <c r="B2523" s="2" t="s">
        <v>40</v>
      </c>
      <c r="C2523" s="2" t="s">
        <v>1230</v>
      </c>
      <c r="D2523" s="108" t="s">
        <v>1862</v>
      </c>
      <c r="E2523" s="96">
        <v>19159.274193548386</v>
      </c>
      <c r="F2523" s="96"/>
      <c r="G2523" s="96">
        <f t="shared" si="43"/>
        <v>-19159.274193548386</v>
      </c>
      <c r="H2523" s="114" t="s">
        <v>2074</v>
      </c>
    </row>
    <row r="2524" spans="1:8" ht="15" customHeight="1" x14ac:dyDescent="0.25">
      <c r="A2524" s="597">
        <v>42771</v>
      </c>
      <c r="B2524" s="2" t="s">
        <v>40</v>
      </c>
      <c r="C2524" s="2" t="s">
        <v>1230</v>
      </c>
      <c r="D2524" s="108" t="s">
        <v>1866</v>
      </c>
      <c r="E2524" s="96">
        <v>17987.903225806451</v>
      </c>
      <c r="F2524" s="96"/>
      <c r="G2524" s="96">
        <f t="shared" si="43"/>
        <v>-17987.903225806451</v>
      </c>
      <c r="H2524" s="114" t="s">
        <v>2074</v>
      </c>
    </row>
    <row r="2525" spans="1:8" ht="15" customHeight="1" x14ac:dyDescent="0.25">
      <c r="A2525" s="597">
        <v>42771</v>
      </c>
      <c r="B2525" s="2" t="s">
        <v>40</v>
      </c>
      <c r="C2525" s="2" t="s">
        <v>1230</v>
      </c>
      <c r="D2525" s="108" t="s">
        <v>1873</v>
      </c>
      <c r="E2525" s="96">
        <v>11270.161290322581</v>
      </c>
      <c r="F2525" s="96"/>
      <c r="G2525" s="96">
        <f t="shared" si="43"/>
        <v>-11270.161290322581</v>
      </c>
      <c r="H2525" s="114" t="s">
        <v>2074</v>
      </c>
    </row>
    <row r="2526" spans="1:8" ht="15" customHeight="1" x14ac:dyDescent="0.25">
      <c r="A2526" s="597">
        <v>42771</v>
      </c>
      <c r="B2526" s="2" t="s">
        <v>1493</v>
      </c>
      <c r="C2526" s="2" t="s">
        <v>1230</v>
      </c>
      <c r="D2526" s="108" t="s">
        <v>1851</v>
      </c>
      <c r="E2526" s="96">
        <v>8274.1935483870966</v>
      </c>
      <c r="F2526" s="96"/>
      <c r="G2526" s="96">
        <f t="shared" si="43"/>
        <v>-8274.1935483870966</v>
      </c>
      <c r="H2526" s="114" t="s">
        <v>2074</v>
      </c>
    </row>
    <row r="2527" spans="1:8" ht="15" customHeight="1" x14ac:dyDescent="0.25">
      <c r="A2527" s="597">
        <v>42771</v>
      </c>
      <c r="B2527" s="2" t="s">
        <v>1493</v>
      </c>
      <c r="C2527" s="2" t="s">
        <v>1230</v>
      </c>
      <c r="D2527" s="108" t="s">
        <v>1863</v>
      </c>
      <c r="E2527" s="96">
        <v>17897.177419354837</v>
      </c>
      <c r="F2527" s="96"/>
      <c r="G2527" s="96">
        <f t="shared" si="43"/>
        <v>-17897.177419354837</v>
      </c>
      <c r="H2527" s="114" t="s">
        <v>2074</v>
      </c>
    </row>
    <row r="2528" spans="1:8" ht="15" customHeight="1" x14ac:dyDescent="0.25">
      <c r="A2528" s="597">
        <v>42771</v>
      </c>
      <c r="B2528" s="2" t="s">
        <v>37</v>
      </c>
      <c r="C2528" s="2" t="s">
        <v>1230</v>
      </c>
      <c r="D2528" s="108" t="s">
        <v>1857</v>
      </c>
      <c r="E2528" s="96">
        <v>9852.822580645161</v>
      </c>
      <c r="F2528" s="96"/>
      <c r="G2528" s="96">
        <f t="shared" si="43"/>
        <v>-9852.822580645161</v>
      </c>
      <c r="H2528" s="114" t="s">
        <v>2074</v>
      </c>
    </row>
    <row r="2529" spans="1:8" ht="15" customHeight="1" x14ac:dyDescent="0.25">
      <c r="A2529" s="597">
        <v>42771</v>
      </c>
      <c r="B2529" s="2" t="s">
        <v>37</v>
      </c>
      <c r="C2529" s="2" t="s">
        <v>1230</v>
      </c>
      <c r="D2529" s="108" t="s">
        <v>1867</v>
      </c>
      <c r="E2529" s="96">
        <v>12419.354838709678</v>
      </c>
      <c r="F2529" s="96"/>
      <c r="G2529" s="96">
        <f t="shared" si="43"/>
        <v>-12419.354838709678</v>
      </c>
      <c r="H2529" s="114" t="s">
        <v>2074</v>
      </c>
    </row>
    <row r="2530" spans="1:8" ht="15" customHeight="1" x14ac:dyDescent="0.25">
      <c r="A2530" s="597">
        <v>42771</v>
      </c>
      <c r="B2530" s="2" t="s">
        <v>37</v>
      </c>
      <c r="C2530" s="2" t="s">
        <v>1230</v>
      </c>
      <c r="D2530" s="108" t="s">
        <v>1868</v>
      </c>
      <c r="E2530" s="96">
        <v>14391.129032258064</v>
      </c>
      <c r="F2530" s="96"/>
      <c r="G2530" s="96">
        <f t="shared" si="43"/>
        <v>-14391.129032258064</v>
      </c>
      <c r="H2530" s="114" t="s">
        <v>2074</v>
      </c>
    </row>
    <row r="2531" spans="1:8" ht="15" customHeight="1" x14ac:dyDescent="0.25">
      <c r="A2531" s="597">
        <v>42771</v>
      </c>
      <c r="B2531" s="2" t="s">
        <v>37</v>
      </c>
      <c r="C2531" s="2" t="s">
        <v>1230</v>
      </c>
      <c r="D2531" s="108" t="s">
        <v>1869</v>
      </c>
      <c r="E2531" s="96">
        <v>11141.129032258064</v>
      </c>
      <c r="F2531" s="96"/>
      <c r="G2531" s="96">
        <f t="shared" si="43"/>
        <v>-11141.129032258064</v>
      </c>
      <c r="H2531" s="114" t="s">
        <v>2074</v>
      </c>
    </row>
    <row r="2532" spans="1:8" ht="15" customHeight="1" x14ac:dyDescent="0.25">
      <c r="A2532" s="597">
        <v>42771</v>
      </c>
      <c r="B2532" s="2" t="s">
        <v>37</v>
      </c>
      <c r="C2532" s="2" t="s">
        <v>1230</v>
      </c>
      <c r="D2532" s="108" t="s">
        <v>1575</v>
      </c>
      <c r="E2532" s="96">
        <v>10907.258064516129</v>
      </c>
      <c r="F2532" s="96"/>
      <c r="G2532" s="96">
        <f t="shared" si="43"/>
        <v>-10907.258064516129</v>
      </c>
      <c r="H2532" s="114" t="s">
        <v>2074</v>
      </c>
    </row>
    <row r="2533" spans="1:8" ht="15" customHeight="1" x14ac:dyDescent="0.25">
      <c r="A2533" s="597">
        <v>42771</v>
      </c>
      <c r="B2533" s="2" t="s">
        <v>1493</v>
      </c>
      <c r="C2533" s="2" t="s">
        <v>1230</v>
      </c>
      <c r="D2533" s="108" t="s">
        <v>1864</v>
      </c>
      <c r="E2533" s="96">
        <v>21423.387096774193</v>
      </c>
      <c r="F2533" s="96"/>
      <c r="G2533" s="96">
        <f t="shared" si="43"/>
        <v>-21423.387096774193</v>
      </c>
      <c r="H2533" s="114" t="s">
        <v>2074</v>
      </c>
    </row>
    <row r="2534" spans="1:8" ht="15" customHeight="1" x14ac:dyDescent="0.25">
      <c r="A2534" s="597">
        <v>42771</v>
      </c>
      <c r="B2534" s="2" t="s">
        <v>1493</v>
      </c>
      <c r="C2534" s="2" t="s">
        <v>1230</v>
      </c>
      <c r="D2534" s="108" t="s">
        <v>1865</v>
      </c>
      <c r="E2534" s="96">
        <v>9040.322580645161</v>
      </c>
      <c r="F2534" s="96"/>
      <c r="G2534" s="96">
        <f t="shared" si="43"/>
        <v>-9040.322580645161</v>
      </c>
      <c r="H2534" s="114" t="s">
        <v>2074</v>
      </c>
    </row>
    <row r="2535" spans="1:8" ht="15" customHeight="1" x14ac:dyDescent="0.25">
      <c r="A2535" s="597">
        <v>42771</v>
      </c>
      <c r="B2535" s="2" t="s">
        <v>11</v>
      </c>
      <c r="C2535" s="2" t="s">
        <v>1230</v>
      </c>
      <c r="D2535" s="108" t="s">
        <v>1870</v>
      </c>
      <c r="E2535" s="96">
        <v>5000</v>
      </c>
      <c r="F2535" s="96"/>
      <c r="G2535" s="96">
        <f t="shared" si="43"/>
        <v>-5000</v>
      </c>
      <c r="H2535" s="114" t="s">
        <v>2074</v>
      </c>
    </row>
    <row r="2536" spans="1:8" ht="15" customHeight="1" x14ac:dyDescent="0.25">
      <c r="A2536" s="597">
        <v>42771</v>
      </c>
      <c r="B2536" s="2" t="s">
        <v>16</v>
      </c>
      <c r="C2536" s="2" t="s">
        <v>1167</v>
      </c>
      <c r="D2536" s="108" t="s">
        <v>1549</v>
      </c>
      <c r="E2536" s="96">
        <v>5000</v>
      </c>
      <c r="F2536" s="96"/>
      <c r="G2536" s="96">
        <f t="shared" si="43"/>
        <v>-5000</v>
      </c>
      <c r="H2536" s="114" t="s">
        <v>2074</v>
      </c>
    </row>
    <row r="2537" spans="1:8" ht="15" customHeight="1" x14ac:dyDescent="0.25">
      <c r="A2537" s="597">
        <v>42771</v>
      </c>
      <c r="B2537" s="2" t="s">
        <v>1400</v>
      </c>
      <c r="C2537" s="2" t="s">
        <v>1167</v>
      </c>
      <c r="D2537" s="108" t="s">
        <v>2083</v>
      </c>
      <c r="E2537" s="96">
        <v>5000</v>
      </c>
      <c r="F2537" s="96"/>
      <c r="G2537" s="96">
        <f t="shared" si="43"/>
        <v>-5000</v>
      </c>
      <c r="H2537" s="114" t="s">
        <v>2074</v>
      </c>
    </row>
    <row r="2538" spans="1:8" ht="15" customHeight="1" x14ac:dyDescent="0.25">
      <c r="A2538" s="597">
        <v>42771</v>
      </c>
      <c r="B2538" s="2" t="s">
        <v>1400</v>
      </c>
      <c r="C2538" s="2" t="s">
        <v>1167</v>
      </c>
      <c r="D2538" s="108" t="s">
        <v>754</v>
      </c>
      <c r="E2538" s="96">
        <v>1700</v>
      </c>
      <c r="F2538" s="96"/>
      <c r="G2538" s="96">
        <f t="shared" si="43"/>
        <v>-1700</v>
      </c>
      <c r="H2538" s="114" t="s">
        <v>2074</v>
      </c>
    </row>
    <row r="2539" spans="1:8" ht="15" customHeight="1" x14ac:dyDescent="0.25">
      <c r="A2539" s="597">
        <v>42771</v>
      </c>
      <c r="B2539" s="2" t="s">
        <v>1400</v>
      </c>
      <c r="C2539" s="2" t="s">
        <v>1167</v>
      </c>
      <c r="D2539" s="108" t="s">
        <v>1060</v>
      </c>
      <c r="E2539" s="96">
        <v>2000</v>
      </c>
      <c r="F2539" s="96"/>
      <c r="G2539" s="96">
        <f t="shared" si="43"/>
        <v>-2000</v>
      </c>
      <c r="H2539" s="114" t="s">
        <v>2074</v>
      </c>
    </row>
    <row r="2540" spans="1:8" ht="15" customHeight="1" x14ac:dyDescent="0.25">
      <c r="A2540" s="597">
        <v>42771</v>
      </c>
      <c r="B2540" s="2" t="s">
        <v>40</v>
      </c>
      <c r="C2540" s="2" t="s">
        <v>1167</v>
      </c>
      <c r="D2540" s="108" t="s">
        <v>2136</v>
      </c>
      <c r="E2540" s="96">
        <v>1500</v>
      </c>
      <c r="F2540" s="96"/>
      <c r="G2540" s="96">
        <f t="shared" si="43"/>
        <v>-1500</v>
      </c>
      <c r="H2540" s="114" t="s">
        <v>2074</v>
      </c>
    </row>
    <row r="2541" spans="1:8" ht="15" customHeight="1" x14ac:dyDescent="0.25">
      <c r="A2541" s="597">
        <v>42771</v>
      </c>
      <c r="B2541" s="2" t="s">
        <v>2094</v>
      </c>
      <c r="C2541" s="2" t="s">
        <v>1167</v>
      </c>
      <c r="D2541" s="108" t="s">
        <v>149</v>
      </c>
      <c r="E2541" s="96">
        <v>2000</v>
      </c>
      <c r="F2541" s="96"/>
      <c r="G2541" s="96">
        <f t="shared" si="43"/>
        <v>-2000</v>
      </c>
      <c r="H2541" s="114" t="s">
        <v>2074</v>
      </c>
    </row>
    <row r="2542" spans="1:8" ht="15" customHeight="1" x14ac:dyDescent="0.25">
      <c r="A2542" s="597">
        <v>42771</v>
      </c>
      <c r="B2542" s="2" t="s">
        <v>2094</v>
      </c>
      <c r="C2542" s="2" t="s">
        <v>1167</v>
      </c>
      <c r="D2542" s="108" t="s">
        <v>454</v>
      </c>
      <c r="E2542" s="96">
        <v>1000</v>
      </c>
      <c r="F2542" s="96"/>
      <c r="G2542" s="96">
        <f t="shared" si="43"/>
        <v>-1000</v>
      </c>
      <c r="H2542" s="114" t="s">
        <v>2074</v>
      </c>
    </row>
    <row r="2543" spans="1:8" ht="15" customHeight="1" x14ac:dyDescent="0.25">
      <c r="A2543" s="597">
        <v>42767</v>
      </c>
      <c r="B2543" s="2" t="s">
        <v>1691</v>
      </c>
      <c r="C2543" s="2" t="s">
        <v>1689</v>
      </c>
      <c r="D2543" s="108" t="s">
        <v>2105</v>
      </c>
      <c r="E2543" s="96">
        <v>5411</v>
      </c>
      <c r="F2543" s="96"/>
      <c r="G2543" s="96">
        <f t="shared" si="43"/>
        <v>-5411</v>
      </c>
      <c r="H2543" s="114" t="s">
        <v>2074</v>
      </c>
    </row>
    <row r="2544" spans="1:8" ht="15" customHeight="1" x14ac:dyDescent="0.25">
      <c r="A2544" s="597">
        <v>42767</v>
      </c>
      <c r="B2544" s="2" t="s">
        <v>25</v>
      </c>
      <c r="C2544" s="2" t="s">
        <v>220</v>
      </c>
      <c r="D2544" s="108" t="s">
        <v>703</v>
      </c>
      <c r="E2544" s="96">
        <v>150</v>
      </c>
      <c r="F2544" s="96"/>
      <c r="G2544" s="96">
        <f t="shared" si="43"/>
        <v>-150</v>
      </c>
      <c r="H2544" s="114" t="s">
        <v>2074</v>
      </c>
    </row>
    <row r="2545" spans="1:8" ht="15" customHeight="1" x14ac:dyDescent="0.25">
      <c r="A2545" s="597">
        <v>42767</v>
      </c>
      <c r="B2545" s="2" t="s">
        <v>2094</v>
      </c>
      <c r="C2545" s="2" t="s">
        <v>1704</v>
      </c>
      <c r="D2545" s="108" t="s">
        <v>2106</v>
      </c>
      <c r="E2545" s="96">
        <v>3000</v>
      </c>
      <c r="F2545" s="96"/>
      <c r="G2545" s="96">
        <f t="shared" si="43"/>
        <v>-3000</v>
      </c>
      <c r="H2545" s="114" t="s">
        <v>2074</v>
      </c>
    </row>
    <row r="2546" spans="1:8" ht="15" customHeight="1" x14ac:dyDescent="0.25">
      <c r="A2546" s="597">
        <v>42767</v>
      </c>
      <c r="B2546" s="2" t="s">
        <v>40</v>
      </c>
      <c r="C2546" s="2" t="s">
        <v>258</v>
      </c>
      <c r="D2546" s="108" t="s">
        <v>2107</v>
      </c>
      <c r="E2546" s="96">
        <v>2400</v>
      </c>
      <c r="F2546" s="96"/>
      <c r="G2546" s="96">
        <f t="shared" si="43"/>
        <v>-2400</v>
      </c>
      <c r="H2546" s="114" t="s">
        <v>2074</v>
      </c>
    </row>
    <row r="2547" spans="1:8" ht="48" x14ac:dyDescent="0.2">
      <c r="A2547" s="597">
        <v>42767</v>
      </c>
      <c r="B2547" s="119" t="s">
        <v>16</v>
      </c>
      <c r="C2547" s="41" t="s">
        <v>16</v>
      </c>
      <c r="D2547" s="129" t="s">
        <v>2111</v>
      </c>
      <c r="E2547" s="120">
        <v>8722</v>
      </c>
      <c r="F2547" s="120"/>
      <c r="G2547" s="120">
        <f t="shared" si="43"/>
        <v>-8722</v>
      </c>
      <c r="H2547" s="121" t="s">
        <v>2074</v>
      </c>
    </row>
    <row r="2548" spans="1:8" ht="15" customHeight="1" x14ac:dyDescent="0.25">
      <c r="A2548" s="597">
        <v>42767</v>
      </c>
      <c r="B2548" s="2" t="s">
        <v>1691</v>
      </c>
      <c r="C2548" s="2" t="s">
        <v>1762</v>
      </c>
      <c r="D2548" s="108" t="s">
        <v>2109</v>
      </c>
      <c r="E2548" s="96">
        <v>22000</v>
      </c>
      <c r="F2548" s="96"/>
      <c r="G2548" s="96">
        <f t="shared" si="43"/>
        <v>-22000</v>
      </c>
      <c r="H2548" s="121" t="s">
        <v>2074</v>
      </c>
    </row>
    <row r="2549" spans="1:8" ht="15" customHeight="1" x14ac:dyDescent="0.25">
      <c r="A2549" s="597">
        <v>42767</v>
      </c>
      <c r="B2549" s="2" t="s">
        <v>16</v>
      </c>
      <c r="C2549" s="2" t="s">
        <v>258</v>
      </c>
      <c r="D2549" s="108" t="s">
        <v>2112</v>
      </c>
      <c r="E2549" s="96">
        <v>2400</v>
      </c>
      <c r="F2549" s="96"/>
      <c r="G2549" s="96">
        <f t="shared" si="43"/>
        <v>-2400</v>
      </c>
      <c r="H2549" s="121" t="s">
        <v>2074</v>
      </c>
    </row>
    <row r="2550" spans="1:8" ht="15" customHeight="1" x14ac:dyDescent="0.25">
      <c r="A2550" s="597">
        <v>42767</v>
      </c>
      <c r="B2550" s="2" t="s">
        <v>16</v>
      </c>
      <c r="C2550" s="2" t="s">
        <v>794</v>
      </c>
      <c r="D2550" s="108" t="s">
        <v>2113</v>
      </c>
      <c r="E2550" s="96">
        <v>10000</v>
      </c>
      <c r="F2550" s="96"/>
      <c r="G2550" s="96">
        <f t="shared" si="43"/>
        <v>-10000</v>
      </c>
      <c r="H2550" s="121" t="s">
        <v>2074</v>
      </c>
    </row>
    <row r="2551" spans="1:8" ht="15" customHeight="1" x14ac:dyDescent="0.25">
      <c r="A2551" s="597">
        <v>42768</v>
      </c>
      <c r="B2551" s="2" t="s">
        <v>40</v>
      </c>
      <c r="C2551" s="2" t="s">
        <v>1894</v>
      </c>
      <c r="D2551" s="108" t="s">
        <v>286</v>
      </c>
      <c r="E2551" s="96">
        <v>2000</v>
      </c>
      <c r="F2551" s="96"/>
      <c r="G2551" s="96">
        <f t="shared" si="43"/>
        <v>-2000</v>
      </c>
      <c r="H2551" s="121" t="s">
        <v>2074</v>
      </c>
    </row>
    <row r="2552" spans="1:8" ht="15" customHeight="1" x14ac:dyDescent="0.25">
      <c r="A2552" s="597">
        <v>42768</v>
      </c>
      <c r="B2552" s="2" t="s">
        <v>37</v>
      </c>
      <c r="C2552" s="2" t="s">
        <v>194</v>
      </c>
      <c r="D2552" s="108" t="s">
        <v>2114</v>
      </c>
      <c r="E2552" s="96">
        <v>2405</v>
      </c>
      <c r="F2552" s="96"/>
      <c r="G2552" s="96">
        <f t="shared" si="43"/>
        <v>-2405</v>
      </c>
      <c r="H2552" s="121" t="s">
        <v>2074</v>
      </c>
    </row>
    <row r="2553" spans="1:8" ht="15" customHeight="1" x14ac:dyDescent="0.25">
      <c r="A2553" s="597">
        <v>42769</v>
      </c>
      <c r="B2553" s="2" t="s">
        <v>82</v>
      </c>
      <c r="C2553" s="2" t="s">
        <v>325</v>
      </c>
      <c r="D2553" s="108" t="s">
        <v>2115</v>
      </c>
      <c r="E2553" s="96">
        <v>850</v>
      </c>
      <c r="F2553" s="96"/>
      <c r="G2553" s="96">
        <f t="shared" si="43"/>
        <v>-850</v>
      </c>
      <c r="H2553" s="121" t="s">
        <v>2074</v>
      </c>
    </row>
    <row r="2554" spans="1:8" ht="15" customHeight="1" x14ac:dyDescent="0.25">
      <c r="A2554" s="597">
        <v>42770</v>
      </c>
      <c r="B2554" s="2" t="s">
        <v>1691</v>
      </c>
      <c r="C2554" s="2" t="s">
        <v>1762</v>
      </c>
      <c r="D2554" s="108" t="s">
        <v>370</v>
      </c>
      <c r="E2554" s="96">
        <v>5000</v>
      </c>
      <c r="F2554" s="96"/>
      <c r="G2554" s="96">
        <f t="shared" si="43"/>
        <v>-5000</v>
      </c>
      <c r="H2554" s="121" t="s">
        <v>2074</v>
      </c>
    </row>
    <row r="2555" spans="1:8" ht="15" customHeight="1" x14ac:dyDescent="0.25">
      <c r="A2555" s="597">
        <v>42770</v>
      </c>
      <c r="B2555" s="2" t="s">
        <v>25</v>
      </c>
      <c r="C2555" s="2" t="s">
        <v>2060</v>
      </c>
      <c r="D2555" s="108" t="s">
        <v>2116</v>
      </c>
      <c r="E2555" s="96">
        <v>2400</v>
      </c>
      <c r="F2555" s="96"/>
      <c r="G2555" s="96">
        <f t="shared" si="43"/>
        <v>-2400</v>
      </c>
      <c r="H2555" s="121" t="s">
        <v>2074</v>
      </c>
    </row>
    <row r="2556" spans="1:8" ht="15" customHeight="1" x14ac:dyDescent="0.25">
      <c r="A2556" s="597">
        <v>42770</v>
      </c>
      <c r="B2556" s="2" t="s">
        <v>1691</v>
      </c>
      <c r="C2556" s="2" t="s">
        <v>668</v>
      </c>
      <c r="D2556" s="108" t="s">
        <v>2117</v>
      </c>
      <c r="E2556" s="96">
        <v>180</v>
      </c>
      <c r="F2556" s="96"/>
      <c r="G2556" s="96">
        <f t="shared" si="43"/>
        <v>-180</v>
      </c>
      <c r="H2556" s="121" t="s">
        <v>2074</v>
      </c>
    </row>
    <row r="2557" spans="1:8" ht="15" customHeight="1" x14ac:dyDescent="0.25">
      <c r="A2557" s="597">
        <v>42772</v>
      </c>
      <c r="B2557" s="2" t="s">
        <v>40</v>
      </c>
      <c r="C2557" s="2" t="s">
        <v>929</v>
      </c>
      <c r="D2557" s="108" t="s">
        <v>370</v>
      </c>
      <c r="E2557" s="96">
        <v>5000</v>
      </c>
      <c r="F2557" s="96"/>
      <c r="G2557" s="96">
        <f t="shared" si="43"/>
        <v>-5000</v>
      </c>
      <c r="H2557" s="121" t="s">
        <v>2074</v>
      </c>
    </row>
    <row r="2558" spans="1:8" ht="15" customHeight="1" x14ac:dyDescent="0.25">
      <c r="A2558" s="597">
        <v>42772</v>
      </c>
      <c r="B2558" s="2" t="s">
        <v>82</v>
      </c>
      <c r="C2558" s="2" t="s">
        <v>205</v>
      </c>
      <c r="D2558" s="108" t="s">
        <v>2119</v>
      </c>
      <c r="E2558" s="96">
        <v>2000</v>
      </c>
      <c r="F2558" s="96"/>
      <c r="G2558" s="96">
        <f t="shared" si="43"/>
        <v>-2000</v>
      </c>
      <c r="H2558" s="121" t="s">
        <v>2074</v>
      </c>
    </row>
    <row r="2559" spans="1:8" ht="15" customHeight="1" x14ac:dyDescent="0.25">
      <c r="A2559" s="597">
        <v>42773</v>
      </c>
      <c r="B2559" s="2" t="s">
        <v>40</v>
      </c>
      <c r="C2559" s="2" t="s">
        <v>1066</v>
      </c>
      <c r="D2559" s="108" t="s">
        <v>2120</v>
      </c>
      <c r="E2559" s="96">
        <v>414</v>
      </c>
      <c r="F2559" s="96"/>
      <c r="G2559" s="96">
        <f t="shared" si="43"/>
        <v>-414</v>
      </c>
      <c r="H2559" s="121" t="s">
        <v>2074</v>
      </c>
    </row>
    <row r="2560" spans="1:8" ht="15" customHeight="1" x14ac:dyDescent="0.25">
      <c r="A2560" s="597">
        <v>42773</v>
      </c>
      <c r="B2560" s="2" t="s">
        <v>1400</v>
      </c>
      <c r="C2560" s="2" t="s">
        <v>64</v>
      </c>
      <c r="D2560" s="108" t="s">
        <v>2121</v>
      </c>
      <c r="E2560" s="96">
        <v>200</v>
      </c>
      <c r="F2560" s="96"/>
      <c r="G2560" s="96">
        <f t="shared" si="43"/>
        <v>-200</v>
      </c>
      <c r="H2560" s="121" t="s">
        <v>2074</v>
      </c>
    </row>
    <row r="2561" spans="1:8" ht="15" customHeight="1" x14ac:dyDescent="0.25">
      <c r="A2561" s="597">
        <v>42773</v>
      </c>
      <c r="B2561" s="2" t="s">
        <v>40</v>
      </c>
      <c r="C2561" s="2" t="s">
        <v>325</v>
      </c>
      <c r="D2561" s="108" t="s">
        <v>2122</v>
      </c>
      <c r="E2561" s="96">
        <v>470</v>
      </c>
      <c r="F2561" s="96"/>
      <c r="G2561" s="96">
        <f t="shared" si="43"/>
        <v>-470</v>
      </c>
      <c r="H2561" s="121" t="s">
        <v>2074</v>
      </c>
    </row>
    <row r="2562" spans="1:8" ht="15" customHeight="1" x14ac:dyDescent="0.25">
      <c r="A2562" s="597">
        <v>42774</v>
      </c>
      <c r="B2562" s="2" t="s">
        <v>1400</v>
      </c>
      <c r="C2562" s="2" t="s">
        <v>64</v>
      </c>
      <c r="D2562" s="108" t="s">
        <v>1756</v>
      </c>
      <c r="E2562" s="96">
        <v>100</v>
      </c>
      <c r="F2562" s="96"/>
      <c r="G2562" s="96">
        <f t="shared" si="43"/>
        <v>-100</v>
      </c>
      <c r="H2562" s="121" t="s">
        <v>2074</v>
      </c>
    </row>
    <row r="2563" spans="1:8" ht="24.75" customHeight="1" x14ac:dyDescent="0.25">
      <c r="A2563" s="597">
        <v>42774</v>
      </c>
      <c r="B2563" s="2" t="s">
        <v>1691</v>
      </c>
      <c r="C2563" s="41" t="s">
        <v>14</v>
      </c>
      <c r="D2563" s="129" t="s">
        <v>2123</v>
      </c>
      <c r="E2563" s="96">
        <v>4200</v>
      </c>
      <c r="F2563" s="96"/>
      <c r="G2563" s="96">
        <f t="shared" si="43"/>
        <v>-4200</v>
      </c>
      <c r="H2563" s="121" t="s">
        <v>2074</v>
      </c>
    </row>
    <row r="2564" spans="1:8" ht="15" customHeight="1" x14ac:dyDescent="0.25">
      <c r="A2564" s="597">
        <v>42774</v>
      </c>
      <c r="B2564" s="2" t="s">
        <v>1400</v>
      </c>
      <c r="C2564" s="2" t="s">
        <v>1704</v>
      </c>
      <c r="D2564" s="129" t="s">
        <v>1410</v>
      </c>
      <c r="E2564" s="96">
        <v>85</v>
      </c>
      <c r="F2564" s="96"/>
      <c r="G2564" s="96">
        <f t="shared" si="43"/>
        <v>-85</v>
      </c>
      <c r="H2564" s="121" t="s">
        <v>2074</v>
      </c>
    </row>
    <row r="2565" spans="1:8" ht="15" customHeight="1" x14ac:dyDescent="0.25">
      <c r="A2565" s="597">
        <v>42775</v>
      </c>
      <c r="B2565" s="2" t="s">
        <v>1400</v>
      </c>
      <c r="C2565" s="2" t="s">
        <v>1704</v>
      </c>
      <c r="D2565" s="129" t="s">
        <v>1410</v>
      </c>
      <c r="E2565" s="96">
        <v>85</v>
      </c>
      <c r="F2565" s="96"/>
      <c r="G2565" s="96">
        <f t="shared" si="43"/>
        <v>-85</v>
      </c>
      <c r="H2565" s="121" t="s">
        <v>2074</v>
      </c>
    </row>
    <row r="2566" spans="1:8" ht="15" customHeight="1" x14ac:dyDescent="0.25">
      <c r="A2566" s="597">
        <v>42775</v>
      </c>
      <c r="B2566" s="2" t="s">
        <v>2094</v>
      </c>
      <c r="C2566" s="2" t="s">
        <v>1704</v>
      </c>
      <c r="D2566" s="129" t="s">
        <v>1410</v>
      </c>
      <c r="E2566" s="96">
        <v>420</v>
      </c>
      <c r="F2566" s="96"/>
      <c r="G2566" s="96">
        <f t="shared" si="43"/>
        <v>-420</v>
      </c>
      <c r="H2566" s="121" t="s">
        <v>2074</v>
      </c>
    </row>
    <row r="2567" spans="1:8" ht="15" customHeight="1" x14ac:dyDescent="0.25">
      <c r="A2567" s="597">
        <v>42776</v>
      </c>
      <c r="B2567" s="2" t="s">
        <v>2094</v>
      </c>
      <c r="C2567" s="2" t="s">
        <v>773</v>
      </c>
      <c r="D2567" s="129" t="s">
        <v>2138</v>
      </c>
      <c r="E2567" s="96">
        <v>10500</v>
      </c>
      <c r="F2567" s="96"/>
      <c r="G2567" s="96">
        <f t="shared" si="43"/>
        <v>-10500</v>
      </c>
      <c r="H2567" s="121" t="s">
        <v>2074</v>
      </c>
    </row>
    <row r="2568" spans="1:8" ht="15" customHeight="1" x14ac:dyDescent="0.25">
      <c r="A2568" s="597">
        <v>42776</v>
      </c>
      <c r="B2568" s="2" t="s">
        <v>1400</v>
      </c>
      <c r="C2568" s="2" t="s">
        <v>780</v>
      </c>
      <c r="D2568" s="129" t="s">
        <v>72</v>
      </c>
      <c r="E2568" s="96">
        <v>1600</v>
      </c>
      <c r="F2568" s="96"/>
      <c r="G2568" s="96">
        <f t="shared" si="43"/>
        <v>-1600</v>
      </c>
      <c r="H2568" s="121" t="s">
        <v>2074</v>
      </c>
    </row>
    <row r="2569" spans="1:8" ht="15" customHeight="1" x14ac:dyDescent="0.25">
      <c r="A2569" s="597">
        <v>42776</v>
      </c>
      <c r="B2569" s="2" t="s">
        <v>1400</v>
      </c>
      <c r="C2569" s="2" t="s">
        <v>64</v>
      </c>
      <c r="D2569" s="129" t="s">
        <v>2139</v>
      </c>
      <c r="E2569" s="96">
        <v>2335</v>
      </c>
      <c r="F2569" s="96"/>
      <c r="G2569" s="96">
        <f t="shared" ref="G2569:G2632" si="44">F2569-E2569</f>
        <v>-2335</v>
      </c>
      <c r="H2569" s="121" t="s">
        <v>2074</v>
      </c>
    </row>
    <row r="2570" spans="1:8" ht="15" customHeight="1" x14ac:dyDescent="0.25">
      <c r="A2570" s="597">
        <v>42776</v>
      </c>
      <c r="B2570" s="2" t="s">
        <v>2094</v>
      </c>
      <c r="C2570" s="2" t="s">
        <v>64</v>
      </c>
      <c r="D2570" s="129" t="s">
        <v>2139</v>
      </c>
      <c r="E2570" s="96">
        <v>2335</v>
      </c>
      <c r="F2570" s="96"/>
      <c r="G2570" s="96">
        <f t="shared" si="44"/>
        <v>-2335</v>
      </c>
      <c r="H2570" s="121" t="s">
        <v>2074</v>
      </c>
    </row>
    <row r="2571" spans="1:8" ht="15" customHeight="1" x14ac:dyDescent="0.25">
      <c r="A2571" s="597">
        <v>42776</v>
      </c>
      <c r="B2571" s="2" t="s">
        <v>1400</v>
      </c>
      <c r="C2571" s="2" t="s">
        <v>64</v>
      </c>
      <c r="D2571" s="129" t="s">
        <v>1756</v>
      </c>
      <c r="E2571" s="96">
        <v>100</v>
      </c>
      <c r="F2571" s="96"/>
      <c r="G2571" s="96">
        <f t="shared" si="44"/>
        <v>-100</v>
      </c>
      <c r="H2571" s="121" t="s">
        <v>2074</v>
      </c>
    </row>
    <row r="2572" spans="1:8" ht="24.75" customHeight="1" x14ac:dyDescent="0.25">
      <c r="A2572" s="597">
        <v>42776</v>
      </c>
      <c r="B2572" s="2" t="s">
        <v>2094</v>
      </c>
      <c r="C2572" s="2" t="s">
        <v>64</v>
      </c>
      <c r="D2572" s="129" t="s">
        <v>2140</v>
      </c>
      <c r="E2572" s="96">
        <v>5100</v>
      </c>
      <c r="F2572" s="96"/>
      <c r="G2572" s="96">
        <f t="shared" si="44"/>
        <v>-5100</v>
      </c>
      <c r="H2572" s="121" t="s">
        <v>2074</v>
      </c>
    </row>
    <row r="2573" spans="1:8" ht="15" customHeight="1" x14ac:dyDescent="0.25">
      <c r="A2573" s="597">
        <v>42776</v>
      </c>
      <c r="B2573" s="2" t="s">
        <v>40</v>
      </c>
      <c r="C2573" s="2" t="s">
        <v>929</v>
      </c>
      <c r="D2573" s="129" t="s">
        <v>370</v>
      </c>
      <c r="E2573" s="96">
        <v>5000</v>
      </c>
      <c r="F2573" s="96"/>
      <c r="G2573" s="96">
        <f t="shared" si="44"/>
        <v>-5000</v>
      </c>
      <c r="H2573" s="121" t="s">
        <v>2074</v>
      </c>
    </row>
    <row r="2574" spans="1:8" ht="15" customHeight="1" x14ac:dyDescent="0.25">
      <c r="A2574" s="597">
        <v>42779</v>
      </c>
      <c r="B2574" s="2" t="s">
        <v>40</v>
      </c>
      <c r="C2574" s="2" t="s">
        <v>1704</v>
      </c>
      <c r="D2574" s="129" t="s">
        <v>2142</v>
      </c>
      <c r="E2574" s="96">
        <v>1500</v>
      </c>
      <c r="F2574" s="96"/>
      <c r="G2574" s="96">
        <f t="shared" si="44"/>
        <v>-1500</v>
      </c>
      <c r="H2574" s="121" t="s">
        <v>2074</v>
      </c>
    </row>
    <row r="2575" spans="1:8" ht="15" customHeight="1" x14ac:dyDescent="0.25">
      <c r="A2575" s="597">
        <v>42779</v>
      </c>
      <c r="B2575" s="2" t="s">
        <v>1400</v>
      </c>
      <c r="C2575" s="2" t="s">
        <v>1704</v>
      </c>
      <c r="D2575" s="129" t="s">
        <v>2143</v>
      </c>
      <c r="E2575" s="96">
        <v>365</v>
      </c>
      <c r="F2575" s="96"/>
      <c r="G2575" s="96">
        <f t="shared" si="44"/>
        <v>-365</v>
      </c>
      <c r="H2575" s="121" t="s">
        <v>2074</v>
      </c>
    </row>
    <row r="2576" spans="1:8" ht="15" customHeight="1" x14ac:dyDescent="0.25">
      <c r="A2576" s="597">
        <v>42779</v>
      </c>
      <c r="B2576" s="2" t="s">
        <v>25</v>
      </c>
      <c r="C2576" s="2" t="s">
        <v>2060</v>
      </c>
      <c r="D2576" s="129" t="s">
        <v>2144</v>
      </c>
      <c r="E2576" s="96">
        <v>11350</v>
      </c>
      <c r="F2576" s="96"/>
      <c r="G2576" s="96">
        <f t="shared" si="44"/>
        <v>-11350</v>
      </c>
      <c r="H2576" s="121" t="s">
        <v>2074</v>
      </c>
    </row>
    <row r="2577" spans="1:8" ht="15" customHeight="1" x14ac:dyDescent="0.25">
      <c r="A2577" s="597">
        <v>42779</v>
      </c>
      <c r="B2577" s="2" t="s">
        <v>40</v>
      </c>
      <c r="C2577" s="2" t="s">
        <v>1704</v>
      </c>
      <c r="D2577" s="129" t="s">
        <v>2145</v>
      </c>
      <c r="E2577" s="96">
        <v>820</v>
      </c>
      <c r="F2577" s="96"/>
      <c r="G2577" s="96">
        <f t="shared" si="44"/>
        <v>-820</v>
      </c>
      <c r="H2577" s="121" t="s">
        <v>2074</v>
      </c>
    </row>
    <row r="2578" spans="1:8" ht="15" customHeight="1" x14ac:dyDescent="0.25">
      <c r="A2578" s="597">
        <v>42781</v>
      </c>
      <c r="B2578" s="2" t="s">
        <v>1400</v>
      </c>
      <c r="C2578" s="2" t="s">
        <v>773</v>
      </c>
      <c r="D2578" s="129" t="s">
        <v>2146</v>
      </c>
      <c r="E2578" s="96">
        <v>550</v>
      </c>
      <c r="F2578" s="96"/>
      <c r="G2578" s="96">
        <f t="shared" si="44"/>
        <v>-550</v>
      </c>
      <c r="H2578" s="121" t="s">
        <v>2074</v>
      </c>
    </row>
    <row r="2579" spans="1:8" ht="15" customHeight="1" x14ac:dyDescent="0.25">
      <c r="A2579" s="597">
        <v>42781</v>
      </c>
      <c r="B2579" s="2" t="s">
        <v>40</v>
      </c>
      <c r="C2579" s="2" t="s">
        <v>794</v>
      </c>
      <c r="D2579" s="129" t="s">
        <v>2147</v>
      </c>
      <c r="E2579" s="96">
        <v>5160</v>
      </c>
      <c r="F2579" s="96"/>
      <c r="G2579" s="96">
        <f t="shared" si="44"/>
        <v>-5160</v>
      </c>
      <c r="H2579" s="121" t="s">
        <v>2074</v>
      </c>
    </row>
    <row r="2580" spans="1:8" ht="15" customHeight="1" x14ac:dyDescent="0.25">
      <c r="A2580" s="597">
        <v>42781</v>
      </c>
      <c r="B2580" s="2" t="s">
        <v>40</v>
      </c>
      <c r="C2580" s="2" t="s">
        <v>205</v>
      </c>
      <c r="D2580" s="129" t="s">
        <v>2148</v>
      </c>
      <c r="E2580" s="96">
        <v>250</v>
      </c>
      <c r="F2580" s="96"/>
      <c r="G2580" s="96">
        <f t="shared" si="44"/>
        <v>-250</v>
      </c>
      <c r="H2580" s="121" t="s">
        <v>2074</v>
      </c>
    </row>
    <row r="2581" spans="1:8" ht="15" customHeight="1" x14ac:dyDescent="0.25">
      <c r="A2581" s="597">
        <v>42781</v>
      </c>
      <c r="B2581" s="2" t="s">
        <v>82</v>
      </c>
      <c r="C2581" s="2" t="s">
        <v>1277</v>
      </c>
      <c r="D2581" s="129" t="s">
        <v>2149</v>
      </c>
      <c r="E2581" s="96">
        <v>790</v>
      </c>
      <c r="F2581" s="96"/>
      <c r="G2581" s="96">
        <f t="shared" si="44"/>
        <v>-790</v>
      </c>
      <c r="H2581" s="121" t="s">
        <v>2074</v>
      </c>
    </row>
    <row r="2582" spans="1:8" ht="15" customHeight="1" x14ac:dyDescent="0.25">
      <c r="A2582" s="597">
        <v>42781</v>
      </c>
      <c r="B2582" s="2" t="s">
        <v>25</v>
      </c>
      <c r="C2582" s="2" t="s">
        <v>309</v>
      </c>
      <c r="D2582" s="129" t="s">
        <v>2150</v>
      </c>
      <c r="E2582" s="96">
        <v>10000</v>
      </c>
      <c r="F2582" s="96"/>
      <c r="G2582" s="96">
        <f t="shared" si="44"/>
        <v>-10000</v>
      </c>
      <c r="H2582" s="121" t="s">
        <v>2074</v>
      </c>
    </row>
    <row r="2583" spans="1:8" ht="15" customHeight="1" x14ac:dyDescent="0.25">
      <c r="A2583" s="597">
        <v>42782</v>
      </c>
      <c r="B2583" s="2" t="s">
        <v>2094</v>
      </c>
      <c r="C2583" s="2" t="s">
        <v>1894</v>
      </c>
      <c r="D2583" s="129" t="s">
        <v>2151</v>
      </c>
      <c r="E2583" s="96">
        <v>50000</v>
      </c>
      <c r="F2583" s="96"/>
      <c r="G2583" s="96">
        <f t="shared" si="44"/>
        <v>-50000</v>
      </c>
      <c r="H2583" s="121" t="s">
        <v>2074</v>
      </c>
    </row>
    <row r="2584" spans="1:8" ht="15" customHeight="1" x14ac:dyDescent="0.25">
      <c r="A2584" s="597">
        <v>42782</v>
      </c>
      <c r="B2584" s="2" t="s">
        <v>40</v>
      </c>
      <c r="C2584" s="2" t="s">
        <v>1894</v>
      </c>
      <c r="D2584" s="129" t="s">
        <v>2152</v>
      </c>
      <c r="E2584" s="96">
        <v>5015</v>
      </c>
      <c r="F2584" s="96"/>
      <c r="G2584" s="96">
        <f t="shared" si="44"/>
        <v>-5015</v>
      </c>
      <c r="H2584" s="121" t="s">
        <v>2074</v>
      </c>
    </row>
    <row r="2585" spans="1:8" ht="15" customHeight="1" x14ac:dyDescent="0.25">
      <c r="A2585" s="597">
        <v>42782</v>
      </c>
      <c r="B2585" s="2" t="s">
        <v>2094</v>
      </c>
      <c r="C2585" s="2" t="s">
        <v>450</v>
      </c>
      <c r="D2585" s="129" t="s">
        <v>1974</v>
      </c>
      <c r="E2585" s="96">
        <v>2040</v>
      </c>
      <c r="F2585" s="96"/>
      <c r="G2585" s="96">
        <f t="shared" si="44"/>
        <v>-2040</v>
      </c>
      <c r="H2585" s="121" t="s">
        <v>2074</v>
      </c>
    </row>
    <row r="2586" spans="1:8" ht="15" customHeight="1" x14ac:dyDescent="0.25">
      <c r="A2586" s="597">
        <v>42782</v>
      </c>
      <c r="B2586" s="2" t="s">
        <v>82</v>
      </c>
      <c r="C2586" s="2" t="s">
        <v>2005</v>
      </c>
      <c r="D2586" s="129" t="s">
        <v>2154</v>
      </c>
      <c r="E2586" s="96">
        <v>15000</v>
      </c>
      <c r="F2586" s="96"/>
      <c r="G2586" s="96">
        <f t="shared" si="44"/>
        <v>-15000</v>
      </c>
      <c r="H2586" s="121" t="s">
        <v>2074</v>
      </c>
    </row>
    <row r="2587" spans="1:8" ht="15" customHeight="1" x14ac:dyDescent="0.25">
      <c r="A2587" s="597">
        <v>42783</v>
      </c>
      <c r="B2587" s="2" t="s">
        <v>2094</v>
      </c>
      <c r="C2587" s="2" t="s">
        <v>106</v>
      </c>
      <c r="D2587" s="129" t="s">
        <v>2155</v>
      </c>
      <c r="E2587" s="96">
        <v>400</v>
      </c>
      <c r="F2587" s="96"/>
      <c r="G2587" s="96">
        <f t="shared" si="44"/>
        <v>-400</v>
      </c>
      <c r="H2587" s="121" t="s">
        <v>2074</v>
      </c>
    </row>
    <row r="2588" spans="1:8" ht="15" customHeight="1" x14ac:dyDescent="0.25">
      <c r="A2588" s="597">
        <v>42784</v>
      </c>
      <c r="B2588" s="2" t="s">
        <v>1400</v>
      </c>
      <c r="C2588" s="2" t="s">
        <v>1704</v>
      </c>
      <c r="D2588" s="129" t="s">
        <v>2143</v>
      </c>
      <c r="E2588" s="96">
        <v>153</v>
      </c>
      <c r="F2588" s="96"/>
      <c r="G2588" s="96">
        <f t="shared" si="44"/>
        <v>-153</v>
      </c>
      <c r="H2588" s="121" t="s">
        <v>2074</v>
      </c>
    </row>
    <row r="2589" spans="1:8" ht="15" customHeight="1" x14ac:dyDescent="0.25">
      <c r="A2589" s="597">
        <v>42784</v>
      </c>
      <c r="B2589" s="2" t="s">
        <v>1400</v>
      </c>
      <c r="C2589" s="2" t="s">
        <v>64</v>
      </c>
      <c r="D2589" s="129" t="s">
        <v>72</v>
      </c>
      <c r="E2589" s="96">
        <v>12800</v>
      </c>
      <c r="F2589" s="96"/>
      <c r="G2589" s="96">
        <f t="shared" si="44"/>
        <v>-12800</v>
      </c>
      <c r="H2589" s="121" t="s">
        <v>2074</v>
      </c>
    </row>
    <row r="2590" spans="1:8" ht="15" customHeight="1" x14ac:dyDescent="0.25">
      <c r="A2590" s="597">
        <v>42784</v>
      </c>
      <c r="B2590" s="2" t="s">
        <v>2094</v>
      </c>
      <c r="C2590" s="2" t="s">
        <v>64</v>
      </c>
      <c r="D2590" s="129" t="s">
        <v>72</v>
      </c>
      <c r="E2590" s="96">
        <v>1340</v>
      </c>
      <c r="F2590" s="96"/>
      <c r="G2590" s="96">
        <f t="shared" si="44"/>
        <v>-1340</v>
      </c>
      <c r="H2590" s="121" t="s">
        <v>2074</v>
      </c>
    </row>
    <row r="2591" spans="1:8" ht="15" customHeight="1" x14ac:dyDescent="0.25">
      <c r="A2591" s="597">
        <v>42785</v>
      </c>
      <c r="B2591" s="2" t="s">
        <v>1691</v>
      </c>
      <c r="C2591" s="2" t="s">
        <v>1762</v>
      </c>
      <c r="D2591" s="129" t="s">
        <v>370</v>
      </c>
      <c r="E2591" s="96">
        <v>3500</v>
      </c>
      <c r="F2591" s="96"/>
      <c r="G2591" s="96">
        <f t="shared" si="44"/>
        <v>-3500</v>
      </c>
      <c r="H2591" s="121" t="s">
        <v>2074</v>
      </c>
    </row>
    <row r="2592" spans="1:8" ht="15" customHeight="1" x14ac:dyDescent="0.25">
      <c r="A2592" s="597">
        <v>42786</v>
      </c>
      <c r="B2592" s="2" t="s">
        <v>1493</v>
      </c>
      <c r="C2592" s="2" t="s">
        <v>220</v>
      </c>
      <c r="D2592" s="129" t="s">
        <v>286</v>
      </c>
      <c r="E2592" s="96">
        <v>500</v>
      </c>
      <c r="F2592" s="96"/>
      <c r="G2592" s="96">
        <f t="shared" si="44"/>
        <v>-500</v>
      </c>
      <c r="H2592" s="121" t="s">
        <v>2074</v>
      </c>
    </row>
    <row r="2593" spans="1:8" ht="15" customHeight="1" x14ac:dyDescent="0.25">
      <c r="A2593" s="597">
        <v>42786</v>
      </c>
      <c r="B2593" s="2" t="s">
        <v>2094</v>
      </c>
      <c r="C2593" s="2" t="s">
        <v>220</v>
      </c>
      <c r="D2593" s="129" t="s">
        <v>2156</v>
      </c>
      <c r="E2593" s="96">
        <v>13379</v>
      </c>
      <c r="F2593" s="96"/>
      <c r="G2593" s="96">
        <f t="shared" si="44"/>
        <v>-13379</v>
      </c>
      <c r="H2593" s="121" t="s">
        <v>2074</v>
      </c>
    </row>
    <row r="2594" spans="1:8" ht="15" customHeight="1" x14ac:dyDescent="0.25">
      <c r="A2594" s="597">
        <v>42786</v>
      </c>
      <c r="B2594" s="2" t="s">
        <v>40</v>
      </c>
      <c r="C2594" s="2" t="s">
        <v>220</v>
      </c>
      <c r="D2594" s="129" t="s">
        <v>2157</v>
      </c>
      <c r="E2594" s="96">
        <v>2965</v>
      </c>
      <c r="F2594" s="96"/>
      <c r="G2594" s="96">
        <f t="shared" si="44"/>
        <v>-2965</v>
      </c>
      <c r="H2594" s="121" t="s">
        <v>2074</v>
      </c>
    </row>
    <row r="2595" spans="1:8" ht="15" customHeight="1" x14ac:dyDescent="0.25">
      <c r="A2595" s="597">
        <v>42786</v>
      </c>
      <c r="B2595" s="2" t="s">
        <v>2094</v>
      </c>
      <c r="C2595" s="2" t="s">
        <v>220</v>
      </c>
      <c r="D2595" s="129" t="s">
        <v>2158</v>
      </c>
      <c r="E2595" s="96">
        <v>350</v>
      </c>
      <c r="F2595" s="96"/>
      <c r="G2595" s="96">
        <f t="shared" si="44"/>
        <v>-350</v>
      </c>
      <c r="H2595" s="121" t="s">
        <v>2074</v>
      </c>
    </row>
    <row r="2596" spans="1:8" ht="15" customHeight="1" x14ac:dyDescent="0.25">
      <c r="A2596" s="597">
        <v>42786</v>
      </c>
      <c r="B2596" s="2" t="s">
        <v>25</v>
      </c>
      <c r="C2596" s="2" t="s">
        <v>2060</v>
      </c>
      <c r="D2596" s="129" t="s">
        <v>2161</v>
      </c>
      <c r="E2596" s="96">
        <v>16000</v>
      </c>
      <c r="F2596" s="96"/>
      <c r="G2596" s="96">
        <f t="shared" si="44"/>
        <v>-16000</v>
      </c>
      <c r="H2596" s="121" t="s">
        <v>2074</v>
      </c>
    </row>
    <row r="2597" spans="1:8" ht="15" customHeight="1" x14ac:dyDescent="0.25">
      <c r="A2597" s="597">
        <v>42786</v>
      </c>
      <c r="B2597" s="2" t="s">
        <v>25</v>
      </c>
      <c r="C2597" s="2" t="s">
        <v>1005</v>
      </c>
      <c r="D2597" s="129" t="s">
        <v>2162</v>
      </c>
      <c r="E2597" s="96">
        <v>450</v>
      </c>
      <c r="F2597" s="96"/>
      <c r="G2597" s="96">
        <f t="shared" si="44"/>
        <v>-450</v>
      </c>
      <c r="H2597" s="121" t="s">
        <v>2074</v>
      </c>
    </row>
    <row r="2598" spans="1:8" ht="15" customHeight="1" x14ac:dyDescent="0.25">
      <c r="A2598" s="597">
        <v>42789</v>
      </c>
      <c r="B2598" s="2" t="s">
        <v>25</v>
      </c>
      <c r="C2598" s="2" t="s">
        <v>1916</v>
      </c>
      <c r="D2598" s="129" t="s">
        <v>2108</v>
      </c>
      <c r="E2598" s="96">
        <v>1500</v>
      </c>
      <c r="F2598" s="96"/>
      <c r="G2598" s="96">
        <f t="shared" si="44"/>
        <v>-1500</v>
      </c>
      <c r="H2598" s="121" t="s">
        <v>2074</v>
      </c>
    </row>
    <row r="2599" spans="1:8" ht="15" customHeight="1" x14ac:dyDescent="0.25">
      <c r="A2599" s="597">
        <v>42789</v>
      </c>
      <c r="B2599" s="2" t="s">
        <v>1400</v>
      </c>
      <c r="C2599" s="2" t="s">
        <v>773</v>
      </c>
      <c r="D2599" s="129" t="s">
        <v>2164</v>
      </c>
      <c r="E2599" s="96">
        <v>1915</v>
      </c>
      <c r="F2599" s="96"/>
      <c r="G2599" s="96">
        <f t="shared" si="44"/>
        <v>-1915</v>
      </c>
      <c r="H2599" s="121" t="s">
        <v>2074</v>
      </c>
    </row>
    <row r="2600" spans="1:8" ht="15" customHeight="1" x14ac:dyDescent="0.25">
      <c r="A2600" s="597">
        <v>42790</v>
      </c>
      <c r="B2600" s="2" t="s">
        <v>2094</v>
      </c>
      <c r="C2600" s="2" t="s">
        <v>1894</v>
      </c>
      <c r="D2600" s="129" t="s">
        <v>2165</v>
      </c>
      <c r="E2600" s="96">
        <v>7358</v>
      </c>
      <c r="F2600" s="96"/>
      <c r="G2600" s="96">
        <f t="shared" si="44"/>
        <v>-7358</v>
      </c>
      <c r="H2600" s="121" t="s">
        <v>2074</v>
      </c>
    </row>
    <row r="2601" spans="1:8" ht="15" customHeight="1" x14ac:dyDescent="0.25">
      <c r="A2601" s="597">
        <v>42790</v>
      </c>
      <c r="B2601" s="2" t="s">
        <v>2094</v>
      </c>
      <c r="C2601" s="2" t="s">
        <v>1704</v>
      </c>
      <c r="D2601" s="129" t="s">
        <v>2143</v>
      </c>
      <c r="E2601" s="96">
        <v>695</v>
      </c>
      <c r="F2601" s="96"/>
      <c r="G2601" s="96">
        <f t="shared" si="44"/>
        <v>-695</v>
      </c>
      <c r="H2601" s="121" t="s">
        <v>2074</v>
      </c>
    </row>
    <row r="2602" spans="1:8" ht="15" customHeight="1" x14ac:dyDescent="0.25">
      <c r="A2602" s="597">
        <v>42790</v>
      </c>
      <c r="B2602" s="2" t="s">
        <v>82</v>
      </c>
      <c r="C2602" s="2" t="s">
        <v>668</v>
      </c>
      <c r="D2602" s="129" t="s">
        <v>2166</v>
      </c>
      <c r="E2602" s="96">
        <v>400</v>
      </c>
      <c r="F2602" s="96"/>
      <c r="G2602" s="96">
        <f t="shared" si="44"/>
        <v>-400</v>
      </c>
      <c r="H2602" s="121" t="s">
        <v>2074</v>
      </c>
    </row>
    <row r="2603" spans="1:8" ht="15" customHeight="1" x14ac:dyDescent="0.25">
      <c r="A2603" s="597">
        <v>42791</v>
      </c>
      <c r="B2603" s="2" t="s">
        <v>1691</v>
      </c>
      <c r="C2603" s="2" t="s">
        <v>1762</v>
      </c>
      <c r="D2603" s="129" t="s">
        <v>370</v>
      </c>
      <c r="E2603" s="96">
        <v>2000</v>
      </c>
      <c r="F2603" s="96"/>
      <c r="G2603" s="96">
        <f t="shared" si="44"/>
        <v>-2000</v>
      </c>
      <c r="H2603" s="121" t="s">
        <v>2074</v>
      </c>
    </row>
    <row r="2604" spans="1:8" ht="15" customHeight="1" x14ac:dyDescent="0.25">
      <c r="A2604" s="597">
        <v>42791</v>
      </c>
      <c r="B2604" s="2" t="s">
        <v>40</v>
      </c>
      <c r="C2604" s="2" t="s">
        <v>1246</v>
      </c>
      <c r="D2604" s="129" t="s">
        <v>2168</v>
      </c>
      <c r="E2604" s="96">
        <v>100</v>
      </c>
      <c r="F2604" s="96"/>
      <c r="G2604" s="96">
        <f t="shared" si="44"/>
        <v>-100</v>
      </c>
      <c r="H2604" s="121" t="s">
        <v>2074</v>
      </c>
    </row>
    <row r="2605" spans="1:8" ht="15" customHeight="1" x14ac:dyDescent="0.25">
      <c r="A2605" s="597">
        <v>42791</v>
      </c>
      <c r="B2605" s="2" t="s">
        <v>1691</v>
      </c>
      <c r="C2605" s="2" t="s">
        <v>668</v>
      </c>
      <c r="D2605" s="129" t="s">
        <v>2169</v>
      </c>
      <c r="E2605" s="96">
        <v>14800</v>
      </c>
      <c r="F2605" s="96"/>
      <c r="G2605" s="96">
        <f t="shared" si="44"/>
        <v>-14800</v>
      </c>
      <c r="H2605" s="121" t="s">
        <v>2074</v>
      </c>
    </row>
    <row r="2606" spans="1:8" ht="15" customHeight="1" x14ac:dyDescent="0.25">
      <c r="A2606" s="597">
        <v>42791</v>
      </c>
      <c r="B2606" s="2" t="s">
        <v>1691</v>
      </c>
      <c r="C2606" s="2" t="s">
        <v>668</v>
      </c>
      <c r="D2606" s="129" t="s">
        <v>2170</v>
      </c>
      <c r="E2606" s="96">
        <v>275</v>
      </c>
      <c r="F2606" s="96"/>
      <c r="G2606" s="96">
        <f t="shared" si="44"/>
        <v>-275</v>
      </c>
      <c r="H2606" s="121" t="s">
        <v>2074</v>
      </c>
    </row>
    <row r="2607" spans="1:8" ht="15" customHeight="1" x14ac:dyDescent="0.25">
      <c r="A2607" s="597">
        <v>42791</v>
      </c>
      <c r="B2607" s="2" t="s">
        <v>82</v>
      </c>
      <c r="C2607" s="2" t="s">
        <v>668</v>
      </c>
      <c r="D2607" s="129" t="s">
        <v>2170</v>
      </c>
      <c r="E2607" s="96">
        <v>275</v>
      </c>
      <c r="F2607" s="96"/>
      <c r="G2607" s="96">
        <f t="shared" si="44"/>
        <v>-275</v>
      </c>
      <c r="H2607" s="121" t="s">
        <v>2074</v>
      </c>
    </row>
    <row r="2608" spans="1:8" ht="15" customHeight="1" x14ac:dyDescent="0.25">
      <c r="A2608" s="597">
        <v>42793</v>
      </c>
      <c r="B2608" s="2" t="s">
        <v>2094</v>
      </c>
      <c r="C2608" s="2" t="s">
        <v>325</v>
      </c>
      <c r="D2608" s="129" t="s">
        <v>2163</v>
      </c>
      <c r="E2608" s="96">
        <v>225</v>
      </c>
      <c r="F2608" s="96"/>
      <c r="G2608" s="96">
        <f t="shared" si="44"/>
        <v>-225</v>
      </c>
      <c r="H2608" s="121" t="s">
        <v>2074</v>
      </c>
    </row>
    <row r="2609" spans="1:8" ht="15" customHeight="1" x14ac:dyDescent="0.25">
      <c r="A2609" s="597">
        <v>42793</v>
      </c>
      <c r="B2609" s="2" t="s">
        <v>2094</v>
      </c>
      <c r="C2609" s="2" t="s">
        <v>1704</v>
      </c>
      <c r="D2609" s="129" t="s">
        <v>2143</v>
      </c>
      <c r="E2609" s="96">
        <v>180</v>
      </c>
      <c r="F2609" s="96"/>
      <c r="G2609" s="96">
        <f t="shared" si="44"/>
        <v>-180</v>
      </c>
      <c r="H2609" s="121" t="s">
        <v>2074</v>
      </c>
    </row>
    <row r="2610" spans="1:8" ht="15" customHeight="1" x14ac:dyDescent="0.25">
      <c r="A2610" s="597">
        <v>42794</v>
      </c>
      <c r="B2610" s="2" t="s">
        <v>2094</v>
      </c>
      <c r="C2610" s="2" t="s">
        <v>450</v>
      </c>
      <c r="D2610" s="129" t="s">
        <v>2171</v>
      </c>
      <c r="E2610" s="96">
        <v>1880</v>
      </c>
      <c r="F2610" s="96"/>
      <c r="G2610" s="96">
        <f t="shared" si="44"/>
        <v>-1880</v>
      </c>
      <c r="H2610" s="121" t="s">
        <v>2074</v>
      </c>
    </row>
    <row r="2611" spans="1:8" ht="15" customHeight="1" x14ac:dyDescent="0.25">
      <c r="A2611" s="602">
        <v>42773</v>
      </c>
      <c r="B2611" s="137" t="s">
        <v>1400</v>
      </c>
      <c r="C2611" s="115" t="s">
        <v>262</v>
      </c>
      <c r="D2611" s="118" t="s">
        <v>2088</v>
      </c>
      <c r="E2611" s="116">
        <v>20000</v>
      </c>
      <c r="F2611" s="116"/>
      <c r="G2611" s="116">
        <f t="shared" si="44"/>
        <v>-20000</v>
      </c>
      <c r="H2611" s="117" t="s">
        <v>2074</v>
      </c>
    </row>
    <row r="2612" spans="1:8" ht="24.75" customHeight="1" x14ac:dyDescent="0.25">
      <c r="A2612" s="602">
        <v>42773</v>
      </c>
      <c r="B2612" s="115" t="s">
        <v>1400</v>
      </c>
      <c r="C2612" s="115" t="s">
        <v>64</v>
      </c>
      <c r="D2612" s="118" t="s">
        <v>2085</v>
      </c>
      <c r="E2612" s="116">
        <v>9270</v>
      </c>
      <c r="F2612" s="116"/>
      <c r="G2612" s="116">
        <f t="shared" si="44"/>
        <v>-9270</v>
      </c>
      <c r="H2612" s="117" t="s">
        <v>2074</v>
      </c>
    </row>
    <row r="2613" spans="1:8" ht="15" customHeight="1" x14ac:dyDescent="0.25">
      <c r="A2613" s="602">
        <v>42774</v>
      </c>
      <c r="B2613" s="115" t="s">
        <v>16</v>
      </c>
      <c r="C2613" s="115" t="s">
        <v>1894</v>
      </c>
      <c r="D2613" s="118" t="s">
        <v>2086</v>
      </c>
      <c r="E2613" s="116">
        <v>51992</v>
      </c>
      <c r="F2613" s="116"/>
      <c r="G2613" s="116">
        <f t="shared" si="44"/>
        <v>-51992</v>
      </c>
      <c r="H2613" s="117" t="s">
        <v>2074</v>
      </c>
    </row>
    <row r="2614" spans="1:8" ht="15" customHeight="1" x14ac:dyDescent="0.25">
      <c r="A2614" s="602">
        <v>42774</v>
      </c>
      <c r="B2614" s="115" t="s">
        <v>40</v>
      </c>
      <c r="C2614" s="115" t="s">
        <v>1894</v>
      </c>
      <c r="D2614" s="118" t="s">
        <v>2086</v>
      </c>
      <c r="E2614" s="116">
        <v>4500</v>
      </c>
      <c r="F2614" s="116"/>
      <c r="G2614" s="116">
        <f t="shared" si="44"/>
        <v>-4500</v>
      </c>
      <c r="H2614" s="117" t="s">
        <v>2074</v>
      </c>
    </row>
    <row r="2615" spans="1:8" ht="15" customHeight="1" x14ac:dyDescent="0.25">
      <c r="A2615" s="602">
        <v>42783</v>
      </c>
      <c r="B2615" s="115" t="s">
        <v>1493</v>
      </c>
      <c r="C2615" s="115" t="s">
        <v>263</v>
      </c>
      <c r="D2615" s="118" t="s">
        <v>2095</v>
      </c>
      <c r="E2615" s="116">
        <v>75030</v>
      </c>
      <c r="F2615" s="116"/>
      <c r="G2615" s="116">
        <f t="shared" si="44"/>
        <v>-75030</v>
      </c>
      <c r="H2615" s="117" t="s">
        <v>2074</v>
      </c>
    </row>
    <row r="2616" spans="1:8" ht="15" customHeight="1" x14ac:dyDescent="0.25">
      <c r="A2616" s="602">
        <v>42783</v>
      </c>
      <c r="B2616" s="115" t="s">
        <v>1691</v>
      </c>
      <c r="C2616" s="115" t="s">
        <v>1391</v>
      </c>
      <c r="D2616" s="118" t="s">
        <v>2097</v>
      </c>
      <c r="E2616" s="116">
        <v>10016</v>
      </c>
      <c r="F2616" s="116"/>
      <c r="G2616" s="116">
        <f t="shared" si="44"/>
        <v>-10016</v>
      </c>
      <c r="H2616" s="117" t="s">
        <v>2074</v>
      </c>
    </row>
    <row r="2617" spans="1:8" ht="15" customHeight="1" x14ac:dyDescent="0.25">
      <c r="A2617" s="602">
        <v>42783</v>
      </c>
      <c r="B2617" s="115" t="s">
        <v>40</v>
      </c>
      <c r="C2617" s="115" t="s">
        <v>1391</v>
      </c>
      <c r="D2617" s="118" t="s">
        <v>2097</v>
      </c>
      <c r="E2617" s="116">
        <v>110539</v>
      </c>
      <c r="F2617" s="116"/>
      <c r="G2617" s="116">
        <f t="shared" si="44"/>
        <v>-110539</v>
      </c>
      <c r="H2617" s="117" t="s">
        <v>2074</v>
      </c>
    </row>
    <row r="2618" spans="1:8" ht="15" customHeight="1" x14ac:dyDescent="0.25">
      <c r="A2618" s="602">
        <v>42783</v>
      </c>
      <c r="B2618" s="115" t="s">
        <v>40</v>
      </c>
      <c r="C2618" s="115" t="s">
        <v>895</v>
      </c>
      <c r="D2618" s="118" t="s">
        <v>2098</v>
      </c>
      <c r="E2618" s="116">
        <v>49130</v>
      </c>
      <c r="F2618" s="116"/>
      <c r="G2618" s="116">
        <f t="shared" si="44"/>
        <v>-49130</v>
      </c>
      <c r="H2618" s="117" t="s">
        <v>2074</v>
      </c>
    </row>
    <row r="2619" spans="1:8" ht="15" customHeight="1" x14ac:dyDescent="0.25">
      <c r="A2619" s="602">
        <v>42783</v>
      </c>
      <c r="B2619" s="115" t="s">
        <v>1493</v>
      </c>
      <c r="C2619" s="115" t="s">
        <v>895</v>
      </c>
      <c r="D2619" s="118" t="s">
        <v>2098</v>
      </c>
      <c r="E2619" s="116">
        <v>48870</v>
      </c>
      <c r="F2619" s="116"/>
      <c r="G2619" s="116">
        <f t="shared" si="44"/>
        <v>-48870</v>
      </c>
      <c r="H2619" s="117" t="s">
        <v>2074</v>
      </c>
    </row>
    <row r="2620" spans="1:8" ht="15" customHeight="1" x14ac:dyDescent="0.25">
      <c r="A2620" s="602">
        <v>42783</v>
      </c>
      <c r="B2620" s="115" t="s">
        <v>40</v>
      </c>
      <c r="C2620" s="115" t="s">
        <v>359</v>
      </c>
      <c r="D2620" s="118" t="s">
        <v>2099</v>
      </c>
      <c r="E2620" s="116">
        <v>200000</v>
      </c>
      <c r="F2620" s="116"/>
      <c r="G2620" s="116">
        <f t="shared" si="44"/>
        <v>-200000</v>
      </c>
      <c r="H2620" s="117" t="s">
        <v>2074</v>
      </c>
    </row>
    <row r="2621" spans="1:8" ht="15" customHeight="1" x14ac:dyDescent="0.25">
      <c r="A2621" s="602">
        <v>42784</v>
      </c>
      <c r="B2621" s="115" t="s">
        <v>82</v>
      </c>
      <c r="C2621" s="115" t="s">
        <v>307</v>
      </c>
      <c r="D2621" s="118" t="s">
        <v>2180</v>
      </c>
      <c r="E2621" s="116">
        <v>14000</v>
      </c>
      <c r="F2621" s="116"/>
      <c r="G2621" s="116">
        <f t="shared" si="44"/>
        <v>-14000</v>
      </c>
      <c r="H2621" s="117" t="s">
        <v>2074</v>
      </c>
    </row>
    <row r="2622" spans="1:8" ht="15" customHeight="1" x14ac:dyDescent="0.25">
      <c r="A2622" s="602">
        <v>42787</v>
      </c>
      <c r="B2622" s="115" t="s">
        <v>1691</v>
      </c>
      <c r="C2622" s="115" t="s">
        <v>1894</v>
      </c>
      <c r="D2622" s="118" t="s">
        <v>2101</v>
      </c>
      <c r="E2622" s="116">
        <v>41000</v>
      </c>
      <c r="F2622" s="116"/>
      <c r="G2622" s="116">
        <f t="shared" si="44"/>
        <v>-41000</v>
      </c>
      <c r="H2622" s="117" t="s">
        <v>2074</v>
      </c>
    </row>
    <row r="2623" spans="1:8" ht="15" customHeight="1" x14ac:dyDescent="0.25">
      <c r="A2623" s="602">
        <v>42789</v>
      </c>
      <c r="B2623" s="115" t="s">
        <v>1400</v>
      </c>
      <c r="C2623" s="115" t="s">
        <v>2103</v>
      </c>
      <c r="D2623" s="118" t="s">
        <v>2102</v>
      </c>
      <c r="E2623" s="116">
        <v>26200</v>
      </c>
      <c r="F2623" s="116"/>
      <c r="G2623" s="116">
        <f t="shared" si="44"/>
        <v>-26200</v>
      </c>
      <c r="H2623" s="117" t="s">
        <v>2074</v>
      </c>
    </row>
    <row r="2624" spans="1:8" ht="15" customHeight="1" x14ac:dyDescent="0.25">
      <c r="A2624" s="602">
        <v>42793</v>
      </c>
      <c r="B2624" s="115" t="s">
        <v>25</v>
      </c>
      <c r="C2624" s="115" t="s">
        <v>1689</v>
      </c>
      <c r="D2624" s="118" t="s">
        <v>2124</v>
      </c>
      <c r="E2624" s="116">
        <v>13618</v>
      </c>
      <c r="F2624" s="116"/>
      <c r="G2624" s="116">
        <f t="shared" si="44"/>
        <v>-13618</v>
      </c>
      <c r="H2624" s="117" t="s">
        <v>2074</v>
      </c>
    </row>
    <row r="2625" spans="1:8" ht="15" customHeight="1" x14ac:dyDescent="0.25">
      <c r="A2625" s="602">
        <v>42793</v>
      </c>
      <c r="B2625" s="115" t="s">
        <v>16</v>
      </c>
      <c r="C2625" s="115" t="s">
        <v>1689</v>
      </c>
      <c r="D2625" s="118" t="s">
        <v>2124</v>
      </c>
      <c r="E2625" s="116">
        <v>8989</v>
      </c>
      <c r="F2625" s="116"/>
      <c r="G2625" s="116">
        <f t="shared" si="44"/>
        <v>-8989</v>
      </c>
      <c r="H2625" s="117" t="s">
        <v>2074</v>
      </c>
    </row>
    <row r="2626" spans="1:8" ht="15" customHeight="1" x14ac:dyDescent="0.25">
      <c r="A2626" s="602">
        <v>42794</v>
      </c>
      <c r="B2626" s="115" t="s">
        <v>2094</v>
      </c>
      <c r="C2626" s="115" t="s">
        <v>2129</v>
      </c>
      <c r="D2626" s="118" t="s">
        <v>2130</v>
      </c>
      <c r="E2626" s="116">
        <v>500000</v>
      </c>
      <c r="F2626" s="116"/>
      <c r="G2626" s="116">
        <f t="shared" si="44"/>
        <v>-500000</v>
      </c>
      <c r="H2626" s="117" t="s">
        <v>2074</v>
      </c>
    </row>
    <row r="2627" spans="1:8" ht="15" customHeight="1" x14ac:dyDescent="0.25">
      <c r="A2627" s="602">
        <v>42794</v>
      </c>
      <c r="B2627" s="137" t="s">
        <v>1400</v>
      </c>
      <c r="C2627" s="115" t="s">
        <v>262</v>
      </c>
      <c r="D2627" s="118" t="s">
        <v>2131</v>
      </c>
      <c r="E2627" s="116">
        <v>40000</v>
      </c>
      <c r="F2627" s="116"/>
      <c r="G2627" s="116">
        <f t="shared" si="44"/>
        <v>-40000</v>
      </c>
      <c r="H2627" s="117" t="s">
        <v>2074</v>
      </c>
    </row>
    <row r="2628" spans="1:8" x14ac:dyDescent="0.2">
      <c r="A2628" s="599">
        <v>42779</v>
      </c>
      <c r="B2628" s="91" t="s">
        <v>18</v>
      </c>
      <c r="C2628" s="41" t="s">
        <v>18</v>
      </c>
      <c r="D2628" s="801" t="s">
        <v>1581</v>
      </c>
      <c r="E2628" s="92"/>
      <c r="F2628" s="92">
        <v>200000</v>
      </c>
      <c r="G2628" s="92">
        <f t="shared" si="44"/>
        <v>200000</v>
      </c>
      <c r="H2628" s="93" t="s">
        <v>2074</v>
      </c>
    </row>
    <row r="2629" spans="1:8" x14ac:dyDescent="0.2">
      <c r="A2629" s="599">
        <v>42782</v>
      </c>
      <c r="B2629" s="91" t="s">
        <v>82</v>
      </c>
      <c r="C2629" s="41" t="s">
        <v>82</v>
      </c>
      <c r="D2629" s="801" t="s">
        <v>2090</v>
      </c>
      <c r="E2629" s="92"/>
      <c r="F2629" s="92">
        <v>123503</v>
      </c>
      <c r="G2629" s="92">
        <f t="shared" si="44"/>
        <v>123503</v>
      </c>
      <c r="H2629" s="93" t="s">
        <v>2074</v>
      </c>
    </row>
    <row r="2630" spans="1:8" x14ac:dyDescent="0.2">
      <c r="A2630" s="599">
        <v>42782</v>
      </c>
      <c r="B2630" s="91" t="s">
        <v>82</v>
      </c>
      <c r="C2630" s="41" t="s">
        <v>82</v>
      </c>
      <c r="D2630" s="801" t="s">
        <v>2091</v>
      </c>
      <c r="E2630" s="92"/>
      <c r="F2630" s="92">
        <v>360724</v>
      </c>
      <c r="G2630" s="92">
        <f t="shared" si="44"/>
        <v>360724</v>
      </c>
      <c r="H2630" s="93" t="s">
        <v>2074</v>
      </c>
    </row>
    <row r="2631" spans="1:8" x14ac:dyDescent="0.2">
      <c r="A2631" s="599">
        <v>42790</v>
      </c>
      <c r="B2631" s="91" t="s">
        <v>37</v>
      </c>
      <c r="C2631" s="41" t="s">
        <v>37</v>
      </c>
      <c r="D2631" s="801" t="s">
        <v>2100</v>
      </c>
      <c r="E2631" s="92"/>
      <c r="F2631" s="92">
        <v>157140</v>
      </c>
      <c r="G2631" s="92">
        <f t="shared" si="44"/>
        <v>157140</v>
      </c>
      <c r="H2631" s="93" t="s">
        <v>2074</v>
      </c>
    </row>
    <row r="2632" spans="1:8" x14ac:dyDescent="0.2">
      <c r="A2632" s="599">
        <v>42794</v>
      </c>
      <c r="B2632" s="91" t="s">
        <v>154</v>
      </c>
      <c r="C2632" s="41" t="s">
        <v>154</v>
      </c>
      <c r="D2632" s="801" t="s">
        <v>2126</v>
      </c>
      <c r="E2632" s="92"/>
      <c r="F2632" s="92">
        <v>1441062</v>
      </c>
      <c r="G2632" s="92">
        <f t="shared" si="44"/>
        <v>1441062</v>
      </c>
      <c r="H2632" s="93" t="s">
        <v>2074</v>
      </c>
    </row>
    <row r="2633" spans="1:8" x14ac:dyDescent="0.2">
      <c r="A2633" s="599">
        <v>42794</v>
      </c>
      <c r="B2633" s="91" t="s">
        <v>1400</v>
      </c>
      <c r="C2633" s="41" t="s">
        <v>1400</v>
      </c>
      <c r="D2633" s="801" t="s">
        <v>2125</v>
      </c>
      <c r="E2633" s="92"/>
      <c r="F2633" s="92">
        <v>1500000</v>
      </c>
      <c r="G2633" s="92">
        <f t="shared" ref="G2633:G2696" si="45">F2633-E2633</f>
        <v>1500000</v>
      </c>
      <c r="H2633" s="93" t="s">
        <v>2074</v>
      </c>
    </row>
    <row r="2634" spans="1:8" x14ac:dyDescent="0.2">
      <c r="A2634" s="597">
        <v>42799</v>
      </c>
      <c r="B2634" s="41" t="s">
        <v>1400</v>
      </c>
      <c r="C2634" s="41" t="s">
        <v>1230</v>
      </c>
      <c r="D2634" s="108" t="s">
        <v>1837</v>
      </c>
      <c r="E2634" s="58">
        <v>25000</v>
      </c>
      <c r="F2634" s="58"/>
      <c r="G2634" s="58">
        <f t="shared" si="45"/>
        <v>-25000</v>
      </c>
      <c r="H2634" s="49" t="s">
        <v>2132</v>
      </c>
    </row>
    <row r="2635" spans="1:8" x14ac:dyDescent="0.2">
      <c r="A2635" s="597">
        <v>42799</v>
      </c>
      <c r="B2635" s="41" t="s">
        <v>25</v>
      </c>
      <c r="C2635" s="41" t="s">
        <v>1230</v>
      </c>
      <c r="D2635" s="108" t="s">
        <v>1839</v>
      </c>
      <c r="E2635" s="58">
        <v>5000</v>
      </c>
      <c r="F2635" s="58"/>
      <c r="G2635" s="58">
        <f t="shared" si="45"/>
        <v>-5000</v>
      </c>
      <c r="H2635" s="49" t="s">
        <v>2132</v>
      </c>
    </row>
    <row r="2636" spans="1:8" x14ac:dyDescent="0.2">
      <c r="A2636" s="597">
        <v>42799</v>
      </c>
      <c r="B2636" s="41" t="s">
        <v>25</v>
      </c>
      <c r="C2636" s="41" t="s">
        <v>1230</v>
      </c>
      <c r="D2636" s="108" t="s">
        <v>1840</v>
      </c>
      <c r="E2636" s="58">
        <v>4000</v>
      </c>
      <c r="F2636" s="58"/>
      <c r="G2636" s="58">
        <f t="shared" si="45"/>
        <v>-4000</v>
      </c>
      <c r="H2636" s="49" t="s">
        <v>2132</v>
      </c>
    </row>
    <row r="2637" spans="1:8" x14ac:dyDescent="0.2">
      <c r="A2637" s="597">
        <v>42799</v>
      </c>
      <c r="B2637" s="41" t="s">
        <v>25</v>
      </c>
      <c r="C2637" s="41" t="s">
        <v>1230</v>
      </c>
      <c r="D2637" s="108" t="s">
        <v>1547</v>
      </c>
      <c r="E2637" s="58">
        <v>9000</v>
      </c>
      <c r="F2637" s="58"/>
      <c r="G2637" s="58">
        <f t="shared" si="45"/>
        <v>-9000</v>
      </c>
      <c r="H2637" s="49" t="s">
        <v>2132</v>
      </c>
    </row>
    <row r="2638" spans="1:8" x14ac:dyDescent="0.2">
      <c r="A2638" s="597">
        <v>42799</v>
      </c>
      <c r="B2638" s="41" t="s">
        <v>16</v>
      </c>
      <c r="C2638" s="41" t="s">
        <v>1230</v>
      </c>
      <c r="D2638" s="108" t="s">
        <v>1842</v>
      </c>
      <c r="E2638" s="58">
        <v>25000</v>
      </c>
      <c r="F2638" s="58"/>
      <c r="G2638" s="58">
        <f t="shared" si="45"/>
        <v>-25000</v>
      </c>
      <c r="H2638" s="49" t="s">
        <v>2132</v>
      </c>
    </row>
    <row r="2639" spans="1:8" x14ac:dyDescent="0.2">
      <c r="A2639" s="597">
        <v>42799</v>
      </c>
      <c r="B2639" s="41" t="s">
        <v>16</v>
      </c>
      <c r="C2639" s="41" t="s">
        <v>1230</v>
      </c>
      <c r="D2639" s="108" t="s">
        <v>1843</v>
      </c>
      <c r="E2639" s="58">
        <v>16357.142857142859</v>
      </c>
      <c r="F2639" s="58"/>
      <c r="G2639" s="58">
        <f t="shared" si="45"/>
        <v>-16357.142857142859</v>
      </c>
      <c r="H2639" s="49" t="s">
        <v>2132</v>
      </c>
    </row>
    <row r="2640" spans="1:8" x14ac:dyDescent="0.2">
      <c r="A2640" s="597">
        <v>42799</v>
      </c>
      <c r="B2640" s="41" t="s">
        <v>16</v>
      </c>
      <c r="C2640" s="41" t="s">
        <v>1230</v>
      </c>
      <c r="D2640" s="108" t="s">
        <v>1844</v>
      </c>
      <c r="E2640" s="58">
        <v>21000</v>
      </c>
      <c r="F2640" s="58"/>
      <c r="G2640" s="58">
        <f t="shared" si="45"/>
        <v>-21000</v>
      </c>
      <c r="H2640" s="49" t="s">
        <v>2132</v>
      </c>
    </row>
    <row r="2641" spans="1:8" x14ac:dyDescent="0.2">
      <c r="A2641" s="597">
        <v>42799</v>
      </c>
      <c r="B2641" s="41" t="s">
        <v>40</v>
      </c>
      <c r="C2641" s="41" t="s">
        <v>1230</v>
      </c>
      <c r="D2641" s="108" t="s">
        <v>2181</v>
      </c>
      <c r="E2641" s="58">
        <v>10915.178571428571</v>
      </c>
      <c r="F2641" s="58"/>
      <c r="G2641" s="58">
        <f t="shared" si="45"/>
        <v>-10915.178571428571</v>
      </c>
      <c r="H2641" s="49" t="s">
        <v>2132</v>
      </c>
    </row>
    <row r="2642" spans="1:8" x14ac:dyDescent="0.2">
      <c r="A2642" s="597">
        <v>42799</v>
      </c>
      <c r="B2642" s="41" t="s">
        <v>1400</v>
      </c>
      <c r="C2642" s="41" t="s">
        <v>1230</v>
      </c>
      <c r="D2642" s="108" t="s">
        <v>1684</v>
      </c>
      <c r="E2642" s="58">
        <v>17000</v>
      </c>
      <c r="F2642" s="58"/>
      <c r="G2642" s="58">
        <f t="shared" si="45"/>
        <v>-17000</v>
      </c>
      <c r="H2642" s="49" t="s">
        <v>2132</v>
      </c>
    </row>
    <row r="2643" spans="1:8" x14ac:dyDescent="0.2">
      <c r="A2643" s="597">
        <v>42799</v>
      </c>
      <c r="B2643" s="41" t="s">
        <v>1400</v>
      </c>
      <c r="C2643" s="41" t="s">
        <v>1230</v>
      </c>
      <c r="D2643" s="108" t="s">
        <v>1550</v>
      </c>
      <c r="E2643" s="58">
        <v>18000</v>
      </c>
      <c r="F2643" s="58"/>
      <c r="G2643" s="58">
        <f t="shared" si="45"/>
        <v>-18000</v>
      </c>
      <c r="H2643" s="49" t="s">
        <v>2132</v>
      </c>
    </row>
    <row r="2644" spans="1:8" x14ac:dyDescent="0.2">
      <c r="A2644" s="597">
        <v>42799</v>
      </c>
      <c r="B2644" s="41" t="s">
        <v>1400</v>
      </c>
      <c r="C2644" s="41" t="s">
        <v>1230</v>
      </c>
      <c r="D2644" s="108" t="s">
        <v>1998</v>
      </c>
      <c r="E2644" s="58">
        <v>9187.5</v>
      </c>
      <c r="F2644" s="58"/>
      <c r="G2644" s="58">
        <f t="shared" si="45"/>
        <v>-9187.5</v>
      </c>
      <c r="H2644" s="49" t="s">
        <v>2132</v>
      </c>
    </row>
    <row r="2645" spans="1:8" x14ac:dyDescent="0.2">
      <c r="A2645" s="597">
        <v>42799</v>
      </c>
      <c r="B2645" s="41" t="s">
        <v>1400</v>
      </c>
      <c r="C2645" s="41" t="s">
        <v>1230</v>
      </c>
      <c r="D2645" s="108" t="s">
        <v>2182</v>
      </c>
      <c r="E2645" s="58">
        <v>1300</v>
      </c>
      <c r="F2645" s="58"/>
      <c r="G2645" s="58">
        <f t="shared" si="45"/>
        <v>-1300</v>
      </c>
      <c r="H2645" s="49" t="s">
        <v>2132</v>
      </c>
    </row>
    <row r="2646" spans="1:8" x14ac:dyDescent="0.2">
      <c r="A2646" s="597">
        <v>42799</v>
      </c>
      <c r="B2646" s="41" t="s">
        <v>1400</v>
      </c>
      <c r="C2646" s="41" t="s">
        <v>1230</v>
      </c>
      <c r="D2646" s="108" t="s">
        <v>1871</v>
      </c>
      <c r="E2646" s="58">
        <v>37500</v>
      </c>
      <c r="F2646" s="58"/>
      <c r="G2646" s="58">
        <f t="shared" si="45"/>
        <v>-37500</v>
      </c>
      <c r="H2646" s="49" t="s">
        <v>2132</v>
      </c>
    </row>
    <row r="2647" spans="1:8" x14ac:dyDescent="0.2">
      <c r="A2647" s="597">
        <v>42799</v>
      </c>
      <c r="B2647" s="41" t="s">
        <v>40</v>
      </c>
      <c r="C2647" s="41" t="s">
        <v>1230</v>
      </c>
      <c r="D2647" s="108" t="s">
        <v>1848</v>
      </c>
      <c r="E2647" s="58">
        <v>14125</v>
      </c>
      <c r="F2647" s="58"/>
      <c r="G2647" s="58">
        <f t="shared" si="45"/>
        <v>-14125</v>
      </c>
      <c r="H2647" s="49" t="s">
        <v>2132</v>
      </c>
    </row>
    <row r="2648" spans="1:8" x14ac:dyDescent="0.2">
      <c r="A2648" s="597">
        <v>42799</v>
      </c>
      <c r="B2648" s="41" t="s">
        <v>40</v>
      </c>
      <c r="C2648" s="41" t="s">
        <v>1230</v>
      </c>
      <c r="D2648" s="108" t="s">
        <v>1849</v>
      </c>
      <c r="E2648" s="58">
        <v>14564.732142857143</v>
      </c>
      <c r="F2648" s="58"/>
      <c r="G2648" s="58">
        <f t="shared" si="45"/>
        <v>-14564.732142857143</v>
      </c>
      <c r="H2648" s="49" t="s">
        <v>2132</v>
      </c>
    </row>
    <row r="2649" spans="1:8" x14ac:dyDescent="0.2">
      <c r="A2649" s="597">
        <v>42799</v>
      </c>
      <c r="B2649" s="41" t="s">
        <v>40</v>
      </c>
      <c r="C2649" s="41" t="s">
        <v>1230</v>
      </c>
      <c r="D2649" s="108" t="s">
        <v>1855</v>
      </c>
      <c r="E2649" s="58">
        <v>19919.642857142859</v>
      </c>
      <c r="F2649" s="58"/>
      <c r="G2649" s="58">
        <f t="shared" si="45"/>
        <v>-19919.642857142859</v>
      </c>
      <c r="H2649" s="49" t="s">
        <v>2132</v>
      </c>
    </row>
    <row r="2650" spans="1:8" x14ac:dyDescent="0.2">
      <c r="A2650" s="597">
        <v>42799</v>
      </c>
      <c r="B2650" s="41" t="s">
        <v>40</v>
      </c>
      <c r="C2650" s="41" t="s">
        <v>1230</v>
      </c>
      <c r="D2650" s="108" t="s">
        <v>1856</v>
      </c>
      <c r="E2650" s="58">
        <v>11375</v>
      </c>
      <c r="F2650" s="58"/>
      <c r="G2650" s="58">
        <f t="shared" si="45"/>
        <v>-11375</v>
      </c>
      <c r="H2650" s="49" t="s">
        <v>2132</v>
      </c>
    </row>
    <row r="2651" spans="1:8" x14ac:dyDescent="0.2">
      <c r="A2651" s="597">
        <v>42799</v>
      </c>
      <c r="B2651" s="41" t="s">
        <v>40</v>
      </c>
      <c r="C2651" s="41" t="s">
        <v>1230</v>
      </c>
      <c r="D2651" s="108" t="s">
        <v>1862</v>
      </c>
      <c r="E2651" s="58">
        <v>14883.928571428572</v>
      </c>
      <c r="F2651" s="58"/>
      <c r="G2651" s="58">
        <f t="shared" si="45"/>
        <v>-14883.928571428572</v>
      </c>
      <c r="H2651" s="49" t="s">
        <v>2132</v>
      </c>
    </row>
    <row r="2652" spans="1:8" x14ac:dyDescent="0.2">
      <c r="A2652" s="597">
        <v>42799</v>
      </c>
      <c r="B2652" s="41" t="s">
        <v>40</v>
      </c>
      <c r="C2652" s="41" t="s">
        <v>1230</v>
      </c>
      <c r="D2652" s="108" t="s">
        <v>1866</v>
      </c>
      <c r="E2652" s="58">
        <v>18000</v>
      </c>
      <c r="F2652" s="58"/>
      <c r="G2652" s="58">
        <f t="shared" si="45"/>
        <v>-18000</v>
      </c>
      <c r="H2652" s="49" t="s">
        <v>2132</v>
      </c>
    </row>
    <row r="2653" spans="1:8" x14ac:dyDescent="0.2">
      <c r="A2653" s="597">
        <v>42799</v>
      </c>
      <c r="B2653" s="41" t="s">
        <v>40</v>
      </c>
      <c r="C2653" s="41" t="s">
        <v>1230</v>
      </c>
      <c r="D2653" s="108" t="s">
        <v>1873</v>
      </c>
      <c r="E2653" s="58">
        <v>9732.1428571428587</v>
      </c>
      <c r="F2653" s="58"/>
      <c r="G2653" s="58">
        <f t="shared" si="45"/>
        <v>-9732.1428571428587</v>
      </c>
      <c r="H2653" s="49" t="s">
        <v>2132</v>
      </c>
    </row>
    <row r="2654" spans="1:8" x14ac:dyDescent="0.2">
      <c r="A2654" s="597">
        <v>42799</v>
      </c>
      <c r="B2654" s="41" t="s">
        <v>18</v>
      </c>
      <c r="C2654" s="41" t="s">
        <v>1230</v>
      </c>
      <c r="D2654" s="108" t="s">
        <v>1851</v>
      </c>
      <c r="E2654" s="58">
        <v>8285.7142857142862</v>
      </c>
      <c r="F2654" s="58"/>
      <c r="G2654" s="58">
        <f t="shared" si="45"/>
        <v>-8285.7142857142862</v>
      </c>
      <c r="H2654" s="49" t="s">
        <v>2132</v>
      </c>
    </row>
    <row r="2655" spans="1:8" x14ac:dyDescent="0.2">
      <c r="A2655" s="597">
        <v>42799</v>
      </c>
      <c r="B2655" s="41" t="s">
        <v>2094</v>
      </c>
      <c r="C2655" s="41" t="s">
        <v>1230</v>
      </c>
      <c r="D2655" s="108" t="s">
        <v>1863</v>
      </c>
      <c r="E2655" s="58">
        <v>21361.607142857145</v>
      </c>
      <c r="F2655" s="58"/>
      <c r="G2655" s="58">
        <f t="shared" si="45"/>
        <v>-21361.607142857145</v>
      </c>
      <c r="H2655" s="49" t="s">
        <v>2132</v>
      </c>
    </row>
    <row r="2656" spans="1:8" x14ac:dyDescent="0.2">
      <c r="A2656" s="597">
        <v>42799</v>
      </c>
      <c r="B2656" s="41" t="s">
        <v>37</v>
      </c>
      <c r="C2656" s="41" t="s">
        <v>1230</v>
      </c>
      <c r="D2656" s="108" t="s">
        <v>1857</v>
      </c>
      <c r="E2656" s="58">
        <v>10245.535714285714</v>
      </c>
      <c r="F2656" s="58"/>
      <c r="G2656" s="58">
        <f t="shared" si="45"/>
        <v>-10245.535714285714</v>
      </c>
      <c r="H2656" s="49" t="s">
        <v>2132</v>
      </c>
    </row>
    <row r="2657" spans="1:8" x14ac:dyDescent="0.2">
      <c r="A2657" s="597">
        <v>42799</v>
      </c>
      <c r="B2657" s="41" t="s">
        <v>37</v>
      </c>
      <c r="C2657" s="41" t="s">
        <v>1230</v>
      </c>
      <c r="D2657" s="108" t="s">
        <v>1867</v>
      </c>
      <c r="E2657" s="58">
        <v>12935.267857142857</v>
      </c>
      <c r="F2657" s="58"/>
      <c r="G2657" s="58">
        <f t="shared" si="45"/>
        <v>-12935.267857142857</v>
      </c>
      <c r="H2657" s="49" t="s">
        <v>2132</v>
      </c>
    </row>
    <row r="2658" spans="1:8" x14ac:dyDescent="0.2">
      <c r="A2658" s="597">
        <v>42799</v>
      </c>
      <c r="B2658" s="41" t="s">
        <v>37</v>
      </c>
      <c r="C2658" s="41" t="s">
        <v>1230</v>
      </c>
      <c r="D2658" s="108" t="s">
        <v>1868</v>
      </c>
      <c r="E2658" s="58">
        <v>14674.107142857141</v>
      </c>
      <c r="F2658" s="58"/>
      <c r="G2658" s="58">
        <f t="shared" si="45"/>
        <v>-14674.107142857141</v>
      </c>
      <c r="H2658" s="49" t="s">
        <v>2132</v>
      </c>
    </row>
    <row r="2659" spans="1:8" x14ac:dyDescent="0.2">
      <c r="A2659" s="597">
        <v>42799</v>
      </c>
      <c r="B2659" s="41" t="s">
        <v>37</v>
      </c>
      <c r="C2659" s="41" t="s">
        <v>1230</v>
      </c>
      <c r="D2659" s="108" t="s">
        <v>1869</v>
      </c>
      <c r="E2659" s="58">
        <v>10084.821428571429</v>
      </c>
      <c r="F2659" s="58"/>
      <c r="G2659" s="58">
        <f t="shared" si="45"/>
        <v>-10084.821428571429</v>
      </c>
      <c r="H2659" s="49" t="s">
        <v>2132</v>
      </c>
    </row>
    <row r="2660" spans="1:8" x14ac:dyDescent="0.2">
      <c r="A2660" s="597">
        <v>42799</v>
      </c>
      <c r="B2660" s="41" t="s">
        <v>37</v>
      </c>
      <c r="C2660" s="41" t="s">
        <v>1230</v>
      </c>
      <c r="D2660" s="108" t="s">
        <v>1575</v>
      </c>
      <c r="E2660" s="58">
        <v>10044.642857142857</v>
      </c>
      <c r="F2660" s="58"/>
      <c r="G2660" s="58">
        <f t="shared" si="45"/>
        <v>-10044.642857142857</v>
      </c>
      <c r="H2660" s="49" t="s">
        <v>2132</v>
      </c>
    </row>
    <row r="2661" spans="1:8" x14ac:dyDescent="0.2">
      <c r="A2661" s="597">
        <v>42799</v>
      </c>
      <c r="B2661" s="41" t="s">
        <v>2094</v>
      </c>
      <c r="C2661" s="41" t="s">
        <v>1230</v>
      </c>
      <c r="D2661" s="108" t="s">
        <v>1864</v>
      </c>
      <c r="E2661" s="58">
        <v>25515.625</v>
      </c>
      <c r="F2661" s="58"/>
      <c r="G2661" s="58">
        <f t="shared" si="45"/>
        <v>-25515.625</v>
      </c>
      <c r="H2661" s="49" t="s">
        <v>2132</v>
      </c>
    </row>
    <row r="2662" spans="1:8" x14ac:dyDescent="0.2">
      <c r="A2662" s="597">
        <v>42799</v>
      </c>
      <c r="B2662" s="41" t="s">
        <v>2094</v>
      </c>
      <c r="C2662" s="41" t="s">
        <v>1230</v>
      </c>
      <c r="D2662" s="108" t="s">
        <v>1865</v>
      </c>
      <c r="E2662" s="58">
        <v>10674.107142857143</v>
      </c>
      <c r="F2662" s="58"/>
      <c r="G2662" s="58">
        <f t="shared" si="45"/>
        <v>-10674.107142857143</v>
      </c>
      <c r="H2662" s="49" t="s">
        <v>2132</v>
      </c>
    </row>
    <row r="2663" spans="1:8" x14ac:dyDescent="0.2">
      <c r="A2663" s="597">
        <v>42799</v>
      </c>
      <c r="B2663" s="41" t="s">
        <v>11</v>
      </c>
      <c r="C2663" s="41" t="s">
        <v>1230</v>
      </c>
      <c r="D2663" s="108" t="s">
        <v>1870</v>
      </c>
      <c r="E2663" s="58">
        <v>5000</v>
      </c>
      <c r="F2663" s="58"/>
      <c r="G2663" s="58">
        <f t="shared" si="45"/>
        <v>-5000</v>
      </c>
      <c r="H2663" s="49" t="s">
        <v>2132</v>
      </c>
    </row>
    <row r="2664" spans="1:8" x14ac:dyDescent="0.2">
      <c r="A2664" s="597">
        <v>42799</v>
      </c>
      <c r="B2664" s="41" t="s">
        <v>25</v>
      </c>
      <c r="C2664" s="41" t="s">
        <v>1230</v>
      </c>
      <c r="D2664" s="108" t="s">
        <v>2183</v>
      </c>
      <c r="E2664" s="58">
        <v>18000</v>
      </c>
      <c r="F2664" s="58"/>
      <c r="G2664" s="58">
        <f t="shared" si="45"/>
        <v>-18000</v>
      </c>
      <c r="H2664" s="49" t="s">
        <v>2132</v>
      </c>
    </row>
    <row r="2665" spans="1:8" x14ac:dyDescent="0.2">
      <c r="A2665" s="597">
        <v>42799</v>
      </c>
      <c r="B2665" s="41" t="s">
        <v>16</v>
      </c>
      <c r="C2665" s="41" t="s">
        <v>1230</v>
      </c>
      <c r="D2665" s="108" t="s">
        <v>2184</v>
      </c>
      <c r="E2665" s="58">
        <v>10000</v>
      </c>
      <c r="F2665" s="58"/>
      <c r="G2665" s="58">
        <f t="shared" si="45"/>
        <v>-10000</v>
      </c>
      <c r="H2665" s="49" t="s">
        <v>2132</v>
      </c>
    </row>
    <row r="2666" spans="1:8" x14ac:dyDescent="0.2">
      <c r="A2666" s="597">
        <v>42795</v>
      </c>
      <c r="B2666" s="41" t="s">
        <v>1400</v>
      </c>
      <c r="C2666" s="41" t="s">
        <v>64</v>
      </c>
      <c r="D2666" s="108" t="s">
        <v>2185</v>
      </c>
      <c r="E2666" s="58">
        <v>16380</v>
      </c>
      <c r="F2666" s="58"/>
      <c r="G2666" s="58">
        <f t="shared" si="45"/>
        <v>-16380</v>
      </c>
      <c r="H2666" s="49" t="s">
        <v>2132</v>
      </c>
    </row>
    <row r="2667" spans="1:8" x14ac:dyDescent="0.2">
      <c r="A2667" s="597">
        <v>42795</v>
      </c>
      <c r="B2667" s="41" t="s">
        <v>82</v>
      </c>
      <c r="C2667" s="41" t="s">
        <v>64</v>
      </c>
      <c r="D2667" s="108" t="s">
        <v>1228</v>
      </c>
      <c r="E2667" s="58">
        <v>8280</v>
      </c>
      <c r="F2667" s="58"/>
      <c r="G2667" s="58">
        <f t="shared" si="45"/>
        <v>-8280</v>
      </c>
      <c r="H2667" s="49" t="s">
        <v>2132</v>
      </c>
    </row>
    <row r="2668" spans="1:8" x14ac:dyDescent="0.2">
      <c r="A2668" s="597">
        <v>42795</v>
      </c>
      <c r="B2668" s="41" t="s">
        <v>1400</v>
      </c>
      <c r="C2668" s="41" t="s">
        <v>1704</v>
      </c>
      <c r="D2668" s="108" t="s">
        <v>1744</v>
      </c>
      <c r="E2668" s="58">
        <v>505</v>
      </c>
      <c r="F2668" s="58"/>
      <c r="G2668" s="58">
        <f t="shared" si="45"/>
        <v>-505</v>
      </c>
      <c r="H2668" s="49" t="s">
        <v>2132</v>
      </c>
    </row>
    <row r="2669" spans="1:8" x14ac:dyDescent="0.2">
      <c r="A2669" s="597">
        <v>42795</v>
      </c>
      <c r="B2669" s="41" t="s">
        <v>2094</v>
      </c>
      <c r="C2669" s="41" t="s">
        <v>450</v>
      </c>
      <c r="D2669" s="108" t="s">
        <v>2186</v>
      </c>
      <c r="E2669" s="58">
        <v>9185</v>
      </c>
      <c r="F2669" s="58"/>
      <c r="G2669" s="58">
        <f t="shared" si="45"/>
        <v>-9185</v>
      </c>
      <c r="H2669" s="49" t="s">
        <v>2132</v>
      </c>
    </row>
    <row r="2670" spans="1:8" x14ac:dyDescent="0.2">
      <c r="A2670" s="597">
        <v>42795</v>
      </c>
      <c r="B2670" s="41" t="s">
        <v>16</v>
      </c>
      <c r="C2670" s="41" t="s">
        <v>773</v>
      </c>
      <c r="D2670" s="108" t="s">
        <v>2187</v>
      </c>
      <c r="E2670" s="58">
        <v>160</v>
      </c>
      <c r="F2670" s="58"/>
      <c r="G2670" s="58">
        <f t="shared" si="45"/>
        <v>-160</v>
      </c>
      <c r="H2670" s="49" t="s">
        <v>2132</v>
      </c>
    </row>
    <row r="2671" spans="1:8" x14ac:dyDescent="0.2">
      <c r="A2671" s="597">
        <v>42796</v>
      </c>
      <c r="B2671" s="41" t="s">
        <v>1691</v>
      </c>
      <c r="C2671" s="41" t="s">
        <v>372</v>
      </c>
      <c r="D2671" s="108" t="s">
        <v>2188</v>
      </c>
      <c r="E2671" s="58">
        <v>1500</v>
      </c>
      <c r="F2671" s="58"/>
      <c r="G2671" s="58">
        <f t="shared" si="45"/>
        <v>-1500</v>
      </c>
      <c r="H2671" s="49" t="s">
        <v>2132</v>
      </c>
    </row>
    <row r="2672" spans="1:8" x14ac:dyDescent="0.2">
      <c r="A2672" s="597">
        <v>42796</v>
      </c>
      <c r="B2672" s="41" t="s">
        <v>2094</v>
      </c>
      <c r="C2672" s="41" t="s">
        <v>1894</v>
      </c>
      <c r="D2672" s="108" t="s">
        <v>2189</v>
      </c>
      <c r="E2672" s="58">
        <v>555</v>
      </c>
      <c r="F2672" s="58"/>
      <c r="G2672" s="58">
        <f t="shared" si="45"/>
        <v>-555</v>
      </c>
      <c r="H2672" s="49" t="s">
        <v>2132</v>
      </c>
    </row>
    <row r="2673" spans="1:8" x14ac:dyDescent="0.2">
      <c r="A2673" s="597">
        <v>42796</v>
      </c>
      <c r="B2673" s="41" t="s">
        <v>1400</v>
      </c>
      <c r="C2673" s="41" t="s">
        <v>1704</v>
      </c>
      <c r="D2673" s="129" t="s">
        <v>2190</v>
      </c>
      <c r="E2673" s="58">
        <v>900</v>
      </c>
      <c r="F2673" s="58"/>
      <c r="G2673" s="58">
        <f t="shared" si="45"/>
        <v>-900</v>
      </c>
      <c r="H2673" s="49" t="s">
        <v>2132</v>
      </c>
    </row>
    <row r="2674" spans="1:8" x14ac:dyDescent="0.2">
      <c r="A2674" s="597">
        <v>42796</v>
      </c>
      <c r="B2674" s="41" t="s">
        <v>2094</v>
      </c>
      <c r="C2674" s="41" t="s">
        <v>149</v>
      </c>
      <c r="D2674" s="129" t="s">
        <v>2200</v>
      </c>
      <c r="E2674" s="58">
        <v>450</v>
      </c>
      <c r="F2674" s="58"/>
      <c r="G2674" s="58">
        <f t="shared" si="45"/>
        <v>-450</v>
      </c>
      <c r="H2674" s="49" t="s">
        <v>2132</v>
      </c>
    </row>
    <row r="2675" spans="1:8" x14ac:dyDescent="0.2">
      <c r="A2675" s="597">
        <v>42797</v>
      </c>
      <c r="B2675" s="41" t="s">
        <v>25</v>
      </c>
      <c r="C2675" s="41" t="s">
        <v>794</v>
      </c>
      <c r="D2675" s="129" t="s">
        <v>2201</v>
      </c>
      <c r="E2675" s="58">
        <v>14000</v>
      </c>
      <c r="F2675" s="58"/>
      <c r="G2675" s="58">
        <f t="shared" si="45"/>
        <v>-14000</v>
      </c>
      <c r="H2675" s="49" t="s">
        <v>2132</v>
      </c>
    </row>
    <row r="2676" spans="1:8" x14ac:dyDescent="0.2">
      <c r="A2676" s="597">
        <v>42797</v>
      </c>
      <c r="B2676" s="41" t="s">
        <v>1400</v>
      </c>
      <c r="C2676" s="41" t="s">
        <v>1704</v>
      </c>
      <c r="D2676" s="129" t="s">
        <v>2143</v>
      </c>
      <c r="E2676" s="58">
        <v>1675</v>
      </c>
      <c r="F2676" s="58"/>
      <c r="G2676" s="58">
        <f t="shared" si="45"/>
        <v>-1675</v>
      </c>
      <c r="H2676" s="49" t="s">
        <v>2132</v>
      </c>
    </row>
    <row r="2677" spans="1:8" ht="24" x14ac:dyDescent="0.2">
      <c r="A2677" s="597">
        <v>42798</v>
      </c>
      <c r="B2677" s="41" t="s">
        <v>1400</v>
      </c>
      <c r="C2677" s="41" t="s">
        <v>773</v>
      </c>
      <c r="D2677" s="129" t="s">
        <v>2202</v>
      </c>
      <c r="E2677" s="58">
        <v>6750</v>
      </c>
      <c r="F2677" s="58"/>
      <c r="G2677" s="58">
        <f t="shared" si="45"/>
        <v>-6750</v>
      </c>
      <c r="H2677" s="49" t="s">
        <v>2132</v>
      </c>
    </row>
    <row r="2678" spans="1:8" x14ac:dyDescent="0.2">
      <c r="A2678" s="597">
        <v>42798</v>
      </c>
      <c r="B2678" s="41" t="s">
        <v>25</v>
      </c>
      <c r="C2678" s="41" t="s">
        <v>2060</v>
      </c>
      <c r="D2678" s="129" t="s">
        <v>2203</v>
      </c>
      <c r="E2678" s="58">
        <v>2400</v>
      </c>
      <c r="F2678" s="58"/>
      <c r="G2678" s="58">
        <f t="shared" si="45"/>
        <v>-2400</v>
      </c>
      <c r="H2678" s="49" t="s">
        <v>2132</v>
      </c>
    </row>
    <row r="2679" spans="1:8" x14ac:dyDescent="0.2">
      <c r="A2679" s="597">
        <v>42798</v>
      </c>
      <c r="B2679" s="41" t="s">
        <v>16</v>
      </c>
      <c r="C2679" s="41" t="s">
        <v>1704</v>
      </c>
      <c r="D2679" s="129" t="s">
        <v>2204</v>
      </c>
      <c r="E2679" s="58">
        <v>120</v>
      </c>
      <c r="F2679" s="58"/>
      <c r="G2679" s="58">
        <f t="shared" si="45"/>
        <v>-120</v>
      </c>
      <c r="H2679" s="49" t="s">
        <v>2132</v>
      </c>
    </row>
    <row r="2680" spans="1:8" x14ac:dyDescent="0.2">
      <c r="A2680" s="597">
        <v>42800</v>
      </c>
      <c r="B2680" s="41" t="s">
        <v>1400</v>
      </c>
      <c r="C2680" s="41" t="s">
        <v>773</v>
      </c>
      <c r="D2680" s="129" t="s">
        <v>2205</v>
      </c>
      <c r="E2680" s="58">
        <v>8750</v>
      </c>
      <c r="F2680" s="58"/>
      <c r="G2680" s="58">
        <f t="shared" si="45"/>
        <v>-8750</v>
      </c>
      <c r="H2680" s="49" t="s">
        <v>2132</v>
      </c>
    </row>
    <row r="2681" spans="1:8" x14ac:dyDescent="0.2">
      <c r="A2681" s="597">
        <v>42800</v>
      </c>
      <c r="B2681" s="41" t="s">
        <v>82</v>
      </c>
      <c r="C2681" s="41" t="s">
        <v>1277</v>
      </c>
      <c r="D2681" s="129" t="s">
        <v>2206</v>
      </c>
      <c r="E2681" s="58">
        <v>4150</v>
      </c>
      <c r="F2681" s="58"/>
      <c r="G2681" s="58">
        <f t="shared" si="45"/>
        <v>-4150</v>
      </c>
      <c r="H2681" s="49" t="s">
        <v>2132</v>
      </c>
    </row>
    <row r="2682" spans="1:8" ht="24" x14ac:dyDescent="0.2">
      <c r="A2682" s="597">
        <v>42801</v>
      </c>
      <c r="B2682" s="41" t="s">
        <v>25</v>
      </c>
      <c r="C2682" s="41" t="s">
        <v>1894</v>
      </c>
      <c r="D2682" s="129" t="s">
        <v>2208</v>
      </c>
      <c r="E2682" s="58">
        <v>145000</v>
      </c>
      <c r="F2682" s="58"/>
      <c r="G2682" s="58">
        <f t="shared" si="45"/>
        <v>-145000</v>
      </c>
      <c r="H2682" s="49" t="s">
        <v>2132</v>
      </c>
    </row>
    <row r="2683" spans="1:8" x14ac:dyDescent="0.2">
      <c r="A2683" s="597">
        <v>42801</v>
      </c>
      <c r="B2683" s="41" t="s">
        <v>1493</v>
      </c>
      <c r="C2683" s="41" t="s">
        <v>220</v>
      </c>
      <c r="D2683" s="129" t="s">
        <v>2209</v>
      </c>
      <c r="E2683" s="58">
        <v>2725</v>
      </c>
      <c r="F2683" s="58"/>
      <c r="G2683" s="58">
        <f t="shared" si="45"/>
        <v>-2725</v>
      </c>
      <c r="H2683" s="49" t="s">
        <v>2132</v>
      </c>
    </row>
    <row r="2684" spans="1:8" x14ac:dyDescent="0.2">
      <c r="A2684" s="597">
        <v>42801</v>
      </c>
      <c r="B2684" s="41" t="s">
        <v>2094</v>
      </c>
      <c r="C2684" s="41" t="s">
        <v>220</v>
      </c>
      <c r="D2684" s="129" t="s">
        <v>2210</v>
      </c>
      <c r="E2684" s="58">
        <v>1440</v>
      </c>
      <c r="F2684" s="58"/>
      <c r="G2684" s="58">
        <f t="shared" si="45"/>
        <v>-1440</v>
      </c>
      <c r="H2684" s="49" t="s">
        <v>2132</v>
      </c>
    </row>
    <row r="2685" spans="1:8" x14ac:dyDescent="0.2">
      <c r="A2685" s="597">
        <v>42801</v>
      </c>
      <c r="B2685" s="41" t="s">
        <v>82</v>
      </c>
      <c r="C2685" s="41" t="s">
        <v>484</v>
      </c>
      <c r="D2685" s="129" t="s">
        <v>370</v>
      </c>
      <c r="E2685" s="58">
        <v>1500</v>
      </c>
      <c r="F2685" s="58"/>
      <c r="G2685" s="58">
        <f t="shared" si="45"/>
        <v>-1500</v>
      </c>
      <c r="H2685" s="49" t="s">
        <v>2132</v>
      </c>
    </row>
    <row r="2686" spans="1:8" x14ac:dyDescent="0.2">
      <c r="A2686" s="597">
        <v>42801</v>
      </c>
      <c r="B2686" s="41" t="s">
        <v>2094</v>
      </c>
      <c r="C2686" s="41" t="s">
        <v>773</v>
      </c>
      <c r="D2686" s="129" t="s">
        <v>2211</v>
      </c>
      <c r="E2686" s="58">
        <v>2150</v>
      </c>
      <c r="F2686" s="58"/>
      <c r="G2686" s="58">
        <f t="shared" si="45"/>
        <v>-2150</v>
      </c>
      <c r="H2686" s="49" t="s">
        <v>2132</v>
      </c>
    </row>
    <row r="2687" spans="1:8" x14ac:dyDescent="0.2">
      <c r="A2687" s="597">
        <v>42802</v>
      </c>
      <c r="B2687" s="41" t="s">
        <v>1400</v>
      </c>
      <c r="C2687" s="41" t="s">
        <v>1704</v>
      </c>
      <c r="D2687" s="129" t="s">
        <v>2143</v>
      </c>
      <c r="E2687" s="58">
        <v>225</v>
      </c>
      <c r="F2687" s="58"/>
      <c r="G2687" s="58">
        <f t="shared" si="45"/>
        <v>-225</v>
      </c>
      <c r="H2687" s="49" t="s">
        <v>2132</v>
      </c>
    </row>
    <row r="2688" spans="1:8" x14ac:dyDescent="0.2">
      <c r="A2688" s="597">
        <v>42802</v>
      </c>
      <c r="B2688" s="41" t="s">
        <v>16</v>
      </c>
      <c r="C2688" s="41" t="s">
        <v>2212</v>
      </c>
      <c r="D2688" s="129" t="s">
        <v>2213</v>
      </c>
      <c r="E2688" s="58">
        <v>2400</v>
      </c>
      <c r="F2688" s="58"/>
      <c r="G2688" s="58">
        <f t="shared" si="45"/>
        <v>-2400</v>
      </c>
      <c r="H2688" s="49" t="s">
        <v>2132</v>
      </c>
    </row>
    <row r="2689" spans="1:8" x14ac:dyDescent="0.2">
      <c r="A2689" s="597">
        <v>42802</v>
      </c>
      <c r="B2689" s="41" t="s">
        <v>16</v>
      </c>
      <c r="C2689" s="41" t="s">
        <v>1704</v>
      </c>
      <c r="D2689" s="129" t="s">
        <v>2214</v>
      </c>
      <c r="E2689" s="58">
        <v>8500</v>
      </c>
      <c r="F2689" s="58"/>
      <c r="G2689" s="58">
        <f t="shared" si="45"/>
        <v>-8500</v>
      </c>
      <c r="H2689" s="49" t="s">
        <v>2132</v>
      </c>
    </row>
    <row r="2690" spans="1:8" x14ac:dyDescent="0.2">
      <c r="A2690" s="597">
        <v>42803</v>
      </c>
      <c r="B2690" s="41" t="s">
        <v>1400</v>
      </c>
      <c r="C2690" s="41" t="s">
        <v>1704</v>
      </c>
      <c r="D2690" s="129" t="s">
        <v>2143</v>
      </c>
      <c r="E2690" s="58">
        <v>50</v>
      </c>
      <c r="F2690" s="58"/>
      <c r="G2690" s="58">
        <f t="shared" si="45"/>
        <v>-50</v>
      </c>
      <c r="H2690" s="49" t="s">
        <v>2132</v>
      </c>
    </row>
    <row r="2691" spans="1:8" x14ac:dyDescent="0.2">
      <c r="A2691" s="597">
        <v>42803</v>
      </c>
      <c r="B2691" s="41" t="s">
        <v>16</v>
      </c>
      <c r="C2691" s="41" t="s">
        <v>1704</v>
      </c>
      <c r="D2691" s="129" t="s">
        <v>2215</v>
      </c>
      <c r="E2691" s="58">
        <v>50</v>
      </c>
      <c r="F2691" s="58"/>
      <c r="G2691" s="58">
        <f t="shared" si="45"/>
        <v>-50</v>
      </c>
      <c r="H2691" s="49" t="s">
        <v>2132</v>
      </c>
    </row>
    <row r="2692" spans="1:8" x14ac:dyDescent="0.2">
      <c r="A2692" s="597">
        <v>42804</v>
      </c>
      <c r="B2692" s="41" t="s">
        <v>25</v>
      </c>
      <c r="C2692" s="41" t="s">
        <v>1687</v>
      </c>
      <c r="D2692" s="129" t="s">
        <v>2216</v>
      </c>
      <c r="E2692" s="58">
        <v>500</v>
      </c>
      <c r="F2692" s="58"/>
      <c r="G2692" s="58">
        <f t="shared" si="45"/>
        <v>-500</v>
      </c>
      <c r="H2692" s="49" t="s">
        <v>2132</v>
      </c>
    </row>
    <row r="2693" spans="1:8" x14ac:dyDescent="0.2">
      <c r="A2693" s="597">
        <v>42804</v>
      </c>
      <c r="B2693" s="41" t="s">
        <v>1400</v>
      </c>
      <c r="C2693" s="41" t="s">
        <v>2217</v>
      </c>
      <c r="D2693" s="129" t="s">
        <v>2218</v>
      </c>
      <c r="E2693" s="58">
        <v>3000</v>
      </c>
      <c r="F2693" s="58"/>
      <c r="G2693" s="58">
        <f t="shared" si="45"/>
        <v>-3000</v>
      </c>
      <c r="H2693" s="49" t="s">
        <v>2132</v>
      </c>
    </row>
    <row r="2694" spans="1:8" x14ac:dyDescent="0.2">
      <c r="A2694" s="597">
        <v>42804</v>
      </c>
      <c r="B2694" s="41" t="s">
        <v>1400</v>
      </c>
      <c r="C2694" s="41" t="s">
        <v>1704</v>
      </c>
      <c r="D2694" s="129" t="s">
        <v>2143</v>
      </c>
      <c r="E2694" s="58">
        <v>255</v>
      </c>
      <c r="F2694" s="58"/>
      <c r="G2694" s="58">
        <f t="shared" si="45"/>
        <v>-255</v>
      </c>
      <c r="H2694" s="49" t="s">
        <v>2132</v>
      </c>
    </row>
    <row r="2695" spans="1:8" x14ac:dyDescent="0.2">
      <c r="A2695" s="597">
        <v>42804</v>
      </c>
      <c r="B2695" s="41" t="s">
        <v>2094</v>
      </c>
      <c r="C2695" s="41" t="s">
        <v>149</v>
      </c>
      <c r="D2695" s="129" t="s">
        <v>2219</v>
      </c>
      <c r="E2695" s="58">
        <v>2030</v>
      </c>
      <c r="F2695" s="58"/>
      <c r="G2695" s="58">
        <f t="shared" si="45"/>
        <v>-2030</v>
      </c>
      <c r="H2695" s="49" t="s">
        <v>2132</v>
      </c>
    </row>
    <row r="2696" spans="1:8" x14ac:dyDescent="0.2">
      <c r="A2696" s="597">
        <v>42807</v>
      </c>
      <c r="B2696" s="41" t="s">
        <v>82</v>
      </c>
      <c r="C2696" s="41" t="s">
        <v>1277</v>
      </c>
      <c r="D2696" s="129" t="s">
        <v>2220</v>
      </c>
      <c r="E2696" s="58">
        <v>8210</v>
      </c>
      <c r="F2696" s="58"/>
      <c r="G2696" s="58">
        <f t="shared" si="45"/>
        <v>-8210</v>
      </c>
      <c r="H2696" s="49" t="s">
        <v>2132</v>
      </c>
    </row>
    <row r="2697" spans="1:8" x14ac:dyDescent="0.2">
      <c r="A2697" s="597">
        <v>42807</v>
      </c>
      <c r="B2697" s="41" t="s">
        <v>16</v>
      </c>
      <c r="C2697" s="41" t="s">
        <v>773</v>
      </c>
      <c r="D2697" s="129" t="s">
        <v>2221</v>
      </c>
      <c r="E2697" s="58">
        <v>8500</v>
      </c>
      <c r="F2697" s="58"/>
      <c r="G2697" s="58">
        <f t="shared" ref="G2697:G2760" si="46">F2697-E2697</f>
        <v>-8500</v>
      </c>
      <c r="H2697" s="49" t="s">
        <v>2132</v>
      </c>
    </row>
    <row r="2698" spans="1:8" x14ac:dyDescent="0.2">
      <c r="A2698" s="597">
        <v>42808</v>
      </c>
      <c r="B2698" s="41" t="s">
        <v>1400</v>
      </c>
      <c r="C2698" s="41" t="s">
        <v>773</v>
      </c>
      <c r="D2698" s="129" t="s">
        <v>2137</v>
      </c>
      <c r="E2698" s="58">
        <v>1940</v>
      </c>
      <c r="F2698" s="58"/>
      <c r="G2698" s="58">
        <f t="shared" si="46"/>
        <v>-1940</v>
      </c>
      <c r="H2698" s="49" t="s">
        <v>2132</v>
      </c>
    </row>
    <row r="2699" spans="1:8" ht="24" x14ac:dyDescent="0.2">
      <c r="A2699" s="597">
        <v>42808</v>
      </c>
      <c r="B2699" s="41" t="s">
        <v>2094</v>
      </c>
      <c r="C2699" s="41" t="s">
        <v>63</v>
      </c>
      <c r="D2699" s="129" t="s">
        <v>2222</v>
      </c>
      <c r="E2699" s="58">
        <v>18030</v>
      </c>
      <c r="F2699" s="58"/>
      <c r="G2699" s="58">
        <f t="shared" si="46"/>
        <v>-18030</v>
      </c>
      <c r="H2699" s="49" t="s">
        <v>2132</v>
      </c>
    </row>
    <row r="2700" spans="1:8" x14ac:dyDescent="0.2">
      <c r="A2700" s="597">
        <v>42809</v>
      </c>
      <c r="B2700" s="41" t="s">
        <v>40</v>
      </c>
      <c r="C2700" s="41" t="s">
        <v>325</v>
      </c>
      <c r="D2700" s="129" t="s">
        <v>2223</v>
      </c>
      <c r="E2700" s="58">
        <v>1000</v>
      </c>
      <c r="F2700" s="58"/>
      <c r="G2700" s="58">
        <f t="shared" si="46"/>
        <v>-1000</v>
      </c>
      <c r="H2700" s="49" t="s">
        <v>2132</v>
      </c>
    </row>
    <row r="2701" spans="1:8" x14ac:dyDescent="0.2">
      <c r="A2701" s="597">
        <v>42809</v>
      </c>
      <c r="B2701" s="41" t="s">
        <v>82</v>
      </c>
      <c r="C2701" s="41" t="s">
        <v>325</v>
      </c>
      <c r="D2701" s="129" t="s">
        <v>286</v>
      </c>
      <c r="E2701" s="58">
        <v>415</v>
      </c>
      <c r="F2701" s="58"/>
      <c r="G2701" s="58">
        <f t="shared" si="46"/>
        <v>-415</v>
      </c>
      <c r="H2701" s="49" t="s">
        <v>2132</v>
      </c>
    </row>
    <row r="2702" spans="1:8" x14ac:dyDescent="0.2">
      <c r="A2702" s="597">
        <v>42809</v>
      </c>
      <c r="B2702" s="41" t="s">
        <v>40</v>
      </c>
      <c r="C2702" s="41" t="s">
        <v>773</v>
      </c>
      <c r="D2702" s="129" t="s">
        <v>853</v>
      </c>
      <c r="E2702" s="58">
        <v>2200</v>
      </c>
      <c r="F2702" s="58"/>
      <c r="G2702" s="58">
        <f t="shared" si="46"/>
        <v>-2200</v>
      </c>
      <c r="H2702" s="49" t="s">
        <v>2132</v>
      </c>
    </row>
    <row r="2703" spans="1:8" x14ac:dyDescent="0.2">
      <c r="A2703" s="597">
        <v>42809</v>
      </c>
      <c r="B2703" s="41" t="s">
        <v>18</v>
      </c>
      <c r="C2703" s="41" t="s">
        <v>668</v>
      </c>
      <c r="D2703" s="129" t="s">
        <v>2231</v>
      </c>
      <c r="E2703" s="58">
        <v>3070</v>
      </c>
      <c r="F2703" s="58"/>
      <c r="G2703" s="58">
        <f t="shared" si="46"/>
        <v>-3070</v>
      </c>
      <c r="H2703" s="49" t="s">
        <v>2132</v>
      </c>
    </row>
    <row r="2704" spans="1:8" x14ac:dyDescent="0.2">
      <c r="A2704" s="597">
        <v>42809</v>
      </c>
      <c r="B2704" s="41" t="s">
        <v>82</v>
      </c>
      <c r="C2704" s="41" t="s">
        <v>668</v>
      </c>
      <c r="D2704" s="129" t="s">
        <v>2231</v>
      </c>
      <c r="E2704" s="58">
        <v>1390</v>
      </c>
      <c r="F2704" s="58"/>
      <c r="G2704" s="58">
        <f t="shared" si="46"/>
        <v>-1390</v>
      </c>
      <c r="H2704" s="49" t="s">
        <v>2132</v>
      </c>
    </row>
    <row r="2705" spans="1:8" x14ac:dyDescent="0.2">
      <c r="A2705" s="597">
        <v>42809</v>
      </c>
      <c r="B2705" s="41" t="s">
        <v>82</v>
      </c>
      <c r="C2705" s="41" t="s">
        <v>668</v>
      </c>
      <c r="D2705" s="129" t="s">
        <v>2232</v>
      </c>
      <c r="E2705" s="58">
        <v>370</v>
      </c>
      <c r="F2705" s="58"/>
      <c r="G2705" s="58">
        <f t="shared" si="46"/>
        <v>-370</v>
      </c>
      <c r="H2705" s="49" t="s">
        <v>2132</v>
      </c>
    </row>
    <row r="2706" spans="1:8" x14ac:dyDescent="0.2">
      <c r="A2706" s="597">
        <v>42810</v>
      </c>
      <c r="B2706" s="41" t="s">
        <v>16</v>
      </c>
      <c r="C2706" s="41" t="s">
        <v>773</v>
      </c>
      <c r="D2706" s="129" t="s">
        <v>2233</v>
      </c>
      <c r="E2706" s="58">
        <v>125</v>
      </c>
      <c r="F2706" s="58"/>
      <c r="G2706" s="58">
        <f t="shared" si="46"/>
        <v>-125</v>
      </c>
      <c r="H2706" s="49" t="s">
        <v>2132</v>
      </c>
    </row>
    <row r="2707" spans="1:8" x14ac:dyDescent="0.2">
      <c r="A2707" s="597">
        <v>42810</v>
      </c>
      <c r="B2707" s="41" t="s">
        <v>2094</v>
      </c>
      <c r="C2707" s="41" t="s">
        <v>63</v>
      </c>
      <c r="D2707" s="129" t="s">
        <v>2228</v>
      </c>
      <c r="E2707" s="58">
        <v>100</v>
      </c>
      <c r="F2707" s="58"/>
      <c r="G2707" s="58">
        <f t="shared" si="46"/>
        <v>-100</v>
      </c>
      <c r="H2707" s="49" t="s">
        <v>2132</v>
      </c>
    </row>
    <row r="2708" spans="1:8" x14ac:dyDescent="0.2">
      <c r="A2708" s="597">
        <v>42810</v>
      </c>
      <c r="B2708" s="41" t="s">
        <v>1400</v>
      </c>
      <c r="C2708" s="41" t="s">
        <v>773</v>
      </c>
      <c r="D2708" s="129" t="s">
        <v>900</v>
      </c>
      <c r="E2708" s="58">
        <v>2100</v>
      </c>
      <c r="F2708" s="58"/>
      <c r="G2708" s="58">
        <f t="shared" si="46"/>
        <v>-2100</v>
      </c>
      <c r="H2708" s="49" t="s">
        <v>2132</v>
      </c>
    </row>
    <row r="2709" spans="1:8" x14ac:dyDescent="0.2">
      <c r="A2709" s="597">
        <v>42811</v>
      </c>
      <c r="B2709" s="41" t="s">
        <v>2094</v>
      </c>
      <c r="C2709" s="41" t="s">
        <v>149</v>
      </c>
      <c r="D2709" s="129" t="s">
        <v>2224</v>
      </c>
      <c r="E2709" s="58">
        <v>1270</v>
      </c>
      <c r="F2709" s="58"/>
      <c r="G2709" s="58">
        <f t="shared" si="46"/>
        <v>-1270</v>
      </c>
      <c r="H2709" s="49" t="s">
        <v>2132</v>
      </c>
    </row>
    <row r="2710" spans="1:8" x14ac:dyDescent="0.2">
      <c r="A2710" s="597">
        <v>42812</v>
      </c>
      <c r="B2710" s="41" t="s">
        <v>18</v>
      </c>
      <c r="C2710" s="41" t="s">
        <v>668</v>
      </c>
      <c r="D2710" s="129" t="s">
        <v>2225</v>
      </c>
      <c r="E2710" s="58">
        <v>2760</v>
      </c>
      <c r="F2710" s="58"/>
      <c r="G2710" s="58">
        <f t="shared" si="46"/>
        <v>-2760</v>
      </c>
      <c r="H2710" s="49" t="s">
        <v>2132</v>
      </c>
    </row>
    <row r="2711" spans="1:8" x14ac:dyDescent="0.2">
      <c r="A2711" s="597">
        <v>42812</v>
      </c>
      <c r="B2711" s="41" t="s">
        <v>2094</v>
      </c>
      <c r="C2711" s="41" t="s">
        <v>63</v>
      </c>
      <c r="D2711" s="129" t="s">
        <v>2226</v>
      </c>
      <c r="E2711" s="58">
        <v>10730</v>
      </c>
      <c r="F2711" s="58"/>
      <c r="G2711" s="58">
        <f t="shared" si="46"/>
        <v>-10730</v>
      </c>
      <c r="H2711" s="49" t="s">
        <v>2132</v>
      </c>
    </row>
    <row r="2712" spans="1:8" ht="36" x14ac:dyDescent="0.2">
      <c r="A2712" s="597">
        <v>42814</v>
      </c>
      <c r="B2712" s="41" t="s">
        <v>1400</v>
      </c>
      <c r="C2712" s="41" t="s">
        <v>64</v>
      </c>
      <c r="D2712" s="129" t="s">
        <v>2229</v>
      </c>
      <c r="E2712" s="58">
        <v>17384</v>
      </c>
      <c r="F2712" s="58"/>
      <c r="G2712" s="58">
        <f t="shared" si="46"/>
        <v>-17384</v>
      </c>
      <c r="H2712" s="49" t="s">
        <v>2132</v>
      </c>
    </row>
    <row r="2713" spans="1:8" x14ac:dyDescent="0.2">
      <c r="A2713" s="597">
        <v>42814</v>
      </c>
      <c r="B2713" s="41" t="s">
        <v>40</v>
      </c>
      <c r="C2713" s="41" t="s">
        <v>325</v>
      </c>
      <c r="D2713" s="129" t="s">
        <v>2230</v>
      </c>
      <c r="E2713" s="58">
        <v>1650</v>
      </c>
      <c r="F2713" s="58"/>
      <c r="G2713" s="58">
        <f t="shared" si="46"/>
        <v>-1650</v>
      </c>
      <c r="H2713" s="49" t="s">
        <v>2132</v>
      </c>
    </row>
    <row r="2714" spans="1:8" x14ac:dyDescent="0.2">
      <c r="A2714" s="597">
        <v>42814</v>
      </c>
      <c r="B2714" s="41" t="s">
        <v>2094</v>
      </c>
      <c r="C2714" s="41" t="s">
        <v>450</v>
      </c>
      <c r="D2714" s="129" t="s">
        <v>2234</v>
      </c>
      <c r="E2714" s="58">
        <v>820</v>
      </c>
      <c r="F2714" s="58"/>
      <c r="G2714" s="58">
        <f t="shared" si="46"/>
        <v>-820</v>
      </c>
      <c r="H2714" s="49" t="s">
        <v>2132</v>
      </c>
    </row>
    <row r="2715" spans="1:8" x14ac:dyDescent="0.2">
      <c r="A2715" s="597">
        <v>42815</v>
      </c>
      <c r="B2715" s="41" t="s">
        <v>1400</v>
      </c>
      <c r="C2715" s="41" t="s">
        <v>1704</v>
      </c>
      <c r="D2715" s="129" t="s">
        <v>1410</v>
      </c>
      <c r="E2715" s="58">
        <v>1170</v>
      </c>
      <c r="F2715" s="58"/>
      <c r="G2715" s="58">
        <f t="shared" si="46"/>
        <v>-1170</v>
      </c>
      <c r="H2715" s="49" t="s">
        <v>2132</v>
      </c>
    </row>
    <row r="2716" spans="1:8" ht="24" x14ac:dyDescent="0.2">
      <c r="A2716" s="597">
        <v>42815</v>
      </c>
      <c r="B2716" s="41" t="s">
        <v>16</v>
      </c>
      <c r="C2716" s="41" t="s">
        <v>551</v>
      </c>
      <c r="D2716" s="129" t="s">
        <v>2235</v>
      </c>
      <c r="E2716" s="58">
        <v>1000</v>
      </c>
      <c r="F2716" s="58"/>
      <c r="G2716" s="58">
        <f t="shared" si="46"/>
        <v>-1000</v>
      </c>
      <c r="H2716" s="49" t="s">
        <v>2132</v>
      </c>
    </row>
    <row r="2717" spans="1:8" x14ac:dyDescent="0.2">
      <c r="A2717" s="597">
        <v>42815</v>
      </c>
      <c r="B2717" s="41" t="s">
        <v>25</v>
      </c>
      <c r="C2717" s="41" t="s">
        <v>1894</v>
      </c>
      <c r="D2717" s="129" t="s">
        <v>2236</v>
      </c>
      <c r="E2717" s="58">
        <v>1500</v>
      </c>
      <c r="F2717" s="58"/>
      <c r="G2717" s="58">
        <f t="shared" si="46"/>
        <v>-1500</v>
      </c>
      <c r="H2717" s="49" t="s">
        <v>2132</v>
      </c>
    </row>
    <row r="2718" spans="1:8" x14ac:dyDescent="0.2">
      <c r="A2718" s="597">
        <v>42816</v>
      </c>
      <c r="B2718" s="41" t="s">
        <v>40</v>
      </c>
      <c r="C2718" s="41" t="s">
        <v>1983</v>
      </c>
      <c r="D2718" s="129" t="s">
        <v>2237</v>
      </c>
      <c r="E2718" s="58">
        <v>30000</v>
      </c>
      <c r="F2718" s="58"/>
      <c r="G2718" s="58">
        <f t="shared" si="46"/>
        <v>-30000</v>
      </c>
      <c r="H2718" s="49" t="s">
        <v>2132</v>
      </c>
    </row>
    <row r="2719" spans="1:8" x14ac:dyDescent="0.2">
      <c r="A2719" s="597">
        <v>42817</v>
      </c>
      <c r="B2719" s="41" t="s">
        <v>2094</v>
      </c>
      <c r="C2719" s="41" t="s">
        <v>63</v>
      </c>
      <c r="D2719" s="129" t="s">
        <v>370</v>
      </c>
      <c r="E2719" s="58">
        <v>10000</v>
      </c>
      <c r="F2719" s="58"/>
      <c r="G2719" s="58">
        <f t="shared" si="46"/>
        <v>-10000</v>
      </c>
      <c r="H2719" s="49" t="s">
        <v>2132</v>
      </c>
    </row>
    <row r="2720" spans="1:8" x14ac:dyDescent="0.2">
      <c r="A2720" s="597">
        <v>42818</v>
      </c>
      <c r="B2720" s="41" t="s">
        <v>40</v>
      </c>
      <c r="C2720" s="41" t="s">
        <v>929</v>
      </c>
      <c r="D2720" s="129" t="s">
        <v>2167</v>
      </c>
      <c r="E2720" s="58">
        <v>10000</v>
      </c>
      <c r="F2720" s="58"/>
      <c r="G2720" s="58">
        <f t="shared" si="46"/>
        <v>-10000</v>
      </c>
      <c r="H2720" s="49" t="s">
        <v>2132</v>
      </c>
    </row>
    <row r="2721" spans="1:8" x14ac:dyDescent="0.2">
      <c r="A2721" s="597">
        <v>42818</v>
      </c>
      <c r="B2721" s="41" t="s">
        <v>82</v>
      </c>
      <c r="C2721" s="41" t="s">
        <v>2238</v>
      </c>
      <c r="D2721" s="129" t="s">
        <v>2239</v>
      </c>
      <c r="E2721" s="58">
        <v>50000</v>
      </c>
      <c r="F2721" s="58"/>
      <c r="G2721" s="58">
        <f t="shared" si="46"/>
        <v>-50000</v>
      </c>
      <c r="H2721" s="49" t="s">
        <v>2132</v>
      </c>
    </row>
    <row r="2722" spans="1:8" x14ac:dyDescent="0.2">
      <c r="A2722" s="597">
        <v>42818</v>
      </c>
      <c r="B2722" s="41" t="s">
        <v>2094</v>
      </c>
      <c r="C2722" s="41" t="s">
        <v>63</v>
      </c>
      <c r="D2722" s="129" t="s">
        <v>2240</v>
      </c>
      <c r="E2722" s="58">
        <v>180</v>
      </c>
      <c r="F2722" s="58"/>
      <c r="G2722" s="58">
        <f t="shared" si="46"/>
        <v>-180</v>
      </c>
      <c r="H2722" s="49" t="s">
        <v>2132</v>
      </c>
    </row>
    <row r="2723" spans="1:8" x14ac:dyDescent="0.2">
      <c r="A2723" s="597">
        <v>42818</v>
      </c>
      <c r="B2723" s="41" t="s">
        <v>82</v>
      </c>
      <c r="C2723" s="41" t="s">
        <v>372</v>
      </c>
      <c r="D2723" s="129" t="s">
        <v>2241</v>
      </c>
      <c r="E2723" s="58">
        <v>3500</v>
      </c>
      <c r="F2723" s="58"/>
      <c r="G2723" s="58">
        <f t="shared" si="46"/>
        <v>-3500</v>
      </c>
      <c r="H2723" s="49" t="s">
        <v>2132</v>
      </c>
    </row>
    <row r="2724" spans="1:8" ht="12.75" customHeight="1" x14ac:dyDescent="0.2">
      <c r="A2724" s="597">
        <v>42818</v>
      </c>
      <c r="B2724" s="41" t="s">
        <v>16</v>
      </c>
      <c r="C2724" s="41" t="s">
        <v>220</v>
      </c>
      <c r="D2724" s="129" t="s">
        <v>703</v>
      </c>
      <c r="E2724" s="58">
        <v>250</v>
      </c>
      <c r="F2724" s="58"/>
      <c r="G2724" s="58">
        <f t="shared" si="46"/>
        <v>-250</v>
      </c>
      <c r="H2724" s="49" t="s">
        <v>2132</v>
      </c>
    </row>
    <row r="2725" spans="1:8" ht="36" x14ac:dyDescent="0.2">
      <c r="A2725" s="597">
        <v>42819</v>
      </c>
      <c r="B2725" s="63" t="s">
        <v>1400</v>
      </c>
      <c r="C2725" s="63" t="s">
        <v>773</v>
      </c>
      <c r="D2725" s="129" t="s">
        <v>2242</v>
      </c>
      <c r="E2725" s="58">
        <v>12600</v>
      </c>
      <c r="F2725" s="58"/>
      <c r="G2725" s="58">
        <f t="shared" si="46"/>
        <v>-12600</v>
      </c>
      <c r="H2725" s="49" t="s">
        <v>2132</v>
      </c>
    </row>
    <row r="2726" spans="1:8" x14ac:dyDescent="0.2">
      <c r="A2726" s="597">
        <v>42819</v>
      </c>
      <c r="B2726" s="41" t="s">
        <v>2094</v>
      </c>
      <c r="C2726" s="41" t="s">
        <v>149</v>
      </c>
      <c r="D2726" s="129" t="s">
        <v>2243</v>
      </c>
      <c r="E2726" s="58">
        <v>1540</v>
      </c>
      <c r="F2726" s="58"/>
      <c r="G2726" s="58">
        <f t="shared" si="46"/>
        <v>-1540</v>
      </c>
      <c r="H2726" s="49" t="s">
        <v>2132</v>
      </c>
    </row>
    <row r="2727" spans="1:8" x14ac:dyDescent="0.2">
      <c r="A2727" s="597">
        <v>42819</v>
      </c>
      <c r="B2727" s="41" t="s">
        <v>82</v>
      </c>
      <c r="C2727" s="41" t="s">
        <v>220</v>
      </c>
      <c r="D2727" s="129" t="s">
        <v>2244</v>
      </c>
      <c r="E2727" s="58">
        <v>645</v>
      </c>
      <c r="F2727" s="58"/>
      <c r="G2727" s="58">
        <f t="shared" si="46"/>
        <v>-645</v>
      </c>
      <c r="H2727" s="49" t="s">
        <v>2132</v>
      </c>
    </row>
    <row r="2728" spans="1:8" x14ac:dyDescent="0.2">
      <c r="A2728" s="597">
        <v>42821</v>
      </c>
      <c r="B2728" s="41" t="s">
        <v>2094</v>
      </c>
      <c r="C2728" s="41" t="s">
        <v>63</v>
      </c>
      <c r="D2728" s="129" t="s">
        <v>2237</v>
      </c>
      <c r="E2728" s="58">
        <v>3000</v>
      </c>
      <c r="F2728" s="58"/>
      <c r="G2728" s="58">
        <f t="shared" si="46"/>
        <v>-3000</v>
      </c>
      <c r="H2728" s="49" t="s">
        <v>2132</v>
      </c>
    </row>
    <row r="2729" spans="1:8" ht="24" x14ac:dyDescent="0.2">
      <c r="A2729" s="597">
        <v>42821</v>
      </c>
      <c r="B2729" s="41" t="s">
        <v>2094</v>
      </c>
      <c r="C2729" s="41" t="s">
        <v>773</v>
      </c>
      <c r="D2729" s="129" t="s">
        <v>2245</v>
      </c>
      <c r="E2729" s="58">
        <v>200</v>
      </c>
      <c r="F2729" s="58"/>
      <c r="G2729" s="58">
        <f t="shared" si="46"/>
        <v>-200</v>
      </c>
      <c r="H2729" s="49" t="s">
        <v>2132</v>
      </c>
    </row>
    <row r="2730" spans="1:8" x14ac:dyDescent="0.2">
      <c r="A2730" s="597">
        <v>42821</v>
      </c>
      <c r="B2730" s="41" t="s">
        <v>16</v>
      </c>
      <c r="C2730" s="41" t="s">
        <v>1704</v>
      </c>
      <c r="D2730" s="129" t="s">
        <v>2246</v>
      </c>
      <c r="E2730" s="58">
        <v>100</v>
      </c>
      <c r="F2730" s="58"/>
      <c r="G2730" s="58">
        <f t="shared" si="46"/>
        <v>-100</v>
      </c>
      <c r="H2730" s="49" t="s">
        <v>2132</v>
      </c>
    </row>
    <row r="2731" spans="1:8" x14ac:dyDescent="0.2">
      <c r="A2731" s="597">
        <v>42822</v>
      </c>
      <c r="B2731" s="41" t="s">
        <v>25</v>
      </c>
      <c r="C2731" s="41" t="s">
        <v>1005</v>
      </c>
      <c r="D2731" s="129" t="s">
        <v>2247</v>
      </c>
      <c r="E2731" s="58">
        <v>450</v>
      </c>
      <c r="F2731" s="58"/>
      <c r="G2731" s="58">
        <f t="shared" si="46"/>
        <v>-450</v>
      </c>
      <c r="H2731" s="49" t="s">
        <v>2132</v>
      </c>
    </row>
    <row r="2732" spans="1:8" x14ac:dyDescent="0.2">
      <c r="A2732" s="597">
        <v>42822</v>
      </c>
      <c r="B2732" s="41" t="s">
        <v>16</v>
      </c>
      <c r="C2732" s="41" t="s">
        <v>1689</v>
      </c>
      <c r="D2732" s="129" t="s">
        <v>2248</v>
      </c>
      <c r="E2732" s="58">
        <v>13569</v>
      </c>
      <c r="F2732" s="58"/>
      <c r="G2732" s="58">
        <f t="shared" si="46"/>
        <v>-13569</v>
      </c>
      <c r="H2732" s="49" t="s">
        <v>2132</v>
      </c>
    </row>
    <row r="2733" spans="1:8" x14ac:dyDescent="0.2">
      <c r="A2733" s="597">
        <v>42822</v>
      </c>
      <c r="B2733" s="41" t="s">
        <v>25</v>
      </c>
      <c r="C2733" s="41" t="s">
        <v>1689</v>
      </c>
      <c r="D2733" s="129" t="s">
        <v>2249</v>
      </c>
      <c r="E2733" s="58">
        <v>9919</v>
      </c>
      <c r="F2733" s="58"/>
      <c r="G2733" s="58">
        <f t="shared" si="46"/>
        <v>-9919</v>
      </c>
      <c r="H2733" s="49" t="s">
        <v>2132</v>
      </c>
    </row>
    <row r="2734" spans="1:8" x14ac:dyDescent="0.2">
      <c r="A2734" s="597">
        <v>42822</v>
      </c>
      <c r="B2734" s="41" t="s">
        <v>2094</v>
      </c>
      <c r="C2734" s="41" t="s">
        <v>63</v>
      </c>
      <c r="D2734" s="129" t="s">
        <v>343</v>
      </c>
      <c r="E2734" s="58">
        <v>2000</v>
      </c>
      <c r="F2734" s="58"/>
      <c r="G2734" s="58">
        <f t="shared" si="46"/>
        <v>-2000</v>
      </c>
      <c r="H2734" s="49" t="s">
        <v>2132</v>
      </c>
    </row>
    <row r="2735" spans="1:8" x14ac:dyDescent="0.2">
      <c r="A2735" s="597">
        <v>42823</v>
      </c>
      <c r="B2735" s="41" t="s">
        <v>18</v>
      </c>
      <c r="C2735" s="41" t="s">
        <v>668</v>
      </c>
      <c r="D2735" s="129" t="s">
        <v>270</v>
      </c>
      <c r="E2735" s="58">
        <v>4000</v>
      </c>
      <c r="F2735" s="58"/>
      <c r="G2735" s="58">
        <f t="shared" si="46"/>
        <v>-4000</v>
      </c>
      <c r="H2735" s="49" t="s">
        <v>2132</v>
      </c>
    </row>
    <row r="2736" spans="1:8" x14ac:dyDescent="0.2">
      <c r="A2736" s="597">
        <v>42823</v>
      </c>
      <c r="B2736" s="41" t="s">
        <v>2094</v>
      </c>
      <c r="C2736" s="41" t="s">
        <v>450</v>
      </c>
      <c r="D2736" s="129" t="s">
        <v>2250</v>
      </c>
      <c r="E2736" s="58">
        <v>1220</v>
      </c>
      <c r="F2736" s="58"/>
      <c r="G2736" s="58">
        <f t="shared" si="46"/>
        <v>-1220</v>
      </c>
      <c r="H2736" s="49" t="s">
        <v>2132</v>
      </c>
    </row>
    <row r="2737" spans="1:8" x14ac:dyDescent="0.2">
      <c r="A2737" s="597">
        <v>42823</v>
      </c>
      <c r="B2737" s="41" t="s">
        <v>2094</v>
      </c>
      <c r="C2737" s="41" t="s">
        <v>63</v>
      </c>
      <c r="D2737" s="129" t="s">
        <v>2251</v>
      </c>
      <c r="E2737" s="58">
        <v>3300</v>
      </c>
      <c r="F2737" s="58"/>
      <c r="G2737" s="58">
        <f t="shared" si="46"/>
        <v>-3300</v>
      </c>
      <c r="H2737" s="49" t="s">
        <v>2132</v>
      </c>
    </row>
    <row r="2738" spans="1:8" x14ac:dyDescent="0.2">
      <c r="A2738" s="597">
        <v>42823</v>
      </c>
      <c r="B2738" s="41" t="s">
        <v>2094</v>
      </c>
      <c r="C2738" s="41" t="s">
        <v>1277</v>
      </c>
      <c r="D2738" s="129" t="s">
        <v>2252</v>
      </c>
      <c r="E2738" s="58">
        <v>200</v>
      </c>
      <c r="F2738" s="58"/>
      <c r="G2738" s="58">
        <f t="shared" si="46"/>
        <v>-200</v>
      </c>
      <c r="H2738" s="49" t="s">
        <v>2132</v>
      </c>
    </row>
    <row r="2739" spans="1:8" x14ac:dyDescent="0.2">
      <c r="A2739" s="597">
        <v>42824</v>
      </c>
      <c r="B2739" s="41" t="s">
        <v>82</v>
      </c>
      <c r="C2739" s="41" t="s">
        <v>63</v>
      </c>
      <c r="D2739" s="129" t="s">
        <v>2253</v>
      </c>
      <c r="E2739" s="58">
        <v>8000</v>
      </c>
      <c r="F2739" s="58"/>
      <c r="G2739" s="58">
        <f t="shared" si="46"/>
        <v>-8000</v>
      </c>
      <c r="H2739" s="49" t="s">
        <v>2132</v>
      </c>
    </row>
    <row r="2740" spans="1:8" x14ac:dyDescent="0.2">
      <c r="A2740" s="597">
        <v>42824</v>
      </c>
      <c r="B2740" s="41" t="s">
        <v>16</v>
      </c>
      <c r="C2740" s="41" t="s">
        <v>220</v>
      </c>
      <c r="D2740" s="129" t="s">
        <v>2254</v>
      </c>
      <c r="E2740" s="58">
        <v>2000</v>
      </c>
      <c r="F2740" s="58"/>
      <c r="G2740" s="58">
        <f t="shared" si="46"/>
        <v>-2000</v>
      </c>
      <c r="H2740" s="49" t="s">
        <v>2132</v>
      </c>
    </row>
    <row r="2741" spans="1:8" x14ac:dyDescent="0.2">
      <c r="A2741" s="597">
        <v>42824</v>
      </c>
      <c r="B2741" s="41" t="s">
        <v>2094</v>
      </c>
      <c r="C2741" s="41" t="s">
        <v>220</v>
      </c>
      <c r="D2741" s="129" t="s">
        <v>2255</v>
      </c>
      <c r="E2741" s="58">
        <v>3055</v>
      </c>
      <c r="F2741" s="58"/>
      <c r="G2741" s="58">
        <f t="shared" si="46"/>
        <v>-3055</v>
      </c>
      <c r="H2741" s="49" t="s">
        <v>2132</v>
      </c>
    </row>
    <row r="2742" spans="1:8" x14ac:dyDescent="0.2">
      <c r="A2742" s="597">
        <v>42824</v>
      </c>
      <c r="B2742" s="41" t="s">
        <v>154</v>
      </c>
      <c r="C2742" s="41" t="s">
        <v>220</v>
      </c>
      <c r="D2742" s="1109" t="s">
        <v>286</v>
      </c>
      <c r="E2742" s="58">
        <v>260</v>
      </c>
      <c r="F2742" s="58"/>
      <c r="G2742" s="58">
        <f t="shared" si="46"/>
        <v>-260</v>
      </c>
      <c r="H2742" s="49" t="s">
        <v>2132</v>
      </c>
    </row>
    <row r="2743" spans="1:8" x14ac:dyDescent="0.2">
      <c r="A2743" s="597">
        <v>42824</v>
      </c>
      <c r="B2743" s="41" t="s">
        <v>16</v>
      </c>
      <c r="C2743" s="41" t="s">
        <v>372</v>
      </c>
      <c r="D2743" s="129" t="s">
        <v>2256</v>
      </c>
      <c r="E2743" s="58">
        <v>1000</v>
      </c>
      <c r="F2743" s="58"/>
      <c r="G2743" s="58">
        <f t="shared" si="46"/>
        <v>-1000</v>
      </c>
      <c r="H2743" s="49" t="s">
        <v>2132</v>
      </c>
    </row>
    <row r="2744" spans="1:8" x14ac:dyDescent="0.2">
      <c r="A2744" s="597">
        <v>42825</v>
      </c>
      <c r="B2744" s="41" t="s">
        <v>40</v>
      </c>
      <c r="C2744" s="41" t="s">
        <v>2261</v>
      </c>
      <c r="D2744" s="129" t="s">
        <v>2262</v>
      </c>
      <c r="E2744" s="58">
        <v>150</v>
      </c>
      <c r="F2744" s="58"/>
      <c r="G2744" s="58">
        <f t="shared" si="46"/>
        <v>-150</v>
      </c>
      <c r="H2744" s="49" t="s">
        <v>2132</v>
      </c>
    </row>
    <row r="2745" spans="1:8" x14ac:dyDescent="0.2">
      <c r="A2745" s="597">
        <v>42825</v>
      </c>
      <c r="B2745" s="41" t="s">
        <v>2094</v>
      </c>
      <c r="C2745" s="41" t="s">
        <v>63</v>
      </c>
      <c r="D2745" s="129" t="s">
        <v>2272</v>
      </c>
      <c r="E2745" s="58">
        <v>11956</v>
      </c>
      <c r="F2745" s="58"/>
      <c r="G2745" s="58">
        <f t="shared" si="46"/>
        <v>-11956</v>
      </c>
      <c r="H2745" s="49" t="s">
        <v>2132</v>
      </c>
    </row>
    <row r="2746" spans="1:8" x14ac:dyDescent="0.2">
      <c r="A2746" s="597">
        <v>42825</v>
      </c>
      <c r="B2746" s="41" t="s">
        <v>2094</v>
      </c>
      <c r="C2746" s="41" t="s">
        <v>63</v>
      </c>
      <c r="D2746" s="129" t="s">
        <v>2273</v>
      </c>
      <c r="E2746" s="58">
        <v>580</v>
      </c>
      <c r="F2746" s="58"/>
      <c r="G2746" s="58">
        <f t="shared" si="46"/>
        <v>-580</v>
      </c>
      <c r="H2746" s="49" t="s">
        <v>2132</v>
      </c>
    </row>
    <row r="2747" spans="1:8" ht="24" x14ac:dyDescent="0.2">
      <c r="A2747" s="597">
        <v>42825</v>
      </c>
      <c r="B2747" s="63" t="s">
        <v>2094</v>
      </c>
      <c r="C2747" s="63" t="s">
        <v>773</v>
      </c>
      <c r="D2747" s="183" t="s">
        <v>2274</v>
      </c>
      <c r="E2747" s="126">
        <v>200</v>
      </c>
      <c r="F2747" s="126"/>
      <c r="G2747" s="126">
        <f t="shared" si="46"/>
        <v>-200</v>
      </c>
      <c r="H2747" s="127" t="s">
        <v>2132</v>
      </c>
    </row>
    <row r="2748" spans="1:8" ht="24" x14ac:dyDescent="0.2">
      <c r="A2748" s="597">
        <v>42825</v>
      </c>
      <c r="B2748" s="63" t="s">
        <v>40</v>
      </c>
      <c r="C2748" s="63" t="s">
        <v>325</v>
      </c>
      <c r="D2748" s="183" t="s">
        <v>2275</v>
      </c>
      <c r="E2748" s="126">
        <v>1860</v>
      </c>
      <c r="F2748" s="126"/>
      <c r="G2748" s="126">
        <f t="shared" si="46"/>
        <v>-1860</v>
      </c>
      <c r="H2748" s="127" t="s">
        <v>2132</v>
      </c>
    </row>
    <row r="2749" spans="1:8" ht="60" x14ac:dyDescent="0.2">
      <c r="A2749" s="597">
        <v>42825</v>
      </c>
      <c r="B2749" s="63" t="s">
        <v>16</v>
      </c>
      <c r="C2749" s="63" t="s">
        <v>199</v>
      </c>
      <c r="D2749" s="183" t="s">
        <v>2276</v>
      </c>
      <c r="E2749" s="126">
        <v>34243</v>
      </c>
      <c r="F2749" s="126"/>
      <c r="G2749" s="126">
        <f t="shared" si="46"/>
        <v>-34243</v>
      </c>
      <c r="H2749" s="127" t="s">
        <v>2132</v>
      </c>
    </row>
    <row r="2750" spans="1:8" ht="15" customHeight="1" x14ac:dyDescent="0.25">
      <c r="A2750" s="602">
        <v>42796</v>
      </c>
      <c r="B2750" s="122" t="s">
        <v>82</v>
      </c>
      <c r="C2750" s="122" t="s">
        <v>2172</v>
      </c>
      <c r="D2750" s="118" t="s">
        <v>2173</v>
      </c>
      <c r="E2750" s="123">
        <v>8650</v>
      </c>
      <c r="F2750" s="123"/>
      <c r="G2750" s="116">
        <f t="shared" si="46"/>
        <v>-8650</v>
      </c>
      <c r="H2750" s="117" t="s">
        <v>2132</v>
      </c>
    </row>
    <row r="2751" spans="1:8" ht="15" customHeight="1" x14ac:dyDescent="0.25">
      <c r="A2751" s="602">
        <v>42796</v>
      </c>
      <c r="B2751" s="122" t="s">
        <v>1400</v>
      </c>
      <c r="C2751" s="122" t="s">
        <v>1815</v>
      </c>
      <c r="D2751" s="118" t="s">
        <v>2174</v>
      </c>
      <c r="E2751" s="123">
        <v>400000</v>
      </c>
      <c r="F2751" s="123"/>
      <c r="G2751" s="116">
        <f t="shared" si="46"/>
        <v>-400000</v>
      </c>
      <c r="H2751" s="117" t="s">
        <v>2132</v>
      </c>
    </row>
    <row r="2752" spans="1:8" ht="15" customHeight="1" x14ac:dyDescent="0.25">
      <c r="A2752" s="602">
        <v>42804</v>
      </c>
      <c r="B2752" s="122" t="s">
        <v>40</v>
      </c>
      <c r="C2752" s="122" t="s">
        <v>1063</v>
      </c>
      <c r="D2752" s="118" t="s">
        <v>2197</v>
      </c>
      <c r="E2752" s="123">
        <v>1600</v>
      </c>
      <c r="F2752" s="123"/>
      <c r="G2752" s="123">
        <f t="shared" si="46"/>
        <v>-1600</v>
      </c>
      <c r="H2752" s="117" t="s">
        <v>2132</v>
      </c>
    </row>
    <row r="2753" spans="1:8" ht="15" customHeight="1" x14ac:dyDescent="0.25">
      <c r="A2753" s="602">
        <v>42804</v>
      </c>
      <c r="B2753" s="122" t="s">
        <v>1400</v>
      </c>
      <c r="C2753" s="122" t="s">
        <v>1063</v>
      </c>
      <c r="D2753" s="118" t="s">
        <v>2197</v>
      </c>
      <c r="E2753" s="123">
        <v>37494</v>
      </c>
      <c r="F2753" s="123"/>
      <c r="G2753" s="123">
        <f t="shared" si="46"/>
        <v>-37494</v>
      </c>
      <c r="H2753" s="117" t="s">
        <v>2132</v>
      </c>
    </row>
    <row r="2754" spans="1:8" ht="15" customHeight="1" x14ac:dyDescent="0.25">
      <c r="A2754" s="602">
        <v>42805</v>
      </c>
      <c r="B2754" s="122" t="s">
        <v>37</v>
      </c>
      <c r="C2754" s="122" t="s">
        <v>2177</v>
      </c>
      <c r="D2754" s="118" t="s">
        <v>2178</v>
      </c>
      <c r="E2754" s="123">
        <v>10000</v>
      </c>
      <c r="F2754" s="123"/>
      <c r="G2754" s="123">
        <f t="shared" si="46"/>
        <v>-10000</v>
      </c>
      <c r="H2754" s="117" t="s">
        <v>2132</v>
      </c>
    </row>
    <row r="2755" spans="1:8" ht="15" customHeight="1" x14ac:dyDescent="0.25">
      <c r="A2755" s="602">
        <v>42807</v>
      </c>
      <c r="B2755" s="122" t="s">
        <v>1400</v>
      </c>
      <c r="C2755" s="122" t="s">
        <v>1230</v>
      </c>
      <c r="D2755" s="118" t="s">
        <v>2175</v>
      </c>
      <c r="E2755" s="123">
        <v>106000</v>
      </c>
      <c r="F2755" s="123"/>
      <c r="G2755" s="123">
        <f t="shared" si="46"/>
        <v>-106000</v>
      </c>
      <c r="H2755" s="117" t="s">
        <v>2132</v>
      </c>
    </row>
    <row r="2756" spans="1:8" ht="15" customHeight="1" x14ac:dyDescent="0.25">
      <c r="A2756" s="602">
        <v>42807</v>
      </c>
      <c r="B2756" s="122" t="s">
        <v>1400</v>
      </c>
      <c r="C2756" s="122" t="s">
        <v>3335</v>
      </c>
      <c r="D2756" s="118" t="s">
        <v>2176</v>
      </c>
      <c r="E2756" s="123">
        <v>22500</v>
      </c>
      <c r="F2756" s="123"/>
      <c r="G2756" s="123">
        <f t="shared" si="46"/>
        <v>-22500</v>
      </c>
      <c r="H2756" s="117" t="s">
        <v>2132</v>
      </c>
    </row>
    <row r="2757" spans="1:8" ht="15" customHeight="1" x14ac:dyDescent="0.25">
      <c r="A2757" s="602">
        <v>42807</v>
      </c>
      <c r="B2757" s="122" t="s">
        <v>2094</v>
      </c>
      <c r="C2757" s="122" t="s">
        <v>1894</v>
      </c>
      <c r="D2757" s="118" t="s">
        <v>2179</v>
      </c>
      <c r="E2757" s="123">
        <v>1000</v>
      </c>
      <c r="F2757" s="123"/>
      <c r="G2757" s="123">
        <f t="shared" si="46"/>
        <v>-1000</v>
      </c>
      <c r="H2757" s="117" t="s">
        <v>2132</v>
      </c>
    </row>
    <row r="2758" spans="1:8" ht="24.75" customHeight="1" x14ac:dyDescent="0.25">
      <c r="A2758" s="602">
        <v>42807</v>
      </c>
      <c r="B2758" s="122" t="s">
        <v>2094</v>
      </c>
      <c r="C2758" s="122" t="s">
        <v>263</v>
      </c>
      <c r="D2758" s="118" t="s">
        <v>2198</v>
      </c>
      <c r="E2758" s="123">
        <v>70127</v>
      </c>
      <c r="F2758" s="123"/>
      <c r="G2758" s="123">
        <f t="shared" si="46"/>
        <v>-70127</v>
      </c>
      <c r="H2758" s="117" t="s">
        <v>2132</v>
      </c>
    </row>
    <row r="2759" spans="1:8" ht="15" customHeight="1" x14ac:dyDescent="0.25">
      <c r="A2759" s="602">
        <v>42818</v>
      </c>
      <c r="B2759" s="122" t="s">
        <v>40</v>
      </c>
      <c r="C2759" s="122" t="s">
        <v>895</v>
      </c>
      <c r="D2759" s="118" t="s">
        <v>2199</v>
      </c>
      <c r="E2759" s="123">
        <v>53140</v>
      </c>
      <c r="F2759" s="123"/>
      <c r="G2759" s="123">
        <f t="shared" si="46"/>
        <v>-53140</v>
      </c>
      <c r="H2759" s="117" t="s">
        <v>2132</v>
      </c>
    </row>
    <row r="2760" spans="1:8" x14ac:dyDescent="0.2">
      <c r="A2760" s="599">
        <v>42801</v>
      </c>
      <c r="B2760" s="91" t="s">
        <v>37</v>
      </c>
      <c r="C2760" s="41" t="s">
        <v>565</v>
      </c>
      <c r="D2760" s="801" t="s">
        <v>2133</v>
      </c>
      <c r="E2760" s="92"/>
      <c r="F2760" s="92">
        <v>268157</v>
      </c>
      <c r="G2760" s="92">
        <f t="shared" si="46"/>
        <v>268157</v>
      </c>
      <c r="H2760" s="93" t="s">
        <v>2132</v>
      </c>
    </row>
    <row r="2761" spans="1:8" x14ac:dyDescent="0.2">
      <c r="A2761" s="599">
        <v>42818</v>
      </c>
      <c r="B2761" s="91" t="s">
        <v>82</v>
      </c>
      <c r="C2761" s="41" t="s">
        <v>2406</v>
      </c>
      <c r="D2761" s="801" t="s">
        <v>2195</v>
      </c>
      <c r="E2761" s="92"/>
      <c r="F2761" s="92">
        <v>153537</v>
      </c>
      <c r="G2761" s="92">
        <f t="shared" ref="G2761:G2824" si="47">F2761-E2761</f>
        <v>153537</v>
      </c>
      <c r="H2761" s="93" t="s">
        <v>2132</v>
      </c>
    </row>
    <row r="2762" spans="1:8" x14ac:dyDescent="0.2">
      <c r="A2762" s="597">
        <v>42830</v>
      </c>
      <c r="B2762" s="41" t="s">
        <v>2094</v>
      </c>
      <c r="C2762" s="41" t="s">
        <v>1230</v>
      </c>
      <c r="D2762" s="108" t="s">
        <v>1836</v>
      </c>
      <c r="E2762" s="58">
        <v>25000</v>
      </c>
      <c r="F2762" s="58"/>
      <c r="G2762" s="58">
        <f t="shared" si="47"/>
        <v>-25000</v>
      </c>
      <c r="H2762" s="49" t="s">
        <v>2257</v>
      </c>
    </row>
    <row r="2763" spans="1:8" x14ac:dyDescent="0.2">
      <c r="A2763" s="597">
        <v>42830</v>
      </c>
      <c r="B2763" s="41" t="s">
        <v>25</v>
      </c>
      <c r="C2763" s="41" t="s">
        <v>1230</v>
      </c>
      <c r="D2763" s="108" t="s">
        <v>1839</v>
      </c>
      <c r="E2763" s="58">
        <v>5000</v>
      </c>
      <c r="F2763" s="58"/>
      <c r="G2763" s="58">
        <f t="shared" si="47"/>
        <v>-5000</v>
      </c>
      <c r="H2763" s="49" t="s">
        <v>2257</v>
      </c>
    </row>
    <row r="2764" spans="1:8" x14ac:dyDescent="0.2">
      <c r="A2764" s="597">
        <v>42830</v>
      </c>
      <c r="B2764" s="41" t="s">
        <v>25</v>
      </c>
      <c r="C2764" s="41" t="s">
        <v>1230</v>
      </c>
      <c r="D2764" s="108" t="s">
        <v>1840</v>
      </c>
      <c r="E2764" s="58">
        <v>4000</v>
      </c>
      <c r="F2764" s="58"/>
      <c r="G2764" s="58">
        <f t="shared" si="47"/>
        <v>-4000</v>
      </c>
      <c r="H2764" s="49" t="s">
        <v>2257</v>
      </c>
    </row>
    <row r="2765" spans="1:8" x14ac:dyDescent="0.2">
      <c r="A2765" s="597">
        <v>42830</v>
      </c>
      <c r="B2765" s="41" t="s">
        <v>25</v>
      </c>
      <c r="C2765" s="41" t="s">
        <v>1230</v>
      </c>
      <c r="D2765" s="108" t="s">
        <v>2183</v>
      </c>
      <c r="E2765" s="58">
        <v>18000</v>
      </c>
      <c r="F2765" s="58"/>
      <c r="G2765" s="58">
        <f t="shared" si="47"/>
        <v>-18000</v>
      </c>
      <c r="H2765" s="49" t="s">
        <v>2257</v>
      </c>
    </row>
    <row r="2766" spans="1:8" x14ac:dyDescent="0.2">
      <c r="A2766" s="597">
        <v>42830</v>
      </c>
      <c r="B2766" s="41" t="s">
        <v>25</v>
      </c>
      <c r="C2766" s="41" t="s">
        <v>1230</v>
      </c>
      <c r="D2766" s="108" t="s">
        <v>1547</v>
      </c>
      <c r="E2766" s="58">
        <v>9000</v>
      </c>
      <c r="F2766" s="58"/>
      <c r="G2766" s="58">
        <f t="shared" si="47"/>
        <v>-9000</v>
      </c>
      <c r="H2766" s="49" t="s">
        <v>2257</v>
      </c>
    </row>
    <row r="2767" spans="1:8" x14ac:dyDescent="0.2">
      <c r="A2767" s="597">
        <v>42830</v>
      </c>
      <c r="B2767" s="41" t="s">
        <v>16</v>
      </c>
      <c r="C2767" s="41" t="s">
        <v>1230</v>
      </c>
      <c r="D2767" s="108" t="s">
        <v>1842</v>
      </c>
      <c r="E2767" s="58">
        <v>25000</v>
      </c>
      <c r="F2767" s="58"/>
      <c r="G2767" s="58">
        <f t="shared" si="47"/>
        <v>-25000</v>
      </c>
      <c r="H2767" s="49" t="s">
        <v>2257</v>
      </c>
    </row>
    <row r="2768" spans="1:8" x14ac:dyDescent="0.2">
      <c r="A2768" s="597">
        <v>42830</v>
      </c>
      <c r="B2768" s="41" t="s">
        <v>16</v>
      </c>
      <c r="C2768" s="41" t="s">
        <v>1230</v>
      </c>
      <c r="D2768" s="108" t="s">
        <v>1843</v>
      </c>
      <c r="E2768" s="58">
        <v>17000</v>
      </c>
      <c r="F2768" s="58"/>
      <c r="G2768" s="58">
        <f t="shared" si="47"/>
        <v>-17000</v>
      </c>
      <c r="H2768" s="49" t="s">
        <v>2257</v>
      </c>
    </row>
    <row r="2769" spans="1:8" x14ac:dyDescent="0.2">
      <c r="A2769" s="597">
        <v>42830</v>
      </c>
      <c r="B2769" s="41" t="s">
        <v>16</v>
      </c>
      <c r="C2769" s="41" t="s">
        <v>1230</v>
      </c>
      <c r="D2769" s="108" t="s">
        <v>1844</v>
      </c>
      <c r="E2769" s="58">
        <v>24000</v>
      </c>
      <c r="F2769" s="58"/>
      <c r="G2769" s="58">
        <f t="shared" si="47"/>
        <v>-24000</v>
      </c>
      <c r="H2769" s="49" t="s">
        <v>2257</v>
      </c>
    </row>
    <row r="2770" spans="1:8" x14ac:dyDescent="0.2">
      <c r="A2770" s="597">
        <v>42830</v>
      </c>
      <c r="B2770" s="41" t="s">
        <v>16</v>
      </c>
      <c r="C2770" s="41" t="s">
        <v>1230</v>
      </c>
      <c r="D2770" s="108" t="s">
        <v>2184</v>
      </c>
      <c r="E2770" s="58">
        <v>10000</v>
      </c>
      <c r="F2770" s="58"/>
      <c r="G2770" s="58">
        <f t="shared" si="47"/>
        <v>-10000</v>
      </c>
      <c r="H2770" s="49" t="s">
        <v>2257</v>
      </c>
    </row>
    <row r="2771" spans="1:8" x14ac:dyDescent="0.2">
      <c r="A2771" s="597">
        <v>42830</v>
      </c>
      <c r="B2771" s="41" t="s">
        <v>1400</v>
      </c>
      <c r="C2771" s="41" t="s">
        <v>1230</v>
      </c>
      <c r="D2771" s="108" t="s">
        <v>1684</v>
      </c>
      <c r="E2771" s="58">
        <v>19000</v>
      </c>
      <c r="F2771" s="58"/>
      <c r="G2771" s="58">
        <f t="shared" si="47"/>
        <v>-19000</v>
      </c>
      <c r="H2771" s="49" t="s">
        <v>2257</v>
      </c>
    </row>
    <row r="2772" spans="1:8" x14ac:dyDescent="0.2">
      <c r="A2772" s="597">
        <v>42830</v>
      </c>
      <c r="B2772" s="41" t="s">
        <v>1400</v>
      </c>
      <c r="C2772" s="41" t="s">
        <v>1230</v>
      </c>
      <c r="D2772" s="108" t="s">
        <v>1550</v>
      </c>
      <c r="E2772" s="58">
        <v>19354.838709677417</v>
      </c>
      <c r="F2772" s="58"/>
      <c r="G2772" s="58">
        <f t="shared" si="47"/>
        <v>-19354.838709677417</v>
      </c>
      <c r="H2772" s="49" t="s">
        <v>2257</v>
      </c>
    </row>
    <row r="2773" spans="1:8" x14ac:dyDescent="0.2">
      <c r="A2773" s="597">
        <v>42830</v>
      </c>
      <c r="B2773" s="41" t="s">
        <v>1400</v>
      </c>
      <c r="C2773" s="41" t="s">
        <v>1230</v>
      </c>
      <c r="D2773" s="108" t="s">
        <v>1998</v>
      </c>
      <c r="E2773" s="58">
        <v>9943.5483870967746</v>
      </c>
      <c r="F2773" s="58"/>
      <c r="G2773" s="58">
        <f t="shared" si="47"/>
        <v>-9943.5483870967746</v>
      </c>
      <c r="H2773" s="49" t="s">
        <v>2257</v>
      </c>
    </row>
    <row r="2774" spans="1:8" x14ac:dyDescent="0.2">
      <c r="A2774" s="597">
        <v>42830</v>
      </c>
      <c r="B2774" s="41" t="s">
        <v>1400</v>
      </c>
      <c r="C2774" s="41" t="s">
        <v>1230</v>
      </c>
      <c r="D2774" s="108" t="s">
        <v>2280</v>
      </c>
      <c r="E2774" s="58">
        <v>9967.7419354838712</v>
      </c>
      <c r="F2774" s="58"/>
      <c r="G2774" s="58">
        <f t="shared" si="47"/>
        <v>-9967.7419354838712</v>
      </c>
      <c r="H2774" s="49" t="s">
        <v>2257</v>
      </c>
    </row>
    <row r="2775" spans="1:8" x14ac:dyDescent="0.2">
      <c r="A2775" s="597">
        <v>42830</v>
      </c>
      <c r="B2775" s="41" t="s">
        <v>1400</v>
      </c>
      <c r="C2775" s="41" t="s">
        <v>1230</v>
      </c>
      <c r="D2775" s="108" t="s">
        <v>1852</v>
      </c>
      <c r="E2775" s="58">
        <v>24919.354838709678</v>
      </c>
      <c r="F2775" s="58"/>
      <c r="G2775" s="58">
        <f t="shared" si="47"/>
        <v>-24919.354838709678</v>
      </c>
      <c r="H2775" s="49" t="s">
        <v>2257</v>
      </c>
    </row>
    <row r="2776" spans="1:8" x14ac:dyDescent="0.2">
      <c r="A2776" s="597">
        <v>42830</v>
      </c>
      <c r="B2776" s="41" t="s">
        <v>1400</v>
      </c>
      <c r="C2776" s="41" t="s">
        <v>1230</v>
      </c>
      <c r="D2776" s="108" t="s">
        <v>1848</v>
      </c>
      <c r="E2776" s="58">
        <v>13544.354838709678</v>
      </c>
      <c r="F2776" s="58"/>
      <c r="G2776" s="58">
        <f t="shared" si="47"/>
        <v>-13544.354838709678</v>
      </c>
      <c r="H2776" s="49" t="s">
        <v>2257</v>
      </c>
    </row>
    <row r="2777" spans="1:8" x14ac:dyDescent="0.2">
      <c r="A2777" s="597">
        <v>42830</v>
      </c>
      <c r="B2777" s="41" t="s">
        <v>1400</v>
      </c>
      <c r="C2777" s="41" t="s">
        <v>1230</v>
      </c>
      <c r="D2777" s="108" t="s">
        <v>1862</v>
      </c>
      <c r="E2777" s="58">
        <v>19096.774193548386</v>
      </c>
      <c r="F2777" s="58"/>
      <c r="G2777" s="58">
        <f t="shared" si="47"/>
        <v>-19096.774193548386</v>
      </c>
      <c r="H2777" s="49" t="s">
        <v>2257</v>
      </c>
    </row>
    <row r="2778" spans="1:8" x14ac:dyDescent="0.2">
      <c r="A2778" s="597">
        <v>42830</v>
      </c>
      <c r="B2778" s="41" t="s">
        <v>1400</v>
      </c>
      <c r="C2778" s="41" t="s">
        <v>1230</v>
      </c>
      <c r="D2778" s="108" t="s">
        <v>1871</v>
      </c>
      <c r="E2778" s="58">
        <v>32000</v>
      </c>
      <c r="F2778" s="58"/>
      <c r="G2778" s="58">
        <f t="shared" si="47"/>
        <v>-32000</v>
      </c>
      <c r="H2778" s="49" t="s">
        <v>2257</v>
      </c>
    </row>
    <row r="2779" spans="1:8" x14ac:dyDescent="0.2">
      <c r="A2779" s="597">
        <v>42830</v>
      </c>
      <c r="B2779" s="41" t="s">
        <v>40</v>
      </c>
      <c r="C2779" s="41" t="s">
        <v>1230</v>
      </c>
      <c r="D2779" s="108" t="s">
        <v>2284</v>
      </c>
      <c r="E2779" s="58">
        <v>18387.096774193549</v>
      </c>
      <c r="F2779" s="58"/>
      <c r="G2779" s="58">
        <f t="shared" si="47"/>
        <v>-18387.096774193549</v>
      </c>
      <c r="H2779" s="49" t="s">
        <v>2257</v>
      </c>
    </row>
    <row r="2780" spans="1:8" x14ac:dyDescent="0.2">
      <c r="A2780" s="597">
        <v>42830</v>
      </c>
      <c r="B2780" s="41" t="s">
        <v>40</v>
      </c>
      <c r="C2780" s="41" t="s">
        <v>1230</v>
      </c>
      <c r="D2780" s="108" t="s">
        <v>1853</v>
      </c>
      <c r="E2780" s="58">
        <v>17087.701612903227</v>
      </c>
      <c r="F2780" s="58"/>
      <c r="G2780" s="58">
        <f t="shared" si="47"/>
        <v>-17087.701612903227</v>
      </c>
      <c r="H2780" s="49" t="s">
        <v>2257</v>
      </c>
    </row>
    <row r="2781" spans="1:8" x14ac:dyDescent="0.2">
      <c r="A2781" s="597">
        <v>42830</v>
      </c>
      <c r="B2781" s="41" t="s">
        <v>40</v>
      </c>
      <c r="C2781" s="41" t="s">
        <v>1230</v>
      </c>
      <c r="D2781" s="108" t="s">
        <v>1855</v>
      </c>
      <c r="E2781" s="58">
        <v>21250</v>
      </c>
      <c r="F2781" s="58"/>
      <c r="G2781" s="58">
        <f t="shared" si="47"/>
        <v>-21250</v>
      </c>
      <c r="H2781" s="49" t="s">
        <v>2257</v>
      </c>
    </row>
    <row r="2782" spans="1:8" x14ac:dyDescent="0.2">
      <c r="A2782" s="597">
        <v>42830</v>
      </c>
      <c r="B2782" s="41" t="s">
        <v>40</v>
      </c>
      <c r="C2782" s="41" t="s">
        <v>1230</v>
      </c>
      <c r="D2782" s="108" t="s">
        <v>1856</v>
      </c>
      <c r="E2782" s="58">
        <v>12387.096774193549</v>
      </c>
      <c r="F2782" s="58"/>
      <c r="G2782" s="58">
        <f t="shared" si="47"/>
        <v>-12387.096774193549</v>
      </c>
      <c r="H2782" s="49" t="s">
        <v>2257</v>
      </c>
    </row>
    <row r="2783" spans="1:8" x14ac:dyDescent="0.2">
      <c r="A2783" s="597">
        <v>42830</v>
      </c>
      <c r="B2783" s="41" t="s">
        <v>40</v>
      </c>
      <c r="C2783" s="41" t="s">
        <v>1230</v>
      </c>
      <c r="D2783" s="108" t="s">
        <v>2181</v>
      </c>
      <c r="E2783" s="58">
        <v>10282.258064516129</v>
      </c>
      <c r="F2783" s="58"/>
      <c r="G2783" s="58">
        <f t="shared" si="47"/>
        <v>-10282.258064516129</v>
      </c>
      <c r="H2783" s="49" t="s">
        <v>2257</v>
      </c>
    </row>
    <row r="2784" spans="1:8" x14ac:dyDescent="0.2">
      <c r="A2784" s="597">
        <v>42830</v>
      </c>
      <c r="B2784" s="41" t="s">
        <v>40</v>
      </c>
      <c r="C2784" s="41" t="s">
        <v>1230</v>
      </c>
      <c r="D2784" s="108" t="s">
        <v>1866</v>
      </c>
      <c r="E2784" s="58">
        <v>17254.032258064515</v>
      </c>
      <c r="F2784" s="58"/>
      <c r="G2784" s="58">
        <f t="shared" si="47"/>
        <v>-17254.032258064515</v>
      </c>
      <c r="H2784" s="49" t="s">
        <v>2257</v>
      </c>
    </row>
    <row r="2785" spans="1:8" x14ac:dyDescent="0.2">
      <c r="A2785" s="597">
        <v>42830</v>
      </c>
      <c r="B2785" s="41" t="s">
        <v>40</v>
      </c>
      <c r="C2785" s="41" t="s">
        <v>1230</v>
      </c>
      <c r="D2785" s="108" t="s">
        <v>1873</v>
      </c>
      <c r="E2785" s="58">
        <v>10241.935483870968</v>
      </c>
      <c r="F2785" s="58"/>
      <c r="G2785" s="58">
        <f t="shared" si="47"/>
        <v>-10241.935483870968</v>
      </c>
      <c r="H2785" s="49" t="s">
        <v>2257</v>
      </c>
    </row>
    <row r="2786" spans="1:8" x14ac:dyDescent="0.2">
      <c r="A2786" s="597">
        <v>42830</v>
      </c>
      <c r="B2786" s="41" t="s">
        <v>18</v>
      </c>
      <c r="C2786" s="41" t="s">
        <v>1230</v>
      </c>
      <c r="D2786" s="108" t="s">
        <v>668</v>
      </c>
      <c r="E2786" s="58">
        <v>11653.225806451614</v>
      </c>
      <c r="F2786" s="58"/>
      <c r="G2786" s="58">
        <f t="shared" si="47"/>
        <v>-11653.225806451614</v>
      </c>
      <c r="H2786" s="49" t="s">
        <v>2257</v>
      </c>
    </row>
    <row r="2787" spans="1:8" x14ac:dyDescent="0.2">
      <c r="A2787" s="597">
        <v>42830</v>
      </c>
      <c r="B2787" s="41" t="s">
        <v>18</v>
      </c>
      <c r="C2787" s="41" t="s">
        <v>1230</v>
      </c>
      <c r="D2787" s="108" t="s">
        <v>1851</v>
      </c>
      <c r="E2787" s="58">
        <v>9306.4516129032254</v>
      </c>
      <c r="F2787" s="58"/>
      <c r="G2787" s="58">
        <f t="shared" si="47"/>
        <v>-9306.4516129032254</v>
      </c>
      <c r="H2787" s="49" t="s">
        <v>2257</v>
      </c>
    </row>
    <row r="2788" spans="1:8" x14ac:dyDescent="0.2">
      <c r="A2788" s="597">
        <v>42830</v>
      </c>
      <c r="B2788" s="41" t="s">
        <v>2094</v>
      </c>
      <c r="C2788" s="41" t="s">
        <v>1230</v>
      </c>
      <c r="D2788" s="108" t="s">
        <v>1863</v>
      </c>
      <c r="E2788" s="58">
        <v>22487.903225806451</v>
      </c>
      <c r="F2788" s="58"/>
      <c r="G2788" s="58">
        <f t="shared" si="47"/>
        <v>-22487.903225806451</v>
      </c>
      <c r="H2788" s="49" t="s">
        <v>2257</v>
      </c>
    </row>
    <row r="2789" spans="1:8" x14ac:dyDescent="0.2">
      <c r="A2789" s="597">
        <v>42830</v>
      </c>
      <c r="B2789" s="41" t="s">
        <v>2094</v>
      </c>
      <c r="C2789" s="41" t="s">
        <v>1230</v>
      </c>
      <c r="D2789" s="108" t="s">
        <v>1864</v>
      </c>
      <c r="E2789" s="58">
        <v>24129.032258064515</v>
      </c>
      <c r="F2789" s="58"/>
      <c r="G2789" s="58">
        <f t="shared" si="47"/>
        <v>-24129.032258064515</v>
      </c>
      <c r="H2789" s="49" t="s">
        <v>2257</v>
      </c>
    </row>
    <row r="2790" spans="1:8" x14ac:dyDescent="0.2">
      <c r="A2790" s="597">
        <v>42830</v>
      </c>
      <c r="B2790" s="41" t="s">
        <v>2094</v>
      </c>
      <c r="C2790" s="41" t="s">
        <v>1230</v>
      </c>
      <c r="D2790" s="108" t="s">
        <v>1865</v>
      </c>
      <c r="E2790" s="58">
        <v>14213.709677419354</v>
      </c>
      <c r="F2790" s="58"/>
      <c r="G2790" s="58">
        <f t="shared" si="47"/>
        <v>-14213.709677419354</v>
      </c>
      <c r="H2790" s="49" t="s">
        <v>2257</v>
      </c>
    </row>
    <row r="2791" spans="1:8" x14ac:dyDescent="0.2">
      <c r="A2791" s="597">
        <v>42830</v>
      </c>
      <c r="B2791" s="41" t="s">
        <v>2094</v>
      </c>
      <c r="C2791" s="41" t="s">
        <v>1230</v>
      </c>
      <c r="D2791" s="108" t="s">
        <v>1854</v>
      </c>
      <c r="E2791" s="58">
        <v>18075</v>
      </c>
      <c r="F2791" s="58"/>
      <c r="G2791" s="58">
        <f t="shared" si="47"/>
        <v>-18075</v>
      </c>
      <c r="H2791" s="49" t="s">
        <v>2257</v>
      </c>
    </row>
    <row r="2792" spans="1:8" x14ac:dyDescent="0.2">
      <c r="A2792" s="597">
        <v>42830</v>
      </c>
      <c r="B2792" s="41" t="s">
        <v>37</v>
      </c>
      <c r="C2792" s="41" t="s">
        <v>1230</v>
      </c>
      <c r="D2792" s="108" t="s">
        <v>1857</v>
      </c>
      <c r="E2792" s="58">
        <v>6981.854838709678</v>
      </c>
      <c r="F2792" s="58"/>
      <c r="G2792" s="58">
        <f t="shared" si="47"/>
        <v>-6981.854838709678</v>
      </c>
      <c r="H2792" s="49" t="s">
        <v>2257</v>
      </c>
    </row>
    <row r="2793" spans="1:8" x14ac:dyDescent="0.2">
      <c r="A2793" s="597">
        <v>42830</v>
      </c>
      <c r="B2793" s="41" t="s">
        <v>37</v>
      </c>
      <c r="C2793" s="41" t="s">
        <v>1230</v>
      </c>
      <c r="D2793" s="108" t="s">
        <v>1867</v>
      </c>
      <c r="E2793" s="58">
        <v>12604.838709677419</v>
      </c>
      <c r="F2793" s="58"/>
      <c r="G2793" s="58">
        <f t="shared" si="47"/>
        <v>-12604.838709677419</v>
      </c>
      <c r="H2793" s="49" t="s">
        <v>2257</v>
      </c>
    </row>
    <row r="2794" spans="1:8" x14ac:dyDescent="0.2">
      <c r="A2794" s="597">
        <v>42830</v>
      </c>
      <c r="B2794" s="41" t="s">
        <v>37</v>
      </c>
      <c r="C2794" s="41" t="s">
        <v>1230</v>
      </c>
      <c r="D2794" s="108" t="s">
        <v>1868</v>
      </c>
      <c r="E2794" s="58">
        <v>15358.870967741936</v>
      </c>
      <c r="F2794" s="58"/>
      <c r="G2794" s="58">
        <f t="shared" si="47"/>
        <v>-15358.870967741936</v>
      </c>
      <c r="H2794" s="49" t="s">
        <v>2257</v>
      </c>
    </row>
    <row r="2795" spans="1:8" x14ac:dyDescent="0.2">
      <c r="A2795" s="597">
        <v>42830</v>
      </c>
      <c r="B2795" s="41" t="s">
        <v>37</v>
      </c>
      <c r="C2795" s="41" t="s">
        <v>1230</v>
      </c>
      <c r="D2795" s="108" t="s">
        <v>1869</v>
      </c>
      <c r="E2795" s="58">
        <v>1741.9354838709678</v>
      </c>
      <c r="F2795" s="58"/>
      <c r="G2795" s="58">
        <f t="shared" si="47"/>
        <v>-1741.9354838709678</v>
      </c>
      <c r="H2795" s="49" t="s">
        <v>2257</v>
      </c>
    </row>
    <row r="2796" spans="1:8" x14ac:dyDescent="0.2">
      <c r="A2796" s="597">
        <v>42830</v>
      </c>
      <c r="B2796" s="41" t="s">
        <v>37</v>
      </c>
      <c r="C2796" s="41" t="s">
        <v>1230</v>
      </c>
      <c r="D2796" s="108" t="s">
        <v>2285</v>
      </c>
      <c r="E2796" s="58">
        <v>6411.2903225806449</v>
      </c>
      <c r="F2796" s="58"/>
      <c r="G2796" s="58">
        <f t="shared" si="47"/>
        <v>-6411.2903225806449</v>
      </c>
      <c r="H2796" s="49" t="s">
        <v>2257</v>
      </c>
    </row>
    <row r="2797" spans="1:8" x14ac:dyDescent="0.2">
      <c r="A2797" s="597">
        <v>42830</v>
      </c>
      <c r="B2797" s="41" t="s">
        <v>37</v>
      </c>
      <c r="C2797" s="41" t="s">
        <v>1230</v>
      </c>
      <c r="D2797" s="108" t="s">
        <v>1575</v>
      </c>
      <c r="E2797" s="58">
        <v>11048.387096774193</v>
      </c>
      <c r="F2797" s="58"/>
      <c r="G2797" s="58">
        <f t="shared" si="47"/>
        <v>-11048.387096774193</v>
      </c>
      <c r="H2797" s="49" t="s">
        <v>2257</v>
      </c>
    </row>
    <row r="2798" spans="1:8" x14ac:dyDescent="0.2">
      <c r="A2798" s="597">
        <v>42830</v>
      </c>
      <c r="B2798" s="41" t="s">
        <v>11</v>
      </c>
      <c r="C2798" s="41" t="s">
        <v>1230</v>
      </c>
      <c r="D2798" s="108" t="s">
        <v>1870</v>
      </c>
      <c r="E2798" s="58">
        <v>5000</v>
      </c>
      <c r="F2798" s="58"/>
      <c r="G2798" s="58">
        <f t="shared" si="47"/>
        <v>-5000</v>
      </c>
      <c r="H2798" s="49" t="s">
        <v>2257</v>
      </c>
    </row>
    <row r="2799" spans="1:8" ht="15" customHeight="1" x14ac:dyDescent="0.25">
      <c r="A2799" s="597">
        <v>42830</v>
      </c>
      <c r="B2799" s="41" t="s">
        <v>1400</v>
      </c>
      <c r="C2799" s="2" t="s">
        <v>1167</v>
      </c>
      <c r="D2799" s="108" t="s">
        <v>2286</v>
      </c>
      <c r="E2799" s="58">
        <v>1000</v>
      </c>
      <c r="F2799" s="58"/>
      <c r="G2799" s="58">
        <f t="shared" si="47"/>
        <v>-1000</v>
      </c>
      <c r="H2799" s="49" t="s">
        <v>2257</v>
      </c>
    </row>
    <row r="2800" spans="1:8" ht="15" customHeight="1" x14ac:dyDescent="0.25">
      <c r="A2800" s="597">
        <v>42830</v>
      </c>
      <c r="B2800" s="41" t="s">
        <v>1400</v>
      </c>
      <c r="C2800" s="2" t="s">
        <v>1167</v>
      </c>
      <c r="D2800" s="108" t="s">
        <v>1060</v>
      </c>
      <c r="E2800" s="58">
        <v>3000</v>
      </c>
      <c r="F2800" s="58"/>
      <c r="G2800" s="58">
        <f t="shared" si="47"/>
        <v>-3000</v>
      </c>
      <c r="H2800" s="49" t="s">
        <v>2257</v>
      </c>
    </row>
    <row r="2801" spans="1:8" ht="15" customHeight="1" x14ac:dyDescent="0.25">
      <c r="A2801" s="597">
        <v>42830</v>
      </c>
      <c r="B2801" s="41" t="s">
        <v>1400</v>
      </c>
      <c r="C2801" s="2" t="s">
        <v>1167</v>
      </c>
      <c r="D2801" s="108" t="s">
        <v>2287</v>
      </c>
      <c r="E2801" s="58">
        <v>400</v>
      </c>
      <c r="F2801" s="58"/>
      <c r="G2801" s="58">
        <f t="shared" si="47"/>
        <v>-400</v>
      </c>
      <c r="H2801" s="49" t="s">
        <v>2257</v>
      </c>
    </row>
    <row r="2802" spans="1:8" ht="15" customHeight="1" x14ac:dyDescent="0.25">
      <c r="A2802" s="597">
        <v>42830</v>
      </c>
      <c r="B2802" s="41" t="s">
        <v>1400</v>
      </c>
      <c r="C2802" s="2" t="s">
        <v>1167</v>
      </c>
      <c r="D2802" s="108" t="s">
        <v>451</v>
      </c>
      <c r="E2802" s="58">
        <v>500</v>
      </c>
      <c r="F2802" s="58"/>
      <c r="G2802" s="58">
        <f t="shared" si="47"/>
        <v>-500</v>
      </c>
      <c r="H2802" s="49" t="s">
        <v>2257</v>
      </c>
    </row>
    <row r="2803" spans="1:8" ht="15" customHeight="1" x14ac:dyDescent="0.25">
      <c r="A2803" s="597">
        <v>42826</v>
      </c>
      <c r="B2803" s="41" t="s">
        <v>2094</v>
      </c>
      <c r="C2803" s="2" t="s">
        <v>63</v>
      </c>
      <c r="D2803" s="108" t="s">
        <v>2167</v>
      </c>
      <c r="E2803" s="58">
        <v>2000</v>
      </c>
      <c r="F2803" s="58"/>
      <c r="G2803" s="58">
        <f t="shared" si="47"/>
        <v>-2000</v>
      </c>
      <c r="H2803" s="49" t="s">
        <v>2257</v>
      </c>
    </row>
    <row r="2804" spans="1:8" ht="15" customHeight="1" x14ac:dyDescent="0.25">
      <c r="A2804" s="597">
        <v>42826</v>
      </c>
      <c r="B2804" s="41" t="s">
        <v>14</v>
      </c>
      <c r="C2804" s="2" t="s">
        <v>1687</v>
      </c>
      <c r="D2804" s="108" t="s">
        <v>2290</v>
      </c>
      <c r="E2804" s="58">
        <v>20000</v>
      </c>
      <c r="F2804" s="58"/>
      <c r="G2804" s="58">
        <f t="shared" si="47"/>
        <v>-20000</v>
      </c>
      <c r="H2804" s="49" t="s">
        <v>2257</v>
      </c>
    </row>
    <row r="2805" spans="1:8" ht="15" customHeight="1" x14ac:dyDescent="0.25">
      <c r="A2805" s="597">
        <v>42826</v>
      </c>
      <c r="B2805" s="41" t="s">
        <v>14</v>
      </c>
      <c r="C2805" s="2" t="s">
        <v>1687</v>
      </c>
      <c r="D2805" s="108" t="s">
        <v>2291</v>
      </c>
      <c r="E2805" s="58">
        <v>8000</v>
      </c>
      <c r="F2805" s="58"/>
      <c r="G2805" s="58">
        <f t="shared" si="47"/>
        <v>-8000</v>
      </c>
      <c r="H2805" s="49" t="s">
        <v>2257</v>
      </c>
    </row>
    <row r="2806" spans="1:8" ht="24.75" customHeight="1" x14ac:dyDescent="0.25">
      <c r="A2806" s="597">
        <v>42828</v>
      </c>
      <c r="B2806" s="41" t="s">
        <v>2094</v>
      </c>
      <c r="C2806" s="2" t="s">
        <v>149</v>
      </c>
      <c r="D2806" s="129" t="s">
        <v>2292</v>
      </c>
      <c r="E2806" s="58">
        <v>2490</v>
      </c>
      <c r="F2806" s="58"/>
      <c r="G2806" s="58">
        <f t="shared" si="47"/>
        <v>-2490</v>
      </c>
      <c r="H2806" s="49" t="s">
        <v>2257</v>
      </c>
    </row>
    <row r="2807" spans="1:8" ht="15" customHeight="1" x14ac:dyDescent="0.25">
      <c r="A2807" s="597">
        <v>42828</v>
      </c>
      <c r="B2807" s="41" t="s">
        <v>2094</v>
      </c>
      <c r="C2807" s="2" t="s">
        <v>450</v>
      </c>
      <c r="D2807" s="129" t="s">
        <v>2293</v>
      </c>
      <c r="E2807" s="58">
        <v>5500</v>
      </c>
      <c r="F2807" s="58"/>
      <c r="G2807" s="58">
        <f t="shared" si="47"/>
        <v>-5500</v>
      </c>
      <c r="H2807" s="49" t="s">
        <v>2257</v>
      </c>
    </row>
    <row r="2808" spans="1:8" ht="24.75" customHeight="1" x14ac:dyDescent="0.25">
      <c r="A2808" s="597">
        <v>42828</v>
      </c>
      <c r="B2808" s="41" t="s">
        <v>40</v>
      </c>
      <c r="C2808" s="2" t="s">
        <v>325</v>
      </c>
      <c r="D2808" s="129" t="s">
        <v>2294</v>
      </c>
      <c r="E2808" s="58">
        <v>8440</v>
      </c>
      <c r="F2808" s="58"/>
      <c r="G2808" s="58">
        <f t="shared" si="47"/>
        <v>-8440</v>
      </c>
      <c r="H2808" s="49" t="s">
        <v>2257</v>
      </c>
    </row>
    <row r="2809" spans="1:8" ht="15" customHeight="1" x14ac:dyDescent="0.25">
      <c r="A2809" s="597">
        <v>42829</v>
      </c>
      <c r="B2809" s="41" t="s">
        <v>25</v>
      </c>
      <c r="C2809" s="2" t="s">
        <v>2060</v>
      </c>
      <c r="D2809" s="129" t="s">
        <v>2295</v>
      </c>
      <c r="E2809" s="58">
        <v>2400</v>
      </c>
      <c r="F2809" s="58"/>
      <c r="G2809" s="58">
        <f t="shared" si="47"/>
        <v>-2400</v>
      </c>
      <c r="H2809" s="49" t="s">
        <v>2257</v>
      </c>
    </row>
    <row r="2810" spans="1:8" ht="15" customHeight="1" x14ac:dyDescent="0.25">
      <c r="A2810" s="597">
        <v>42829</v>
      </c>
      <c r="B2810" s="41" t="s">
        <v>2094</v>
      </c>
      <c r="C2810" s="2" t="s">
        <v>450</v>
      </c>
      <c r="D2810" s="129" t="s">
        <v>2296</v>
      </c>
      <c r="E2810" s="58">
        <v>800</v>
      </c>
      <c r="F2810" s="58"/>
      <c r="G2810" s="58">
        <f t="shared" si="47"/>
        <v>-800</v>
      </c>
      <c r="H2810" s="49" t="s">
        <v>2257</v>
      </c>
    </row>
    <row r="2811" spans="1:8" ht="36.75" customHeight="1" x14ac:dyDescent="0.25">
      <c r="A2811" s="597">
        <v>42829</v>
      </c>
      <c r="B2811" s="41" t="s">
        <v>1400</v>
      </c>
      <c r="C2811" s="2" t="s">
        <v>64</v>
      </c>
      <c r="D2811" s="129" t="s">
        <v>2297</v>
      </c>
      <c r="E2811" s="58">
        <v>8610</v>
      </c>
      <c r="F2811" s="58"/>
      <c r="G2811" s="58">
        <f t="shared" si="47"/>
        <v>-8610</v>
      </c>
      <c r="H2811" s="49" t="s">
        <v>2257</v>
      </c>
    </row>
    <row r="2812" spans="1:8" ht="15" customHeight="1" x14ac:dyDescent="0.25">
      <c r="A2812" s="597">
        <v>42830</v>
      </c>
      <c r="B2812" s="41" t="s">
        <v>2094</v>
      </c>
      <c r="C2812" s="2" t="s">
        <v>392</v>
      </c>
      <c r="D2812" s="129" t="s">
        <v>2298</v>
      </c>
      <c r="E2812" s="58">
        <v>1700</v>
      </c>
      <c r="F2812" s="58"/>
      <c r="G2812" s="58">
        <f t="shared" si="47"/>
        <v>-1700</v>
      </c>
      <c r="H2812" s="49" t="s">
        <v>2257</v>
      </c>
    </row>
    <row r="2813" spans="1:8" ht="15" customHeight="1" x14ac:dyDescent="0.25">
      <c r="A2813" s="597">
        <v>42830</v>
      </c>
      <c r="B2813" s="41" t="s">
        <v>2094</v>
      </c>
      <c r="C2813" s="2" t="s">
        <v>1277</v>
      </c>
      <c r="D2813" s="129" t="s">
        <v>2299</v>
      </c>
      <c r="E2813" s="58">
        <v>300</v>
      </c>
      <c r="F2813" s="58"/>
      <c r="G2813" s="58">
        <f t="shared" si="47"/>
        <v>-300</v>
      </c>
      <c r="H2813" s="49" t="s">
        <v>2257</v>
      </c>
    </row>
    <row r="2814" spans="1:8" ht="15" customHeight="1" x14ac:dyDescent="0.25">
      <c r="A2814" s="597">
        <v>42830</v>
      </c>
      <c r="B2814" s="41" t="s">
        <v>2094</v>
      </c>
      <c r="C2814" s="2" t="s">
        <v>484</v>
      </c>
      <c r="D2814" s="129" t="s">
        <v>2300</v>
      </c>
      <c r="E2814" s="58">
        <v>2000</v>
      </c>
      <c r="F2814" s="58"/>
      <c r="G2814" s="58">
        <f t="shared" si="47"/>
        <v>-2000</v>
      </c>
      <c r="H2814" s="49" t="s">
        <v>2257</v>
      </c>
    </row>
    <row r="2815" spans="1:8" ht="15" customHeight="1" x14ac:dyDescent="0.25">
      <c r="A2815" s="597">
        <v>42831</v>
      </c>
      <c r="B2815" s="41" t="s">
        <v>18</v>
      </c>
      <c r="C2815" s="2" t="s">
        <v>325</v>
      </c>
      <c r="D2815" s="129" t="s">
        <v>2301</v>
      </c>
      <c r="E2815" s="58">
        <v>1725</v>
      </c>
      <c r="F2815" s="58"/>
      <c r="G2815" s="58">
        <f t="shared" si="47"/>
        <v>-1725</v>
      </c>
      <c r="H2815" s="49" t="s">
        <v>2257</v>
      </c>
    </row>
    <row r="2816" spans="1:8" ht="15" customHeight="1" x14ac:dyDescent="0.25">
      <c r="A2816" s="597">
        <v>42832</v>
      </c>
      <c r="B2816" s="41" t="s">
        <v>25</v>
      </c>
      <c r="C2816" s="2" t="s">
        <v>2060</v>
      </c>
      <c r="D2816" s="129" t="s">
        <v>2302</v>
      </c>
      <c r="E2816" s="58">
        <v>1000</v>
      </c>
      <c r="F2816" s="58"/>
      <c r="G2816" s="58">
        <f t="shared" si="47"/>
        <v>-1000</v>
      </c>
      <c r="H2816" s="49" t="s">
        <v>2257</v>
      </c>
    </row>
    <row r="2817" spans="1:8" ht="15" customHeight="1" x14ac:dyDescent="0.25">
      <c r="A2817" s="597">
        <v>42832</v>
      </c>
      <c r="B2817" s="41" t="s">
        <v>16</v>
      </c>
      <c r="C2817" s="2" t="s">
        <v>2212</v>
      </c>
      <c r="D2817" s="129" t="s">
        <v>2303</v>
      </c>
      <c r="E2817" s="58">
        <v>2400</v>
      </c>
      <c r="F2817" s="58"/>
      <c r="G2817" s="58">
        <f t="shared" si="47"/>
        <v>-2400</v>
      </c>
      <c r="H2817" s="49" t="s">
        <v>2257</v>
      </c>
    </row>
    <row r="2818" spans="1:8" ht="15" customHeight="1" x14ac:dyDescent="0.25">
      <c r="A2818" s="597">
        <v>42832</v>
      </c>
      <c r="B2818" s="41" t="s">
        <v>2094</v>
      </c>
      <c r="C2818" s="2" t="s">
        <v>551</v>
      </c>
      <c r="D2818" s="129" t="s">
        <v>2304</v>
      </c>
      <c r="E2818" s="58">
        <v>10000</v>
      </c>
      <c r="F2818" s="58"/>
      <c r="G2818" s="58">
        <f t="shared" si="47"/>
        <v>-10000</v>
      </c>
      <c r="H2818" s="49" t="s">
        <v>2257</v>
      </c>
    </row>
    <row r="2819" spans="1:8" ht="15" customHeight="1" x14ac:dyDescent="0.25">
      <c r="A2819" s="597">
        <v>42832</v>
      </c>
      <c r="B2819" s="41" t="s">
        <v>1400</v>
      </c>
      <c r="C2819" s="2" t="s">
        <v>64</v>
      </c>
      <c r="D2819" s="129" t="s">
        <v>2305</v>
      </c>
      <c r="E2819" s="58">
        <v>15665</v>
      </c>
      <c r="F2819" s="58"/>
      <c r="G2819" s="58">
        <f t="shared" si="47"/>
        <v>-15665</v>
      </c>
      <c r="H2819" s="49" t="s">
        <v>2257</v>
      </c>
    </row>
    <row r="2820" spans="1:8" ht="15" customHeight="1" x14ac:dyDescent="0.25">
      <c r="A2820" s="597">
        <v>42833</v>
      </c>
      <c r="B2820" s="41" t="s">
        <v>2094</v>
      </c>
      <c r="C2820" s="2" t="s">
        <v>63</v>
      </c>
      <c r="D2820" s="129" t="s">
        <v>370</v>
      </c>
      <c r="E2820" s="58">
        <v>5000</v>
      </c>
      <c r="F2820" s="58"/>
      <c r="G2820" s="58">
        <f t="shared" si="47"/>
        <v>-5000</v>
      </c>
      <c r="H2820" s="49" t="s">
        <v>2257</v>
      </c>
    </row>
    <row r="2821" spans="1:8" ht="15" customHeight="1" x14ac:dyDescent="0.25">
      <c r="A2821" s="597">
        <v>42833</v>
      </c>
      <c r="B2821" s="41" t="s">
        <v>2094</v>
      </c>
      <c r="C2821" s="2" t="s">
        <v>63</v>
      </c>
      <c r="D2821" s="129" t="s">
        <v>2311</v>
      </c>
      <c r="E2821" s="58">
        <v>2055</v>
      </c>
      <c r="F2821" s="58"/>
      <c r="G2821" s="58">
        <f t="shared" si="47"/>
        <v>-2055</v>
      </c>
      <c r="H2821" s="49" t="s">
        <v>2257</v>
      </c>
    </row>
    <row r="2822" spans="1:8" ht="15" customHeight="1" x14ac:dyDescent="0.25">
      <c r="A2822" s="597">
        <v>42833</v>
      </c>
      <c r="B2822" s="41" t="s">
        <v>16</v>
      </c>
      <c r="C2822" s="2" t="s">
        <v>773</v>
      </c>
      <c r="D2822" s="129" t="s">
        <v>2312</v>
      </c>
      <c r="E2822" s="58">
        <v>100</v>
      </c>
      <c r="F2822" s="58"/>
      <c r="G2822" s="58">
        <f t="shared" si="47"/>
        <v>-100</v>
      </c>
      <c r="H2822" s="49" t="s">
        <v>2257</v>
      </c>
    </row>
    <row r="2823" spans="1:8" ht="15" customHeight="1" x14ac:dyDescent="0.25">
      <c r="A2823" s="597">
        <v>42835</v>
      </c>
      <c r="B2823" s="41" t="s">
        <v>18</v>
      </c>
      <c r="C2823" s="2" t="s">
        <v>2313</v>
      </c>
      <c r="D2823" s="129" t="s">
        <v>2314</v>
      </c>
      <c r="E2823" s="58">
        <v>1000</v>
      </c>
      <c r="F2823" s="58"/>
      <c r="G2823" s="58">
        <f t="shared" si="47"/>
        <v>-1000</v>
      </c>
      <c r="H2823" s="49" t="s">
        <v>2257</v>
      </c>
    </row>
    <row r="2824" spans="1:8" ht="15" customHeight="1" x14ac:dyDescent="0.25">
      <c r="A2824" s="597">
        <v>42835</v>
      </c>
      <c r="B2824" s="41" t="s">
        <v>40</v>
      </c>
      <c r="C2824" s="2" t="s">
        <v>290</v>
      </c>
      <c r="D2824" s="129" t="s">
        <v>2315</v>
      </c>
      <c r="E2824" s="58">
        <v>15850</v>
      </c>
      <c r="F2824" s="58"/>
      <c r="G2824" s="58">
        <f t="shared" si="47"/>
        <v>-15850</v>
      </c>
      <c r="H2824" s="49" t="s">
        <v>2257</v>
      </c>
    </row>
    <row r="2825" spans="1:8" ht="15" customHeight="1" x14ac:dyDescent="0.25">
      <c r="A2825" s="597">
        <v>42835</v>
      </c>
      <c r="B2825" s="41" t="s">
        <v>40</v>
      </c>
      <c r="C2825" s="2" t="s">
        <v>325</v>
      </c>
      <c r="D2825" s="129" t="s">
        <v>2316</v>
      </c>
      <c r="E2825" s="58">
        <v>770</v>
      </c>
      <c r="F2825" s="58"/>
      <c r="G2825" s="58">
        <f t="shared" ref="G2825:G2888" si="48">F2825-E2825</f>
        <v>-770</v>
      </c>
      <c r="H2825" s="49" t="s">
        <v>2257</v>
      </c>
    </row>
    <row r="2826" spans="1:8" ht="15" customHeight="1" x14ac:dyDescent="0.25">
      <c r="A2826" s="597">
        <v>42835</v>
      </c>
      <c r="B2826" s="41" t="s">
        <v>18</v>
      </c>
      <c r="C2826" s="2" t="s">
        <v>325</v>
      </c>
      <c r="D2826" s="129" t="s">
        <v>2317</v>
      </c>
      <c r="E2826" s="58">
        <v>440</v>
      </c>
      <c r="F2826" s="58"/>
      <c r="G2826" s="58">
        <f t="shared" si="48"/>
        <v>-440</v>
      </c>
      <c r="H2826" s="49" t="s">
        <v>2257</v>
      </c>
    </row>
    <row r="2827" spans="1:8" ht="15" customHeight="1" x14ac:dyDescent="0.25">
      <c r="A2827" s="597">
        <v>42835</v>
      </c>
      <c r="B2827" s="41" t="s">
        <v>16</v>
      </c>
      <c r="C2827" s="2" t="s">
        <v>2212</v>
      </c>
      <c r="D2827" s="129" t="s">
        <v>2318</v>
      </c>
      <c r="E2827" s="58">
        <v>410</v>
      </c>
      <c r="F2827" s="58"/>
      <c r="G2827" s="58">
        <f t="shared" si="48"/>
        <v>-410</v>
      </c>
      <c r="H2827" s="49" t="s">
        <v>2257</v>
      </c>
    </row>
    <row r="2828" spans="1:8" ht="15" customHeight="1" x14ac:dyDescent="0.25">
      <c r="A2828" s="597">
        <v>42837</v>
      </c>
      <c r="B2828" s="41" t="s">
        <v>1400</v>
      </c>
      <c r="C2828" s="2" t="s">
        <v>780</v>
      </c>
      <c r="D2828" s="129" t="s">
        <v>2324</v>
      </c>
      <c r="E2828" s="58">
        <v>1000</v>
      </c>
      <c r="F2828" s="58"/>
      <c r="G2828" s="58">
        <f t="shared" si="48"/>
        <v>-1000</v>
      </c>
      <c r="H2828" s="49" t="s">
        <v>2257</v>
      </c>
    </row>
    <row r="2829" spans="1:8" ht="15" customHeight="1" x14ac:dyDescent="0.25">
      <c r="A2829" s="597">
        <v>42837</v>
      </c>
      <c r="B2829" s="41" t="s">
        <v>2094</v>
      </c>
      <c r="C2829" s="2" t="s">
        <v>63</v>
      </c>
      <c r="D2829" s="129" t="s">
        <v>370</v>
      </c>
      <c r="E2829" s="58">
        <v>25000</v>
      </c>
      <c r="F2829" s="58"/>
      <c r="G2829" s="58">
        <f t="shared" si="48"/>
        <v>-25000</v>
      </c>
      <c r="H2829" s="49" t="s">
        <v>2257</v>
      </c>
    </row>
    <row r="2830" spans="1:8" ht="15" customHeight="1" x14ac:dyDescent="0.25">
      <c r="A2830" s="597">
        <v>42837</v>
      </c>
      <c r="B2830" s="41" t="s">
        <v>18</v>
      </c>
      <c r="C2830" s="2" t="s">
        <v>668</v>
      </c>
      <c r="D2830" s="129" t="s">
        <v>2325</v>
      </c>
      <c r="E2830" s="58">
        <v>3675</v>
      </c>
      <c r="F2830" s="58"/>
      <c r="G2830" s="58">
        <f t="shared" si="48"/>
        <v>-3675</v>
      </c>
      <c r="H2830" s="49" t="s">
        <v>2257</v>
      </c>
    </row>
    <row r="2831" spans="1:8" ht="15" customHeight="1" x14ac:dyDescent="0.25">
      <c r="A2831" s="597">
        <v>42838</v>
      </c>
      <c r="B2831" s="41" t="s">
        <v>2094</v>
      </c>
      <c r="C2831" s="2" t="s">
        <v>668</v>
      </c>
      <c r="D2831" s="129" t="s">
        <v>2326</v>
      </c>
      <c r="E2831" s="58">
        <v>2270</v>
      </c>
      <c r="F2831" s="58"/>
      <c r="G2831" s="58">
        <f t="shared" si="48"/>
        <v>-2270</v>
      </c>
      <c r="H2831" s="49" t="s">
        <v>2257</v>
      </c>
    </row>
    <row r="2832" spans="1:8" ht="15" customHeight="1" x14ac:dyDescent="0.25">
      <c r="A2832" s="597">
        <v>42838</v>
      </c>
      <c r="B2832" s="41" t="s">
        <v>1400</v>
      </c>
      <c r="C2832" s="2" t="s">
        <v>1704</v>
      </c>
      <c r="D2832" s="129" t="s">
        <v>1410</v>
      </c>
      <c r="E2832" s="58">
        <v>420</v>
      </c>
      <c r="F2832" s="58"/>
      <c r="G2832" s="58">
        <f t="shared" si="48"/>
        <v>-420</v>
      </c>
      <c r="H2832" s="49" t="s">
        <v>2257</v>
      </c>
    </row>
    <row r="2833" spans="1:8" ht="15" customHeight="1" x14ac:dyDescent="0.25">
      <c r="A2833" s="597">
        <v>42838</v>
      </c>
      <c r="B2833" s="41" t="s">
        <v>1400</v>
      </c>
      <c r="C2833" s="2" t="s">
        <v>2327</v>
      </c>
      <c r="D2833" s="129" t="s">
        <v>2328</v>
      </c>
      <c r="E2833" s="58">
        <v>4000</v>
      </c>
      <c r="F2833" s="58"/>
      <c r="G2833" s="58">
        <f t="shared" si="48"/>
        <v>-4000</v>
      </c>
      <c r="H2833" s="49" t="s">
        <v>2257</v>
      </c>
    </row>
    <row r="2834" spans="1:8" ht="15" customHeight="1" x14ac:dyDescent="0.25">
      <c r="A2834" s="597">
        <v>42839</v>
      </c>
      <c r="B2834" s="41" t="s">
        <v>37</v>
      </c>
      <c r="C2834" s="2" t="s">
        <v>194</v>
      </c>
      <c r="D2834" s="129" t="s">
        <v>2329</v>
      </c>
      <c r="E2834" s="58">
        <v>4585</v>
      </c>
      <c r="F2834" s="58"/>
      <c r="G2834" s="58">
        <f t="shared" si="48"/>
        <v>-4585</v>
      </c>
      <c r="H2834" s="49" t="s">
        <v>2257</v>
      </c>
    </row>
    <row r="2835" spans="1:8" ht="15" customHeight="1" x14ac:dyDescent="0.25">
      <c r="A2835" s="597">
        <v>42840</v>
      </c>
      <c r="B2835" s="41" t="s">
        <v>1400</v>
      </c>
      <c r="C2835" s="2" t="s">
        <v>64</v>
      </c>
      <c r="D2835" s="129" t="s">
        <v>2331</v>
      </c>
      <c r="E2835" s="58">
        <v>6830</v>
      </c>
      <c r="F2835" s="58"/>
      <c r="G2835" s="58">
        <f t="shared" si="48"/>
        <v>-6830</v>
      </c>
      <c r="H2835" s="49" t="s">
        <v>2257</v>
      </c>
    </row>
    <row r="2836" spans="1:8" ht="15" customHeight="1" x14ac:dyDescent="0.25">
      <c r="A2836" s="597">
        <v>42840</v>
      </c>
      <c r="B2836" s="41" t="s">
        <v>40</v>
      </c>
      <c r="C2836" s="2" t="s">
        <v>325</v>
      </c>
      <c r="D2836" s="129" t="s">
        <v>2349</v>
      </c>
      <c r="E2836" s="58">
        <v>7680</v>
      </c>
      <c r="F2836" s="58"/>
      <c r="G2836" s="58">
        <f t="shared" si="48"/>
        <v>-7680</v>
      </c>
      <c r="H2836" s="49" t="s">
        <v>2257</v>
      </c>
    </row>
    <row r="2837" spans="1:8" ht="15" customHeight="1" x14ac:dyDescent="0.25">
      <c r="A2837" s="597">
        <v>42840</v>
      </c>
      <c r="B2837" s="41" t="s">
        <v>1400</v>
      </c>
      <c r="C2837" s="2" t="s">
        <v>794</v>
      </c>
      <c r="D2837" s="129" t="s">
        <v>2350</v>
      </c>
      <c r="E2837" s="58">
        <v>11600</v>
      </c>
      <c r="F2837" s="58"/>
      <c r="G2837" s="58">
        <f t="shared" si="48"/>
        <v>-11600</v>
      </c>
      <c r="H2837" s="49" t="s">
        <v>2257</v>
      </c>
    </row>
    <row r="2838" spans="1:8" ht="15" customHeight="1" x14ac:dyDescent="0.25">
      <c r="A2838" s="597">
        <v>42840</v>
      </c>
      <c r="B2838" s="41" t="s">
        <v>1400</v>
      </c>
      <c r="C2838" s="2" t="s">
        <v>2351</v>
      </c>
      <c r="D2838" s="129" t="s">
        <v>2352</v>
      </c>
      <c r="E2838" s="58">
        <v>8000</v>
      </c>
      <c r="F2838" s="58"/>
      <c r="G2838" s="58">
        <f t="shared" si="48"/>
        <v>-8000</v>
      </c>
      <c r="H2838" s="49" t="s">
        <v>2257</v>
      </c>
    </row>
    <row r="2839" spans="1:8" ht="15" customHeight="1" x14ac:dyDescent="0.25">
      <c r="A2839" s="597">
        <v>42840</v>
      </c>
      <c r="B2839" s="41" t="s">
        <v>2094</v>
      </c>
      <c r="C2839" s="2" t="s">
        <v>484</v>
      </c>
      <c r="D2839" s="129" t="s">
        <v>2300</v>
      </c>
      <c r="E2839" s="58">
        <v>2000</v>
      </c>
      <c r="F2839" s="58"/>
      <c r="G2839" s="58">
        <f t="shared" si="48"/>
        <v>-2000</v>
      </c>
      <c r="H2839" s="49" t="s">
        <v>2257</v>
      </c>
    </row>
    <row r="2840" spans="1:8" ht="15" customHeight="1" x14ac:dyDescent="0.25">
      <c r="A2840" s="597">
        <v>42840</v>
      </c>
      <c r="B2840" s="41" t="s">
        <v>2094</v>
      </c>
      <c r="C2840" s="2" t="s">
        <v>63</v>
      </c>
      <c r="D2840" s="129" t="s">
        <v>2207</v>
      </c>
      <c r="E2840" s="58">
        <v>5185</v>
      </c>
      <c r="F2840" s="58"/>
      <c r="G2840" s="58">
        <f t="shared" si="48"/>
        <v>-5185</v>
      </c>
      <c r="H2840" s="49" t="s">
        <v>2257</v>
      </c>
    </row>
    <row r="2841" spans="1:8" ht="15" customHeight="1" x14ac:dyDescent="0.25">
      <c r="A2841" s="597">
        <v>42841</v>
      </c>
      <c r="B2841" s="41" t="s">
        <v>2094</v>
      </c>
      <c r="C2841" s="2" t="s">
        <v>63</v>
      </c>
      <c r="D2841" s="129" t="s">
        <v>370</v>
      </c>
      <c r="E2841" s="58">
        <v>15000</v>
      </c>
      <c r="F2841" s="58"/>
      <c r="G2841" s="58">
        <f t="shared" si="48"/>
        <v>-15000</v>
      </c>
      <c r="H2841" s="49" t="s">
        <v>2257</v>
      </c>
    </row>
    <row r="2842" spans="1:8" ht="15" customHeight="1" x14ac:dyDescent="0.25">
      <c r="A2842" s="597">
        <v>42841</v>
      </c>
      <c r="B2842" s="41" t="s">
        <v>2094</v>
      </c>
      <c r="C2842" s="2" t="s">
        <v>63</v>
      </c>
      <c r="D2842" s="129" t="s">
        <v>370</v>
      </c>
      <c r="E2842" s="58">
        <v>50000</v>
      </c>
      <c r="F2842" s="58"/>
      <c r="G2842" s="58">
        <f t="shared" si="48"/>
        <v>-50000</v>
      </c>
      <c r="H2842" s="49" t="s">
        <v>2257</v>
      </c>
    </row>
    <row r="2843" spans="1:8" ht="15" customHeight="1" x14ac:dyDescent="0.25">
      <c r="A2843" s="597">
        <v>42842</v>
      </c>
      <c r="B2843" s="41" t="s">
        <v>1400</v>
      </c>
      <c r="C2843" s="2" t="s">
        <v>2351</v>
      </c>
      <c r="D2843" s="129" t="s">
        <v>370</v>
      </c>
      <c r="E2843" s="58">
        <v>15000</v>
      </c>
      <c r="F2843" s="58"/>
      <c r="G2843" s="58">
        <f t="shared" si="48"/>
        <v>-15000</v>
      </c>
      <c r="H2843" s="49" t="s">
        <v>2257</v>
      </c>
    </row>
    <row r="2844" spans="1:8" ht="24.75" customHeight="1" x14ac:dyDescent="0.25">
      <c r="A2844" s="597">
        <v>42843</v>
      </c>
      <c r="B2844" s="41" t="s">
        <v>2094</v>
      </c>
      <c r="C2844" s="2" t="s">
        <v>773</v>
      </c>
      <c r="D2844" s="129" t="s">
        <v>2353</v>
      </c>
      <c r="E2844" s="58">
        <v>32830</v>
      </c>
      <c r="F2844" s="58"/>
      <c r="G2844" s="58">
        <f t="shared" si="48"/>
        <v>-32830</v>
      </c>
      <c r="H2844" s="49" t="s">
        <v>2257</v>
      </c>
    </row>
    <row r="2845" spans="1:8" ht="24.75" customHeight="1" x14ac:dyDescent="0.25">
      <c r="A2845" s="597">
        <v>42843</v>
      </c>
      <c r="B2845" s="41" t="s">
        <v>2094</v>
      </c>
      <c r="C2845" s="2" t="s">
        <v>773</v>
      </c>
      <c r="D2845" s="129" t="s">
        <v>2354</v>
      </c>
      <c r="E2845" s="58">
        <v>835</v>
      </c>
      <c r="F2845" s="58"/>
      <c r="G2845" s="58">
        <f t="shared" si="48"/>
        <v>-835</v>
      </c>
      <c r="H2845" s="49" t="s">
        <v>2257</v>
      </c>
    </row>
    <row r="2846" spans="1:8" ht="24.75" customHeight="1" x14ac:dyDescent="0.25">
      <c r="A2846" s="597">
        <v>42843</v>
      </c>
      <c r="B2846" s="41" t="s">
        <v>2094</v>
      </c>
      <c r="C2846" s="2" t="s">
        <v>773</v>
      </c>
      <c r="D2846" s="129" t="s">
        <v>2355</v>
      </c>
      <c r="E2846" s="58">
        <v>4100</v>
      </c>
      <c r="F2846" s="58"/>
      <c r="G2846" s="58">
        <f t="shared" si="48"/>
        <v>-4100</v>
      </c>
      <c r="H2846" s="49" t="s">
        <v>2257</v>
      </c>
    </row>
    <row r="2847" spans="1:8" ht="15" customHeight="1" x14ac:dyDescent="0.25">
      <c r="A2847" s="597">
        <v>42843</v>
      </c>
      <c r="B2847" s="41" t="s">
        <v>2094</v>
      </c>
      <c r="C2847" s="2" t="s">
        <v>63</v>
      </c>
      <c r="D2847" s="129" t="s">
        <v>370</v>
      </c>
      <c r="E2847" s="58">
        <v>5000</v>
      </c>
      <c r="F2847" s="58"/>
      <c r="G2847" s="58">
        <f t="shared" si="48"/>
        <v>-5000</v>
      </c>
      <c r="H2847" s="49" t="s">
        <v>2257</v>
      </c>
    </row>
    <row r="2848" spans="1:8" ht="15" customHeight="1" x14ac:dyDescent="0.25">
      <c r="A2848" s="597">
        <v>42843</v>
      </c>
      <c r="B2848" s="41" t="s">
        <v>16</v>
      </c>
      <c r="C2848" s="2" t="s">
        <v>773</v>
      </c>
      <c r="D2848" s="129" t="s">
        <v>2356</v>
      </c>
      <c r="E2848" s="58">
        <v>6000</v>
      </c>
      <c r="F2848" s="58"/>
      <c r="G2848" s="58">
        <f t="shared" si="48"/>
        <v>-6000</v>
      </c>
      <c r="H2848" s="49" t="s">
        <v>2257</v>
      </c>
    </row>
    <row r="2849" spans="1:8" ht="15" customHeight="1" x14ac:dyDescent="0.25">
      <c r="A2849" s="597">
        <v>42843</v>
      </c>
      <c r="B2849" s="41" t="s">
        <v>2094</v>
      </c>
      <c r="C2849" s="2" t="s">
        <v>551</v>
      </c>
      <c r="D2849" s="129" t="s">
        <v>2108</v>
      </c>
      <c r="E2849" s="58">
        <v>2750</v>
      </c>
      <c r="F2849" s="58"/>
      <c r="G2849" s="58">
        <f t="shared" si="48"/>
        <v>-2750</v>
      </c>
      <c r="H2849" s="49" t="s">
        <v>2257</v>
      </c>
    </row>
    <row r="2850" spans="1:8" ht="15" customHeight="1" x14ac:dyDescent="0.25">
      <c r="A2850" s="597">
        <v>42844</v>
      </c>
      <c r="B2850" s="41" t="s">
        <v>2094</v>
      </c>
      <c r="C2850" s="2" t="s">
        <v>1079</v>
      </c>
      <c r="D2850" s="129" t="s">
        <v>2357</v>
      </c>
      <c r="E2850" s="58">
        <v>300</v>
      </c>
      <c r="F2850" s="58"/>
      <c r="G2850" s="58">
        <f t="shared" si="48"/>
        <v>-300</v>
      </c>
      <c r="H2850" s="49" t="s">
        <v>2257</v>
      </c>
    </row>
    <row r="2851" spans="1:8" ht="15" customHeight="1" x14ac:dyDescent="0.25">
      <c r="A2851" s="597">
        <v>42844</v>
      </c>
      <c r="B2851" s="41" t="s">
        <v>25</v>
      </c>
      <c r="C2851" s="2" t="s">
        <v>2051</v>
      </c>
      <c r="D2851" s="129" t="s">
        <v>1917</v>
      </c>
      <c r="E2851" s="58">
        <v>500</v>
      </c>
      <c r="F2851" s="58"/>
      <c r="G2851" s="58">
        <f t="shared" si="48"/>
        <v>-500</v>
      </c>
      <c r="H2851" s="49" t="s">
        <v>2257</v>
      </c>
    </row>
    <row r="2852" spans="1:8" ht="15" customHeight="1" x14ac:dyDescent="0.25">
      <c r="A2852" s="597">
        <v>42844</v>
      </c>
      <c r="B2852" s="41" t="s">
        <v>2094</v>
      </c>
      <c r="C2852" s="2" t="s">
        <v>63</v>
      </c>
      <c r="D2852" s="129" t="s">
        <v>2358</v>
      </c>
      <c r="E2852" s="58">
        <v>200</v>
      </c>
      <c r="F2852" s="58"/>
      <c r="G2852" s="58">
        <f t="shared" si="48"/>
        <v>-200</v>
      </c>
      <c r="H2852" s="49" t="s">
        <v>2257</v>
      </c>
    </row>
    <row r="2853" spans="1:8" ht="15" customHeight="1" x14ac:dyDescent="0.25">
      <c r="A2853" s="597">
        <v>42844</v>
      </c>
      <c r="B2853" s="41" t="s">
        <v>25</v>
      </c>
      <c r="C2853" s="2" t="s">
        <v>309</v>
      </c>
      <c r="D2853" s="129" t="s">
        <v>2359</v>
      </c>
      <c r="E2853" s="58">
        <v>250</v>
      </c>
      <c r="F2853" s="58"/>
      <c r="G2853" s="58">
        <f t="shared" si="48"/>
        <v>-250</v>
      </c>
      <c r="H2853" s="49" t="s">
        <v>2257</v>
      </c>
    </row>
    <row r="2854" spans="1:8" ht="15" customHeight="1" x14ac:dyDescent="0.25">
      <c r="A2854" s="597">
        <v>42844</v>
      </c>
      <c r="B2854" s="41" t="s">
        <v>2094</v>
      </c>
      <c r="C2854" s="2" t="s">
        <v>220</v>
      </c>
      <c r="D2854" s="129" t="s">
        <v>2361</v>
      </c>
      <c r="E2854" s="58">
        <v>7500</v>
      </c>
      <c r="F2854" s="58"/>
      <c r="G2854" s="58">
        <f t="shared" si="48"/>
        <v>-7500</v>
      </c>
      <c r="H2854" s="49" t="s">
        <v>2257</v>
      </c>
    </row>
    <row r="2855" spans="1:8" ht="15" customHeight="1" x14ac:dyDescent="0.25">
      <c r="A2855" s="597">
        <v>42844</v>
      </c>
      <c r="B2855" s="41" t="s">
        <v>25</v>
      </c>
      <c r="C2855" s="2" t="s">
        <v>2363</v>
      </c>
      <c r="D2855" s="129" t="s">
        <v>2357</v>
      </c>
      <c r="E2855" s="58">
        <v>6000</v>
      </c>
      <c r="F2855" s="58"/>
      <c r="G2855" s="58">
        <f t="shared" si="48"/>
        <v>-6000</v>
      </c>
      <c r="H2855" s="49" t="s">
        <v>2257</v>
      </c>
    </row>
    <row r="2856" spans="1:8" ht="15" customHeight="1" x14ac:dyDescent="0.25">
      <c r="A2856" s="597">
        <v>42845</v>
      </c>
      <c r="B2856" s="41" t="s">
        <v>2094</v>
      </c>
      <c r="C2856" s="2" t="s">
        <v>450</v>
      </c>
      <c r="D2856" s="129" t="s">
        <v>2362</v>
      </c>
      <c r="E2856" s="58">
        <v>1060</v>
      </c>
      <c r="F2856" s="58"/>
      <c r="G2856" s="58">
        <f t="shared" si="48"/>
        <v>-1060</v>
      </c>
      <c r="H2856" s="49" t="s">
        <v>2257</v>
      </c>
    </row>
    <row r="2857" spans="1:8" ht="15" customHeight="1" x14ac:dyDescent="0.25">
      <c r="A2857" s="597">
        <v>42846</v>
      </c>
      <c r="B2857" s="41" t="s">
        <v>1400</v>
      </c>
      <c r="C2857" s="2" t="s">
        <v>773</v>
      </c>
      <c r="D2857" s="129" t="s">
        <v>2365</v>
      </c>
      <c r="E2857" s="58">
        <v>1750</v>
      </c>
      <c r="F2857" s="58"/>
      <c r="G2857" s="58">
        <f t="shared" si="48"/>
        <v>-1750</v>
      </c>
      <c r="H2857" s="49" t="s">
        <v>2257</v>
      </c>
    </row>
    <row r="2858" spans="1:8" ht="15" customHeight="1" x14ac:dyDescent="0.25">
      <c r="A2858" s="597">
        <v>42846</v>
      </c>
      <c r="B2858" s="41" t="s">
        <v>2094</v>
      </c>
      <c r="C2858" s="2" t="s">
        <v>220</v>
      </c>
      <c r="D2858" s="129" t="s">
        <v>2367</v>
      </c>
      <c r="E2858" s="58">
        <v>48470</v>
      </c>
      <c r="F2858" s="58"/>
      <c r="G2858" s="58">
        <f t="shared" si="48"/>
        <v>-48470</v>
      </c>
      <c r="H2858" s="49" t="s">
        <v>2257</v>
      </c>
    </row>
    <row r="2859" spans="1:8" ht="15" customHeight="1" x14ac:dyDescent="0.25">
      <c r="A2859" s="597">
        <v>42846</v>
      </c>
      <c r="B2859" s="41" t="s">
        <v>2094</v>
      </c>
      <c r="C2859" s="2" t="s">
        <v>1704</v>
      </c>
      <c r="D2859" s="129" t="s">
        <v>1410</v>
      </c>
      <c r="E2859" s="58">
        <v>240</v>
      </c>
      <c r="F2859" s="58"/>
      <c r="G2859" s="58">
        <f t="shared" si="48"/>
        <v>-240</v>
      </c>
      <c r="H2859" s="49" t="s">
        <v>2257</v>
      </c>
    </row>
    <row r="2860" spans="1:8" ht="15" customHeight="1" x14ac:dyDescent="0.25">
      <c r="A2860" s="597">
        <v>42847</v>
      </c>
      <c r="B2860" s="41" t="s">
        <v>2094</v>
      </c>
      <c r="C2860" s="2" t="s">
        <v>149</v>
      </c>
      <c r="D2860" s="129" t="s">
        <v>2368</v>
      </c>
      <c r="E2860" s="58">
        <v>2000</v>
      </c>
      <c r="F2860" s="58"/>
      <c r="G2860" s="58">
        <f t="shared" si="48"/>
        <v>-2000</v>
      </c>
      <c r="H2860" s="49" t="s">
        <v>2257</v>
      </c>
    </row>
    <row r="2861" spans="1:8" ht="15" customHeight="1" x14ac:dyDescent="0.25">
      <c r="A2861" s="597">
        <v>42847</v>
      </c>
      <c r="B2861" s="41" t="s">
        <v>40</v>
      </c>
      <c r="C2861" s="2" t="s">
        <v>1704</v>
      </c>
      <c r="D2861" s="129" t="s">
        <v>1410</v>
      </c>
      <c r="E2861" s="58">
        <v>3680</v>
      </c>
      <c r="F2861" s="58"/>
      <c r="G2861" s="58">
        <f t="shared" si="48"/>
        <v>-3680</v>
      </c>
      <c r="H2861" s="49" t="s">
        <v>2257</v>
      </c>
    </row>
    <row r="2862" spans="1:8" ht="15" customHeight="1" x14ac:dyDescent="0.25">
      <c r="A2862" s="597">
        <v>42847</v>
      </c>
      <c r="B2862" s="41" t="s">
        <v>2094</v>
      </c>
      <c r="C2862" s="2" t="s">
        <v>1687</v>
      </c>
      <c r="D2862" s="129" t="s">
        <v>2369</v>
      </c>
      <c r="E2862" s="58">
        <v>9200</v>
      </c>
      <c r="F2862" s="58"/>
      <c r="G2862" s="58">
        <f t="shared" si="48"/>
        <v>-9200</v>
      </c>
      <c r="H2862" s="49" t="s">
        <v>2257</v>
      </c>
    </row>
    <row r="2863" spans="1:8" ht="15" customHeight="1" x14ac:dyDescent="0.25">
      <c r="A2863" s="597">
        <v>42849</v>
      </c>
      <c r="B2863" s="41" t="s">
        <v>16</v>
      </c>
      <c r="C2863" s="2" t="s">
        <v>773</v>
      </c>
      <c r="D2863" s="129" t="s">
        <v>2370</v>
      </c>
      <c r="E2863" s="58">
        <v>900</v>
      </c>
      <c r="F2863" s="58"/>
      <c r="G2863" s="58">
        <f t="shared" si="48"/>
        <v>-900</v>
      </c>
      <c r="H2863" s="49" t="s">
        <v>2257</v>
      </c>
    </row>
    <row r="2864" spans="1:8" ht="15" customHeight="1" x14ac:dyDescent="0.25">
      <c r="A2864" s="597">
        <v>42849</v>
      </c>
      <c r="B2864" s="41" t="s">
        <v>2094</v>
      </c>
      <c r="C2864" s="2" t="s">
        <v>1894</v>
      </c>
      <c r="D2864" s="129" t="s">
        <v>2371</v>
      </c>
      <c r="E2864" s="58">
        <v>3076</v>
      </c>
      <c r="F2864" s="58"/>
      <c r="G2864" s="58">
        <f t="shared" si="48"/>
        <v>-3076</v>
      </c>
      <c r="H2864" s="49" t="s">
        <v>2257</v>
      </c>
    </row>
    <row r="2865" spans="1:8" x14ac:dyDescent="0.2">
      <c r="A2865" s="597">
        <v>42849</v>
      </c>
      <c r="B2865" s="41" t="s">
        <v>2094</v>
      </c>
      <c r="C2865" s="41" t="s">
        <v>14</v>
      </c>
      <c r="D2865" s="129" t="s">
        <v>2372</v>
      </c>
      <c r="E2865" s="58">
        <v>1650</v>
      </c>
      <c r="F2865" s="58"/>
      <c r="G2865" s="58">
        <f t="shared" si="48"/>
        <v>-1650</v>
      </c>
      <c r="H2865" s="49" t="s">
        <v>2257</v>
      </c>
    </row>
    <row r="2866" spans="1:8" ht="15" customHeight="1" x14ac:dyDescent="0.25">
      <c r="A2866" s="597">
        <v>42849</v>
      </c>
      <c r="B2866" s="41" t="s">
        <v>2094</v>
      </c>
      <c r="C2866" s="2" t="s">
        <v>63</v>
      </c>
      <c r="D2866" s="129" t="s">
        <v>2380</v>
      </c>
      <c r="E2866" s="58">
        <v>900</v>
      </c>
      <c r="F2866" s="58"/>
      <c r="G2866" s="58">
        <f t="shared" si="48"/>
        <v>-900</v>
      </c>
      <c r="H2866" s="49" t="s">
        <v>2257</v>
      </c>
    </row>
    <row r="2867" spans="1:8" ht="15" customHeight="1" x14ac:dyDescent="0.25">
      <c r="A2867" s="597">
        <v>42850</v>
      </c>
      <c r="B2867" s="41" t="s">
        <v>2094</v>
      </c>
      <c r="C2867" s="2" t="s">
        <v>63</v>
      </c>
      <c r="D2867" s="129" t="s">
        <v>2373</v>
      </c>
      <c r="E2867" s="58">
        <v>2910</v>
      </c>
      <c r="F2867" s="58"/>
      <c r="G2867" s="58">
        <f t="shared" si="48"/>
        <v>-2910</v>
      </c>
      <c r="H2867" s="49" t="s">
        <v>2257</v>
      </c>
    </row>
    <row r="2868" spans="1:8" ht="15" customHeight="1" x14ac:dyDescent="0.25">
      <c r="A2868" s="597">
        <v>42850</v>
      </c>
      <c r="B2868" s="41" t="s">
        <v>25</v>
      </c>
      <c r="C2868" s="2" t="s">
        <v>1894</v>
      </c>
      <c r="D2868" s="129" t="s">
        <v>2374</v>
      </c>
      <c r="E2868" s="58">
        <v>450</v>
      </c>
      <c r="F2868" s="58"/>
      <c r="G2868" s="58">
        <f t="shared" si="48"/>
        <v>-450</v>
      </c>
      <c r="H2868" s="49" t="s">
        <v>2257</v>
      </c>
    </row>
    <row r="2869" spans="1:8" ht="24.75" customHeight="1" x14ac:dyDescent="0.25">
      <c r="A2869" s="597">
        <v>42851</v>
      </c>
      <c r="B2869" s="41" t="s">
        <v>2094</v>
      </c>
      <c r="C2869" s="2" t="s">
        <v>668</v>
      </c>
      <c r="D2869" s="129" t="s">
        <v>2375</v>
      </c>
      <c r="E2869" s="58">
        <v>1900</v>
      </c>
      <c r="F2869" s="58"/>
      <c r="G2869" s="58">
        <f t="shared" si="48"/>
        <v>-1900</v>
      </c>
      <c r="H2869" s="49" t="s">
        <v>2257</v>
      </c>
    </row>
    <row r="2870" spans="1:8" ht="15" customHeight="1" x14ac:dyDescent="0.25">
      <c r="A2870" s="597">
        <v>42851</v>
      </c>
      <c r="B2870" s="41" t="s">
        <v>18</v>
      </c>
      <c r="C2870" s="2" t="s">
        <v>668</v>
      </c>
      <c r="D2870" s="129" t="s">
        <v>2376</v>
      </c>
      <c r="E2870" s="58">
        <v>2650</v>
      </c>
      <c r="F2870" s="58"/>
      <c r="G2870" s="58">
        <f t="shared" si="48"/>
        <v>-2650</v>
      </c>
      <c r="H2870" s="49" t="s">
        <v>2257</v>
      </c>
    </row>
    <row r="2871" spans="1:8" ht="15" customHeight="1" x14ac:dyDescent="0.25">
      <c r="A2871" s="597">
        <v>42851</v>
      </c>
      <c r="B2871" s="41" t="s">
        <v>16</v>
      </c>
      <c r="C2871" s="2" t="s">
        <v>103</v>
      </c>
      <c r="D2871" s="129" t="s">
        <v>2379</v>
      </c>
      <c r="E2871" s="58">
        <v>1200</v>
      </c>
      <c r="F2871" s="58"/>
      <c r="G2871" s="58">
        <f t="shared" si="48"/>
        <v>-1200</v>
      </c>
      <c r="H2871" s="49" t="s">
        <v>2257</v>
      </c>
    </row>
    <row r="2872" spans="1:8" ht="15" customHeight="1" x14ac:dyDescent="0.25">
      <c r="A2872" s="597">
        <v>42851</v>
      </c>
      <c r="B2872" s="41" t="s">
        <v>16</v>
      </c>
      <c r="C2872" s="2" t="s">
        <v>773</v>
      </c>
      <c r="D2872" s="129" t="s">
        <v>2381</v>
      </c>
      <c r="E2872" s="58">
        <v>200</v>
      </c>
      <c r="F2872" s="58"/>
      <c r="G2872" s="58">
        <f t="shared" si="48"/>
        <v>-200</v>
      </c>
      <c r="H2872" s="49" t="s">
        <v>2257</v>
      </c>
    </row>
    <row r="2873" spans="1:8" ht="15" customHeight="1" x14ac:dyDescent="0.25">
      <c r="A2873" s="597">
        <v>42851</v>
      </c>
      <c r="B2873" s="41" t="s">
        <v>25</v>
      </c>
      <c r="C2873" s="2" t="s">
        <v>1916</v>
      </c>
      <c r="D2873" s="129" t="s">
        <v>2108</v>
      </c>
      <c r="E2873" s="58">
        <v>1500</v>
      </c>
      <c r="F2873" s="58"/>
      <c r="G2873" s="58">
        <f t="shared" si="48"/>
        <v>-1500</v>
      </c>
      <c r="H2873" s="49" t="s">
        <v>2257</v>
      </c>
    </row>
    <row r="2874" spans="1:8" ht="15" customHeight="1" x14ac:dyDescent="0.25">
      <c r="A2874" s="597">
        <v>42852</v>
      </c>
      <c r="B2874" s="41" t="s">
        <v>2094</v>
      </c>
      <c r="C2874" s="2" t="s">
        <v>149</v>
      </c>
      <c r="D2874" s="129" t="s">
        <v>2382</v>
      </c>
      <c r="E2874" s="58">
        <v>1040</v>
      </c>
      <c r="F2874" s="58"/>
      <c r="G2874" s="58">
        <f t="shared" si="48"/>
        <v>-1040</v>
      </c>
      <c r="H2874" s="49" t="s">
        <v>2257</v>
      </c>
    </row>
    <row r="2875" spans="1:8" ht="15" customHeight="1" x14ac:dyDescent="0.25">
      <c r="A2875" s="597">
        <v>42852</v>
      </c>
      <c r="B2875" s="41" t="s">
        <v>1400</v>
      </c>
      <c r="C2875" s="2" t="s">
        <v>1704</v>
      </c>
      <c r="D2875" s="129" t="s">
        <v>2366</v>
      </c>
      <c r="E2875" s="58">
        <v>100</v>
      </c>
      <c r="F2875" s="58"/>
      <c r="G2875" s="58">
        <f t="shared" si="48"/>
        <v>-100</v>
      </c>
      <c r="H2875" s="49" t="s">
        <v>2257</v>
      </c>
    </row>
    <row r="2876" spans="1:8" ht="15" customHeight="1" x14ac:dyDescent="0.25">
      <c r="A2876" s="597">
        <v>42852</v>
      </c>
      <c r="B2876" s="41" t="s">
        <v>16</v>
      </c>
      <c r="C2876" s="2" t="s">
        <v>773</v>
      </c>
      <c r="D2876" s="129" t="s">
        <v>2383</v>
      </c>
      <c r="E2876" s="58">
        <v>2000</v>
      </c>
      <c r="F2876" s="58"/>
      <c r="G2876" s="58">
        <f t="shared" si="48"/>
        <v>-2000</v>
      </c>
      <c r="H2876" s="49" t="s">
        <v>2257</v>
      </c>
    </row>
    <row r="2877" spans="1:8" ht="15" customHeight="1" x14ac:dyDescent="0.25">
      <c r="A2877" s="597">
        <v>42853</v>
      </c>
      <c r="B2877" s="41" t="s">
        <v>2094</v>
      </c>
      <c r="C2877" s="2" t="s">
        <v>551</v>
      </c>
      <c r="D2877" s="129" t="s">
        <v>2384</v>
      </c>
      <c r="E2877" s="58">
        <v>15723</v>
      </c>
      <c r="F2877" s="58"/>
      <c r="G2877" s="58">
        <f t="shared" si="48"/>
        <v>-15723</v>
      </c>
      <c r="H2877" s="49" t="s">
        <v>2257</v>
      </c>
    </row>
    <row r="2878" spans="1:8" ht="15" customHeight="1" x14ac:dyDescent="0.25">
      <c r="A2878" s="597">
        <v>42853</v>
      </c>
      <c r="B2878" s="41" t="s">
        <v>2094</v>
      </c>
      <c r="C2878" s="2" t="s">
        <v>551</v>
      </c>
      <c r="D2878" s="129" t="s">
        <v>72</v>
      </c>
      <c r="E2878" s="58">
        <v>37640</v>
      </c>
      <c r="F2878" s="58"/>
      <c r="G2878" s="58">
        <f t="shared" si="48"/>
        <v>-37640</v>
      </c>
      <c r="H2878" s="49" t="s">
        <v>2257</v>
      </c>
    </row>
    <row r="2879" spans="1:8" ht="15" customHeight="1" x14ac:dyDescent="0.25">
      <c r="A2879" s="597">
        <v>42854</v>
      </c>
      <c r="B2879" s="41" t="s">
        <v>40</v>
      </c>
      <c r="C2879" s="2" t="s">
        <v>929</v>
      </c>
      <c r="D2879" s="129" t="s">
        <v>370</v>
      </c>
      <c r="E2879" s="58">
        <v>15000</v>
      </c>
      <c r="F2879" s="58"/>
      <c r="G2879" s="58">
        <f t="shared" si="48"/>
        <v>-15000</v>
      </c>
      <c r="H2879" s="49" t="s">
        <v>2257</v>
      </c>
    </row>
    <row r="2880" spans="1:8" ht="60" x14ac:dyDescent="0.2">
      <c r="A2880" s="597">
        <v>42854</v>
      </c>
      <c r="B2880" s="63" t="s">
        <v>16</v>
      </c>
      <c r="C2880" s="119" t="s">
        <v>199</v>
      </c>
      <c r="D2880" s="183" t="s">
        <v>2385</v>
      </c>
      <c r="E2880" s="126">
        <v>18436</v>
      </c>
      <c r="F2880" s="126"/>
      <c r="G2880" s="126">
        <f t="shared" si="48"/>
        <v>-18436</v>
      </c>
      <c r="H2880" s="49" t="s">
        <v>2257</v>
      </c>
    </row>
    <row r="2881" spans="1:8" ht="15" customHeight="1" x14ac:dyDescent="0.25">
      <c r="A2881" s="602">
        <v>42828</v>
      </c>
      <c r="B2881" s="122" t="s">
        <v>40</v>
      </c>
      <c r="C2881" s="122" t="s">
        <v>2264</v>
      </c>
      <c r="D2881" s="118" t="s">
        <v>2259</v>
      </c>
      <c r="E2881" s="123">
        <v>56576</v>
      </c>
      <c r="F2881" s="123"/>
      <c r="G2881" s="123">
        <f t="shared" si="48"/>
        <v>-56576</v>
      </c>
      <c r="H2881" s="117" t="s">
        <v>2257</v>
      </c>
    </row>
    <row r="2882" spans="1:8" ht="15" customHeight="1" x14ac:dyDescent="0.25">
      <c r="A2882" s="602">
        <v>42828</v>
      </c>
      <c r="B2882" s="122" t="s">
        <v>1400</v>
      </c>
      <c r="C2882" s="122" t="s">
        <v>2264</v>
      </c>
      <c r="D2882" s="118" t="s">
        <v>2259</v>
      </c>
      <c r="E2882" s="123">
        <v>205200</v>
      </c>
      <c r="F2882" s="123"/>
      <c r="G2882" s="123">
        <f t="shared" si="48"/>
        <v>-205200</v>
      </c>
      <c r="H2882" s="117" t="s">
        <v>2257</v>
      </c>
    </row>
    <row r="2883" spans="1:8" ht="15" customHeight="1" x14ac:dyDescent="0.25">
      <c r="A2883" s="602">
        <v>42829</v>
      </c>
      <c r="B2883" s="122" t="s">
        <v>18</v>
      </c>
      <c r="C2883" s="122" t="s">
        <v>2104</v>
      </c>
      <c r="D2883" s="118" t="s">
        <v>2258</v>
      </c>
      <c r="E2883" s="123">
        <v>29000</v>
      </c>
      <c r="F2883" s="123"/>
      <c r="G2883" s="123">
        <f t="shared" si="48"/>
        <v>-29000</v>
      </c>
      <c r="H2883" s="117" t="s">
        <v>2257</v>
      </c>
    </row>
    <row r="2884" spans="1:8" ht="15" customHeight="1" x14ac:dyDescent="0.25">
      <c r="A2884" s="602">
        <v>42829</v>
      </c>
      <c r="B2884" s="122" t="s">
        <v>25</v>
      </c>
      <c r="C2884" s="122" t="s">
        <v>1894</v>
      </c>
      <c r="D2884" s="118" t="s">
        <v>2260</v>
      </c>
      <c r="E2884" s="123">
        <v>260000</v>
      </c>
      <c r="F2884" s="123"/>
      <c r="G2884" s="123">
        <f t="shared" si="48"/>
        <v>-260000</v>
      </c>
      <c r="H2884" s="117" t="s">
        <v>2257</v>
      </c>
    </row>
    <row r="2885" spans="1:8" ht="15" customHeight="1" x14ac:dyDescent="0.25">
      <c r="A2885" s="602">
        <v>42832</v>
      </c>
      <c r="B2885" s="122" t="s">
        <v>2094</v>
      </c>
      <c r="C2885" s="122" t="s">
        <v>406</v>
      </c>
      <c r="D2885" s="118" t="s">
        <v>2265</v>
      </c>
      <c r="E2885" s="123">
        <v>231000</v>
      </c>
      <c r="F2885" s="123"/>
      <c r="G2885" s="123">
        <f t="shared" si="48"/>
        <v>-231000</v>
      </c>
      <c r="H2885" s="117" t="s">
        <v>2257</v>
      </c>
    </row>
    <row r="2886" spans="1:8" ht="15" customHeight="1" x14ac:dyDescent="0.25">
      <c r="A2886" s="602">
        <v>42833</v>
      </c>
      <c r="B2886" s="122" t="s">
        <v>1493</v>
      </c>
      <c r="C2886" s="122" t="s">
        <v>705</v>
      </c>
      <c r="D2886" s="118" t="s">
        <v>2267</v>
      </c>
      <c r="E2886" s="123">
        <v>13000</v>
      </c>
      <c r="F2886" s="123"/>
      <c r="G2886" s="123">
        <f t="shared" si="48"/>
        <v>-13000</v>
      </c>
      <c r="H2886" s="117" t="s">
        <v>2257</v>
      </c>
    </row>
    <row r="2887" spans="1:8" ht="15" customHeight="1" x14ac:dyDescent="0.25">
      <c r="A2887" s="602">
        <v>42833</v>
      </c>
      <c r="B2887" s="122" t="s">
        <v>40</v>
      </c>
      <c r="C2887" s="122" t="s">
        <v>705</v>
      </c>
      <c r="D2887" s="118" t="s">
        <v>2267</v>
      </c>
      <c r="E2887" s="123">
        <v>2128</v>
      </c>
      <c r="F2887" s="123"/>
      <c r="G2887" s="123">
        <f t="shared" si="48"/>
        <v>-2128</v>
      </c>
      <c r="H2887" s="117" t="s">
        <v>2257</v>
      </c>
    </row>
    <row r="2888" spans="1:8" ht="15" customHeight="1" x14ac:dyDescent="0.25">
      <c r="A2888" s="602">
        <v>42833</v>
      </c>
      <c r="B2888" s="122" t="s">
        <v>40</v>
      </c>
      <c r="C2888" s="122" t="s">
        <v>2128</v>
      </c>
      <c r="D2888" s="118" t="s">
        <v>2269</v>
      </c>
      <c r="E2888" s="123">
        <v>3500</v>
      </c>
      <c r="F2888" s="123"/>
      <c r="G2888" s="123">
        <f t="shared" si="48"/>
        <v>-3500</v>
      </c>
      <c r="H2888" s="117" t="s">
        <v>2257</v>
      </c>
    </row>
    <row r="2889" spans="1:8" ht="15" customHeight="1" x14ac:dyDescent="0.25">
      <c r="A2889" s="602">
        <v>42833</v>
      </c>
      <c r="B2889" s="122" t="s">
        <v>2094</v>
      </c>
      <c r="C2889" s="122" t="s">
        <v>2128</v>
      </c>
      <c r="D2889" s="118" t="s">
        <v>2269</v>
      </c>
      <c r="E2889" s="123">
        <v>123290</v>
      </c>
      <c r="F2889" s="123"/>
      <c r="G2889" s="123">
        <f t="shared" ref="G2889:G2952" si="49">F2889-E2889</f>
        <v>-123290</v>
      </c>
      <c r="H2889" s="117" t="s">
        <v>2257</v>
      </c>
    </row>
    <row r="2890" spans="1:8" ht="15" customHeight="1" x14ac:dyDescent="0.25">
      <c r="A2890" s="602">
        <v>42833</v>
      </c>
      <c r="B2890" s="122" t="s">
        <v>2094</v>
      </c>
      <c r="C2890" s="122" t="s">
        <v>2128</v>
      </c>
      <c r="D2890" s="118" t="s">
        <v>2268</v>
      </c>
      <c r="E2890" s="123">
        <v>536900</v>
      </c>
      <c r="F2890" s="123"/>
      <c r="G2890" s="123">
        <f t="shared" si="49"/>
        <v>-536900</v>
      </c>
      <c r="H2890" s="117" t="s">
        <v>2257</v>
      </c>
    </row>
    <row r="2891" spans="1:8" ht="15" customHeight="1" x14ac:dyDescent="0.25">
      <c r="A2891" s="602">
        <v>42833</v>
      </c>
      <c r="B2891" s="122" t="s">
        <v>2094</v>
      </c>
      <c r="C2891" s="122" t="s">
        <v>63</v>
      </c>
      <c r="D2891" s="118" t="s">
        <v>2270</v>
      </c>
      <c r="E2891" s="123">
        <v>100000</v>
      </c>
      <c r="F2891" s="123"/>
      <c r="G2891" s="123">
        <f t="shared" si="49"/>
        <v>-100000</v>
      </c>
      <c r="H2891" s="117" t="s">
        <v>2257</v>
      </c>
    </row>
    <row r="2892" spans="1:8" ht="28.5" customHeight="1" x14ac:dyDescent="0.25">
      <c r="A2892" s="602">
        <v>42837</v>
      </c>
      <c r="B2892" s="122" t="s">
        <v>2094</v>
      </c>
      <c r="C2892" s="122" t="s">
        <v>2264</v>
      </c>
      <c r="D2892" s="118" t="s">
        <v>2306</v>
      </c>
      <c r="E2892" s="123">
        <v>149000</v>
      </c>
      <c r="F2892" s="123"/>
      <c r="G2892" s="123">
        <f t="shared" si="49"/>
        <v>-149000</v>
      </c>
      <c r="H2892" s="117" t="s">
        <v>2257</v>
      </c>
    </row>
    <row r="2893" spans="1:8" ht="15" customHeight="1" x14ac:dyDescent="0.25">
      <c r="A2893" s="602">
        <v>42838</v>
      </c>
      <c r="B2893" s="122" t="s">
        <v>40</v>
      </c>
      <c r="C2893" s="122" t="s">
        <v>1391</v>
      </c>
      <c r="D2893" s="118" t="s">
        <v>2278</v>
      </c>
      <c r="E2893" s="123">
        <v>19598</v>
      </c>
      <c r="F2893" s="123"/>
      <c r="G2893" s="123">
        <f t="shared" si="49"/>
        <v>-19598</v>
      </c>
      <c r="H2893" s="117" t="s">
        <v>2257</v>
      </c>
    </row>
    <row r="2894" spans="1:8" ht="15" customHeight="1" x14ac:dyDescent="0.25">
      <c r="A2894" s="602">
        <v>42844</v>
      </c>
      <c r="B2894" s="122" t="s">
        <v>1400</v>
      </c>
      <c r="C2894" s="122" t="s">
        <v>3335</v>
      </c>
      <c r="D2894" s="118" t="s">
        <v>2309</v>
      </c>
      <c r="E2894" s="123">
        <v>14000</v>
      </c>
      <c r="F2894" s="123"/>
      <c r="G2894" s="123">
        <f t="shared" si="49"/>
        <v>-14000</v>
      </c>
      <c r="H2894" s="117" t="s">
        <v>2257</v>
      </c>
    </row>
    <row r="2895" spans="1:8" ht="24.75" customHeight="1" x14ac:dyDescent="0.25">
      <c r="A2895" s="602">
        <v>42844</v>
      </c>
      <c r="B2895" s="122" t="s">
        <v>2094</v>
      </c>
      <c r="C2895" s="122" t="s">
        <v>220</v>
      </c>
      <c r="D2895" s="118" t="s">
        <v>2333</v>
      </c>
      <c r="E2895" s="123">
        <v>42720</v>
      </c>
      <c r="F2895" s="123"/>
      <c r="G2895" s="123">
        <f t="shared" si="49"/>
        <v>-42720</v>
      </c>
      <c r="H2895" s="117" t="s">
        <v>2257</v>
      </c>
    </row>
    <row r="2896" spans="1:8" ht="15" customHeight="1" x14ac:dyDescent="0.25">
      <c r="A2896" s="602">
        <v>42850</v>
      </c>
      <c r="B2896" s="122" t="s">
        <v>16</v>
      </c>
      <c r="C2896" s="122" t="s">
        <v>2334</v>
      </c>
      <c r="D2896" s="118" t="s">
        <v>2335</v>
      </c>
      <c r="E2896" s="123">
        <v>8000</v>
      </c>
      <c r="F2896" s="123"/>
      <c r="G2896" s="123">
        <f t="shared" si="49"/>
        <v>-8000</v>
      </c>
      <c r="H2896" s="117" t="s">
        <v>2257</v>
      </c>
    </row>
    <row r="2897" spans="1:8" ht="24.75" customHeight="1" x14ac:dyDescent="0.25">
      <c r="A2897" s="602">
        <v>42851</v>
      </c>
      <c r="B2897" s="122" t="s">
        <v>40</v>
      </c>
      <c r="C2897" s="122" t="s">
        <v>2336</v>
      </c>
      <c r="D2897" s="118" t="s">
        <v>2337</v>
      </c>
      <c r="E2897" s="123">
        <v>245069</v>
      </c>
      <c r="F2897" s="123"/>
      <c r="G2897" s="123">
        <f t="shared" si="49"/>
        <v>-245069</v>
      </c>
      <c r="H2897" s="117" t="s">
        <v>2257</v>
      </c>
    </row>
    <row r="2898" spans="1:8" ht="15" customHeight="1" x14ac:dyDescent="0.25">
      <c r="A2898" s="602">
        <v>42852</v>
      </c>
      <c r="B2898" s="45" t="s">
        <v>1400</v>
      </c>
      <c r="C2898" s="122" t="s">
        <v>2339</v>
      </c>
      <c r="D2898" s="118" t="s">
        <v>2340</v>
      </c>
      <c r="E2898" s="123">
        <v>81000</v>
      </c>
      <c r="F2898" s="123"/>
      <c r="G2898" s="123">
        <f t="shared" si="49"/>
        <v>-81000</v>
      </c>
      <c r="H2898" s="117" t="s">
        <v>2257</v>
      </c>
    </row>
    <row r="2899" spans="1:8" ht="15" customHeight="1" x14ac:dyDescent="0.25">
      <c r="A2899" s="602">
        <v>42853</v>
      </c>
      <c r="B2899" s="122" t="s">
        <v>2094</v>
      </c>
      <c r="C2899" s="122" t="s">
        <v>2341</v>
      </c>
      <c r="D2899" s="118" t="s">
        <v>2342</v>
      </c>
      <c r="E2899" s="123">
        <v>10240</v>
      </c>
      <c r="F2899" s="123"/>
      <c r="G2899" s="123">
        <f t="shared" si="49"/>
        <v>-10240</v>
      </c>
      <c r="H2899" s="117" t="s">
        <v>2257</v>
      </c>
    </row>
    <row r="2900" spans="1:8" ht="15" customHeight="1" x14ac:dyDescent="0.25">
      <c r="A2900" s="602">
        <v>42853</v>
      </c>
      <c r="B2900" s="122" t="s">
        <v>2094</v>
      </c>
      <c r="C2900" s="122" t="s">
        <v>895</v>
      </c>
      <c r="D2900" s="118" t="s">
        <v>2343</v>
      </c>
      <c r="E2900" s="123">
        <v>20880</v>
      </c>
      <c r="F2900" s="123"/>
      <c r="G2900" s="123">
        <f t="shared" si="49"/>
        <v>-20880</v>
      </c>
      <c r="H2900" s="117" t="s">
        <v>2257</v>
      </c>
    </row>
    <row r="2901" spans="1:8" ht="15" customHeight="1" x14ac:dyDescent="0.25">
      <c r="A2901" s="602">
        <v>42853</v>
      </c>
      <c r="B2901" s="122" t="s">
        <v>40</v>
      </c>
      <c r="C2901" s="122" t="s">
        <v>256</v>
      </c>
      <c r="D2901" s="118" t="s">
        <v>2344</v>
      </c>
      <c r="E2901" s="123">
        <v>135393</v>
      </c>
      <c r="F2901" s="123"/>
      <c r="G2901" s="123">
        <f t="shared" si="49"/>
        <v>-135393</v>
      </c>
      <c r="H2901" s="117" t="s">
        <v>2257</v>
      </c>
    </row>
    <row r="2902" spans="1:8" x14ac:dyDescent="0.2">
      <c r="A2902" s="599">
        <v>42829</v>
      </c>
      <c r="B2902" s="91" t="s">
        <v>18</v>
      </c>
      <c r="C2902" s="91" t="s">
        <v>350</v>
      </c>
      <c r="D2902" s="801" t="s">
        <v>1221</v>
      </c>
      <c r="E2902" s="92"/>
      <c r="F2902" s="92">
        <v>70000</v>
      </c>
      <c r="G2902" s="92">
        <f t="shared" si="49"/>
        <v>70000</v>
      </c>
      <c r="H2902" s="93" t="s">
        <v>2257</v>
      </c>
    </row>
    <row r="2903" spans="1:8" x14ac:dyDescent="0.2">
      <c r="A2903" s="599">
        <v>42832</v>
      </c>
      <c r="B2903" s="91" t="s">
        <v>2094</v>
      </c>
      <c r="C2903" s="91" t="s">
        <v>2094</v>
      </c>
      <c r="D2903" s="801" t="s">
        <v>2307</v>
      </c>
      <c r="E2903" s="92"/>
      <c r="F2903" s="92">
        <v>2234805</v>
      </c>
      <c r="G2903" s="92">
        <f t="shared" si="49"/>
        <v>2234805</v>
      </c>
      <c r="H2903" s="93" t="s">
        <v>2257</v>
      </c>
    </row>
    <row r="2904" spans="1:8" x14ac:dyDescent="0.2">
      <c r="A2904" s="599">
        <v>42842</v>
      </c>
      <c r="B2904" s="91" t="s">
        <v>40</v>
      </c>
      <c r="C2904" s="91" t="s">
        <v>40</v>
      </c>
      <c r="D2904" s="801" t="s">
        <v>559</v>
      </c>
      <c r="E2904" s="92"/>
      <c r="F2904" s="92">
        <v>817000</v>
      </c>
      <c r="G2904" s="92">
        <f t="shared" si="49"/>
        <v>817000</v>
      </c>
      <c r="H2904" s="93" t="s">
        <v>2257</v>
      </c>
    </row>
    <row r="2905" spans="1:8" x14ac:dyDescent="0.2">
      <c r="A2905" s="599">
        <v>42844</v>
      </c>
      <c r="B2905" s="91" t="s">
        <v>22</v>
      </c>
      <c r="C2905" s="91" t="s">
        <v>22</v>
      </c>
      <c r="D2905" s="801" t="s">
        <v>2308</v>
      </c>
      <c r="E2905" s="92"/>
      <c r="F2905" s="92">
        <v>113000</v>
      </c>
      <c r="G2905" s="92">
        <f t="shared" si="49"/>
        <v>113000</v>
      </c>
      <c r="H2905" s="93" t="s">
        <v>2257</v>
      </c>
    </row>
    <row r="2906" spans="1:8" x14ac:dyDescent="0.2">
      <c r="A2906" s="599">
        <v>42852</v>
      </c>
      <c r="B2906" s="91" t="s">
        <v>18</v>
      </c>
      <c r="C2906" s="91" t="s">
        <v>18</v>
      </c>
      <c r="D2906" s="801" t="s">
        <v>1394</v>
      </c>
      <c r="E2906" s="92"/>
      <c r="F2906" s="92">
        <v>100000</v>
      </c>
      <c r="G2906" s="92">
        <f t="shared" si="49"/>
        <v>100000</v>
      </c>
      <c r="H2906" s="93" t="s">
        <v>2257</v>
      </c>
    </row>
    <row r="2907" spans="1:8" ht="15" customHeight="1" x14ac:dyDescent="0.25">
      <c r="A2907" s="597">
        <v>42860</v>
      </c>
      <c r="B2907" s="41" t="s">
        <v>25</v>
      </c>
      <c r="C2907" s="41" t="s">
        <v>794</v>
      </c>
      <c r="D2907" s="108" t="s">
        <v>1839</v>
      </c>
      <c r="E2907" s="58">
        <v>5000</v>
      </c>
      <c r="F2907" s="58"/>
      <c r="G2907" s="58">
        <f t="shared" si="49"/>
        <v>-5000</v>
      </c>
      <c r="H2907" s="114" t="s">
        <v>2345</v>
      </c>
    </row>
    <row r="2908" spans="1:8" ht="15" customHeight="1" x14ac:dyDescent="0.25">
      <c r="A2908" s="597">
        <v>42860</v>
      </c>
      <c r="B2908" s="41" t="s">
        <v>25</v>
      </c>
      <c r="C2908" s="41" t="s">
        <v>794</v>
      </c>
      <c r="D2908" s="108" t="s">
        <v>1840</v>
      </c>
      <c r="E2908" s="58">
        <v>4000</v>
      </c>
      <c r="F2908" s="58"/>
      <c r="G2908" s="58">
        <f t="shared" si="49"/>
        <v>-4000</v>
      </c>
      <c r="H2908" s="114" t="s">
        <v>2345</v>
      </c>
    </row>
    <row r="2909" spans="1:8" ht="15" customHeight="1" x14ac:dyDescent="0.25">
      <c r="A2909" s="597">
        <v>42860</v>
      </c>
      <c r="B2909" s="41" t="s">
        <v>25</v>
      </c>
      <c r="C2909" s="41" t="s">
        <v>794</v>
      </c>
      <c r="D2909" s="108" t="s">
        <v>2183</v>
      </c>
      <c r="E2909" s="58">
        <v>18000</v>
      </c>
      <c r="F2909" s="58"/>
      <c r="G2909" s="58">
        <f t="shared" si="49"/>
        <v>-18000</v>
      </c>
      <c r="H2909" s="114" t="s">
        <v>2345</v>
      </c>
    </row>
    <row r="2910" spans="1:8" ht="15" customHeight="1" x14ac:dyDescent="0.25">
      <c r="A2910" s="597">
        <v>42860</v>
      </c>
      <c r="B2910" s="41" t="s">
        <v>25</v>
      </c>
      <c r="C2910" s="41" t="s">
        <v>794</v>
      </c>
      <c r="D2910" s="108" t="s">
        <v>1547</v>
      </c>
      <c r="E2910" s="58">
        <v>9000</v>
      </c>
      <c r="F2910" s="58"/>
      <c r="G2910" s="58">
        <f t="shared" si="49"/>
        <v>-9000</v>
      </c>
      <c r="H2910" s="114" t="s">
        <v>2345</v>
      </c>
    </row>
    <row r="2911" spans="1:8" ht="15" customHeight="1" x14ac:dyDescent="0.25">
      <c r="A2911" s="597">
        <v>42860</v>
      </c>
      <c r="B2911" s="41" t="s">
        <v>16</v>
      </c>
      <c r="C2911" s="41" t="s">
        <v>794</v>
      </c>
      <c r="D2911" s="108" t="s">
        <v>1842</v>
      </c>
      <c r="E2911" s="58">
        <v>25000</v>
      </c>
      <c r="F2911" s="58"/>
      <c r="G2911" s="58">
        <f t="shared" si="49"/>
        <v>-25000</v>
      </c>
      <c r="H2911" s="114" t="s">
        <v>2345</v>
      </c>
    </row>
    <row r="2912" spans="1:8" ht="15" customHeight="1" x14ac:dyDescent="0.25">
      <c r="A2912" s="597">
        <v>42860</v>
      </c>
      <c r="B2912" s="41" t="s">
        <v>16</v>
      </c>
      <c r="C2912" s="41" t="s">
        <v>794</v>
      </c>
      <c r="D2912" s="108" t="s">
        <v>1843</v>
      </c>
      <c r="E2912" s="58">
        <v>16400</v>
      </c>
      <c r="F2912" s="58"/>
      <c r="G2912" s="58">
        <f t="shared" si="49"/>
        <v>-16400</v>
      </c>
      <c r="H2912" s="114" t="s">
        <v>2345</v>
      </c>
    </row>
    <row r="2913" spans="1:8" ht="15" customHeight="1" x14ac:dyDescent="0.25">
      <c r="A2913" s="597">
        <v>42860</v>
      </c>
      <c r="B2913" s="41" t="s">
        <v>16</v>
      </c>
      <c r="C2913" s="41" t="s">
        <v>794</v>
      </c>
      <c r="D2913" s="108" t="s">
        <v>1844</v>
      </c>
      <c r="E2913" s="58">
        <v>19000</v>
      </c>
      <c r="F2913" s="58"/>
      <c r="G2913" s="58">
        <f t="shared" si="49"/>
        <v>-19000</v>
      </c>
      <c r="H2913" s="114" t="s">
        <v>2345</v>
      </c>
    </row>
    <row r="2914" spans="1:8" ht="15" customHeight="1" x14ac:dyDescent="0.25">
      <c r="A2914" s="597">
        <v>42860</v>
      </c>
      <c r="B2914" s="41" t="s">
        <v>16</v>
      </c>
      <c r="C2914" s="41" t="s">
        <v>794</v>
      </c>
      <c r="D2914" s="108" t="s">
        <v>2184</v>
      </c>
      <c r="E2914" s="58">
        <v>10000</v>
      </c>
      <c r="F2914" s="58"/>
      <c r="G2914" s="58">
        <f t="shared" si="49"/>
        <v>-10000</v>
      </c>
      <c r="H2914" s="114" t="s">
        <v>2345</v>
      </c>
    </row>
    <row r="2915" spans="1:8" ht="15" customHeight="1" x14ac:dyDescent="0.25">
      <c r="A2915" s="597">
        <v>42860</v>
      </c>
      <c r="B2915" s="41" t="s">
        <v>1400</v>
      </c>
      <c r="C2915" s="41" t="s">
        <v>794</v>
      </c>
      <c r="D2915" s="108" t="s">
        <v>1684</v>
      </c>
      <c r="E2915" s="58">
        <v>16000</v>
      </c>
      <c r="F2915" s="58"/>
      <c r="G2915" s="58">
        <f t="shared" si="49"/>
        <v>-16000</v>
      </c>
      <c r="H2915" s="114" t="s">
        <v>2345</v>
      </c>
    </row>
    <row r="2916" spans="1:8" ht="15" customHeight="1" x14ac:dyDescent="0.25">
      <c r="A2916" s="597">
        <v>42860</v>
      </c>
      <c r="B2916" s="41" t="s">
        <v>1400</v>
      </c>
      <c r="C2916" s="41" t="s">
        <v>794</v>
      </c>
      <c r="D2916" s="108" t="s">
        <v>1550</v>
      </c>
      <c r="E2916" s="58">
        <v>19066.666666666668</v>
      </c>
      <c r="F2916" s="58"/>
      <c r="G2916" s="58">
        <f t="shared" si="49"/>
        <v>-19066.666666666668</v>
      </c>
      <c r="H2916" s="114" t="s">
        <v>2345</v>
      </c>
    </row>
    <row r="2917" spans="1:8" ht="15" customHeight="1" x14ac:dyDescent="0.25">
      <c r="A2917" s="597">
        <v>42860</v>
      </c>
      <c r="B2917" s="41" t="s">
        <v>1400</v>
      </c>
      <c r="C2917" s="41" t="s">
        <v>794</v>
      </c>
      <c r="D2917" s="108" t="s">
        <v>1998</v>
      </c>
      <c r="E2917" s="58">
        <v>13370.833333333334</v>
      </c>
      <c r="F2917" s="58"/>
      <c r="G2917" s="58">
        <f t="shared" si="49"/>
        <v>-13370.833333333334</v>
      </c>
      <c r="H2917" s="114" t="s">
        <v>2345</v>
      </c>
    </row>
    <row r="2918" spans="1:8" ht="15" customHeight="1" x14ac:dyDescent="0.25">
      <c r="A2918" s="597">
        <v>42860</v>
      </c>
      <c r="B2918" s="41" t="s">
        <v>1400</v>
      </c>
      <c r="C2918" s="41" t="s">
        <v>794</v>
      </c>
      <c r="D2918" s="108" t="s">
        <v>2481</v>
      </c>
      <c r="E2918" s="58">
        <v>2500</v>
      </c>
      <c r="F2918" s="58"/>
      <c r="G2918" s="58">
        <f t="shared" si="49"/>
        <v>-2500</v>
      </c>
      <c r="H2918" s="114" t="s">
        <v>2345</v>
      </c>
    </row>
    <row r="2919" spans="1:8" ht="15" customHeight="1" x14ac:dyDescent="0.25">
      <c r="A2919" s="597">
        <v>42860</v>
      </c>
      <c r="B2919" s="41" t="s">
        <v>1400</v>
      </c>
      <c r="C2919" s="41" t="s">
        <v>794</v>
      </c>
      <c r="D2919" s="108" t="s">
        <v>1871</v>
      </c>
      <c r="E2919" s="58">
        <v>36333.333333333336</v>
      </c>
      <c r="F2919" s="58"/>
      <c r="G2919" s="58">
        <f t="shared" si="49"/>
        <v>-36333.333333333336</v>
      </c>
      <c r="H2919" s="114" t="s">
        <v>2345</v>
      </c>
    </row>
    <row r="2920" spans="1:8" ht="15" customHeight="1" x14ac:dyDescent="0.25">
      <c r="A2920" s="597">
        <v>42860</v>
      </c>
      <c r="B2920" s="41" t="s">
        <v>1400</v>
      </c>
      <c r="C2920" s="41" t="s">
        <v>794</v>
      </c>
      <c r="D2920" s="108" t="s">
        <v>1848</v>
      </c>
      <c r="E2920" s="58">
        <v>14750</v>
      </c>
      <c r="F2920" s="58"/>
      <c r="G2920" s="58">
        <f t="shared" si="49"/>
        <v>-14750</v>
      </c>
      <c r="H2920" s="114" t="s">
        <v>2345</v>
      </c>
    </row>
    <row r="2921" spans="1:8" ht="15" customHeight="1" x14ac:dyDescent="0.25">
      <c r="A2921" s="597">
        <v>42860</v>
      </c>
      <c r="B2921" s="41" t="s">
        <v>1400</v>
      </c>
      <c r="C2921" s="41" t="s">
        <v>794</v>
      </c>
      <c r="D2921" s="108" t="s">
        <v>1858</v>
      </c>
      <c r="E2921" s="58">
        <v>41391.666666666672</v>
      </c>
      <c r="F2921" s="58"/>
      <c r="G2921" s="58">
        <f t="shared" si="49"/>
        <v>-41391.666666666672</v>
      </c>
      <c r="H2921" s="114" t="s">
        <v>2345</v>
      </c>
    </row>
    <row r="2922" spans="1:8" ht="15" customHeight="1" x14ac:dyDescent="0.25">
      <c r="A2922" s="597">
        <v>42860</v>
      </c>
      <c r="B2922" s="41" t="s">
        <v>1400</v>
      </c>
      <c r="C2922" s="41" t="s">
        <v>794</v>
      </c>
      <c r="D2922" s="108" t="s">
        <v>1859</v>
      </c>
      <c r="E2922" s="58">
        <v>25112.5</v>
      </c>
      <c r="F2922" s="58"/>
      <c r="G2922" s="58">
        <f t="shared" si="49"/>
        <v>-25112.5</v>
      </c>
      <c r="H2922" s="114" t="s">
        <v>2345</v>
      </c>
    </row>
    <row r="2923" spans="1:8" ht="15" customHeight="1" x14ac:dyDescent="0.25">
      <c r="A2923" s="597">
        <v>42860</v>
      </c>
      <c r="B2923" s="41" t="s">
        <v>1400</v>
      </c>
      <c r="C2923" s="41" t="s">
        <v>794</v>
      </c>
      <c r="D2923" s="108" t="s">
        <v>1872</v>
      </c>
      <c r="E2923" s="58">
        <v>20300</v>
      </c>
      <c r="F2923" s="58"/>
      <c r="G2923" s="58">
        <f t="shared" si="49"/>
        <v>-20300</v>
      </c>
      <c r="H2923" s="114" t="s">
        <v>2345</v>
      </c>
    </row>
    <row r="2924" spans="1:8" ht="15" customHeight="1" x14ac:dyDescent="0.25">
      <c r="A2924" s="597">
        <v>42860</v>
      </c>
      <c r="B2924" s="41" t="s">
        <v>1400</v>
      </c>
      <c r="C2924" s="41" t="s">
        <v>794</v>
      </c>
      <c r="D2924" s="108" t="s">
        <v>1860</v>
      </c>
      <c r="E2924" s="58">
        <v>10678.125</v>
      </c>
      <c r="F2924" s="58"/>
      <c r="G2924" s="58">
        <f t="shared" si="49"/>
        <v>-10678.125</v>
      </c>
      <c r="H2924" s="114" t="s">
        <v>2345</v>
      </c>
    </row>
    <row r="2925" spans="1:8" ht="15" customHeight="1" x14ac:dyDescent="0.25">
      <c r="A2925" s="597">
        <v>42860</v>
      </c>
      <c r="B2925" s="41" t="s">
        <v>40</v>
      </c>
      <c r="C2925" s="41" t="s">
        <v>794</v>
      </c>
      <c r="D2925" s="108" t="s">
        <v>2284</v>
      </c>
      <c r="E2925" s="58">
        <v>29000</v>
      </c>
      <c r="F2925" s="58"/>
      <c r="G2925" s="58">
        <f t="shared" si="49"/>
        <v>-29000</v>
      </c>
      <c r="H2925" s="114" t="s">
        <v>2345</v>
      </c>
    </row>
    <row r="2926" spans="1:8" ht="15" customHeight="1" x14ac:dyDescent="0.25">
      <c r="A2926" s="597">
        <v>42860</v>
      </c>
      <c r="B2926" s="41" t="s">
        <v>40</v>
      </c>
      <c r="C2926" s="41" t="s">
        <v>794</v>
      </c>
      <c r="D2926" s="108" t="s">
        <v>1853</v>
      </c>
      <c r="E2926" s="58">
        <v>17395.833333333332</v>
      </c>
      <c r="F2926" s="58"/>
      <c r="G2926" s="58">
        <f t="shared" si="49"/>
        <v>-17395.833333333332</v>
      </c>
      <c r="H2926" s="114" t="s">
        <v>2345</v>
      </c>
    </row>
    <row r="2927" spans="1:8" ht="15" customHeight="1" x14ac:dyDescent="0.25">
      <c r="A2927" s="597">
        <v>42860</v>
      </c>
      <c r="B2927" s="41" t="s">
        <v>40</v>
      </c>
      <c r="C2927" s="41" t="s">
        <v>794</v>
      </c>
      <c r="D2927" s="108" t="s">
        <v>1855</v>
      </c>
      <c r="E2927" s="58">
        <v>21041.666666666668</v>
      </c>
      <c r="F2927" s="58"/>
      <c r="G2927" s="58">
        <f t="shared" si="49"/>
        <v>-21041.666666666668</v>
      </c>
      <c r="H2927" s="114" t="s">
        <v>2345</v>
      </c>
    </row>
    <row r="2928" spans="1:8" ht="15" customHeight="1" x14ac:dyDescent="0.25">
      <c r="A2928" s="597">
        <v>42860</v>
      </c>
      <c r="B2928" s="41" t="s">
        <v>1400</v>
      </c>
      <c r="C2928" s="41" t="s">
        <v>794</v>
      </c>
      <c r="D2928" s="108" t="s">
        <v>2482</v>
      </c>
      <c r="E2928" s="58">
        <v>18000</v>
      </c>
      <c r="F2928" s="58"/>
      <c r="G2928" s="58">
        <f t="shared" si="49"/>
        <v>-18000</v>
      </c>
      <c r="H2928" s="114" t="s">
        <v>2345</v>
      </c>
    </row>
    <row r="2929" spans="1:8" ht="15" customHeight="1" x14ac:dyDescent="0.25">
      <c r="A2929" s="597">
        <v>42860</v>
      </c>
      <c r="B2929" s="41" t="s">
        <v>40</v>
      </c>
      <c r="C2929" s="41" t="s">
        <v>794</v>
      </c>
      <c r="D2929" s="108" t="s">
        <v>2483</v>
      </c>
      <c r="E2929" s="58">
        <v>14233.333333333334</v>
      </c>
      <c r="F2929" s="58"/>
      <c r="G2929" s="58">
        <f t="shared" si="49"/>
        <v>-14233.333333333334</v>
      </c>
      <c r="H2929" s="114" t="s">
        <v>2345</v>
      </c>
    </row>
    <row r="2930" spans="1:8" ht="15" customHeight="1" x14ac:dyDescent="0.25">
      <c r="A2930" s="597">
        <v>42860</v>
      </c>
      <c r="B2930" s="41" t="s">
        <v>40</v>
      </c>
      <c r="C2930" s="41" t="s">
        <v>794</v>
      </c>
      <c r="D2930" s="108" t="s">
        <v>1856</v>
      </c>
      <c r="E2930" s="58">
        <v>4300</v>
      </c>
      <c r="F2930" s="58"/>
      <c r="G2930" s="58">
        <f t="shared" si="49"/>
        <v>-4300</v>
      </c>
      <c r="H2930" s="114" t="s">
        <v>2345</v>
      </c>
    </row>
    <row r="2931" spans="1:8" ht="15" customHeight="1" x14ac:dyDescent="0.25">
      <c r="A2931" s="597">
        <v>42860</v>
      </c>
      <c r="B2931" s="41" t="s">
        <v>40</v>
      </c>
      <c r="C2931" s="41" t="s">
        <v>794</v>
      </c>
      <c r="D2931" s="108" t="s">
        <v>2181</v>
      </c>
      <c r="E2931" s="58">
        <v>10458.333333333332</v>
      </c>
      <c r="F2931" s="58"/>
      <c r="G2931" s="58">
        <f t="shared" si="49"/>
        <v>-10458.333333333332</v>
      </c>
      <c r="H2931" s="114" t="s">
        <v>2345</v>
      </c>
    </row>
    <row r="2932" spans="1:8" ht="15" customHeight="1" x14ac:dyDescent="0.25">
      <c r="A2932" s="597">
        <v>42860</v>
      </c>
      <c r="B2932" s="41" t="s">
        <v>40</v>
      </c>
      <c r="C2932" s="41" t="s">
        <v>794</v>
      </c>
      <c r="D2932" s="108" t="s">
        <v>1866</v>
      </c>
      <c r="E2932" s="58">
        <v>17000</v>
      </c>
      <c r="F2932" s="58"/>
      <c r="G2932" s="58">
        <f t="shared" si="49"/>
        <v>-17000</v>
      </c>
      <c r="H2932" s="114" t="s">
        <v>2345</v>
      </c>
    </row>
    <row r="2933" spans="1:8" ht="15" customHeight="1" x14ac:dyDescent="0.25">
      <c r="A2933" s="597">
        <v>42860</v>
      </c>
      <c r="B2933" s="41" t="s">
        <v>40</v>
      </c>
      <c r="C2933" s="41" t="s">
        <v>794</v>
      </c>
      <c r="D2933" s="108" t="s">
        <v>1873</v>
      </c>
      <c r="E2933" s="58">
        <v>9374.9999999999982</v>
      </c>
      <c r="F2933" s="58"/>
      <c r="G2933" s="58">
        <f t="shared" si="49"/>
        <v>-9374.9999999999982</v>
      </c>
      <c r="H2933" s="114" t="s">
        <v>2345</v>
      </c>
    </row>
    <row r="2934" spans="1:8" ht="15" customHeight="1" x14ac:dyDescent="0.25">
      <c r="A2934" s="597">
        <v>42860</v>
      </c>
      <c r="B2934" s="41" t="s">
        <v>2094</v>
      </c>
      <c r="C2934" s="41" t="s">
        <v>794</v>
      </c>
      <c r="D2934" s="108" t="s">
        <v>1863</v>
      </c>
      <c r="E2934" s="58">
        <v>25593.75</v>
      </c>
      <c r="F2934" s="58"/>
      <c r="G2934" s="58">
        <f t="shared" si="49"/>
        <v>-25593.75</v>
      </c>
      <c r="H2934" s="114" t="s">
        <v>2345</v>
      </c>
    </row>
    <row r="2935" spans="1:8" ht="15" customHeight="1" x14ac:dyDescent="0.25">
      <c r="A2935" s="597">
        <v>42860</v>
      </c>
      <c r="B2935" s="41" t="s">
        <v>2094</v>
      </c>
      <c r="C2935" s="41" t="s">
        <v>794</v>
      </c>
      <c r="D2935" s="108" t="s">
        <v>1864</v>
      </c>
      <c r="E2935" s="58">
        <v>27870.833333333328</v>
      </c>
      <c r="F2935" s="58"/>
      <c r="G2935" s="58">
        <f t="shared" si="49"/>
        <v>-27870.833333333328</v>
      </c>
      <c r="H2935" s="114" t="s">
        <v>2345</v>
      </c>
    </row>
    <row r="2936" spans="1:8" ht="15" customHeight="1" x14ac:dyDescent="0.25">
      <c r="A2936" s="597">
        <v>42860</v>
      </c>
      <c r="B2936" s="41" t="s">
        <v>2094</v>
      </c>
      <c r="C2936" s="41" t="s">
        <v>794</v>
      </c>
      <c r="D2936" s="108" t="s">
        <v>1862</v>
      </c>
      <c r="E2936" s="58">
        <v>29214.583333333332</v>
      </c>
      <c r="F2936" s="58"/>
      <c r="G2936" s="58">
        <f t="shared" si="49"/>
        <v>-29214.583333333332</v>
      </c>
      <c r="H2936" s="114" t="s">
        <v>2345</v>
      </c>
    </row>
    <row r="2937" spans="1:8" ht="15" customHeight="1" x14ac:dyDescent="0.25">
      <c r="A2937" s="597">
        <v>42860</v>
      </c>
      <c r="B2937" s="41" t="s">
        <v>2094</v>
      </c>
      <c r="C2937" s="41" t="s">
        <v>794</v>
      </c>
      <c r="D2937" s="108" t="s">
        <v>1865</v>
      </c>
      <c r="E2937" s="58">
        <v>8041.6666666666661</v>
      </c>
      <c r="F2937" s="58"/>
      <c r="G2937" s="58">
        <f t="shared" si="49"/>
        <v>-8041.6666666666661</v>
      </c>
      <c r="H2937" s="114" t="s">
        <v>2345</v>
      </c>
    </row>
    <row r="2938" spans="1:8" ht="15" customHeight="1" x14ac:dyDescent="0.25">
      <c r="A2938" s="597">
        <v>42860</v>
      </c>
      <c r="B2938" s="41" t="s">
        <v>37</v>
      </c>
      <c r="C2938" s="41" t="s">
        <v>794</v>
      </c>
      <c r="D2938" s="108" t="s">
        <v>1857</v>
      </c>
      <c r="E2938" s="58">
        <v>7581.25</v>
      </c>
      <c r="F2938" s="58"/>
      <c r="G2938" s="58">
        <f t="shared" si="49"/>
        <v>-7581.25</v>
      </c>
      <c r="H2938" s="114" t="s">
        <v>2345</v>
      </c>
    </row>
    <row r="2939" spans="1:8" ht="15" customHeight="1" x14ac:dyDescent="0.25">
      <c r="A2939" s="597">
        <v>42860</v>
      </c>
      <c r="B2939" s="41" t="s">
        <v>37</v>
      </c>
      <c r="C2939" s="41" t="s">
        <v>794</v>
      </c>
      <c r="D2939" s="108" t="s">
        <v>1867</v>
      </c>
      <c r="E2939" s="58">
        <v>12500</v>
      </c>
      <c r="F2939" s="58"/>
      <c r="G2939" s="58">
        <f t="shared" si="49"/>
        <v>-12500</v>
      </c>
      <c r="H2939" s="114" t="s">
        <v>2345</v>
      </c>
    </row>
    <row r="2940" spans="1:8" ht="15" customHeight="1" x14ac:dyDescent="0.25">
      <c r="A2940" s="597">
        <v>42860</v>
      </c>
      <c r="B2940" s="41" t="s">
        <v>37</v>
      </c>
      <c r="C2940" s="41" t="s">
        <v>794</v>
      </c>
      <c r="D2940" s="108" t="s">
        <v>1868</v>
      </c>
      <c r="E2940" s="58">
        <v>12593.75</v>
      </c>
      <c r="F2940" s="58"/>
      <c r="G2940" s="58">
        <f t="shared" si="49"/>
        <v>-12593.75</v>
      </c>
      <c r="H2940" s="114" t="s">
        <v>2345</v>
      </c>
    </row>
    <row r="2941" spans="1:8" ht="15" customHeight="1" x14ac:dyDescent="0.25">
      <c r="A2941" s="597">
        <v>42860</v>
      </c>
      <c r="B2941" s="41" t="s">
        <v>37</v>
      </c>
      <c r="C2941" s="41" t="s">
        <v>794</v>
      </c>
      <c r="D2941" s="108" t="s">
        <v>2285</v>
      </c>
      <c r="E2941" s="58">
        <v>10187.5</v>
      </c>
      <c r="F2941" s="58"/>
      <c r="G2941" s="58">
        <f t="shared" si="49"/>
        <v>-10187.5</v>
      </c>
      <c r="H2941" s="114" t="s">
        <v>2345</v>
      </c>
    </row>
    <row r="2942" spans="1:8" ht="15" customHeight="1" x14ac:dyDescent="0.25">
      <c r="A2942" s="597">
        <v>42860</v>
      </c>
      <c r="B2942" s="41" t="s">
        <v>37</v>
      </c>
      <c r="C2942" s="41" t="s">
        <v>794</v>
      </c>
      <c r="D2942" s="108" t="s">
        <v>1575</v>
      </c>
      <c r="E2942" s="58">
        <v>10958.333333333334</v>
      </c>
      <c r="F2942" s="58"/>
      <c r="G2942" s="58">
        <f t="shared" si="49"/>
        <v>-10958.333333333334</v>
      </c>
      <c r="H2942" s="114" t="s">
        <v>2345</v>
      </c>
    </row>
    <row r="2943" spans="1:8" ht="15" customHeight="1" x14ac:dyDescent="0.25">
      <c r="A2943" s="597">
        <v>42860</v>
      </c>
      <c r="B2943" s="41" t="s">
        <v>11</v>
      </c>
      <c r="C2943" s="41" t="s">
        <v>794</v>
      </c>
      <c r="D2943" s="108" t="s">
        <v>1870</v>
      </c>
      <c r="E2943" s="58">
        <v>5000</v>
      </c>
      <c r="F2943" s="58"/>
      <c r="G2943" s="58">
        <f t="shared" si="49"/>
        <v>-5000</v>
      </c>
      <c r="H2943" s="114" t="s">
        <v>2345</v>
      </c>
    </row>
    <row r="2944" spans="1:8" ht="15" customHeight="1" x14ac:dyDescent="0.25">
      <c r="A2944" s="597">
        <v>42860</v>
      </c>
      <c r="B2944" s="41" t="s">
        <v>16</v>
      </c>
      <c r="C2944" s="41" t="s">
        <v>1409</v>
      </c>
      <c r="D2944" s="108" t="s">
        <v>1667</v>
      </c>
      <c r="E2944" s="58">
        <v>6000</v>
      </c>
      <c r="F2944" s="58"/>
      <c r="G2944" s="58">
        <f t="shared" si="49"/>
        <v>-6000</v>
      </c>
      <c r="H2944" s="114" t="s">
        <v>2345</v>
      </c>
    </row>
    <row r="2945" spans="1:8" ht="15" customHeight="1" x14ac:dyDescent="0.25">
      <c r="A2945" s="597">
        <v>42860</v>
      </c>
      <c r="B2945" s="41" t="s">
        <v>16</v>
      </c>
      <c r="C2945" s="41" t="s">
        <v>1409</v>
      </c>
      <c r="D2945" s="108" t="s">
        <v>2485</v>
      </c>
      <c r="E2945" s="58">
        <v>4000</v>
      </c>
      <c r="F2945" s="58"/>
      <c r="G2945" s="58">
        <f t="shared" si="49"/>
        <v>-4000</v>
      </c>
      <c r="H2945" s="114" t="s">
        <v>2345</v>
      </c>
    </row>
    <row r="2946" spans="1:8" ht="15" customHeight="1" x14ac:dyDescent="0.25">
      <c r="A2946" s="597">
        <v>42860</v>
      </c>
      <c r="B2946" s="41" t="s">
        <v>1400</v>
      </c>
      <c r="C2946" s="41" t="s">
        <v>1409</v>
      </c>
      <c r="D2946" s="108" t="s">
        <v>309</v>
      </c>
      <c r="E2946" s="58">
        <v>1150</v>
      </c>
      <c r="F2946" s="58"/>
      <c r="G2946" s="58">
        <f t="shared" si="49"/>
        <v>-1150</v>
      </c>
      <c r="H2946" s="114" t="s">
        <v>2345</v>
      </c>
    </row>
    <row r="2947" spans="1:8" ht="15" customHeight="1" x14ac:dyDescent="0.25">
      <c r="A2947" s="597">
        <v>42860</v>
      </c>
      <c r="B2947" s="41" t="s">
        <v>1400</v>
      </c>
      <c r="C2947" s="41" t="s">
        <v>1409</v>
      </c>
      <c r="D2947" s="108" t="s">
        <v>1060</v>
      </c>
      <c r="E2947" s="58">
        <v>3000</v>
      </c>
      <c r="F2947" s="58"/>
      <c r="G2947" s="58">
        <f t="shared" si="49"/>
        <v>-3000</v>
      </c>
      <c r="H2947" s="114" t="s">
        <v>2345</v>
      </c>
    </row>
    <row r="2948" spans="1:8" ht="15" customHeight="1" x14ac:dyDescent="0.25">
      <c r="A2948" s="597">
        <v>42860</v>
      </c>
      <c r="B2948" s="41" t="s">
        <v>1400</v>
      </c>
      <c r="C2948" s="41" t="s">
        <v>1409</v>
      </c>
      <c r="D2948" s="108" t="s">
        <v>1473</v>
      </c>
      <c r="E2948" s="58">
        <v>5000</v>
      </c>
      <c r="F2948" s="58"/>
      <c r="G2948" s="58">
        <f t="shared" si="49"/>
        <v>-5000</v>
      </c>
      <c r="H2948" s="114" t="s">
        <v>2345</v>
      </c>
    </row>
    <row r="2949" spans="1:8" ht="15" customHeight="1" x14ac:dyDescent="0.25">
      <c r="A2949" s="597">
        <v>42860</v>
      </c>
      <c r="B2949" s="41" t="s">
        <v>1400</v>
      </c>
      <c r="C2949" s="41" t="s">
        <v>1409</v>
      </c>
      <c r="D2949" s="108" t="s">
        <v>2136</v>
      </c>
      <c r="E2949" s="58">
        <v>1500</v>
      </c>
      <c r="F2949" s="58"/>
      <c r="G2949" s="58">
        <f t="shared" si="49"/>
        <v>-1500</v>
      </c>
      <c r="H2949" s="114" t="s">
        <v>2345</v>
      </c>
    </row>
    <row r="2950" spans="1:8" ht="15" customHeight="1" x14ac:dyDescent="0.25">
      <c r="A2950" s="597">
        <v>42860</v>
      </c>
      <c r="B2950" s="41" t="s">
        <v>40</v>
      </c>
      <c r="C2950" s="41" t="s">
        <v>1409</v>
      </c>
      <c r="D2950" s="108" t="s">
        <v>202</v>
      </c>
      <c r="E2950" s="58">
        <v>3000</v>
      </c>
      <c r="F2950" s="58"/>
      <c r="G2950" s="58">
        <f t="shared" si="49"/>
        <v>-3000</v>
      </c>
      <c r="H2950" s="114" t="s">
        <v>2345</v>
      </c>
    </row>
    <row r="2951" spans="1:8" ht="15" customHeight="1" x14ac:dyDescent="0.25">
      <c r="A2951" s="597">
        <v>42860</v>
      </c>
      <c r="B2951" s="41" t="s">
        <v>2094</v>
      </c>
      <c r="C2951" s="41" t="s">
        <v>1409</v>
      </c>
      <c r="D2951" s="108" t="s">
        <v>1476</v>
      </c>
      <c r="E2951" s="58">
        <v>2000</v>
      </c>
      <c r="F2951" s="58"/>
      <c r="G2951" s="58">
        <f t="shared" si="49"/>
        <v>-2000</v>
      </c>
      <c r="H2951" s="114" t="s">
        <v>2345</v>
      </c>
    </row>
    <row r="2952" spans="1:8" ht="15" customHeight="1" x14ac:dyDescent="0.25">
      <c r="A2952" s="597">
        <v>42860</v>
      </c>
      <c r="B2952" s="41" t="s">
        <v>1400</v>
      </c>
      <c r="C2952" s="41" t="s">
        <v>1409</v>
      </c>
      <c r="D2952" s="108" t="s">
        <v>210</v>
      </c>
      <c r="E2952" s="58">
        <v>1000</v>
      </c>
      <c r="F2952" s="58"/>
      <c r="G2952" s="58">
        <f t="shared" si="49"/>
        <v>-1000</v>
      </c>
      <c r="H2952" s="114" t="s">
        <v>2345</v>
      </c>
    </row>
    <row r="2953" spans="1:8" ht="15" customHeight="1" x14ac:dyDescent="0.25">
      <c r="A2953" s="597">
        <v>42860</v>
      </c>
      <c r="B2953" s="41" t="s">
        <v>37</v>
      </c>
      <c r="C2953" s="41" t="s">
        <v>1409</v>
      </c>
      <c r="D2953" s="108" t="s">
        <v>194</v>
      </c>
      <c r="E2953" s="58">
        <v>20000</v>
      </c>
      <c r="F2953" s="58"/>
      <c r="G2953" s="58">
        <f t="shared" ref="G2953:G3016" si="50">F2953-E2953</f>
        <v>-20000</v>
      </c>
      <c r="H2953" s="114" t="s">
        <v>2345</v>
      </c>
    </row>
    <row r="2954" spans="1:8" ht="15" customHeight="1" x14ac:dyDescent="0.25">
      <c r="A2954" s="597">
        <v>42860</v>
      </c>
      <c r="B2954" s="41" t="s">
        <v>1400</v>
      </c>
      <c r="C2954" s="41" t="s">
        <v>1409</v>
      </c>
      <c r="D2954" s="108" t="s">
        <v>66</v>
      </c>
      <c r="E2954" s="58">
        <v>5000</v>
      </c>
      <c r="F2954" s="58"/>
      <c r="G2954" s="58">
        <f t="shared" si="50"/>
        <v>-5000</v>
      </c>
      <c r="H2954" s="114" t="s">
        <v>2345</v>
      </c>
    </row>
    <row r="2955" spans="1:8" ht="15" customHeight="1" x14ac:dyDescent="0.25">
      <c r="A2955" s="597">
        <v>42860</v>
      </c>
      <c r="B2955" s="41" t="s">
        <v>1400</v>
      </c>
      <c r="C2955" s="41" t="s">
        <v>1409</v>
      </c>
      <c r="D2955" s="108" t="s">
        <v>2481</v>
      </c>
      <c r="E2955" s="58">
        <v>1500</v>
      </c>
      <c r="F2955" s="58"/>
      <c r="G2955" s="58">
        <f t="shared" si="50"/>
        <v>-1500</v>
      </c>
      <c r="H2955" s="114" t="s">
        <v>2345</v>
      </c>
    </row>
    <row r="2956" spans="1:8" ht="15" customHeight="1" x14ac:dyDescent="0.25">
      <c r="A2956" s="597">
        <v>42860</v>
      </c>
      <c r="B2956" s="41" t="s">
        <v>40</v>
      </c>
      <c r="C2956" s="41" t="s">
        <v>1409</v>
      </c>
      <c r="D2956" s="108" t="s">
        <v>1855</v>
      </c>
      <c r="E2956" s="58">
        <v>25000</v>
      </c>
      <c r="F2956" s="58"/>
      <c r="G2956" s="58">
        <f t="shared" si="50"/>
        <v>-25000</v>
      </c>
      <c r="H2956" s="114" t="s">
        <v>2345</v>
      </c>
    </row>
    <row r="2957" spans="1:8" ht="15" customHeight="1" x14ac:dyDescent="0.25">
      <c r="A2957" s="597">
        <v>42857</v>
      </c>
      <c r="B2957" s="41" t="s">
        <v>2094</v>
      </c>
      <c r="C2957" s="41" t="s">
        <v>63</v>
      </c>
      <c r="D2957" s="129" t="s">
        <v>370</v>
      </c>
      <c r="E2957" s="58">
        <v>10000</v>
      </c>
      <c r="F2957" s="58"/>
      <c r="G2957" s="58">
        <f t="shared" si="50"/>
        <v>-10000</v>
      </c>
      <c r="H2957" s="114" t="s">
        <v>2345</v>
      </c>
    </row>
    <row r="2958" spans="1:8" ht="15" customHeight="1" x14ac:dyDescent="0.25">
      <c r="A2958" s="597">
        <v>42857</v>
      </c>
      <c r="B2958" s="41" t="s">
        <v>2094</v>
      </c>
      <c r="C2958" s="41" t="s">
        <v>63</v>
      </c>
      <c r="D2958" s="129" t="s">
        <v>2388</v>
      </c>
      <c r="E2958" s="58">
        <v>790</v>
      </c>
      <c r="F2958" s="58"/>
      <c r="G2958" s="58">
        <f t="shared" si="50"/>
        <v>-790</v>
      </c>
      <c r="H2958" s="114" t="s">
        <v>2345</v>
      </c>
    </row>
    <row r="2959" spans="1:8" ht="15" customHeight="1" x14ac:dyDescent="0.25">
      <c r="A2959" s="597">
        <v>42857</v>
      </c>
      <c r="B2959" s="41" t="s">
        <v>2094</v>
      </c>
      <c r="C2959" s="41" t="s">
        <v>63</v>
      </c>
      <c r="D2959" s="129" t="s">
        <v>2389</v>
      </c>
      <c r="E2959" s="58">
        <v>520</v>
      </c>
      <c r="F2959" s="58"/>
      <c r="G2959" s="58">
        <f t="shared" si="50"/>
        <v>-520</v>
      </c>
      <c r="H2959" s="114" t="s">
        <v>2345</v>
      </c>
    </row>
    <row r="2960" spans="1:8" ht="15" customHeight="1" x14ac:dyDescent="0.25">
      <c r="A2960" s="597">
        <v>42857</v>
      </c>
      <c r="B2960" s="41" t="s">
        <v>2094</v>
      </c>
      <c r="C2960" s="41" t="s">
        <v>63</v>
      </c>
      <c r="D2960" s="129" t="s">
        <v>2390</v>
      </c>
      <c r="E2960" s="58">
        <v>2945</v>
      </c>
      <c r="F2960" s="58"/>
      <c r="G2960" s="58">
        <f t="shared" si="50"/>
        <v>-2945</v>
      </c>
      <c r="H2960" s="114" t="s">
        <v>2345</v>
      </c>
    </row>
    <row r="2961" spans="1:8" ht="15" customHeight="1" x14ac:dyDescent="0.25">
      <c r="A2961" s="597">
        <v>42857</v>
      </c>
      <c r="B2961" s="41" t="s">
        <v>18</v>
      </c>
      <c r="C2961" s="41" t="s">
        <v>668</v>
      </c>
      <c r="D2961" s="129" t="s">
        <v>2391</v>
      </c>
      <c r="E2961" s="58">
        <v>970</v>
      </c>
      <c r="F2961" s="58"/>
      <c r="G2961" s="58">
        <f t="shared" si="50"/>
        <v>-970</v>
      </c>
      <c r="H2961" s="114" t="s">
        <v>2345</v>
      </c>
    </row>
    <row r="2962" spans="1:8" ht="24.75" customHeight="1" x14ac:dyDescent="0.25">
      <c r="A2962" s="597">
        <v>42857</v>
      </c>
      <c r="B2962" s="41" t="s">
        <v>40</v>
      </c>
      <c r="C2962" s="41" t="s">
        <v>325</v>
      </c>
      <c r="D2962" s="129" t="s">
        <v>2392</v>
      </c>
      <c r="E2962" s="58">
        <v>19136</v>
      </c>
      <c r="F2962" s="58"/>
      <c r="G2962" s="58">
        <f t="shared" si="50"/>
        <v>-19136</v>
      </c>
      <c r="H2962" s="114" t="s">
        <v>2345</v>
      </c>
    </row>
    <row r="2963" spans="1:8" ht="15" customHeight="1" x14ac:dyDescent="0.25">
      <c r="A2963" s="597">
        <v>42857</v>
      </c>
      <c r="B2963" s="41" t="s">
        <v>1400</v>
      </c>
      <c r="C2963" s="41" t="s">
        <v>325</v>
      </c>
      <c r="D2963" s="129" t="s">
        <v>2393</v>
      </c>
      <c r="E2963" s="58">
        <v>11500</v>
      </c>
      <c r="F2963" s="58"/>
      <c r="G2963" s="58">
        <f t="shared" si="50"/>
        <v>-11500</v>
      </c>
      <c r="H2963" s="114" t="s">
        <v>2345</v>
      </c>
    </row>
    <row r="2964" spans="1:8" ht="24.75" customHeight="1" x14ac:dyDescent="0.25">
      <c r="A2964" s="597">
        <v>42857</v>
      </c>
      <c r="B2964" s="41" t="s">
        <v>16</v>
      </c>
      <c r="C2964" s="41" t="s">
        <v>773</v>
      </c>
      <c r="D2964" s="129" t="s">
        <v>2394</v>
      </c>
      <c r="E2964" s="58">
        <v>200</v>
      </c>
      <c r="F2964" s="58"/>
      <c r="G2964" s="58">
        <f t="shared" si="50"/>
        <v>-200</v>
      </c>
      <c r="H2964" s="114" t="s">
        <v>2345</v>
      </c>
    </row>
    <row r="2965" spans="1:8" ht="15" customHeight="1" x14ac:dyDescent="0.25">
      <c r="A2965" s="597">
        <v>42858</v>
      </c>
      <c r="B2965" s="41" t="s">
        <v>1400</v>
      </c>
      <c r="C2965" s="41" t="s">
        <v>2351</v>
      </c>
      <c r="D2965" s="129" t="s">
        <v>370</v>
      </c>
      <c r="E2965" s="58">
        <v>2000</v>
      </c>
      <c r="F2965" s="58"/>
      <c r="G2965" s="58">
        <f t="shared" si="50"/>
        <v>-2000</v>
      </c>
      <c r="H2965" s="114" t="s">
        <v>2345</v>
      </c>
    </row>
    <row r="2966" spans="1:8" ht="15" customHeight="1" x14ac:dyDescent="0.25">
      <c r="A2966" s="597">
        <v>42858</v>
      </c>
      <c r="B2966" s="41" t="s">
        <v>16</v>
      </c>
      <c r="C2966" s="41" t="s">
        <v>773</v>
      </c>
      <c r="D2966" s="129" t="s">
        <v>2395</v>
      </c>
      <c r="E2966" s="58">
        <v>100</v>
      </c>
      <c r="F2966" s="58"/>
      <c r="G2966" s="58">
        <f t="shared" si="50"/>
        <v>-100</v>
      </c>
      <c r="H2966" s="114" t="s">
        <v>2345</v>
      </c>
    </row>
    <row r="2967" spans="1:8" ht="24.75" customHeight="1" x14ac:dyDescent="0.25">
      <c r="A2967" s="597">
        <v>42858</v>
      </c>
      <c r="B2967" s="41" t="s">
        <v>2094</v>
      </c>
      <c r="C2967" s="41" t="s">
        <v>149</v>
      </c>
      <c r="D2967" s="129" t="s">
        <v>2396</v>
      </c>
      <c r="E2967" s="58">
        <v>2147</v>
      </c>
      <c r="F2967" s="58"/>
      <c r="G2967" s="58">
        <f t="shared" si="50"/>
        <v>-2147</v>
      </c>
      <c r="H2967" s="114" t="s">
        <v>2345</v>
      </c>
    </row>
    <row r="2968" spans="1:8" ht="15" customHeight="1" x14ac:dyDescent="0.25">
      <c r="A2968" s="597">
        <v>42859</v>
      </c>
      <c r="B2968" s="41" t="s">
        <v>2094</v>
      </c>
      <c r="C2968" s="41" t="s">
        <v>2212</v>
      </c>
      <c r="D2968" s="129" t="s">
        <v>2397</v>
      </c>
      <c r="E2968" s="58">
        <v>35</v>
      </c>
      <c r="F2968" s="58"/>
      <c r="G2968" s="58">
        <f t="shared" si="50"/>
        <v>-35</v>
      </c>
      <c r="H2968" s="114" t="s">
        <v>2345</v>
      </c>
    </row>
    <row r="2969" spans="1:8" ht="15" customHeight="1" x14ac:dyDescent="0.25">
      <c r="A2969" s="597">
        <v>42859</v>
      </c>
      <c r="B2969" s="41" t="s">
        <v>2094</v>
      </c>
      <c r="C2969" s="41" t="s">
        <v>1894</v>
      </c>
      <c r="D2969" s="129" t="s">
        <v>2398</v>
      </c>
      <c r="E2969" s="58">
        <v>5950</v>
      </c>
      <c r="F2969" s="58"/>
      <c r="G2969" s="58">
        <f t="shared" si="50"/>
        <v>-5950</v>
      </c>
      <c r="H2969" s="114" t="s">
        <v>2345</v>
      </c>
    </row>
    <row r="2970" spans="1:8" ht="15" customHeight="1" x14ac:dyDescent="0.25">
      <c r="A2970" s="597">
        <v>42859</v>
      </c>
      <c r="B2970" s="41" t="s">
        <v>1400</v>
      </c>
      <c r="C2970" s="41" t="s">
        <v>1704</v>
      </c>
      <c r="D2970" s="129" t="s">
        <v>1410</v>
      </c>
      <c r="E2970" s="58">
        <v>270</v>
      </c>
      <c r="F2970" s="58"/>
      <c r="G2970" s="58">
        <f t="shared" si="50"/>
        <v>-270</v>
      </c>
      <c r="H2970" s="114" t="s">
        <v>2345</v>
      </c>
    </row>
    <row r="2971" spans="1:8" ht="15" customHeight="1" x14ac:dyDescent="0.25">
      <c r="A2971" s="597">
        <v>42859</v>
      </c>
      <c r="B2971" s="41" t="s">
        <v>1400</v>
      </c>
      <c r="C2971" s="41" t="s">
        <v>1704</v>
      </c>
      <c r="D2971" s="129" t="s">
        <v>1410</v>
      </c>
      <c r="E2971" s="58">
        <v>140</v>
      </c>
      <c r="F2971" s="58"/>
      <c r="G2971" s="58">
        <f t="shared" si="50"/>
        <v>-140</v>
      </c>
      <c r="H2971" s="114" t="s">
        <v>2345</v>
      </c>
    </row>
    <row r="2972" spans="1:8" ht="15" customHeight="1" x14ac:dyDescent="0.25">
      <c r="A2972" s="597">
        <v>42861</v>
      </c>
      <c r="B2972" s="41" t="s">
        <v>25</v>
      </c>
      <c r="C2972" s="41" t="s">
        <v>256</v>
      </c>
      <c r="D2972" s="129" t="s">
        <v>2400</v>
      </c>
      <c r="E2972" s="58">
        <v>2400</v>
      </c>
      <c r="F2972" s="58"/>
      <c r="G2972" s="58">
        <f t="shared" si="50"/>
        <v>-2400</v>
      </c>
      <c r="H2972" s="114" t="s">
        <v>2345</v>
      </c>
    </row>
    <row r="2973" spans="1:8" ht="15" customHeight="1" x14ac:dyDescent="0.25">
      <c r="A2973" s="597">
        <v>42861</v>
      </c>
      <c r="B2973" s="41" t="s">
        <v>1400</v>
      </c>
      <c r="C2973" s="41" t="s">
        <v>1704</v>
      </c>
      <c r="D2973" s="129" t="s">
        <v>2366</v>
      </c>
      <c r="E2973" s="58">
        <v>140</v>
      </c>
      <c r="F2973" s="58"/>
      <c r="G2973" s="58">
        <f t="shared" si="50"/>
        <v>-140</v>
      </c>
      <c r="H2973" s="114" t="s">
        <v>2345</v>
      </c>
    </row>
    <row r="2974" spans="1:8" ht="36.75" customHeight="1" x14ac:dyDescent="0.25">
      <c r="A2974" s="597">
        <v>42863</v>
      </c>
      <c r="B2974" s="41" t="s">
        <v>2094</v>
      </c>
      <c r="C2974" s="41" t="s">
        <v>773</v>
      </c>
      <c r="D2974" s="129" t="s">
        <v>2401</v>
      </c>
      <c r="E2974" s="58">
        <v>500</v>
      </c>
      <c r="F2974" s="58"/>
      <c r="G2974" s="58">
        <f t="shared" si="50"/>
        <v>-500</v>
      </c>
      <c r="H2974" s="114" t="s">
        <v>2345</v>
      </c>
    </row>
    <row r="2975" spans="1:8" ht="24.75" customHeight="1" x14ac:dyDescent="0.25">
      <c r="A2975" s="597">
        <v>42863</v>
      </c>
      <c r="B2975" s="41" t="s">
        <v>40</v>
      </c>
      <c r="C2975" s="41" t="s">
        <v>202</v>
      </c>
      <c r="D2975" s="129" t="s">
        <v>2402</v>
      </c>
      <c r="E2975" s="58">
        <v>5240</v>
      </c>
      <c r="F2975" s="58"/>
      <c r="G2975" s="58">
        <f t="shared" si="50"/>
        <v>-5240</v>
      </c>
      <c r="H2975" s="114" t="s">
        <v>2345</v>
      </c>
    </row>
    <row r="2976" spans="1:8" ht="15" customHeight="1" x14ac:dyDescent="0.25">
      <c r="A2976" s="597">
        <v>42863</v>
      </c>
      <c r="B2976" s="41" t="s">
        <v>1400</v>
      </c>
      <c r="C2976" s="41" t="s">
        <v>794</v>
      </c>
      <c r="D2976" s="129" t="s">
        <v>2403</v>
      </c>
      <c r="E2976" s="58">
        <v>3800</v>
      </c>
      <c r="F2976" s="58"/>
      <c r="G2976" s="58">
        <f t="shared" si="50"/>
        <v>-3800</v>
      </c>
      <c r="H2976" s="114" t="s">
        <v>2345</v>
      </c>
    </row>
    <row r="2977" spans="1:8" ht="15" customHeight="1" x14ac:dyDescent="0.25">
      <c r="A2977" s="597">
        <v>42864</v>
      </c>
      <c r="B2977" s="41" t="s">
        <v>2094</v>
      </c>
      <c r="C2977" s="41" t="s">
        <v>149</v>
      </c>
      <c r="D2977" s="129" t="s">
        <v>2429</v>
      </c>
      <c r="E2977" s="58">
        <v>1060</v>
      </c>
      <c r="F2977" s="58"/>
      <c r="G2977" s="58">
        <f t="shared" si="50"/>
        <v>-1060</v>
      </c>
      <c r="H2977" s="114" t="s">
        <v>2345</v>
      </c>
    </row>
    <row r="2978" spans="1:8" ht="15" customHeight="1" x14ac:dyDescent="0.25">
      <c r="A2978" s="597">
        <v>42864</v>
      </c>
      <c r="B2978" s="41" t="s">
        <v>40</v>
      </c>
      <c r="C2978" s="41" t="s">
        <v>794</v>
      </c>
      <c r="D2978" s="129" t="s">
        <v>2430</v>
      </c>
      <c r="E2978" s="58">
        <v>800</v>
      </c>
      <c r="F2978" s="58"/>
      <c r="G2978" s="58">
        <f t="shared" si="50"/>
        <v>-800</v>
      </c>
      <c r="H2978" s="114" t="s">
        <v>2345</v>
      </c>
    </row>
    <row r="2979" spans="1:8" ht="15" customHeight="1" x14ac:dyDescent="0.25">
      <c r="A2979" s="597">
        <v>42864</v>
      </c>
      <c r="B2979" s="41" t="s">
        <v>1400</v>
      </c>
      <c r="C2979" s="41" t="s">
        <v>64</v>
      </c>
      <c r="D2979" s="129" t="s">
        <v>2431</v>
      </c>
      <c r="E2979" s="58">
        <v>1000</v>
      </c>
      <c r="F2979" s="58"/>
      <c r="G2979" s="58">
        <f t="shared" si="50"/>
        <v>-1000</v>
      </c>
      <c r="H2979" s="114" t="s">
        <v>2345</v>
      </c>
    </row>
    <row r="2980" spans="1:8" ht="15" customHeight="1" x14ac:dyDescent="0.25">
      <c r="A2980" s="597">
        <v>42864</v>
      </c>
      <c r="B2980" s="41" t="s">
        <v>16</v>
      </c>
      <c r="C2980" s="41" t="s">
        <v>773</v>
      </c>
      <c r="D2980" s="129" t="s">
        <v>2432</v>
      </c>
      <c r="E2980" s="58">
        <v>100</v>
      </c>
      <c r="F2980" s="58"/>
      <c r="G2980" s="58">
        <f t="shared" si="50"/>
        <v>-100</v>
      </c>
      <c r="H2980" s="114" t="s">
        <v>2345</v>
      </c>
    </row>
    <row r="2981" spans="1:8" ht="15" customHeight="1" x14ac:dyDescent="0.25">
      <c r="A2981" s="597">
        <v>42864</v>
      </c>
      <c r="B2981" s="41" t="s">
        <v>25</v>
      </c>
      <c r="C2981" s="41" t="s">
        <v>1916</v>
      </c>
      <c r="D2981" s="129" t="s">
        <v>2433</v>
      </c>
      <c r="E2981" s="58">
        <v>6535</v>
      </c>
      <c r="F2981" s="58"/>
      <c r="G2981" s="58">
        <f t="shared" si="50"/>
        <v>-6535</v>
      </c>
      <c r="H2981" s="114" t="s">
        <v>2345</v>
      </c>
    </row>
    <row r="2982" spans="1:8" ht="15" customHeight="1" x14ac:dyDescent="0.25">
      <c r="A2982" s="597">
        <v>42865</v>
      </c>
      <c r="B2982" s="41" t="s">
        <v>25</v>
      </c>
      <c r="C2982" s="41" t="s">
        <v>1894</v>
      </c>
      <c r="D2982" s="129" t="s">
        <v>2433</v>
      </c>
      <c r="E2982" s="58">
        <v>4650</v>
      </c>
      <c r="F2982" s="58"/>
      <c r="G2982" s="58">
        <f t="shared" si="50"/>
        <v>-4650</v>
      </c>
      <c r="H2982" s="114" t="s">
        <v>2345</v>
      </c>
    </row>
    <row r="2983" spans="1:8" ht="15" customHeight="1" x14ac:dyDescent="0.25">
      <c r="A2983" s="597">
        <v>42866</v>
      </c>
      <c r="B2983" s="41" t="s">
        <v>16</v>
      </c>
      <c r="C2983" s="41" t="s">
        <v>2212</v>
      </c>
      <c r="D2983" s="129" t="s">
        <v>2434</v>
      </c>
      <c r="E2983" s="58">
        <v>2400</v>
      </c>
      <c r="F2983" s="58"/>
      <c r="G2983" s="58">
        <f t="shared" si="50"/>
        <v>-2400</v>
      </c>
      <c r="H2983" s="114" t="s">
        <v>2345</v>
      </c>
    </row>
    <row r="2984" spans="1:8" ht="15" customHeight="1" x14ac:dyDescent="0.25">
      <c r="A2984" s="597">
        <v>42866</v>
      </c>
      <c r="B2984" s="41" t="s">
        <v>1400</v>
      </c>
      <c r="C2984" s="41" t="s">
        <v>2435</v>
      </c>
      <c r="D2984" s="129" t="s">
        <v>2436</v>
      </c>
      <c r="E2984" s="58">
        <v>1300</v>
      </c>
      <c r="F2984" s="58"/>
      <c r="G2984" s="58">
        <f t="shared" si="50"/>
        <v>-1300</v>
      </c>
      <c r="H2984" s="114" t="s">
        <v>2345</v>
      </c>
    </row>
    <row r="2985" spans="1:8" ht="15" customHeight="1" x14ac:dyDescent="0.25">
      <c r="A2985" s="597">
        <v>42866</v>
      </c>
      <c r="B2985" s="41" t="s">
        <v>16</v>
      </c>
      <c r="C2985" s="41" t="s">
        <v>199</v>
      </c>
      <c r="D2985" s="129" t="s">
        <v>2437</v>
      </c>
      <c r="E2985" s="58">
        <v>700</v>
      </c>
      <c r="F2985" s="58"/>
      <c r="G2985" s="58">
        <f t="shared" si="50"/>
        <v>-700</v>
      </c>
      <c r="H2985" s="114" t="s">
        <v>2345</v>
      </c>
    </row>
    <row r="2986" spans="1:8" ht="15" customHeight="1" x14ac:dyDescent="0.25">
      <c r="A2986" s="597">
        <v>42866</v>
      </c>
      <c r="B2986" s="41" t="s">
        <v>2094</v>
      </c>
      <c r="C2986" s="41" t="s">
        <v>64</v>
      </c>
      <c r="D2986" s="129" t="s">
        <v>1880</v>
      </c>
      <c r="E2986" s="58">
        <v>290</v>
      </c>
      <c r="F2986" s="58"/>
      <c r="G2986" s="58">
        <f t="shared" si="50"/>
        <v>-290</v>
      </c>
      <c r="H2986" s="114" t="s">
        <v>2345</v>
      </c>
    </row>
    <row r="2987" spans="1:8" ht="15" customHeight="1" x14ac:dyDescent="0.25">
      <c r="A2987" s="597">
        <v>42866</v>
      </c>
      <c r="B2987" s="41" t="s">
        <v>1400</v>
      </c>
      <c r="C2987" s="41" t="s">
        <v>64</v>
      </c>
      <c r="D2987" s="129" t="s">
        <v>2439</v>
      </c>
      <c r="E2987" s="58">
        <v>17850</v>
      </c>
      <c r="F2987" s="58"/>
      <c r="G2987" s="58">
        <f t="shared" si="50"/>
        <v>-17850</v>
      </c>
      <c r="H2987" s="114" t="s">
        <v>2345</v>
      </c>
    </row>
    <row r="2988" spans="1:8" ht="15" customHeight="1" x14ac:dyDescent="0.25">
      <c r="A2988" s="597">
        <v>42866</v>
      </c>
      <c r="B2988" s="41" t="s">
        <v>1400</v>
      </c>
      <c r="C2988" s="41" t="s">
        <v>773</v>
      </c>
      <c r="D2988" s="129" t="s">
        <v>2440</v>
      </c>
      <c r="E2988" s="58">
        <v>4640</v>
      </c>
      <c r="F2988" s="58"/>
      <c r="G2988" s="58">
        <f t="shared" si="50"/>
        <v>-4640</v>
      </c>
      <c r="H2988" s="114" t="s">
        <v>2345</v>
      </c>
    </row>
    <row r="2989" spans="1:8" ht="15" customHeight="1" x14ac:dyDescent="0.25">
      <c r="A2989" s="597">
        <v>42867</v>
      </c>
      <c r="B2989" s="41" t="s">
        <v>2094</v>
      </c>
      <c r="C2989" s="41" t="s">
        <v>773</v>
      </c>
      <c r="D2989" s="129" t="s">
        <v>1756</v>
      </c>
      <c r="E2989" s="58">
        <v>500</v>
      </c>
      <c r="F2989" s="58"/>
      <c r="G2989" s="58">
        <f t="shared" si="50"/>
        <v>-500</v>
      </c>
      <c r="H2989" s="114" t="s">
        <v>2345</v>
      </c>
    </row>
    <row r="2990" spans="1:8" ht="15" customHeight="1" x14ac:dyDescent="0.25">
      <c r="A2990" s="597">
        <v>42867</v>
      </c>
      <c r="B2990" s="41" t="s">
        <v>2094</v>
      </c>
      <c r="C2990" s="41" t="s">
        <v>551</v>
      </c>
      <c r="D2990" s="129" t="s">
        <v>1756</v>
      </c>
      <c r="E2990" s="58">
        <v>600</v>
      </c>
      <c r="F2990" s="58"/>
      <c r="G2990" s="58">
        <f t="shared" si="50"/>
        <v>-600</v>
      </c>
      <c r="H2990" s="114" t="s">
        <v>2345</v>
      </c>
    </row>
    <row r="2991" spans="1:8" ht="15" customHeight="1" x14ac:dyDescent="0.25">
      <c r="A2991" s="597">
        <v>42868</v>
      </c>
      <c r="B2991" s="41" t="s">
        <v>18</v>
      </c>
      <c r="C2991" s="41" t="s">
        <v>668</v>
      </c>
      <c r="D2991" s="129" t="s">
        <v>72</v>
      </c>
      <c r="E2991" s="58">
        <v>1560</v>
      </c>
      <c r="F2991" s="58"/>
      <c r="G2991" s="58">
        <f t="shared" si="50"/>
        <v>-1560</v>
      </c>
      <c r="H2991" s="114" t="s">
        <v>2345</v>
      </c>
    </row>
    <row r="2992" spans="1:8" ht="15" customHeight="1" x14ac:dyDescent="0.25">
      <c r="A2992" s="597">
        <v>42868</v>
      </c>
      <c r="B2992" s="41" t="s">
        <v>18</v>
      </c>
      <c r="C2992" s="41" t="s">
        <v>668</v>
      </c>
      <c r="D2992" s="129" t="s">
        <v>2465</v>
      </c>
      <c r="E2992" s="58">
        <v>1300</v>
      </c>
      <c r="F2992" s="58"/>
      <c r="G2992" s="58">
        <f t="shared" si="50"/>
        <v>-1300</v>
      </c>
      <c r="H2992" s="114" t="s">
        <v>2345</v>
      </c>
    </row>
    <row r="2993" spans="1:8" ht="15" customHeight="1" x14ac:dyDescent="0.25">
      <c r="A2993" s="597">
        <v>42868</v>
      </c>
      <c r="B2993" s="41" t="s">
        <v>16</v>
      </c>
      <c r="C2993" s="41" t="s">
        <v>2441</v>
      </c>
      <c r="D2993" s="129" t="s">
        <v>2466</v>
      </c>
      <c r="E2993" s="58">
        <v>4000</v>
      </c>
      <c r="F2993" s="58"/>
      <c r="G2993" s="58">
        <f t="shared" si="50"/>
        <v>-4000</v>
      </c>
      <c r="H2993" s="114" t="s">
        <v>2345</v>
      </c>
    </row>
    <row r="2994" spans="1:8" ht="15" customHeight="1" x14ac:dyDescent="0.25">
      <c r="A2994" s="597">
        <v>42868</v>
      </c>
      <c r="B2994" s="41" t="s">
        <v>16</v>
      </c>
      <c r="C2994" s="41" t="s">
        <v>309</v>
      </c>
      <c r="D2994" s="129" t="s">
        <v>2442</v>
      </c>
      <c r="E2994" s="58">
        <v>450</v>
      </c>
      <c r="F2994" s="58"/>
      <c r="G2994" s="58">
        <f t="shared" si="50"/>
        <v>-450</v>
      </c>
      <c r="H2994" s="114" t="s">
        <v>2345</v>
      </c>
    </row>
    <row r="2995" spans="1:8" ht="15" customHeight="1" x14ac:dyDescent="0.25">
      <c r="A2995" s="597">
        <v>42870</v>
      </c>
      <c r="B2995" s="41" t="s">
        <v>2094</v>
      </c>
      <c r="C2995" s="41" t="s">
        <v>63</v>
      </c>
      <c r="D2995" s="129" t="s">
        <v>2467</v>
      </c>
      <c r="E2995" s="58">
        <v>7080</v>
      </c>
      <c r="F2995" s="58"/>
      <c r="G2995" s="58">
        <f t="shared" si="50"/>
        <v>-7080</v>
      </c>
      <c r="H2995" s="114" t="s">
        <v>2345</v>
      </c>
    </row>
    <row r="2996" spans="1:8" ht="15" customHeight="1" x14ac:dyDescent="0.25">
      <c r="A2996" s="597">
        <v>42870</v>
      </c>
      <c r="B2996" s="41" t="s">
        <v>40</v>
      </c>
      <c r="C2996" s="41" t="s">
        <v>85</v>
      </c>
      <c r="D2996" s="129" t="s">
        <v>2468</v>
      </c>
      <c r="E2996" s="58">
        <v>500</v>
      </c>
      <c r="F2996" s="58"/>
      <c r="G2996" s="58">
        <f t="shared" si="50"/>
        <v>-500</v>
      </c>
      <c r="H2996" s="114" t="s">
        <v>2345</v>
      </c>
    </row>
    <row r="2997" spans="1:8" ht="15" customHeight="1" x14ac:dyDescent="0.25">
      <c r="A2997" s="597">
        <v>42870</v>
      </c>
      <c r="B2997" s="41" t="s">
        <v>2094</v>
      </c>
      <c r="C2997" s="41" t="s">
        <v>85</v>
      </c>
      <c r="D2997" s="129" t="s">
        <v>2469</v>
      </c>
      <c r="E2997" s="58">
        <v>9820</v>
      </c>
      <c r="F2997" s="58"/>
      <c r="G2997" s="58">
        <f t="shared" si="50"/>
        <v>-9820</v>
      </c>
      <c r="H2997" s="114" t="s">
        <v>2345</v>
      </c>
    </row>
    <row r="2998" spans="1:8" ht="15" customHeight="1" x14ac:dyDescent="0.25">
      <c r="A2998" s="597">
        <v>42870</v>
      </c>
      <c r="B2998" s="41" t="s">
        <v>16</v>
      </c>
      <c r="C2998" s="41" t="s">
        <v>85</v>
      </c>
      <c r="D2998" s="129" t="s">
        <v>72</v>
      </c>
      <c r="E2998" s="58">
        <v>920</v>
      </c>
      <c r="F2998" s="58"/>
      <c r="G2998" s="58">
        <f t="shared" si="50"/>
        <v>-920</v>
      </c>
      <c r="H2998" s="114" t="s">
        <v>2345</v>
      </c>
    </row>
    <row r="2999" spans="1:8" ht="15" customHeight="1" x14ac:dyDescent="0.25">
      <c r="A2999" s="597">
        <v>42870</v>
      </c>
      <c r="B2999" s="41" t="s">
        <v>1400</v>
      </c>
      <c r="D2999" s="129" t="s">
        <v>2443</v>
      </c>
      <c r="E2999" s="58">
        <v>960</v>
      </c>
      <c r="F2999" s="58"/>
      <c r="G2999" s="58">
        <f t="shared" si="50"/>
        <v>-960</v>
      </c>
      <c r="H2999" s="114" t="s">
        <v>2345</v>
      </c>
    </row>
    <row r="3000" spans="1:8" ht="15" customHeight="1" x14ac:dyDescent="0.25">
      <c r="A3000" s="597">
        <v>42872</v>
      </c>
      <c r="B3000" s="41" t="s">
        <v>2094</v>
      </c>
      <c r="C3000" s="41" t="s">
        <v>1894</v>
      </c>
      <c r="D3000" s="129" t="s">
        <v>72</v>
      </c>
      <c r="E3000" s="58">
        <v>4118</v>
      </c>
      <c r="F3000" s="58"/>
      <c r="G3000" s="58">
        <f t="shared" si="50"/>
        <v>-4118</v>
      </c>
      <c r="H3000" s="114" t="s">
        <v>2345</v>
      </c>
    </row>
    <row r="3001" spans="1:8" ht="15" customHeight="1" x14ac:dyDescent="0.25">
      <c r="A3001" s="597">
        <v>42872</v>
      </c>
      <c r="B3001" s="41" t="s">
        <v>18</v>
      </c>
      <c r="C3001" s="41" t="s">
        <v>780</v>
      </c>
      <c r="D3001" s="129" t="s">
        <v>72</v>
      </c>
      <c r="E3001" s="58">
        <v>71200</v>
      </c>
      <c r="F3001" s="58"/>
      <c r="G3001" s="58">
        <f t="shared" si="50"/>
        <v>-71200</v>
      </c>
      <c r="H3001" s="114" t="s">
        <v>2345</v>
      </c>
    </row>
    <row r="3002" spans="1:8" ht="15" customHeight="1" x14ac:dyDescent="0.25">
      <c r="A3002" s="597">
        <v>42872</v>
      </c>
      <c r="B3002" s="41" t="s">
        <v>1400</v>
      </c>
      <c r="C3002" s="41" t="s">
        <v>780</v>
      </c>
      <c r="D3002" s="129" t="s">
        <v>72</v>
      </c>
      <c r="E3002" s="58">
        <v>31953</v>
      </c>
      <c r="F3002" s="58"/>
      <c r="G3002" s="58">
        <f t="shared" si="50"/>
        <v>-31953</v>
      </c>
      <c r="H3002" s="114" t="s">
        <v>2345</v>
      </c>
    </row>
    <row r="3003" spans="1:8" ht="15" customHeight="1" x14ac:dyDescent="0.25">
      <c r="A3003" s="597">
        <v>42872</v>
      </c>
      <c r="B3003" s="41" t="s">
        <v>16</v>
      </c>
      <c r="C3003" s="41" t="s">
        <v>773</v>
      </c>
      <c r="D3003" s="129" t="s">
        <v>2360</v>
      </c>
      <c r="E3003" s="58">
        <v>60</v>
      </c>
      <c r="F3003" s="58"/>
      <c r="G3003" s="58">
        <f t="shared" si="50"/>
        <v>-60</v>
      </c>
      <c r="H3003" s="114" t="s">
        <v>2345</v>
      </c>
    </row>
    <row r="3004" spans="1:8" ht="15" customHeight="1" x14ac:dyDescent="0.25">
      <c r="A3004" s="597">
        <v>42873</v>
      </c>
      <c r="B3004" s="41" t="s">
        <v>40</v>
      </c>
      <c r="C3004" s="41" t="s">
        <v>325</v>
      </c>
      <c r="D3004" s="129" t="s">
        <v>270</v>
      </c>
      <c r="E3004" s="58">
        <v>6480</v>
      </c>
      <c r="F3004" s="58"/>
      <c r="G3004" s="58">
        <f t="shared" si="50"/>
        <v>-6480</v>
      </c>
      <c r="H3004" s="114" t="s">
        <v>2345</v>
      </c>
    </row>
    <row r="3005" spans="1:8" ht="15" customHeight="1" x14ac:dyDescent="0.25">
      <c r="A3005" s="597">
        <v>42873</v>
      </c>
      <c r="B3005" s="41" t="s">
        <v>2094</v>
      </c>
      <c r="C3005" s="41" t="s">
        <v>149</v>
      </c>
      <c r="D3005" s="129" t="s">
        <v>2444</v>
      </c>
      <c r="E3005" s="58">
        <v>2625</v>
      </c>
      <c r="F3005" s="58"/>
      <c r="G3005" s="58">
        <f t="shared" si="50"/>
        <v>-2625</v>
      </c>
      <c r="H3005" s="114" t="s">
        <v>2345</v>
      </c>
    </row>
    <row r="3006" spans="1:8" ht="15" customHeight="1" x14ac:dyDescent="0.25">
      <c r="A3006" s="597">
        <v>42873</v>
      </c>
      <c r="B3006" s="41" t="s">
        <v>1400</v>
      </c>
      <c r="C3006" s="41" t="s">
        <v>2002</v>
      </c>
      <c r="D3006" s="129" t="s">
        <v>2445</v>
      </c>
      <c r="E3006" s="58">
        <v>3500</v>
      </c>
      <c r="F3006" s="58"/>
      <c r="G3006" s="58">
        <f t="shared" si="50"/>
        <v>-3500</v>
      </c>
      <c r="H3006" s="114" t="s">
        <v>2345</v>
      </c>
    </row>
    <row r="3007" spans="1:8" ht="15" customHeight="1" x14ac:dyDescent="0.25">
      <c r="A3007" s="597">
        <v>42873</v>
      </c>
      <c r="B3007" s="41" t="s">
        <v>40</v>
      </c>
      <c r="C3007" s="41" t="s">
        <v>2446</v>
      </c>
      <c r="D3007" s="129" t="s">
        <v>1756</v>
      </c>
      <c r="E3007" s="58">
        <v>500</v>
      </c>
      <c r="F3007" s="58"/>
      <c r="G3007" s="58">
        <f t="shared" si="50"/>
        <v>-500</v>
      </c>
      <c r="H3007" s="114" t="s">
        <v>2345</v>
      </c>
    </row>
    <row r="3008" spans="1:8" ht="15" customHeight="1" x14ac:dyDescent="0.25">
      <c r="A3008" s="597">
        <v>42875</v>
      </c>
      <c r="B3008" s="41" t="s">
        <v>16</v>
      </c>
      <c r="C3008" s="41" t="s">
        <v>103</v>
      </c>
      <c r="D3008" s="129" t="s">
        <v>2447</v>
      </c>
      <c r="E3008" s="58">
        <v>450</v>
      </c>
      <c r="F3008" s="58"/>
      <c r="G3008" s="58">
        <f t="shared" si="50"/>
        <v>-450</v>
      </c>
      <c r="H3008" s="114" t="s">
        <v>2345</v>
      </c>
    </row>
    <row r="3009" spans="1:8" ht="15" customHeight="1" x14ac:dyDescent="0.25">
      <c r="A3009" s="597">
        <v>42877</v>
      </c>
      <c r="B3009" s="41" t="s">
        <v>16</v>
      </c>
      <c r="C3009" s="41" t="s">
        <v>773</v>
      </c>
      <c r="D3009" s="129" t="s">
        <v>2448</v>
      </c>
      <c r="E3009" s="58">
        <v>400</v>
      </c>
      <c r="F3009" s="58"/>
      <c r="G3009" s="58">
        <f t="shared" si="50"/>
        <v>-400</v>
      </c>
      <c r="H3009" s="114" t="s">
        <v>2345</v>
      </c>
    </row>
    <row r="3010" spans="1:8" ht="15" customHeight="1" x14ac:dyDescent="0.25">
      <c r="A3010" s="597">
        <v>42877</v>
      </c>
      <c r="B3010" s="41" t="s">
        <v>16</v>
      </c>
      <c r="C3010" s="41" t="s">
        <v>2449</v>
      </c>
      <c r="D3010" s="129" t="s">
        <v>2450</v>
      </c>
      <c r="E3010" s="58">
        <v>1250</v>
      </c>
      <c r="F3010" s="58"/>
      <c r="G3010" s="58">
        <f t="shared" si="50"/>
        <v>-1250</v>
      </c>
      <c r="H3010" s="114" t="s">
        <v>2345</v>
      </c>
    </row>
    <row r="3011" spans="1:8" ht="15" customHeight="1" x14ac:dyDescent="0.25">
      <c r="A3011" s="597">
        <v>42877</v>
      </c>
      <c r="B3011" s="41" t="s">
        <v>2094</v>
      </c>
      <c r="C3011" s="41" t="s">
        <v>1687</v>
      </c>
      <c r="D3011" s="129" t="s">
        <v>2451</v>
      </c>
      <c r="E3011" s="58">
        <v>5000</v>
      </c>
      <c r="F3011" s="58"/>
      <c r="G3011" s="58">
        <f t="shared" si="50"/>
        <v>-5000</v>
      </c>
      <c r="H3011" s="114" t="s">
        <v>2345</v>
      </c>
    </row>
    <row r="3012" spans="1:8" ht="15" customHeight="1" x14ac:dyDescent="0.25">
      <c r="A3012" s="597">
        <v>42878</v>
      </c>
      <c r="B3012" s="41" t="s">
        <v>2094</v>
      </c>
      <c r="C3012" s="41" t="s">
        <v>2452</v>
      </c>
      <c r="D3012" s="129" t="s">
        <v>2453</v>
      </c>
      <c r="E3012" s="58">
        <v>20000</v>
      </c>
      <c r="F3012" s="58"/>
      <c r="G3012" s="58">
        <f t="shared" si="50"/>
        <v>-20000</v>
      </c>
      <c r="H3012" s="114" t="s">
        <v>2345</v>
      </c>
    </row>
    <row r="3013" spans="1:8" ht="15" customHeight="1" x14ac:dyDescent="0.25">
      <c r="A3013" s="597">
        <v>42879</v>
      </c>
      <c r="B3013" s="41" t="s">
        <v>1493</v>
      </c>
      <c r="C3013" s="41" t="s">
        <v>85</v>
      </c>
      <c r="D3013" s="129" t="s">
        <v>72</v>
      </c>
      <c r="E3013" s="58">
        <v>2150</v>
      </c>
      <c r="F3013" s="58"/>
      <c r="G3013" s="58">
        <f t="shared" si="50"/>
        <v>-2150</v>
      </c>
      <c r="H3013" s="114" t="s">
        <v>2345</v>
      </c>
    </row>
    <row r="3014" spans="1:8" ht="15" customHeight="1" x14ac:dyDescent="0.25">
      <c r="A3014" s="597">
        <v>42878</v>
      </c>
      <c r="B3014" s="41" t="s">
        <v>37</v>
      </c>
      <c r="C3014" s="41" t="s">
        <v>111</v>
      </c>
      <c r="D3014" s="129" t="s">
        <v>72</v>
      </c>
      <c r="E3014" s="58">
        <v>1000</v>
      </c>
      <c r="F3014" s="58"/>
      <c r="G3014" s="58">
        <f t="shared" si="50"/>
        <v>-1000</v>
      </c>
      <c r="H3014" s="114" t="s">
        <v>2345</v>
      </c>
    </row>
    <row r="3015" spans="1:8" ht="15" customHeight="1" x14ac:dyDescent="0.25">
      <c r="A3015" s="597">
        <v>42879</v>
      </c>
      <c r="B3015" s="41" t="s">
        <v>40</v>
      </c>
      <c r="C3015" s="41" t="s">
        <v>325</v>
      </c>
      <c r="D3015" s="129" t="s">
        <v>270</v>
      </c>
      <c r="E3015" s="58">
        <v>1120</v>
      </c>
      <c r="F3015" s="58"/>
      <c r="G3015" s="58">
        <f t="shared" si="50"/>
        <v>-1120</v>
      </c>
      <c r="H3015" s="114" t="s">
        <v>2345</v>
      </c>
    </row>
    <row r="3016" spans="1:8" ht="15" customHeight="1" x14ac:dyDescent="0.25">
      <c r="A3016" s="597">
        <v>42880</v>
      </c>
      <c r="B3016" s="41" t="s">
        <v>2094</v>
      </c>
      <c r="C3016" s="41" t="s">
        <v>551</v>
      </c>
      <c r="D3016" s="129" t="s">
        <v>72</v>
      </c>
      <c r="E3016" s="58">
        <v>4950</v>
      </c>
      <c r="F3016" s="58"/>
      <c r="G3016" s="58">
        <f t="shared" si="50"/>
        <v>-4950</v>
      </c>
      <c r="H3016" s="114" t="s">
        <v>2345</v>
      </c>
    </row>
    <row r="3017" spans="1:8" ht="15" customHeight="1" x14ac:dyDescent="0.25">
      <c r="A3017" s="597">
        <v>42881</v>
      </c>
      <c r="B3017" s="41" t="s">
        <v>2094</v>
      </c>
      <c r="C3017" s="41" t="s">
        <v>551</v>
      </c>
      <c r="D3017" s="129" t="s">
        <v>72</v>
      </c>
      <c r="E3017" s="58">
        <v>4870</v>
      </c>
      <c r="F3017" s="58"/>
      <c r="G3017" s="58">
        <f t="shared" ref="G3017:G3080" si="51">F3017-E3017</f>
        <v>-4870</v>
      </c>
      <c r="H3017" s="114" t="s">
        <v>2345</v>
      </c>
    </row>
    <row r="3018" spans="1:8" ht="15" customHeight="1" x14ac:dyDescent="0.25">
      <c r="A3018" s="597">
        <v>42881</v>
      </c>
      <c r="B3018" s="41" t="s">
        <v>37</v>
      </c>
      <c r="C3018" s="41" t="s">
        <v>1276</v>
      </c>
      <c r="D3018" s="129" t="s">
        <v>2454</v>
      </c>
      <c r="E3018" s="58">
        <v>6000</v>
      </c>
      <c r="F3018" s="58"/>
      <c r="G3018" s="58">
        <f t="shared" si="51"/>
        <v>-6000</v>
      </c>
      <c r="H3018" s="114" t="s">
        <v>2345</v>
      </c>
    </row>
    <row r="3019" spans="1:8" ht="15" customHeight="1" x14ac:dyDescent="0.25">
      <c r="A3019" s="597">
        <v>42881</v>
      </c>
      <c r="B3019" s="41" t="s">
        <v>25</v>
      </c>
      <c r="C3019" s="41" t="s">
        <v>551</v>
      </c>
      <c r="D3019" s="129" t="s">
        <v>2455</v>
      </c>
      <c r="E3019" s="58">
        <v>13000</v>
      </c>
      <c r="F3019" s="58"/>
      <c r="G3019" s="58">
        <f t="shared" si="51"/>
        <v>-13000</v>
      </c>
      <c r="H3019" s="114" t="s">
        <v>2345</v>
      </c>
    </row>
    <row r="3020" spans="1:8" ht="15" customHeight="1" x14ac:dyDescent="0.25">
      <c r="A3020" s="597">
        <v>42881</v>
      </c>
      <c r="B3020" s="41" t="s">
        <v>2094</v>
      </c>
      <c r="C3020" s="41" t="s">
        <v>551</v>
      </c>
      <c r="D3020" s="129" t="s">
        <v>2456</v>
      </c>
      <c r="E3020" s="58">
        <v>2530</v>
      </c>
      <c r="F3020" s="58"/>
      <c r="G3020" s="58">
        <f t="shared" si="51"/>
        <v>-2530</v>
      </c>
      <c r="H3020" s="114" t="s">
        <v>2345</v>
      </c>
    </row>
    <row r="3021" spans="1:8" ht="15" customHeight="1" x14ac:dyDescent="0.25">
      <c r="A3021" s="597">
        <v>42881</v>
      </c>
      <c r="B3021" s="41" t="s">
        <v>2094</v>
      </c>
      <c r="C3021" s="41" t="s">
        <v>450</v>
      </c>
      <c r="D3021" s="129" t="s">
        <v>2471</v>
      </c>
      <c r="E3021" s="58">
        <v>1250</v>
      </c>
      <c r="F3021" s="58"/>
      <c r="G3021" s="58">
        <f t="shared" si="51"/>
        <v>-1250</v>
      </c>
      <c r="H3021" s="114" t="s">
        <v>2345</v>
      </c>
    </row>
    <row r="3022" spans="1:8" ht="15" customHeight="1" x14ac:dyDescent="0.25">
      <c r="A3022" s="597">
        <v>42881</v>
      </c>
      <c r="B3022" s="41" t="s">
        <v>2094</v>
      </c>
      <c r="C3022" s="41" t="s">
        <v>63</v>
      </c>
      <c r="D3022" s="129" t="s">
        <v>2472</v>
      </c>
      <c r="E3022" s="58">
        <v>1800</v>
      </c>
      <c r="F3022" s="58"/>
      <c r="G3022" s="58">
        <f t="shared" si="51"/>
        <v>-1800</v>
      </c>
      <c r="H3022" s="114" t="s">
        <v>2345</v>
      </c>
    </row>
    <row r="3023" spans="1:8" ht="15" customHeight="1" x14ac:dyDescent="0.25">
      <c r="A3023" s="597">
        <v>42884</v>
      </c>
      <c r="B3023" s="41" t="s">
        <v>18</v>
      </c>
      <c r="C3023" s="41" t="s">
        <v>773</v>
      </c>
      <c r="D3023" s="129" t="s">
        <v>1974</v>
      </c>
      <c r="E3023" s="58">
        <v>3280</v>
      </c>
      <c r="F3023" s="58"/>
      <c r="G3023" s="58">
        <f t="shared" si="51"/>
        <v>-3280</v>
      </c>
      <c r="H3023" s="114" t="s">
        <v>2345</v>
      </c>
    </row>
    <row r="3024" spans="1:8" ht="15" customHeight="1" x14ac:dyDescent="0.25">
      <c r="A3024" s="597">
        <v>42884</v>
      </c>
      <c r="B3024" s="41" t="s">
        <v>16</v>
      </c>
      <c r="C3024" s="41" t="s">
        <v>773</v>
      </c>
      <c r="D3024" s="129" t="s">
        <v>2474</v>
      </c>
      <c r="E3024" s="58">
        <v>2000</v>
      </c>
      <c r="F3024" s="58"/>
      <c r="G3024" s="58">
        <f t="shared" si="51"/>
        <v>-2000</v>
      </c>
      <c r="H3024" s="114" t="s">
        <v>2345</v>
      </c>
    </row>
    <row r="3025" spans="1:8" ht="15" customHeight="1" x14ac:dyDescent="0.25">
      <c r="A3025" s="597">
        <v>42885</v>
      </c>
      <c r="B3025" s="41" t="s">
        <v>2094</v>
      </c>
      <c r="C3025" s="41" t="s">
        <v>551</v>
      </c>
      <c r="D3025" s="129" t="s">
        <v>2475</v>
      </c>
      <c r="E3025" s="58">
        <v>300</v>
      </c>
      <c r="F3025" s="58"/>
      <c r="G3025" s="58">
        <f t="shared" si="51"/>
        <v>-300</v>
      </c>
      <c r="H3025" s="114" t="s">
        <v>2345</v>
      </c>
    </row>
    <row r="3026" spans="1:8" ht="15" customHeight="1" x14ac:dyDescent="0.25">
      <c r="A3026" s="597">
        <v>42886</v>
      </c>
      <c r="B3026" s="41" t="s">
        <v>18</v>
      </c>
      <c r="C3026" s="41" t="s">
        <v>668</v>
      </c>
      <c r="D3026" s="129" t="s">
        <v>2476</v>
      </c>
      <c r="E3026" s="58">
        <v>360</v>
      </c>
      <c r="F3026" s="58"/>
      <c r="G3026" s="58">
        <f t="shared" si="51"/>
        <v>-360</v>
      </c>
      <c r="H3026" s="114" t="s">
        <v>2345</v>
      </c>
    </row>
    <row r="3027" spans="1:8" ht="15" customHeight="1" x14ac:dyDescent="0.25">
      <c r="A3027" s="597">
        <v>42886</v>
      </c>
      <c r="B3027" s="41" t="s">
        <v>18</v>
      </c>
      <c r="C3027" s="41" t="s">
        <v>668</v>
      </c>
      <c r="D3027" s="129" t="s">
        <v>2477</v>
      </c>
      <c r="E3027" s="58">
        <v>23460</v>
      </c>
      <c r="F3027" s="58"/>
      <c r="G3027" s="58">
        <f t="shared" si="51"/>
        <v>-23460</v>
      </c>
      <c r="H3027" s="114" t="s">
        <v>2345</v>
      </c>
    </row>
    <row r="3028" spans="1:8" ht="15" customHeight="1" x14ac:dyDescent="0.25">
      <c r="A3028" s="597">
        <v>42886</v>
      </c>
      <c r="B3028" s="41" t="s">
        <v>16</v>
      </c>
      <c r="C3028" s="41" t="s">
        <v>1894</v>
      </c>
      <c r="D3028" s="129" t="s">
        <v>2478</v>
      </c>
      <c r="E3028" s="58">
        <v>5000</v>
      </c>
      <c r="F3028" s="58"/>
      <c r="G3028" s="58">
        <f t="shared" si="51"/>
        <v>-5000</v>
      </c>
      <c r="H3028" s="114" t="s">
        <v>2345</v>
      </c>
    </row>
    <row r="3029" spans="1:8" ht="15" customHeight="1" x14ac:dyDescent="0.25">
      <c r="A3029" s="597">
        <v>42886</v>
      </c>
      <c r="B3029" s="41" t="s">
        <v>25</v>
      </c>
      <c r="C3029" s="41" t="s">
        <v>1894</v>
      </c>
      <c r="D3029" s="129" t="s">
        <v>2479</v>
      </c>
      <c r="E3029" s="58">
        <v>23570</v>
      </c>
      <c r="F3029" s="58"/>
      <c r="G3029" s="58">
        <f t="shared" si="51"/>
        <v>-23570</v>
      </c>
      <c r="H3029" s="114" t="s">
        <v>2345</v>
      </c>
    </row>
    <row r="3030" spans="1:8" ht="15" customHeight="1" x14ac:dyDescent="0.25">
      <c r="A3030" s="597">
        <v>42886</v>
      </c>
      <c r="B3030" s="41" t="s">
        <v>2094</v>
      </c>
      <c r="C3030" s="41" t="s">
        <v>1687</v>
      </c>
      <c r="D3030" s="129" t="s">
        <v>2480</v>
      </c>
      <c r="E3030" s="58">
        <v>8500</v>
      </c>
      <c r="F3030" s="58"/>
      <c r="G3030" s="58">
        <f t="shared" si="51"/>
        <v>-8500</v>
      </c>
      <c r="H3030" s="114" t="s">
        <v>2345</v>
      </c>
    </row>
    <row r="3031" spans="1:8" ht="60.75" customHeight="1" x14ac:dyDescent="0.25">
      <c r="A3031" s="597">
        <v>42886</v>
      </c>
      <c r="B3031" s="41" t="s">
        <v>16</v>
      </c>
      <c r="C3031" s="41" t="s">
        <v>199</v>
      </c>
      <c r="D3031" s="129" t="s">
        <v>2486</v>
      </c>
      <c r="E3031" s="58">
        <v>19084</v>
      </c>
      <c r="F3031" s="58"/>
      <c r="G3031" s="58">
        <f t="shared" si="51"/>
        <v>-19084</v>
      </c>
      <c r="H3031" s="114" t="s">
        <v>2345</v>
      </c>
    </row>
    <row r="3032" spans="1:8" ht="24.75" customHeight="1" x14ac:dyDescent="0.25">
      <c r="A3032" s="602">
        <v>42860</v>
      </c>
      <c r="B3032" s="122" t="s">
        <v>1400</v>
      </c>
      <c r="C3032" s="122" t="s">
        <v>2346</v>
      </c>
      <c r="D3032" s="118" t="s">
        <v>2347</v>
      </c>
      <c r="E3032" s="123">
        <v>817000</v>
      </c>
      <c r="F3032" s="123"/>
      <c r="G3032" s="123">
        <f t="shared" si="51"/>
        <v>-817000</v>
      </c>
      <c r="H3032" s="117" t="s">
        <v>2345</v>
      </c>
    </row>
    <row r="3033" spans="1:8" ht="15" customHeight="1" x14ac:dyDescent="0.25">
      <c r="A3033" s="602">
        <v>42863</v>
      </c>
      <c r="B3033" s="122" t="s">
        <v>2094</v>
      </c>
      <c r="C3033" s="122" t="s">
        <v>63</v>
      </c>
      <c r="D3033" s="118" t="s">
        <v>2348</v>
      </c>
      <c r="E3033" s="123">
        <v>50000</v>
      </c>
      <c r="F3033" s="123"/>
      <c r="G3033" s="123">
        <f t="shared" si="51"/>
        <v>-50000</v>
      </c>
      <c r="H3033" s="117" t="s">
        <v>2345</v>
      </c>
    </row>
    <row r="3034" spans="1:8" ht="15" customHeight="1" x14ac:dyDescent="0.25">
      <c r="A3034" s="602">
        <v>42870</v>
      </c>
      <c r="B3034" s="122" t="s">
        <v>40</v>
      </c>
      <c r="C3034" s="122" t="s">
        <v>1983</v>
      </c>
      <c r="D3034" s="118" t="s">
        <v>2387</v>
      </c>
      <c r="E3034" s="123">
        <v>65850</v>
      </c>
      <c r="F3034" s="123"/>
      <c r="G3034" s="123">
        <f t="shared" si="51"/>
        <v>-65850</v>
      </c>
      <c r="H3034" s="117" t="s">
        <v>2345</v>
      </c>
    </row>
    <row r="3035" spans="1:8" ht="15" customHeight="1" x14ac:dyDescent="0.25">
      <c r="A3035" s="602">
        <v>42874</v>
      </c>
      <c r="B3035" s="122" t="s">
        <v>154</v>
      </c>
      <c r="C3035" s="122" t="s">
        <v>406</v>
      </c>
      <c r="D3035" s="118" t="s">
        <v>2407</v>
      </c>
      <c r="E3035" s="123">
        <v>9800</v>
      </c>
      <c r="F3035" s="123"/>
      <c r="G3035" s="123">
        <f t="shared" si="51"/>
        <v>-9800</v>
      </c>
      <c r="H3035" s="117" t="s">
        <v>2345</v>
      </c>
    </row>
    <row r="3036" spans="1:8" ht="15" customHeight="1" x14ac:dyDescent="0.25">
      <c r="A3036" s="602">
        <v>42874</v>
      </c>
      <c r="B3036" s="122" t="s">
        <v>2094</v>
      </c>
      <c r="C3036" s="122" t="s">
        <v>63</v>
      </c>
      <c r="D3036" s="118" t="s">
        <v>2408</v>
      </c>
      <c r="E3036" s="123">
        <v>15000</v>
      </c>
      <c r="F3036" s="123"/>
      <c r="G3036" s="123">
        <f t="shared" si="51"/>
        <v>-15000</v>
      </c>
      <c r="H3036" s="117" t="s">
        <v>2345</v>
      </c>
    </row>
    <row r="3037" spans="1:8" ht="15" customHeight="1" x14ac:dyDescent="0.25">
      <c r="A3037" s="602">
        <v>42874</v>
      </c>
      <c r="B3037" s="122" t="s">
        <v>2094</v>
      </c>
      <c r="C3037" s="122" t="s">
        <v>2129</v>
      </c>
      <c r="D3037" s="118" t="s">
        <v>2405</v>
      </c>
      <c r="E3037" s="123">
        <v>180000</v>
      </c>
      <c r="F3037" s="123"/>
      <c r="G3037" s="123">
        <f t="shared" si="51"/>
        <v>-180000</v>
      </c>
      <c r="H3037" s="117" t="s">
        <v>2345</v>
      </c>
    </row>
    <row r="3038" spans="1:8" ht="15" customHeight="1" x14ac:dyDescent="0.25">
      <c r="A3038" s="602">
        <v>42875</v>
      </c>
      <c r="B3038" s="122" t="s">
        <v>2094</v>
      </c>
      <c r="C3038" s="122" t="s">
        <v>167</v>
      </c>
      <c r="D3038" s="118" t="s">
        <v>2409</v>
      </c>
      <c r="E3038" s="123">
        <v>9794</v>
      </c>
      <c r="F3038" s="123"/>
      <c r="G3038" s="123">
        <f t="shared" si="51"/>
        <v>-9794</v>
      </c>
      <c r="H3038" s="117" t="s">
        <v>2345</v>
      </c>
    </row>
    <row r="3039" spans="1:8" ht="15" customHeight="1" x14ac:dyDescent="0.25">
      <c r="A3039" s="602">
        <v>42875</v>
      </c>
      <c r="B3039" s="122" t="s">
        <v>1400</v>
      </c>
      <c r="C3039" s="122" t="s">
        <v>164</v>
      </c>
      <c r="D3039" s="118" t="s">
        <v>2409</v>
      </c>
      <c r="E3039" s="123">
        <v>2155</v>
      </c>
      <c r="F3039" s="123"/>
      <c r="G3039" s="123">
        <f t="shared" si="51"/>
        <v>-2155</v>
      </c>
      <c r="H3039" s="117" t="s">
        <v>2345</v>
      </c>
    </row>
    <row r="3040" spans="1:8" ht="15" customHeight="1" x14ac:dyDescent="0.25">
      <c r="A3040" s="602">
        <v>42875</v>
      </c>
      <c r="B3040" s="122" t="s">
        <v>2094</v>
      </c>
      <c r="C3040" s="122" t="s">
        <v>164</v>
      </c>
      <c r="D3040" s="118" t="s">
        <v>2409</v>
      </c>
      <c r="E3040" s="123">
        <v>18937</v>
      </c>
      <c r="F3040" s="123"/>
      <c r="G3040" s="123">
        <f t="shared" si="51"/>
        <v>-18937</v>
      </c>
      <c r="H3040" s="117" t="s">
        <v>2345</v>
      </c>
    </row>
    <row r="3041" spans="1:8" ht="15" customHeight="1" x14ac:dyDescent="0.25">
      <c r="A3041" s="602">
        <v>42875</v>
      </c>
      <c r="B3041" s="122" t="s">
        <v>2094</v>
      </c>
      <c r="C3041" s="122" t="s">
        <v>705</v>
      </c>
      <c r="D3041" s="118" t="s">
        <v>2411</v>
      </c>
      <c r="E3041" s="123">
        <v>4300</v>
      </c>
      <c r="F3041" s="123"/>
      <c r="G3041" s="123">
        <f t="shared" si="51"/>
        <v>-4300</v>
      </c>
      <c r="H3041" s="117" t="s">
        <v>2345</v>
      </c>
    </row>
    <row r="3042" spans="1:8" ht="15" customHeight="1" x14ac:dyDescent="0.25">
      <c r="A3042" s="602">
        <v>42875</v>
      </c>
      <c r="B3042" s="122" t="s">
        <v>40</v>
      </c>
      <c r="C3042" s="122" t="s">
        <v>705</v>
      </c>
      <c r="D3042" s="118" t="s">
        <v>2411</v>
      </c>
      <c r="E3042" s="123">
        <v>7256</v>
      </c>
      <c r="F3042" s="123"/>
      <c r="G3042" s="123">
        <f t="shared" si="51"/>
        <v>-7256</v>
      </c>
      <c r="H3042" s="117" t="s">
        <v>2345</v>
      </c>
    </row>
    <row r="3043" spans="1:8" ht="15" customHeight="1" x14ac:dyDescent="0.25">
      <c r="A3043" s="602">
        <v>42875</v>
      </c>
      <c r="B3043" s="122" t="s">
        <v>1400</v>
      </c>
      <c r="C3043" s="122" t="s">
        <v>2196</v>
      </c>
      <c r="D3043" s="118" t="s">
        <v>2413</v>
      </c>
      <c r="E3043" s="123">
        <v>82053</v>
      </c>
      <c r="F3043" s="123"/>
      <c r="G3043" s="123">
        <f t="shared" si="51"/>
        <v>-82053</v>
      </c>
      <c r="H3043" s="117" t="s">
        <v>2345</v>
      </c>
    </row>
    <row r="3044" spans="1:8" ht="15" customHeight="1" x14ac:dyDescent="0.25">
      <c r="A3044" s="602">
        <v>42875</v>
      </c>
      <c r="B3044" s="122" t="s">
        <v>2094</v>
      </c>
      <c r="C3044" s="122" t="s">
        <v>2196</v>
      </c>
      <c r="D3044" s="118" t="s">
        <v>2413</v>
      </c>
      <c r="E3044" s="123">
        <v>13147</v>
      </c>
      <c r="F3044" s="123"/>
      <c r="G3044" s="123">
        <f t="shared" si="51"/>
        <v>-13147</v>
      </c>
      <c r="H3044" s="117" t="s">
        <v>2345</v>
      </c>
    </row>
    <row r="3045" spans="1:8" ht="15" customHeight="1" x14ac:dyDescent="0.25">
      <c r="A3045" s="602">
        <v>42875</v>
      </c>
      <c r="B3045" s="122" t="s">
        <v>1400</v>
      </c>
      <c r="C3045" s="122" t="s">
        <v>1803</v>
      </c>
      <c r="D3045" s="118" t="s">
        <v>2414</v>
      </c>
      <c r="E3045" s="123">
        <v>100000</v>
      </c>
      <c r="F3045" s="123"/>
      <c r="G3045" s="123">
        <f t="shared" si="51"/>
        <v>-100000</v>
      </c>
      <c r="H3045" s="117" t="s">
        <v>2345</v>
      </c>
    </row>
    <row r="3046" spans="1:8" ht="15" customHeight="1" x14ac:dyDescent="0.25">
      <c r="A3046" s="602">
        <v>42875</v>
      </c>
      <c r="B3046" s="122" t="s">
        <v>154</v>
      </c>
      <c r="C3046" s="122" t="s">
        <v>165</v>
      </c>
      <c r="D3046" s="118" t="s">
        <v>2415</v>
      </c>
      <c r="E3046" s="123">
        <v>43750</v>
      </c>
      <c r="F3046" s="123"/>
      <c r="G3046" s="123">
        <f t="shared" si="51"/>
        <v>-43750</v>
      </c>
      <c r="H3046" s="117" t="s">
        <v>2345</v>
      </c>
    </row>
    <row r="3047" spans="1:8" ht="15" customHeight="1" x14ac:dyDescent="0.25">
      <c r="A3047" s="602">
        <v>42875</v>
      </c>
      <c r="B3047" s="122" t="s">
        <v>40</v>
      </c>
      <c r="C3047" s="122" t="s">
        <v>165</v>
      </c>
      <c r="D3047" s="118" t="s">
        <v>2415</v>
      </c>
      <c r="E3047" s="123">
        <v>7000</v>
      </c>
      <c r="F3047" s="123"/>
      <c r="G3047" s="123">
        <f t="shared" si="51"/>
        <v>-7000</v>
      </c>
      <c r="H3047" s="117" t="s">
        <v>2345</v>
      </c>
    </row>
    <row r="3048" spans="1:8" ht="15" customHeight="1" x14ac:dyDescent="0.25">
      <c r="A3048" s="602">
        <v>42875</v>
      </c>
      <c r="B3048" s="122" t="s">
        <v>1400</v>
      </c>
      <c r="C3048" s="122" t="s">
        <v>165</v>
      </c>
      <c r="D3048" s="118" t="s">
        <v>2415</v>
      </c>
      <c r="E3048" s="123">
        <v>2285</v>
      </c>
      <c r="F3048" s="123"/>
      <c r="G3048" s="123">
        <f t="shared" si="51"/>
        <v>-2285</v>
      </c>
      <c r="H3048" s="117" t="s">
        <v>2345</v>
      </c>
    </row>
    <row r="3049" spans="1:8" ht="15" customHeight="1" x14ac:dyDescent="0.25">
      <c r="A3049" s="602">
        <v>42880</v>
      </c>
      <c r="B3049" s="122" t="s">
        <v>14</v>
      </c>
      <c r="C3049" s="122" t="s">
        <v>165</v>
      </c>
      <c r="D3049" s="118" t="s">
        <v>2421</v>
      </c>
      <c r="E3049" s="123">
        <v>218418</v>
      </c>
      <c r="F3049" s="123"/>
      <c r="G3049" s="123">
        <f t="shared" si="51"/>
        <v>-218418</v>
      </c>
      <c r="H3049" s="117" t="s">
        <v>2345</v>
      </c>
    </row>
    <row r="3050" spans="1:8" ht="15" customHeight="1" x14ac:dyDescent="0.25">
      <c r="A3050" s="602">
        <v>42880</v>
      </c>
      <c r="B3050" s="122" t="s">
        <v>1400</v>
      </c>
      <c r="C3050" s="122" t="s">
        <v>165</v>
      </c>
      <c r="D3050" s="118" t="s">
        <v>2421</v>
      </c>
      <c r="E3050" s="123">
        <v>13842</v>
      </c>
      <c r="F3050" s="123"/>
      <c r="G3050" s="123">
        <f t="shared" si="51"/>
        <v>-13842</v>
      </c>
      <c r="H3050" s="117" t="s">
        <v>2345</v>
      </c>
    </row>
    <row r="3051" spans="1:8" ht="15" customHeight="1" x14ac:dyDescent="0.25">
      <c r="A3051" s="602">
        <v>42880</v>
      </c>
      <c r="B3051" s="122" t="s">
        <v>2094</v>
      </c>
      <c r="C3051" s="122" t="s">
        <v>166</v>
      </c>
      <c r="D3051" s="118" t="s">
        <v>2419</v>
      </c>
      <c r="E3051" s="123">
        <v>1085</v>
      </c>
      <c r="F3051" s="123"/>
      <c r="G3051" s="123">
        <f t="shared" si="51"/>
        <v>-1085</v>
      </c>
      <c r="H3051" s="117" t="s">
        <v>2345</v>
      </c>
    </row>
    <row r="3052" spans="1:8" ht="15" customHeight="1" x14ac:dyDescent="0.25">
      <c r="A3052" s="602">
        <v>42880</v>
      </c>
      <c r="B3052" s="122" t="s">
        <v>1400</v>
      </c>
      <c r="C3052" s="122" t="s">
        <v>2196</v>
      </c>
      <c r="D3052" s="118" t="s">
        <v>2418</v>
      </c>
      <c r="E3052" s="123">
        <v>76300</v>
      </c>
      <c r="F3052" s="123"/>
      <c r="G3052" s="123">
        <f t="shared" si="51"/>
        <v>-76300</v>
      </c>
      <c r="H3052" s="117" t="s">
        <v>2345</v>
      </c>
    </row>
    <row r="3053" spans="1:8" ht="15" customHeight="1" x14ac:dyDescent="0.25">
      <c r="A3053" s="602">
        <v>42880</v>
      </c>
      <c r="B3053" s="122" t="s">
        <v>16</v>
      </c>
      <c r="C3053" s="122" t="s">
        <v>1689</v>
      </c>
      <c r="D3053" s="118" t="s">
        <v>2424</v>
      </c>
      <c r="E3053" s="123">
        <v>30930</v>
      </c>
      <c r="F3053" s="123"/>
      <c r="G3053" s="123">
        <f t="shared" si="51"/>
        <v>-30930</v>
      </c>
      <c r="H3053" s="117" t="s">
        <v>2345</v>
      </c>
    </row>
    <row r="3054" spans="1:8" ht="15" customHeight="1" x14ac:dyDescent="0.25">
      <c r="A3054" s="602">
        <v>42880</v>
      </c>
      <c r="B3054" s="122" t="s">
        <v>25</v>
      </c>
      <c r="C3054" s="122" t="s">
        <v>1689</v>
      </c>
      <c r="D3054" s="118" t="s">
        <v>2424</v>
      </c>
      <c r="E3054" s="123">
        <v>17841</v>
      </c>
      <c r="F3054" s="123"/>
      <c r="G3054" s="123">
        <f t="shared" si="51"/>
        <v>-17841</v>
      </c>
      <c r="H3054" s="117" t="s">
        <v>2345</v>
      </c>
    </row>
    <row r="3055" spans="1:8" ht="15" customHeight="1" x14ac:dyDescent="0.25">
      <c r="A3055" s="602">
        <v>42881</v>
      </c>
      <c r="B3055" s="122" t="s">
        <v>2094</v>
      </c>
      <c r="C3055" s="122" t="s">
        <v>1894</v>
      </c>
      <c r="D3055" s="118" t="s">
        <v>2425</v>
      </c>
      <c r="E3055" s="123">
        <v>16740</v>
      </c>
      <c r="F3055" s="123"/>
      <c r="G3055" s="123">
        <f t="shared" si="51"/>
        <v>-16740</v>
      </c>
      <c r="H3055" s="117" t="s">
        <v>2345</v>
      </c>
    </row>
    <row r="3056" spans="1:8" ht="15" customHeight="1" x14ac:dyDescent="0.25">
      <c r="A3056" s="602">
        <v>42881</v>
      </c>
      <c r="B3056" s="122" t="s">
        <v>1400</v>
      </c>
      <c r="C3056" s="122" t="s">
        <v>1894</v>
      </c>
      <c r="D3056" s="118" t="s">
        <v>2425</v>
      </c>
      <c r="E3056" s="123">
        <v>16745</v>
      </c>
      <c r="F3056" s="123"/>
      <c r="G3056" s="123">
        <f t="shared" si="51"/>
        <v>-16745</v>
      </c>
      <c r="H3056" s="117" t="s">
        <v>2345</v>
      </c>
    </row>
    <row r="3057" spans="1:8" ht="15" customHeight="1" x14ac:dyDescent="0.25">
      <c r="A3057" s="602">
        <v>42886</v>
      </c>
      <c r="B3057" s="122" t="s">
        <v>2094</v>
      </c>
      <c r="C3057" s="122" t="s">
        <v>1409</v>
      </c>
      <c r="D3057" s="118" t="s">
        <v>2426</v>
      </c>
      <c r="E3057" s="123">
        <v>38000</v>
      </c>
      <c r="F3057" s="123"/>
      <c r="G3057" s="123">
        <f t="shared" si="51"/>
        <v>-38000</v>
      </c>
      <c r="H3057" s="117" t="s">
        <v>2345</v>
      </c>
    </row>
    <row r="3058" spans="1:8" ht="15" customHeight="1" x14ac:dyDescent="0.25">
      <c r="A3058" s="602">
        <v>42886</v>
      </c>
      <c r="B3058" s="122" t="s">
        <v>25</v>
      </c>
      <c r="C3058" s="122" t="s">
        <v>551</v>
      </c>
      <c r="D3058" s="118" t="s">
        <v>2427</v>
      </c>
      <c r="E3058" s="123">
        <v>33000</v>
      </c>
      <c r="F3058" s="123"/>
      <c r="G3058" s="123">
        <f t="shared" si="51"/>
        <v>-33000</v>
      </c>
      <c r="H3058" s="117" t="s">
        <v>2345</v>
      </c>
    </row>
    <row r="3059" spans="1:8" x14ac:dyDescent="0.2">
      <c r="A3059" s="599">
        <v>42867</v>
      </c>
      <c r="B3059" s="91" t="s">
        <v>37</v>
      </c>
      <c r="C3059" s="91" t="s">
        <v>37</v>
      </c>
      <c r="D3059" s="801" t="s">
        <v>2377</v>
      </c>
      <c r="E3059" s="92"/>
      <c r="F3059" s="92">
        <v>157140</v>
      </c>
      <c r="G3059" s="92">
        <f t="shared" si="51"/>
        <v>157140</v>
      </c>
      <c r="H3059" s="93" t="s">
        <v>2345</v>
      </c>
    </row>
    <row r="3060" spans="1:8" x14ac:dyDescent="0.2">
      <c r="A3060" s="599">
        <v>42867</v>
      </c>
      <c r="B3060" s="91" t="s">
        <v>37</v>
      </c>
      <c r="C3060" s="91" t="s">
        <v>37</v>
      </c>
      <c r="D3060" s="801" t="s">
        <v>2378</v>
      </c>
      <c r="E3060" s="92"/>
      <c r="F3060" s="92">
        <v>157140</v>
      </c>
      <c r="G3060" s="92">
        <f t="shared" si="51"/>
        <v>157140</v>
      </c>
      <c r="H3060" s="93" t="s">
        <v>2345</v>
      </c>
    </row>
    <row r="3061" spans="1:8" x14ac:dyDescent="0.2">
      <c r="A3061" s="599">
        <v>42880</v>
      </c>
      <c r="B3061" s="91" t="s">
        <v>2094</v>
      </c>
      <c r="C3061" s="91" t="s">
        <v>2094</v>
      </c>
      <c r="D3061" s="801" t="s">
        <v>2422</v>
      </c>
      <c r="E3061" s="92"/>
      <c r="F3061" s="92">
        <v>2523763</v>
      </c>
      <c r="G3061" s="92">
        <f t="shared" si="51"/>
        <v>2523763</v>
      </c>
      <c r="H3061" s="93" t="s">
        <v>2345</v>
      </c>
    </row>
    <row r="3062" spans="1:8" ht="15" customHeight="1" x14ac:dyDescent="0.25">
      <c r="A3062" s="597">
        <v>42891</v>
      </c>
      <c r="B3062" s="41" t="s">
        <v>25</v>
      </c>
      <c r="C3062" s="41" t="s">
        <v>794</v>
      </c>
      <c r="D3062" s="108" t="s">
        <v>1839</v>
      </c>
      <c r="E3062" s="58">
        <v>6500</v>
      </c>
      <c r="F3062" s="58"/>
      <c r="G3062" s="58">
        <f t="shared" si="51"/>
        <v>-6500</v>
      </c>
      <c r="H3062" s="114" t="s">
        <v>2438</v>
      </c>
    </row>
    <row r="3063" spans="1:8" ht="15" customHeight="1" x14ac:dyDescent="0.25">
      <c r="A3063" s="597">
        <v>42891</v>
      </c>
      <c r="B3063" s="41" t="s">
        <v>25</v>
      </c>
      <c r="C3063" s="41" t="s">
        <v>794</v>
      </c>
      <c r="D3063" s="108" t="s">
        <v>1840</v>
      </c>
      <c r="E3063" s="58">
        <v>7000</v>
      </c>
      <c r="F3063" s="58"/>
      <c r="G3063" s="58">
        <f t="shared" si="51"/>
        <v>-7000</v>
      </c>
      <c r="H3063" s="114" t="s">
        <v>2438</v>
      </c>
    </row>
    <row r="3064" spans="1:8" ht="15" customHeight="1" x14ac:dyDescent="0.25">
      <c r="A3064" s="597">
        <v>42891</v>
      </c>
      <c r="B3064" s="41" t="s">
        <v>25</v>
      </c>
      <c r="C3064" s="41" t="s">
        <v>794</v>
      </c>
      <c r="D3064" s="108" t="s">
        <v>1547</v>
      </c>
      <c r="E3064" s="58">
        <v>9000</v>
      </c>
      <c r="F3064" s="58"/>
      <c r="G3064" s="58">
        <f t="shared" si="51"/>
        <v>-9000</v>
      </c>
      <c r="H3064" s="114" t="s">
        <v>2438</v>
      </c>
    </row>
    <row r="3065" spans="1:8" ht="15" customHeight="1" x14ac:dyDescent="0.25">
      <c r="A3065" s="597">
        <v>42891</v>
      </c>
      <c r="B3065" s="41" t="s">
        <v>16</v>
      </c>
      <c r="C3065" s="41" t="s">
        <v>794</v>
      </c>
      <c r="D3065" s="108" t="s">
        <v>1842</v>
      </c>
      <c r="E3065" s="58">
        <v>25000</v>
      </c>
      <c r="F3065" s="58"/>
      <c r="G3065" s="58">
        <f t="shared" si="51"/>
        <v>-25000</v>
      </c>
      <c r="H3065" s="114" t="s">
        <v>2438</v>
      </c>
    </row>
    <row r="3066" spans="1:8" ht="15" customHeight="1" x14ac:dyDescent="0.25">
      <c r="A3066" s="597">
        <v>42891</v>
      </c>
      <c r="B3066" s="41" t="s">
        <v>16</v>
      </c>
      <c r="C3066" s="41" t="s">
        <v>794</v>
      </c>
      <c r="D3066" s="108" t="s">
        <v>1843</v>
      </c>
      <c r="E3066" s="58">
        <v>15000</v>
      </c>
      <c r="F3066" s="58"/>
      <c r="G3066" s="58">
        <f t="shared" si="51"/>
        <v>-15000</v>
      </c>
      <c r="H3066" s="114" t="s">
        <v>2438</v>
      </c>
    </row>
    <row r="3067" spans="1:8" ht="15" customHeight="1" x14ac:dyDescent="0.25">
      <c r="A3067" s="597">
        <v>42891</v>
      </c>
      <c r="B3067" s="41" t="s">
        <v>16</v>
      </c>
      <c r="C3067" s="41" t="s">
        <v>794</v>
      </c>
      <c r="D3067" s="108" t="s">
        <v>1844</v>
      </c>
      <c r="E3067" s="58">
        <v>23000</v>
      </c>
      <c r="F3067" s="58"/>
      <c r="G3067" s="58">
        <f t="shared" si="51"/>
        <v>-23000</v>
      </c>
      <c r="H3067" s="114" t="s">
        <v>2438</v>
      </c>
    </row>
    <row r="3068" spans="1:8" ht="15" customHeight="1" x14ac:dyDescent="0.25">
      <c r="A3068" s="597">
        <v>42891</v>
      </c>
      <c r="B3068" s="41" t="s">
        <v>16</v>
      </c>
      <c r="C3068" s="41" t="s">
        <v>794</v>
      </c>
      <c r="D3068" s="108" t="s">
        <v>2184</v>
      </c>
      <c r="E3068" s="58">
        <v>10000</v>
      </c>
      <c r="F3068" s="58"/>
      <c r="G3068" s="58">
        <f t="shared" si="51"/>
        <v>-10000</v>
      </c>
      <c r="H3068" s="114" t="s">
        <v>2438</v>
      </c>
    </row>
    <row r="3069" spans="1:8" ht="15" customHeight="1" x14ac:dyDescent="0.25">
      <c r="A3069" s="597">
        <v>42891</v>
      </c>
      <c r="B3069" s="41" t="s">
        <v>16</v>
      </c>
      <c r="C3069" s="41" t="s">
        <v>794</v>
      </c>
      <c r="D3069" s="108" t="s">
        <v>1838</v>
      </c>
      <c r="E3069" s="58">
        <v>3000</v>
      </c>
      <c r="F3069" s="58"/>
      <c r="G3069" s="58">
        <f t="shared" si="51"/>
        <v>-3000</v>
      </c>
      <c r="H3069" s="114" t="s">
        <v>2438</v>
      </c>
    </row>
    <row r="3070" spans="1:8" ht="15" customHeight="1" x14ac:dyDescent="0.25">
      <c r="A3070" s="597">
        <v>42891</v>
      </c>
      <c r="B3070" s="41" t="s">
        <v>1400</v>
      </c>
      <c r="C3070" s="41" t="s">
        <v>794</v>
      </c>
      <c r="D3070" s="108" t="s">
        <v>1684</v>
      </c>
      <c r="E3070" s="58">
        <v>20000</v>
      </c>
      <c r="F3070" s="58"/>
      <c r="G3070" s="58">
        <f t="shared" si="51"/>
        <v>-20000</v>
      </c>
      <c r="H3070" s="114" t="s">
        <v>2438</v>
      </c>
    </row>
    <row r="3071" spans="1:8" ht="15" customHeight="1" x14ac:dyDescent="0.25">
      <c r="A3071" s="597">
        <v>42891</v>
      </c>
      <c r="B3071" s="41" t="s">
        <v>1400</v>
      </c>
      <c r="C3071" s="41" t="s">
        <v>794</v>
      </c>
      <c r="D3071" s="108" t="s">
        <v>1550</v>
      </c>
      <c r="E3071" s="58">
        <v>22000</v>
      </c>
      <c r="F3071" s="58"/>
      <c r="G3071" s="58">
        <f t="shared" si="51"/>
        <v>-22000</v>
      </c>
      <c r="H3071" s="114" t="s">
        <v>2438</v>
      </c>
    </row>
    <row r="3072" spans="1:8" ht="15" customHeight="1" x14ac:dyDescent="0.25">
      <c r="A3072" s="597">
        <v>42891</v>
      </c>
      <c r="B3072" s="41" t="s">
        <v>1400</v>
      </c>
      <c r="C3072" s="41" t="s">
        <v>794</v>
      </c>
      <c r="D3072" s="108" t="s">
        <v>1998</v>
      </c>
      <c r="E3072" s="58">
        <v>3693.5483870967746</v>
      </c>
      <c r="F3072" s="58"/>
      <c r="G3072" s="58">
        <f t="shared" si="51"/>
        <v>-3693.5483870967746</v>
      </c>
      <c r="H3072" s="114" t="s">
        <v>2438</v>
      </c>
    </row>
    <row r="3073" spans="1:8" ht="15" customHeight="1" x14ac:dyDescent="0.25">
      <c r="A3073" s="597">
        <v>42891</v>
      </c>
      <c r="B3073" s="41" t="s">
        <v>1400</v>
      </c>
      <c r="C3073" s="41" t="s">
        <v>794</v>
      </c>
      <c r="D3073" s="108" t="s">
        <v>2481</v>
      </c>
      <c r="E3073" s="58">
        <v>9580.645161290322</v>
      </c>
      <c r="F3073" s="58"/>
      <c r="G3073" s="58">
        <f t="shared" si="51"/>
        <v>-9580.645161290322</v>
      </c>
      <c r="H3073" s="114" t="s">
        <v>2438</v>
      </c>
    </row>
    <row r="3074" spans="1:8" ht="15" customHeight="1" x14ac:dyDescent="0.25">
      <c r="A3074" s="597">
        <v>42891</v>
      </c>
      <c r="B3074" s="41" t="s">
        <v>1400</v>
      </c>
      <c r="C3074" s="41" t="s">
        <v>794</v>
      </c>
      <c r="D3074" s="108" t="s">
        <v>1871</v>
      </c>
      <c r="E3074" s="58">
        <v>35000</v>
      </c>
      <c r="F3074" s="58"/>
      <c r="G3074" s="58">
        <f t="shared" si="51"/>
        <v>-35000</v>
      </c>
      <c r="H3074" s="114" t="s">
        <v>2438</v>
      </c>
    </row>
    <row r="3075" spans="1:8" ht="15" customHeight="1" x14ac:dyDescent="0.25">
      <c r="A3075" s="597">
        <v>42891</v>
      </c>
      <c r="B3075" s="41" t="s">
        <v>1400</v>
      </c>
      <c r="C3075" s="41" t="s">
        <v>794</v>
      </c>
      <c r="D3075" s="108" t="s">
        <v>1848</v>
      </c>
      <c r="E3075" s="58">
        <v>12737.903225806451</v>
      </c>
      <c r="F3075" s="58"/>
      <c r="G3075" s="58">
        <f t="shared" si="51"/>
        <v>-12737.903225806451</v>
      </c>
      <c r="H3075" s="114" t="s">
        <v>2438</v>
      </c>
    </row>
    <row r="3076" spans="1:8" ht="15" customHeight="1" x14ac:dyDescent="0.25">
      <c r="A3076" s="597">
        <v>42891</v>
      </c>
      <c r="B3076" s="41" t="s">
        <v>1400</v>
      </c>
      <c r="C3076" s="41" t="s">
        <v>794</v>
      </c>
      <c r="D3076" s="108" t="s">
        <v>1858</v>
      </c>
      <c r="E3076" s="58">
        <v>35681.451612903227</v>
      </c>
      <c r="F3076" s="58"/>
      <c r="G3076" s="58">
        <f t="shared" si="51"/>
        <v>-35681.451612903227</v>
      </c>
      <c r="H3076" s="114" t="s">
        <v>2438</v>
      </c>
    </row>
    <row r="3077" spans="1:8" ht="15" customHeight="1" x14ac:dyDescent="0.25">
      <c r="A3077" s="597">
        <v>42891</v>
      </c>
      <c r="B3077" s="41" t="s">
        <v>1400</v>
      </c>
      <c r="C3077" s="41" t="s">
        <v>794</v>
      </c>
      <c r="D3077" s="108" t="s">
        <v>1859</v>
      </c>
      <c r="E3077" s="58">
        <v>19786.290322580644</v>
      </c>
      <c r="F3077" s="58"/>
      <c r="G3077" s="58">
        <f t="shared" si="51"/>
        <v>-19786.290322580644</v>
      </c>
      <c r="H3077" s="114" t="s">
        <v>2438</v>
      </c>
    </row>
    <row r="3078" spans="1:8" ht="15" customHeight="1" x14ac:dyDescent="0.25">
      <c r="A3078" s="597">
        <v>42891</v>
      </c>
      <c r="B3078" s="41" t="s">
        <v>1400</v>
      </c>
      <c r="C3078" s="41" t="s">
        <v>794</v>
      </c>
      <c r="D3078" s="108" t="s">
        <v>1872</v>
      </c>
      <c r="E3078" s="58">
        <v>18939.516129032258</v>
      </c>
      <c r="F3078" s="58"/>
      <c r="G3078" s="58">
        <f t="shared" si="51"/>
        <v>-18939.516129032258</v>
      </c>
      <c r="H3078" s="114" t="s">
        <v>2438</v>
      </c>
    </row>
    <row r="3079" spans="1:8" ht="15" customHeight="1" x14ac:dyDescent="0.25">
      <c r="A3079" s="597">
        <v>42891</v>
      </c>
      <c r="B3079" s="41" t="s">
        <v>1400</v>
      </c>
      <c r="C3079" s="41" t="s">
        <v>794</v>
      </c>
      <c r="D3079" s="108" t="s">
        <v>2282</v>
      </c>
      <c r="E3079" s="58">
        <v>26814.516129032258</v>
      </c>
      <c r="F3079" s="58"/>
      <c r="G3079" s="58">
        <f t="shared" si="51"/>
        <v>-26814.516129032258</v>
      </c>
      <c r="H3079" s="114" t="s">
        <v>2438</v>
      </c>
    </row>
    <row r="3080" spans="1:8" ht="15" customHeight="1" x14ac:dyDescent="0.25">
      <c r="A3080" s="597">
        <v>42891</v>
      </c>
      <c r="B3080" s="41" t="s">
        <v>1400</v>
      </c>
      <c r="C3080" s="41" t="s">
        <v>794</v>
      </c>
      <c r="D3080" s="108" t="s">
        <v>1860</v>
      </c>
      <c r="E3080" s="58">
        <v>14616.935483870968</v>
      </c>
      <c r="F3080" s="58"/>
      <c r="G3080" s="58">
        <f t="shared" si="51"/>
        <v>-14616.935483870968</v>
      </c>
      <c r="H3080" s="114" t="s">
        <v>2438</v>
      </c>
    </row>
    <row r="3081" spans="1:8" ht="15" customHeight="1" x14ac:dyDescent="0.25">
      <c r="A3081" s="597">
        <v>42891</v>
      </c>
      <c r="B3081" s="41" t="s">
        <v>40</v>
      </c>
      <c r="C3081" s="41" t="s">
        <v>794</v>
      </c>
      <c r="D3081" s="108" t="s">
        <v>2284</v>
      </c>
      <c r="E3081" s="58">
        <v>30000</v>
      </c>
      <c r="F3081" s="58"/>
      <c r="G3081" s="58">
        <f t="shared" ref="G3081:G3144" si="52">F3081-E3081</f>
        <v>-30000</v>
      </c>
      <c r="H3081" s="114" t="s">
        <v>2438</v>
      </c>
    </row>
    <row r="3082" spans="1:8" ht="15" customHeight="1" x14ac:dyDescent="0.25">
      <c r="A3082" s="597">
        <v>42891</v>
      </c>
      <c r="B3082" s="41" t="s">
        <v>40</v>
      </c>
      <c r="C3082" s="41" t="s">
        <v>794</v>
      </c>
      <c r="D3082" s="108" t="s">
        <v>1855</v>
      </c>
      <c r="E3082" s="58">
        <v>22193.548387096773</v>
      </c>
      <c r="F3082" s="58"/>
      <c r="G3082" s="58">
        <f t="shared" si="52"/>
        <v>-22193.548387096773</v>
      </c>
      <c r="H3082" s="114" t="s">
        <v>2438</v>
      </c>
    </row>
    <row r="3083" spans="1:8" ht="15" customHeight="1" x14ac:dyDescent="0.25">
      <c r="A3083" s="597">
        <v>42891</v>
      </c>
      <c r="B3083" s="41" t="s">
        <v>1400</v>
      </c>
      <c r="C3083" s="41" t="s">
        <v>794</v>
      </c>
      <c r="D3083" s="108" t="s">
        <v>2482</v>
      </c>
      <c r="E3083" s="58">
        <v>18435.483870967742</v>
      </c>
      <c r="F3083" s="58"/>
      <c r="G3083" s="58">
        <f t="shared" si="52"/>
        <v>-18435.483870967742</v>
      </c>
      <c r="H3083" s="114" t="s">
        <v>2438</v>
      </c>
    </row>
    <row r="3084" spans="1:8" ht="15" customHeight="1" x14ac:dyDescent="0.25">
      <c r="A3084" s="597">
        <v>42891</v>
      </c>
      <c r="B3084" s="41" t="s">
        <v>40</v>
      </c>
      <c r="C3084" s="41" t="s">
        <v>794</v>
      </c>
      <c r="D3084" s="108" t="s">
        <v>2483</v>
      </c>
      <c r="E3084" s="58">
        <v>15975.806451612903</v>
      </c>
      <c r="F3084" s="58"/>
      <c r="G3084" s="58">
        <f t="shared" si="52"/>
        <v>-15975.806451612903</v>
      </c>
      <c r="H3084" s="114" t="s">
        <v>2438</v>
      </c>
    </row>
    <row r="3085" spans="1:8" ht="15" customHeight="1" x14ac:dyDescent="0.25">
      <c r="A3085" s="597">
        <v>42891</v>
      </c>
      <c r="B3085" s="41" t="s">
        <v>40</v>
      </c>
      <c r="C3085" s="41" t="s">
        <v>794</v>
      </c>
      <c r="D3085" s="108" t="s">
        <v>2181</v>
      </c>
      <c r="E3085" s="58">
        <v>11814.516129032258</v>
      </c>
      <c r="F3085" s="58"/>
      <c r="G3085" s="58">
        <f t="shared" si="52"/>
        <v>-11814.516129032258</v>
      </c>
      <c r="H3085" s="114" t="s">
        <v>2438</v>
      </c>
    </row>
    <row r="3086" spans="1:8" ht="15" customHeight="1" x14ac:dyDescent="0.25">
      <c r="A3086" s="597">
        <v>42891</v>
      </c>
      <c r="B3086" s="41" t="s">
        <v>40</v>
      </c>
      <c r="C3086" s="41" t="s">
        <v>794</v>
      </c>
      <c r="D3086" s="108" t="s">
        <v>1866</v>
      </c>
      <c r="E3086" s="58">
        <v>18016.129032258064</v>
      </c>
      <c r="F3086" s="58"/>
      <c r="G3086" s="58">
        <f t="shared" si="52"/>
        <v>-18016.129032258064</v>
      </c>
      <c r="H3086" s="114" t="s">
        <v>2438</v>
      </c>
    </row>
    <row r="3087" spans="1:8" ht="15" customHeight="1" x14ac:dyDescent="0.25">
      <c r="A3087" s="597">
        <v>42891</v>
      </c>
      <c r="B3087" s="41" t="s">
        <v>40</v>
      </c>
      <c r="C3087" s="41" t="s">
        <v>794</v>
      </c>
      <c r="D3087" s="108" t="s">
        <v>1873</v>
      </c>
      <c r="E3087" s="58">
        <v>10201.612903225805</v>
      </c>
      <c r="F3087" s="58"/>
      <c r="G3087" s="58">
        <f t="shared" si="52"/>
        <v>-10201.612903225805</v>
      </c>
      <c r="H3087" s="114" t="s">
        <v>2438</v>
      </c>
    </row>
    <row r="3088" spans="1:8" ht="15" customHeight="1" x14ac:dyDescent="0.25">
      <c r="A3088" s="597">
        <v>42891</v>
      </c>
      <c r="B3088" s="41" t="s">
        <v>2094</v>
      </c>
      <c r="C3088" s="41" t="s">
        <v>794</v>
      </c>
      <c r="D3088" s="108" t="s">
        <v>1863</v>
      </c>
      <c r="E3088" s="58">
        <v>17616.93548387097</v>
      </c>
      <c r="F3088" s="58"/>
      <c r="G3088" s="58">
        <f t="shared" si="52"/>
        <v>-17616.93548387097</v>
      </c>
      <c r="H3088" s="114" t="s">
        <v>2438</v>
      </c>
    </row>
    <row r="3089" spans="1:8" ht="15" customHeight="1" x14ac:dyDescent="0.25">
      <c r="A3089" s="597">
        <v>42891</v>
      </c>
      <c r="B3089" s="41" t="s">
        <v>2094</v>
      </c>
      <c r="C3089" s="41" t="s">
        <v>794</v>
      </c>
      <c r="D3089" s="108" t="s">
        <v>1864</v>
      </c>
      <c r="E3089" s="58">
        <v>28193.548387096773</v>
      </c>
      <c r="F3089" s="58"/>
      <c r="G3089" s="58">
        <f t="shared" si="52"/>
        <v>-28193.548387096773</v>
      </c>
      <c r="H3089" s="114" t="s">
        <v>2438</v>
      </c>
    </row>
    <row r="3090" spans="1:8" ht="15" customHeight="1" x14ac:dyDescent="0.25">
      <c r="A3090" s="597">
        <v>42891</v>
      </c>
      <c r="B3090" s="41" t="s">
        <v>2094</v>
      </c>
      <c r="C3090" s="41" t="s">
        <v>794</v>
      </c>
      <c r="D3090" s="108" t="s">
        <v>1862</v>
      </c>
      <c r="E3090" s="58">
        <v>20325.604838709678</v>
      </c>
      <c r="F3090" s="58"/>
      <c r="G3090" s="58">
        <f t="shared" si="52"/>
        <v>-20325.604838709678</v>
      </c>
      <c r="H3090" s="114" t="s">
        <v>2438</v>
      </c>
    </row>
    <row r="3091" spans="1:8" ht="15" customHeight="1" x14ac:dyDescent="0.25">
      <c r="A3091" s="597">
        <v>42891</v>
      </c>
      <c r="B3091" s="41" t="s">
        <v>2094</v>
      </c>
      <c r="C3091" s="41" t="s">
        <v>794</v>
      </c>
      <c r="D3091" s="108" t="s">
        <v>1865</v>
      </c>
      <c r="E3091" s="58">
        <v>8967.7419354838712</v>
      </c>
      <c r="F3091" s="58"/>
      <c r="G3091" s="58">
        <f t="shared" si="52"/>
        <v>-8967.7419354838712</v>
      </c>
      <c r="H3091" s="114" t="s">
        <v>2438</v>
      </c>
    </row>
    <row r="3092" spans="1:8" ht="15" customHeight="1" x14ac:dyDescent="0.25">
      <c r="A3092" s="597">
        <v>42891</v>
      </c>
      <c r="B3092" s="41" t="s">
        <v>2094</v>
      </c>
      <c r="C3092" s="41" t="s">
        <v>794</v>
      </c>
      <c r="D3092" s="108" t="s">
        <v>2484</v>
      </c>
      <c r="E3092" s="58">
        <v>11322.580645161292</v>
      </c>
      <c r="F3092" s="58"/>
      <c r="G3092" s="58">
        <f t="shared" si="52"/>
        <v>-11322.580645161292</v>
      </c>
      <c r="H3092" s="114" t="s">
        <v>2438</v>
      </c>
    </row>
    <row r="3093" spans="1:8" ht="15" customHeight="1" x14ac:dyDescent="0.25">
      <c r="A3093" s="597">
        <v>42891</v>
      </c>
      <c r="B3093" s="41" t="s">
        <v>37</v>
      </c>
      <c r="C3093" s="41" t="s">
        <v>794</v>
      </c>
      <c r="D3093" s="108" t="s">
        <v>1857</v>
      </c>
      <c r="E3093" s="58">
        <v>7943.5483870967746</v>
      </c>
      <c r="F3093" s="58"/>
      <c r="G3093" s="58">
        <f t="shared" si="52"/>
        <v>-7943.5483870967746</v>
      </c>
      <c r="H3093" s="114" t="s">
        <v>2438</v>
      </c>
    </row>
    <row r="3094" spans="1:8" ht="15" customHeight="1" x14ac:dyDescent="0.25">
      <c r="A3094" s="597">
        <v>42891</v>
      </c>
      <c r="B3094" s="41" t="s">
        <v>37</v>
      </c>
      <c r="C3094" s="41" t="s">
        <v>794</v>
      </c>
      <c r="D3094" s="108" t="s">
        <v>1867</v>
      </c>
      <c r="E3094" s="58">
        <v>12814.516129032258</v>
      </c>
      <c r="F3094" s="58"/>
      <c r="G3094" s="58">
        <f t="shared" si="52"/>
        <v>-12814.516129032258</v>
      </c>
      <c r="H3094" s="114" t="s">
        <v>2438</v>
      </c>
    </row>
    <row r="3095" spans="1:8" ht="15" customHeight="1" x14ac:dyDescent="0.25">
      <c r="A3095" s="597">
        <v>42891</v>
      </c>
      <c r="B3095" s="41" t="s">
        <v>37</v>
      </c>
      <c r="C3095" s="41" t="s">
        <v>794</v>
      </c>
      <c r="D3095" s="108" t="s">
        <v>1868</v>
      </c>
      <c r="E3095" s="58">
        <v>16330.645161290322</v>
      </c>
      <c r="F3095" s="58"/>
      <c r="G3095" s="58">
        <f t="shared" si="52"/>
        <v>-16330.645161290322</v>
      </c>
      <c r="H3095" s="114" t="s">
        <v>2438</v>
      </c>
    </row>
    <row r="3096" spans="1:8" ht="15" customHeight="1" x14ac:dyDescent="0.25">
      <c r="A3096" s="597">
        <v>42891</v>
      </c>
      <c r="B3096" s="41" t="s">
        <v>37</v>
      </c>
      <c r="C3096" s="41" t="s">
        <v>794</v>
      </c>
      <c r="D3096" s="108" t="s">
        <v>2285</v>
      </c>
      <c r="E3096" s="58">
        <v>6008.0645161290322</v>
      </c>
      <c r="F3096" s="58"/>
      <c r="G3096" s="58">
        <f t="shared" si="52"/>
        <v>-6008.0645161290322</v>
      </c>
      <c r="H3096" s="114" t="s">
        <v>2438</v>
      </c>
    </row>
    <row r="3097" spans="1:8" ht="15" customHeight="1" x14ac:dyDescent="0.25">
      <c r="A3097" s="597">
        <v>42891</v>
      </c>
      <c r="B3097" s="41" t="s">
        <v>37</v>
      </c>
      <c r="C3097" s="41" t="s">
        <v>794</v>
      </c>
      <c r="D3097" s="108" t="s">
        <v>1575</v>
      </c>
      <c r="E3097" s="58">
        <v>10564.516129032258</v>
      </c>
      <c r="F3097" s="58"/>
      <c r="G3097" s="58">
        <f t="shared" si="52"/>
        <v>-10564.516129032258</v>
      </c>
      <c r="H3097" s="114" t="s">
        <v>2438</v>
      </c>
    </row>
    <row r="3098" spans="1:8" ht="15" customHeight="1" x14ac:dyDescent="0.25">
      <c r="A3098" s="597">
        <v>42891</v>
      </c>
      <c r="B3098" s="41" t="s">
        <v>2094</v>
      </c>
      <c r="C3098" s="41" t="s">
        <v>794</v>
      </c>
      <c r="D3098" s="108" t="s">
        <v>2532</v>
      </c>
      <c r="E3098" s="58">
        <v>7741.9354838709678</v>
      </c>
      <c r="F3098" s="58"/>
      <c r="G3098" s="58">
        <f t="shared" si="52"/>
        <v>-7741.9354838709678</v>
      </c>
      <c r="H3098" s="114" t="s">
        <v>2438</v>
      </c>
    </row>
    <row r="3099" spans="1:8" ht="15" customHeight="1" x14ac:dyDescent="0.25">
      <c r="A3099" s="597">
        <v>42891</v>
      </c>
      <c r="B3099" s="41" t="s">
        <v>2094</v>
      </c>
      <c r="C3099" s="41" t="s">
        <v>794</v>
      </c>
      <c r="D3099" s="108" t="s">
        <v>2533</v>
      </c>
      <c r="E3099" s="58">
        <v>8129.0322580645161</v>
      </c>
      <c r="F3099" s="58"/>
      <c r="G3099" s="58">
        <f t="shared" si="52"/>
        <v>-8129.0322580645161</v>
      </c>
      <c r="H3099" s="114" t="s">
        <v>2438</v>
      </c>
    </row>
    <row r="3100" spans="1:8" ht="15" customHeight="1" x14ac:dyDescent="0.25">
      <c r="A3100" s="597">
        <v>42891</v>
      </c>
      <c r="B3100" s="41" t="s">
        <v>2094</v>
      </c>
      <c r="C3100" s="41" t="s">
        <v>794</v>
      </c>
      <c r="D3100" s="108" t="s">
        <v>1742</v>
      </c>
      <c r="E3100" s="58">
        <v>12701.612903225807</v>
      </c>
      <c r="F3100" s="58"/>
      <c r="G3100" s="58">
        <f t="shared" si="52"/>
        <v>-12701.612903225807</v>
      </c>
      <c r="H3100" s="114" t="s">
        <v>2438</v>
      </c>
    </row>
    <row r="3101" spans="1:8" ht="15" customHeight="1" x14ac:dyDescent="0.25">
      <c r="A3101" s="597">
        <v>42891</v>
      </c>
      <c r="B3101" s="41" t="s">
        <v>2094</v>
      </c>
      <c r="C3101" s="41" t="s">
        <v>794</v>
      </c>
      <c r="D3101" s="108" t="s">
        <v>2534</v>
      </c>
      <c r="E3101" s="58">
        <v>14967.741935483871</v>
      </c>
      <c r="F3101" s="58"/>
      <c r="G3101" s="58">
        <f t="shared" si="52"/>
        <v>-14967.741935483871</v>
      </c>
      <c r="H3101" s="114" t="s">
        <v>2438</v>
      </c>
    </row>
    <row r="3102" spans="1:8" ht="15" customHeight="1" x14ac:dyDescent="0.25">
      <c r="A3102" s="597">
        <v>42891</v>
      </c>
      <c r="B3102" s="41" t="s">
        <v>2094</v>
      </c>
      <c r="C3102" s="41" t="s">
        <v>794</v>
      </c>
      <c r="D3102" s="108" t="s">
        <v>1240</v>
      </c>
      <c r="E3102" s="58">
        <v>5322.5806451612898</v>
      </c>
      <c r="F3102" s="58"/>
      <c r="G3102" s="58">
        <f t="shared" si="52"/>
        <v>-5322.5806451612898</v>
      </c>
      <c r="H3102" s="114" t="s">
        <v>2438</v>
      </c>
    </row>
    <row r="3103" spans="1:8" ht="15" customHeight="1" x14ac:dyDescent="0.25">
      <c r="A3103" s="597">
        <v>42891</v>
      </c>
      <c r="B3103" s="41" t="s">
        <v>16</v>
      </c>
      <c r="C3103" s="41" t="s">
        <v>1409</v>
      </c>
      <c r="D3103" s="108" t="s">
        <v>773</v>
      </c>
      <c r="E3103" s="58">
        <v>2000</v>
      </c>
      <c r="F3103" s="58"/>
      <c r="G3103" s="58">
        <f t="shared" si="52"/>
        <v>-2000</v>
      </c>
      <c r="H3103" s="114" t="s">
        <v>2438</v>
      </c>
    </row>
    <row r="3104" spans="1:8" ht="15" customHeight="1" x14ac:dyDescent="0.25">
      <c r="A3104" s="597">
        <v>42891</v>
      </c>
      <c r="B3104" s="41" t="s">
        <v>16</v>
      </c>
      <c r="C3104" s="41" t="s">
        <v>1409</v>
      </c>
      <c r="D3104" s="108" t="s">
        <v>1549</v>
      </c>
      <c r="E3104" s="58">
        <v>3000</v>
      </c>
      <c r="F3104" s="58"/>
      <c r="G3104" s="58">
        <f t="shared" si="52"/>
        <v>-3000</v>
      </c>
      <c r="H3104" s="114" t="s">
        <v>2438</v>
      </c>
    </row>
    <row r="3105" spans="1:8" ht="15" customHeight="1" x14ac:dyDescent="0.25">
      <c r="A3105" s="597">
        <v>42891</v>
      </c>
      <c r="B3105" s="41" t="s">
        <v>1400</v>
      </c>
      <c r="C3105" s="41" t="s">
        <v>1409</v>
      </c>
      <c r="D3105" s="108" t="s">
        <v>2485</v>
      </c>
      <c r="E3105" s="58">
        <v>3000</v>
      </c>
      <c r="F3105" s="58"/>
      <c r="G3105" s="58">
        <f t="shared" si="52"/>
        <v>-3000</v>
      </c>
      <c r="H3105" s="114" t="s">
        <v>2438</v>
      </c>
    </row>
    <row r="3106" spans="1:8" ht="15" customHeight="1" x14ac:dyDescent="0.25">
      <c r="A3106" s="597">
        <v>42891</v>
      </c>
      <c r="B3106" s="41" t="s">
        <v>1400</v>
      </c>
      <c r="C3106" s="41" t="s">
        <v>1409</v>
      </c>
      <c r="D3106" s="108" t="s">
        <v>2535</v>
      </c>
      <c r="E3106" s="58">
        <v>3000</v>
      </c>
      <c r="F3106" s="58"/>
      <c r="G3106" s="58">
        <f t="shared" si="52"/>
        <v>-3000</v>
      </c>
      <c r="H3106" s="114" t="s">
        <v>2438</v>
      </c>
    </row>
    <row r="3107" spans="1:8" ht="15" customHeight="1" x14ac:dyDescent="0.25">
      <c r="A3107" s="597">
        <v>42891</v>
      </c>
      <c r="B3107" s="41" t="s">
        <v>1400</v>
      </c>
      <c r="C3107" s="41" t="s">
        <v>1409</v>
      </c>
      <c r="D3107" s="108" t="s">
        <v>2536</v>
      </c>
      <c r="E3107" s="58">
        <v>700</v>
      </c>
      <c r="F3107" s="58"/>
      <c r="G3107" s="58">
        <f t="shared" si="52"/>
        <v>-700</v>
      </c>
      <c r="H3107" s="114" t="s">
        <v>2438</v>
      </c>
    </row>
    <row r="3108" spans="1:8" ht="15" customHeight="1" x14ac:dyDescent="0.25">
      <c r="A3108" s="597">
        <v>42891</v>
      </c>
      <c r="B3108" s="41" t="s">
        <v>1400</v>
      </c>
      <c r="C3108" s="41" t="s">
        <v>1409</v>
      </c>
      <c r="D3108" s="108" t="s">
        <v>309</v>
      </c>
      <c r="E3108" s="58">
        <v>500</v>
      </c>
      <c r="F3108" s="58"/>
      <c r="G3108" s="58">
        <f t="shared" si="52"/>
        <v>-500</v>
      </c>
      <c r="H3108" s="114" t="s">
        <v>2438</v>
      </c>
    </row>
    <row r="3109" spans="1:8" ht="15" customHeight="1" x14ac:dyDescent="0.25">
      <c r="A3109" s="597">
        <v>42891</v>
      </c>
      <c r="B3109" s="41" t="s">
        <v>2094</v>
      </c>
      <c r="C3109" s="41" t="s">
        <v>1409</v>
      </c>
      <c r="D3109" s="108" t="s">
        <v>450</v>
      </c>
      <c r="E3109" s="58">
        <v>20000</v>
      </c>
      <c r="F3109" s="58"/>
      <c r="G3109" s="58">
        <f t="shared" si="52"/>
        <v>-20000</v>
      </c>
      <c r="H3109" s="114" t="s">
        <v>2438</v>
      </c>
    </row>
    <row r="3110" spans="1:8" ht="15" customHeight="1" x14ac:dyDescent="0.25">
      <c r="A3110" s="597">
        <v>42891</v>
      </c>
      <c r="B3110" s="41" t="s">
        <v>2094</v>
      </c>
      <c r="C3110" s="41" t="s">
        <v>1409</v>
      </c>
      <c r="D3110" s="108" t="s">
        <v>149</v>
      </c>
      <c r="E3110" s="58">
        <v>5000</v>
      </c>
      <c r="F3110" s="58"/>
      <c r="G3110" s="58">
        <f t="shared" si="52"/>
        <v>-5000</v>
      </c>
      <c r="H3110" s="114" t="s">
        <v>2438</v>
      </c>
    </row>
    <row r="3111" spans="1:8" ht="15" customHeight="1" x14ac:dyDescent="0.25">
      <c r="A3111" s="597">
        <v>42891</v>
      </c>
      <c r="B3111" s="41" t="s">
        <v>2094</v>
      </c>
      <c r="C3111" s="41" t="s">
        <v>1409</v>
      </c>
      <c r="D3111" s="108" t="s">
        <v>1476</v>
      </c>
      <c r="E3111" s="58">
        <v>1000</v>
      </c>
      <c r="F3111" s="58"/>
      <c r="G3111" s="58">
        <f t="shared" si="52"/>
        <v>-1000</v>
      </c>
      <c r="H3111" s="114" t="s">
        <v>2438</v>
      </c>
    </row>
    <row r="3112" spans="1:8" ht="15" customHeight="1" x14ac:dyDescent="0.25">
      <c r="A3112" s="597">
        <v>42891</v>
      </c>
      <c r="B3112" s="41" t="s">
        <v>2094</v>
      </c>
      <c r="C3112" s="41" t="s">
        <v>1409</v>
      </c>
      <c r="D3112" s="108" t="s">
        <v>454</v>
      </c>
      <c r="E3112" s="58">
        <v>5000</v>
      </c>
      <c r="F3112" s="58"/>
      <c r="G3112" s="58">
        <f t="shared" si="52"/>
        <v>-5000</v>
      </c>
      <c r="H3112" s="114" t="s">
        <v>2438</v>
      </c>
    </row>
    <row r="3113" spans="1:8" ht="15" customHeight="1" x14ac:dyDescent="0.25">
      <c r="A3113" s="597">
        <v>42891</v>
      </c>
      <c r="B3113" s="41" t="s">
        <v>37</v>
      </c>
      <c r="C3113" s="41" t="s">
        <v>1409</v>
      </c>
      <c r="D3113" s="108" t="s">
        <v>195</v>
      </c>
      <c r="E3113" s="58">
        <v>5000</v>
      </c>
      <c r="F3113" s="58"/>
      <c r="G3113" s="58">
        <f t="shared" si="52"/>
        <v>-5000</v>
      </c>
      <c r="H3113" s="114" t="s">
        <v>2438</v>
      </c>
    </row>
    <row r="3114" spans="1:8" ht="15" customHeight="1" x14ac:dyDescent="0.25">
      <c r="A3114" s="597">
        <v>42891</v>
      </c>
      <c r="B3114" s="41" t="s">
        <v>37</v>
      </c>
      <c r="C3114" s="41" t="s">
        <v>1409</v>
      </c>
      <c r="D3114" s="108" t="s">
        <v>194</v>
      </c>
      <c r="E3114" s="58">
        <v>5000</v>
      </c>
      <c r="F3114" s="58"/>
      <c r="G3114" s="58">
        <f t="shared" si="52"/>
        <v>-5000</v>
      </c>
      <c r="H3114" s="114" t="s">
        <v>2438</v>
      </c>
    </row>
    <row r="3115" spans="1:8" ht="15" customHeight="1" x14ac:dyDescent="0.25">
      <c r="A3115" s="597">
        <v>42891</v>
      </c>
      <c r="B3115" s="41" t="s">
        <v>37</v>
      </c>
      <c r="C3115" s="41" t="s">
        <v>1409</v>
      </c>
      <c r="D3115" s="108" t="s">
        <v>2285</v>
      </c>
      <c r="E3115" s="58">
        <v>5000</v>
      </c>
      <c r="F3115" s="58"/>
      <c r="G3115" s="58">
        <f t="shared" si="52"/>
        <v>-5000</v>
      </c>
      <c r="H3115" s="114" t="s">
        <v>2438</v>
      </c>
    </row>
    <row r="3116" spans="1:8" ht="15" customHeight="1" x14ac:dyDescent="0.25">
      <c r="A3116" s="597">
        <v>42887</v>
      </c>
      <c r="B3116" s="41" t="s">
        <v>16</v>
      </c>
      <c r="C3116" s="41" t="s">
        <v>2487</v>
      </c>
      <c r="D3116" s="108" t="s">
        <v>2488</v>
      </c>
      <c r="E3116" s="58">
        <v>2200</v>
      </c>
      <c r="F3116" s="58"/>
      <c r="G3116" s="58">
        <f t="shared" si="52"/>
        <v>-2200</v>
      </c>
      <c r="H3116" s="114" t="s">
        <v>2438</v>
      </c>
    </row>
    <row r="3117" spans="1:8" ht="15" customHeight="1" x14ac:dyDescent="0.25">
      <c r="A3117" s="597">
        <v>42887</v>
      </c>
      <c r="B3117" s="41" t="s">
        <v>2094</v>
      </c>
      <c r="C3117" s="41" t="s">
        <v>63</v>
      </c>
      <c r="D3117" s="108" t="s">
        <v>286</v>
      </c>
      <c r="E3117" s="58">
        <v>100</v>
      </c>
      <c r="F3117" s="58"/>
      <c r="G3117" s="58">
        <f t="shared" si="52"/>
        <v>-100</v>
      </c>
      <c r="H3117" s="114" t="s">
        <v>2438</v>
      </c>
    </row>
    <row r="3118" spans="1:8" ht="15" customHeight="1" x14ac:dyDescent="0.25">
      <c r="A3118" s="597">
        <v>42889</v>
      </c>
      <c r="B3118" s="41" t="s">
        <v>2094</v>
      </c>
      <c r="C3118" s="41" t="s">
        <v>149</v>
      </c>
      <c r="D3118" s="108" t="s">
        <v>2489</v>
      </c>
      <c r="E3118" s="58">
        <v>1820</v>
      </c>
      <c r="F3118" s="58"/>
      <c r="G3118" s="58">
        <f t="shared" si="52"/>
        <v>-1820</v>
      </c>
      <c r="H3118" s="114" t="s">
        <v>2438</v>
      </c>
    </row>
    <row r="3119" spans="1:8" ht="15" customHeight="1" x14ac:dyDescent="0.25">
      <c r="A3119" s="597">
        <v>42889</v>
      </c>
      <c r="B3119" s="41" t="s">
        <v>2094</v>
      </c>
      <c r="C3119" s="41" t="s">
        <v>450</v>
      </c>
      <c r="D3119" s="108" t="s">
        <v>2489</v>
      </c>
      <c r="E3119" s="58">
        <v>680</v>
      </c>
      <c r="F3119" s="58"/>
      <c r="G3119" s="58">
        <f t="shared" si="52"/>
        <v>-680</v>
      </c>
      <c r="H3119" s="114" t="s">
        <v>2438</v>
      </c>
    </row>
    <row r="3120" spans="1:8" ht="15" customHeight="1" x14ac:dyDescent="0.25">
      <c r="A3120" s="597">
        <v>42891</v>
      </c>
      <c r="B3120" s="41" t="s">
        <v>16</v>
      </c>
      <c r="C3120" s="41" t="s">
        <v>220</v>
      </c>
      <c r="D3120" s="108" t="s">
        <v>2490</v>
      </c>
      <c r="E3120" s="58">
        <v>2000</v>
      </c>
      <c r="F3120" s="58"/>
      <c r="G3120" s="58">
        <f t="shared" si="52"/>
        <v>-2000</v>
      </c>
      <c r="H3120" s="114" t="s">
        <v>2438</v>
      </c>
    </row>
    <row r="3121" spans="1:8" ht="15" customHeight="1" x14ac:dyDescent="0.25">
      <c r="A3121" s="597">
        <v>42891</v>
      </c>
      <c r="B3121" s="41" t="s">
        <v>16</v>
      </c>
      <c r="C3121" s="41" t="s">
        <v>208</v>
      </c>
      <c r="D3121" s="108" t="s">
        <v>2491</v>
      </c>
      <c r="E3121" s="58">
        <v>680</v>
      </c>
      <c r="F3121" s="58"/>
      <c r="G3121" s="58">
        <f t="shared" si="52"/>
        <v>-680</v>
      </c>
      <c r="H3121" s="114" t="s">
        <v>2438</v>
      </c>
    </row>
    <row r="3122" spans="1:8" ht="24.75" customHeight="1" x14ac:dyDescent="0.25">
      <c r="A3122" s="597">
        <v>42892</v>
      </c>
      <c r="B3122" s="41" t="s">
        <v>16</v>
      </c>
      <c r="C3122" s="41" t="s">
        <v>2212</v>
      </c>
      <c r="D3122" s="129" t="s">
        <v>2492</v>
      </c>
      <c r="E3122" s="58">
        <v>520</v>
      </c>
      <c r="F3122" s="58"/>
      <c r="G3122" s="58">
        <f t="shared" si="52"/>
        <v>-520</v>
      </c>
      <c r="H3122" s="114" t="s">
        <v>2438</v>
      </c>
    </row>
    <row r="3123" spans="1:8" ht="15" customHeight="1" x14ac:dyDescent="0.25">
      <c r="A3123" s="597">
        <v>42892</v>
      </c>
      <c r="B3123" s="41" t="s">
        <v>16</v>
      </c>
      <c r="C3123" s="41" t="s">
        <v>2212</v>
      </c>
      <c r="D3123" s="108" t="s">
        <v>2493</v>
      </c>
      <c r="E3123" s="58">
        <v>2400</v>
      </c>
      <c r="F3123" s="58"/>
      <c r="G3123" s="58">
        <f t="shared" si="52"/>
        <v>-2400</v>
      </c>
      <c r="H3123" s="114" t="s">
        <v>2438</v>
      </c>
    </row>
    <row r="3124" spans="1:8" ht="15" customHeight="1" x14ac:dyDescent="0.25">
      <c r="A3124" s="597">
        <v>42892</v>
      </c>
      <c r="B3124" s="41" t="s">
        <v>1400</v>
      </c>
      <c r="C3124" s="41" t="s">
        <v>1704</v>
      </c>
      <c r="D3124" s="108" t="s">
        <v>1410</v>
      </c>
      <c r="E3124" s="58">
        <v>970</v>
      </c>
      <c r="F3124" s="58"/>
      <c r="G3124" s="58">
        <f t="shared" si="52"/>
        <v>-970</v>
      </c>
      <c r="H3124" s="114" t="s">
        <v>2438</v>
      </c>
    </row>
    <row r="3125" spans="1:8" ht="15" customHeight="1" x14ac:dyDescent="0.25">
      <c r="A3125" s="597">
        <v>42893</v>
      </c>
      <c r="B3125" s="41" t="s">
        <v>18</v>
      </c>
      <c r="C3125" s="41" t="s">
        <v>668</v>
      </c>
      <c r="D3125" s="108" t="s">
        <v>2494</v>
      </c>
      <c r="E3125" s="58">
        <v>552</v>
      </c>
      <c r="F3125" s="58"/>
      <c r="G3125" s="58">
        <f t="shared" si="52"/>
        <v>-552</v>
      </c>
      <c r="H3125" s="114" t="s">
        <v>2438</v>
      </c>
    </row>
    <row r="3126" spans="1:8" ht="15" customHeight="1" x14ac:dyDescent="0.25">
      <c r="A3126" s="597">
        <v>42893</v>
      </c>
      <c r="B3126" s="41" t="s">
        <v>25</v>
      </c>
      <c r="C3126" s="41" t="s">
        <v>1894</v>
      </c>
      <c r="D3126" s="108" t="s">
        <v>2495</v>
      </c>
      <c r="E3126" s="58">
        <v>22000</v>
      </c>
      <c r="F3126" s="58"/>
      <c r="G3126" s="58">
        <f t="shared" si="52"/>
        <v>-22000</v>
      </c>
      <c r="H3126" s="114" t="s">
        <v>2438</v>
      </c>
    </row>
    <row r="3127" spans="1:8" ht="24.75" customHeight="1" x14ac:dyDescent="0.25">
      <c r="A3127" s="597">
        <v>42893</v>
      </c>
      <c r="B3127" s="41" t="s">
        <v>40</v>
      </c>
      <c r="C3127" s="41" t="s">
        <v>325</v>
      </c>
      <c r="D3127" s="129" t="s">
        <v>2496</v>
      </c>
      <c r="E3127" s="58">
        <v>3909</v>
      </c>
      <c r="F3127" s="58"/>
      <c r="G3127" s="58">
        <f t="shared" si="52"/>
        <v>-3909</v>
      </c>
      <c r="H3127" s="114" t="s">
        <v>2438</v>
      </c>
    </row>
    <row r="3128" spans="1:8" ht="15" customHeight="1" x14ac:dyDescent="0.25">
      <c r="A3128" s="597">
        <v>42893</v>
      </c>
      <c r="B3128" s="41" t="s">
        <v>2094</v>
      </c>
      <c r="C3128" s="41" t="s">
        <v>149</v>
      </c>
      <c r="D3128" s="108" t="s">
        <v>2497</v>
      </c>
      <c r="E3128" s="58">
        <v>490</v>
      </c>
      <c r="F3128" s="58"/>
      <c r="G3128" s="58">
        <f t="shared" si="52"/>
        <v>-490</v>
      </c>
      <c r="H3128" s="114" t="s">
        <v>2438</v>
      </c>
    </row>
    <row r="3129" spans="1:8" ht="15" customHeight="1" x14ac:dyDescent="0.25">
      <c r="A3129" s="597">
        <v>42893</v>
      </c>
      <c r="B3129" s="41" t="s">
        <v>2094</v>
      </c>
      <c r="C3129" s="41" t="s">
        <v>773</v>
      </c>
      <c r="D3129" s="108" t="s">
        <v>2498</v>
      </c>
      <c r="E3129" s="58">
        <v>250</v>
      </c>
      <c r="F3129" s="58"/>
      <c r="G3129" s="58">
        <f t="shared" si="52"/>
        <v>-250</v>
      </c>
      <c r="H3129" s="114" t="s">
        <v>2438</v>
      </c>
    </row>
    <row r="3130" spans="1:8" ht="15" customHeight="1" x14ac:dyDescent="0.25">
      <c r="A3130" s="597">
        <v>42893</v>
      </c>
      <c r="B3130" s="41" t="s">
        <v>1400</v>
      </c>
      <c r="C3130" s="41" t="s">
        <v>773</v>
      </c>
      <c r="D3130" s="108" t="s">
        <v>2498</v>
      </c>
      <c r="E3130" s="58">
        <v>150</v>
      </c>
      <c r="F3130" s="58"/>
      <c r="G3130" s="58">
        <f t="shared" si="52"/>
        <v>-150</v>
      </c>
      <c r="H3130" s="114" t="s">
        <v>2438</v>
      </c>
    </row>
    <row r="3131" spans="1:8" ht="15" customHeight="1" x14ac:dyDescent="0.25">
      <c r="A3131" s="597">
        <v>42893</v>
      </c>
      <c r="B3131" s="41" t="s">
        <v>37</v>
      </c>
      <c r="C3131" s="41" t="s">
        <v>111</v>
      </c>
      <c r="D3131" s="108" t="s">
        <v>2499</v>
      </c>
      <c r="E3131" s="58">
        <v>2650</v>
      </c>
      <c r="F3131" s="58"/>
      <c r="G3131" s="58">
        <f t="shared" si="52"/>
        <v>-2650</v>
      </c>
      <c r="H3131" s="114" t="s">
        <v>2438</v>
      </c>
    </row>
    <row r="3132" spans="1:8" ht="15" customHeight="1" x14ac:dyDescent="0.25">
      <c r="A3132" s="597">
        <v>42893</v>
      </c>
      <c r="B3132" s="41" t="s">
        <v>37</v>
      </c>
      <c r="C3132" s="41" t="s">
        <v>111</v>
      </c>
      <c r="D3132" s="108" t="s">
        <v>2499</v>
      </c>
      <c r="E3132" s="58">
        <v>1555</v>
      </c>
      <c r="F3132" s="58"/>
      <c r="G3132" s="58">
        <f t="shared" si="52"/>
        <v>-1555</v>
      </c>
      <c r="H3132" s="114" t="s">
        <v>2438</v>
      </c>
    </row>
    <row r="3133" spans="1:8" ht="15" customHeight="1" x14ac:dyDescent="0.25">
      <c r="A3133" s="597">
        <v>42893</v>
      </c>
      <c r="B3133" s="41" t="s">
        <v>2094</v>
      </c>
      <c r="C3133" s="41" t="s">
        <v>63</v>
      </c>
      <c r="D3133" s="108" t="s">
        <v>2500</v>
      </c>
      <c r="E3133" s="58">
        <v>340</v>
      </c>
      <c r="F3133" s="58"/>
      <c r="G3133" s="58">
        <f t="shared" si="52"/>
        <v>-340</v>
      </c>
      <c r="H3133" s="114" t="s">
        <v>2438</v>
      </c>
    </row>
    <row r="3134" spans="1:8" ht="15" customHeight="1" x14ac:dyDescent="0.25">
      <c r="A3134" s="597">
        <v>42894</v>
      </c>
      <c r="B3134" s="41" t="s">
        <v>25</v>
      </c>
      <c r="C3134" s="41" t="s">
        <v>256</v>
      </c>
      <c r="D3134" s="108" t="s">
        <v>2360</v>
      </c>
      <c r="E3134" s="58">
        <v>560</v>
      </c>
      <c r="F3134" s="58"/>
      <c r="G3134" s="58">
        <f t="shared" si="52"/>
        <v>-560</v>
      </c>
      <c r="H3134" s="114" t="s">
        <v>2438</v>
      </c>
    </row>
    <row r="3135" spans="1:8" ht="15" customHeight="1" x14ac:dyDescent="0.25">
      <c r="A3135" s="597">
        <v>42895</v>
      </c>
      <c r="B3135" s="41" t="s">
        <v>2094</v>
      </c>
      <c r="C3135" s="41" t="s">
        <v>63</v>
      </c>
      <c r="D3135" s="108" t="s">
        <v>2501</v>
      </c>
      <c r="E3135" s="58">
        <v>560</v>
      </c>
      <c r="F3135" s="58"/>
      <c r="G3135" s="58">
        <f t="shared" si="52"/>
        <v>-560</v>
      </c>
      <c r="H3135" s="114" t="s">
        <v>2438</v>
      </c>
    </row>
    <row r="3136" spans="1:8" ht="15" customHeight="1" x14ac:dyDescent="0.25">
      <c r="A3136" s="597">
        <v>42895</v>
      </c>
      <c r="B3136" s="41" t="s">
        <v>2094</v>
      </c>
      <c r="C3136" s="41" t="s">
        <v>773</v>
      </c>
      <c r="D3136" s="129" t="s">
        <v>2502</v>
      </c>
      <c r="E3136" s="58">
        <v>3800</v>
      </c>
      <c r="F3136" s="58"/>
      <c r="G3136" s="58">
        <f t="shared" si="52"/>
        <v>-3800</v>
      </c>
      <c r="H3136" s="114" t="s">
        <v>2438</v>
      </c>
    </row>
    <row r="3137" spans="1:8" ht="15" customHeight="1" x14ac:dyDescent="0.25">
      <c r="A3137" s="597">
        <v>42896</v>
      </c>
      <c r="B3137" s="41" t="s">
        <v>37</v>
      </c>
      <c r="C3137" s="41" t="s">
        <v>2503</v>
      </c>
      <c r="D3137" s="129" t="s">
        <v>2504</v>
      </c>
      <c r="E3137" s="58">
        <v>2000</v>
      </c>
      <c r="F3137" s="58"/>
      <c r="G3137" s="58">
        <f t="shared" si="52"/>
        <v>-2000</v>
      </c>
      <c r="H3137" s="114" t="s">
        <v>2438</v>
      </c>
    </row>
    <row r="3138" spans="1:8" ht="24.75" customHeight="1" x14ac:dyDescent="0.25">
      <c r="A3138" s="597">
        <v>42896</v>
      </c>
      <c r="B3138" s="41" t="s">
        <v>1400</v>
      </c>
      <c r="C3138" s="41" t="s">
        <v>64</v>
      </c>
      <c r="D3138" s="129" t="s">
        <v>2505</v>
      </c>
      <c r="E3138" s="58">
        <v>22082</v>
      </c>
      <c r="F3138" s="58"/>
      <c r="G3138" s="58">
        <f t="shared" si="52"/>
        <v>-22082</v>
      </c>
      <c r="H3138" s="114" t="s">
        <v>2438</v>
      </c>
    </row>
    <row r="3139" spans="1:8" ht="15" customHeight="1" x14ac:dyDescent="0.25">
      <c r="A3139" s="597">
        <v>42896</v>
      </c>
      <c r="B3139" s="41" t="s">
        <v>1400</v>
      </c>
      <c r="C3139" s="41" t="s">
        <v>1704</v>
      </c>
      <c r="D3139" s="129" t="s">
        <v>1410</v>
      </c>
      <c r="E3139" s="58">
        <v>460</v>
      </c>
      <c r="F3139" s="58"/>
      <c r="G3139" s="58">
        <f t="shared" si="52"/>
        <v>-460</v>
      </c>
      <c r="H3139" s="114" t="s">
        <v>2438</v>
      </c>
    </row>
    <row r="3140" spans="1:8" ht="15" customHeight="1" x14ac:dyDescent="0.25">
      <c r="A3140" s="597">
        <v>42898</v>
      </c>
      <c r="B3140" s="41" t="s">
        <v>2094</v>
      </c>
      <c r="C3140" s="41" t="s">
        <v>2506</v>
      </c>
      <c r="D3140" s="129" t="s">
        <v>1756</v>
      </c>
      <c r="E3140" s="58">
        <v>200</v>
      </c>
      <c r="F3140" s="58"/>
      <c r="G3140" s="58">
        <f t="shared" si="52"/>
        <v>-200</v>
      </c>
      <c r="H3140" s="114" t="s">
        <v>2438</v>
      </c>
    </row>
    <row r="3141" spans="1:8" ht="15" customHeight="1" x14ac:dyDescent="0.25">
      <c r="A3141" s="597">
        <v>42898</v>
      </c>
      <c r="B3141" s="41" t="s">
        <v>40</v>
      </c>
      <c r="C3141" s="41" t="s">
        <v>325</v>
      </c>
      <c r="D3141" s="129" t="s">
        <v>2507</v>
      </c>
      <c r="E3141" s="58">
        <v>5000</v>
      </c>
      <c r="F3141" s="58"/>
      <c r="G3141" s="58">
        <f t="shared" si="52"/>
        <v>-5000</v>
      </c>
      <c r="H3141" s="114" t="s">
        <v>2438</v>
      </c>
    </row>
    <row r="3142" spans="1:8" ht="15" customHeight="1" x14ac:dyDescent="0.25">
      <c r="A3142" s="597">
        <v>42898</v>
      </c>
      <c r="B3142" s="41" t="s">
        <v>1400</v>
      </c>
      <c r="C3142" s="41" t="s">
        <v>64</v>
      </c>
      <c r="D3142" s="129" t="s">
        <v>286</v>
      </c>
      <c r="E3142" s="58">
        <v>500</v>
      </c>
      <c r="F3142" s="58"/>
      <c r="G3142" s="58">
        <f t="shared" si="52"/>
        <v>-500</v>
      </c>
      <c r="H3142" s="114" t="s">
        <v>2438</v>
      </c>
    </row>
    <row r="3143" spans="1:8" ht="15" customHeight="1" x14ac:dyDescent="0.25">
      <c r="A3143" s="597">
        <v>42899</v>
      </c>
      <c r="B3143" s="41" t="s">
        <v>1400</v>
      </c>
      <c r="C3143" s="41" t="s">
        <v>1704</v>
      </c>
      <c r="D3143" s="129" t="s">
        <v>1410</v>
      </c>
      <c r="E3143" s="58">
        <v>840</v>
      </c>
      <c r="F3143" s="58"/>
      <c r="G3143" s="58">
        <f t="shared" si="52"/>
        <v>-840</v>
      </c>
      <c r="H3143" s="114" t="s">
        <v>2438</v>
      </c>
    </row>
    <row r="3144" spans="1:8" ht="15" customHeight="1" x14ac:dyDescent="0.25">
      <c r="A3144" s="597">
        <v>42899</v>
      </c>
      <c r="B3144" s="41" t="s">
        <v>2094</v>
      </c>
      <c r="C3144" s="41" t="s">
        <v>220</v>
      </c>
      <c r="D3144" s="129" t="s">
        <v>2508</v>
      </c>
      <c r="E3144" s="58">
        <v>25500</v>
      </c>
      <c r="F3144" s="58"/>
      <c r="G3144" s="58">
        <f t="shared" si="52"/>
        <v>-25500</v>
      </c>
      <c r="H3144" s="114" t="s">
        <v>2438</v>
      </c>
    </row>
    <row r="3145" spans="1:8" ht="15" customHeight="1" x14ac:dyDescent="0.25">
      <c r="A3145" s="597">
        <v>42900</v>
      </c>
      <c r="B3145" s="41" t="s">
        <v>2094</v>
      </c>
      <c r="C3145" s="41" t="s">
        <v>63</v>
      </c>
      <c r="D3145" s="129" t="s">
        <v>1974</v>
      </c>
      <c r="E3145" s="58">
        <v>290</v>
      </c>
      <c r="F3145" s="58"/>
      <c r="G3145" s="58">
        <f t="shared" ref="G3145:G3208" si="53">F3145-E3145</f>
        <v>-290</v>
      </c>
      <c r="H3145" s="114" t="s">
        <v>2438</v>
      </c>
    </row>
    <row r="3146" spans="1:8" ht="15" customHeight="1" x14ac:dyDescent="0.25">
      <c r="A3146" s="597">
        <v>42900</v>
      </c>
      <c r="B3146" s="41" t="s">
        <v>16</v>
      </c>
      <c r="C3146" s="41" t="s">
        <v>1704</v>
      </c>
      <c r="D3146" s="129" t="s">
        <v>2509</v>
      </c>
      <c r="E3146" s="58">
        <v>600</v>
      </c>
      <c r="F3146" s="58"/>
      <c r="G3146" s="58">
        <f t="shared" si="53"/>
        <v>-600</v>
      </c>
      <c r="H3146" s="114" t="s">
        <v>2438</v>
      </c>
    </row>
    <row r="3147" spans="1:8" ht="15" customHeight="1" x14ac:dyDescent="0.25">
      <c r="A3147" s="597">
        <v>42900</v>
      </c>
      <c r="B3147" s="41" t="s">
        <v>25</v>
      </c>
      <c r="C3147" s="41" t="s">
        <v>1916</v>
      </c>
      <c r="D3147" s="129" t="s">
        <v>1756</v>
      </c>
      <c r="E3147" s="58">
        <v>500</v>
      </c>
      <c r="F3147" s="58"/>
      <c r="G3147" s="58">
        <f t="shared" si="53"/>
        <v>-500</v>
      </c>
      <c r="H3147" s="114" t="s">
        <v>2438</v>
      </c>
    </row>
    <row r="3148" spans="1:8" ht="15" customHeight="1" x14ac:dyDescent="0.25">
      <c r="A3148" s="597">
        <v>42902</v>
      </c>
      <c r="B3148" s="41" t="s">
        <v>2094</v>
      </c>
      <c r="C3148" s="41" t="s">
        <v>773</v>
      </c>
      <c r="D3148" s="129" t="s">
        <v>2360</v>
      </c>
      <c r="E3148" s="58">
        <v>150</v>
      </c>
      <c r="F3148" s="58"/>
      <c r="G3148" s="58">
        <f t="shared" si="53"/>
        <v>-150</v>
      </c>
      <c r="H3148" s="114" t="s">
        <v>2438</v>
      </c>
    </row>
    <row r="3149" spans="1:8" ht="15" customHeight="1" x14ac:dyDescent="0.25">
      <c r="A3149" s="597">
        <v>42902</v>
      </c>
      <c r="B3149" s="41" t="s">
        <v>2094</v>
      </c>
      <c r="C3149" s="41" t="s">
        <v>220</v>
      </c>
      <c r="D3149" s="129" t="s">
        <v>2510</v>
      </c>
      <c r="E3149" s="58">
        <v>475</v>
      </c>
      <c r="F3149" s="58"/>
      <c r="G3149" s="58">
        <f t="shared" si="53"/>
        <v>-475</v>
      </c>
      <c r="H3149" s="114" t="s">
        <v>2438</v>
      </c>
    </row>
    <row r="3150" spans="1:8" ht="15" customHeight="1" x14ac:dyDescent="0.25">
      <c r="A3150" s="597">
        <v>42902</v>
      </c>
      <c r="B3150" s="41" t="s">
        <v>1493</v>
      </c>
      <c r="C3150" s="41" t="s">
        <v>220</v>
      </c>
      <c r="D3150" s="129" t="s">
        <v>2511</v>
      </c>
      <c r="E3150" s="58">
        <v>500</v>
      </c>
      <c r="F3150" s="58"/>
      <c r="G3150" s="58">
        <f t="shared" si="53"/>
        <v>-500</v>
      </c>
      <c r="H3150" s="114" t="s">
        <v>2438</v>
      </c>
    </row>
    <row r="3151" spans="1:8" ht="15" customHeight="1" x14ac:dyDescent="0.25">
      <c r="A3151" s="597">
        <v>42902</v>
      </c>
      <c r="B3151" s="41" t="s">
        <v>2094</v>
      </c>
      <c r="C3151" s="41" t="s">
        <v>149</v>
      </c>
      <c r="D3151" s="129" t="s">
        <v>2512</v>
      </c>
      <c r="E3151" s="58">
        <v>3830</v>
      </c>
      <c r="F3151" s="58"/>
      <c r="G3151" s="58">
        <f t="shared" si="53"/>
        <v>-3830</v>
      </c>
      <c r="H3151" s="114" t="s">
        <v>2438</v>
      </c>
    </row>
    <row r="3152" spans="1:8" ht="15" customHeight="1" x14ac:dyDescent="0.25">
      <c r="A3152" s="597">
        <v>42902</v>
      </c>
      <c r="B3152" s="41" t="s">
        <v>2094</v>
      </c>
      <c r="C3152" s="41" t="s">
        <v>1894</v>
      </c>
      <c r="D3152" s="129" t="s">
        <v>286</v>
      </c>
      <c r="E3152" s="58">
        <v>2410</v>
      </c>
      <c r="F3152" s="58"/>
      <c r="G3152" s="58">
        <f t="shared" si="53"/>
        <v>-2410</v>
      </c>
      <c r="H3152" s="114" t="s">
        <v>2438</v>
      </c>
    </row>
    <row r="3153" spans="1:8" ht="15" customHeight="1" x14ac:dyDescent="0.25">
      <c r="A3153" s="597">
        <v>42902</v>
      </c>
      <c r="B3153" s="41" t="s">
        <v>2094</v>
      </c>
      <c r="C3153" s="41" t="s">
        <v>1894</v>
      </c>
      <c r="D3153" s="129" t="s">
        <v>2513</v>
      </c>
      <c r="E3153" s="58">
        <v>2285</v>
      </c>
      <c r="F3153" s="58"/>
      <c r="G3153" s="58">
        <f t="shared" si="53"/>
        <v>-2285</v>
      </c>
      <c r="H3153" s="114" t="s">
        <v>2438</v>
      </c>
    </row>
    <row r="3154" spans="1:8" ht="24.75" customHeight="1" x14ac:dyDescent="0.25">
      <c r="A3154" s="597">
        <v>42902</v>
      </c>
      <c r="B3154" s="41" t="s">
        <v>2094</v>
      </c>
      <c r="C3154" s="41" t="s">
        <v>149</v>
      </c>
      <c r="D3154" s="129" t="s">
        <v>2514</v>
      </c>
      <c r="E3154" s="58">
        <v>3000</v>
      </c>
      <c r="F3154" s="58"/>
      <c r="G3154" s="58">
        <f t="shared" si="53"/>
        <v>-3000</v>
      </c>
      <c r="H3154" s="114" t="s">
        <v>2438</v>
      </c>
    </row>
    <row r="3155" spans="1:8" ht="15" customHeight="1" x14ac:dyDescent="0.25">
      <c r="A3155" s="597">
        <v>42903</v>
      </c>
      <c r="B3155" s="41" t="s">
        <v>1400</v>
      </c>
      <c r="C3155" s="41" t="s">
        <v>64</v>
      </c>
      <c r="D3155" s="129" t="s">
        <v>2360</v>
      </c>
      <c r="E3155" s="58">
        <v>500</v>
      </c>
      <c r="F3155" s="58"/>
      <c r="G3155" s="58">
        <f t="shared" si="53"/>
        <v>-500</v>
      </c>
      <c r="H3155" s="114" t="s">
        <v>2438</v>
      </c>
    </row>
    <row r="3156" spans="1:8" ht="15" customHeight="1" x14ac:dyDescent="0.25">
      <c r="A3156" s="597">
        <v>42903</v>
      </c>
      <c r="B3156" s="41" t="s">
        <v>18</v>
      </c>
      <c r="C3156" s="41" t="s">
        <v>1276</v>
      </c>
      <c r="D3156" s="129" t="s">
        <v>370</v>
      </c>
      <c r="E3156" s="58">
        <v>6000</v>
      </c>
      <c r="F3156" s="58"/>
      <c r="G3156" s="58">
        <f t="shared" si="53"/>
        <v>-6000</v>
      </c>
      <c r="H3156" s="114" t="s">
        <v>2438</v>
      </c>
    </row>
    <row r="3157" spans="1:8" ht="15" customHeight="1" x14ac:dyDescent="0.25">
      <c r="A3157" s="597">
        <v>42905</v>
      </c>
      <c r="B3157" s="41" t="s">
        <v>1400</v>
      </c>
      <c r="C3157" s="41" t="s">
        <v>2515</v>
      </c>
      <c r="D3157" s="129" t="s">
        <v>370</v>
      </c>
      <c r="E3157" s="58">
        <v>25000</v>
      </c>
      <c r="F3157" s="58"/>
      <c r="G3157" s="58">
        <f t="shared" si="53"/>
        <v>-25000</v>
      </c>
      <c r="H3157" s="114" t="s">
        <v>2438</v>
      </c>
    </row>
    <row r="3158" spans="1:8" ht="15" customHeight="1" x14ac:dyDescent="0.25">
      <c r="A3158" s="597">
        <v>42905</v>
      </c>
      <c r="B3158" s="41" t="s">
        <v>18</v>
      </c>
      <c r="C3158" s="41" t="s">
        <v>668</v>
      </c>
      <c r="D3158" s="129" t="s">
        <v>72</v>
      </c>
      <c r="E3158" s="58">
        <v>870</v>
      </c>
      <c r="F3158" s="58"/>
      <c r="G3158" s="58">
        <f t="shared" si="53"/>
        <v>-870</v>
      </c>
      <c r="H3158" s="114" t="s">
        <v>2438</v>
      </c>
    </row>
    <row r="3159" spans="1:8" ht="15" customHeight="1" x14ac:dyDescent="0.25">
      <c r="A3159" s="597">
        <v>42906</v>
      </c>
      <c r="B3159" s="41" t="s">
        <v>16</v>
      </c>
      <c r="C3159" s="41" t="s">
        <v>1704</v>
      </c>
      <c r="D3159" s="129" t="s">
        <v>2516</v>
      </c>
      <c r="E3159" s="58">
        <v>2000</v>
      </c>
      <c r="F3159" s="58"/>
      <c r="G3159" s="58">
        <f t="shared" si="53"/>
        <v>-2000</v>
      </c>
      <c r="H3159" s="114" t="s">
        <v>2438</v>
      </c>
    </row>
    <row r="3160" spans="1:8" ht="15" customHeight="1" x14ac:dyDescent="0.25">
      <c r="A3160" s="597">
        <v>42906</v>
      </c>
      <c r="B3160" s="41" t="s">
        <v>2094</v>
      </c>
      <c r="C3160" s="41" t="s">
        <v>1687</v>
      </c>
      <c r="D3160" s="129" t="s">
        <v>2517</v>
      </c>
      <c r="E3160" s="58">
        <v>14380</v>
      </c>
      <c r="F3160" s="58"/>
      <c r="G3160" s="58">
        <f t="shared" si="53"/>
        <v>-14380</v>
      </c>
      <c r="H3160" s="114" t="s">
        <v>2438</v>
      </c>
    </row>
    <row r="3161" spans="1:8" ht="15" customHeight="1" x14ac:dyDescent="0.25">
      <c r="A3161" s="597">
        <v>42906</v>
      </c>
      <c r="B3161" s="41" t="s">
        <v>2094</v>
      </c>
      <c r="C3161" s="41" t="s">
        <v>2002</v>
      </c>
      <c r="D3161" s="129" t="s">
        <v>2518</v>
      </c>
      <c r="E3161" s="58">
        <v>2000</v>
      </c>
      <c r="F3161" s="58"/>
      <c r="G3161" s="58">
        <f t="shared" si="53"/>
        <v>-2000</v>
      </c>
      <c r="H3161" s="114" t="s">
        <v>2438</v>
      </c>
    </row>
    <row r="3162" spans="1:8" ht="15" customHeight="1" x14ac:dyDescent="0.25">
      <c r="A3162" s="597">
        <v>42908</v>
      </c>
      <c r="B3162" s="41" t="s">
        <v>1400</v>
      </c>
      <c r="C3162" s="41" t="s">
        <v>2821</v>
      </c>
      <c r="D3162" s="129" t="s">
        <v>370</v>
      </c>
      <c r="E3162" s="58">
        <v>12400</v>
      </c>
      <c r="F3162" s="58"/>
      <c r="G3162" s="58">
        <f t="shared" si="53"/>
        <v>-12400</v>
      </c>
      <c r="H3162" s="114" t="s">
        <v>2438</v>
      </c>
    </row>
    <row r="3163" spans="1:8" ht="15" customHeight="1" x14ac:dyDescent="0.25">
      <c r="A3163" s="597">
        <v>42908</v>
      </c>
      <c r="B3163" s="41" t="s">
        <v>16</v>
      </c>
      <c r="C3163" s="41" t="s">
        <v>2519</v>
      </c>
      <c r="D3163" s="129" t="s">
        <v>2520</v>
      </c>
      <c r="E3163" s="58">
        <v>5000</v>
      </c>
      <c r="F3163" s="58"/>
      <c r="G3163" s="58">
        <f t="shared" si="53"/>
        <v>-5000</v>
      </c>
      <c r="H3163" s="114" t="s">
        <v>2438</v>
      </c>
    </row>
    <row r="3164" spans="1:8" ht="15" customHeight="1" x14ac:dyDescent="0.25">
      <c r="A3164" s="597">
        <v>42907</v>
      </c>
      <c r="B3164" s="41" t="s">
        <v>2094</v>
      </c>
      <c r="C3164" s="41" t="s">
        <v>1894</v>
      </c>
      <c r="D3164" s="129" t="s">
        <v>2398</v>
      </c>
      <c r="E3164" s="58">
        <v>2030</v>
      </c>
      <c r="F3164" s="58"/>
      <c r="G3164" s="58">
        <f t="shared" si="53"/>
        <v>-2030</v>
      </c>
      <c r="H3164" s="114" t="s">
        <v>2438</v>
      </c>
    </row>
    <row r="3165" spans="1:8" ht="15" customHeight="1" x14ac:dyDescent="0.25">
      <c r="A3165" s="597">
        <v>42907</v>
      </c>
      <c r="B3165" s="41" t="s">
        <v>2094</v>
      </c>
      <c r="C3165" s="41" t="s">
        <v>1894</v>
      </c>
      <c r="D3165" s="129" t="s">
        <v>2521</v>
      </c>
      <c r="E3165" s="58">
        <v>2930</v>
      </c>
      <c r="F3165" s="58"/>
      <c r="G3165" s="58">
        <f t="shared" si="53"/>
        <v>-2930</v>
      </c>
      <c r="H3165" s="114" t="s">
        <v>2438</v>
      </c>
    </row>
    <row r="3166" spans="1:8" ht="15" customHeight="1" x14ac:dyDescent="0.25">
      <c r="A3166" s="597">
        <v>42908</v>
      </c>
      <c r="B3166" s="41" t="s">
        <v>2094</v>
      </c>
      <c r="C3166" s="41" t="s">
        <v>63</v>
      </c>
      <c r="D3166" s="129" t="s">
        <v>2522</v>
      </c>
      <c r="E3166" s="58">
        <v>2360</v>
      </c>
      <c r="F3166" s="58"/>
      <c r="G3166" s="58">
        <f t="shared" si="53"/>
        <v>-2360</v>
      </c>
      <c r="H3166" s="114" t="s">
        <v>2438</v>
      </c>
    </row>
    <row r="3167" spans="1:8" ht="15" customHeight="1" x14ac:dyDescent="0.25">
      <c r="A3167" s="597">
        <v>42909</v>
      </c>
      <c r="B3167" s="41" t="s">
        <v>1400</v>
      </c>
      <c r="C3167" s="41" t="s">
        <v>1704</v>
      </c>
      <c r="D3167" s="129" t="s">
        <v>1410</v>
      </c>
      <c r="E3167" s="58">
        <v>150</v>
      </c>
      <c r="F3167" s="58"/>
      <c r="G3167" s="58">
        <f t="shared" si="53"/>
        <v>-150</v>
      </c>
      <c r="H3167" s="114" t="s">
        <v>2438</v>
      </c>
    </row>
    <row r="3168" spans="1:8" ht="15" customHeight="1" x14ac:dyDescent="0.25">
      <c r="A3168" s="597">
        <v>42909</v>
      </c>
      <c r="B3168" s="41" t="s">
        <v>2094</v>
      </c>
      <c r="C3168" s="41" t="s">
        <v>2523</v>
      </c>
      <c r="D3168" s="129" t="s">
        <v>2524</v>
      </c>
      <c r="E3168" s="58">
        <v>7000</v>
      </c>
      <c r="F3168" s="58"/>
      <c r="G3168" s="58">
        <f t="shared" si="53"/>
        <v>-7000</v>
      </c>
      <c r="H3168" s="114" t="s">
        <v>2438</v>
      </c>
    </row>
    <row r="3169" spans="1:8" ht="15" customHeight="1" x14ac:dyDescent="0.25">
      <c r="A3169" s="597">
        <v>42909</v>
      </c>
      <c r="B3169" s="41" t="s">
        <v>40</v>
      </c>
      <c r="C3169" s="41" t="s">
        <v>2525</v>
      </c>
      <c r="D3169" s="129" t="s">
        <v>2526</v>
      </c>
      <c r="E3169" s="58">
        <v>22000</v>
      </c>
      <c r="F3169" s="58"/>
      <c r="G3169" s="58">
        <f t="shared" si="53"/>
        <v>-22000</v>
      </c>
      <c r="H3169" s="114" t="s">
        <v>2438</v>
      </c>
    </row>
    <row r="3170" spans="1:8" ht="15" customHeight="1" x14ac:dyDescent="0.25">
      <c r="A3170" s="597">
        <v>42909</v>
      </c>
      <c r="B3170" s="41" t="s">
        <v>2094</v>
      </c>
      <c r="C3170" s="41" t="s">
        <v>63</v>
      </c>
      <c r="D3170" s="129" t="s">
        <v>2527</v>
      </c>
      <c r="E3170" s="58">
        <v>3000</v>
      </c>
      <c r="F3170" s="58"/>
      <c r="G3170" s="58">
        <f t="shared" si="53"/>
        <v>-3000</v>
      </c>
      <c r="H3170" s="114" t="s">
        <v>2438</v>
      </c>
    </row>
    <row r="3171" spans="1:8" ht="15" customHeight="1" x14ac:dyDescent="0.25">
      <c r="A3171" s="597">
        <v>42909</v>
      </c>
      <c r="B3171" s="41" t="s">
        <v>25</v>
      </c>
      <c r="C3171" s="41" t="s">
        <v>551</v>
      </c>
      <c r="D3171" s="129" t="s">
        <v>2528</v>
      </c>
      <c r="E3171" s="58">
        <v>22000</v>
      </c>
      <c r="F3171" s="58"/>
      <c r="G3171" s="58">
        <f t="shared" si="53"/>
        <v>-22000</v>
      </c>
      <c r="H3171" s="114" t="s">
        <v>2438</v>
      </c>
    </row>
    <row r="3172" spans="1:8" ht="15" customHeight="1" x14ac:dyDescent="0.25">
      <c r="A3172" s="597">
        <v>42909</v>
      </c>
      <c r="B3172" s="41" t="s">
        <v>2094</v>
      </c>
      <c r="C3172" s="41" t="s">
        <v>2452</v>
      </c>
      <c r="D3172" s="129" t="s">
        <v>2399</v>
      </c>
      <c r="E3172" s="58">
        <v>14000</v>
      </c>
      <c r="F3172" s="58"/>
      <c r="G3172" s="58">
        <f t="shared" si="53"/>
        <v>-14000</v>
      </c>
      <c r="H3172" s="114" t="s">
        <v>2438</v>
      </c>
    </row>
    <row r="3173" spans="1:8" ht="15" customHeight="1" x14ac:dyDescent="0.25">
      <c r="A3173" s="597">
        <v>42910</v>
      </c>
      <c r="B3173" s="41" t="s">
        <v>2094</v>
      </c>
      <c r="C3173" s="41" t="s">
        <v>63</v>
      </c>
      <c r="D3173" s="129" t="s">
        <v>2529</v>
      </c>
      <c r="E3173" s="58">
        <v>9000</v>
      </c>
      <c r="F3173" s="58"/>
      <c r="G3173" s="58">
        <f t="shared" si="53"/>
        <v>-9000</v>
      </c>
      <c r="H3173" s="114" t="s">
        <v>2438</v>
      </c>
    </row>
    <row r="3174" spans="1:8" ht="15" customHeight="1" x14ac:dyDescent="0.25">
      <c r="A3174" s="597">
        <v>42910</v>
      </c>
      <c r="B3174" s="41" t="s">
        <v>25</v>
      </c>
      <c r="C3174" s="41" t="s">
        <v>1689</v>
      </c>
      <c r="D3174" s="129" t="s">
        <v>2530</v>
      </c>
      <c r="E3174" s="58">
        <v>33625</v>
      </c>
      <c r="F3174" s="58"/>
      <c r="G3174" s="58">
        <f t="shared" si="53"/>
        <v>-33625</v>
      </c>
      <c r="H3174" s="114" t="s">
        <v>2438</v>
      </c>
    </row>
    <row r="3175" spans="1:8" ht="15" customHeight="1" x14ac:dyDescent="0.25">
      <c r="A3175" s="597">
        <v>42910</v>
      </c>
      <c r="B3175" s="41" t="s">
        <v>16</v>
      </c>
      <c r="C3175" s="41" t="s">
        <v>1689</v>
      </c>
      <c r="D3175" s="129" t="s">
        <v>2530</v>
      </c>
      <c r="E3175" s="58">
        <v>12773</v>
      </c>
      <c r="F3175" s="58"/>
      <c r="G3175" s="58">
        <f t="shared" si="53"/>
        <v>-12773</v>
      </c>
      <c r="H3175" s="114" t="s">
        <v>2438</v>
      </c>
    </row>
    <row r="3176" spans="1:8" ht="15" customHeight="1" x14ac:dyDescent="0.25">
      <c r="A3176" s="597">
        <v>42910</v>
      </c>
      <c r="B3176" s="41" t="s">
        <v>1400</v>
      </c>
      <c r="C3176" s="41" t="s">
        <v>2503</v>
      </c>
      <c r="D3176" s="129" t="s">
        <v>2531</v>
      </c>
      <c r="E3176" s="58">
        <v>50000</v>
      </c>
      <c r="F3176" s="58"/>
      <c r="G3176" s="58">
        <f t="shared" si="53"/>
        <v>-50000</v>
      </c>
      <c r="H3176" s="114" t="s">
        <v>2438</v>
      </c>
    </row>
    <row r="3177" spans="1:8" ht="97.5" customHeight="1" thickBot="1" x14ac:dyDescent="0.3">
      <c r="A3177" s="597">
        <v>42916</v>
      </c>
      <c r="B3177" s="63" t="s">
        <v>16</v>
      </c>
      <c r="C3177" s="63" t="s">
        <v>199</v>
      </c>
      <c r="D3177" s="129" t="s">
        <v>2537</v>
      </c>
      <c r="E3177" s="58">
        <v>24310</v>
      </c>
      <c r="F3177" s="58"/>
      <c r="G3177" s="58">
        <f t="shared" si="53"/>
        <v>-24310</v>
      </c>
      <c r="H3177" s="114" t="s">
        <v>2438</v>
      </c>
    </row>
    <row r="3178" spans="1:8" s="171" customFormat="1" ht="15" customHeight="1" x14ac:dyDescent="0.25">
      <c r="A3178" s="605">
        <v>42905</v>
      </c>
      <c r="B3178" s="160" t="s">
        <v>2094</v>
      </c>
      <c r="C3178" s="160" t="s">
        <v>1687</v>
      </c>
      <c r="D3178" s="161" t="s">
        <v>2460</v>
      </c>
      <c r="E3178" s="162">
        <v>35000</v>
      </c>
      <c r="F3178" s="162"/>
      <c r="G3178" s="162">
        <f t="shared" si="53"/>
        <v>-35000</v>
      </c>
      <c r="H3178" s="170" t="s">
        <v>2438</v>
      </c>
    </row>
    <row r="3179" spans="1:8" ht="15.75" customHeight="1" thickBot="1" x14ac:dyDescent="0.3">
      <c r="A3179" s="607">
        <v>42908</v>
      </c>
      <c r="B3179" s="156" t="s">
        <v>1400</v>
      </c>
      <c r="C3179" s="156" t="s">
        <v>1815</v>
      </c>
      <c r="D3179" s="157" t="s">
        <v>2461</v>
      </c>
      <c r="E3179" s="158">
        <v>1000000</v>
      </c>
      <c r="F3179" s="158"/>
      <c r="G3179" s="158">
        <f t="shared" si="53"/>
        <v>-1000000</v>
      </c>
      <c r="H3179" s="159" t="s">
        <v>2438</v>
      </c>
    </row>
    <row r="3180" spans="1:8" s="169" customFormat="1" ht="15.75" customHeight="1" thickBot="1" x14ac:dyDescent="0.3">
      <c r="A3180" s="608">
        <v>42908</v>
      </c>
      <c r="B3180" s="165" t="s">
        <v>2094</v>
      </c>
      <c r="C3180" s="165" t="s">
        <v>2462</v>
      </c>
      <c r="D3180" s="166" t="s">
        <v>2463</v>
      </c>
      <c r="E3180" s="167">
        <v>33400</v>
      </c>
      <c r="F3180" s="167"/>
      <c r="G3180" s="167">
        <f t="shared" si="53"/>
        <v>-33400</v>
      </c>
      <c r="H3180" s="168" t="s">
        <v>2438</v>
      </c>
    </row>
    <row r="3181" spans="1:8" ht="24.75" customHeight="1" x14ac:dyDescent="0.25">
      <c r="A3181" s="609">
        <v>42908</v>
      </c>
      <c r="B3181" s="156" t="s">
        <v>2094</v>
      </c>
      <c r="C3181" s="156" t="s">
        <v>406</v>
      </c>
      <c r="D3181" s="157" t="s">
        <v>2464</v>
      </c>
      <c r="E3181" s="158">
        <v>259260</v>
      </c>
      <c r="F3181" s="158"/>
      <c r="G3181" s="158">
        <f t="shared" si="53"/>
        <v>-259260</v>
      </c>
      <c r="H3181" s="164" t="s">
        <v>2438</v>
      </c>
    </row>
    <row r="3182" spans="1:8" ht="15.75" customHeight="1" thickBot="1" x14ac:dyDescent="0.3">
      <c r="A3182" s="606">
        <v>42915</v>
      </c>
      <c r="B3182" s="122" t="s">
        <v>2094</v>
      </c>
      <c r="C3182" s="122" t="s">
        <v>2538</v>
      </c>
      <c r="D3182" s="118" t="s">
        <v>2539</v>
      </c>
      <c r="E3182" s="155">
        <v>25000</v>
      </c>
      <c r="F3182" s="155"/>
      <c r="G3182" s="155">
        <f t="shared" si="53"/>
        <v>-25000</v>
      </c>
      <c r="H3182" s="163" t="s">
        <v>2438</v>
      </c>
    </row>
    <row r="3183" spans="1:8" x14ac:dyDescent="0.2">
      <c r="A3183" s="599">
        <v>42888</v>
      </c>
      <c r="B3183" s="91" t="s">
        <v>40</v>
      </c>
      <c r="C3183" s="91" t="s">
        <v>40</v>
      </c>
      <c r="D3183" s="801" t="s">
        <v>1394</v>
      </c>
      <c r="E3183" s="92"/>
      <c r="F3183" s="92">
        <v>1355000</v>
      </c>
      <c r="G3183" s="92">
        <f t="shared" si="53"/>
        <v>1355000</v>
      </c>
      <c r="H3183" s="93" t="s">
        <v>2438</v>
      </c>
    </row>
    <row r="3184" spans="1:8" x14ac:dyDescent="0.2">
      <c r="A3184" s="599">
        <v>42910</v>
      </c>
      <c r="B3184" s="91" t="s">
        <v>18</v>
      </c>
      <c r="C3184" s="91" t="s">
        <v>559</v>
      </c>
      <c r="D3184" s="801" t="s">
        <v>1221</v>
      </c>
      <c r="E3184" s="92"/>
      <c r="F3184" s="92">
        <v>200000</v>
      </c>
      <c r="G3184" s="92">
        <f t="shared" si="53"/>
        <v>200000</v>
      </c>
      <c r="H3184" s="93" t="s">
        <v>2438</v>
      </c>
    </row>
    <row r="3185" spans="1:8" x14ac:dyDescent="0.2">
      <c r="A3185" s="599">
        <v>42910</v>
      </c>
      <c r="B3185" s="91" t="s">
        <v>1400</v>
      </c>
      <c r="C3185" s="91" t="s">
        <v>559</v>
      </c>
      <c r="D3185" s="801" t="s">
        <v>1221</v>
      </c>
      <c r="E3185" s="92"/>
      <c r="F3185" s="92">
        <v>1000000</v>
      </c>
      <c r="G3185" s="92">
        <f t="shared" si="53"/>
        <v>1000000</v>
      </c>
      <c r="H3185" s="93" t="s">
        <v>2438</v>
      </c>
    </row>
    <row r="3186" spans="1:8" x14ac:dyDescent="0.2">
      <c r="A3186" s="599">
        <v>42910</v>
      </c>
      <c r="B3186" s="91" t="s">
        <v>1400</v>
      </c>
      <c r="C3186" s="91" t="s">
        <v>559</v>
      </c>
      <c r="D3186" s="801" t="s">
        <v>1221</v>
      </c>
      <c r="E3186" s="92"/>
      <c r="F3186" s="92">
        <v>1000000</v>
      </c>
      <c r="G3186" s="92">
        <f t="shared" si="53"/>
        <v>1000000</v>
      </c>
      <c r="H3186" s="93" t="s">
        <v>2438</v>
      </c>
    </row>
    <row r="3187" spans="1:8" x14ac:dyDescent="0.2">
      <c r="A3187" s="599">
        <v>42910</v>
      </c>
      <c r="B3187" s="91" t="s">
        <v>1400</v>
      </c>
      <c r="C3187" s="91" t="s">
        <v>559</v>
      </c>
      <c r="D3187" s="801" t="s">
        <v>1221</v>
      </c>
      <c r="E3187" s="92"/>
      <c r="F3187" s="92">
        <v>1000000</v>
      </c>
      <c r="G3187" s="92">
        <f t="shared" si="53"/>
        <v>1000000</v>
      </c>
      <c r="H3187" s="93" t="s">
        <v>2438</v>
      </c>
    </row>
    <row r="3188" spans="1:8" x14ac:dyDescent="0.2">
      <c r="A3188" s="599">
        <v>42910</v>
      </c>
      <c r="B3188" s="91" t="s">
        <v>1400</v>
      </c>
      <c r="C3188" s="91" t="s">
        <v>559</v>
      </c>
      <c r="D3188" s="801" t="s">
        <v>1221</v>
      </c>
      <c r="E3188" s="92"/>
      <c r="F3188" s="92">
        <v>1000000</v>
      </c>
      <c r="G3188" s="92">
        <f t="shared" si="53"/>
        <v>1000000</v>
      </c>
      <c r="H3188" s="93" t="s">
        <v>2438</v>
      </c>
    </row>
    <row r="3189" spans="1:8" x14ac:dyDescent="0.2">
      <c r="A3189" s="599">
        <v>42910</v>
      </c>
      <c r="B3189" s="91" t="s">
        <v>1400</v>
      </c>
      <c r="C3189" s="91" t="s">
        <v>559</v>
      </c>
      <c r="D3189" s="801" t="s">
        <v>1221</v>
      </c>
      <c r="E3189" s="92"/>
      <c r="F3189" s="92">
        <v>500000</v>
      </c>
      <c r="G3189" s="92">
        <f t="shared" si="53"/>
        <v>500000</v>
      </c>
      <c r="H3189" s="93" t="s">
        <v>2438</v>
      </c>
    </row>
    <row r="3190" spans="1:8" x14ac:dyDescent="0.2">
      <c r="A3190" s="599">
        <v>42910</v>
      </c>
      <c r="B3190" s="91" t="s">
        <v>1400</v>
      </c>
      <c r="C3190" s="91" t="s">
        <v>559</v>
      </c>
      <c r="D3190" s="801" t="s">
        <v>1221</v>
      </c>
      <c r="E3190" s="92"/>
      <c r="F3190" s="92">
        <v>1000000</v>
      </c>
      <c r="G3190" s="92">
        <f t="shared" si="53"/>
        <v>1000000</v>
      </c>
      <c r="H3190" s="93" t="s">
        <v>2438</v>
      </c>
    </row>
    <row r="3191" spans="1:8" x14ac:dyDescent="0.2">
      <c r="A3191" s="599">
        <v>42910</v>
      </c>
      <c r="B3191" s="91" t="s">
        <v>1400</v>
      </c>
      <c r="C3191" s="91" t="s">
        <v>559</v>
      </c>
      <c r="D3191" s="801" t="s">
        <v>2470</v>
      </c>
      <c r="E3191" s="92"/>
      <c r="F3191" s="92">
        <v>2000000</v>
      </c>
      <c r="G3191" s="92">
        <f t="shared" si="53"/>
        <v>2000000</v>
      </c>
      <c r="H3191" s="93" t="s">
        <v>2438</v>
      </c>
    </row>
    <row r="3192" spans="1:8" s="182" customFormat="1" ht="13.5" thickBot="1" x14ac:dyDescent="0.25">
      <c r="A3192" s="611">
        <v>42921</v>
      </c>
      <c r="B3192" s="67" t="s">
        <v>25</v>
      </c>
      <c r="C3192" s="67" t="s">
        <v>1230</v>
      </c>
      <c r="D3192" s="792" t="s">
        <v>1839</v>
      </c>
      <c r="E3192" s="180">
        <v>6500</v>
      </c>
      <c r="F3192" s="180"/>
      <c r="G3192" s="58">
        <f t="shared" si="53"/>
        <v>-6500</v>
      </c>
      <c r="H3192" s="181" t="s">
        <v>2541</v>
      </c>
    </row>
    <row r="3193" spans="1:8" s="182" customFormat="1" ht="13.5" thickBot="1" x14ac:dyDescent="0.25">
      <c r="A3193" s="611">
        <v>42921</v>
      </c>
      <c r="B3193" s="67" t="s">
        <v>25</v>
      </c>
      <c r="C3193" s="67" t="s">
        <v>1230</v>
      </c>
      <c r="D3193" s="792" t="s">
        <v>1840</v>
      </c>
      <c r="E3193" s="180">
        <v>7000</v>
      </c>
      <c r="F3193" s="180"/>
      <c r="G3193" s="58">
        <f t="shared" si="53"/>
        <v>-7000</v>
      </c>
      <c r="H3193" s="181" t="s">
        <v>2541</v>
      </c>
    </row>
    <row r="3194" spans="1:8" s="182" customFormat="1" ht="13.5" thickBot="1" x14ac:dyDescent="0.25">
      <c r="A3194" s="611">
        <v>42921</v>
      </c>
      <c r="B3194" s="67" t="s">
        <v>25</v>
      </c>
      <c r="C3194" s="67" t="s">
        <v>1230</v>
      </c>
      <c r="D3194" s="792" t="s">
        <v>2183</v>
      </c>
      <c r="E3194" s="180">
        <v>18000</v>
      </c>
      <c r="F3194" s="180"/>
      <c r="G3194" s="58">
        <f t="shared" si="53"/>
        <v>-18000</v>
      </c>
      <c r="H3194" s="181" t="s">
        <v>2541</v>
      </c>
    </row>
    <row r="3195" spans="1:8" s="182" customFormat="1" ht="13.5" thickBot="1" x14ac:dyDescent="0.25">
      <c r="A3195" s="611">
        <v>42921</v>
      </c>
      <c r="B3195" s="67" t="s">
        <v>25</v>
      </c>
      <c r="C3195" s="67" t="s">
        <v>1230</v>
      </c>
      <c r="D3195" s="792" t="s">
        <v>1547</v>
      </c>
      <c r="E3195" s="180">
        <v>9000</v>
      </c>
      <c r="F3195" s="180"/>
      <c r="G3195" s="58">
        <f t="shared" si="53"/>
        <v>-9000</v>
      </c>
      <c r="H3195" s="181" t="s">
        <v>2541</v>
      </c>
    </row>
    <row r="3196" spans="1:8" s="182" customFormat="1" ht="13.5" thickBot="1" x14ac:dyDescent="0.25">
      <c r="A3196" s="611">
        <v>42921</v>
      </c>
      <c r="B3196" s="67" t="s">
        <v>16</v>
      </c>
      <c r="C3196" s="67" t="s">
        <v>1230</v>
      </c>
      <c r="D3196" s="792" t="s">
        <v>1842</v>
      </c>
      <c r="E3196" s="180">
        <v>25000</v>
      </c>
      <c r="F3196" s="180"/>
      <c r="G3196" s="58">
        <f t="shared" si="53"/>
        <v>-25000</v>
      </c>
      <c r="H3196" s="181" t="s">
        <v>2541</v>
      </c>
    </row>
    <row r="3197" spans="1:8" s="182" customFormat="1" ht="13.5" thickBot="1" x14ac:dyDescent="0.25">
      <c r="A3197" s="611">
        <v>42921</v>
      </c>
      <c r="B3197" s="67" t="s">
        <v>16</v>
      </c>
      <c r="C3197" s="67" t="s">
        <v>1230</v>
      </c>
      <c r="D3197" s="792" t="s">
        <v>1843</v>
      </c>
      <c r="E3197" s="180">
        <v>16200</v>
      </c>
      <c r="F3197" s="180"/>
      <c r="G3197" s="58">
        <f t="shared" si="53"/>
        <v>-16200</v>
      </c>
      <c r="H3197" s="181" t="s">
        <v>2541</v>
      </c>
    </row>
    <row r="3198" spans="1:8" s="182" customFormat="1" ht="13.5" thickBot="1" x14ac:dyDescent="0.25">
      <c r="A3198" s="611">
        <v>42921</v>
      </c>
      <c r="B3198" s="67" t="s">
        <v>16</v>
      </c>
      <c r="C3198" s="67" t="s">
        <v>1230</v>
      </c>
      <c r="D3198" s="792" t="s">
        <v>1844</v>
      </c>
      <c r="E3198" s="180">
        <v>22000</v>
      </c>
      <c r="F3198" s="180"/>
      <c r="G3198" s="58">
        <f t="shared" si="53"/>
        <v>-22000</v>
      </c>
      <c r="H3198" s="181" t="s">
        <v>2541</v>
      </c>
    </row>
    <row r="3199" spans="1:8" s="182" customFormat="1" ht="13.5" thickBot="1" x14ac:dyDescent="0.25">
      <c r="A3199" s="611">
        <v>42921</v>
      </c>
      <c r="B3199" s="67" t="s">
        <v>1493</v>
      </c>
      <c r="C3199" s="67" t="s">
        <v>1230</v>
      </c>
      <c r="D3199" s="792" t="s">
        <v>1841</v>
      </c>
      <c r="E3199" s="180">
        <v>18000</v>
      </c>
      <c r="F3199" s="180"/>
      <c r="G3199" s="58">
        <f t="shared" si="53"/>
        <v>-18000</v>
      </c>
      <c r="H3199" s="181" t="s">
        <v>2541</v>
      </c>
    </row>
    <row r="3200" spans="1:8" s="182" customFormat="1" ht="13.5" thickBot="1" x14ac:dyDescent="0.25">
      <c r="A3200" s="611">
        <v>42921</v>
      </c>
      <c r="B3200" s="67" t="s">
        <v>1400</v>
      </c>
      <c r="C3200" s="67" t="s">
        <v>1230</v>
      </c>
      <c r="D3200" s="792" t="s">
        <v>1684</v>
      </c>
      <c r="E3200" s="180">
        <v>20000</v>
      </c>
      <c r="F3200" s="180"/>
      <c r="G3200" s="58">
        <f t="shared" si="53"/>
        <v>-20000</v>
      </c>
      <c r="H3200" s="181" t="s">
        <v>2541</v>
      </c>
    </row>
    <row r="3201" spans="1:8" s="182" customFormat="1" ht="13.5" customHeight="1" thickBot="1" x14ac:dyDescent="0.25">
      <c r="A3201" s="611">
        <v>42921</v>
      </c>
      <c r="B3201" s="67" t="s">
        <v>1400</v>
      </c>
      <c r="C3201" s="67" t="s">
        <v>1230</v>
      </c>
      <c r="D3201" s="792" t="s">
        <v>1550</v>
      </c>
      <c r="E3201" s="180">
        <v>20029.166666666668</v>
      </c>
      <c r="F3201" s="180"/>
      <c r="G3201" s="58">
        <f t="shared" si="53"/>
        <v>-20029.166666666668</v>
      </c>
      <c r="H3201" s="181" t="s">
        <v>2541</v>
      </c>
    </row>
    <row r="3202" spans="1:8" s="182" customFormat="1" ht="13.5" customHeight="1" thickBot="1" x14ac:dyDescent="0.25">
      <c r="A3202" s="611">
        <v>42921</v>
      </c>
      <c r="B3202" s="67" t="s">
        <v>1400</v>
      </c>
      <c r="C3202" s="67" t="s">
        <v>1230</v>
      </c>
      <c r="D3202" s="792" t="s">
        <v>1998</v>
      </c>
      <c r="E3202" s="180">
        <v>4333.3333333333339</v>
      </c>
      <c r="F3202" s="180"/>
      <c r="G3202" s="58">
        <f t="shared" si="53"/>
        <v>-4333.3333333333339</v>
      </c>
      <c r="H3202" s="181" t="s">
        <v>2541</v>
      </c>
    </row>
    <row r="3203" spans="1:8" s="182" customFormat="1" ht="13.5" thickBot="1" x14ac:dyDescent="0.25">
      <c r="A3203" s="611">
        <v>42921</v>
      </c>
      <c r="B3203" s="67" t="s">
        <v>1400</v>
      </c>
      <c r="C3203" s="67" t="s">
        <v>1230</v>
      </c>
      <c r="D3203" s="792" t="s">
        <v>1871</v>
      </c>
      <c r="E3203" s="180">
        <v>35000</v>
      </c>
      <c r="F3203" s="180"/>
      <c r="G3203" s="58">
        <f t="shared" si="53"/>
        <v>-35000</v>
      </c>
      <c r="H3203" s="181" t="s">
        <v>2541</v>
      </c>
    </row>
    <row r="3204" spans="1:8" s="182" customFormat="1" ht="13.5" thickBot="1" x14ac:dyDescent="0.25">
      <c r="A3204" s="611">
        <v>42921</v>
      </c>
      <c r="B3204" s="67" t="s">
        <v>1400</v>
      </c>
      <c r="C3204" s="67" t="s">
        <v>1230</v>
      </c>
      <c r="D3204" s="792" t="s">
        <v>1848</v>
      </c>
      <c r="E3204" s="180">
        <v>11800</v>
      </c>
      <c r="F3204" s="180"/>
      <c r="G3204" s="58">
        <f t="shared" si="53"/>
        <v>-11800</v>
      </c>
      <c r="H3204" s="181" t="s">
        <v>2541</v>
      </c>
    </row>
    <row r="3205" spans="1:8" s="182" customFormat="1" ht="13.5" thickBot="1" x14ac:dyDescent="0.25">
      <c r="A3205" s="611">
        <v>42921</v>
      </c>
      <c r="B3205" s="67" t="s">
        <v>40</v>
      </c>
      <c r="C3205" s="67" t="s">
        <v>1230</v>
      </c>
      <c r="D3205" s="792" t="s">
        <v>2284</v>
      </c>
      <c r="E3205" s="180">
        <v>30000</v>
      </c>
      <c r="F3205" s="180"/>
      <c r="G3205" s="58">
        <f t="shared" si="53"/>
        <v>-30000</v>
      </c>
      <c r="H3205" s="181" t="s">
        <v>2541</v>
      </c>
    </row>
    <row r="3206" spans="1:8" s="182" customFormat="1" ht="13.5" thickBot="1" x14ac:dyDescent="0.25">
      <c r="A3206" s="611">
        <v>42921</v>
      </c>
      <c r="B3206" s="67" t="s">
        <v>40</v>
      </c>
      <c r="C3206" s="67" t="s">
        <v>1230</v>
      </c>
      <c r="D3206" s="792" t="s">
        <v>2554</v>
      </c>
      <c r="E3206" s="180">
        <v>7062.5</v>
      </c>
      <c r="F3206" s="180"/>
      <c r="G3206" s="58">
        <f t="shared" si="53"/>
        <v>-7062.5</v>
      </c>
      <c r="H3206" s="181" t="s">
        <v>2541</v>
      </c>
    </row>
    <row r="3207" spans="1:8" s="182" customFormat="1" ht="13.5" thickBot="1" x14ac:dyDescent="0.25">
      <c r="A3207" s="611">
        <v>42921</v>
      </c>
      <c r="B3207" s="67" t="s">
        <v>40</v>
      </c>
      <c r="C3207" s="67" t="s">
        <v>1230</v>
      </c>
      <c r="D3207" s="792" t="s">
        <v>1855</v>
      </c>
      <c r="E3207" s="180">
        <v>19666.666666666668</v>
      </c>
      <c r="F3207" s="180"/>
      <c r="G3207" s="58">
        <f t="shared" si="53"/>
        <v>-19666.666666666668</v>
      </c>
      <c r="H3207" s="181" t="s">
        <v>2541</v>
      </c>
    </row>
    <row r="3208" spans="1:8" s="182" customFormat="1" ht="13.5" thickBot="1" x14ac:dyDescent="0.25">
      <c r="A3208" s="611">
        <v>42921</v>
      </c>
      <c r="B3208" s="67" t="s">
        <v>1400</v>
      </c>
      <c r="C3208" s="67" t="s">
        <v>1230</v>
      </c>
      <c r="D3208" s="792" t="s">
        <v>2482</v>
      </c>
      <c r="E3208" s="180">
        <v>14200</v>
      </c>
      <c r="F3208" s="180"/>
      <c r="G3208" s="58">
        <f t="shared" si="53"/>
        <v>-14200</v>
      </c>
      <c r="H3208" s="181" t="s">
        <v>2541</v>
      </c>
    </row>
    <row r="3209" spans="1:8" s="182" customFormat="1" ht="13.5" thickBot="1" x14ac:dyDescent="0.25">
      <c r="A3209" s="611">
        <v>42921</v>
      </c>
      <c r="B3209" s="67" t="s">
        <v>40</v>
      </c>
      <c r="C3209" s="67" t="s">
        <v>1230</v>
      </c>
      <c r="D3209" s="792" t="s">
        <v>2483</v>
      </c>
      <c r="E3209" s="180">
        <v>13379.166666666666</v>
      </c>
      <c r="F3209" s="180"/>
      <c r="G3209" s="58">
        <f t="shared" ref="G3209:G3272" si="54">F3209-E3209</f>
        <v>-13379.166666666666</v>
      </c>
      <c r="H3209" s="181" t="s">
        <v>2541</v>
      </c>
    </row>
    <row r="3210" spans="1:8" s="182" customFormat="1" ht="13.5" thickBot="1" x14ac:dyDescent="0.25">
      <c r="A3210" s="611">
        <v>42921</v>
      </c>
      <c r="B3210" s="67" t="s">
        <v>40</v>
      </c>
      <c r="C3210" s="67" t="s">
        <v>1230</v>
      </c>
      <c r="D3210" s="792" t="s">
        <v>2181</v>
      </c>
      <c r="E3210" s="180">
        <v>9499.9999999999982</v>
      </c>
      <c r="F3210" s="180"/>
      <c r="G3210" s="58">
        <f t="shared" si="54"/>
        <v>-9499.9999999999982</v>
      </c>
      <c r="H3210" s="181" t="s">
        <v>2541</v>
      </c>
    </row>
    <row r="3211" spans="1:8" s="182" customFormat="1" ht="13.5" thickBot="1" x14ac:dyDescent="0.25">
      <c r="A3211" s="611">
        <v>42921</v>
      </c>
      <c r="B3211" s="67" t="s">
        <v>37</v>
      </c>
      <c r="C3211" s="67" t="s">
        <v>1230</v>
      </c>
      <c r="D3211" s="792" t="s">
        <v>1866</v>
      </c>
      <c r="E3211" s="180">
        <v>18500</v>
      </c>
      <c r="F3211" s="180"/>
      <c r="G3211" s="58">
        <f t="shared" si="54"/>
        <v>-18500</v>
      </c>
      <c r="H3211" s="181" t="s">
        <v>2541</v>
      </c>
    </row>
    <row r="3212" spans="1:8" s="182" customFormat="1" ht="13.5" thickBot="1" x14ac:dyDescent="0.25">
      <c r="A3212" s="611">
        <v>42921</v>
      </c>
      <c r="B3212" s="67" t="s">
        <v>40</v>
      </c>
      <c r="C3212" s="67" t="s">
        <v>1230</v>
      </c>
      <c r="D3212" s="792" t="s">
        <v>1873</v>
      </c>
      <c r="E3212" s="180">
        <v>8770.8333333333321</v>
      </c>
      <c r="F3212" s="180"/>
      <c r="G3212" s="58">
        <f t="shared" si="54"/>
        <v>-8770.8333333333321</v>
      </c>
      <c r="H3212" s="181" t="s">
        <v>2541</v>
      </c>
    </row>
    <row r="3213" spans="1:8" s="182" customFormat="1" ht="13.5" thickBot="1" x14ac:dyDescent="0.25">
      <c r="A3213" s="611">
        <v>42921</v>
      </c>
      <c r="B3213" s="67" t="s">
        <v>40</v>
      </c>
      <c r="C3213" s="67" t="s">
        <v>1230</v>
      </c>
      <c r="D3213" s="792" t="s">
        <v>1852</v>
      </c>
      <c r="E3213" s="180">
        <v>31666.666666666664</v>
      </c>
      <c r="F3213" s="180"/>
      <c r="G3213" s="58">
        <f t="shared" si="54"/>
        <v>-31666.666666666664</v>
      </c>
      <c r="H3213" s="181" t="s">
        <v>2541</v>
      </c>
    </row>
    <row r="3214" spans="1:8" s="182" customFormat="1" ht="13.5" thickBot="1" x14ac:dyDescent="0.25">
      <c r="A3214" s="611">
        <v>42921</v>
      </c>
      <c r="B3214" s="67" t="s">
        <v>154</v>
      </c>
      <c r="C3214" s="67" t="s">
        <v>1230</v>
      </c>
      <c r="D3214" s="792" t="s">
        <v>668</v>
      </c>
      <c r="E3214" s="180">
        <v>11000.000000000002</v>
      </c>
      <c r="F3214" s="180"/>
      <c r="G3214" s="58">
        <f t="shared" si="54"/>
        <v>-11000.000000000002</v>
      </c>
      <c r="H3214" s="181" t="s">
        <v>2541</v>
      </c>
    </row>
    <row r="3215" spans="1:8" s="182" customFormat="1" ht="13.5" thickBot="1" x14ac:dyDescent="0.25">
      <c r="A3215" s="611">
        <v>42921</v>
      </c>
      <c r="B3215" s="67" t="s">
        <v>154</v>
      </c>
      <c r="C3215" s="67" t="s">
        <v>1230</v>
      </c>
      <c r="D3215" s="792" t="s">
        <v>1851</v>
      </c>
      <c r="E3215" s="180">
        <v>5500</v>
      </c>
      <c r="F3215" s="180"/>
      <c r="G3215" s="58">
        <f t="shared" si="54"/>
        <v>-5500</v>
      </c>
      <c r="H3215" s="181" t="s">
        <v>2541</v>
      </c>
    </row>
    <row r="3216" spans="1:8" s="182" customFormat="1" ht="13.5" thickBot="1" x14ac:dyDescent="0.25">
      <c r="A3216" s="611">
        <v>42921</v>
      </c>
      <c r="B3216" s="67" t="s">
        <v>2094</v>
      </c>
      <c r="C3216" s="67" t="s">
        <v>1230</v>
      </c>
      <c r="D3216" s="792" t="s">
        <v>1863</v>
      </c>
      <c r="E3216" s="180">
        <v>19145.833333333332</v>
      </c>
      <c r="F3216" s="180"/>
      <c r="G3216" s="58">
        <f t="shared" si="54"/>
        <v>-19145.833333333332</v>
      </c>
      <c r="H3216" s="181" t="s">
        <v>2541</v>
      </c>
    </row>
    <row r="3217" spans="1:8" s="182" customFormat="1" ht="13.5" customHeight="1" thickBot="1" x14ac:dyDescent="0.25">
      <c r="A3217" s="611">
        <v>42921</v>
      </c>
      <c r="B3217" s="67" t="s">
        <v>2094</v>
      </c>
      <c r="C3217" s="67" t="s">
        <v>1230</v>
      </c>
      <c r="D3217" s="792" t="s">
        <v>1864</v>
      </c>
      <c r="E3217" s="180">
        <v>21737.5</v>
      </c>
      <c r="F3217" s="180"/>
      <c r="G3217" s="58">
        <f t="shared" si="54"/>
        <v>-21737.5</v>
      </c>
      <c r="H3217" s="181" t="s">
        <v>2541</v>
      </c>
    </row>
    <row r="3218" spans="1:8" s="182" customFormat="1" ht="13.5" thickBot="1" x14ac:dyDescent="0.25">
      <c r="A3218" s="611">
        <v>42921</v>
      </c>
      <c r="B3218" s="67" t="s">
        <v>1400</v>
      </c>
      <c r="C3218" s="67" t="s">
        <v>1230</v>
      </c>
      <c r="D3218" s="792" t="s">
        <v>1862</v>
      </c>
      <c r="E3218" s="180">
        <v>8971.875</v>
      </c>
      <c r="F3218" s="180"/>
      <c r="G3218" s="58">
        <f t="shared" si="54"/>
        <v>-8971.875</v>
      </c>
      <c r="H3218" s="181" t="s">
        <v>2541</v>
      </c>
    </row>
    <row r="3219" spans="1:8" s="182" customFormat="1" ht="13.5" thickBot="1" x14ac:dyDescent="0.25">
      <c r="A3219" s="611">
        <v>42921</v>
      </c>
      <c r="B3219" s="67" t="s">
        <v>2094</v>
      </c>
      <c r="C3219" s="67" t="s">
        <v>1230</v>
      </c>
      <c r="D3219" s="792" t="s">
        <v>1865</v>
      </c>
      <c r="E3219" s="180">
        <v>2833.3333333333339</v>
      </c>
      <c r="F3219" s="180"/>
      <c r="G3219" s="58">
        <f t="shared" si="54"/>
        <v>-2833.3333333333339</v>
      </c>
      <c r="H3219" s="181" t="s">
        <v>2541</v>
      </c>
    </row>
    <row r="3220" spans="1:8" s="182" customFormat="1" ht="13.5" thickBot="1" x14ac:dyDescent="0.25">
      <c r="A3220" s="611">
        <v>42921</v>
      </c>
      <c r="B3220" s="67" t="s">
        <v>2094</v>
      </c>
      <c r="C3220" s="67" t="s">
        <v>1230</v>
      </c>
      <c r="D3220" s="792" t="s">
        <v>2484</v>
      </c>
      <c r="E3220" s="180">
        <v>6266.6666666666661</v>
      </c>
      <c r="F3220" s="180"/>
      <c r="G3220" s="58">
        <f t="shared" si="54"/>
        <v>-6266.6666666666661</v>
      </c>
      <c r="H3220" s="181" t="s">
        <v>2541</v>
      </c>
    </row>
    <row r="3221" spans="1:8" s="182" customFormat="1" ht="13.5" thickBot="1" x14ac:dyDescent="0.25">
      <c r="A3221" s="611">
        <v>42921</v>
      </c>
      <c r="B3221" s="67" t="s">
        <v>37</v>
      </c>
      <c r="C3221" s="67" t="s">
        <v>1230</v>
      </c>
      <c r="D3221" s="792" t="s">
        <v>1867</v>
      </c>
      <c r="E3221" s="180">
        <v>12500</v>
      </c>
      <c r="F3221" s="180"/>
      <c r="G3221" s="58">
        <f t="shared" si="54"/>
        <v>-12500</v>
      </c>
      <c r="H3221" s="181" t="s">
        <v>2541</v>
      </c>
    </row>
    <row r="3222" spans="1:8" s="182" customFormat="1" ht="13.5" thickBot="1" x14ac:dyDescent="0.25">
      <c r="A3222" s="611">
        <v>42921</v>
      </c>
      <c r="B3222" s="67" t="s">
        <v>37</v>
      </c>
      <c r="C3222" s="67" t="s">
        <v>1230</v>
      </c>
      <c r="D3222" s="792" t="s">
        <v>1868</v>
      </c>
      <c r="E3222" s="180">
        <v>16593.75</v>
      </c>
      <c r="F3222" s="180"/>
      <c r="G3222" s="58">
        <f t="shared" si="54"/>
        <v>-16593.75</v>
      </c>
      <c r="H3222" s="181" t="s">
        <v>2541</v>
      </c>
    </row>
    <row r="3223" spans="1:8" s="182" customFormat="1" ht="13.5" thickBot="1" x14ac:dyDescent="0.25">
      <c r="A3223" s="611">
        <v>42921</v>
      </c>
      <c r="B3223" s="67" t="s">
        <v>37</v>
      </c>
      <c r="C3223" s="67" t="s">
        <v>1230</v>
      </c>
      <c r="D3223" s="792" t="s">
        <v>2285</v>
      </c>
      <c r="E3223" s="180">
        <v>9458.3333333333339</v>
      </c>
      <c r="F3223" s="180"/>
      <c r="G3223" s="58">
        <f t="shared" si="54"/>
        <v>-9458.3333333333339</v>
      </c>
      <c r="H3223" s="181" t="s">
        <v>2541</v>
      </c>
    </row>
    <row r="3224" spans="1:8" s="182" customFormat="1" ht="13.5" thickBot="1" x14ac:dyDescent="0.25">
      <c r="A3224" s="611">
        <v>42921</v>
      </c>
      <c r="B3224" s="67" t="s">
        <v>37</v>
      </c>
      <c r="C3224" s="67" t="s">
        <v>1230</v>
      </c>
      <c r="D3224" s="792" t="s">
        <v>1575</v>
      </c>
      <c r="E3224" s="180">
        <v>10083.333333333334</v>
      </c>
      <c r="F3224" s="180"/>
      <c r="G3224" s="58">
        <f t="shared" si="54"/>
        <v>-10083.333333333334</v>
      </c>
      <c r="H3224" s="181" t="s">
        <v>2541</v>
      </c>
    </row>
    <row r="3225" spans="1:8" s="182" customFormat="1" ht="13.5" thickBot="1" x14ac:dyDescent="0.25">
      <c r="A3225" s="611">
        <v>42921</v>
      </c>
      <c r="B3225" s="67" t="s">
        <v>11</v>
      </c>
      <c r="C3225" s="67" t="s">
        <v>1230</v>
      </c>
      <c r="D3225" s="792" t="s">
        <v>1870</v>
      </c>
      <c r="E3225" s="180">
        <v>5000</v>
      </c>
      <c r="F3225" s="180"/>
      <c r="G3225" s="58">
        <f t="shared" si="54"/>
        <v>-5000</v>
      </c>
      <c r="H3225" s="181" t="s">
        <v>2541</v>
      </c>
    </row>
    <row r="3226" spans="1:8" s="182" customFormat="1" ht="13.5" thickBot="1" x14ac:dyDescent="0.25">
      <c r="A3226" s="611">
        <v>42921</v>
      </c>
      <c r="B3226" s="67" t="s">
        <v>2094</v>
      </c>
      <c r="C3226" s="67" t="s">
        <v>1230</v>
      </c>
      <c r="D3226" s="792" t="s">
        <v>2532</v>
      </c>
      <c r="E3226" s="180">
        <v>19166.666666666668</v>
      </c>
      <c r="F3226" s="180"/>
      <c r="G3226" s="58">
        <f t="shared" si="54"/>
        <v>-19166.666666666668</v>
      </c>
      <c r="H3226" s="181" t="s">
        <v>2541</v>
      </c>
    </row>
    <row r="3227" spans="1:8" s="182" customFormat="1" ht="13.5" thickBot="1" x14ac:dyDescent="0.25">
      <c r="A3227" s="611">
        <v>42921</v>
      </c>
      <c r="B3227" s="67" t="s">
        <v>2094</v>
      </c>
      <c r="C3227" s="67" t="s">
        <v>1230</v>
      </c>
      <c r="D3227" s="792" t="s">
        <v>2533</v>
      </c>
      <c r="E3227" s="180">
        <v>17500.000000000004</v>
      </c>
      <c r="F3227" s="180"/>
      <c r="G3227" s="58">
        <f t="shared" si="54"/>
        <v>-17500.000000000004</v>
      </c>
      <c r="H3227" s="181" t="s">
        <v>2541</v>
      </c>
    </row>
    <row r="3228" spans="1:8" s="182" customFormat="1" ht="13.5" thickBot="1" x14ac:dyDescent="0.25">
      <c r="A3228" s="611">
        <v>42921</v>
      </c>
      <c r="B3228" s="67" t="s">
        <v>2094</v>
      </c>
      <c r="C3228" s="67" t="s">
        <v>1230</v>
      </c>
      <c r="D3228" s="792" t="s">
        <v>1742</v>
      </c>
      <c r="E3228" s="180">
        <v>29947.916666666668</v>
      </c>
      <c r="F3228" s="180"/>
      <c r="G3228" s="58">
        <f t="shared" si="54"/>
        <v>-29947.916666666668</v>
      </c>
      <c r="H3228" s="181" t="s">
        <v>2541</v>
      </c>
    </row>
    <row r="3229" spans="1:8" s="182" customFormat="1" ht="13.5" thickBot="1" x14ac:dyDescent="0.25">
      <c r="A3229" s="611">
        <v>42921</v>
      </c>
      <c r="B3229" s="67" t="s">
        <v>1400</v>
      </c>
      <c r="C3229" s="67" t="s">
        <v>1230</v>
      </c>
      <c r="D3229" s="792" t="s">
        <v>2556</v>
      </c>
      <c r="E3229" s="180">
        <v>3341.6666666666679</v>
      </c>
      <c r="F3229" s="180"/>
      <c r="G3229" s="58">
        <f t="shared" si="54"/>
        <v>-3341.6666666666679</v>
      </c>
      <c r="H3229" s="181" t="s">
        <v>2541</v>
      </c>
    </row>
    <row r="3230" spans="1:8" s="182" customFormat="1" ht="13.5" thickBot="1" x14ac:dyDescent="0.25">
      <c r="A3230" s="611">
        <v>42921</v>
      </c>
      <c r="B3230" s="67" t="s">
        <v>16</v>
      </c>
      <c r="C3230" s="67" t="s">
        <v>1409</v>
      </c>
      <c r="D3230" s="792" t="s">
        <v>2212</v>
      </c>
      <c r="E3230" s="180">
        <v>1500</v>
      </c>
      <c r="F3230" s="180"/>
      <c r="G3230" s="58">
        <f t="shared" si="54"/>
        <v>-1500</v>
      </c>
      <c r="H3230" s="181" t="s">
        <v>2541</v>
      </c>
    </row>
    <row r="3231" spans="1:8" s="182" customFormat="1" ht="13.5" thickBot="1" x14ac:dyDescent="0.25">
      <c r="A3231" s="611">
        <v>42921</v>
      </c>
      <c r="B3231" s="67" t="s">
        <v>1400</v>
      </c>
      <c r="C3231" s="67" t="s">
        <v>1409</v>
      </c>
      <c r="D3231" s="792" t="s">
        <v>2485</v>
      </c>
      <c r="E3231" s="180">
        <v>16000</v>
      </c>
      <c r="F3231" s="180"/>
      <c r="G3231" s="58">
        <f t="shared" si="54"/>
        <v>-16000</v>
      </c>
      <c r="H3231" s="181" t="s">
        <v>2541</v>
      </c>
    </row>
    <row r="3232" spans="1:8" s="182" customFormat="1" ht="13.5" thickBot="1" x14ac:dyDescent="0.25">
      <c r="A3232" s="611">
        <v>42921</v>
      </c>
      <c r="B3232" s="67" t="s">
        <v>1400</v>
      </c>
      <c r="C3232" s="67" t="s">
        <v>1409</v>
      </c>
      <c r="D3232" s="792" t="s">
        <v>1060</v>
      </c>
      <c r="E3232" s="180">
        <v>5000</v>
      </c>
      <c r="F3232" s="180"/>
      <c r="G3232" s="58">
        <f t="shared" si="54"/>
        <v>-5000</v>
      </c>
      <c r="H3232" s="181" t="s">
        <v>2541</v>
      </c>
    </row>
    <row r="3233" spans="1:8" s="182" customFormat="1" ht="13.5" thickBot="1" x14ac:dyDescent="0.25">
      <c r="A3233" s="611">
        <v>42921</v>
      </c>
      <c r="B3233" s="67" t="s">
        <v>1400</v>
      </c>
      <c r="C3233" s="67" t="s">
        <v>1409</v>
      </c>
      <c r="D3233" s="792" t="s">
        <v>661</v>
      </c>
      <c r="E3233" s="180">
        <v>1000</v>
      </c>
      <c r="F3233" s="180"/>
      <c r="G3233" s="58">
        <f t="shared" si="54"/>
        <v>-1000</v>
      </c>
      <c r="H3233" s="181" t="s">
        <v>2541</v>
      </c>
    </row>
    <row r="3234" spans="1:8" s="182" customFormat="1" ht="13.5" thickBot="1" x14ac:dyDescent="0.25">
      <c r="A3234" s="611">
        <v>42921</v>
      </c>
      <c r="B3234" s="67" t="s">
        <v>1400</v>
      </c>
      <c r="C3234" s="67" t="s">
        <v>1409</v>
      </c>
      <c r="D3234" s="792" t="s">
        <v>2482</v>
      </c>
      <c r="E3234" s="180">
        <v>2000</v>
      </c>
      <c r="F3234" s="180"/>
      <c r="G3234" s="58">
        <f t="shared" si="54"/>
        <v>-2000</v>
      </c>
      <c r="H3234" s="181" t="s">
        <v>2541</v>
      </c>
    </row>
    <row r="3235" spans="1:8" s="182" customFormat="1" ht="13.5" thickBot="1" x14ac:dyDescent="0.25">
      <c r="A3235" s="611">
        <v>42921</v>
      </c>
      <c r="B3235" s="67" t="s">
        <v>40</v>
      </c>
      <c r="C3235" s="67" t="s">
        <v>1409</v>
      </c>
      <c r="D3235" s="792" t="s">
        <v>2483</v>
      </c>
      <c r="E3235" s="180">
        <v>1000</v>
      </c>
      <c r="F3235" s="180"/>
      <c r="G3235" s="58">
        <f t="shared" si="54"/>
        <v>-1000</v>
      </c>
      <c r="H3235" s="181" t="s">
        <v>2541</v>
      </c>
    </row>
    <row r="3236" spans="1:8" s="182" customFormat="1" ht="13.5" thickBot="1" x14ac:dyDescent="0.25">
      <c r="A3236" s="611">
        <v>42921</v>
      </c>
      <c r="B3236" s="67" t="s">
        <v>40</v>
      </c>
      <c r="C3236" s="67" t="s">
        <v>1409</v>
      </c>
      <c r="D3236" s="792" t="s">
        <v>2557</v>
      </c>
      <c r="E3236" s="180">
        <v>2000</v>
      </c>
      <c r="F3236" s="180"/>
      <c r="G3236" s="58">
        <f t="shared" si="54"/>
        <v>-2000</v>
      </c>
      <c r="H3236" s="181" t="s">
        <v>2541</v>
      </c>
    </row>
    <row r="3237" spans="1:8" s="182" customFormat="1" ht="13.5" thickBot="1" x14ac:dyDescent="0.25">
      <c r="A3237" s="611">
        <v>42921</v>
      </c>
      <c r="B3237" s="67" t="s">
        <v>40</v>
      </c>
      <c r="C3237" s="67" t="s">
        <v>1409</v>
      </c>
      <c r="D3237" s="792" t="s">
        <v>111</v>
      </c>
      <c r="E3237" s="180">
        <v>2000</v>
      </c>
      <c r="F3237" s="180"/>
      <c r="G3237" s="58">
        <f t="shared" si="54"/>
        <v>-2000</v>
      </c>
      <c r="H3237" s="181" t="s">
        <v>2541</v>
      </c>
    </row>
    <row r="3238" spans="1:8" s="182" customFormat="1" ht="13.5" thickBot="1" x14ac:dyDescent="0.25">
      <c r="A3238" s="611">
        <v>42921</v>
      </c>
      <c r="B3238" s="67" t="s">
        <v>40</v>
      </c>
      <c r="C3238" s="67" t="s">
        <v>1409</v>
      </c>
      <c r="D3238" s="792" t="s">
        <v>2558</v>
      </c>
      <c r="E3238" s="180">
        <v>5000</v>
      </c>
      <c r="F3238" s="180"/>
      <c r="G3238" s="58">
        <f t="shared" si="54"/>
        <v>-5000</v>
      </c>
      <c r="H3238" s="181" t="s">
        <v>2541</v>
      </c>
    </row>
    <row r="3239" spans="1:8" s="182" customFormat="1" ht="13.5" thickBot="1" x14ac:dyDescent="0.25">
      <c r="A3239" s="611">
        <v>42921</v>
      </c>
      <c r="B3239" s="67" t="s">
        <v>40</v>
      </c>
      <c r="C3239" s="67" t="s">
        <v>1409</v>
      </c>
      <c r="D3239" s="792" t="s">
        <v>290</v>
      </c>
      <c r="E3239" s="180">
        <v>17000</v>
      </c>
      <c r="F3239" s="180"/>
      <c r="G3239" s="58">
        <f t="shared" si="54"/>
        <v>-17000</v>
      </c>
      <c r="H3239" s="181" t="s">
        <v>2541</v>
      </c>
    </row>
    <row r="3240" spans="1:8" s="182" customFormat="1" ht="13.5" thickBot="1" x14ac:dyDescent="0.25">
      <c r="A3240" s="611">
        <v>42921</v>
      </c>
      <c r="B3240" s="67" t="s">
        <v>40</v>
      </c>
      <c r="C3240" s="67" t="s">
        <v>1409</v>
      </c>
      <c r="D3240" s="792" t="s">
        <v>208</v>
      </c>
      <c r="E3240" s="180">
        <v>3000</v>
      </c>
      <c r="F3240" s="180"/>
      <c r="G3240" s="58">
        <f t="shared" si="54"/>
        <v>-3000</v>
      </c>
      <c r="H3240" s="181" t="s">
        <v>2541</v>
      </c>
    </row>
    <row r="3241" spans="1:8" s="182" customFormat="1" ht="13.5" thickBot="1" x14ac:dyDescent="0.25">
      <c r="A3241" s="611">
        <v>42921</v>
      </c>
      <c r="B3241" s="67" t="s">
        <v>40</v>
      </c>
      <c r="C3241" s="67" t="s">
        <v>1409</v>
      </c>
      <c r="D3241" s="792" t="s">
        <v>1476</v>
      </c>
      <c r="E3241" s="180">
        <v>10000</v>
      </c>
      <c r="F3241" s="180"/>
      <c r="G3241" s="58">
        <f t="shared" si="54"/>
        <v>-10000</v>
      </c>
      <c r="H3241" s="181" t="s">
        <v>2541</v>
      </c>
    </row>
    <row r="3242" spans="1:8" s="182" customFormat="1" ht="13.5" thickBot="1" x14ac:dyDescent="0.25">
      <c r="A3242" s="611">
        <v>42921</v>
      </c>
      <c r="B3242" s="67" t="s">
        <v>1400</v>
      </c>
      <c r="C3242" s="67" t="s">
        <v>1409</v>
      </c>
      <c r="D3242" s="792" t="s">
        <v>2556</v>
      </c>
      <c r="E3242" s="180">
        <v>5000</v>
      </c>
      <c r="F3242" s="180"/>
      <c r="G3242" s="58">
        <f t="shared" si="54"/>
        <v>-5000</v>
      </c>
      <c r="H3242" s="181" t="s">
        <v>2541</v>
      </c>
    </row>
    <row r="3243" spans="1:8" s="182" customFormat="1" ht="13.5" thickBot="1" x14ac:dyDescent="0.25">
      <c r="A3243" s="611">
        <v>42921</v>
      </c>
      <c r="B3243" s="67" t="s">
        <v>2094</v>
      </c>
      <c r="C3243" s="67" t="s">
        <v>1409</v>
      </c>
      <c r="D3243" s="792" t="s">
        <v>2533</v>
      </c>
      <c r="E3243" s="180">
        <v>2000</v>
      </c>
      <c r="F3243" s="180"/>
      <c r="G3243" s="58">
        <f t="shared" si="54"/>
        <v>-2000</v>
      </c>
      <c r="H3243" s="181" t="s">
        <v>2541</v>
      </c>
    </row>
    <row r="3244" spans="1:8" s="182" customFormat="1" ht="13.5" thickBot="1" x14ac:dyDescent="0.25">
      <c r="A3244" s="611">
        <v>42917</v>
      </c>
      <c r="B3244" s="67" t="s">
        <v>1493</v>
      </c>
      <c r="C3244" s="67" t="s">
        <v>220</v>
      </c>
      <c r="D3244" s="792" t="s">
        <v>286</v>
      </c>
      <c r="E3244" s="180">
        <v>650</v>
      </c>
      <c r="F3244" s="180"/>
      <c r="G3244" s="58">
        <f t="shared" si="54"/>
        <v>-650</v>
      </c>
      <c r="H3244" s="181" t="s">
        <v>2541</v>
      </c>
    </row>
    <row r="3245" spans="1:8" s="182" customFormat="1" ht="13.5" thickBot="1" x14ac:dyDescent="0.25">
      <c r="A3245" s="611">
        <v>42917</v>
      </c>
      <c r="B3245" s="67" t="s">
        <v>40</v>
      </c>
      <c r="C3245" s="67" t="s">
        <v>325</v>
      </c>
      <c r="D3245" s="792" t="s">
        <v>2559</v>
      </c>
      <c r="E3245" s="180">
        <v>2960</v>
      </c>
      <c r="F3245" s="180"/>
      <c r="G3245" s="58">
        <f t="shared" si="54"/>
        <v>-2960</v>
      </c>
      <c r="H3245" s="181" t="s">
        <v>2541</v>
      </c>
    </row>
    <row r="3246" spans="1:8" s="182" customFormat="1" ht="13.5" thickBot="1" x14ac:dyDescent="0.25">
      <c r="A3246" s="611">
        <v>42917</v>
      </c>
      <c r="B3246" s="67" t="s">
        <v>2094</v>
      </c>
      <c r="C3246" s="67" t="s">
        <v>63</v>
      </c>
      <c r="D3246" s="792" t="s">
        <v>2360</v>
      </c>
      <c r="E3246" s="180">
        <v>150</v>
      </c>
      <c r="F3246" s="180"/>
      <c r="G3246" s="58">
        <f t="shared" si="54"/>
        <v>-150</v>
      </c>
      <c r="H3246" s="181" t="s">
        <v>2541</v>
      </c>
    </row>
    <row r="3247" spans="1:8" s="182" customFormat="1" ht="13.5" thickBot="1" x14ac:dyDescent="0.25">
      <c r="A3247" s="611">
        <v>42919</v>
      </c>
      <c r="B3247" s="67" t="s">
        <v>25</v>
      </c>
      <c r="C3247" s="67" t="s">
        <v>2060</v>
      </c>
      <c r="D3247" s="792" t="s">
        <v>2560</v>
      </c>
      <c r="E3247" s="180">
        <v>1180</v>
      </c>
      <c r="F3247" s="180"/>
      <c r="G3247" s="58">
        <f t="shared" si="54"/>
        <v>-1180</v>
      </c>
      <c r="H3247" s="181" t="s">
        <v>2541</v>
      </c>
    </row>
    <row r="3248" spans="1:8" s="182" customFormat="1" ht="13.5" thickBot="1" x14ac:dyDescent="0.25">
      <c r="A3248" s="611">
        <v>42919</v>
      </c>
      <c r="B3248" s="67" t="s">
        <v>2094</v>
      </c>
      <c r="C3248" s="67" t="s">
        <v>290</v>
      </c>
      <c r="D3248" s="792" t="s">
        <v>2561</v>
      </c>
      <c r="E3248" s="180">
        <v>5490</v>
      </c>
      <c r="F3248" s="180"/>
      <c r="G3248" s="58">
        <f t="shared" si="54"/>
        <v>-5490</v>
      </c>
      <c r="H3248" s="181" t="s">
        <v>2541</v>
      </c>
    </row>
    <row r="3249" spans="1:8" s="182" customFormat="1" ht="13.5" thickBot="1" x14ac:dyDescent="0.25">
      <c r="A3249" s="611">
        <v>42920</v>
      </c>
      <c r="B3249" s="67" t="s">
        <v>25</v>
      </c>
      <c r="C3249" s="67" t="s">
        <v>64</v>
      </c>
      <c r="D3249" s="792" t="s">
        <v>2562</v>
      </c>
      <c r="E3249" s="180">
        <v>7000</v>
      </c>
      <c r="F3249" s="180"/>
      <c r="G3249" s="58">
        <f t="shared" si="54"/>
        <v>-7000</v>
      </c>
      <c r="H3249" s="181" t="s">
        <v>2541</v>
      </c>
    </row>
    <row r="3250" spans="1:8" s="182" customFormat="1" ht="13.5" thickBot="1" x14ac:dyDescent="0.25">
      <c r="A3250" s="611">
        <v>42920</v>
      </c>
      <c r="B3250" s="67" t="s">
        <v>1400</v>
      </c>
      <c r="C3250" s="67" t="s">
        <v>64</v>
      </c>
      <c r="D3250" s="792" t="s">
        <v>2360</v>
      </c>
      <c r="E3250" s="180">
        <v>1900</v>
      </c>
      <c r="F3250" s="180"/>
      <c r="G3250" s="58">
        <f t="shared" si="54"/>
        <v>-1900</v>
      </c>
      <c r="H3250" s="181" t="s">
        <v>2541</v>
      </c>
    </row>
    <row r="3251" spans="1:8" ht="13.5" thickBot="1" x14ac:dyDescent="0.25">
      <c r="A3251" s="611">
        <v>42920</v>
      </c>
      <c r="B3251" s="41" t="s">
        <v>16</v>
      </c>
      <c r="C3251" s="41" t="s">
        <v>2212</v>
      </c>
      <c r="D3251" s="129" t="s">
        <v>2213</v>
      </c>
      <c r="E3251" s="173">
        <v>2400</v>
      </c>
      <c r="F3251" s="173"/>
      <c r="G3251" s="58">
        <f t="shared" si="54"/>
        <v>-2400</v>
      </c>
      <c r="H3251" s="49" t="s">
        <v>2541</v>
      </c>
    </row>
    <row r="3252" spans="1:8" ht="13.5" thickBot="1" x14ac:dyDescent="0.25">
      <c r="A3252" s="611">
        <v>42920</v>
      </c>
      <c r="B3252" s="41" t="s">
        <v>16</v>
      </c>
      <c r="C3252" s="41" t="s">
        <v>2212</v>
      </c>
      <c r="D3252" s="129" t="s">
        <v>794</v>
      </c>
      <c r="E3252" s="173">
        <v>10000</v>
      </c>
      <c r="F3252" s="173"/>
      <c r="G3252" s="58">
        <f t="shared" si="54"/>
        <v>-10000</v>
      </c>
      <c r="H3252" s="49" t="s">
        <v>2541</v>
      </c>
    </row>
    <row r="3253" spans="1:8" ht="13.5" thickBot="1" x14ac:dyDescent="0.25">
      <c r="A3253" s="611">
        <v>42920</v>
      </c>
      <c r="B3253" s="41" t="s">
        <v>40</v>
      </c>
      <c r="C3253" s="41" t="s">
        <v>794</v>
      </c>
      <c r="D3253" s="129" t="s">
        <v>2563</v>
      </c>
      <c r="E3253" s="173">
        <v>1100</v>
      </c>
      <c r="F3253" s="173"/>
      <c r="G3253" s="58">
        <f t="shared" si="54"/>
        <v>-1100</v>
      </c>
      <c r="H3253" s="49" t="s">
        <v>2541</v>
      </c>
    </row>
    <row r="3254" spans="1:8" ht="13.5" thickBot="1" x14ac:dyDescent="0.25">
      <c r="A3254" s="611">
        <v>42920</v>
      </c>
      <c r="B3254" s="41" t="s">
        <v>2094</v>
      </c>
      <c r="C3254" s="41" t="s">
        <v>149</v>
      </c>
      <c r="D3254" s="129" t="s">
        <v>2564</v>
      </c>
      <c r="E3254" s="173">
        <v>2000</v>
      </c>
      <c r="F3254" s="173"/>
      <c r="G3254" s="58">
        <f t="shared" si="54"/>
        <v>-2000</v>
      </c>
      <c r="H3254" s="49" t="s">
        <v>2541</v>
      </c>
    </row>
    <row r="3255" spans="1:8" ht="13.5" thickBot="1" x14ac:dyDescent="0.25">
      <c r="A3255" s="611">
        <v>42921</v>
      </c>
      <c r="B3255" s="41" t="s">
        <v>2094</v>
      </c>
      <c r="C3255" s="41" t="s">
        <v>220</v>
      </c>
      <c r="D3255" s="129" t="s">
        <v>2565</v>
      </c>
      <c r="E3255" s="173">
        <v>5570</v>
      </c>
      <c r="F3255" s="173"/>
      <c r="G3255" s="58">
        <f t="shared" si="54"/>
        <v>-5570</v>
      </c>
      <c r="H3255" s="49" t="s">
        <v>2541</v>
      </c>
    </row>
    <row r="3256" spans="1:8" ht="13.5" thickBot="1" x14ac:dyDescent="0.25">
      <c r="A3256" s="611">
        <v>42922</v>
      </c>
      <c r="B3256" s="41" t="s">
        <v>82</v>
      </c>
      <c r="C3256" s="41" t="s">
        <v>668</v>
      </c>
      <c r="D3256" s="129" t="s">
        <v>2566</v>
      </c>
      <c r="E3256" s="173">
        <v>600</v>
      </c>
      <c r="F3256" s="173"/>
      <c r="G3256" s="58">
        <f t="shared" si="54"/>
        <v>-600</v>
      </c>
      <c r="H3256" s="49" t="s">
        <v>2541</v>
      </c>
    </row>
    <row r="3257" spans="1:8" ht="13.5" customHeight="1" thickBot="1" x14ac:dyDescent="0.25">
      <c r="A3257" s="611">
        <v>42922</v>
      </c>
      <c r="B3257" s="41" t="s">
        <v>18</v>
      </c>
      <c r="C3257" s="41" t="s">
        <v>668</v>
      </c>
      <c r="D3257" s="129" t="s">
        <v>2567</v>
      </c>
      <c r="E3257" s="173">
        <v>500</v>
      </c>
      <c r="F3257" s="173"/>
      <c r="G3257" s="58">
        <f t="shared" si="54"/>
        <v>-500</v>
      </c>
      <c r="H3257" s="49" t="s">
        <v>2541</v>
      </c>
    </row>
    <row r="3258" spans="1:8" ht="13.5" customHeight="1" thickBot="1" x14ac:dyDescent="0.25">
      <c r="A3258" s="611">
        <v>42922</v>
      </c>
      <c r="B3258" s="41" t="s">
        <v>2094</v>
      </c>
      <c r="C3258" s="41" t="s">
        <v>668</v>
      </c>
      <c r="D3258" s="129" t="s">
        <v>2568</v>
      </c>
      <c r="E3258" s="173">
        <v>200</v>
      </c>
      <c r="F3258" s="173"/>
      <c r="G3258" s="58">
        <f t="shared" si="54"/>
        <v>-200</v>
      </c>
      <c r="H3258" s="49" t="s">
        <v>2541</v>
      </c>
    </row>
    <row r="3259" spans="1:8" ht="13.5" customHeight="1" thickBot="1" x14ac:dyDescent="0.25">
      <c r="A3259" s="611">
        <v>42923</v>
      </c>
      <c r="B3259" s="41" t="s">
        <v>25</v>
      </c>
      <c r="C3259" s="41" t="s">
        <v>1689</v>
      </c>
      <c r="D3259" s="129" t="s">
        <v>370</v>
      </c>
      <c r="E3259" s="173">
        <v>4380</v>
      </c>
      <c r="F3259" s="173"/>
      <c r="G3259" s="58">
        <f t="shared" si="54"/>
        <v>-4380</v>
      </c>
      <c r="H3259" s="49" t="s">
        <v>2541</v>
      </c>
    </row>
    <row r="3260" spans="1:8" ht="13.5" customHeight="1" thickBot="1" x14ac:dyDescent="0.25">
      <c r="A3260" s="611">
        <v>42923</v>
      </c>
      <c r="B3260" s="41" t="s">
        <v>16</v>
      </c>
      <c r="C3260" s="41" t="s">
        <v>1689</v>
      </c>
      <c r="D3260" s="129" t="s">
        <v>370</v>
      </c>
      <c r="E3260" s="173">
        <v>8790</v>
      </c>
      <c r="F3260" s="173"/>
      <c r="G3260" s="58">
        <f t="shared" si="54"/>
        <v>-8790</v>
      </c>
      <c r="H3260" s="49" t="s">
        <v>2541</v>
      </c>
    </row>
    <row r="3261" spans="1:8" ht="13.5" customHeight="1" thickBot="1" x14ac:dyDescent="0.25">
      <c r="A3261" s="611">
        <v>42923</v>
      </c>
      <c r="B3261" s="41" t="s">
        <v>2094</v>
      </c>
      <c r="C3261" s="41" t="s">
        <v>2160</v>
      </c>
      <c r="D3261" s="129" t="s">
        <v>2569</v>
      </c>
      <c r="E3261" s="173">
        <v>15200</v>
      </c>
      <c r="F3261" s="173"/>
      <c r="G3261" s="58">
        <f t="shared" si="54"/>
        <v>-15200</v>
      </c>
      <c r="H3261" s="49" t="s">
        <v>2541</v>
      </c>
    </row>
    <row r="3262" spans="1:8" ht="13.5" customHeight="1" thickBot="1" x14ac:dyDescent="0.25">
      <c r="A3262" s="611">
        <v>42924</v>
      </c>
      <c r="B3262" s="41" t="s">
        <v>82</v>
      </c>
      <c r="C3262" s="41" t="s">
        <v>2570</v>
      </c>
      <c r="D3262" s="129" t="s">
        <v>1090</v>
      </c>
      <c r="E3262" s="173">
        <v>20000</v>
      </c>
      <c r="F3262" s="173"/>
      <c r="G3262" s="58">
        <f t="shared" si="54"/>
        <v>-20000</v>
      </c>
      <c r="H3262" s="49" t="s">
        <v>2541</v>
      </c>
    </row>
    <row r="3263" spans="1:8" ht="13.5" customHeight="1" thickBot="1" x14ac:dyDescent="0.25">
      <c r="A3263" s="611">
        <v>42926</v>
      </c>
      <c r="B3263" s="41" t="s">
        <v>2094</v>
      </c>
      <c r="C3263" s="41" t="s">
        <v>668</v>
      </c>
      <c r="D3263" s="129" t="s">
        <v>2571</v>
      </c>
      <c r="E3263" s="173">
        <v>945</v>
      </c>
      <c r="F3263" s="173"/>
      <c r="G3263" s="58">
        <f t="shared" si="54"/>
        <v>-945</v>
      </c>
      <c r="H3263" s="49" t="s">
        <v>2541</v>
      </c>
    </row>
    <row r="3264" spans="1:8" ht="13.5" customHeight="1" thickBot="1" x14ac:dyDescent="0.25">
      <c r="A3264" s="611">
        <v>42926</v>
      </c>
      <c r="B3264" s="41" t="s">
        <v>40</v>
      </c>
      <c r="C3264" s="41" t="s">
        <v>325</v>
      </c>
      <c r="D3264" s="129" t="s">
        <v>2572</v>
      </c>
      <c r="E3264" s="173">
        <v>5535</v>
      </c>
      <c r="F3264" s="173"/>
      <c r="G3264" s="58">
        <f t="shared" si="54"/>
        <v>-5535</v>
      </c>
      <c r="H3264" s="49" t="s">
        <v>2541</v>
      </c>
    </row>
    <row r="3265" spans="1:8" ht="13.5" customHeight="1" thickBot="1" x14ac:dyDescent="0.25">
      <c r="A3265" s="611">
        <v>42926</v>
      </c>
      <c r="B3265" s="41" t="s">
        <v>1400</v>
      </c>
      <c r="C3265" s="41" t="s">
        <v>64</v>
      </c>
      <c r="D3265" s="129" t="s">
        <v>2573</v>
      </c>
      <c r="E3265" s="173">
        <v>2250</v>
      </c>
      <c r="F3265" s="173"/>
      <c r="G3265" s="58">
        <f t="shared" si="54"/>
        <v>-2250</v>
      </c>
      <c r="H3265" s="49" t="s">
        <v>2541</v>
      </c>
    </row>
    <row r="3266" spans="1:8" ht="13.5" customHeight="1" thickBot="1" x14ac:dyDescent="0.25">
      <c r="A3266" s="611">
        <v>42926</v>
      </c>
      <c r="B3266" s="41" t="s">
        <v>2094</v>
      </c>
      <c r="C3266" s="41" t="s">
        <v>220</v>
      </c>
      <c r="D3266" s="129" t="s">
        <v>2574</v>
      </c>
      <c r="E3266" s="173">
        <v>2100</v>
      </c>
      <c r="F3266" s="173"/>
      <c r="G3266" s="58">
        <f t="shared" si="54"/>
        <v>-2100</v>
      </c>
      <c r="H3266" s="49" t="s">
        <v>2541</v>
      </c>
    </row>
    <row r="3267" spans="1:8" ht="13.5" customHeight="1" thickBot="1" x14ac:dyDescent="0.25">
      <c r="A3267" s="611">
        <v>42927</v>
      </c>
      <c r="B3267" s="41" t="s">
        <v>25</v>
      </c>
      <c r="C3267" s="41" t="s">
        <v>2575</v>
      </c>
      <c r="D3267" s="129" t="s">
        <v>2576</v>
      </c>
      <c r="E3267" s="173">
        <v>220</v>
      </c>
      <c r="F3267" s="173"/>
      <c r="G3267" s="58">
        <f t="shared" si="54"/>
        <v>-220</v>
      </c>
      <c r="H3267" s="49" t="s">
        <v>2541</v>
      </c>
    </row>
    <row r="3268" spans="1:8" ht="13.5" customHeight="1" thickBot="1" x14ac:dyDescent="0.25">
      <c r="A3268" s="611">
        <v>42927</v>
      </c>
      <c r="B3268" s="41" t="s">
        <v>37</v>
      </c>
      <c r="C3268" s="41" t="s">
        <v>2577</v>
      </c>
      <c r="D3268" s="129" t="s">
        <v>2576</v>
      </c>
      <c r="E3268" s="173">
        <v>38880</v>
      </c>
      <c r="F3268" s="173"/>
      <c r="G3268" s="58">
        <f t="shared" si="54"/>
        <v>-38880</v>
      </c>
      <c r="H3268" s="49" t="s">
        <v>2541</v>
      </c>
    </row>
    <row r="3269" spans="1:8" ht="13.5" customHeight="1" thickBot="1" x14ac:dyDescent="0.25">
      <c r="A3269" s="611">
        <v>42927</v>
      </c>
      <c r="B3269" s="41" t="s">
        <v>1400</v>
      </c>
      <c r="C3269" s="41" t="s">
        <v>64</v>
      </c>
      <c r="D3269" s="129" t="s">
        <v>2578</v>
      </c>
      <c r="E3269" s="173">
        <v>800</v>
      </c>
      <c r="F3269" s="173"/>
      <c r="G3269" s="58">
        <f t="shared" si="54"/>
        <v>-800</v>
      </c>
      <c r="H3269" s="49" t="s">
        <v>2541</v>
      </c>
    </row>
    <row r="3270" spans="1:8" ht="13.5" customHeight="1" thickBot="1" x14ac:dyDescent="0.25">
      <c r="A3270" s="611">
        <v>42928</v>
      </c>
      <c r="B3270" s="41" t="s">
        <v>25</v>
      </c>
      <c r="C3270" s="41" t="s">
        <v>2060</v>
      </c>
      <c r="D3270" s="129" t="s">
        <v>2116</v>
      </c>
      <c r="E3270" s="173">
        <v>2400</v>
      </c>
      <c r="F3270" s="173"/>
      <c r="G3270" s="58">
        <f t="shared" si="54"/>
        <v>-2400</v>
      </c>
      <c r="H3270" s="49" t="s">
        <v>2541</v>
      </c>
    </row>
    <row r="3271" spans="1:8" ht="13.5" customHeight="1" thickBot="1" x14ac:dyDescent="0.25">
      <c r="A3271" s="611">
        <v>42928</v>
      </c>
      <c r="B3271" s="41" t="s">
        <v>1400</v>
      </c>
      <c r="C3271" s="41" t="s">
        <v>1704</v>
      </c>
      <c r="D3271" s="129" t="s">
        <v>1410</v>
      </c>
      <c r="E3271" s="173">
        <v>480</v>
      </c>
      <c r="F3271" s="173"/>
      <c r="G3271" s="58">
        <f t="shared" si="54"/>
        <v>-480</v>
      </c>
      <c r="H3271" s="49" t="s">
        <v>2541</v>
      </c>
    </row>
    <row r="3272" spans="1:8" ht="13.5" customHeight="1" thickBot="1" x14ac:dyDescent="0.25">
      <c r="A3272" s="611">
        <v>42929</v>
      </c>
      <c r="B3272" s="41" t="s">
        <v>40</v>
      </c>
      <c r="C3272" s="41" t="s">
        <v>325</v>
      </c>
      <c r="D3272" s="129" t="s">
        <v>2579</v>
      </c>
      <c r="E3272" s="173">
        <v>1150</v>
      </c>
      <c r="F3272" s="173"/>
      <c r="G3272" s="58">
        <f t="shared" si="54"/>
        <v>-1150</v>
      </c>
      <c r="H3272" s="49" t="s">
        <v>2541</v>
      </c>
    </row>
    <row r="3273" spans="1:8" ht="13.5" customHeight="1" thickBot="1" x14ac:dyDescent="0.25">
      <c r="A3273" s="611">
        <v>42929</v>
      </c>
      <c r="B3273" s="41" t="s">
        <v>18</v>
      </c>
      <c r="C3273" s="41" t="s">
        <v>325</v>
      </c>
      <c r="D3273" s="129" t="s">
        <v>2579</v>
      </c>
      <c r="E3273" s="173">
        <v>1550</v>
      </c>
      <c r="F3273" s="173"/>
      <c r="G3273" s="58">
        <f t="shared" ref="G3273:G3336" si="55">F3273-E3273</f>
        <v>-1550</v>
      </c>
      <c r="H3273" s="49" t="s">
        <v>2541</v>
      </c>
    </row>
    <row r="3274" spans="1:8" ht="13.5" customHeight="1" thickBot="1" x14ac:dyDescent="0.25">
      <c r="A3274" s="611">
        <v>42930</v>
      </c>
      <c r="B3274" s="41" t="s">
        <v>25</v>
      </c>
      <c r="C3274" s="41" t="s">
        <v>1916</v>
      </c>
      <c r="D3274" s="129" t="s">
        <v>2580</v>
      </c>
      <c r="E3274" s="173">
        <v>500</v>
      </c>
      <c r="F3274" s="173"/>
      <c r="G3274" s="58">
        <f t="shared" si="55"/>
        <v>-500</v>
      </c>
      <c r="H3274" s="49" t="s">
        <v>2541</v>
      </c>
    </row>
    <row r="3275" spans="1:8" ht="13.5" customHeight="1" thickBot="1" x14ac:dyDescent="0.25">
      <c r="A3275" s="611">
        <v>42931</v>
      </c>
      <c r="B3275" s="41" t="s">
        <v>2094</v>
      </c>
      <c r="C3275" s="41" t="s">
        <v>2002</v>
      </c>
      <c r="D3275" s="129" t="s">
        <v>2581</v>
      </c>
      <c r="E3275" s="173">
        <v>1000</v>
      </c>
      <c r="F3275" s="173"/>
      <c r="G3275" s="58">
        <f t="shared" si="55"/>
        <v>-1000</v>
      </c>
      <c r="H3275" s="49" t="s">
        <v>2541</v>
      </c>
    </row>
    <row r="3276" spans="1:8" ht="13.5" customHeight="1" thickBot="1" x14ac:dyDescent="0.25">
      <c r="A3276" s="611">
        <v>42931</v>
      </c>
      <c r="B3276" s="41" t="s">
        <v>25</v>
      </c>
      <c r="C3276" s="41" t="s">
        <v>2060</v>
      </c>
      <c r="D3276" s="129" t="s">
        <v>286</v>
      </c>
      <c r="E3276" s="173">
        <v>1000</v>
      </c>
      <c r="F3276" s="173"/>
      <c r="G3276" s="58">
        <f t="shared" si="55"/>
        <v>-1000</v>
      </c>
      <c r="H3276" s="49" t="s">
        <v>2541</v>
      </c>
    </row>
    <row r="3277" spans="1:8" ht="24.75" customHeight="1" thickBot="1" x14ac:dyDescent="0.25">
      <c r="A3277" s="611">
        <v>42931</v>
      </c>
      <c r="B3277" s="41" t="s">
        <v>2094</v>
      </c>
      <c r="C3277" s="41" t="s">
        <v>450</v>
      </c>
      <c r="D3277" s="129" t="s">
        <v>2582</v>
      </c>
      <c r="E3277" s="173">
        <v>5950</v>
      </c>
      <c r="F3277" s="173"/>
      <c r="G3277" s="58">
        <f t="shared" si="55"/>
        <v>-5950</v>
      </c>
      <c r="H3277" s="49" t="s">
        <v>2541</v>
      </c>
    </row>
    <row r="3278" spans="1:8" ht="13.5" customHeight="1" thickBot="1" x14ac:dyDescent="0.25">
      <c r="A3278" s="611">
        <v>42931</v>
      </c>
      <c r="B3278" s="41" t="s">
        <v>37</v>
      </c>
      <c r="C3278" s="41" t="s">
        <v>194</v>
      </c>
      <c r="D3278" s="129" t="s">
        <v>2583</v>
      </c>
      <c r="E3278" s="173">
        <v>1885</v>
      </c>
      <c r="F3278" s="173"/>
      <c r="G3278" s="58">
        <f t="shared" si="55"/>
        <v>-1885</v>
      </c>
      <c r="H3278" s="49" t="s">
        <v>2541</v>
      </c>
    </row>
    <row r="3279" spans="1:8" ht="13.5" customHeight="1" thickBot="1" x14ac:dyDescent="0.25">
      <c r="A3279" s="611">
        <v>42931</v>
      </c>
      <c r="B3279" s="41" t="s">
        <v>37</v>
      </c>
      <c r="C3279" s="41" t="s">
        <v>194</v>
      </c>
      <c r="D3279" s="129" t="s">
        <v>2584</v>
      </c>
      <c r="E3279" s="173">
        <v>250</v>
      </c>
      <c r="F3279" s="173"/>
      <c r="G3279" s="58">
        <f t="shared" si="55"/>
        <v>-250</v>
      </c>
      <c r="H3279" s="49" t="s">
        <v>2541</v>
      </c>
    </row>
    <row r="3280" spans="1:8" ht="13.5" customHeight="1" thickBot="1" x14ac:dyDescent="0.25">
      <c r="A3280" s="611">
        <v>42931</v>
      </c>
      <c r="B3280" s="41" t="s">
        <v>2094</v>
      </c>
      <c r="C3280" s="41" t="s">
        <v>220</v>
      </c>
      <c r="D3280" s="129" t="s">
        <v>2585</v>
      </c>
      <c r="E3280" s="173">
        <v>630</v>
      </c>
      <c r="F3280" s="173"/>
      <c r="G3280" s="58">
        <f t="shared" si="55"/>
        <v>-630</v>
      </c>
      <c r="H3280" s="49" t="s">
        <v>2541</v>
      </c>
    </row>
    <row r="3281" spans="1:8" ht="13.5" customHeight="1" thickBot="1" x14ac:dyDescent="0.25">
      <c r="A3281" s="611">
        <v>42931</v>
      </c>
      <c r="B3281" s="41" t="s">
        <v>25</v>
      </c>
      <c r="C3281" s="41" t="s">
        <v>2060</v>
      </c>
      <c r="D3281" s="129" t="s">
        <v>2431</v>
      </c>
      <c r="E3281" s="173">
        <v>1000</v>
      </c>
      <c r="F3281" s="173"/>
      <c r="G3281" s="58">
        <f t="shared" si="55"/>
        <v>-1000</v>
      </c>
      <c r="H3281" s="49" t="s">
        <v>2541</v>
      </c>
    </row>
    <row r="3282" spans="1:8" ht="13.5" customHeight="1" thickBot="1" x14ac:dyDescent="0.25">
      <c r="A3282" s="611">
        <v>42933</v>
      </c>
      <c r="B3282" s="63" t="s">
        <v>18</v>
      </c>
      <c r="C3282" s="63" t="s">
        <v>111</v>
      </c>
      <c r="D3282" s="183" t="s">
        <v>2587</v>
      </c>
      <c r="E3282" s="184">
        <v>3250</v>
      </c>
      <c r="F3282" s="184"/>
      <c r="G3282" s="58">
        <f t="shared" si="55"/>
        <v>-3250</v>
      </c>
      <c r="H3282" s="49" t="s">
        <v>2541</v>
      </c>
    </row>
    <row r="3283" spans="1:8" ht="13.5" customHeight="1" thickBot="1" x14ac:dyDescent="0.25">
      <c r="A3283" s="611">
        <v>42933</v>
      </c>
      <c r="B3283" s="41" t="s">
        <v>2094</v>
      </c>
      <c r="C3283" s="41" t="s">
        <v>450</v>
      </c>
      <c r="D3283" s="129" t="s">
        <v>2588</v>
      </c>
      <c r="E3283" s="173">
        <v>1720</v>
      </c>
      <c r="F3283" s="173"/>
      <c r="G3283" s="58">
        <f t="shared" si="55"/>
        <v>-1720</v>
      </c>
      <c r="H3283" s="49" t="s">
        <v>2541</v>
      </c>
    </row>
    <row r="3284" spans="1:8" ht="13.5" customHeight="1" thickBot="1" x14ac:dyDescent="0.25">
      <c r="A3284" s="611">
        <v>42933</v>
      </c>
      <c r="B3284" s="41" t="s">
        <v>2094</v>
      </c>
      <c r="C3284" s="41" t="s">
        <v>149</v>
      </c>
      <c r="D3284" s="129" t="s">
        <v>2589</v>
      </c>
      <c r="E3284" s="173">
        <v>2440</v>
      </c>
      <c r="F3284" s="173"/>
      <c r="G3284" s="58">
        <f t="shared" si="55"/>
        <v>-2440</v>
      </c>
      <c r="H3284" s="49" t="s">
        <v>2541</v>
      </c>
    </row>
    <row r="3285" spans="1:8" ht="13.5" customHeight="1" thickBot="1" x14ac:dyDescent="0.25">
      <c r="A3285" s="611">
        <v>42933</v>
      </c>
      <c r="B3285" s="41" t="s">
        <v>1400</v>
      </c>
      <c r="C3285" s="41" t="s">
        <v>64</v>
      </c>
      <c r="D3285" s="129" t="s">
        <v>2590</v>
      </c>
      <c r="E3285" s="173">
        <v>500</v>
      </c>
      <c r="F3285" s="173"/>
      <c r="G3285" s="58">
        <f t="shared" si="55"/>
        <v>-500</v>
      </c>
      <c r="H3285" s="49" t="s">
        <v>2541</v>
      </c>
    </row>
    <row r="3286" spans="1:8" ht="24.75" customHeight="1" thickBot="1" x14ac:dyDescent="0.25">
      <c r="A3286" s="611">
        <v>42933</v>
      </c>
      <c r="B3286" s="41" t="s">
        <v>1400</v>
      </c>
      <c r="C3286" s="41" t="s">
        <v>64</v>
      </c>
      <c r="D3286" s="129" t="s">
        <v>2591</v>
      </c>
      <c r="E3286" s="173">
        <v>3360</v>
      </c>
      <c r="F3286" s="173"/>
      <c r="G3286" s="58">
        <f t="shared" si="55"/>
        <v>-3360</v>
      </c>
      <c r="H3286" s="49" t="s">
        <v>2541</v>
      </c>
    </row>
    <row r="3287" spans="1:8" ht="13.5" customHeight="1" thickBot="1" x14ac:dyDescent="0.25">
      <c r="A3287" s="611">
        <v>42935</v>
      </c>
      <c r="B3287" s="41" t="s">
        <v>40</v>
      </c>
      <c r="C3287" s="41" t="s">
        <v>2557</v>
      </c>
      <c r="D3287" s="129" t="s">
        <v>2592</v>
      </c>
      <c r="E3287" s="173">
        <v>200</v>
      </c>
      <c r="F3287" s="173"/>
      <c r="G3287" s="58">
        <f t="shared" si="55"/>
        <v>-200</v>
      </c>
      <c r="H3287" s="49" t="s">
        <v>2541</v>
      </c>
    </row>
    <row r="3288" spans="1:8" ht="13.5" customHeight="1" thickBot="1" x14ac:dyDescent="0.25">
      <c r="A3288" s="611">
        <v>42935</v>
      </c>
      <c r="B3288" s="41" t="s">
        <v>2094</v>
      </c>
      <c r="C3288" s="41" t="s">
        <v>1448</v>
      </c>
      <c r="D3288" s="129" t="s">
        <v>2431</v>
      </c>
      <c r="E3288" s="173">
        <v>100</v>
      </c>
      <c r="F3288" s="173"/>
      <c r="G3288" s="58">
        <f t="shared" si="55"/>
        <v>-100</v>
      </c>
      <c r="H3288" s="49" t="s">
        <v>2541</v>
      </c>
    </row>
    <row r="3289" spans="1:8" ht="13.5" customHeight="1" thickBot="1" x14ac:dyDescent="0.25">
      <c r="A3289" s="611">
        <v>42936</v>
      </c>
      <c r="B3289" s="41" t="s">
        <v>1691</v>
      </c>
      <c r="C3289" s="41" t="s">
        <v>780</v>
      </c>
      <c r="D3289" s="129" t="s">
        <v>72</v>
      </c>
      <c r="E3289" s="173">
        <v>9000</v>
      </c>
      <c r="F3289" s="173"/>
      <c r="G3289" s="58">
        <f t="shared" si="55"/>
        <v>-9000</v>
      </c>
      <c r="H3289" s="49" t="s">
        <v>2541</v>
      </c>
    </row>
    <row r="3290" spans="1:8" ht="13.5" thickBot="1" x14ac:dyDescent="0.25">
      <c r="A3290" s="611">
        <v>42936</v>
      </c>
      <c r="B3290" s="41" t="s">
        <v>1400</v>
      </c>
      <c r="C3290" s="41" t="s">
        <v>780</v>
      </c>
      <c r="D3290" s="129" t="s">
        <v>72</v>
      </c>
      <c r="E3290" s="173">
        <v>38416</v>
      </c>
      <c r="F3290" s="173"/>
      <c r="G3290" s="58">
        <f t="shared" si="55"/>
        <v>-38416</v>
      </c>
      <c r="H3290" s="49" t="s">
        <v>2541</v>
      </c>
    </row>
    <row r="3291" spans="1:8" ht="13.5" thickBot="1" x14ac:dyDescent="0.25">
      <c r="A3291" s="611">
        <v>42936</v>
      </c>
      <c r="B3291" s="41" t="s">
        <v>2094</v>
      </c>
      <c r="C3291" s="41" t="s">
        <v>2160</v>
      </c>
      <c r="D3291" s="129" t="s">
        <v>2593</v>
      </c>
      <c r="E3291" s="173">
        <v>3000</v>
      </c>
      <c r="F3291" s="173"/>
      <c r="G3291" s="58">
        <f t="shared" si="55"/>
        <v>-3000</v>
      </c>
      <c r="H3291" s="49" t="s">
        <v>2541</v>
      </c>
    </row>
    <row r="3292" spans="1:8" ht="13.5" thickBot="1" x14ac:dyDescent="0.25">
      <c r="A3292" s="611">
        <v>42938</v>
      </c>
      <c r="B3292" s="41" t="s">
        <v>25</v>
      </c>
      <c r="C3292" s="41" t="s">
        <v>2060</v>
      </c>
      <c r="D3292" s="129" t="s">
        <v>286</v>
      </c>
      <c r="E3292" s="173">
        <v>1000</v>
      </c>
      <c r="F3292" s="173"/>
      <c r="G3292" s="58">
        <f t="shared" si="55"/>
        <v>-1000</v>
      </c>
      <c r="H3292" s="49" t="s">
        <v>2541</v>
      </c>
    </row>
    <row r="3293" spans="1:8" ht="13.5" thickBot="1" x14ac:dyDescent="0.25">
      <c r="A3293" s="611">
        <v>42940</v>
      </c>
      <c r="B3293" s="41" t="s">
        <v>40</v>
      </c>
      <c r="C3293" s="41" t="s">
        <v>2594</v>
      </c>
      <c r="D3293" s="129" t="s">
        <v>2595</v>
      </c>
      <c r="E3293" s="173">
        <v>990</v>
      </c>
      <c r="F3293" s="173"/>
      <c r="G3293" s="58">
        <f t="shared" si="55"/>
        <v>-990</v>
      </c>
      <c r="H3293" s="49" t="s">
        <v>2541</v>
      </c>
    </row>
    <row r="3294" spans="1:8" ht="13.5" thickBot="1" x14ac:dyDescent="0.25">
      <c r="A3294" s="611">
        <v>42940</v>
      </c>
      <c r="B3294" s="41" t="s">
        <v>40</v>
      </c>
      <c r="C3294" s="41" t="s">
        <v>2594</v>
      </c>
      <c r="D3294" s="129" t="s">
        <v>2596</v>
      </c>
      <c r="E3294" s="173">
        <v>38600</v>
      </c>
      <c r="F3294" s="173"/>
      <c r="G3294" s="58">
        <f t="shared" si="55"/>
        <v>-38600</v>
      </c>
      <c r="H3294" s="49" t="s">
        <v>2541</v>
      </c>
    </row>
    <row r="3295" spans="1:8" ht="13.5" thickBot="1" x14ac:dyDescent="0.25">
      <c r="A3295" s="611">
        <v>42941</v>
      </c>
      <c r="B3295" s="41" t="s">
        <v>40</v>
      </c>
      <c r="C3295" s="41" t="s">
        <v>450</v>
      </c>
      <c r="D3295" s="129" t="s">
        <v>2597</v>
      </c>
      <c r="E3295" s="173">
        <v>3250</v>
      </c>
      <c r="F3295" s="173"/>
      <c r="G3295" s="58">
        <f t="shared" si="55"/>
        <v>-3250</v>
      </c>
      <c r="H3295" s="49" t="s">
        <v>2541</v>
      </c>
    </row>
    <row r="3296" spans="1:8" ht="13.5" thickBot="1" x14ac:dyDescent="0.25">
      <c r="A3296" s="611">
        <v>42941</v>
      </c>
      <c r="B3296" s="41" t="s">
        <v>2094</v>
      </c>
      <c r="C3296" s="41" t="s">
        <v>450</v>
      </c>
      <c r="D3296" s="129" t="s">
        <v>286</v>
      </c>
      <c r="E3296" s="173">
        <v>200</v>
      </c>
      <c r="F3296" s="173"/>
      <c r="G3296" s="58">
        <f t="shared" si="55"/>
        <v>-200</v>
      </c>
      <c r="H3296" s="49" t="s">
        <v>2541</v>
      </c>
    </row>
    <row r="3297" spans="1:8" ht="13.5" thickBot="1" x14ac:dyDescent="0.25">
      <c r="A3297" s="611">
        <v>42941</v>
      </c>
      <c r="B3297" s="41" t="s">
        <v>40</v>
      </c>
      <c r="C3297" s="41" t="s">
        <v>668</v>
      </c>
      <c r="D3297" s="129" t="s">
        <v>2598</v>
      </c>
      <c r="E3297" s="173">
        <v>1100</v>
      </c>
      <c r="F3297" s="173"/>
      <c r="G3297" s="58">
        <f t="shared" si="55"/>
        <v>-1100</v>
      </c>
      <c r="H3297" s="49" t="s">
        <v>2541</v>
      </c>
    </row>
    <row r="3298" spans="1:8" ht="13.5" thickBot="1" x14ac:dyDescent="0.25">
      <c r="A3298" s="611">
        <v>42941</v>
      </c>
      <c r="B3298" s="41" t="s">
        <v>2548</v>
      </c>
      <c r="C3298" s="41" t="s">
        <v>668</v>
      </c>
      <c r="D3298" s="129" t="s">
        <v>2599</v>
      </c>
      <c r="E3298" s="173">
        <v>100</v>
      </c>
      <c r="F3298" s="173"/>
      <c r="G3298" s="58">
        <f t="shared" si="55"/>
        <v>-100</v>
      </c>
      <c r="H3298" s="49" t="s">
        <v>2541</v>
      </c>
    </row>
    <row r="3299" spans="1:8" ht="13.5" thickBot="1" x14ac:dyDescent="0.25">
      <c r="A3299" s="611">
        <v>42941</v>
      </c>
      <c r="B3299" s="41" t="s">
        <v>25</v>
      </c>
      <c r="C3299" s="41" t="s">
        <v>1689</v>
      </c>
      <c r="D3299" s="129" t="s">
        <v>370</v>
      </c>
      <c r="E3299" s="173">
        <v>36389</v>
      </c>
      <c r="F3299" s="173"/>
      <c r="G3299" s="58">
        <f t="shared" si="55"/>
        <v>-36389</v>
      </c>
      <c r="H3299" s="49" t="s">
        <v>2541</v>
      </c>
    </row>
    <row r="3300" spans="1:8" ht="13.5" thickBot="1" x14ac:dyDescent="0.25">
      <c r="A3300" s="611">
        <v>42941</v>
      </c>
      <c r="B3300" s="41" t="s">
        <v>16</v>
      </c>
      <c r="C3300" s="41" t="s">
        <v>1689</v>
      </c>
      <c r="D3300" s="129" t="s">
        <v>370</v>
      </c>
      <c r="E3300" s="173">
        <v>14502</v>
      </c>
      <c r="F3300" s="173"/>
      <c r="G3300" s="58">
        <f t="shared" si="55"/>
        <v>-14502</v>
      </c>
      <c r="H3300" s="49" t="s">
        <v>2541</v>
      </c>
    </row>
    <row r="3301" spans="1:8" ht="13.5" thickBot="1" x14ac:dyDescent="0.25">
      <c r="A3301" s="611">
        <v>42941</v>
      </c>
      <c r="B3301" s="41" t="s">
        <v>25</v>
      </c>
      <c r="C3301" s="41" t="s">
        <v>551</v>
      </c>
      <c r="D3301" s="129" t="s">
        <v>2600</v>
      </c>
      <c r="E3301" s="173">
        <v>10000</v>
      </c>
      <c r="F3301" s="173"/>
      <c r="G3301" s="58">
        <f t="shared" si="55"/>
        <v>-10000</v>
      </c>
      <c r="H3301" s="49" t="s">
        <v>2541</v>
      </c>
    </row>
    <row r="3302" spans="1:8" ht="13.5" thickBot="1" x14ac:dyDescent="0.25">
      <c r="A3302" s="611">
        <v>42941</v>
      </c>
      <c r="B3302" s="41" t="s">
        <v>40</v>
      </c>
      <c r="C3302" s="41" t="s">
        <v>2594</v>
      </c>
      <c r="D3302" s="129" t="s">
        <v>286</v>
      </c>
      <c r="E3302" s="173">
        <v>2000</v>
      </c>
      <c r="F3302" s="173"/>
      <c r="G3302" s="58">
        <f t="shared" si="55"/>
        <v>-2000</v>
      </c>
      <c r="H3302" s="49" t="s">
        <v>2541</v>
      </c>
    </row>
    <row r="3303" spans="1:8" ht="13.5" thickBot="1" x14ac:dyDescent="0.25">
      <c r="A3303" s="611">
        <v>42941</v>
      </c>
      <c r="B3303" s="41" t="s">
        <v>2094</v>
      </c>
      <c r="C3303" s="41" t="s">
        <v>2452</v>
      </c>
      <c r="D3303" s="129" t="s">
        <v>2602</v>
      </c>
      <c r="E3303" s="173">
        <v>15000</v>
      </c>
      <c r="F3303" s="173"/>
      <c r="G3303" s="58">
        <f t="shared" si="55"/>
        <v>-15000</v>
      </c>
      <c r="H3303" s="49" t="s">
        <v>2541</v>
      </c>
    </row>
    <row r="3304" spans="1:8" ht="13.5" thickBot="1" x14ac:dyDescent="0.25">
      <c r="A3304" s="611">
        <v>42942</v>
      </c>
      <c r="B3304" s="41" t="s">
        <v>40</v>
      </c>
      <c r="C3304" s="41" t="s">
        <v>149</v>
      </c>
      <c r="D3304" s="129" t="s">
        <v>2603</v>
      </c>
      <c r="E3304" s="173">
        <v>5490</v>
      </c>
      <c r="F3304" s="173"/>
      <c r="G3304" s="58">
        <f t="shared" si="55"/>
        <v>-5490</v>
      </c>
      <c r="H3304" s="49" t="s">
        <v>2541</v>
      </c>
    </row>
    <row r="3305" spans="1:8" ht="13.5" thickBot="1" x14ac:dyDescent="0.25">
      <c r="A3305" s="611">
        <v>42942</v>
      </c>
      <c r="B3305" s="41" t="s">
        <v>40</v>
      </c>
      <c r="C3305" s="41" t="s">
        <v>325</v>
      </c>
      <c r="D3305" s="129" t="s">
        <v>2604</v>
      </c>
      <c r="E3305" s="173">
        <v>2100</v>
      </c>
      <c r="F3305" s="173"/>
      <c r="G3305" s="58">
        <f t="shared" si="55"/>
        <v>-2100</v>
      </c>
      <c r="H3305" s="49" t="s">
        <v>2541</v>
      </c>
    </row>
    <row r="3306" spans="1:8" ht="13.5" thickBot="1" x14ac:dyDescent="0.25">
      <c r="A3306" s="611">
        <v>42942</v>
      </c>
      <c r="B3306" s="41" t="s">
        <v>40</v>
      </c>
      <c r="C3306" s="41" t="s">
        <v>1704</v>
      </c>
      <c r="D3306" s="129" t="s">
        <v>1410</v>
      </c>
      <c r="E3306" s="173">
        <v>4360</v>
      </c>
      <c r="F3306" s="173"/>
      <c r="G3306" s="58">
        <f t="shared" si="55"/>
        <v>-4360</v>
      </c>
      <c r="H3306" s="49" t="s">
        <v>2541</v>
      </c>
    </row>
    <row r="3307" spans="1:8" ht="13.5" thickBot="1" x14ac:dyDescent="0.25">
      <c r="A3307" s="611">
        <v>42942</v>
      </c>
      <c r="B3307" s="41" t="s">
        <v>40</v>
      </c>
      <c r="C3307" s="41" t="s">
        <v>2557</v>
      </c>
      <c r="D3307" s="129" t="s">
        <v>2605</v>
      </c>
      <c r="E3307" s="173">
        <v>1350</v>
      </c>
      <c r="F3307" s="173"/>
      <c r="G3307" s="58">
        <f t="shared" si="55"/>
        <v>-1350</v>
      </c>
      <c r="H3307" s="49" t="s">
        <v>2541</v>
      </c>
    </row>
    <row r="3308" spans="1:8" ht="13.5" thickBot="1" x14ac:dyDescent="0.25">
      <c r="A3308" s="611">
        <v>42942</v>
      </c>
      <c r="B3308" s="41" t="s">
        <v>40</v>
      </c>
      <c r="C3308" s="41" t="s">
        <v>1448</v>
      </c>
      <c r="D3308" s="129" t="s">
        <v>2606</v>
      </c>
      <c r="E3308" s="173">
        <v>50</v>
      </c>
      <c r="F3308" s="173"/>
      <c r="G3308" s="58">
        <f t="shared" si="55"/>
        <v>-50</v>
      </c>
      <c r="H3308" s="49" t="s">
        <v>2541</v>
      </c>
    </row>
    <row r="3309" spans="1:8" ht="13.5" thickBot="1" x14ac:dyDescent="0.25">
      <c r="A3309" s="611">
        <v>42944</v>
      </c>
      <c r="B3309" s="41" t="s">
        <v>2094</v>
      </c>
      <c r="C3309" s="41" t="s">
        <v>551</v>
      </c>
      <c r="D3309" s="1109" t="s">
        <v>2607</v>
      </c>
      <c r="E3309" s="173">
        <v>3900</v>
      </c>
      <c r="F3309" s="173"/>
      <c r="G3309" s="58">
        <f t="shared" si="55"/>
        <v>-3900</v>
      </c>
      <c r="H3309" s="49" t="s">
        <v>2541</v>
      </c>
    </row>
    <row r="3310" spans="1:8" ht="24.75" thickBot="1" x14ac:dyDescent="0.25">
      <c r="A3310" s="611">
        <v>42945</v>
      </c>
      <c r="B3310" s="41" t="s">
        <v>1400</v>
      </c>
      <c r="C3310" s="41" t="s">
        <v>780</v>
      </c>
      <c r="D3310" s="129" t="s">
        <v>2608</v>
      </c>
      <c r="E3310" s="173">
        <v>50380</v>
      </c>
      <c r="F3310" s="173"/>
      <c r="G3310" s="58">
        <f t="shared" si="55"/>
        <v>-50380</v>
      </c>
      <c r="H3310" s="49" t="s">
        <v>2541</v>
      </c>
    </row>
    <row r="3311" spans="1:8" ht="15.75" customHeight="1" thickBot="1" x14ac:dyDescent="0.3">
      <c r="A3311" s="606">
        <v>42924</v>
      </c>
      <c r="B3311" s="174" t="s">
        <v>40</v>
      </c>
      <c r="C3311" s="174" t="s">
        <v>298</v>
      </c>
      <c r="D3311" s="118" t="s">
        <v>2542</v>
      </c>
      <c r="E3311" s="155">
        <v>100000</v>
      </c>
      <c r="F3311" s="155"/>
      <c r="G3311" s="155">
        <f t="shared" si="55"/>
        <v>-100000</v>
      </c>
      <c r="H3311" s="163" t="s">
        <v>2541</v>
      </c>
    </row>
    <row r="3312" spans="1:8" ht="15.75" customHeight="1" thickBot="1" x14ac:dyDescent="0.3">
      <c r="A3312" s="606">
        <v>42927</v>
      </c>
      <c r="B3312" s="174" t="s">
        <v>2094</v>
      </c>
      <c r="C3312" s="174" t="s">
        <v>2128</v>
      </c>
      <c r="D3312" s="118" t="s">
        <v>2543</v>
      </c>
      <c r="E3312" s="155">
        <v>500000</v>
      </c>
      <c r="F3312" s="155"/>
      <c r="G3312" s="155">
        <f t="shared" si="55"/>
        <v>-500000</v>
      </c>
      <c r="H3312" s="163" t="s">
        <v>2541</v>
      </c>
    </row>
    <row r="3313" spans="1:8" ht="15.75" customHeight="1" thickBot="1" x14ac:dyDescent="0.3">
      <c r="A3313" s="606">
        <v>42927</v>
      </c>
      <c r="B3313" s="174" t="s">
        <v>2094</v>
      </c>
      <c r="C3313" s="174" t="s">
        <v>2128</v>
      </c>
      <c r="D3313" s="118" t="s">
        <v>1157</v>
      </c>
      <c r="E3313" s="155">
        <v>9140</v>
      </c>
      <c r="F3313" s="155"/>
      <c r="G3313" s="155">
        <f t="shared" si="55"/>
        <v>-9140</v>
      </c>
      <c r="H3313" s="163" t="s">
        <v>2541</v>
      </c>
    </row>
    <row r="3314" spans="1:8" ht="25.5" customHeight="1" thickBot="1" x14ac:dyDescent="0.3">
      <c r="A3314" s="606">
        <v>42944</v>
      </c>
      <c r="B3314" s="174" t="s">
        <v>1400</v>
      </c>
      <c r="C3314" s="174" t="s">
        <v>137</v>
      </c>
      <c r="D3314" s="118" t="s">
        <v>2549</v>
      </c>
      <c r="E3314" s="155">
        <v>41500</v>
      </c>
      <c r="F3314" s="155"/>
      <c r="G3314" s="155">
        <f t="shared" si="55"/>
        <v>-41500</v>
      </c>
      <c r="H3314" s="163" t="s">
        <v>2541</v>
      </c>
    </row>
    <row r="3315" spans="1:8" ht="37.5" customHeight="1" thickBot="1" x14ac:dyDescent="0.3">
      <c r="A3315" s="606">
        <v>42947</v>
      </c>
      <c r="B3315" s="174" t="s">
        <v>2094</v>
      </c>
      <c r="C3315" s="174" t="s">
        <v>895</v>
      </c>
      <c r="D3315" s="118" t="s">
        <v>2550</v>
      </c>
      <c r="E3315" s="155">
        <v>49800</v>
      </c>
      <c r="F3315" s="155"/>
      <c r="G3315" s="155">
        <f t="shared" si="55"/>
        <v>-49800</v>
      </c>
      <c r="H3315" s="163" t="s">
        <v>2541</v>
      </c>
    </row>
    <row r="3316" spans="1:8" x14ac:dyDescent="0.2">
      <c r="A3316" s="599">
        <v>42922</v>
      </c>
      <c r="B3316" s="91" t="s">
        <v>37</v>
      </c>
      <c r="C3316" s="91" t="s">
        <v>559</v>
      </c>
      <c r="D3316" s="801" t="s">
        <v>2540</v>
      </c>
      <c r="E3316" s="92"/>
      <c r="F3316" s="92">
        <v>157140</v>
      </c>
      <c r="G3316" s="92">
        <f t="shared" si="55"/>
        <v>157140</v>
      </c>
      <c r="H3316" s="93" t="s">
        <v>2541</v>
      </c>
    </row>
    <row r="3317" spans="1:8" x14ac:dyDescent="0.2">
      <c r="A3317" s="599">
        <v>42931</v>
      </c>
      <c r="B3317" s="94" t="s">
        <v>1493</v>
      </c>
      <c r="C3317" s="94" t="s">
        <v>559</v>
      </c>
      <c r="D3317" s="802" t="s">
        <v>2544</v>
      </c>
      <c r="E3317" s="176"/>
      <c r="F3317" s="176">
        <v>651690</v>
      </c>
      <c r="G3317" s="176">
        <f t="shared" si="55"/>
        <v>651690</v>
      </c>
      <c r="H3317" s="177" t="s">
        <v>2541</v>
      </c>
    </row>
    <row r="3318" spans="1:8" x14ac:dyDescent="0.2">
      <c r="A3318" s="599">
        <v>42947</v>
      </c>
      <c r="B3318" s="91" t="s">
        <v>40</v>
      </c>
      <c r="C3318" s="94" t="s">
        <v>559</v>
      </c>
      <c r="D3318" s="801" t="s">
        <v>2545</v>
      </c>
      <c r="E3318" s="92"/>
      <c r="F3318" s="92">
        <v>1510800</v>
      </c>
      <c r="G3318" s="92">
        <f t="shared" si="55"/>
        <v>1510800</v>
      </c>
      <c r="H3318" s="177" t="s">
        <v>2541</v>
      </c>
    </row>
    <row r="3319" spans="1:8" x14ac:dyDescent="0.2">
      <c r="A3319" s="596">
        <v>42948</v>
      </c>
      <c r="B3319" s="41" t="s">
        <v>2548</v>
      </c>
      <c r="C3319" s="63" t="s">
        <v>1230</v>
      </c>
      <c r="D3319" s="108" t="s">
        <v>1837</v>
      </c>
      <c r="E3319" s="173">
        <v>26000</v>
      </c>
      <c r="F3319" s="41"/>
      <c r="G3319" s="58">
        <f t="shared" si="55"/>
        <v>-26000</v>
      </c>
      <c r="H3319" s="127" t="s">
        <v>2552</v>
      </c>
    </row>
    <row r="3320" spans="1:8" x14ac:dyDescent="0.2">
      <c r="A3320" s="596">
        <v>42948</v>
      </c>
      <c r="B3320" s="41" t="s">
        <v>25</v>
      </c>
      <c r="C3320" s="63" t="s">
        <v>1230</v>
      </c>
      <c r="D3320" s="108" t="s">
        <v>1839</v>
      </c>
      <c r="E3320" s="173">
        <v>6500</v>
      </c>
      <c r="F3320" s="41"/>
      <c r="G3320" s="58">
        <f t="shared" si="55"/>
        <v>-6500</v>
      </c>
      <c r="H3320" s="127" t="s">
        <v>2552</v>
      </c>
    </row>
    <row r="3321" spans="1:8" x14ac:dyDescent="0.2">
      <c r="A3321" s="596">
        <v>42948</v>
      </c>
      <c r="B3321" s="41" t="s">
        <v>25</v>
      </c>
      <c r="C3321" s="63" t="s">
        <v>1230</v>
      </c>
      <c r="D3321" s="108" t="s">
        <v>1840</v>
      </c>
      <c r="E3321" s="173">
        <v>7000</v>
      </c>
      <c r="F3321" s="41"/>
      <c r="G3321" s="58">
        <f t="shared" si="55"/>
        <v>-7000</v>
      </c>
      <c r="H3321" s="127" t="s">
        <v>2552</v>
      </c>
    </row>
    <row r="3322" spans="1:8" x14ac:dyDescent="0.2">
      <c r="A3322" s="596">
        <v>42948</v>
      </c>
      <c r="B3322" s="41" t="s">
        <v>25</v>
      </c>
      <c r="C3322" s="63" t="s">
        <v>1230</v>
      </c>
      <c r="D3322" s="108" t="s">
        <v>2183</v>
      </c>
      <c r="E3322" s="173">
        <v>18000</v>
      </c>
      <c r="F3322" s="41"/>
      <c r="G3322" s="58">
        <f t="shared" si="55"/>
        <v>-18000</v>
      </c>
      <c r="H3322" s="127" t="s">
        <v>2552</v>
      </c>
    </row>
    <row r="3323" spans="1:8" x14ac:dyDescent="0.2">
      <c r="A3323" s="596">
        <v>42948</v>
      </c>
      <c r="B3323" s="41" t="s">
        <v>25</v>
      </c>
      <c r="C3323" s="63" t="s">
        <v>1230</v>
      </c>
      <c r="D3323" s="108" t="s">
        <v>1547</v>
      </c>
      <c r="E3323" s="173">
        <v>9000</v>
      </c>
      <c r="F3323" s="41"/>
      <c r="G3323" s="58">
        <f t="shared" si="55"/>
        <v>-9000</v>
      </c>
      <c r="H3323" s="127" t="s">
        <v>2552</v>
      </c>
    </row>
    <row r="3324" spans="1:8" x14ac:dyDescent="0.2">
      <c r="A3324" s="596">
        <v>42948</v>
      </c>
      <c r="B3324" s="41" t="s">
        <v>16</v>
      </c>
      <c r="C3324" s="63" t="s">
        <v>1230</v>
      </c>
      <c r="D3324" s="108" t="s">
        <v>1842</v>
      </c>
      <c r="E3324" s="173">
        <v>25000</v>
      </c>
      <c r="F3324" s="41"/>
      <c r="G3324" s="58">
        <f t="shared" si="55"/>
        <v>-25000</v>
      </c>
      <c r="H3324" s="127" t="s">
        <v>2552</v>
      </c>
    </row>
    <row r="3325" spans="1:8" x14ac:dyDescent="0.2">
      <c r="A3325" s="596">
        <v>42948</v>
      </c>
      <c r="B3325" s="41" t="s">
        <v>16</v>
      </c>
      <c r="C3325" s="63" t="s">
        <v>1230</v>
      </c>
      <c r="D3325" s="108" t="s">
        <v>1843</v>
      </c>
      <c r="E3325" s="173">
        <v>15677.419354838708</v>
      </c>
      <c r="F3325" s="41"/>
      <c r="G3325" s="58">
        <f t="shared" si="55"/>
        <v>-15677.419354838708</v>
      </c>
      <c r="H3325" s="127" t="s">
        <v>2552</v>
      </c>
    </row>
    <row r="3326" spans="1:8" x14ac:dyDescent="0.2">
      <c r="A3326" s="596">
        <v>42948</v>
      </c>
      <c r="B3326" s="41" t="s">
        <v>16</v>
      </c>
      <c r="C3326" s="63" t="s">
        <v>1230</v>
      </c>
      <c r="D3326" s="108" t="s">
        <v>1844</v>
      </c>
      <c r="E3326" s="173">
        <v>17741.93548387097</v>
      </c>
      <c r="F3326" s="41"/>
      <c r="G3326" s="58">
        <f t="shared" si="55"/>
        <v>-17741.93548387097</v>
      </c>
      <c r="H3326" s="127" t="s">
        <v>2552</v>
      </c>
    </row>
    <row r="3327" spans="1:8" x14ac:dyDescent="0.2">
      <c r="A3327" s="596">
        <v>42948</v>
      </c>
      <c r="B3327" s="41" t="s">
        <v>16</v>
      </c>
      <c r="C3327" s="63" t="s">
        <v>1230</v>
      </c>
      <c r="D3327" s="108" t="s">
        <v>2184</v>
      </c>
      <c r="E3327" s="173">
        <v>8500</v>
      </c>
      <c r="F3327" s="41"/>
      <c r="G3327" s="58">
        <f t="shared" si="55"/>
        <v>-8500</v>
      </c>
      <c r="H3327" s="127" t="s">
        <v>2552</v>
      </c>
    </row>
    <row r="3328" spans="1:8" x14ac:dyDescent="0.2">
      <c r="A3328" s="596">
        <v>42948</v>
      </c>
      <c r="B3328" s="41" t="s">
        <v>1400</v>
      </c>
      <c r="C3328" s="63" t="s">
        <v>1230</v>
      </c>
      <c r="D3328" s="108" t="s">
        <v>1684</v>
      </c>
      <c r="E3328" s="173">
        <v>20000</v>
      </c>
      <c r="F3328" s="41"/>
      <c r="G3328" s="58">
        <f t="shared" si="55"/>
        <v>-20000</v>
      </c>
      <c r="H3328" s="127" t="s">
        <v>2552</v>
      </c>
    </row>
    <row r="3329" spans="1:8" x14ac:dyDescent="0.2">
      <c r="A3329" s="596">
        <v>42948</v>
      </c>
      <c r="B3329" s="41" t="s">
        <v>1400</v>
      </c>
      <c r="C3329" s="63" t="s">
        <v>1230</v>
      </c>
      <c r="D3329" s="108" t="s">
        <v>1550</v>
      </c>
      <c r="E3329" s="173">
        <v>22000</v>
      </c>
      <c r="F3329" s="41"/>
      <c r="G3329" s="58">
        <f t="shared" si="55"/>
        <v>-22000</v>
      </c>
      <c r="H3329" s="127" t="s">
        <v>2552</v>
      </c>
    </row>
    <row r="3330" spans="1:8" x14ac:dyDescent="0.2">
      <c r="A3330" s="596">
        <v>42948</v>
      </c>
      <c r="B3330" s="41" t="s">
        <v>1400</v>
      </c>
      <c r="C3330" s="63" t="s">
        <v>1230</v>
      </c>
      <c r="D3330" s="108" t="s">
        <v>1998</v>
      </c>
      <c r="E3330" s="173">
        <v>3838.709677419356</v>
      </c>
      <c r="F3330" s="41"/>
      <c r="G3330" s="58">
        <f t="shared" si="55"/>
        <v>-3838.709677419356</v>
      </c>
      <c r="H3330" s="127" t="s">
        <v>2552</v>
      </c>
    </row>
    <row r="3331" spans="1:8" x14ac:dyDescent="0.2">
      <c r="A3331" s="596">
        <v>42948</v>
      </c>
      <c r="B3331" s="41" t="s">
        <v>1400</v>
      </c>
      <c r="C3331" s="63" t="s">
        <v>1230</v>
      </c>
      <c r="D3331" s="108" t="s">
        <v>1871</v>
      </c>
      <c r="E3331" s="173">
        <v>33709.677419354834</v>
      </c>
      <c r="F3331" s="41"/>
      <c r="G3331" s="58">
        <f t="shared" si="55"/>
        <v>-33709.677419354834</v>
      </c>
      <c r="H3331" s="127" t="s">
        <v>2552</v>
      </c>
    </row>
    <row r="3332" spans="1:8" x14ac:dyDescent="0.2">
      <c r="A3332" s="596">
        <v>42948</v>
      </c>
      <c r="B3332" s="41" t="s">
        <v>1400</v>
      </c>
      <c r="C3332" s="63" t="s">
        <v>1230</v>
      </c>
      <c r="D3332" s="108" t="s">
        <v>1848</v>
      </c>
      <c r="E3332" s="173">
        <v>9580.6451612903238</v>
      </c>
      <c r="F3332" s="41"/>
      <c r="G3332" s="58">
        <f t="shared" si="55"/>
        <v>-9580.6451612903238</v>
      </c>
      <c r="H3332" s="127" t="s">
        <v>2552</v>
      </c>
    </row>
    <row r="3333" spans="1:8" x14ac:dyDescent="0.2">
      <c r="A3333" s="596">
        <v>42948</v>
      </c>
      <c r="B3333" s="41" t="s">
        <v>18</v>
      </c>
      <c r="C3333" s="63" t="s">
        <v>1230</v>
      </c>
      <c r="D3333" s="108" t="s">
        <v>1859</v>
      </c>
      <c r="E3333" s="173">
        <v>21955.645161290322</v>
      </c>
      <c r="F3333" s="41"/>
      <c r="G3333" s="58">
        <f t="shared" si="55"/>
        <v>-21955.645161290322</v>
      </c>
      <c r="H3333" s="127" t="s">
        <v>2552</v>
      </c>
    </row>
    <row r="3334" spans="1:8" x14ac:dyDescent="0.2">
      <c r="A3334" s="596">
        <v>42948</v>
      </c>
      <c r="B3334" s="41" t="s">
        <v>40</v>
      </c>
      <c r="C3334" s="63" t="s">
        <v>1230</v>
      </c>
      <c r="D3334" s="108" t="s">
        <v>2284</v>
      </c>
      <c r="E3334" s="173">
        <v>27032.258064516129</v>
      </c>
      <c r="F3334" s="41"/>
      <c r="G3334" s="58">
        <f t="shared" si="55"/>
        <v>-27032.258064516129</v>
      </c>
      <c r="H3334" s="127" t="s">
        <v>2552</v>
      </c>
    </row>
    <row r="3335" spans="1:8" x14ac:dyDescent="0.2">
      <c r="A3335" s="596">
        <v>42948</v>
      </c>
      <c r="B3335" s="41" t="s">
        <v>40</v>
      </c>
      <c r="C3335" s="63" t="s">
        <v>1230</v>
      </c>
      <c r="D3335" s="108" t="s">
        <v>2554</v>
      </c>
      <c r="E3335" s="173">
        <v>9173.3870967741932</v>
      </c>
      <c r="F3335" s="41"/>
      <c r="G3335" s="58">
        <f t="shared" si="55"/>
        <v>-9173.3870967741932</v>
      </c>
      <c r="H3335" s="127" t="s">
        <v>2552</v>
      </c>
    </row>
    <row r="3336" spans="1:8" x14ac:dyDescent="0.2">
      <c r="A3336" s="596">
        <v>42948</v>
      </c>
      <c r="B3336" s="41" t="s">
        <v>40</v>
      </c>
      <c r="C3336" s="63" t="s">
        <v>1230</v>
      </c>
      <c r="D3336" s="108" t="s">
        <v>1855</v>
      </c>
      <c r="E3336" s="173">
        <v>18774.193548387098</v>
      </c>
      <c r="F3336" s="41"/>
      <c r="G3336" s="58">
        <f t="shared" si="55"/>
        <v>-18774.193548387098</v>
      </c>
      <c r="H3336" s="127" t="s">
        <v>2552</v>
      </c>
    </row>
    <row r="3337" spans="1:8" x14ac:dyDescent="0.2">
      <c r="A3337" s="596">
        <v>42948</v>
      </c>
      <c r="B3337" s="41" t="s">
        <v>1400</v>
      </c>
      <c r="C3337" s="63" t="s">
        <v>1230</v>
      </c>
      <c r="D3337" s="108" t="s">
        <v>2482</v>
      </c>
      <c r="E3337" s="173">
        <v>15419.354838709678</v>
      </c>
      <c r="F3337" s="41"/>
      <c r="G3337" s="58">
        <f t="shared" ref="G3337:G3400" si="56">F3337-E3337</f>
        <v>-15419.354838709678</v>
      </c>
      <c r="H3337" s="127" t="s">
        <v>2552</v>
      </c>
    </row>
    <row r="3338" spans="1:8" ht="12.75" customHeight="1" x14ac:dyDescent="0.2">
      <c r="A3338" s="596">
        <v>42948</v>
      </c>
      <c r="B3338" s="41" t="s">
        <v>40</v>
      </c>
      <c r="C3338" s="63" t="s">
        <v>1230</v>
      </c>
      <c r="D3338" s="108" t="s">
        <v>2483</v>
      </c>
      <c r="E3338" s="173">
        <v>11060.483870967742</v>
      </c>
      <c r="F3338" s="41"/>
      <c r="G3338" s="58">
        <f t="shared" si="56"/>
        <v>-11060.483870967742</v>
      </c>
      <c r="H3338" s="127" t="s">
        <v>2552</v>
      </c>
    </row>
    <row r="3339" spans="1:8" ht="12.75" customHeight="1" x14ac:dyDescent="0.2">
      <c r="A3339" s="596">
        <v>42948</v>
      </c>
      <c r="B3339" s="41" t="s">
        <v>2548</v>
      </c>
      <c r="C3339" s="63" t="s">
        <v>1230</v>
      </c>
      <c r="D3339" s="108" t="s">
        <v>2181</v>
      </c>
      <c r="E3339" s="173">
        <v>11270.16129032258</v>
      </c>
      <c r="F3339" s="41"/>
      <c r="G3339" s="58">
        <f t="shared" si="56"/>
        <v>-11270.16129032258</v>
      </c>
      <c r="H3339" s="127" t="s">
        <v>2552</v>
      </c>
    </row>
    <row r="3340" spans="1:8" ht="12.75" customHeight="1" x14ac:dyDescent="0.2">
      <c r="A3340" s="596">
        <v>42948</v>
      </c>
      <c r="B3340" s="41" t="s">
        <v>37</v>
      </c>
      <c r="C3340" s="63" t="s">
        <v>1230</v>
      </c>
      <c r="D3340" s="108" t="s">
        <v>1866</v>
      </c>
      <c r="E3340" s="173">
        <v>13798.387096774193</v>
      </c>
      <c r="F3340" s="41"/>
      <c r="G3340" s="58">
        <f t="shared" si="56"/>
        <v>-13798.387096774193</v>
      </c>
      <c r="H3340" s="127" t="s">
        <v>2552</v>
      </c>
    </row>
    <row r="3341" spans="1:8" x14ac:dyDescent="0.2">
      <c r="A3341" s="596">
        <v>42948</v>
      </c>
      <c r="B3341" s="41" t="s">
        <v>40</v>
      </c>
      <c r="C3341" s="63" t="s">
        <v>1230</v>
      </c>
      <c r="D3341" s="108" t="s">
        <v>1873</v>
      </c>
      <c r="E3341" s="173">
        <v>9403.2258064516118</v>
      </c>
      <c r="F3341" s="41"/>
      <c r="G3341" s="58">
        <f t="shared" si="56"/>
        <v>-9403.2258064516118</v>
      </c>
      <c r="H3341" s="127" t="s">
        <v>2552</v>
      </c>
    </row>
    <row r="3342" spans="1:8" x14ac:dyDescent="0.2">
      <c r="A3342" s="596">
        <v>42948</v>
      </c>
      <c r="B3342" s="41" t="s">
        <v>2548</v>
      </c>
      <c r="C3342" s="63" t="s">
        <v>1230</v>
      </c>
      <c r="D3342" s="108" t="s">
        <v>1847</v>
      </c>
      <c r="E3342" s="173">
        <v>22774.193548387098</v>
      </c>
      <c r="F3342" s="41"/>
      <c r="G3342" s="58">
        <f t="shared" si="56"/>
        <v>-22774.193548387098</v>
      </c>
      <c r="H3342" s="127" t="s">
        <v>2552</v>
      </c>
    </row>
    <row r="3343" spans="1:8" x14ac:dyDescent="0.2">
      <c r="A3343" s="596">
        <v>42948</v>
      </c>
      <c r="B3343" s="41" t="s">
        <v>2548</v>
      </c>
      <c r="C3343" s="63" t="s">
        <v>1230</v>
      </c>
      <c r="D3343" s="108" t="s">
        <v>1849</v>
      </c>
      <c r="E3343" s="173">
        <v>13465.725806451614</v>
      </c>
      <c r="F3343" s="41"/>
      <c r="G3343" s="58">
        <f t="shared" si="56"/>
        <v>-13465.725806451614</v>
      </c>
      <c r="H3343" s="127" t="s">
        <v>2552</v>
      </c>
    </row>
    <row r="3344" spans="1:8" x14ac:dyDescent="0.2">
      <c r="A3344" s="596">
        <v>42948</v>
      </c>
      <c r="B3344" s="41" t="s">
        <v>40</v>
      </c>
      <c r="C3344" s="63" t="s">
        <v>1230</v>
      </c>
      <c r="D3344" s="108" t="s">
        <v>668</v>
      </c>
      <c r="E3344" s="173">
        <v>13806.451612903227</v>
      </c>
      <c r="F3344" s="41"/>
      <c r="G3344" s="58">
        <f t="shared" si="56"/>
        <v>-13806.451612903227</v>
      </c>
      <c r="H3344" s="127" t="s">
        <v>2552</v>
      </c>
    </row>
    <row r="3345" spans="1:8" x14ac:dyDescent="0.2">
      <c r="A3345" s="596">
        <v>42948</v>
      </c>
      <c r="B3345" s="41" t="s">
        <v>40</v>
      </c>
      <c r="C3345" s="63" t="s">
        <v>1230</v>
      </c>
      <c r="D3345" s="108" t="s">
        <v>1851</v>
      </c>
      <c r="E3345" s="173">
        <v>6532.2580645161297</v>
      </c>
      <c r="F3345" s="41"/>
      <c r="G3345" s="58">
        <f t="shared" si="56"/>
        <v>-6532.2580645161297</v>
      </c>
      <c r="H3345" s="127" t="s">
        <v>2552</v>
      </c>
    </row>
    <row r="3346" spans="1:8" x14ac:dyDescent="0.2">
      <c r="A3346" s="596">
        <v>42948</v>
      </c>
      <c r="B3346" s="41" t="s">
        <v>40</v>
      </c>
      <c r="C3346" s="63" t="s">
        <v>1230</v>
      </c>
      <c r="D3346" s="108" t="s">
        <v>1863</v>
      </c>
      <c r="E3346" s="173">
        <v>18851.81451612903</v>
      </c>
      <c r="F3346" s="41"/>
      <c r="G3346" s="58">
        <f t="shared" si="56"/>
        <v>-18851.81451612903</v>
      </c>
      <c r="H3346" s="127" t="s">
        <v>2552</v>
      </c>
    </row>
    <row r="3347" spans="1:8" x14ac:dyDescent="0.2">
      <c r="A3347" s="596">
        <v>42948</v>
      </c>
      <c r="B3347" s="41" t="s">
        <v>40</v>
      </c>
      <c r="C3347" s="63" t="s">
        <v>1230</v>
      </c>
      <c r="D3347" s="108" t="s">
        <v>1864</v>
      </c>
      <c r="E3347" s="173">
        <v>24260.080645161288</v>
      </c>
      <c r="F3347" s="41"/>
      <c r="G3347" s="58">
        <f t="shared" si="56"/>
        <v>-24260.080645161288</v>
      </c>
      <c r="H3347" s="127" t="s">
        <v>2552</v>
      </c>
    </row>
    <row r="3348" spans="1:8" x14ac:dyDescent="0.2">
      <c r="A3348" s="596">
        <v>42948</v>
      </c>
      <c r="B3348" s="41" t="s">
        <v>40</v>
      </c>
      <c r="C3348" s="63" t="s">
        <v>1230</v>
      </c>
      <c r="D3348" s="108" t="s">
        <v>1862</v>
      </c>
      <c r="E3348" s="173">
        <v>16735.887096774193</v>
      </c>
      <c r="F3348" s="41"/>
      <c r="G3348" s="58">
        <f t="shared" si="56"/>
        <v>-16735.887096774193</v>
      </c>
      <c r="H3348" s="127" t="s">
        <v>2552</v>
      </c>
    </row>
    <row r="3349" spans="1:8" x14ac:dyDescent="0.2">
      <c r="A3349" s="596">
        <v>42948</v>
      </c>
      <c r="B3349" s="41" t="s">
        <v>1400</v>
      </c>
      <c r="C3349" s="63" t="s">
        <v>1230</v>
      </c>
      <c r="D3349" s="108" t="s">
        <v>2484</v>
      </c>
      <c r="E3349" s="173">
        <v>2183.8709677419356</v>
      </c>
      <c r="F3349" s="41"/>
      <c r="G3349" s="58">
        <f t="shared" si="56"/>
        <v>-2183.8709677419356</v>
      </c>
      <c r="H3349" s="127" t="s">
        <v>2552</v>
      </c>
    </row>
    <row r="3350" spans="1:8" x14ac:dyDescent="0.2">
      <c r="A3350" s="596">
        <v>42948</v>
      </c>
      <c r="B3350" s="41" t="s">
        <v>37</v>
      </c>
      <c r="C3350" s="63" t="s">
        <v>1230</v>
      </c>
      <c r="D3350" s="108" t="s">
        <v>1867</v>
      </c>
      <c r="E3350" s="173">
        <v>12500</v>
      </c>
      <c r="F3350" s="41"/>
      <c r="G3350" s="58">
        <f t="shared" si="56"/>
        <v>-12500</v>
      </c>
      <c r="H3350" s="127" t="s">
        <v>2552</v>
      </c>
    </row>
    <row r="3351" spans="1:8" x14ac:dyDescent="0.2">
      <c r="A3351" s="596">
        <v>42948</v>
      </c>
      <c r="B3351" s="41" t="s">
        <v>37</v>
      </c>
      <c r="C3351" s="63" t="s">
        <v>1230</v>
      </c>
      <c r="D3351" s="108" t="s">
        <v>1868</v>
      </c>
      <c r="E3351" s="173">
        <v>17788.306451612902</v>
      </c>
      <c r="F3351" s="41"/>
      <c r="G3351" s="58">
        <f t="shared" si="56"/>
        <v>-17788.306451612902</v>
      </c>
      <c r="H3351" s="127" t="s">
        <v>2552</v>
      </c>
    </row>
    <row r="3352" spans="1:8" x14ac:dyDescent="0.2">
      <c r="A3352" s="596">
        <v>42948</v>
      </c>
      <c r="B3352" s="41" t="s">
        <v>37</v>
      </c>
      <c r="C3352" s="63" t="s">
        <v>1230</v>
      </c>
      <c r="D3352" s="108" t="s">
        <v>2285</v>
      </c>
      <c r="E3352" s="173">
        <v>8677.4193548387084</v>
      </c>
      <c r="F3352" s="41"/>
      <c r="G3352" s="58">
        <f t="shared" si="56"/>
        <v>-8677.4193548387084</v>
      </c>
      <c r="H3352" s="127" t="s">
        <v>2552</v>
      </c>
    </row>
    <row r="3353" spans="1:8" x14ac:dyDescent="0.2">
      <c r="A3353" s="596">
        <v>42948</v>
      </c>
      <c r="B3353" s="41" t="s">
        <v>37</v>
      </c>
      <c r="C3353" s="63" t="s">
        <v>1230</v>
      </c>
      <c r="D3353" s="108" t="s">
        <v>2720</v>
      </c>
      <c r="E3353" s="173">
        <v>5225.8064516129043</v>
      </c>
      <c r="F3353" s="41"/>
      <c r="G3353" s="58">
        <f t="shared" si="56"/>
        <v>-5225.8064516129043</v>
      </c>
      <c r="H3353" s="127" t="s">
        <v>2552</v>
      </c>
    </row>
    <row r="3354" spans="1:8" x14ac:dyDescent="0.2">
      <c r="A3354" s="596">
        <v>42948</v>
      </c>
      <c r="B3354" s="41" t="s">
        <v>37</v>
      </c>
      <c r="C3354" s="63" t="s">
        <v>1230</v>
      </c>
      <c r="D3354" s="108" t="s">
        <v>1575</v>
      </c>
      <c r="E3354" s="173">
        <v>10544.354838709678</v>
      </c>
      <c r="F3354" s="41"/>
      <c r="G3354" s="58">
        <f t="shared" si="56"/>
        <v>-10544.354838709678</v>
      </c>
      <c r="H3354" s="127" t="s">
        <v>2552</v>
      </c>
    </row>
    <row r="3355" spans="1:8" x14ac:dyDescent="0.2">
      <c r="A3355" s="596">
        <v>42948</v>
      </c>
      <c r="B3355" s="41" t="s">
        <v>11</v>
      </c>
      <c r="C3355" s="63" t="s">
        <v>1230</v>
      </c>
      <c r="D3355" s="108" t="s">
        <v>1870</v>
      </c>
      <c r="E3355" s="173">
        <v>5000</v>
      </c>
      <c r="F3355" s="41"/>
      <c r="G3355" s="58">
        <f t="shared" si="56"/>
        <v>-5000</v>
      </c>
      <c r="H3355" s="127" t="s">
        <v>2552</v>
      </c>
    </row>
    <row r="3356" spans="1:8" x14ac:dyDescent="0.2">
      <c r="A3356" s="596">
        <v>42948</v>
      </c>
      <c r="B3356" s="41" t="s">
        <v>40</v>
      </c>
      <c r="C3356" s="63" t="s">
        <v>1230</v>
      </c>
      <c r="D3356" s="108" t="s">
        <v>2532</v>
      </c>
      <c r="E3356" s="173">
        <v>17677.419354838708</v>
      </c>
      <c r="F3356" s="41"/>
      <c r="G3356" s="58">
        <f t="shared" si="56"/>
        <v>-17677.419354838708</v>
      </c>
      <c r="H3356" s="127" t="s">
        <v>2552</v>
      </c>
    </row>
    <row r="3357" spans="1:8" x14ac:dyDescent="0.2">
      <c r="A3357" s="596">
        <v>42948</v>
      </c>
      <c r="B3357" s="41" t="s">
        <v>40</v>
      </c>
      <c r="C3357" s="63" t="s">
        <v>1230</v>
      </c>
      <c r="D3357" s="108" t="s">
        <v>2533</v>
      </c>
      <c r="E3357" s="173">
        <v>16580.645161290322</v>
      </c>
      <c r="F3357" s="41"/>
      <c r="G3357" s="58">
        <f t="shared" si="56"/>
        <v>-16580.645161290322</v>
      </c>
      <c r="H3357" s="127" t="s">
        <v>2552</v>
      </c>
    </row>
    <row r="3358" spans="1:8" x14ac:dyDescent="0.2">
      <c r="A3358" s="596">
        <v>42948</v>
      </c>
      <c r="B3358" s="41" t="s">
        <v>1400</v>
      </c>
      <c r="C3358" s="63" t="s">
        <v>1230</v>
      </c>
      <c r="D3358" s="108" t="s">
        <v>2556</v>
      </c>
      <c r="E3358" s="173">
        <v>2661.2903225806449</v>
      </c>
      <c r="F3358" s="41"/>
      <c r="G3358" s="58">
        <f t="shared" si="56"/>
        <v>-2661.2903225806449</v>
      </c>
      <c r="H3358" s="127" t="s">
        <v>2552</v>
      </c>
    </row>
    <row r="3359" spans="1:8" x14ac:dyDescent="0.2">
      <c r="A3359" s="596">
        <v>42948</v>
      </c>
      <c r="B3359" s="41" t="s">
        <v>1400</v>
      </c>
      <c r="C3359" s="63" t="s">
        <v>1230</v>
      </c>
      <c r="D3359" s="108" t="s">
        <v>2481</v>
      </c>
      <c r="E3359" s="173">
        <v>1403.2258064516127</v>
      </c>
      <c r="F3359" s="41"/>
      <c r="G3359" s="58">
        <f t="shared" si="56"/>
        <v>-1403.2258064516127</v>
      </c>
      <c r="H3359" s="127" t="s">
        <v>2552</v>
      </c>
    </row>
    <row r="3360" spans="1:8" x14ac:dyDescent="0.2">
      <c r="A3360" s="596">
        <v>42948</v>
      </c>
      <c r="B3360" s="41" t="s">
        <v>16</v>
      </c>
      <c r="C3360" s="63" t="s">
        <v>1230</v>
      </c>
      <c r="D3360" s="108" t="s">
        <v>2721</v>
      </c>
      <c r="E3360" s="173">
        <v>13112.903225806453</v>
      </c>
      <c r="F3360" s="41"/>
      <c r="G3360" s="58">
        <f t="shared" si="56"/>
        <v>-13112.903225806453</v>
      </c>
      <c r="H3360" s="127" t="s">
        <v>2552</v>
      </c>
    </row>
    <row r="3361" spans="1:8" x14ac:dyDescent="0.2">
      <c r="A3361" s="596">
        <v>42948</v>
      </c>
      <c r="B3361" s="41" t="s">
        <v>2094</v>
      </c>
      <c r="C3361" s="63" t="s">
        <v>1230</v>
      </c>
      <c r="D3361" s="108" t="s">
        <v>87</v>
      </c>
      <c r="E3361" s="173">
        <v>9000</v>
      </c>
      <c r="F3361" s="41"/>
      <c r="G3361" s="58">
        <f t="shared" si="56"/>
        <v>-9000</v>
      </c>
      <c r="H3361" s="127" t="s">
        <v>2552</v>
      </c>
    </row>
    <row r="3362" spans="1:8" x14ac:dyDescent="0.2">
      <c r="A3362" s="596">
        <v>42948</v>
      </c>
      <c r="B3362" s="41" t="s">
        <v>16</v>
      </c>
      <c r="C3362" s="63" t="s">
        <v>1409</v>
      </c>
      <c r="D3362" s="108" t="s">
        <v>1667</v>
      </c>
      <c r="E3362" s="173">
        <v>1000</v>
      </c>
      <c r="F3362" s="58"/>
      <c r="G3362" s="58">
        <f t="shared" si="56"/>
        <v>-1000</v>
      </c>
      <c r="H3362" s="127" t="s">
        <v>2552</v>
      </c>
    </row>
    <row r="3363" spans="1:8" x14ac:dyDescent="0.2">
      <c r="A3363" s="596">
        <v>42948</v>
      </c>
      <c r="B3363" s="41" t="s">
        <v>16</v>
      </c>
      <c r="C3363" s="63" t="s">
        <v>1409</v>
      </c>
      <c r="D3363" s="108" t="s">
        <v>457</v>
      </c>
      <c r="E3363" s="173">
        <v>200</v>
      </c>
      <c r="F3363" s="58"/>
      <c r="G3363" s="58">
        <f t="shared" si="56"/>
        <v>-200</v>
      </c>
      <c r="H3363" s="127" t="s">
        <v>2552</v>
      </c>
    </row>
    <row r="3364" spans="1:8" x14ac:dyDescent="0.2">
      <c r="A3364" s="596">
        <v>42948</v>
      </c>
      <c r="B3364" s="41" t="s">
        <v>1400</v>
      </c>
      <c r="C3364" s="63" t="s">
        <v>1409</v>
      </c>
      <c r="D3364" s="108" t="s">
        <v>2485</v>
      </c>
      <c r="E3364" s="173">
        <v>2000</v>
      </c>
      <c r="F3364" s="58"/>
      <c r="G3364" s="58">
        <f t="shared" si="56"/>
        <v>-2000</v>
      </c>
      <c r="H3364" s="127" t="s">
        <v>2552</v>
      </c>
    </row>
    <row r="3365" spans="1:8" x14ac:dyDescent="0.2">
      <c r="A3365" s="596">
        <v>42948</v>
      </c>
      <c r="B3365" s="41" t="s">
        <v>1400</v>
      </c>
      <c r="C3365" s="63" t="s">
        <v>1409</v>
      </c>
      <c r="D3365" s="108" t="s">
        <v>451</v>
      </c>
      <c r="E3365" s="173">
        <v>3000</v>
      </c>
      <c r="F3365" s="58"/>
      <c r="G3365" s="58">
        <f t="shared" si="56"/>
        <v>-3000</v>
      </c>
      <c r="H3365" s="127" t="s">
        <v>2552</v>
      </c>
    </row>
    <row r="3366" spans="1:8" x14ac:dyDescent="0.2">
      <c r="A3366" s="596">
        <v>42948</v>
      </c>
      <c r="B3366" s="41" t="s">
        <v>40</v>
      </c>
      <c r="C3366" s="63" t="s">
        <v>1409</v>
      </c>
      <c r="D3366" s="108" t="s">
        <v>2722</v>
      </c>
      <c r="E3366" s="173">
        <v>2000</v>
      </c>
      <c r="F3366" s="58"/>
      <c r="G3366" s="58">
        <f t="shared" si="56"/>
        <v>-2000</v>
      </c>
      <c r="H3366" s="127" t="s">
        <v>2552</v>
      </c>
    </row>
    <row r="3367" spans="1:8" x14ac:dyDescent="0.2">
      <c r="A3367" s="596">
        <v>42948</v>
      </c>
      <c r="B3367" s="41" t="s">
        <v>1400</v>
      </c>
      <c r="C3367" s="63" t="s">
        <v>1409</v>
      </c>
      <c r="D3367" s="108" t="s">
        <v>2287</v>
      </c>
      <c r="E3367" s="173">
        <v>2000</v>
      </c>
      <c r="F3367" s="58"/>
      <c r="G3367" s="58">
        <f t="shared" si="56"/>
        <v>-2000</v>
      </c>
      <c r="H3367" s="127" t="s">
        <v>2552</v>
      </c>
    </row>
    <row r="3368" spans="1:8" x14ac:dyDescent="0.2">
      <c r="A3368" s="596">
        <v>42948</v>
      </c>
      <c r="B3368" s="41" t="s">
        <v>40</v>
      </c>
      <c r="C3368" s="63" t="s">
        <v>1409</v>
      </c>
      <c r="D3368" s="108" t="s">
        <v>2483</v>
      </c>
      <c r="E3368" s="173">
        <v>5000</v>
      </c>
      <c r="F3368" s="58"/>
      <c r="G3368" s="58">
        <f t="shared" si="56"/>
        <v>-5000</v>
      </c>
      <c r="H3368" s="127" t="s">
        <v>2552</v>
      </c>
    </row>
    <row r="3369" spans="1:8" x14ac:dyDescent="0.2">
      <c r="A3369" s="596">
        <v>42948</v>
      </c>
      <c r="B3369" s="41" t="s">
        <v>40</v>
      </c>
      <c r="C3369" s="63" t="s">
        <v>1409</v>
      </c>
      <c r="D3369" s="108" t="s">
        <v>668</v>
      </c>
      <c r="E3369" s="173">
        <v>1000</v>
      </c>
      <c r="F3369" s="58"/>
      <c r="G3369" s="58">
        <f t="shared" si="56"/>
        <v>-1000</v>
      </c>
      <c r="H3369" s="127" t="s">
        <v>2552</v>
      </c>
    </row>
    <row r="3370" spans="1:8" x14ac:dyDescent="0.2">
      <c r="A3370" s="596">
        <v>42948</v>
      </c>
      <c r="B3370" s="41" t="s">
        <v>40</v>
      </c>
      <c r="C3370" s="63" t="s">
        <v>1409</v>
      </c>
      <c r="D3370" s="108" t="s">
        <v>1476</v>
      </c>
      <c r="E3370" s="173">
        <v>5000</v>
      </c>
      <c r="F3370" s="58"/>
      <c r="G3370" s="58">
        <f t="shared" si="56"/>
        <v>-5000</v>
      </c>
      <c r="H3370" s="127" t="s">
        <v>2552</v>
      </c>
    </row>
    <row r="3371" spans="1:8" x14ac:dyDescent="0.2">
      <c r="A3371" s="596">
        <v>42948</v>
      </c>
      <c r="B3371" s="41" t="s">
        <v>1400</v>
      </c>
      <c r="C3371" s="63" t="s">
        <v>1409</v>
      </c>
      <c r="D3371" s="108" t="s">
        <v>2484</v>
      </c>
      <c r="E3371" s="173">
        <v>8000</v>
      </c>
      <c r="F3371" s="58"/>
      <c r="G3371" s="58">
        <f t="shared" si="56"/>
        <v>-8000</v>
      </c>
      <c r="H3371" s="127" t="s">
        <v>2552</v>
      </c>
    </row>
    <row r="3372" spans="1:8" ht="12.75" customHeight="1" x14ac:dyDescent="0.2">
      <c r="A3372" s="596">
        <v>42948</v>
      </c>
      <c r="B3372" s="41" t="s">
        <v>2094</v>
      </c>
      <c r="C3372" s="63" t="s">
        <v>1409</v>
      </c>
      <c r="D3372" s="108" t="s">
        <v>2532</v>
      </c>
      <c r="E3372" s="173">
        <v>1000</v>
      </c>
      <c r="F3372" s="58"/>
      <c r="G3372" s="58">
        <f t="shared" si="56"/>
        <v>-1000</v>
      </c>
      <c r="H3372" s="127" t="s">
        <v>2552</v>
      </c>
    </row>
    <row r="3373" spans="1:8" ht="12.75" customHeight="1" x14ac:dyDescent="0.2">
      <c r="A3373" s="596">
        <v>42948</v>
      </c>
      <c r="B3373" s="41" t="s">
        <v>2094</v>
      </c>
      <c r="C3373" s="63" t="s">
        <v>1409</v>
      </c>
      <c r="D3373" s="108" t="s">
        <v>2533</v>
      </c>
      <c r="E3373" s="173">
        <v>1000</v>
      </c>
      <c r="F3373" s="58"/>
      <c r="G3373" s="58">
        <f t="shared" si="56"/>
        <v>-1000</v>
      </c>
      <c r="H3373" s="127" t="s">
        <v>2552</v>
      </c>
    </row>
    <row r="3374" spans="1:8" ht="12.75" customHeight="1" x14ac:dyDescent="0.2">
      <c r="A3374" s="596">
        <v>42948</v>
      </c>
      <c r="B3374" s="41" t="s">
        <v>1400</v>
      </c>
      <c r="C3374" s="63" t="s">
        <v>1409</v>
      </c>
      <c r="D3374" s="108" t="s">
        <v>2481</v>
      </c>
      <c r="E3374" s="173">
        <v>500</v>
      </c>
      <c r="F3374" s="58"/>
      <c r="G3374" s="58">
        <f t="shared" si="56"/>
        <v>-500</v>
      </c>
      <c r="H3374" s="127" t="s">
        <v>2552</v>
      </c>
    </row>
    <row r="3375" spans="1:8" s="182" customFormat="1" ht="12.75" customHeight="1" x14ac:dyDescent="0.2">
      <c r="A3375" s="596">
        <v>42948</v>
      </c>
      <c r="B3375" s="67" t="s">
        <v>25</v>
      </c>
      <c r="C3375" s="217" t="s">
        <v>2060</v>
      </c>
      <c r="D3375" s="792" t="s">
        <v>2661</v>
      </c>
      <c r="E3375" s="180">
        <v>1000</v>
      </c>
      <c r="F3375" s="66"/>
      <c r="G3375" s="58">
        <f t="shared" si="56"/>
        <v>-1000</v>
      </c>
      <c r="H3375" s="127" t="s">
        <v>2552</v>
      </c>
    </row>
    <row r="3376" spans="1:8" s="182" customFormat="1" x14ac:dyDescent="0.2">
      <c r="A3376" s="596">
        <v>42948</v>
      </c>
      <c r="B3376" s="67" t="s">
        <v>25</v>
      </c>
      <c r="C3376" s="217" t="s">
        <v>2060</v>
      </c>
      <c r="D3376" s="792" t="s">
        <v>2661</v>
      </c>
      <c r="E3376" s="180">
        <v>1000</v>
      </c>
      <c r="F3376" s="66"/>
      <c r="G3376" s="58">
        <f t="shared" si="56"/>
        <v>-1000</v>
      </c>
      <c r="H3376" s="127" t="s">
        <v>2552</v>
      </c>
    </row>
    <row r="3377" spans="1:8" s="182" customFormat="1" ht="12.75" customHeight="1" x14ac:dyDescent="0.2">
      <c r="A3377" s="596">
        <v>42948</v>
      </c>
      <c r="B3377" s="67" t="s">
        <v>2094</v>
      </c>
      <c r="C3377" s="217" t="s">
        <v>149</v>
      </c>
      <c r="D3377" s="792" t="s">
        <v>286</v>
      </c>
      <c r="E3377" s="180">
        <v>200</v>
      </c>
      <c r="F3377" s="66"/>
      <c r="G3377" s="58">
        <f t="shared" si="56"/>
        <v>-200</v>
      </c>
      <c r="H3377" s="127" t="s">
        <v>2552</v>
      </c>
    </row>
    <row r="3378" spans="1:8" s="182" customFormat="1" ht="12.75" customHeight="1" x14ac:dyDescent="0.2">
      <c r="A3378" s="596">
        <v>42948</v>
      </c>
      <c r="B3378" s="67" t="s">
        <v>40</v>
      </c>
      <c r="C3378" s="217" t="s">
        <v>149</v>
      </c>
      <c r="D3378" s="792" t="s">
        <v>2662</v>
      </c>
      <c r="E3378" s="180">
        <v>3375</v>
      </c>
      <c r="F3378" s="66"/>
      <c r="G3378" s="58">
        <f t="shared" si="56"/>
        <v>-3375</v>
      </c>
      <c r="H3378" s="127" t="s">
        <v>2552</v>
      </c>
    </row>
    <row r="3379" spans="1:8" s="182" customFormat="1" ht="12.75" customHeight="1" x14ac:dyDescent="0.2">
      <c r="A3379" s="596">
        <v>42948</v>
      </c>
      <c r="B3379" s="67" t="s">
        <v>25</v>
      </c>
      <c r="C3379" s="217" t="s">
        <v>1916</v>
      </c>
      <c r="D3379" s="792" t="s">
        <v>2108</v>
      </c>
      <c r="E3379" s="180">
        <v>1500</v>
      </c>
      <c r="F3379" s="66"/>
      <c r="G3379" s="58">
        <f t="shared" si="56"/>
        <v>-1500</v>
      </c>
      <c r="H3379" s="127" t="s">
        <v>2552</v>
      </c>
    </row>
    <row r="3380" spans="1:8" s="182" customFormat="1" ht="12.75" customHeight="1" x14ac:dyDescent="0.2">
      <c r="A3380" s="596">
        <v>42949</v>
      </c>
      <c r="B3380" s="67" t="s">
        <v>40</v>
      </c>
      <c r="C3380" s="217" t="s">
        <v>149</v>
      </c>
      <c r="D3380" s="792" t="s">
        <v>2663</v>
      </c>
      <c r="E3380" s="180">
        <v>25170</v>
      </c>
      <c r="F3380" s="66"/>
      <c r="G3380" s="58">
        <f t="shared" si="56"/>
        <v>-25170</v>
      </c>
      <c r="H3380" s="127" t="s">
        <v>2552</v>
      </c>
    </row>
    <row r="3381" spans="1:8" s="182" customFormat="1" ht="12.75" customHeight="1" x14ac:dyDescent="0.2">
      <c r="A3381" s="596">
        <v>42949</v>
      </c>
      <c r="B3381" s="67" t="s">
        <v>16</v>
      </c>
      <c r="C3381" s="217" t="s">
        <v>450</v>
      </c>
      <c r="D3381" s="792" t="s">
        <v>2118</v>
      </c>
      <c r="E3381" s="180">
        <v>300</v>
      </c>
      <c r="F3381" s="66"/>
      <c r="G3381" s="58">
        <f t="shared" si="56"/>
        <v>-300</v>
      </c>
      <c r="H3381" s="127" t="s">
        <v>2552</v>
      </c>
    </row>
    <row r="3382" spans="1:8" s="182" customFormat="1" ht="12.75" customHeight="1" x14ac:dyDescent="0.2">
      <c r="A3382" s="596">
        <v>42949</v>
      </c>
      <c r="B3382" s="67" t="s">
        <v>40</v>
      </c>
      <c r="C3382" s="217" t="s">
        <v>149</v>
      </c>
      <c r="D3382" s="792" t="s">
        <v>2664</v>
      </c>
      <c r="E3382" s="180">
        <v>525</v>
      </c>
      <c r="F3382" s="66"/>
      <c r="G3382" s="58">
        <f t="shared" si="56"/>
        <v>-525</v>
      </c>
      <c r="H3382" s="127" t="s">
        <v>2552</v>
      </c>
    </row>
    <row r="3383" spans="1:8" s="182" customFormat="1" ht="12.75" customHeight="1" x14ac:dyDescent="0.2">
      <c r="A3383" s="596">
        <v>42949</v>
      </c>
      <c r="B3383" s="67" t="s">
        <v>2548</v>
      </c>
      <c r="C3383" s="217" t="s">
        <v>290</v>
      </c>
      <c r="D3383" s="792" t="s">
        <v>2665</v>
      </c>
      <c r="E3383" s="180">
        <v>1000</v>
      </c>
      <c r="F3383" s="66"/>
      <c r="G3383" s="58">
        <f t="shared" si="56"/>
        <v>-1000</v>
      </c>
      <c r="H3383" s="127" t="s">
        <v>2552</v>
      </c>
    </row>
    <row r="3384" spans="1:8" s="182" customFormat="1" ht="12.75" customHeight="1" x14ac:dyDescent="0.2">
      <c r="A3384" s="596">
        <v>42949</v>
      </c>
      <c r="B3384" s="67" t="s">
        <v>16</v>
      </c>
      <c r="C3384" s="217" t="s">
        <v>2002</v>
      </c>
      <c r="D3384" s="792" t="s">
        <v>2667</v>
      </c>
      <c r="E3384" s="180">
        <v>1700</v>
      </c>
      <c r="F3384" s="66"/>
      <c r="G3384" s="58">
        <f t="shared" si="56"/>
        <v>-1700</v>
      </c>
      <c r="H3384" s="127" t="s">
        <v>2552</v>
      </c>
    </row>
    <row r="3385" spans="1:8" s="182" customFormat="1" ht="12.75" customHeight="1" x14ac:dyDescent="0.2">
      <c r="A3385" s="596">
        <v>42950</v>
      </c>
      <c r="B3385" s="67" t="s">
        <v>2548</v>
      </c>
      <c r="C3385" s="217" t="s">
        <v>1704</v>
      </c>
      <c r="D3385" s="792" t="s">
        <v>1410</v>
      </c>
      <c r="E3385" s="180">
        <v>100</v>
      </c>
      <c r="F3385" s="66"/>
      <c r="G3385" s="58">
        <f t="shared" si="56"/>
        <v>-100</v>
      </c>
      <c r="H3385" s="127" t="s">
        <v>2552</v>
      </c>
    </row>
    <row r="3386" spans="1:8" s="182" customFormat="1" ht="12.75" customHeight="1" x14ac:dyDescent="0.2">
      <c r="A3386" s="596">
        <v>42950</v>
      </c>
      <c r="B3386" s="67" t="s">
        <v>16</v>
      </c>
      <c r="C3386" s="217" t="s">
        <v>551</v>
      </c>
      <c r="D3386" s="792" t="s">
        <v>2668</v>
      </c>
      <c r="E3386" s="180">
        <v>200</v>
      </c>
      <c r="F3386" s="66"/>
      <c r="G3386" s="58">
        <f t="shared" si="56"/>
        <v>-200</v>
      </c>
      <c r="H3386" s="127" t="s">
        <v>2552</v>
      </c>
    </row>
    <row r="3387" spans="1:8" s="182" customFormat="1" ht="12.75" customHeight="1" x14ac:dyDescent="0.2">
      <c r="A3387" s="596">
        <v>42951</v>
      </c>
      <c r="B3387" s="67" t="s">
        <v>40</v>
      </c>
      <c r="C3387" s="217" t="s">
        <v>2557</v>
      </c>
      <c r="D3387" s="792" t="s">
        <v>2669</v>
      </c>
      <c r="E3387" s="180">
        <v>3000</v>
      </c>
      <c r="F3387" s="66"/>
      <c r="G3387" s="58">
        <f t="shared" si="56"/>
        <v>-3000</v>
      </c>
      <c r="H3387" s="127" t="s">
        <v>2552</v>
      </c>
    </row>
    <row r="3388" spans="1:8" s="182" customFormat="1" ht="12.75" customHeight="1" x14ac:dyDescent="0.2">
      <c r="A3388" s="596">
        <v>42951</v>
      </c>
      <c r="B3388" s="67" t="s">
        <v>40</v>
      </c>
      <c r="C3388" s="217" t="s">
        <v>450</v>
      </c>
      <c r="D3388" s="792" t="s">
        <v>2670</v>
      </c>
      <c r="E3388" s="180">
        <v>870</v>
      </c>
      <c r="F3388" s="66"/>
      <c r="G3388" s="58">
        <f t="shared" si="56"/>
        <v>-870</v>
      </c>
      <c r="H3388" s="127" t="s">
        <v>2552</v>
      </c>
    </row>
    <row r="3389" spans="1:8" s="182" customFormat="1" ht="12.75" customHeight="1" x14ac:dyDescent="0.2">
      <c r="A3389" s="596">
        <v>42951</v>
      </c>
      <c r="B3389" s="67" t="s">
        <v>1400</v>
      </c>
      <c r="C3389" s="217" t="s">
        <v>64</v>
      </c>
      <c r="D3389" s="792" t="s">
        <v>2671</v>
      </c>
      <c r="E3389" s="180">
        <v>9793</v>
      </c>
      <c r="F3389" s="66"/>
      <c r="G3389" s="58">
        <f t="shared" si="56"/>
        <v>-9793</v>
      </c>
      <c r="H3389" s="127" t="s">
        <v>2552</v>
      </c>
    </row>
    <row r="3390" spans="1:8" s="182" customFormat="1" x14ac:dyDescent="0.2">
      <c r="A3390" s="596">
        <v>42954</v>
      </c>
      <c r="B3390" s="67" t="s">
        <v>40</v>
      </c>
      <c r="C3390" s="217" t="s">
        <v>1704</v>
      </c>
      <c r="D3390" s="792" t="s">
        <v>1410</v>
      </c>
      <c r="E3390" s="180">
        <v>200</v>
      </c>
      <c r="F3390" s="66"/>
      <c r="G3390" s="58">
        <f t="shared" si="56"/>
        <v>-200</v>
      </c>
      <c r="H3390" s="127" t="s">
        <v>2552</v>
      </c>
    </row>
    <row r="3391" spans="1:8" s="182" customFormat="1" x14ac:dyDescent="0.2">
      <c r="A3391" s="596">
        <v>42955</v>
      </c>
      <c r="B3391" s="67" t="s">
        <v>2548</v>
      </c>
      <c r="C3391" s="217" t="s">
        <v>1704</v>
      </c>
      <c r="D3391" s="792" t="s">
        <v>1410</v>
      </c>
      <c r="E3391" s="180">
        <v>425</v>
      </c>
      <c r="F3391" s="66"/>
      <c r="G3391" s="58">
        <f t="shared" si="56"/>
        <v>-425</v>
      </c>
      <c r="H3391" s="127" t="s">
        <v>2552</v>
      </c>
    </row>
    <row r="3392" spans="1:8" s="182" customFormat="1" x14ac:dyDescent="0.2">
      <c r="A3392" s="596">
        <v>42956</v>
      </c>
      <c r="B3392" s="67" t="s">
        <v>40</v>
      </c>
      <c r="C3392" s="217" t="s">
        <v>450</v>
      </c>
      <c r="D3392" s="792" t="s">
        <v>2673</v>
      </c>
      <c r="E3392" s="180">
        <v>11220</v>
      </c>
      <c r="F3392" s="66"/>
      <c r="G3392" s="58">
        <f t="shared" si="56"/>
        <v>-11220</v>
      </c>
      <c r="H3392" s="127" t="s">
        <v>2552</v>
      </c>
    </row>
    <row r="3393" spans="1:8" s="182" customFormat="1" ht="12.75" customHeight="1" x14ac:dyDescent="0.2">
      <c r="A3393" s="596">
        <v>42956</v>
      </c>
      <c r="B3393" s="67" t="s">
        <v>2548</v>
      </c>
      <c r="C3393" s="217" t="s">
        <v>2557</v>
      </c>
      <c r="D3393" s="792" t="s">
        <v>2674</v>
      </c>
      <c r="E3393" s="180">
        <v>80</v>
      </c>
      <c r="F3393" s="66"/>
      <c r="G3393" s="58">
        <f t="shared" si="56"/>
        <v>-80</v>
      </c>
      <c r="H3393" s="127" t="s">
        <v>2552</v>
      </c>
    </row>
    <row r="3394" spans="1:8" s="182" customFormat="1" ht="12.75" customHeight="1" x14ac:dyDescent="0.2">
      <c r="A3394" s="596">
        <v>42956</v>
      </c>
      <c r="B3394" s="67" t="s">
        <v>16</v>
      </c>
      <c r="C3394" s="217" t="s">
        <v>2212</v>
      </c>
      <c r="D3394" s="792" t="s">
        <v>2675</v>
      </c>
      <c r="E3394" s="180">
        <v>1700</v>
      </c>
      <c r="F3394" s="66"/>
      <c r="G3394" s="58">
        <f t="shared" si="56"/>
        <v>-1700</v>
      </c>
      <c r="H3394" s="127" t="s">
        <v>2552</v>
      </c>
    </row>
    <row r="3395" spans="1:8" s="182" customFormat="1" ht="12.75" customHeight="1" x14ac:dyDescent="0.2">
      <c r="A3395" s="596">
        <v>42957</v>
      </c>
      <c r="B3395" s="67" t="s">
        <v>1691</v>
      </c>
      <c r="C3395" s="217" t="s">
        <v>267</v>
      </c>
      <c r="D3395" s="792" t="s">
        <v>2676</v>
      </c>
      <c r="E3395" s="180">
        <v>4000</v>
      </c>
      <c r="F3395" s="66"/>
      <c r="G3395" s="58">
        <f t="shared" si="56"/>
        <v>-4000</v>
      </c>
      <c r="H3395" s="127" t="s">
        <v>2552</v>
      </c>
    </row>
    <row r="3396" spans="1:8" s="182" customFormat="1" ht="12.75" customHeight="1" x14ac:dyDescent="0.2">
      <c r="A3396" s="596">
        <v>42957</v>
      </c>
      <c r="B3396" s="67" t="s">
        <v>25</v>
      </c>
      <c r="C3396" s="217" t="s">
        <v>2060</v>
      </c>
      <c r="D3396" s="792" t="s">
        <v>286</v>
      </c>
      <c r="E3396" s="180">
        <v>2000</v>
      </c>
      <c r="F3396" s="66"/>
      <c r="G3396" s="58">
        <f t="shared" si="56"/>
        <v>-2000</v>
      </c>
      <c r="H3396" s="127" t="s">
        <v>2552</v>
      </c>
    </row>
    <row r="3397" spans="1:8" s="182" customFormat="1" ht="12.75" customHeight="1" x14ac:dyDescent="0.2">
      <c r="A3397" s="596">
        <v>42957</v>
      </c>
      <c r="B3397" s="67" t="s">
        <v>25</v>
      </c>
      <c r="C3397" s="217" t="s">
        <v>1916</v>
      </c>
      <c r="D3397" s="792" t="s">
        <v>72</v>
      </c>
      <c r="E3397" s="180">
        <v>10185</v>
      </c>
      <c r="F3397" s="66"/>
      <c r="G3397" s="58">
        <f t="shared" si="56"/>
        <v>-10185</v>
      </c>
      <c r="H3397" s="127" t="s">
        <v>2552</v>
      </c>
    </row>
    <row r="3398" spans="1:8" s="182" customFormat="1" ht="12.75" customHeight="1" x14ac:dyDescent="0.2">
      <c r="A3398" s="596">
        <v>42957</v>
      </c>
      <c r="B3398" s="67" t="s">
        <v>1691</v>
      </c>
      <c r="C3398" s="217" t="s">
        <v>267</v>
      </c>
      <c r="D3398" s="792" t="s">
        <v>2677</v>
      </c>
      <c r="E3398" s="180">
        <v>6000</v>
      </c>
      <c r="F3398" s="66"/>
      <c r="G3398" s="58">
        <f t="shared" si="56"/>
        <v>-6000</v>
      </c>
      <c r="H3398" s="127" t="s">
        <v>2552</v>
      </c>
    </row>
    <row r="3399" spans="1:8" s="182" customFormat="1" ht="12.75" customHeight="1" x14ac:dyDescent="0.2">
      <c r="A3399" s="596">
        <v>42957</v>
      </c>
      <c r="B3399" s="67" t="s">
        <v>25</v>
      </c>
      <c r="C3399" s="217" t="s">
        <v>2060</v>
      </c>
      <c r="D3399" s="792" t="s">
        <v>2116</v>
      </c>
      <c r="E3399" s="180">
        <v>2400</v>
      </c>
      <c r="F3399" s="66"/>
      <c r="G3399" s="58">
        <f t="shared" si="56"/>
        <v>-2400</v>
      </c>
      <c r="H3399" s="127" t="s">
        <v>2552</v>
      </c>
    </row>
    <row r="3400" spans="1:8" s="182" customFormat="1" ht="12.75" customHeight="1" x14ac:dyDescent="0.2">
      <c r="A3400" s="596">
        <v>42957</v>
      </c>
      <c r="B3400" s="67" t="s">
        <v>25</v>
      </c>
      <c r="C3400" s="217" t="s">
        <v>2060</v>
      </c>
      <c r="D3400" s="792" t="s">
        <v>286</v>
      </c>
      <c r="E3400" s="180">
        <v>1000</v>
      </c>
      <c r="F3400" s="66"/>
      <c r="G3400" s="58">
        <f t="shared" si="56"/>
        <v>-1000</v>
      </c>
      <c r="H3400" s="127" t="s">
        <v>2552</v>
      </c>
    </row>
    <row r="3401" spans="1:8" s="182" customFormat="1" ht="12.75" customHeight="1" x14ac:dyDescent="0.2">
      <c r="A3401" s="596">
        <v>42957</v>
      </c>
      <c r="B3401" s="67" t="s">
        <v>40</v>
      </c>
      <c r="C3401" s="217" t="s">
        <v>1448</v>
      </c>
      <c r="D3401" s="792" t="s">
        <v>2678</v>
      </c>
      <c r="E3401" s="180">
        <v>4645</v>
      </c>
      <c r="F3401" s="66"/>
      <c r="G3401" s="58">
        <f t="shared" ref="G3401:G3464" si="57">F3401-E3401</f>
        <v>-4645</v>
      </c>
      <c r="H3401" s="127" t="s">
        <v>2552</v>
      </c>
    </row>
    <row r="3402" spans="1:8" s="182" customFormat="1" x14ac:dyDescent="0.2">
      <c r="A3402" s="596">
        <v>42957</v>
      </c>
      <c r="B3402" s="67" t="s">
        <v>40</v>
      </c>
      <c r="C3402" s="217" t="s">
        <v>2679</v>
      </c>
      <c r="D3402" s="792" t="s">
        <v>2678</v>
      </c>
      <c r="E3402" s="180">
        <v>4219</v>
      </c>
      <c r="F3402" s="66"/>
      <c r="G3402" s="58">
        <f t="shared" si="57"/>
        <v>-4219</v>
      </c>
      <c r="H3402" s="127" t="s">
        <v>2552</v>
      </c>
    </row>
    <row r="3403" spans="1:8" s="182" customFormat="1" ht="12.75" customHeight="1" x14ac:dyDescent="0.2">
      <c r="A3403" s="596">
        <v>42958</v>
      </c>
      <c r="B3403" s="67" t="s">
        <v>37</v>
      </c>
      <c r="C3403" s="217" t="s">
        <v>2577</v>
      </c>
      <c r="D3403" s="792" t="s">
        <v>2680</v>
      </c>
      <c r="E3403" s="180">
        <v>25920</v>
      </c>
      <c r="F3403" s="66"/>
      <c r="G3403" s="58">
        <f t="shared" si="57"/>
        <v>-25920</v>
      </c>
      <c r="H3403" s="127" t="s">
        <v>2552</v>
      </c>
    </row>
    <row r="3404" spans="1:8" s="182" customFormat="1" ht="12.75" customHeight="1" x14ac:dyDescent="0.2">
      <c r="A3404" s="596">
        <v>42958</v>
      </c>
      <c r="B3404" s="67" t="s">
        <v>1493</v>
      </c>
      <c r="C3404" s="217" t="s">
        <v>2577</v>
      </c>
      <c r="D3404" s="792" t="s">
        <v>2680</v>
      </c>
      <c r="E3404" s="180">
        <v>25850</v>
      </c>
      <c r="F3404" s="66"/>
      <c r="G3404" s="58">
        <f t="shared" si="57"/>
        <v>-25850</v>
      </c>
      <c r="H3404" s="127" t="s">
        <v>2552</v>
      </c>
    </row>
    <row r="3405" spans="1:8" s="182" customFormat="1" ht="12.75" customHeight="1" x14ac:dyDescent="0.2">
      <c r="A3405" s="596">
        <v>42958</v>
      </c>
      <c r="B3405" s="67" t="s">
        <v>16</v>
      </c>
      <c r="C3405" s="217" t="s">
        <v>2577</v>
      </c>
      <c r="D3405" s="792" t="s">
        <v>2681</v>
      </c>
      <c r="E3405" s="180">
        <v>26000</v>
      </c>
      <c r="F3405" s="66"/>
      <c r="G3405" s="58">
        <f t="shared" si="57"/>
        <v>-26000</v>
      </c>
      <c r="H3405" s="127" t="s">
        <v>2552</v>
      </c>
    </row>
    <row r="3406" spans="1:8" s="182" customFormat="1" ht="12.75" customHeight="1" x14ac:dyDescent="0.2">
      <c r="A3406" s="596">
        <v>42958</v>
      </c>
      <c r="B3406" s="67" t="s">
        <v>16</v>
      </c>
      <c r="C3406" s="217" t="s">
        <v>773</v>
      </c>
      <c r="D3406" s="792" t="s">
        <v>2682</v>
      </c>
      <c r="E3406" s="180">
        <v>100</v>
      </c>
      <c r="F3406" s="66"/>
      <c r="G3406" s="58">
        <f t="shared" si="57"/>
        <v>-100</v>
      </c>
      <c r="H3406" s="127" t="s">
        <v>2552</v>
      </c>
    </row>
    <row r="3407" spans="1:8" s="182" customFormat="1" ht="12.75" customHeight="1" x14ac:dyDescent="0.2">
      <c r="A3407" s="596">
        <v>42959</v>
      </c>
      <c r="B3407" s="67" t="s">
        <v>1400</v>
      </c>
      <c r="C3407" s="217" t="s">
        <v>2435</v>
      </c>
      <c r="D3407" s="792" t="s">
        <v>2431</v>
      </c>
      <c r="E3407" s="180">
        <v>50</v>
      </c>
      <c r="F3407" s="180"/>
      <c r="G3407" s="58">
        <f t="shared" si="57"/>
        <v>-50</v>
      </c>
      <c r="H3407" s="127" t="s">
        <v>2552</v>
      </c>
    </row>
    <row r="3408" spans="1:8" s="182" customFormat="1" ht="12.75" customHeight="1" x14ac:dyDescent="0.2">
      <c r="A3408" s="596">
        <v>42959</v>
      </c>
      <c r="B3408" s="67" t="s">
        <v>2548</v>
      </c>
      <c r="C3408" s="217" t="s">
        <v>2557</v>
      </c>
      <c r="D3408" s="792" t="s">
        <v>2693</v>
      </c>
      <c r="E3408" s="180">
        <v>290</v>
      </c>
      <c r="F3408" s="180"/>
      <c r="G3408" s="58">
        <f t="shared" si="57"/>
        <v>-290</v>
      </c>
      <c r="H3408" s="127" t="s">
        <v>2552</v>
      </c>
    </row>
    <row r="3409" spans="1:8" s="182" customFormat="1" ht="12.75" customHeight="1" x14ac:dyDescent="0.2">
      <c r="A3409" s="596">
        <v>42959</v>
      </c>
      <c r="B3409" s="41" t="s">
        <v>82</v>
      </c>
      <c r="C3409" s="217" t="s">
        <v>929</v>
      </c>
      <c r="D3409" s="792" t="s">
        <v>2694</v>
      </c>
      <c r="E3409" s="180">
        <v>1900</v>
      </c>
      <c r="F3409" s="180"/>
      <c r="G3409" s="58">
        <f t="shared" si="57"/>
        <v>-1900</v>
      </c>
      <c r="H3409" s="127" t="s">
        <v>2552</v>
      </c>
    </row>
    <row r="3410" spans="1:8" s="182" customFormat="1" ht="12.75" customHeight="1" x14ac:dyDescent="0.2">
      <c r="A3410" s="596">
        <v>42959</v>
      </c>
      <c r="B3410" s="67" t="s">
        <v>40</v>
      </c>
      <c r="C3410" s="217" t="s">
        <v>929</v>
      </c>
      <c r="D3410" s="792" t="s">
        <v>2694</v>
      </c>
      <c r="E3410" s="180">
        <v>3000</v>
      </c>
      <c r="F3410" s="180"/>
      <c r="G3410" s="58">
        <f t="shared" si="57"/>
        <v>-3000</v>
      </c>
      <c r="H3410" s="127" t="s">
        <v>2552</v>
      </c>
    </row>
    <row r="3411" spans="1:8" s="182" customFormat="1" x14ac:dyDescent="0.2">
      <c r="A3411" s="596">
        <v>42959</v>
      </c>
      <c r="B3411" s="67" t="s">
        <v>40</v>
      </c>
      <c r="C3411" s="217" t="s">
        <v>2695</v>
      </c>
      <c r="D3411" s="792" t="s">
        <v>2696</v>
      </c>
      <c r="E3411" s="180">
        <v>2000</v>
      </c>
      <c r="F3411" s="180"/>
      <c r="G3411" s="58">
        <f t="shared" si="57"/>
        <v>-2000</v>
      </c>
      <c r="H3411" s="127" t="s">
        <v>2552</v>
      </c>
    </row>
    <row r="3412" spans="1:8" s="182" customFormat="1" ht="12.75" customHeight="1" x14ac:dyDescent="0.2">
      <c r="A3412" s="596">
        <v>42962</v>
      </c>
      <c r="B3412" s="67" t="s">
        <v>1400</v>
      </c>
      <c r="C3412" s="217" t="s">
        <v>64</v>
      </c>
      <c r="D3412" s="792" t="s">
        <v>72</v>
      </c>
      <c r="E3412" s="180">
        <v>17830</v>
      </c>
      <c r="F3412" s="180"/>
      <c r="G3412" s="58">
        <f t="shared" si="57"/>
        <v>-17830</v>
      </c>
      <c r="H3412" s="127" t="s">
        <v>2552</v>
      </c>
    </row>
    <row r="3413" spans="1:8" s="182" customFormat="1" ht="12.75" customHeight="1" x14ac:dyDescent="0.2">
      <c r="A3413" s="596">
        <v>42962</v>
      </c>
      <c r="B3413" s="67" t="s">
        <v>18</v>
      </c>
      <c r="C3413" s="217" t="s">
        <v>309</v>
      </c>
      <c r="D3413" s="792" t="s">
        <v>2431</v>
      </c>
      <c r="E3413" s="180">
        <v>100</v>
      </c>
      <c r="F3413" s="180"/>
      <c r="G3413" s="58">
        <f t="shared" si="57"/>
        <v>-100</v>
      </c>
      <c r="H3413" s="127" t="s">
        <v>2552</v>
      </c>
    </row>
    <row r="3414" spans="1:8" s="182" customFormat="1" ht="12.75" customHeight="1" x14ac:dyDescent="0.2">
      <c r="A3414" s="596">
        <v>42962</v>
      </c>
      <c r="B3414" s="67" t="s">
        <v>25</v>
      </c>
      <c r="C3414" s="217" t="s">
        <v>1916</v>
      </c>
      <c r="D3414" s="792" t="s">
        <v>2697</v>
      </c>
      <c r="E3414" s="180">
        <v>500</v>
      </c>
      <c r="F3414" s="180"/>
      <c r="G3414" s="58">
        <f t="shared" si="57"/>
        <v>-500</v>
      </c>
      <c r="H3414" s="127" t="s">
        <v>2552</v>
      </c>
    </row>
    <row r="3415" spans="1:8" s="182" customFormat="1" ht="12.75" customHeight="1" x14ac:dyDescent="0.2">
      <c r="A3415" s="596">
        <v>42963</v>
      </c>
      <c r="B3415" s="67" t="s">
        <v>40</v>
      </c>
      <c r="C3415" s="217" t="s">
        <v>1704</v>
      </c>
      <c r="D3415" s="792" t="s">
        <v>2698</v>
      </c>
      <c r="E3415" s="180">
        <v>16160</v>
      </c>
      <c r="F3415" s="180"/>
      <c r="G3415" s="58">
        <f t="shared" si="57"/>
        <v>-16160</v>
      </c>
      <c r="H3415" s="127" t="s">
        <v>2552</v>
      </c>
    </row>
    <row r="3416" spans="1:8" s="182" customFormat="1" ht="12.75" customHeight="1" x14ac:dyDescent="0.2">
      <c r="A3416" s="596">
        <v>42963</v>
      </c>
      <c r="B3416" s="67" t="s">
        <v>2548</v>
      </c>
      <c r="C3416" s="217" t="s">
        <v>1704</v>
      </c>
      <c r="D3416" s="792" t="s">
        <v>1410</v>
      </c>
      <c r="E3416" s="180">
        <v>595</v>
      </c>
      <c r="F3416" s="180"/>
      <c r="G3416" s="58">
        <f t="shared" si="57"/>
        <v>-595</v>
      </c>
      <c r="H3416" s="127" t="s">
        <v>2552</v>
      </c>
    </row>
    <row r="3417" spans="1:8" s="182" customFormat="1" ht="12.75" customHeight="1" x14ac:dyDescent="0.2">
      <c r="A3417" s="596">
        <v>42963</v>
      </c>
      <c r="B3417" s="67" t="s">
        <v>1400</v>
      </c>
      <c r="C3417" s="217" t="s">
        <v>1704</v>
      </c>
      <c r="D3417" s="792" t="s">
        <v>1410</v>
      </c>
      <c r="E3417" s="180">
        <v>280</v>
      </c>
      <c r="F3417" s="180"/>
      <c r="G3417" s="58">
        <f t="shared" si="57"/>
        <v>-280</v>
      </c>
      <c r="H3417" s="127" t="s">
        <v>2552</v>
      </c>
    </row>
    <row r="3418" spans="1:8" s="182" customFormat="1" ht="12.75" customHeight="1" x14ac:dyDescent="0.2">
      <c r="A3418" s="596">
        <v>42963</v>
      </c>
      <c r="B3418" s="67" t="s">
        <v>16</v>
      </c>
      <c r="C3418" s="217" t="s">
        <v>2699</v>
      </c>
      <c r="D3418" s="792" t="s">
        <v>2700</v>
      </c>
      <c r="E3418" s="180">
        <v>500</v>
      </c>
      <c r="F3418" s="180"/>
      <c r="G3418" s="58">
        <f t="shared" si="57"/>
        <v>-500</v>
      </c>
      <c r="H3418" s="127" t="s">
        <v>2552</v>
      </c>
    </row>
    <row r="3419" spans="1:8" s="182" customFormat="1" ht="12.75" customHeight="1" x14ac:dyDescent="0.2">
      <c r="A3419" s="596">
        <v>42964</v>
      </c>
      <c r="B3419" s="41" t="s">
        <v>82</v>
      </c>
      <c r="C3419" s="217" t="s">
        <v>325</v>
      </c>
      <c r="D3419" s="792" t="s">
        <v>72</v>
      </c>
      <c r="E3419" s="180">
        <v>400</v>
      </c>
      <c r="F3419" s="180"/>
      <c r="G3419" s="58">
        <f t="shared" si="57"/>
        <v>-400</v>
      </c>
      <c r="H3419" s="127" t="s">
        <v>2552</v>
      </c>
    </row>
    <row r="3420" spans="1:8" s="182" customFormat="1" ht="12.75" customHeight="1" x14ac:dyDescent="0.2">
      <c r="A3420" s="596">
        <v>42964</v>
      </c>
      <c r="B3420" s="67" t="s">
        <v>11</v>
      </c>
      <c r="C3420" s="217" t="s">
        <v>325</v>
      </c>
      <c r="D3420" s="792" t="s">
        <v>72</v>
      </c>
      <c r="E3420" s="180">
        <v>100</v>
      </c>
      <c r="F3420" s="180"/>
      <c r="G3420" s="58">
        <f t="shared" si="57"/>
        <v>-100</v>
      </c>
      <c r="H3420" s="127" t="s">
        <v>2552</v>
      </c>
    </row>
    <row r="3421" spans="1:8" s="182" customFormat="1" ht="12.75" customHeight="1" x14ac:dyDescent="0.2">
      <c r="A3421" s="596">
        <v>42964</v>
      </c>
      <c r="B3421" s="67" t="s">
        <v>40</v>
      </c>
      <c r="C3421" s="217" t="s">
        <v>325</v>
      </c>
      <c r="D3421" s="792" t="s">
        <v>72</v>
      </c>
      <c r="E3421" s="180">
        <v>1800</v>
      </c>
      <c r="F3421" s="180"/>
      <c r="G3421" s="58">
        <f t="shared" si="57"/>
        <v>-1800</v>
      </c>
      <c r="H3421" s="127" t="s">
        <v>2552</v>
      </c>
    </row>
    <row r="3422" spans="1:8" s="182" customFormat="1" ht="12.75" customHeight="1" x14ac:dyDescent="0.2">
      <c r="A3422" s="596">
        <v>42964</v>
      </c>
      <c r="B3422" s="67" t="s">
        <v>40</v>
      </c>
      <c r="C3422" s="217" t="s">
        <v>205</v>
      </c>
      <c r="D3422" s="792" t="s">
        <v>1886</v>
      </c>
      <c r="E3422" s="180">
        <v>300</v>
      </c>
      <c r="F3422" s="180"/>
      <c r="G3422" s="58">
        <f t="shared" si="57"/>
        <v>-300</v>
      </c>
      <c r="H3422" s="127" t="s">
        <v>2552</v>
      </c>
    </row>
    <row r="3423" spans="1:8" s="182" customFormat="1" ht="12.75" customHeight="1" x14ac:dyDescent="0.2">
      <c r="A3423" s="596">
        <v>42964</v>
      </c>
      <c r="B3423" s="67" t="s">
        <v>25</v>
      </c>
      <c r="C3423" s="217" t="s">
        <v>2060</v>
      </c>
      <c r="D3423" s="792" t="s">
        <v>2431</v>
      </c>
      <c r="E3423" s="180">
        <v>2000</v>
      </c>
      <c r="F3423" s="180"/>
      <c r="G3423" s="58">
        <f t="shared" si="57"/>
        <v>-2000</v>
      </c>
      <c r="H3423" s="127" t="s">
        <v>2552</v>
      </c>
    </row>
    <row r="3424" spans="1:8" s="182" customFormat="1" ht="12.75" customHeight="1" x14ac:dyDescent="0.2">
      <c r="A3424" s="596">
        <v>42964</v>
      </c>
      <c r="B3424" s="67" t="s">
        <v>2548</v>
      </c>
      <c r="C3424" s="217" t="s">
        <v>1704</v>
      </c>
      <c r="D3424" s="792" t="s">
        <v>1410</v>
      </c>
      <c r="E3424" s="180">
        <v>765</v>
      </c>
      <c r="F3424" s="180"/>
      <c r="G3424" s="58">
        <f t="shared" si="57"/>
        <v>-765</v>
      </c>
      <c r="H3424" s="127" t="s">
        <v>2552</v>
      </c>
    </row>
    <row r="3425" spans="1:8" s="182" customFormat="1" ht="12.75" customHeight="1" x14ac:dyDescent="0.2">
      <c r="A3425" s="596">
        <v>42964</v>
      </c>
      <c r="B3425" s="67" t="s">
        <v>2094</v>
      </c>
      <c r="C3425" s="217" t="s">
        <v>1704</v>
      </c>
      <c r="D3425" s="792" t="s">
        <v>1410</v>
      </c>
      <c r="E3425" s="180">
        <v>85</v>
      </c>
      <c r="F3425" s="180"/>
      <c r="G3425" s="58">
        <f t="shared" si="57"/>
        <v>-85</v>
      </c>
      <c r="H3425" s="127" t="s">
        <v>2552</v>
      </c>
    </row>
    <row r="3426" spans="1:8" s="182" customFormat="1" ht="12.75" customHeight="1" x14ac:dyDescent="0.2">
      <c r="A3426" s="596">
        <v>42965</v>
      </c>
      <c r="B3426" s="67" t="s">
        <v>25</v>
      </c>
      <c r="C3426" s="217" t="s">
        <v>1916</v>
      </c>
      <c r="D3426" s="792" t="s">
        <v>270</v>
      </c>
      <c r="E3426" s="180">
        <v>1520</v>
      </c>
      <c r="F3426" s="180"/>
      <c r="G3426" s="58">
        <f t="shared" si="57"/>
        <v>-1520</v>
      </c>
      <c r="H3426" s="127" t="s">
        <v>2552</v>
      </c>
    </row>
    <row r="3427" spans="1:8" s="182" customFormat="1" ht="12.75" customHeight="1" x14ac:dyDescent="0.2">
      <c r="A3427" s="596">
        <v>42965</v>
      </c>
      <c r="B3427" s="67" t="s">
        <v>40</v>
      </c>
      <c r="C3427" s="217" t="s">
        <v>668</v>
      </c>
      <c r="D3427" s="792" t="s">
        <v>2701</v>
      </c>
      <c r="E3427" s="180">
        <v>1155</v>
      </c>
      <c r="F3427" s="180"/>
      <c r="G3427" s="58">
        <f t="shared" si="57"/>
        <v>-1155</v>
      </c>
      <c r="H3427" s="127" t="s">
        <v>2552</v>
      </c>
    </row>
    <row r="3428" spans="1:8" s="182" customFormat="1" ht="12.75" customHeight="1" x14ac:dyDescent="0.2">
      <c r="A3428" s="596">
        <v>42965</v>
      </c>
      <c r="B3428" s="67" t="s">
        <v>2094</v>
      </c>
      <c r="C3428" s="217" t="s">
        <v>668</v>
      </c>
      <c r="D3428" s="792" t="s">
        <v>286</v>
      </c>
      <c r="E3428" s="180">
        <v>100</v>
      </c>
      <c r="F3428" s="180"/>
      <c r="G3428" s="58">
        <f t="shared" si="57"/>
        <v>-100</v>
      </c>
      <c r="H3428" s="127" t="s">
        <v>2552</v>
      </c>
    </row>
    <row r="3429" spans="1:8" s="182" customFormat="1" ht="24" customHeight="1" x14ac:dyDescent="0.2">
      <c r="A3429" s="596">
        <v>42965</v>
      </c>
      <c r="B3429" s="217" t="s">
        <v>16</v>
      </c>
      <c r="C3429" s="217" t="s">
        <v>2557</v>
      </c>
      <c r="D3429" s="803" t="s">
        <v>2702</v>
      </c>
      <c r="E3429" s="218">
        <v>350</v>
      </c>
      <c r="F3429" s="180"/>
      <c r="G3429" s="58">
        <f t="shared" si="57"/>
        <v>-350</v>
      </c>
      <c r="H3429" s="127" t="s">
        <v>2552</v>
      </c>
    </row>
    <row r="3430" spans="1:8" s="182" customFormat="1" ht="12.75" customHeight="1" x14ac:dyDescent="0.2">
      <c r="A3430" s="596">
        <v>42966</v>
      </c>
      <c r="B3430" s="67" t="s">
        <v>1400</v>
      </c>
      <c r="C3430" s="217" t="s">
        <v>2519</v>
      </c>
      <c r="D3430" s="803" t="s">
        <v>2703</v>
      </c>
      <c r="E3430" s="180">
        <v>200</v>
      </c>
      <c r="F3430" s="180"/>
      <c r="G3430" s="58">
        <f t="shared" si="57"/>
        <v>-200</v>
      </c>
      <c r="H3430" s="127" t="s">
        <v>2552</v>
      </c>
    </row>
    <row r="3431" spans="1:8" s="182" customFormat="1" ht="12.75" customHeight="1" x14ac:dyDescent="0.2">
      <c r="A3431" s="596">
        <v>42966</v>
      </c>
      <c r="B3431" s="67" t="s">
        <v>25</v>
      </c>
      <c r="C3431" s="217" t="s">
        <v>1894</v>
      </c>
      <c r="D3431" s="804" t="s">
        <v>2108</v>
      </c>
      <c r="E3431" s="180">
        <v>2000</v>
      </c>
      <c r="F3431" s="180"/>
      <c r="G3431" s="58">
        <f t="shared" si="57"/>
        <v>-2000</v>
      </c>
      <c r="H3431" s="127" t="s">
        <v>2552</v>
      </c>
    </row>
    <row r="3432" spans="1:8" s="182" customFormat="1" ht="12.75" customHeight="1" x14ac:dyDescent="0.2">
      <c r="A3432" s="596">
        <v>42966</v>
      </c>
      <c r="B3432" s="41" t="s">
        <v>82</v>
      </c>
      <c r="C3432" s="217" t="s">
        <v>1580</v>
      </c>
      <c r="D3432" s="804" t="s">
        <v>2704</v>
      </c>
      <c r="E3432" s="180">
        <v>30000</v>
      </c>
      <c r="F3432" s="180"/>
      <c r="G3432" s="58">
        <f t="shared" si="57"/>
        <v>-30000</v>
      </c>
      <c r="H3432" s="127" t="s">
        <v>2552</v>
      </c>
    </row>
    <row r="3433" spans="1:8" s="182" customFormat="1" ht="12.75" customHeight="1" x14ac:dyDescent="0.2">
      <c r="A3433" s="596">
        <v>42966</v>
      </c>
      <c r="B3433" s="67" t="s">
        <v>14</v>
      </c>
      <c r="C3433" s="217" t="s">
        <v>1704</v>
      </c>
      <c r="D3433" s="804" t="s">
        <v>1410</v>
      </c>
      <c r="E3433" s="180">
        <v>255</v>
      </c>
      <c r="F3433" s="180"/>
      <c r="G3433" s="58">
        <f t="shared" si="57"/>
        <v>-255</v>
      </c>
      <c r="H3433" s="127" t="s">
        <v>2552</v>
      </c>
    </row>
    <row r="3434" spans="1:8" s="182" customFormat="1" ht="12.75" customHeight="1" x14ac:dyDescent="0.2">
      <c r="A3434" s="596">
        <v>42968</v>
      </c>
      <c r="B3434" s="67" t="s">
        <v>40</v>
      </c>
      <c r="C3434" s="217" t="s">
        <v>2594</v>
      </c>
      <c r="D3434" s="804" t="s">
        <v>72</v>
      </c>
      <c r="E3434" s="180">
        <v>26000</v>
      </c>
      <c r="F3434" s="180"/>
      <c r="G3434" s="58">
        <f t="shared" si="57"/>
        <v>-26000</v>
      </c>
      <c r="H3434" s="127" t="s">
        <v>2552</v>
      </c>
    </row>
    <row r="3435" spans="1:8" s="182" customFormat="1" ht="12.75" customHeight="1" x14ac:dyDescent="0.2">
      <c r="A3435" s="596">
        <v>42968</v>
      </c>
      <c r="B3435" s="67" t="s">
        <v>154</v>
      </c>
      <c r="C3435" s="217" t="s">
        <v>2594</v>
      </c>
      <c r="D3435" s="804" t="s">
        <v>72</v>
      </c>
      <c r="E3435" s="180">
        <v>10000</v>
      </c>
      <c r="F3435" s="180"/>
      <c r="G3435" s="58">
        <f t="shared" si="57"/>
        <v>-10000</v>
      </c>
      <c r="H3435" s="127" t="s">
        <v>2552</v>
      </c>
    </row>
    <row r="3436" spans="1:8" s="182" customFormat="1" ht="12.75" customHeight="1" x14ac:dyDescent="0.2">
      <c r="A3436" s="596">
        <v>42968</v>
      </c>
      <c r="B3436" s="67" t="s">
        <v>14</v>
      </c>
      <c r="C3436" s="217" t="s">
        <v>2594</v>
      </c>
      <c r="D3436" s="804" t="s">
        <v>72</v>
      </c>
      <c r="E3436" s="180">
        <v>5670</v>
      </c>
      <c r="F3436" s="180"/>
      <c r="G3436" s="58">
        <f t="shared" si="57"/>
        <v>-5670</v>
      </c>
      <c r="H3436" s="127" t="s">
        <v>2552</v>
      </c>
    </row>
    <row r="3437" spans="1:8" s="182" customFormat="1" ht="12.75" customHeight="1" x14ac:dyDescent="0.2">
      <c r="A3437" s="596">
        <v>42968</v>
      </c>
      <c r="B3437" s="47" t="s">
        <v>82</v>
      </c>
      <c r="C3437" s="47" t="s">
        <v>2594</v>
      </c>
      <c r="D3437" s="804" t="s">
        <v>72</v>
      </c>
      <c r="E3437" s="180">
        <v>6990</v>
      </c>
      <c r="F3437" s="180"/>
      <c r="G3437" s="58">
        <f t="shared" si="57"/>
        <v>-6990</v>
      </c>
      <c r="H3437" s="127" t="s">
        <v>2552</v>
      </c>
    </row>
    <row r="3438" spans="1:8" s="182" customFormat="1" ht="12.75" customHeight="1" x14ac:dyDescent="0.2">
      <c r="A3438" s="596">
        <v>42968</v>
      </c>
      <c r="B3438" s="67" t="s">
        <v>1691</v>
      </c>
      <c r="C3438" s="47" t="s">
        <v>2594</v>
      </c>
      <c r="D3438" s="804" t="s">
        <v>72</v>
      </c>
      <c r="E3438" s="180">
        <v>23000</v>
      </c>
      <c r="F3438" s="180"/>
      <c r="G3438" s="58">
        <f t="shared" si="57"/>
        <v>-23000</v>
      </c>
      <c r="H3438" s="127" t="s">
        <v>2552</v>
      </c>
    </row>
    <row r="3439" spans="1:8" s="182" customFormat="1" ht="12.75" customHeight="1" x14ac:dyDescent="0.2">
      <c r="A3439" s="596">
        <v>42968</v>
      </c>
      <c r="B3439" s="67" t="s">
        <v>16</v>
      </c>
      <c r="C3439" s="47" t="s">
        <v>2594</v>
      </c>
      <c r="D3439" s="804" t="s">
        <v>72</v>
      </c>
      <c r="E3439" s="180">
        <v>5430</v>
      </c>
      <c r="F3439" s="180"/>
      <c r="G3439" s="58">
        <f t="shared" si="57"/>
        <v>-5430</v>
      </c>
      <c r="H3439" s="127" t="s">
        <v>2552</v>
      </c>
    </row>
    <row r="3440" spans="1:8" s="182" customFormat="1" ht="12.75" customHeight="1" x14ac:dyDescent="0.2">
      <c r="A3440" s="596">
        <v>42968</v>
      </c>
      <c r="B3440" s="67" t="s">
        <v>25</v>
      </c>
      <c r="C3440" s="217" t="s">
        <v>2705</v>
      </c>
      <c r="D3440" s="804" t="s">
        <v>2706</v>
      </c>
      <c r="E3440" s="180">
        <v>450</v>
      </c>
      <c r="F3440" s="180"/>
      <c r="G3440" s="58">
        <f t="shared" si="57"/>
        <v>-450</v>
      </c>
      <c r="H3440" s="127" t="s">
        <v>2552</v>
      </c>
    </row>
    <row r="3441" spans="1:8" s="182" customFormat="1" ht="12.75" customHeight="1" x14ac:dyDescent="0.2">
      <c r="A3441" s="596">
        <v>42969</v>
      </c>
      <c r="B3441" s="67" t="s">
        <v>1400</v>
      </c>
      <c r="C3441" s="217" t="s">
        <v>205</v>
      </c>
      <c r="D3441" s="804" t="s">
        <v>2707</v>
      </c>
      <c r="E3441" s="180">
        <v>200</v>
      </c>
      <c r="F3441" s="180"/>
      <c r="G3441" s="58">
        <f t="shared" si="57"/>
        <v>-200</v>
      </c>
      <c r="H3441" s="127" t="s">
        <v>2552</v>
      </c>
    </row>
    <row r="3442" spans="1:8" s="182" customFormat="1" ht="12.75" customHeight="1" x14ac:dyDescent="0.2">
      <c r="A3442" s="596">
        <v>42969</v>
      </c>
      <c r="B3442" s="67" t="s">
        <v>25</v>
      </c>
      <c r="C3442" s="217" t="s">
        <v>2060</v>
      </c>
      <c r="D3442" s="804" t="s">
        <v>286</v>
      </c>
      <c r="E3442" s="180">
        <v>2000</v>
      </c>
      <c r="F3442" s="180"/>
      <c r="G3442" s="58">
        <f t="shared" si="57"/>
        <v>-2000</v>
      </c>
      <c r="H3442" s="127" t="s">
        <v>2552</v>
      </c>
    </row>
    <row r="3443" spans="1:8" s="182" customFormat="1" ht="12.75" customHeight="1" x14ac:dyDescent="0.2">
      <c r="A3443" s="596">
        <v>42969</v>
      </c>
      <c r="B3443" s="67" t="s">
        <v>25</v>
      </c>
      <c r="C3443" s="217" t="s">
        <v>1916</v>
      </c>
      <c r="D3443" s="804" t="s">
        <v>270</v>
      </c>
      <c r="E3443" s="180">
        <v>12000</v>
      </c>
      <c r="F3443" s="180"/>
      <c r="G3443" s="58">
        <f t="shared" si="57"/>
        <v>-12000</v>
      </c>
      <c r="H3443" s="127" t="s">
        <v>2552</v>
      </c>
    </row>
    <row r="3444" spans="1:8" s="182" customFormat="1" ht="12.75" customHeight="1" x14ac:dyDescent="0.2">
      <c r="A3444" s="596">
        <v>42970</v>
      </c>
      <c r="B3444" s="67" t="s">
        <v>1400</v>
      </c>
      <c r="C3444" s="41" t="s">
        <v>14</v>
      </c>
      <c r="D3444" s="804" t="s">
        <v>2708</v>
      </c>
      <c r="E3444" s="180">
        <v>400</v>
      </c>
      <c r="F3444" s="180"/>
      <c r="G3444" s="58">
        <f t="shared" si="57"/>
        <v>-400</v>
      </c>
      <c r="H3444" s="127" t="s">
        <v>2552</v>
      </c>
    </row>
    <row r="3445" spans="1:8" s="182" customFormat="1" ht="12.75" customHeight="1" x14ac:dyDescent="0.2">
      <c r="A3445" s="596">
        <v>42970</v>
      </c>
      <c r="B3445" s="67" t="s">
        <v>2548</v>
      </c>
      <c r="C3445" s="217" t="s">
        <v>773</v>
      </c>
      <c r="D3445" s="804" t="s">
        <v>2709</v>
      </c>
      <c r="E3445" s="180">
        <v>350</v>
      </c>
      <c r="F3445" s="180"/>
      <c r="G3445" s="58">
        <f t="shared" si="57"/>
        <v>-350</v>
      </c>
      <c r="H3445" s="127" t="s">
        <v>2552</v>
      </c>
    </row>
    <row r="3446" spans="1:8" s="182" customFormat="1" ht="12.75" customHeight="1" x14ac:dyDescent="0.2">
      <c r="A3446" s="596">
        <v>42973</v>
      </c>
      <c r="B3446" s="67" t="s">
        <v>16</v>
      </c>
      <c r="C3446" s="217" t="s">
        <v>773</v>
      </c>
      <c r="D3446" s="804" t="s">
        <v>2712</v>
      </c>
      <c r="E3446" s="180">
        <v>720</v>
      </c>
      <c r="F3446" s="180"/>
      <c r="G3446" s="58">
        <f t="shared" si="57"/>
        <v>-720</v>
      </c>
      <c r="H3446" s="127" t="s">
        <v>2552</v>
      </c>
    </row>
    <row r="3447" spans="1:8" s="182" customFormat="1" ht="12.75" customHeight="1" x14ac:dyDescent="0.2">
      <c r="A3447" s="596">
        <v>42973</v>
      </c>
      <c r="B3447" s="67" t="s">
        <v>11</v>
      </c>
      <c r="C3447" s="217" t="s">
        <v>309</v>
      </c>
      <c r="D3447" s="804" t="s">
        <v>2713</v>
      </c>
      <c r="E3447" s="180">
        <v>4143</v>
      </c>
      <c r="F3447" s="180"/>
      <c r="G3447" s="58">
        <f t="shared" si="57"/>
        <v>-4143</v>
      </c>
      <c r="H3447" s="127" t="s">
        <v>2552</v>
      </c>
    </row>
    <row r="3448" spans="1:8" s="182" customFormat="1" ht="12.75" customHeight="1" x14ac:dyDescent="0.2">
      <c r="A3448" s="596">
        <v>42973</v>
      </c>
      <c r="B3448" s="67" t="s">
        <v>25</v>
      </c>
      <c r="C3448" s="217" t="s">
        <v>309</v>
      </c>
      <c r="D3448" s="804" t="s">
        <v>2714</v>
      </c>
      <c r="E3448" s="180">
        <v>5010</v>
      </c>
      <c r="F3448" s="180"/>
      <c r="G3448" s="58">
        <f t="shared" si="57"/>
        <v>-5010</v>
      </c>
      <c r="H3448" s="127" t="s">
        <v>2552</v>
      </c>
    </row>
    <row r="3449" spans="1:8" s="182" customFormat="1" ht="12.75" customHeight="1" x14ac:dyDescent="0.2">
      <c r="A3449" s="596">
        <v>42973</v>
      </c>
      <c r="B3449" s="67" t="s">
        <v>25</v>
      </c>
      <c r="C3449" s="217" t="s">
        <v>2715</v>
      </c>
      <c r="D3449" s="804" t="s">
        <v>2716</v>
      </c>
      <c r="E3449" s="180">
        <v>18899</v>
      </c>
      <c r="F3449" s="180"/>
      <c r="G3449" s="58">
        <f t="shared" si="57"/>
        <v>-18899</v>
      </c>
      <c r="H3449" s="127" t="s">
        <v>2552</v>
      </c>
    </row>
    <row r="3450" spans="1:8" s="182" customFormat="1" ht="12.75" customHeight="1" x14ac:dyDescent="0.2">
      <c r="A3450" s="596">
        <v>42973</v>
      </c>
      <c r="B3450" s="67" t="s">
        <v>16</v>
      </c>
      <c r="C3450" s="217" t="s">
        <v>2715</v>
      </c>
      <c r="D3450" s="804" t="s">
        <v>2716</v>
      </c>
      <c r="E3450" s="180">
        <v>113653</v>
      </c>
      <c r="F3450" s="180"/>
      <c r="G3450" s="58">
        <f t="shared" si="57"/>
        <v>-113653</v>
      </c>
      <c r="H3450" s="127" t="s">
        <v>2552</v>
      </c>
    </row>
    <row r="3451" spans="1:8" s="182" customFormat="1" ht="12.75" customHeight="1" x14ac:dyDescent="0.2">
      <c r="A3451" s="596">
        <v>42973</v>
      </c>
      <c r="B3451" s="67" t="s">
        <v>16</v>
      </c>
      <c r="C3451" s="217" t="s">
        <v>1689</v>
      </c>
      <c r="D3451" s="804" t="s">
        <v>370</v>
      </c>
      <c r="E3451" s="180">
        <v>28138</v>
      </c>
      <c r="F3451" s="180"/>
      <c r="G3451" s="58">
        <f t="shared" si="57"/>
        <v>-28138</v>
      </c>
      <c r="H3451" s="127" t="s">
        <v>2552</v>
      </c>
    </row>
    <row r="3452" spans="1:8" s="182" customFormat="1" x14ac:dyDescent="0.2">
      <c r="A3452" s="596">
        <v>42973</v>
      </c>
      <c r="B3452" s="67" t="s">
        <v>25</v>
      </c>
      <c r="C3452" s="217" t="s">
        <v>1689</v>
      </c>
      <c r="D3452" s="804" t="s">
        <v>370</v>
      </c>
      <c r="E3452" s="180">
        <v>18883</v>
      </c>
      <c r="F3452" s="180"/>
      <c r="G3452" s="58">
        <f t="shared" si="57"/>
        <v>-18883</v>
      </c>
      <c r="H3452" s="127" t="s">
        <v>2552</v>
      </c>
    </row>
    <row r="3453" spans="1:8" s="182" customFormat="1" x14ac:dyDescent="0.2">
      <c r="A3453" s="596">
        <v>42973</v>
      </c>
      <c r="B3453" s="67" t="s">
        <v>40</v>
      </c>
      <c r="C3453" s="217" t="s">
        <v>450</v>
      </c>
      <c r="D3453" s="804" t="s">
        <v>2717</v>
      </c>
      <c r="E3453" s="180">
        <v>4720</v>
      </c>
      <c r="F3453" s="180"/>
      <c r="G3453" s="58">
        <f t="shared" si="57"/>
        <v>-4720</v>
      </c>
      <c r="H3453" s="127" t="s">
        <v>2552</v>
      </c>
    </row>
    <row r="3454" spans="1:8" s="182" customFormat="1" x14ac:dyDescent="0.2">
      <c r="A3454" s="596">
        <v>42975</v>
      </c>
      <c r="B3454" s="67" t="s">
        <v>25</v>
      </c>
      <c r="C3454" s="217" t="s">
        <v>2718</v>
      </c>
      <c r="D3454" s="804" t="s">
        <v>2719</v>
      </c>
      <c r="E3454" s="180">
        <v>18485</v>
      </c>
      <c r="F3454" s="180"/>
      <c r="G3454" s="58">
        <f t="shared" si="57"/>
        <v>-18485</v>
      </c>
      <c r="H3454" s="127" t="s">
        <v>2552</v>
      </c>
    </row>
    <row r="3455" spans="1:8" s="182" customFormat="1" x14ac:dyDescent="0.2">
      <c r="A3455" s="596">
        <v>42976</v>
      </c>
      <c r="B3455" s="67" t="s">
        <v>1400</v>
      </c>
      <c r="C3455" s="217" t="s">
        <v>64</v>
      </c>
      <c r="D3455" s="804" t="s">
        <v>1974</v>
      </c>
      <c r="E3455" s="180">
        <v>22220</v>
      </c>
      <c r="F3455" s="180"/>
      <c r="G3455" s="58">
        <f t="shared" si="57"/>
        <v>-22220</v>
      </c>
      <c r="H3455" s="127" t="s">
        <v>2552</v>
      </c>
    </row>
    <row r="3456" spans="1:8" s="182" customFormat="1" x14ac:dyDescent="0.2">
      <c r="A3456" s="596">
        <v>42976</v>
      </c>
      <c r="B3456" s="67" t="s">
        <v>25</v>
      </c>
      <c r="C3456" s="217" t="s">
        <v>2060</v>
      </c>
      <c r="D3456" s="804" t="s">
        <v>2360</v>
      </c>
      <c r="E3456" s="180">
        <v>2000</v>
      </c>
      <c r="F3456" s="180"/>
      <c r="G3456" s="58">
        <f t="shared" si="57"/>
        <v>-2000</v>
      </c>
      <c r="H3456" s="127" t="s">
        <v>2552</v>
      </c>
    </row>
    <row r="3457" spans="1:8" s="182" customFormat="1" x14ac:dyDescent="0.2">
      <c r="A3457" s="596">
        <v>42976</v>
      </c>
      <c r="B3457" s="67" t="s">
        <v>14</v>
      </c>
      <c r="C3457" s="217" t="s">
        <v>2212</v>
      </c>
      <c r="D3457" s="804" t="s">
        <v>600</v>
      </c>
      <c r="E3457" s="180">
        <v>177</v>
      </c>
      <c r="F3457" s="180"/>
      <c r="G3457" s="58">
        <f t="shared" si="57"/>
        <v>-177</v>
      </c>
      <c r="H3457" s="127" t="s">
        <v>2552</v>
      </c>
    </row>
    <row r="3458" spans="1:8" s="182" customFormat="1" x14ac:dyDescent="0.2">
      <c r="A3458" s="596">
        <v>42976</v>
      </c>
      <c r="B3458" s="67" t="s">
        <v>25</v>
      </c>
      <c r="C3458" s="217" t="s">
        <v>1894</v>
      </c>
      <c r="D3458" s="804" t="s">
        <v>1974</v>
      </c>
      <c r="E3458" s="180">
        <v>5950</v>
      </c>
      <c r="F3458" s="180"/>
      <c r="G3458" s="58">
        <f t="shared" si="57"/>
        <v>-5950</v>
      </c>
      <c r="H3458" s="127" t="s">
        <v>2552</v>
      </c>
    </row>
    <row r="3459" spans="1:8" s="182" customFormat="1" x14ac:dyDescent="0.2">
      <c r="A3459" s="596">
        <v>42977</v>
      </c>
      <c r="B3459" s="67" t="s">
        <v>25</v>
      </c>
      <c r="C3459" s="217" t="s">
        <v>1916</v>
      </c>
      <c r="D3459" s="804" t="s">
        <v>1974</v>
      </c>
      <c r="E3459" s="180">
        <v>17730</v>
      </c>
      <c r="F3459" s="180"/>
      <c r="G3459" s="58">
        <f t="shared" si="57"/>
        <v>-17730</v>
      </c>
      <c r="H3459" s="127" t="s">
        <v>2552</v>
      </c>
    </row>
    <row r="3460" spans="1:8" s="182" customFormat="1" x14ac:dyDescent="0.2">
      <c r="A3460" s="596">
        <v>42978</v>
      </c>
      <c r="B3460" s="47" t="s">
        <v>82</v>
      </c>
      <c r="C3460" s="217" t="s">
        <v>1580</v>
      </c>
      <c r="D3460" s="804" t="s">
        <v>370</v>
      </c>
      <c r="E3460" s="180">
        <v>30000</v>
      </c>
      <c r="F3460" s="180"/>
      <c r="G3460" s="58">
        <f t="shared" si="57"/>
        <v>-30000</v>
      </c>
      <c r="H3460" s="127" t="s">
        <v>2552</v>
      </c>
    </row>
    <row r="3461" spans="1:8" ht="15.75" customHeight="1" thickBot="1" x14ac:dyDescent="0.3">
      <c r="A3461" s="606">
        <v>42948</v>
      </c>
      <c r="B3461" s="174" t="s">
        <v>40</v>
      </c>
      <c r="C3461" s="174" t="s">
        <v>256</v>
      </c>
      <c r="D3461" s="118" t="s">
        <v>2551</v>
      </c>
      <c r="E3461" s="155">
        <v>64276</v>
      </c>
      <c r="F3461" s="155"/>
      <c r="G3461" s="155">
        <f t="shared" si="57"/>
        <v>-64276</v>
      </c>
      <c r="H3461" s="163" t="s">
        <v>2552</v>
      </c>
    </row>
    <row r="3462" spans="1:8" ht="15.75" customHeight="1" thickBot="1" x14ac:dyDescent="0.3">
      <c r="A3462" s="606">
        <v>42948</v>
      </c>
      <c r="B3462" s="174" t="s">
        <v>2094</v>
      </c>
      <c r="C3462" s="174" t="s">
        <v>256</v>
      </c>
      <c r="D3462" s="118" t="s">
        <v>2551</v>
      </c>
      <c r="E3462" s="155">
        <v>54420</v>
      </c>
      <c r="F3462" s="155"/>
      <c r="G3462" s="155">
        <f t="shared" si="57"/>
        <v>-54420</v>
      </c>
      <c r="H3462" s="163" t="s">
        <v>2552</v>
      </c>
    </row>
    <row r="3463" spans="1:8" ht="15.75" customHeight="1" thickBot="1" x14ac:dyDescent="0.3">
      <c r="A3463" s="606">
        <v>42964</v>
      </c>
      <c r="B3463" s="174" t="s">
        <v>1400</v>
      </c>
      <c r="C3463" s="174" t="s">
        <v>2642</v>
      </c>
      <c r="D3463" s="118" t="s">
        <v>2643</v>
      </c>
      <c r="E3463" s="155">
        <v>307000</v>
      </c>
      <c r="F3463" s="155"/>
      <c r="G3463" s="155">
        <f t="shared" si="57"/>
        <v>-307000</v>
      </c>
      <c r="H3463" s="163" t="s">
        <v>2552</v>
      </c>
    </row>
    <row r="3464" spans="1:8" ht="15.75" customHeight="1" thickBot="1" x14ac:dyDescent="0.3">
      <c r="A3464" s="606">
        <v>42969</v>
      </c>
      <c r="B3464" s="174" t="s">
        <v>1400</v>
      </c>
      <c r="C3464" s="174" t="s">
        <v>2196</v>
      </c>
      <c r="D3464" s="118" t="s">
        <v>2646</v>
      </c>
      <c r="E3464" s="155">
        <v>75000</v>
      </c>
      <c r="F3464" s="155"/>
      <c r="G3464" s="155">
        <f t="shared" si="57"/>
        <v>-75000</v>
      </c>
      <c r="H3464" s="163" t="s">
        <v>2552</v>
      </c>
    </row>
    <row r="3465" spans="1:8" ht="15.75" customHeight="1" thickBot="1" x14ac:dyDescent="0.3">
      <c r="A3465" s="606">
        <v>42969</v>
      </c>
      <c r="B3465" s="174" t="s">
        <v>1400</v>
      </c>
      <c r="C3465" s="174" t="s">
        <v>1803</v>
      </c>
      <c r="D3465" s="118" t="s">
        <v>2645</v>
      </c>
      <c r="E3465" s="155">
        <v>31182</v>
      </c>
      <c r="F3465" s="155"/>
      <c r="G3465" s="155">
        <f t="shared" ref="G3465:G3528" si="58">F3465-E3465</f>
        <v>-31182</v>
      </c>
      <c r="H3465" s="163" t="s">
        <v>2552</v>
      </c>
    </row>
    <row r="3466" spans="1:8" ht="15.75" customHeight="1" thickBot="1" x14ac:dyDescent="0.3">
      <c r="A3466" s="606">
        <v>42970</v>
      </c>
      <c r="B3466" s="174" t="s">
        <v>1400</v>
      </c>
      <c r="C3466" s="174" t="s">
        <v>929</v>
      </c>
      <c r="D3466" s="118" t="s">
        <v>2647</v>
      </c>
      <c r="E3466" s="155">
        <v>100000</v>
      </c>
      <c r="F3466" s="155"/>
      <c r="G3466" s="155">
        <f t="shared" si="58"/>
        <v>-100000</v>
      </c>
      <c r="H3466" s="163" t="s">
        <v>2552</v>
      </c>
    </row>
    <row r="3467" spans="1:8" ht="15.75" customHeight="1" thickBot="1" x14ac:dyDescent="0.3">
      <c r="A3467" s="606">
        <v>42972</v>
      </c>
      <c r="B3467" s="174" t="s">
        <v>1400</v>
      </c>
      <c r="C3467" s="174" t="s">
        <v>2160</v>
      </c>
      <c r="D3467" s="118" t="s">
        <v>2650</v>
      </c>
      <c r="E3467" s="155">
        <v>100000</v>
      </c>
      <c r="F3467" s="155"/>
      <c r="G3467" s="155">
        <f t="shared" si="58"/>
        <v>-100000</v>
      </c>
      <c r="H3467" s="163" t="s">
        <v>2552</v>
      </c>
    </row>
    <row r="3468" spans="1:8" ht="15.75" customHeight="1" thickBot="1" x14ac:dyDescent="0.3">
      <c r="A3468" s="606">
        <v>42975</v>
      </c>
      <c r="B3468" s="174" t="s">
        <v>40</v>
      </c>
      <c r="C3468" s="174" t="s">
        <v>555</v>
      </c>
      <c r="D3468" s="118" t="s">
        <v>2651</v>
      </c>
      <c r="E3468" s="155">
        <v>250000</v>
      </c>
      <c r="F3468" s="155"/>
      <c r="G3468" s="155">
        <f t="shared" si="58"/>
        <v>-250000</v>
      </c>
      <c r="H3468" s="163" t="s">
        <v>2552</v>
      </c>
    </row>
    <row r="3469" spans="1:8" ht="15.75" customHeight="1" thickBot="1" x14ac:dyDescent="0.3">
      <c r="A3469" s="606">
        <v>42977</v>
      </c>
      <c r="B3469" s="174" t="s">
        <v>1400</v>
      </c>
      <c r="C3469" s="174" t="s">
        <v>2515</v>
      </c>
      <c r="D3469" s="118" t="s">
        <v>2775</v>
      </c>
      <c r="E3469" s="155">
        <v>45000</v>
      </c>
      <c r="F3469" s="155"/>
      <c r="G3469" s="155">
        <f t="shared" si="58"/>
        <v>-45000</v>
      </c>
      <c r="H3469" s="163" t="s">
        <v>2552</v>
      </c>
    </row>
    <row r="3470" spans="1:8" ht="15.75" customHeight="1" thickBot="1" x14ac:dyDescent="0.3">
      <c r="A3470" s="599">
        <v>42949</v>
      </c>
      <c r="B3470" s="91" t="s">
        <v>2548</v>
      </c>
      <c r="C3470" s="94" t="s">
        <v>559</v>
      </c>
      <c r="D3470" s="801" t="s">
        <v>2037</v>
      </c>
      <c r="E3470" s="92"/>
      <c r="F3470" s="92">
        <v>519502</v>
      </c>
      <c r="G3470" s="92">
        <f t="shared" si="58"/>
        <v>519502</v>
      </c>
      <c r="H3470" s="178" t="s">
        <v>2552</v>
      </c>
    </row>
    <row r="3471" spans="1:8" ht="15.75" thickBot="1" x14ac:dyDescent="0.25">
      <c r="A3471" s="599">
        <v>42950</v>
      </c>
      <c r="B3471" s="91" t="s">
        <v>37</v>
      </c>
      <c r="C3471" s="94" t="s">
        <v>559</v>
      </c>
      <c r="D3471" s="801" t="s">
        <v>2553</v>
      </c>
      <c r="E3471" s="176"/>
      <c r="F3471" s="92">
        <v>314280</v>
      </c>
      <c r="G3471" s="176">
        <f t="shared" si="58"/>
        <v>314280</v>
      </c>
      <c r="H3471" s="179" t="s">
        <v>2552</v>
      </c>
    </row>
    <row r="3472" spans="1:8" ht="15.75" thickBot="1" x14ac:dyDescent="0.25">
      <c r="A3472" s="599">
        <v>42977</v>
      </c>
      <c r="B3472" s="91" t="s">
        <v>2652</v>
      </c>
      <c r="C3472" s="94" t="s">
        <v>559</v>
      </c>
      <c r="D3472" s="801" t="s">
        <v>2653</v>
      </c>
      <c r="E3472" s="92"/>
      <c r="F3472" s="92">
        <v>6084342</v>
      </c>
      <c r="G3472" s="92">
        <f t="shared" si="58"/>
        <v>6084342</v>
      </c>
      <c r="H3472" s="179" t="s">
        <v>2552</v>
      </c>
    </row>
    <row r="3473" spans="1:8" ht="15.75" thickBot="1" x14ac:dyDescent="0.25">
      <c r="A3473" s="599">
        <v>42977</v>
      </c>
      <c r="B3473" s="91" t="s">
        <v>18</v>
      </c>
      <c r="C3473" s="94" t="s">
        <v>559</v>
      </c>
      <c r="D3473" s="801" t="s">
        <v>1402</v>
      </c>
      <c r="E3473" s="92"/>
      <c r="F3473" s="92">
        <v>100000</v>
      </c>
      <c r="G3473" s="92">
        <f t="shared" si="58"/>
        <v>100000</v>
      </c>
      <c r="H3473" s="179" t="s">
        <v>2552</v>
      </c>
    </row>
    <row r="3474" spans="1:8" ht="15.75" thickBot="1" x14ac:dyDescent="0.25">
      <c r="A3474" s="597">
        <v>42979</v>
      </c>
      <c r="B3474" s="41" t="s">
        <v>2548</v>
      </c>
      <c r="C3474" s="63" t="s">
        <v>1230</v>
      </c>
      <c r="D3474" s="108" t="s">
        <v>1837</v>
      </c>
      <c r="E3474" s="173">
        <v>25000</v>
      </c>
      <c r="F3474" s="173"/>
      <c r="G3474" s="58">
        <f t="shared" si="58"/>
        <v>-25000</v>
      </c>
      <c r="H3474" s="219" t="s">
        <v>2656</v>
      </c>
    </row>
    <row r="3475" spans="1:8" ht="15.75" thickBot="1" x14ac:dyDescent="0.25">
      <c r="A3475" s="597">
        <v>42979</v>
      </c>
      <c r="B3475" s="41" t="s">
        <v>1400</v>
      </c>
      <c r="C3475" s="63" t="s">
        <v>1230</v>
      </c>
      <c r="D3475" s="108" t="s">
        <v>1837</v>
      </c>
      <c r="E3475" s="173">
        <v>25000</v>
      </c>
      <c r="F3475" s="173"/>
      <c r="G3475" s="58">
        <f t="shared" si="58"/>
        <v>-25000</v>
      </c>
      <c r="H3475" s="219" t="s">
        <v>2656</v>
      </c>
    </row>
    <row r="3476" spans="1:8" ht="15.75" thickBot="1" x14ac:dyDescent="0.25">
      <c r="A3476" s="597">
        <v>42979</v>
      </c>
      <c r="B3476" s="41" t="s">
        <v>25</v>
      </c>
      <c r="C3476" s="63" t="s">
        <v>1230</v>
      </c>
      <c r="D3476" s="108" t="s">
        <v>1839</v>
      </c>
      <c r="E3476" s="173">
        <v>6500</v>
      </c>
      <c r="F3476" s="173"/>
      <c r="G3476" s="58">
        <f t="shared" si="58"/>
        <v>-6500</v>
      </c>
      <c r="H3476" s="219" t="s">
        <v>2656</v>
      </c>
    </row>
    <row r="3477" spans="1:8" ht="15.75" thickBot="1" x14ac:dyDescent="0.25">
      <c r="A3477" s="597">
        <v>42979</v>
      </c>
      <c r="B3477" s="41" t="s">
        <v>25</v>
      </c>
      <c r="C3477" s="63" t="s">
        <v>1230</v>
      </c>
      <c r="D3477" s="108" t="s">
        <v>1840</v>
      </c>
      <c r="E3477" s="173">
        <v>7000</v>
      </c>
      <c r="F3477" s="173"/>
      <c r="G3477" s="58">
        <f t="shared" si="58"/>
        <v>-7000</v>
      </c>
      <c r="H3477" s="219" t="s">
        <v>2656</v>
      </c>
    </row>
    <row r="3478" spans="1:8" ht="15.75" thickBot="1" x14ac:dyDescent="0.25">
      <c r="A3478" s="597">
        <v>42979</v>
      </c>
      <c r="B3478" s="41" t="s">
        <v>25</v>
      </c>
      <c r="C3478" s="63" t="s">
        <v>1230</v>
      </c>
      <c r="D3478" s="108" t="s">
        <v>2183</v>
      </c>
      <c r="E3478" s="173">
        <v>18000</v>
      </c>
      <c r="F3478" s="173"/>
      <c r="G3478" s="58">
        <f t="shared" si="58"/>
        <v>-18000</v>
      </c>
      <c r="H3478" s="219" t="s">
        <v>2656</v>
      </c>
    </row>
    <row r="3479" spans="1:8" ht="15.75" thickBot="1" x14ac:dyDescent="0.25">
      <c r="A3479" s="597">
        <v>42979</v>
      </c>
      <c r="B3479" s="41" t="s">
        <v>25</v>
      </c>
      <c r="C3479" s="63" t="s">
        <v>1230</v>
      </c>
      <c r="D3479" s="108" t="s">
        <v>1547</v>
      </c>
      <c r="E3479" s="173">
        <v>9000</v>
      </c>
      <c r="F3479" s="173"/>
      <c r="G3479" s="58">
        <f t="shared" si="58"/>
        <v>-9000</v>
      </c>
      <c r="H3479" s="219" t="s">
        <v>2656</v>
      </c>
    </row>
    <row r="3480" spans="1:8" ht="15.75" thickBot="1" x14ac:dyDescent="0.25">
      <c r="A3480" s="597">
        <v>42979</v>
      </c>
      <c r="B3480" s="41" t="s">
        <v>16</v>
      </c>
      <c r="C3480" s="63" t="s">
        <v>1230</v>
      </c>
      <c r="D3480" s="108" t="s">
        <v>1842</v>
      </c>
      <c r="E3480" s="173">
        <v>25000</v>
      </c>
      <c r="F3480" s="173"/>
      <c r="G3480" s="58">
        <f t="shared" si="58"/>
        <v>-25000</v>
      </c>
      <c r="H3480" s="219" t="s">
        <v>2656</v>
      </c>
    </row>
    <row r="3481" spans="1:8" ht="15.75" thickBot="1" x14ac:dyDescent="0.25">
      <c r="A3481" s="597">
        <v>42979</v>
      </c>
      <c r="B3481" s="41" t="s">
        <v>16</v>
      </c>
      <c r="C3481" s="63" t="s">
        <v>1230</v>
      </c>
      <c r="D3481" s="108" t="s">
        <v>1843</v>
      </c>
      <c r="E3481" s="173">
        <v>18000</v>
      </c>
      <c r="F3481" s="173"/>
      <c r="G3481" s="58">
        <f t="shared" si="58"/>
        <v>-18000</v>
      </c>
      <c r="H3481" s="219" t="s">
        <v>2656</v>
      </c>
    </row>
    <row r="3482" spans="1:8" ht="15.75" thickBot="1" x14ac:dyDescent="0.25">
      <c r="A3482" s="597">
        <v>42979</v>
      </c>
      <c r="B3482" s="41" t="s">
        <v>16</v>
      </c>
      <c r="C3482" s="63" t="s">
        <v>1230</v>
      </c>
      <c r="D3482" s="108" t="s">
        <v>1844</v>
      </c>
      <c r="E3482" s="173">
        <v>24000</v>
      </c>
      <c r="F3482" s="173"/>
      <c r="G3482" s="58">
        <f t="shared" si="58"/>
        <v>-24000</v>
      </c>
      <c r="H3482" s="219" t="s">
        <v>2656</v>
      </c>
    </row>
    <row r="3483" spans="1:8" ht="15.75" thickBot="1" x14ac:dyDescent="0.25">
      <c r="A3483" s="597">
        <v>42979</v>
      </c>
      <c r="B3483" s="41" t="s">
        <v>16</v>
      </c>
      <c r="C3483" s="63" t="s">
        <v>1230</v>
      </c>
      <c r="D3483" s="108" t="s">
        <v>1838</v>
      </c>
      <c r="E3483" s="173">
        <v>3200</v>
      </c>
      <c r="F3483" s="173"/>
      <c r="G3483" s="58">
        <f t="shared" si="58"/>
        <v>-3200</v>
      </c>
      <c r="H3483" s="219" t="s">
        <v>2656</v>
      </c>
    </row>
    <row r="3484" spans="1:8" ht="15.75" thickBot="1" x14ac:dyDescent="0.25">
      <c r="A3484" s="597">
        <v>42979</v>
      </c>
      <c r="B3484" s="41" t="s">
        <v>1400</v>
      </c>
      <c r="C3484" s="63" t="s">
        <v>1230</v>
      </c>
      <c r="D3484" s="108" t="s">
        <v>1684</v>
      </c>
      <c r="E3484" s="173">
        <v>20000</v>
      </c>
      <c r="F3484" s="173"/>
      <c r="G3484" s="58">
        <f t="shared" si="58"/>
        <v>-20000</v>
      </c>
      <c r="H3484" s="219" t="s">
        <v>2656</v>
      </c>
    </row>
    <row r="3485" spans="1:8" ht="15.75" thickBot="1" x14ac:dyDescent="0.25">
      <c r="A3485" s="597">
        <v>42979</v>
      </c>
      <c r="B3485" s="41" t="s">
        <v>1400</v>
      </c>
      <c r="C3485" s="63" t="s">
        <v>1230</v>
      </c>
      <c r="D3485" s="108" t="s">
        <v>2482</v>
      </c>
      <c r="E3485" s="173">
        <v>17000</v>
      </c>
      <c r="F3485" s="173"/>
      <c r="G3485" s="58">
        <f t="shared" si="58"/>
        <v>-17000</v>
      </c>
      <c r="H3485" s="219" t="s">
        <v>2656</v>
      </c>
    </row>
    <row r="3486" spans="1:8" ht="15.75" thickBot="1" x14ac:dyDescent="0.25">
      <c r="A3486" s="597">
        <v>42979</v>
      </c>
      <c r="B3486" s="41" t="s">
        <v>1400</v>
      </c>
      <c r="C3486" s="63" t="s">
        <v>1230</v>
      </c>
      <c r="D3486" s="108" t="s">
        <v>1550</v>
      </c>
      <c r="E3486" s="173">
        <v>22000</v>
      </c>
      <c r="F3486" s="173"/>
      <c r="G3486" s="58">
        <f t="shared" si="58"/>
        <v>-22000</v>
      </c>
      <c r="H3486" s="219" t="s">
        <v>2656</v>
      </c>
    </row>
    <row r="3487" spans="1:8" ht="15.75" thickBot="1" x14ac:dyDescent="0.25">
      <c r="A3487" s="597">
        <v>42979</v>
      </c>
      <c r="B3487" s="41" t="s">
        <v>1400</v>
      </c>
      <c r="C3487" s="63" t="s">
        <v>1230</v>
      </c>
      <c r="D3487" s="108" t="s">
        <v>1998</v>
      </c>
      <c r="E3487" s="173">
        <v>10000</v>
      </c>
      <c r="F3487" s="173"/>
      <c r="G3487" s="58">
        <f t="shared" si="58"/>
        <v>-10000</v>
      </c>
      <c r="H3487" s="219" t="s">
        <v>2656</v>
      </c>
    </row>
    <row r="3488" spans="1:8" ht="15.75" thickBot="1" x14ac:dyDescent="0.25">
      <c r="A3488" s="597">
        <v>42979</v>
      </c>
      <c r="B3488" s="41" t="s">
        <v>1400</v>
      </c>
      <c r="C3488" s="63" t="s">
        <v>1230</v>
      </c>
      <c r="D3488" s="108" t="s">
        <v>1871</v>
      </c>
      <c r="E3488" s="173">
        <v>38000</v>
      </c>
      <c r="F3488" s="173"/>
      <c r="G3488" s="58">
        <f t="shared" si="58"/>
        <v>-38000</v>
      </c>
      <c r="H3488" s="219" t="s">
        <v>2656</v>
      </c>
    </row>
    <row r="3489" spans="1:8" ht="15.75" thickBot="1" x14ac:dyDescent="0.25">
      <c r="A3489" s="597">
        <v>42979</v>
      </c>
      <c r="B3489" s="41" t="s">
        <v>1400</v>
      </c>
      <c r="C3489" s="63" t="s">
        <v>1230</v>
      </c>
      <c r="D3489" s="108" t="s">
        <v>2481</v>
      </c>
      <c r="E3489" s="173">
        <v>13000</v>
      </c>
      <c r="F3489" s="173"/>
      <c r="G3489" s="58">
        <f t="shared" si="58"/>
        <v>-13000</v>
      </c>
      <c r="H3489" s="219" t="s">
        <v>2656</v>
      </c>
    </row>
    <row r="3490" spans="1:8" ht="15.75" thickBot="1" x14ac:dyDescent="0.25">
      <c r="A3490" s="597">
        <v>42979</v>
      </c>
      <c r="B3490" s="41" t="s">
        <v>1400</v>
      </c>
      <c r="C3490" s="63" t="s">
        <v>1230</v>
      </c>
      <c r="D3490" s="108" t="s">
        <v>1848</v>
      </c>
      <c r="E3490" s="173">
        <v>13000</v>
      </c>
      <c r="F3490" s="173"/>
      <c r="G3490" s="58">
        <f t="shared" si="58"/>
        <v>-13000</v>
      </c>
      <c r="H3490" s="219" t="s">
        <v>2656</v>
      </c>
    </row>
    <row r="3491" spans="1:8" ht="15.75" thickBot="1" x14ac:dyDescent="0.25">
      <c r="A3491" s="597">
        <v>42979</v>
      </c>
      <c r="B3491" s="41" t="s">
        <v>1400</v>
      </c>
      <c r="C3491" s="63" t="s">
        <v>1230</v>
      </c>
      <c r="D3491" s="108" t="s">
        <v>1858</v>
      </c>
      <c r="E3491" s="173">
        <v>33000</v>
      </c>
      <c r="F3491" s="173"/>
      <c r="G3491" s="58">
        <f t="shared" si="58"/>
        <v>-33000</v>
      </c>
      <c r="H3491" s="219" t="s">
        <v>2656</v>
      </c>
    </row>
    <row r="3492" spans="1:8" ht="15.75" thickBot="1" x14ac:dyDescent="0.25">
      <c r="A3492" s="597">
        <v>42979</v>
      </c>
      <c r="B3492" s="41" t="s">
        <v>11</v>
      </c>
      <c r="C3492" s="63" t="s">
        <v>1230</v>
      </c>
      <c r="D3492" s="108" t="s">
        <v>1859</v>
      </c>
      <c r="E3492" s="173">
        <v>18000</v>
      </c>
      <c r="F3492" s="173"/>
      <c r="G3492" s="58">
        <f t="shared" si="58"/>
        <v>-18000</v>
      </c>
      <c r="H3492" s="219" t="s">
        <v>2656</v>
      </c>
    </row>
    <row r="3493" spans="1:8" ht="15.75" thickBot="1" x14ac:dyDescent="0.25">
      <c r="A3493" s="597">
        <v>42979</v>
      </c>
      <c r="B3493" s="41" t="s">
        <v>1400</v>
      </c>
      <c r="C3493" s="63" t="s">
        <v>1230</v>
      </c>
      <c r="D3493" s="108" t="s">
        <v>1872</v>
      </c>
      <c r="E3493" s="173">
        <v>17000</v>
      </c>
      <c r="F3493" s="173"/>
      <c r="G3493" s="58">
        <f t="shared" si="58"/>
        <v>-17000</v>
      </c>
      <c r="H3493" s="219" t="s">
        <v>2656</v>
      </c>
    </row>
    <row r="3494" spans="1:8" ht="15.75" thickBot="1" x14ac:dyDescent="0.25">
      <c r="A3494" s="597">
        <v>42979</v>
      </c>
      <c r="B3494" s="41" t="s">
        <v>18</v>
      </c>
      <c r="C3494" s="63" t="s">
        <v>1230</v>
      </c>
      <c r="D3494" s="108" t="s">
        <v>1860</v>
      </c>
      <c r="E3494" s="173">
        <v>14000</v>
      </c>
      <c r="F3494" s="173"/>
      <c r="G3494" s="58">
        <f t="shared" si="58"/>
        <v>-14000</v>
      </c>
      <c r="H3494" s="219" t="s">
        <v>2656</v>
      </c>
    </row>
    <row r="3495" spans="1:8" ht="15.75" thickBot="1" x14ac:dyDescent="0.25">
      <c r="A3495" s="597">
        <v>42979</v>
      </c>
      <c r="B3495" s="41" t="s">
        <v>2548</v>
      </c>
      <c r="C3495" s="63" t="s">
        <v>1230</v>
      </c>
      <c r="D3495" s="108" t="s">
        <v>1847</v>
      </c>
      <c r="E3495" s="173">
        <v>24000</v>
      </c>
      <c r="F3495" s="173"/>
      <c r="G3495" s="58">
        <f t="shared" si="58"/>
        <v>-24000</v>
      </c>
      <c r="H3495" s="219" t="s">
        <v>2656</v>
      </c>
    </row>
    <row r="3496" spans="1:8" ht="15.75" thickBot="1" x14ac:dyDescent="0.25">
      <c r="A3496" s="597">
        <v>42979</v>
      </c>
      <c r="B3496" s="41" t="s">
        <v>2548</v>
      </c>
      <c r="C3496" s="63" t="s">
        <v>1230</v>
      </c>
      <c r="D3496" s="108" t="s">
        <v>1849</v>
      </c>
      <c r="E3496" s="173">
        <v>12500</v>
      </c>
      <c r="F3496" s="173"/>
      <c r="G3496" s="58">
        <f t="shared" si="58"/>
        <v>-12500</v>
      </c>
      <c r="H3496" s="219" t="s">
        <v>2656</v>
      </c>
    </row>
    <row r="3497" spans="1:8" ht="15.75" thickBot="1" x14ac:dyDescent="0.25">
      <c r="A3497" s="597">
        <v>42979</v>
      </c>
      <c r="B3497" s="41" t="s">
        <v>40</v>
      </c>
      <c r="C3497" s="63" t="s">
        <v>1230</v>
      </c>
      <c r="D3497" s="108" t="s">
        <v>1852</v>
      </c>
      <c r="E3497" s="173">
        <v>21000</v>
      </c>
      <c r="F3497" s="173"/>
      <c r="G3497" s="58">
        <f t="shared" si="58"/>
        <v>-21000</v>
      </c>
      <c r="H3497" s="219" t="s">
        <v>2656</v>
      </c>
    </row>
    <row r="3498" spans="1:8" ht="15.75" thickBot="1" x14ac:dyDescent="0.25">
      <c r="A3498" s="597">
        <v>42979</v>
      </c>
      <c r="B3498" s="41" t="s">
        <v>40</v>
      </c>
      <c r="C3498" s="63" t="s">
        <v>1230</v>
      </c>
      <c r="D3498" s="108" t="s">
        <v>1863</v>
      </c>
      <c r="E3498" s="173">
        <v>16500</v>
      </c>
      <c r="F3498" s="173"/>
      <c r="G3498" s="58">
        <f t="shared" si="58"/>
        <v>-16500</v>
      </c>
      <c r="H3498" s="219" t="s">
        <v>2656</v>
      </c>
    </row>
    <row r="3499" spans="1:8" ht="15.75" thickBot="1" x14ac:dyDescent="0.25">
      <c r="A3499" s="597">
        <v>42979</v>
      </c>
      <c r="B3499" s="41" t="s">
        <v>40</v>
      </c>
      <c r="C3499" s="63" t="s">
        <v>1230</v>
      </c>
      <c r="D3499" s="108" t="s">
        <v>1864</v>
      </c>
      <c r="E3499" s="173">
        <v>21000</v>
      </c>
      <c r="F3499" s="173"/>
      <c r="G3499" s="58">
        <f t="shared" si="58"/>
        <v>-21000</v>
      </c>
      <c r="H3499" s="219" t="s">
        <v>2656</v>
      </c>
    </row>
    <row r="3500" spans="1:8" ht="15.75" thickBot="1" x14ac:dyDescent="0.25">
      <c r="A3500" s="597">
        <v>42979</v>
      </c>
      <c r="B3500" s="41" t="s">
        <v>1400</v>
      </c>
      <c r="C3500" s="63" t="s">
        <v>1230</v>
      </c>
      <c r="D3500" s="108" t="s">
        <v>1862</v>
      </c>
      <c r="E3500" s="173">
        <v>17500</v>
      </c>
      <c r="F3500" s="173"/>
      <c r="G3500" s="58">
        <f t="shared" si="58"/>
        <v>-17500</v>
      </c>
      <c r="H3500" s="219" t="s">
        <v>2656</v>
      </c>
    </row>
    <row r="3501" spans="1:8" ht="15.75" thickBot="1" x14ac:dyDescent="0.25">
      <c r="A3501" s="597">
        <v>42979</v>
      </c>
      <c r="B3501" s="41" t="s">
        <v>1400</v>
      </c>
      <c r="C3501" s="63" t="s">
        <v>1230</v>
      </c>
      <c r="D3501" s="108" t="s">
        <v>2484</v>
      </c>
      <c r="E3501" s="173">
        <v>9000</v>
      </c>
      <c r="F3501" s="173"/>
      <c r="G3501" s="58">
        <f t="shared" si="58"/>
        <v>-9000</v>
      </c>
      <c r="H3501" s="219" t="s">
        <v>2656</v>
      </c>
    </row>
    <row r="3502" spans="1:8" ht="15.75" customHeight="1" thickBot="1" x14ac:dyDescent="0.25">
      <c r="A3502" s="597">
        <v>42979</v>
      </c>
      <c r="B3502" s="41" t="s">
        <v>37</v>
      </c>
      <c r="C3502" s="63" t="s">
        <v>1230</v>
      </c>
      <c r="D3502" s="108" t="s">
        <v>1866</v>
      </c>
      <c r="E3502" s="173">
        <v>18000</v>
      </c>
      <c r="F3502" s="173"/>
      <c r="G3502" s="58">
        <f t="shared" si="58"/>
        <v>-18000</v>
      </c>
      <c r="H3502" s="219" t="s">
        <v>2656</v>
      </c>
    </row>
    <row r="3503" spans="1:8" ht="15.75" thickBot="1" x14ac:dyDescent="0.25">
      <c r="A3503" s="597">
        <v>42979</v>
      </c>
      <c r="B3503" s="41" t="s">
        <v>37</v>
      </c>
      <c r="C3503" s="63" t="s">
        <v>1230</v>
      </c>
      <c r="D3503" s="108" t="s">
        <v>1867</v>
      </c>
      <c r="E3503" s="173">
        <v>12500</v>
      </c>
      <c r="F3503" s="173"/>
      <c r="G3503" s="58">
        <f t="shared" si="58"/>
        <v>-12500</v>
      </c>
      <c r="H3503" s="219" t="s">
        <v>2656</v>
      </c>
    </row>
    <row r="3504" spans="1:8" ht="15.75" thickBot="1" x14ac:dyDescent="0.25">
      <c r="A3504" s="597">
        <v>42979</v>
      </c>
      <c r="B3504" s="41" t="s">
        <v>37</v>
      </c>
      <c r="C3504" s="63" t="s">
        <v>1230</v>
      </c>
      <c r="D3504" s="108" t="s">
        <v>1868</v>
      </c>
      <c r="E3504" s="173">
        <v>16000</v>
      </c>
      <c r="F3504" s="173"/>
      <c r="G3504" s="58">
        <f t="shared" si="58"/>
        <v>-16000</v>
      </c>
      <c r="H3504" s="219" t="s">
        <v>2656</v>
      </c>
    </row>
    <row r="3505" spans="1:8" ht="15.75" thickBot="1" x14ac:dyDescent="0.25">
      <c r="A3505" s="597">
        <v>42979</v>
      </c>
      <c r="B3505" s="41" t="s">
        <v>37</v>
      </c>
      <c r="C3505" s="63" t="s">
        <v>1230</v>
      </c>
      <c r="D3505" s="108" t="s">
        <v>2285</v>
      </c>
      <c r="E3505" s="173">
        <v>9000</v>
      </c>
      <c r="F3505" s="173"/>
      <c r="G3505" s="58">
        <f t="shared" si="58"/>
        <v>-9000</v>
      </c>
      <c r="H3505" s="219" t="s">
        <v>2656</v>
      </c>
    </row>
    <row r="3506" spans="1:8" ht="15.75" thickBot="1" x14ac:dyDescent="0.25">
      <c r="A3506" s="597">
        <v>42979</v>
      </c>
      <c r="B3506" s="41" t="s">
        <v>37</v>
      </c>
      <c r="C3506" s="63" t="s">
        <v>1230</v>
      </c>
      <c r="D3506" s="108" t="s">
        <v>2720</v>
      </c>
      <c r="E3506" s="173">
        <v>12000</v>
      </c>
      <c r="F3506" s="173"/>
      <c r="G3506" s="58">
        <f t="shared" si="58"/>
        <v>-12000</v>
      </c>
      <c r="H3506" s="219" t="s">
        <v>2656</v>
      </c>
    </row>
    <row r="3507" spans="1:8" ht="15.75" thickBot="1" x14ac:dyDescent="0.25">
      <c r="A3507" s="597">
        <v>42979</v>
      </c>
      <c r="B3507" s="41" t="s">
        <v>37</v>
      </c>
      <c r="C3507" s="63" t="s">
        <v>1230</v>
      </c>
      <c r="D3507" s="108" t="s">
        <v>1575</v>
      </c>
      <c r="E3507" s="173">
        <v>10000</v>
      </c>
      <c r="F3507" s="173"/>
      <c r="G3507" s="58">
        <f t="shared" si="58"/>
        <v>-10000</v>
      </c>
      <c r="H3507" s="219" t="s">
        <v>2656</v>
      </c>
    </row>
    <row r="3508" spans="1:8" ht="15.75" thickBot="1" x14ac:dyDescent="0.25">
      <c r="A3508" s="597">
        <v>42979</v>
      </c>
      <c r="B3508" s="41" t="s">
        <v>2094</v>
      </c>
      <c r="C3508" s="63" t="s">
        <v>1230</v>
      </c>
      <c r="D3508" s="108" t="s">
        <v>2759</v>
      </c>
      <c r="E3508" s="173">
        <v>10000</v>
      </c>
      <c r="F3508" s="173"/>
      <c r="G3508" s="58">
        <f t="shared" si="58"/>
        <v>-10000</v>
      </c>
      <c r="H3508" s="219" t="s">
        <v>2656</v>
      </c>
    </row>
    <row r="3509" spans="1:8" ht="15.75" customHeight="1" thickBot="1" x14ac:dyDescent="0.25">
      <c r="A3509" s="597">
        <v>42979</v>
      </c>
      <c r="B3509" s="41" t="s">
        <v>1691</v>
      </c>
      <c r="C3509" s="63" t="s">
        <v>1230</v>
      </c>
      <c r="D3509" s="108" t="s">
        <v>668</v>
      </c>
      <c r="E3509" s="173">
        <v>13000</v>
      </c>
      <c r="F3509" s="173"/>
      <c r="G3509" s="58">
        <f t="shared" si="58"/>
        <v>-13000</v>
      </c>
      <c r="H3509" s="219" t="s">
        <v>2656</v>
      </c>
    </row>
    <row r="3510" spans="1:8" ht="15.75" customHeight="1" thickBot="1" x14ac:dyDescent="0.25">
      <c r="A3510" s="597">
        <v>42979</v>
      </c>
      <c r="B3510" s="41" t="s">
        <v>11</v>
      </c>
      <c r="C3510" s="63" t="s">
        <v>1230</v>
      </c>
      <c r="D3510" s="108" t="s">
        <v>1870</v>
      </c>
      <c r="E3510" s="173">
        <v>5000</v>
      </c>
      <c r="F3510" s="173"/>
      <c r="G3510" s="58">
        <f t="shared" si="58"/>
        <v>-5000</v>
      </c>
      <c r="H3510" s="219" t="s">
        <v>2656</v>
      </c>
    </row>
    <row r="3511" spans="1:8" ht="15.75" thickBot="1" x14ac:dyDescent="0.25">
      <c r="A3511" s="597">
        <v>42979</v>
      </c>
      <c r="B3511" s="41" t="s">
        <v>40</v>
      </c>
      <c r="C3511" s="63" t="s">
        <v>1230</v>
      </c>
      <c r="D3511" s="108" t="s">
        <v>2760</v>
      </c>
      <c r="E3511" s="173">
        <v>14000</v>
      </c>
      <c r="F3511" s="173"/>
      <c r="G3511" s="58">
        <f t="shared" si="58"/>
        <v>-14000</v>
      </c>
      <c r="H3511" s="219" t="s">
        <v>2656</v>
      </c>
    </row>
    <row r="3512" spans="1:8" ht="15.75" thickBot="1" x14ac:dyDescent="0.25">
      <c r="A3512" s="597">
        <v>42979</v>
      </c>
      <c r="B3512" s="41" t="s">
        <v>40</v>
      </c>
      <c r="C3512" s="63" t="s">
        <v>1230</v>
      </c>
      <c r="D3512" s="108" t="s">
        <v>2761</v>
      </c>
      <c r="E3512" s="173">
        <v>18000</v>
      </c>
      <c r="F3512" s="173"/>
      <c r="G3512" s="58">
        <f t="shared" si="58"/>
        <v>-18000</v>
      </c>
      <c r="H3512" s="219" t="s">
        <v>2656</v>
      </c>
    </row>
    <row r="3513" spans="1:8" ht="15.75" thickBot="1" x14ac:dyDescent="0.25">
      <c r="A3513" s="597">
        <v>42979</v>
      </c>
      <c r="B3513" s="41" t="s">
        <v>16</v>
      </c>
      <c r="C3513" s="63" t="s">
        <v>2762</v>
      </c>
      <c r="D3513" s="108" t="s">
        <v>1667</v>
      </c>
      <c r="E3513" s="173">
        <v>1000</v>
      </c>
      <c r="F3513" s="173"/>
      <c r="G3513" s="58">
        <f t="shared" si="58"/>
        <v>-1000</v>
      </c>
      <c r="H3513" s="219" t="s">
        <v>2656</v>
      </c>
    </row>
    <row r="3514" spans="1:8" ht="15.75" thickBot="1" x14ac:dyDescent="0.25">
      <c r="A3514" s="597">
        <v>42979</v>
      </c>
      <c r="B3514" s="41" t="s">
        <v>40</v>
      </c>
      <c r="C3514" s="63" t="s">
        <v>2762</v>
      </c>
      <c r="D3514" s="108" t="s">
        <v>66</v>
      </c>
      <c r="E3514" s="173">
        <v>3000</v>
      </c>
      <c r="F3514" s="173"/>
      <c r="G3514" s="58">
        <f t="shared" si="58"/>
        <v>-3000</v>
      </c>
      <c r="H3514" s="219" t="s">
        <v>2656</v>
      </c>
    </row>
    <row r="3515" spans="1:8" ht="15.75" thickBot="1" x14ac:dyDescent="0.25">
      <c r="A3515" s="597">
        <v>42979</v>
      </c>
      <c r="B3515" s="41" t="s">
        <v>40</v>
      </c>
      <c r="C3515" s="63" t="s">
        <v>2762</v>
      </c>
      <c r="D3515" s="108" t="s">
        <v>2763</v>
      </c>
      <c r="E3515" s="173">
        <v>1000</v>
      </c>
      <c r="F3515" s="173"/>
      <c r="G3515" s="58">
        <f t="shared" si="58"/>
        <v>-1000</v>
      </c>
      <c r="H3515" s="219" t="s">
        <v>2656</v>
      </c>
    </row>
    <row r="3516" spans="1:8" ht="15.75" thickBot="1" x14ac:dyDescent="0.25">
      <c r="A3516" s="597">
        <v>42979</v>
      </c>
      <c r="B3516" s="41" t="s">
        <v>40</v>
      </c>
      <c r="C3516" s="63" t="s">
        <v>2762</v>
      </c>
      <c r="D3516" s="108" t="s">
        <v>205</v>
      </c>
      <c r="E3516" s="173">
        <v>2000</v>
      </c>
      <c r="F3516" s="173"/>
      <c r="G3516" s="58">
        <f t="shared" si="58"/>
        <v>-2000</v>
      </c>
      <c r="H3516" s="219" t="s">
        <v>2656</v>
      </c>
    </row>
    <row r="3517" spans="1:8" ht="15.75" thickBot="1" x14ac:dyDescent="0.25">
      <c r="A3517" s="597">
        <v>42979</v>
      </c>
      <c r="B3517" s="41" t="s">
        <v>40</v>
      </c>
      <c r="C3517" s="63" t="s">
        <v>2762</v>
      </c>
      <c r="D3517" s="108" t="s">
        <v>668</v>
      </c>
      <c r="E3517" s="173">
        <v>1000</v>
      </c>
      <c r="F3517" s="173"/>
      <c r="G3517" s="58">
        <f t="shared" si="58"/>
        <v>-1000</v>
      </c>
      <c r="H3517" s="219" t="s">
        <v>2656</v>
      </c>
    </row>
    <row r="3518" spans="1:8" ht="15.75" thickBot="1" x14ac:dyDescent="0.25">
      <c r="A3518" s="597">
        <v>42979</v>
      </c>
      <c r="B3518" s="41" t="s">
        <v>40</v>
      </c>
      <c r="C3518" s="63" t="s">
        <v>2762</v>
      </c>
      <c r="D3518" s="108" t="s">
        <v>149</v>
      </c>
      <c r="E3518" s="173">
        <v>3000</v>
      </c>
      <c r="F3518" s="173"/>
      <c r="G3518" s="58">
        <f t="shared" si="58"/>
        <v>-3000</v>
      </c>
      <c r="H3518" s="219" t="s">
        <v>2656</v>
      </c>
    </row>
    <row r="3519" spans="1:8" ht="15.75" thickBot="1" x14ac:dyDescent="0.25">
      <c r="A3519" s="597">
        <v>42979</v>
      </c>
      <c r="B3519" s="41" t="s">
        <v>1400</v>
      </c>
      <c r="C3519" s="63" t="s">
        <v>2762</v>
      </c>
      <c r="D3519" s="108" t="s">
        <v>1476</v>
      </c>
      <c r="E3519" s="173">
        <v>1500</v>
      </c>
      <c r="F3519" s="173"/>
      <c r="G3519" s="58">
        <f t="shared" si="58"/>
        <v>-1500</v>
      </c>
      <c r="H3519" s="219" t="s">
        <v>2656</v>
      </c>
    </row>
    <row r="3520" spans="1:8" ht="15.75" thickBot="1" x14ac:dyDescent="0.25">
      <c r="A3520" s="597">
        <v>42979</v>
      </c>
      <c r="B3520" s="41" t="s">
        <v>1400</v>
      </c>
      <c r="C3520" s="63" t="s">
        <v>2762</v>
      </c>
      <c r="D3520" s="108" t="s">
        <v>2484</v>
      </c>
      <c r="E3520" s="173">
        <v>7000</v>
      </c>
      <c r="F3520" s="173"/>
      <c r="G3520" s="58">
        <f t="shared" si="58"/>
        <v>-7000</v>
      </c>
      <c r="H3520" s="219" t="s">
        <v>2656</v>
      </c>
    </row>
    <row r="3521" spans="1:8" ht="15.75" thickBot="1" x14ac:dyDescent="0.25">
      <c r="A3521" s="597">
        <v>42979</v>
      </c>
      <c r="B3521" s="41" t="s">
        <v>37</v>
      </c>
      <c r="C3521" s="63" t="s">
        <v>2762</v>
      </c>
      <c r="D3521" s="108" t="s">
        <v>195</v>
      </c>
      <c r="E3521" s="173">
        <v>2000</v>
      </c>
      <c r="F3521" s="173"/>
      <c r="G3521" s="58">
        <f t="shared" si="58"/>
        <v>-2000</v>
      </c>
      <c r="H3521" s="219" t="s">
        <v>2656</v>
      </c>
    </row>
    <row r="3522" spans="1:8" ht="15.75" thickBot="1" x14ac:dyDescent="0.25">
      <c r="A3522" s="597">
        <v>42979</v>
      </c>
      <c r="B3522" s="41" t="s">
        <v>1400</v>
      </c>
      <c r="C3522" s="63" t="s">
        <v>2762</v>
      </c>
      <c r="D3522" s="108" t="s">
        <v>2764</v>
      </c>
      <c r="E3522" s="173">
        <v>2000</v>
      </c>
      <c r="F3522" s="173"/>
      <c r="G3522" s="58">
        <f t="shared" si="58"/>
        <v>-2000</v>
      </c>
      <c r="H3522" s="219" t="s">
        <v>2656</v>
      </c>
    </row>
    <row r="3523" spans="1:8" ht="15.75" thickBot="1" x14ac:dyDescent="0.25">
      <c r="A3523" s="597">
        <v>42979</v>
      </c>
      <c r="B3523" s="41" t="s">
        <v>2094</v>
      </c>
      <c r="C3523" s="63" t="s">
        <v>2762</v>
      </c>
      <c r="D3523" s="108" t="s">
        <v>2759</v>
      </c>
      <c r="E3523" s="173">
        <v>12000</v>
      </c>
      <c r="F3523" s="173"/>
      <c r="G3523" s="58">
        <f t="shared" si="58"/>
        <v>-12000</v>
      </c>
      <c r="H3523" s="219" t="s">
        <v>2656</v>
      </c>
    </row>
    <row r="3524" spans="1:8" ht="15.75" thickBot="1" x14ac:dyDescent="0.25">
      <c r="A3524" s="597">
        <v>42979</v>
      </c>
      <c r="B3524" s="41" t="s">
        <v>40</v>
      </c>
      <c r="C3524" s="63" t="s">
        <v>2762</v>
      </c>
      <c r="D3524" s="108" t="s">
        <v>2761</v>
      </c>
      <c r="E3524" s="173">
        <v>1000</v>
      </c>
      <c r="F3524" s="173"/>
      <c r="G3524" s="58">
        <f t="shared" si="58"/>
        <v>-1000</v>
      </c>
      <c r="H3524" s="219" t="s">
        <v>2656</v>
      </c>
    </row>
    <row r="3525" spans="1:8" ht="15.75" thickBot="1" x14ac:dyDescent="0.25">
      <c r="A3525" s="597">
        <v>42979</v>
      </c>
      <c r="B3525" s="41" t="s">
        <v>16</v>
      </c>
      <c r="C3525" s="63" t="s">
        <v>773</v>
      </c>
      <c r="D3525" s="108" t="s">
        <v>2724</v>
      </c>
      <c r="E3525" s="173">
        <v>10000</v>
      </c>
      <c r="F3525" s="173"/>
      <c r="G3525" s="58">
        <f t="shared" si="58"/>
        <v>-10000</v>
      </c>
      <c r="H3525" s="219" t="s">
        <v>2656</v>
      </c>
    </row>
    <row r="3526" spans="1:8" ht="15.75" thickBot="1" x14ac:dyDescent="0.25">
      <c r="A3526" s="597">
        <v>42979</v>
      </c>
      <c r="B3526" s="41" t="s">
        <v>16</v>
      </c>
      <c r="C3526" s="63" t="s">
        <v>773</v>
      </c>
      <c r="D3526" s="108" t="s">
        <v>2723</v>
      </c>
      <c r="E3526" s="173">
        <v>4600</v>
      </c>
      <c r="F3526" s="173"/>
      <c r="G3526" s="58">
        <f t="shared" si="58"/>
        <v>-4600</v>
      </c>
      <c r="H3526" s="219" t="s">
        <v>2656</v>
      </c>
    </row>
    <row r="3527" spans="1:8" ht="15.75" thickBot="1" x14ac:dyDescent="0.25">
      <c r="A3527" s="597">
        <v>42979</v>
      </c>
      <c r="B3527" s="41" t="s">
        <v>1400</v>
      </c>
      <c r="C3527" s="63" t="s">
        <v>773</v>
      </c>
      <c r="D3527" s="108" t="s">
        <v>2725</v>
      </c>
      <c r="E3527" s="58">
        <v>4000</v>
      </c>
      <c r="F3527" s="58"/>
      <c r="G3527" s="58">
        <f t="shared" si="58"/>
        <v>-4000</v>
      </c>
      <c r="H3527" s="219" t="s">
        <v>2656</v>
      </c>
    </row>
    <row r="3528" spans="1:8" ht="15.75" thickBot="1" x14ac:dyDescent="0.25">
      <c r="A3528" s="597">
        <v>42979</v>
      </c>
      <c r="B3528" s="41" t="s">
        <v>25</v>
      </c>
      <c r="C3528" s="63" t="s">
        <v>773</v>
      </c>
      <c r="D3528" s="108" t="s">
        <v>2726</v>
      </c>
      <c r="E3528" s="58">
        <v>1500</v>
      </c>
      <c r="F3528" s="58"/>
      <c r="G3528" s="58">
        <f t="shared" si="58"/>
        <v>-1500</v>
      </c>
      <c r="H3528" s="219" t="s">
        <v>2656</v>
      </c>
    </row>
    <row r="3529" spans="1:8" ht="15.75" thickBot="1" x14ac:dyDescent="0.25">
      <c r="A3529" s="597">
        <v>42979</v>
      </c>
      <c r="B3529" s="41" t="s">
        <v>14</v>
      </c>
      <c r="C3529" s="63" t="s">
        <v>773</v>
      </c>
      <c r="D3529" s="108" t="s">
        <v>1974</v>
      </c>
      <c r="E3529" s="58">
        <v>2590</v>
      </c>
      <c r="F3529" s="58"/>
      <c r="G3529" s="58">
        <f t="shared" ref="G3529:G3592" si="59">F3529-E3529</f>
        <v>-2590</v>
      </c>
      <c r="H3529" s="219" t="s">
        <v>2656</v>
      </c>
    </row>
    <row r="3530" spans="1:8" ht="15.75" thickBot="1" x14ac:dyDescent="0.25">
      <c r="A3530" s="597">
        <v>42989</v>
      </c>
      <c r="B3530" s="41" t="s">
        <v>1400</v>
      </c>
      <c r="C3530" s="63" t="s">
        <v>1875</v>
      </c>
      <c r="D3530" s="108" t="s">
        <v>2727</v>
      </c>
      <c r="E3530" s="58">
        <v>18000</v>
      </c>
      <c r="F3530" s="58"/>
      <c r="G3530" s="58">
        <f t="shared" si="59"/>
        <v>-18000</v>
      </c>
      <c r="H3530" s="219" t="s">
        <v>2656</v>
      </c>
    </row>
    <row r="3531" spans="1:8" ht="15.75" thickBot="1" x14ac:dyDescent="0.25">
      <c r="A3531" s="597">
        <v>42989</v>
      </c>
      <c r="B3531" s="41" t="s">
        <v>2548</v>
      </c>
      <c r="C3531" s="63" t="s">
        <v>2728</v>
      </c>
      <c r="D3531" s="108" t="s">
        <v>370</v>
      </c>
      <c r="E3531" s="58">
        <v>2500</v>
      </c>
      <c r="F3531" s="58"/>
      <c r="G3531" s="58">
        <f t="shared" si="59"/>
        <v>-2500</v>
      </c>
      <c r="H3531" s="219" t="s">
        <v>2656</v>
      </c>
    </row>
    <row r="3532" spans="1:8" ht="15.75" thickBot="1" x14ac:dyDescent="0.25">
      <c r="A3532" s="597">
        <v>42989</v>
      </c>
      <c r="B3532" s="41" t="s">
        <v>25</v>
      </c>
      <c r="C3532" s="63" t="s">
        <v>1894</v>
      </c>
      <c r="D3532" s="108" t="s">
        <v>370</v>
      </c>
      <c r="E3532" s="58">
        <v>2877</v>
      </c>
      <c r="F3532" s="58"/>
      <c r="G3532" s="58">
        <f t="shared" si="59"/>
        <v>-2877</v>
      </c>
      <c r="H3532" s="219" t="s">
        <v>2656</v>
      </c>
    </row>
    <row r="3533" spans="1:8" ht="15.75" thickBot="1" x14ac:dyDescent="0.25">
      <c r="A3533" s="597">
        <v>42996</v>
      </c>
      <c r="B3533" s="41" t="s">
        <v>25</v>
      </c>
      <c r="C3533" s="63" t="s">
        <v>1916</v>
      </c>
      <c r="D3533" s="108" t="s">
        <v>2729</v>
      </c>
      <c r="E3533" s="58">
        <v>15000</v>
      </c>
      <c r="F3533" s="58"/>
      <c r="G3533" s="58">
        <f t="shared" si="59"/>
        <v>-15000</v>
      </c>
      <c r="H3533" s="219" t="s">
        <v>2656</v>
      </c>
    </row>
    <row r="3534" spans="1:8" ht="15.75" thickBot="1" x14ac:dyDescent="0.25">
      <c r="A3534" s="597">
        <v>42996</v>
      </c>
      <c r="B3534" s="41" t="s">
        <v>2657</v>
      </c>
      <c r="C3534" s="63" t="s">
        <v>780</v>
      </c>
      <c r="D3534" s="108" t="s">
        <v>2730</v>
      </c>
      <c r="E3534" s="58">
        <v>30650</v>
      </c>
      <c r="F3534" s="58"/>
      <c r="G3534" s="58">
        <f t="shared" si="59"/>
        <v>-30650</v>
      </c>
      <c r="H3534" s="219" t="s">
        <v>2656</v>
      </c>
    </row>
    <row r="3535" spans="1:8" ht="15.75" thickBot="1" x14ac:dyDescent="0.25">
      <c r="A3535" s="597">
        <v>42996</v>
      </c>
      <c r="B3535" s="41" t="s">
        <v>2657</v>
      </c>
      <c r="C3535" s="63" t="s">
        <v>780</v>
      </c>
      <c r="D3535" s="108" t="s">
        <v>2731</v>
      </c>
      <c r="E3535" s="58">
        <v>37420</v>
      </c>
      <c r="F3535" s="58"/>
      <c r="G3535" s="58">
        <f t="shared" si="59"/>
        <v>-37420</v>
      </c>
      <c r="H3535" s="219" t="s">
        <v>2656</v>
      </c>
    </row>
    <row r="3536" spans="1:8" ht="15.75" thickBot="1" x14ac:dyDescent="0.25">
      <c r="A3536" s="597">
        <v>42996</v>
      </c>
      <c r="B3536" s="41" t="s">
        <v>37</v>
      </c>
      <c r="C3536" s="63" t="s">
        <v>111</v>
      </c>
      <c r="D3536" s="108" t="s">
        <v>2731</v>
      </c>
      <c r="E3536" s="58">
        <f>1880+150</f>
        <v>2030</v>
      </c>
      <c r="F3536" s="58"/>
      <c r="G3536" s="58">
        <f t="shared" si="59"/>
        <v>-2030</v>
      </c>
      <c r="H3536" s="219" t="s">
        <v>2656</v>
      </c>
    </row>
    <row r="3537" spans="1:8" ht="15.75" thickBot="1" x14ac:dyDescent="0.25">
      <c r="A3537" s="597">
        <v>42996</v>
      </c>
      <c r="B3537" s="41" t="s">
        <v>2657</v>
      </c>
      <c r="C3537" s="63" t="s">
        <v>780</v>
      </c>
      <c r="D3537" s="108" t="s">
        <v>2731</v>
      </c>
      <c r="E3537" s="58">
        <v>82741</v>
      </c>
      <c r="F3537" s="58"/>
      <c r="G3537" s="58">
        <f t="shared" si="59"/>
        <v>-82741</v>
      </c>
      <c r="H3537" s="219" t="s">
        <v>2656</v>
      </c>
    </row>
    <row r="3538" spans="1:8" ht="15.75" customHeight="1" thickBot="1" x14ac:dyDescent="0.25">
      <c r="A3538" s="597">
        <v>42996</v>
      </c>
      <c r="B3538" s="41" t="s">
        <v>25</v>
      </c>
      <c r="C3538" s="63" t="s">
        <v>1894</v>
      </c>
      <c r="D3538" s="108" t="s">
        <v>2065</v>
      </c>
      <c r="E3538" s="58">
        <v>700</v>
      </c>
      <c r="F3538" s="58"/>
      <c r="G3538" s="58">
        <f t="shared" si="59"/>
        <v>-700</v>
      </c>
      <c r="H3538" s="219" t="s">
        <v>2656</v>
      </c>
    </row>
    <row r="3539" spans="1:8" ht="15.75" customHeight="1" thickBot="1" x14ac:dyDescent="0.25">
      <c r="A3539" s="597">
        <v>42997</v>
      </c>
      <c r="B3539" s="41" t="s">
        <v>2657</v>
      </c>
      <c r="C3539" s="63" t="s">
        <v>780</v>
      </c>
      <c r="D3539" s="108" t="s">
        <v>270</v>
      </c>
      <c r="E3539" s="58">
        <v>25000</v>
      </c>
      <c r="F3539" s="58"/>
      <c r="G3539" s="58">
        <f t="shared" si="59"/>
        <v>-25000</v>
      </c>
      <c r="H3539" s="219" t="s">
        <v>2656</v>
      </c>
    </row>
    <row r="3540" spans="1:8" ht="15.75" customHeight="1" thickBot="1" x14ac:dyDescent="0.25">
      <c r="A3540" s="597">
        <v>42997</v>
      </c>
      <c r="B3540" s="41" t="s">
        <v>11</v>
      </c>
      <c r="C3540" s="63" t="s">
        <v>780</v>
      </c>
      <c r="D3540" s="108" t="s">
        <v>270</v>
      </c>
      <c r="E3540" s="58">
        <v>55120</v>
      </c>
      <c r="F3540" s="58"/>
      <c r="G3540" s="58">
        <f t="shared" si="59"/>
        <v>-55120</v>
      </c>
      <c r="H3540" s="219" t="s">
        <v>2656</v>
      </c>
    </row>
    <row r="3541" spans="1:8" ht="15.75" customHeight="1" thickBot="1" x14ac:dyDescent="0.25">
      <c r="A3541" s="597">
        <v>42999</v>
      </c>
      <c r="B3541" s="41" t="s">
        <v>40</v>
      </c>
      <c r="C3541" s="63" t="s">
        <v>668</v>
      </c>
      <c r="D3541" s="108" t="s">
        <v>2732</v>
      </c>
      <c r="E3541" s="58">
        <v>2815</v>
      </c>
      <c r="F3541" s="58"/>
      <c r="G3541" s="58">
        <f t="shared" si="59"/>
        <v>-2815</v>
      </c>
      <c r="H3541" s="219" t="s">
        <v>2656</v>
      </c>
    </row>
    <row r="3542" spans="1:8" ht="15.75" thickBot="1" x14ac:dyDescent="0.25">
      <c r="A3542" s="597">
        <v>43000</v>
      </c>
      <c r="B3542" s="41" t="s">
        <v>82</v>
      </c>
      <c r="C3542" s="63" t="s">
        <v>325</v>
      </c>
      <c r="D3542" s="108" t="s">
        <v>2733</v>
      </c>
      <c r="E3542" s="58">
        <v>500</v>
      </c>
      <c r="F3542" s="58"/>
      <c r="G3542" s="58">
        <f t="shared" si="59"/>
        <v>-500</v>
      </c>
      <c r="H3542" s="219" t="s">
        <v>2656</v>
      </c>
    </row>
    <row r="3543" spans="1:8" ht="15.75" thickBot="1" x14ac:dyDescent="0.25">
      <c r="A3543" s="597">
        <v>43000</v>
      </c>
      <c r="B3543" s="41" t="s">
        <v>18</v>
      </c>
      <c r="C3543" s="63" t="s">
        <v>325</v>
      </c>
      <c r="D3543" s="108" t="s">
        <v>2734</v>
      </c>
      <c r="E3543" s="58">
        <v>5600</v>
      </c>
      <c r="F3543" s="58"/>
      <c r="G3543" s="58">
        <f t="shared" si="59"/>
        <v>-5600</v>
      </c>
      <c r="H3543" s="219" t="s">
        <v>2656</v>
      </c>
    </row>
    <row r="3544" spans="1:8" ht="15.75" thickBot="1" x14ac:dyDescent="0.25">
      <c r="A3544" s="597">
        <v>43000</v>
      </c>
      <c r="B3544" s="41" t="s">
        <v>2548</v>
      </c>
      <c r="C3544" s="63" t="s">
        <v>773</v>
      </c>
      <c r="D3544" s="108" t="s">
        <v>2735</v>
      </c>
      <c r="E3544" s="58">
        <v>100</v>
      </c>
      <c r="F3544" s="58"/>
      <c r="G3544" s="58">
        <f t="shared" si="59"/>
        <v>-100</v>
      </c>
      <c r="H3544" s="219" t="s">
        <v>2656</v>
      </c>
    </row>
    <row r="3545" spans="1:8" ht="15.75" thickBot="1" x14ac:dyDescent="0.25">
      <c r="A3545" s="597">
        <v>43000</v>
      </c>
      <c r="B3545" s="41" t="s">
        <v>2657</v>
      </c>
      <c r="C3545" s="63" t="s">
        <v>325</v>
      </c>
      <c r="D3545" s="108" t="s">
        <v>2736</v>
      </c>
      <c r="E3545" s="58">
        <v>500</v>
      </c>
      <c r="F3545" s="58"/>
      <c r="G3545" s="58">
        <f t="shared" si="59"/>
        <v>-500</v>
      </c>
      <c r="H3545" s="219" t="s">
        <v>2656</v>
      </c>
    </row>
    <row r="3546" spans="1:8" ht="24.75" thickBot="1" x14ac:dyDescent="0.25">
      <c r="A3546" s="597">
        <v>43000</v>
      </c>
      <c r="B3546" s="63" t="s">
        <v>40</v>
      </c>
      <c r="C3546" s="63" t="s">
        <v>325</v>
      </c>
      <c r="D3546" s="129" t="s">
        <v>2737</v>
      </c>
      <c r="E3546" s="58">
        <v>9441</v>
      </c>
      <c r="F3546" s="58"/>
      <c r="G3546" s="58">
        <f t="shared" si="59"/>
        <v>-9441</v>
      </c>
      <c r="H3546" s="219" t="s">
        <v>2656</v>
      </c>
    </row>
    <row r="3547" spans="1:8" ht="15.75" thickBot="1" x14ac:dyDescent="0.25">
      <c r="A3547" s="597">
        <v>43000</v>
      </c>
      <c r="B3547" s="41" t="s">
        <v>2657</v>
      </c>
      <c r="C3547" s="63" t="s">
        <v>309</v>
      </c>
      <c r="D3547" s="108" t="s">
        <v>2360</v>
      </c>
      <c r="E3547" s="58">
        <v>100</v>
      </c>
      <c r="F3547" s="58"/>
      <c r="G3547" s="58">
        <f t="shared" si="59"/>
        <v>-100</v>
      </c>
      <c r="H3547" s="219" t="s">
        <v>2656</v>
      </c>
    </row>
    <row r="3548" spans="1:8" ht="15.75" thickBot="1" x14ac:dyDescent="0.25">
      <c r="A3548" s="597">
        <v>43000</v>
      </c>
      <c r="B3548" s="41" t="s">
        <v>2548</v>
      </c>
      <c r="C3548" s="63" t="s">
        <v>290</v>
      </c>
      <c r="D3548" s="108" t="s">
        <v>2738</v>
      </c>
      <c r="E3548" s="58">
        <v>100</v>
      </c>
      <c r="F3548" s="58"/>
      <c r="G3548" s="58">
        <f t="shared" si="59"/>
        <v>-100</v>
      </c>
      <c r="H3548" s="219" t="s">
        <v>2656</v>
      </c>
    </row>
    <row r="3549" spans="1:8" ht="15.75" thickBot="1" x14ac:dyDescent="0.25">
      <c r="A3549" s="597">
        <v>43000</v>
      </c>
      <c r="B3549" s="41" t="s">
        <v>25</v>
      </c>
      <c r="C3549" s="63" t="s">
        <v>1894</v>
      </c>
      <c r="D3549" s="108" t="s">
        <v>2738</v>
      </c>
      <c r="E3549" s="58">
        <v>1000</v>
      </c>
      <c r="F3549" s="58"/>
      <c r="G3549" s="58">
        <f t="shared" si="59"/>
        <v>-1000</v>
      </c>
      <c r="H3549" s="219" t="s">
        <v>2656</v>
      </c>
    </row>
    <row r="3550" spans="1:8" ht="15.75" thickBot="1" x14ac:dyDescent="0.25">
      <c r="A3550" s="597">
        <v>43001</v>
      </c>
      <c r="B3550" s="222" t="s">
        <v>2657</v>
      </c>
      <c r="C3550" s="63" t="s">
        <v>780</v>
      </c>
      <c r="D3550" s="805" t="s">
        <v>2739</v>
      </c>
      <c r="E3550" s="224">
        <v>40264</v>
      </c>
      <c r="F3550" s="224"/>
      <c r="G3550" s="224">
        <f t="shared" si="59"/>
        <v>-40264</v>
      </c>
      <c r="H3550" s="219" t="s">
        <v>2656</v>
      </c>
    </row>
    <row r="3551" spans="1:8" ht="15.75" thickBot="1" x14ac:dyDescent="0.25">
      <c r="A3551" s="597">
        <v>43003</v>
      </c>
      <c r="B3551" s="222" t="s">
        <v>2657</v>
      </c>
      <c r="C3551" s="223" t="s">
        <v>551</v>
      </c>
      <c r="D3551" s="805" t="s">
        <v>286</v>
      </c>
      <c r="E3551" s="224">
        <v>14010</v>
      </c>
      <c r="F3551" s="224"/>
      <c r="G3551" s="224">
        <f t="shared" si="59"/>
        <v>-14010</v>
      </c>
      <c r="H3551" s="219" t="s">
        <v>2656</v>
      </c>
    </row>
    <row r="3552" spans="1:8" ht="15.75" customHeight="1" thickBot="1" x14ac:dyDescent="0.25">
      <c r="A3552" s="597">
        <v>43003</v>
      </c>
      <c r="B3552" s="222" t="s">
        <v>16</v>
      </c>
      <c r="C3552" s="223" t="s">
        <v>199</v>
      </c>
      <c r="D3552" s="805" t="s">
        <v>2743</v>
      </c>
      <c r="E3552" s="224">
        <v>1500</v>
      </c>
      <c r="F3552" s="224"/>
      <c r="G3552" s="224">
        <f t="shared" si="59"/>
        <v>-1500</v>
      </c>
      <c r="H3552" s="219" t="s">
        <v>2656</v>
      </c>
    </row>
    <row r="3553" spans="1:8" ht="15.75" customHeight="1" thickBot="1" x14ac:dyDescent="0.25">
      <c r="A3553" s="597">
        <v>43003</v>
      </c>
      <c r="B3553" s="222" t="s">
        <v>25</v>
      </c>
      <c r="C3553" s="223" t="s">
        <v>1894</v>
      </c>
      <c r="D3553" s="805" t="s">
        <v>270</v>
      </c>
      <c r="E3553" s="224">
        <v>5326</v>
      </c>
      <c r="F3553" s="224"/>
      <c r="G3553" s="224">
        <f t="shared" si="59"/>
        <v>-5326</v>
      </c>
      <c r="H3553" s="219" t="s">
        <v>2656</v>
      </c>
    </row>
    <row r="3554" spans="1:8" ht="15.75" customHeight="1" thickBot="1" x14ac:dyDescent="0.25">
      <c r="A3554" s="597">
        <v>43003</v>
      </c>
      <c r="B3554" s="222" t="s">
        <v>25</v>
      </c>
      <c r="C3554" s="223" t="s">
        <v>1894</v>
      </c>
      <c r="D3554" s="805" t="s">
        <v>2744</v>
      </c>
      <c r="E3554" s="224">
        <v>10200</v>
      </c>
      <c r="F3554" s="224"/>
      <c r="G3554" s="224">
        <f t="shared" si="59"/>
        <v>-10200</v>
      </c>
      <c r="H3554" s="219" t="s">
        <v>2656</v>
      </c>
    </row>
    <row r="3555" spans="1:8" ht="15.75" customHeight="1" thickBot="1" x14ac:dyDescent="0.25">
      <c r="A3555" s="597">
        <v>43004</v>
      </c>
      <c r="B3555" s="222" t="s">
        <v>40</v>
      </c>
      <c r="C3555" s="223" t="s">
        <v>149</v>
      </c>
      <c r="D3555" s="805" t="s">
        <v>2745</v>
      </c>
      <c r="E3555" s="224">
        <v>1550</v>
      </c>
      <c r="F3555" s="224"/>
      <c r="G3555" s="224">
        <f t="shared" si="59"/>
        <v>-1550</v>
      </c>
      <c r="H3555" s="219" t="s">
        <v>2656</v>
      </c>
    </row>
    <row r="3556" spans="1:8" ht="15.75" thickBot="1" x14ac:dyDescent="0.25">
      <c r="A3556" s="597">
        <v>43004</v>
      </c>
      <c r="B3556" s="222" t="s">
        <v>40</v>
      </c>
      <c r="C3556" s="223" t="s">
        <v>450</v>
      </c>
      <c r="D3556" s="805" t="s">
        <v>2746</v>
      </c>
      <c r="E3556" s="224">
        <v>1980</v>
      </c>
      <c r="F3556" s="224"/>
      <c r="G3556" s="224">
        <f t="shared" si="59"/>
        <v>-1980</v>
      </c>
      <c r="H3556" s="219" t="s">
        <v>2656</v>
      </c>
    </row>
    <row r="3557" spans="1:8" ht="15.75" thickBot="1" x14ac:dyDescent="0.25">
      <c r="A3557" s="597">
        <v>43004</v>
      </c>
      <c r="B3557" s="222" t="s">
        <v>40</v>
      </c>
      <c r="C3557" s="223" t="s">
        <v>450</v>
      </c>
      <c r="D3557" s="805" t="s">
        <v>2747</v>
      </c>
      <c r="E3557" s="224">
        <v>3711</v>
      </c>
      <c r="F3557" s="224"/>
      <c r="G3557" s="224">
        <f t="shared" si="59"/>
        <v>-3711</v>
      </c>
      <c r="H3557" s="219" t="s">
        <v>2656</v>
      </c>
    </row>
    <row r="3558" spans="1:8" ht="15.75" thickBot="1" x14ac:dyDescent="0.25">
      <c r="A3558" s="597">
        <v>43004</v>
      </c>
      <c r="B3558" s="222" t="s">
        <v>40</v>
      </c>
      <c r="C3558" s="223" t="s">
        <v>2002</v>
      </c>
      <c r="D3558" s="805" t="s">
        <v>2748</v>
      </c>
      <c r="E3558" s="224">
        <v>2000</v>
      </c>
      <c r="F3558" s="224"/>
      <c r="G3558" s="224">
        <f t="shared" si="59"/>
        <v>-2000</v>
      </c>
      <c r="H3558" s="219" t="s">
        <v>2656</v>
      </c>
    </row>
    <row r="3559" spans="1:8" ht="15.75" thickBot="1" x14ac:dyDescent="0.25">
      <c r="A3559" s="597">
        <v>43005</v>
      </c>
      <c r="B3559" s="222" t="s">
        <v>1400</v>
      </c>
      <c r="C3559" s="223" t="s">
        <v>2515</v>
      </c>
      <c r="D3559" s="805" t="s">
        <v>2220</v>
      </c>
      <c r="E3559" s="224">
        <v>1000</v>
      </c>
      <c r="F3559" s="224"/>
      <c r="G3559" s="224">
        <f t="shared" si="59"/>
        <v>-1000</v>
      </c>
      <c r="H3559" s="219" t="s">
        <v>2656</v>
      </c>
    </row>
    <row r="3560" spans="1:8" ht="15.75" thickBot="1" x14ac:dyDescent="0.25">
      <c r="A3560" s="597">
        <v>43005</v>
      </c>
      <c r="B3560" s="222" t="s">
        <v>2548</v>
      </c>
      <c r="C3560" s="223" t="s">
        <v>290</v>
      </c>
      <c r="D3560" s="805" t="s">
        <v>2749</v>
      </c>
      <c r="E3560" s="224">
        <v>10000</v>
      </c>
      <c r="F3560" s="224"/>
      <c r="G3560" s="224">
        <f t="shared" si="59"/>
        <v>-10000</v>
      </c>
      <c r="H3560" s="219" t="s">
        <v>2656</v>
      </c>
    </row>
    <row r="3561" spans="1:8" ht="15.75" thickBot="1" x14ac:dyDescent="0.25">
      <c r="A3561" s="597">
        <v>43005</v>
      </c>
      <c r="B3561" s="222" t="s">
        <v>1400</v>
      </c>
      <c r="C3561" s="223" t="s">
        <v>2435</v>
      </c>
      <c r="D3561" s="805" t="s">
        <v>2750</v>
      </c>
      <c r="E3561" s="224">
        <v>3250</v>
      </c>
      <c r="F3561" s="224"/>
      <c r="G3561" s="224">
        <f t="shared" si="59"/>
        <v>-3250</v>
      </c>
      <c r="H3561" s="219" t="s">
        <v>2656</v>
      </c>
    </row>
    <row r="3562" spans="1:8" ht="15.75" thickBot="1" x14ac:dyDescent="0.25">
      <c r="A3562" s="597">
        <v>43006</v>
      </c>
      <c r="B3562" s="222" t="s">
        <v>40</v>
      </c>
      <c r="C3562" s="41" t="s">
        <v>14</v>
      </c>
      <c r="D3562" s="805" t="s">
        <v>2751</v>
      </c>
      <c r="E3562" s="224">
        <v>1500</v>
      </c>
      <c r="F3562" s="224"/>
      <c r="G3562" s="224">
        <f t="shared" si="59"/>
        <v>-1500</v>
      </c>
      <c r="H3562" s="219" t="s">
        <v>2656</v>
      </c>
    </row>
    <row r="3563" spans="1:8" ht="15.75" thickBot="1" x14ac:dyDescent="0.25">
      <c r="A3563" s="597">
        <v>43006</v>
      </c>
      <c r="B3563" s="222" t="s">
        <v>2094</v>
      </c>
      <c r="C3563" s="223" t="s">
        <v>773</v>
      </c>
      <c r="D3563" s="805" t="s">
        <v>2752</v>
      </c>
      <c r="E3563" s="224">
        <v>1310</v>
      </c>
      <c r="F3563" s="224"/>
      <c r="G3563" s="224">
        <f t="shared" si="59"/>
        <v>-1310</v>
      </c>
      <c r="H3563" s="219" t="s">
        <v>2656</v>
      </c>
    </row>
    <row r="3564" spans="1:8" ht="15.75" thickBot="1" x14ac:dyDescent="0.25">
      <c r="A3564" s="597">
        <v>43006</v>
      </c>
      <c r="B3564" s="222" t="s">
        <v>25</v>
      </c>
      <c r="C3564" s="223" t="s">
        <v>1894</v>
      </c>
      <c r="D3564" s="805" t="s">
        <v>2753</v>
      </c>
      <c r="E3564" s="224">
        <v>1630</v>
      </c>
      <c r="F3564" s="224"/>
      <c r="G3564" s="224">
        <f t="shared" si="59"/>
        <v>-1630</v>
      </c>
      <c r="H3564" s="219" t="s">
        <v>2656</v>
      </c>
    </row>
    <row r="3565" spans="1:8" ht="15.75" thickBot="1" x14ac:dyDescent="0.25">
      <c r="A3565" s="597">
        <v>43006</v>
      </c>
      <c r="B3565" s="222" t="s">
        <v>16</v>
      </c>
      <c r="C3565" s="223" t="s">
        <v>1689</v>
      </c>
      <c r="D3565" s="805" t="s">
        <v>370</v>
      </c>
      <c r="E3565" s="224">
        <v>19181</v>
      </c>
      <c r="F3565" s="224"/>
      <c r="G3565" s="224">
        <f t="shared" si="59"/>
        <v>-19181</v>
      </c>
      <c r="H3565" s="219" t="s">
        <v>2656</v>
      </c>
    </row>
    <row r="3566" spans="1:8" ht="15.75" thickBot="1" x14ac:dyDescent="0.25">
      <c r="A3566" s="597">
        <v>43006</v>
      </c>
      <c r="B3566" s="222" t="s">
        <v>25</v>
      </c>
      <c r="C3566" s="223" t="s">
        <v>1689</v>
      </c>
      <c r="D3566" s="805" t="s">
        <v>370</v>
      </c>
      <c r="E3566" s="224">
        <v>30161</v>
      </c>
      <c r="F3566" s="224"/>
      <c r="G3566" s="224">
        <f t="shared" si="59"/>
        <v>-30161</v>
      </c>
      <c r="H3566" s="219" t="s">
        <v>2656</v>
      </c>
    </row>
    <row r="3567" spans="1:8" ht="15.75" thickBot="1" x14ac:dyDescent="0.25">
      <c r="A3567" s="597">
        <v>43007</v>
      </c>
      <c r="B3567" s="222" t="s">
        <v>40</v>
      </c>
      <c r="C3567" s="223" t="s">
        <v>392</v>
      </c>
      <c r="D3567" s="805" t="s">
        <v>2754</v>
      </c>
      <c r="E3567" s="224">
        <v>2190</v>
      </c>
      <c r="F3567" s="224"/>
      <c r="G3567" s="224">
        <f t="shared" si="59"/>
        <v>-2190</v>
      </c>
      <c r="H3567" s="219" t="s">
        <v>2656</v>
      </c>
    </row>
    <row r="3568" spans="1:8" ht="15.75" thickBot="1" x14ac:dyDescent="0.25">
      <c r="A3568" s="597">
        <v>43007</v>
      </c>
      <c r="B3568" s="222" t="s">
        <v>2548</v>
      </c>
      <c r="C3568" s="223" t="s">
        <v>290</v>
      </c>
      <c r="D3568" s="805" t="s">
        <v>2755</v>
      </c>
      <c r="E3568" s="224">
        <v>550</v>
      </c>
      <c r="F3568" s="224"/>
      <c r="G3568" s="224">
        <f t="shared" si="59"/>
        <v>-550</v>
      </c>
      <c r="H3568" s="219" t="s">
        <v>2656</v>
      </c>
    </row>
    <row r="3569" spans="1:8" ht="15.75" customHeight="1" thickBot="1" x14ac:dyDescent="0.3">
      <c r="A3569" s="606">
        <v>42992</v>
      </c>
      <c r="B3569" s="174" t="s">
        <v>2657</v>
      </c>
      <c r="C3569" s="174" t="s">
        <v>2658</v>
      </c>
      <c r="D3569" s="118" t="s">
        <v>2659</v>
      </c>
      <c r="E3569" s="155">
        <v>225000</v>
      </c>
      <c r="F3569" s="155"/>
      <c r="G3569" s="155">
        <f t="shared" si="59"/>
        <v>-225000</v>
      </c>
      <c r="H3569" s="163" t="s">
        <v>2656</v>
      </c>
    </row>
    <row r="3570" spans="1:8" ht="15.75" customHeight="1" thickBot="1" x14ac:dyDescent="0.3">
      <c r="A3570" s="606">
        <v>42996</v>
      </c>
      <c r="B3570" s="174" t="s">
        <v>40</v>
      </c>
      <c r="C3570" s="174" t="s">
        <v>2191</v>
      </c>
      <c r="D3570" s="118" t="s">
        <v>2683</v>
      </c>
      <c r="E3570" s="155">
        <v>10000</v>
      </c>
      <c r="F3570" s="155"/>
      <c r="G3570" s="155">
        <f t="shared" si="59"/>
        <v>-10000</v>
      </c>
      <c r="H3570" s="163" t="s">
        <v>2656</v>
      </c>
    </row>
    <row r="3571" spans="1:8" ht="15.75" customHeight="1" thickBot="1" x14ac:dyDescent="0.3">
      <c r="A3571" s="606">
        <v>42997</v>
      </c>
      <c r="B3571" s="216" t="s">
        <v>40</v>
      </c>
      <c r="C3571" s="174" t="s">
        <v>1983</v>
      </c>
      <c r="D3571" s="118" t="s">
        <v>2684</v>
      </c>
      <c r="E3571" s="155">
        <v>50000</v>
      </c>
      <c r="F3571" s="155"/>
      <c r="G3571" s="155">
        <f t="shared" si="59"/>
        <v>-50000</v>
      </c>
      <c r="H3571" s="163" t="s">
        <v>2656</v>
      </c>
    </row>
    <row r="3572" spans="1:8" ht="25.5" customHeight="1" thickBot="1" x14ac:dyDescent="0.3">
      <c r="A3572" s="606">
        <v>42998</v>
      </c>
      <c r="B3572" s="216" t="s">
        <v>1400</v>
      </c>
      <c r="C3572" s="174" t="s">
        <v>2330</v>
      </c>
      <c r="D3572" s="118" t="s">
        <v>2687</v>
      </c>
      <c r="E3572" s="155">
        <v>70000</v>
      </c>
      <c r="F3572" s="155"/>
      <c r="G3572" s="155">
        <f t="shared" si="59"/>
        <v>-70000</v>
      </c>
      <c r="H3572" s="163" t="s">
        <v>2656</v>
      </c>
    </row>
    <row r="3573" spans="1:8" ht="15.75" customHeight="1" thickBot="1" x14ac:dyDescent="0.3">
      <c r="A3573" s="606">
        <v>42998</v>
      </c>
      <c r="B3573" s="216" t="s">
        <v>2657</v>
      </c>
      <c r="C3573" s="174" t="s">
        <v>2042</v>
      </c>
      <c r="D3573" s="118" t="s">
        <v>2688</v>
      </c>
      <c r="E3573" s="155">
        <v>85000</v>
      </c>
      <c r="F3573" s="155"/>
      <c r="G3573" s="155">
        <f t="shared" si="59"/>
        <v>-85000</v>
      </c>
      <c r="H3573" s="163" t="s">
        <v>2656</v>
      </c>
    </row>
    <row r="3574" spans="1:8" ht="15.75" customHeight="1" thickBot="1" x14ac:dyDescent="0.3">
      <c r="A3574" s="606">
        <v>42998</v>
      </c>
      <c r="B3574" s="216" t="s">
        <v>2657</v>
      </c>
      <c r="C3574" s="174" t="s">
        <v>2658</v>
      </c>
      <c r="D3574" s="118" t="s">
        <v>2689</v>
      </c>
      <c r="E3574" s="155">
        <v>125000</v>
      </c>
      <c r="F3574" s="155"/>
      <c r="G3574" s="155">
        <f t="shared" si="59"/>
        <v>-125000</v>
      </c>
      <c r="H3574" s="163" t="s">
        <v>2656</v>
      </c>
    </row>
    <row r="3575" spans="1:8" ht="25.5" customHeight="1" thickBot="1" x14ac:dyDescent="0.3">
      <c r="A3575" s="606">
        <v>42998</v>
      </c>
      <c r="B3575" s="216" t="s">
        <v>25</v>
      </c>
      <c r="C3575" s="174" t="s">
        <v>1894</v>
      </c>
      <c r="D3575" s="118" t="s">
        <v>2690</v>
      </c>
      <c r="E3575" s="155">
        <v>43934</v>
      </c>
      <c r="F3575" s="155"/>
      <c r="G3575" s="155">
        <f t="shared" si="59"/>
        <v>-43934</v>
      </c>
      <c r="H3575" s="163" t="s">
        <v>2656</v>
      </c>
    </row>
    <row r="3576" spans="1:8" ht="15.75" customHeight="1" thickBot="1" x14ac:dyDescent="0.3">
      <c r="A3576" s="606">
        <v>43001</v>
      </c>
      <c r="B3576" s="216" t="s">
        <v>2657</v>
      </c>
      <c r="C3576" s="174" t="s">
        <v>2658</v>
      </c>
      <c r="D3576" s="118" t="s">
        <v>2691</v>
      </c>
      <c r="E3576" s="155">
        <v>22000</v>
      </c>
      <c r="F3576" s="155"/>
      <c r="G3576" s="155">
        <f t="shared" si="59"/>
        <v>-22000</v>
      </c>
      <c r="H3576" s="163" t="s">
        <v>2656</v>
      </c>
    </row>
    <row r="3577" spans="1:8" ht="25.5" customHeight="1" thickBot="1" x14ac:dyDescent="0.3">
      <c r="A3577" s="606">
        <v>43001</v>
      </c>
      <c r="B3577" s="216" t="s">
        <v>1400</v>
      </c>
      <c r="C3577" s="174" t="s">
        <v>1875</v>
      </c>
      <c r="D3577" s="118" t="s">
        <v>2692</v>
      </c>
      <c r="E3577" s="155">
        <v>25000</v>
      </c>
      <c r="F3577" s="155"/>
      <c r="G3577" s="155">
        <f t="shared" si="59"/>
        <v>-25000</v>
      </c>
      <c r="H3577" s="163" t="s">
        <v>2656</v>
      </c>
    </row>
    <row r="3578" spans="1:8" ht="15.75" thickBot="1" x14ac:dyDescent="0.25">
      <c r="A3578" s="599">
        <v>42997</v>
      </c>
      <c r="B3578" s="91" t="s">
        <v>40</v>
      </c>
      <c r="C3578" s="91" t="s">
        <v>559</v>
      </c>
      <c r="D3578" s="801" t="s">
        <v>2654</v>
      </c>
      <c r="E3578" s="92"/>
      <c r="F3578" s="92">
        <v>394975</v>
      </c>
      <c r="G3578" s="92">
        <f t="shared" si="59"/>
        <v>394975</v>
      </c>
      <c r="H3578" s="179" t="s">
        <v>2656</v>
      </c>
    </row>
    <row r="3579" spans="1:8" ht="15.75" thickBot="1" x14ac:dyDescent="0.25">
      <c r="A3579" s="599">
        <v>43001</v>
      </c>
      <c r="B3579" s="91" t="s">
        <v>2657</v>
      </c>
      <c r="C3579" s="91" t="s">
        <v>559</v>
      </c>
      <c r="D3579" s="801" t="s">
        <v>2686</v>
      </c>
      <c r="E3579" s="92"/>
      <c r="F3579" s="92">
        <v>1110000</v>
      </c>
      <c r="G3579" s="92">
        <f t="shared" si="59"/>
        <v>1110000</v>
      </c>
      <c r="H3579" s="179" t="s">
        <v>2656</v>
      </c>
    </row>
    <row r="3580" spans="1:8" ht="15.75" thickBot="1" x14ac:dyDescent="0.25">
      <c r="A3580" s="597">
        <v>43010</v>
      </c>
      <c r="B3580" s="222" t="s">
        <v>2787</v>
      </c>
      <c r="C3580" s="223" t="s">
        <v>1230</v>
      </c>
      <c r="D3580" s="805" t="s">
        <v>1836</v>
      </c>
      <c r="E3580" s="224">
        <v>25000</v>
      </c>
      <c r="F3580" s="224"/>
      <c r="G3580" s="224">
        <f t="shared" si="59"/>
        <v>-25000</v>
      </c>
      <c r="H3580" s="219" t="s">
        <v>2740</v>
      </c>
    </row>
    <row r="3581" spans="1:8" ht="15.75" thickBot="1" x14ac:dyDescent="0.25">
      <c r="A3581" s="597">
        <v>43010</v>
      </c>
      <c r="B3581" s="222" t="s">
        <v>2548</v>
      </c>
      <c r="C3581" s="223" t="s">
        <v>1230</v>
      </c>
      <c r="D3581" s="806" t="s">
        <v>1837</v>
      </c>
      <c r="E3581" s="224">
        <v>25000</v>
      </c>
      <c r="F3581" s="224"/>
      <c r="G3581" s="224">
        <f t="shared" si="59"/>
        <v>-25000</v>
      </c>
      <c r="H3581" s="219" t="s">
        <v>2740</v>
      </c>
    </row>
    <row r="3582" spans="1:8" ht="15.75" thickBot="1" x14ac:dyDescent="0.25">
      <c r="A3582" s="597">
        <v>43010</v>
      </c>
      <c r="B3582" s="222" t="s">
        <v>25</v>
      </c>
      <c r="C3582" s="223" t="s">
        <v>1230</v>
      </c>
      <c r="D3582" s="806" t="s">
        <v>1839</v>
      </c>
      <c r="E3582" s="224">
        <v>6500</v>
      </c>
      <c r="F3582" s="224"/>
      <c r="G3582" s="224">
        <f t="shared" si="59"/>
        <v>-6500</v>
      </c>
      <c r="H3582" s="219" t="s">
        <v>2740</v>
      </c>
    </row>
    <row r="3583" spans="1:8" ht="15.75" thickBot="1" x14ac:dyDescent="0.25">
      <c r="A3583" s="597">
        <v>43010</v>
      </c>
      <c r="B3583" s="222" t="s">
        <v>25</v>
      </c>
      <c r="C3583" s="223" t="s">
        <v>1230</v>
      </c>
      <c r="D3583" s="806" t="s">
        <v>1840</v>
      </c>
      <c r="E3583" s="224">
        <v>7000</v>
      </c>
      <c r="F3583" s="224"/>
      <c r="G3583" s="224">
        <f t="shared" si="59"/>
        <v>-7000</v>
      </c>
      <c r="H3583" s="219" t="s">
        <v>2740</v>
      </c>
    </row>
    <row r="3584" spans="1:8" ht="15.75" thickBot="1" x14ac:dyDescent="0.25">
      <c r="A3584" s="597">
        <v>43010</v>
      </c>
      <c r="B3584" s="222" t="s">
        <v>25</v>
      </c>
      <c r="C3584" s="223" t="s">
        <v>1230</v>
      </c>
      <c r="D3584" s="806" t="s">
        <v>1547</v>
      </c>
      <c r="E3584" s="224">
        <v>9000</v>
      </c>
      <c r="F3584" s="224"/>
      <c r="G3584" s="224">
        <f t="shared" si="59"/>
        <v>-9000</v>
      </c>
      <c r="H3584" s="219" t="s">
        <v>2740</v>
      </c>
    </row>
    <row r="3585" spans="1:8" ht="15.75" thickBot="1" x14ac:dyDescent="0.25">
      <c r="A3585" s="597">
        <v>43010</v>
      </c>
      <c r="B3585" s="222" t="s">
        <v>16</v>
      </c>
      <c r="C3585" s="223" t="s">
        <v>1230</v>
      </c>
      <c r="D3585" s="806" t="s">
        <v>1842</v>
      </c>
      <c r="E3585" s="224">
        <v>25000</v>
      </c>
      <c r="F3585" s="224"/>
      <c r="G3585" s="224">
        <f t="shared" si="59"/>
        <v>-25000</v>
      </c>
      <c r="H3585" s="219" t="s">
        <v>2740</v>
      </c>
    </row>
    <row r="3586" spans="1:8" ht="15.75" thickBot="1" x14ac:dyDescent="0.25">
      <c r="A3586" s="597">
        <v>43010</v>
      </c>
      <c r="B3586" s="222" t="s">
        <v>16</v>
      </c>
      <c r="C3586" s="223" t="s">
        <v>1230</v>
      </c>
      <c r="D3586" s="806" t="s">
        <v>1843</v>
      </c>
      <c r="E3586" s="224">
        <v>15839.709677419356</v>
      </c>
      <c r="F3586" s="224"/>
      <c r="G3586" s="224">
        <f t="shared" si="59"/>
        <v>-15839.709677419356</v>
      </c>
      <c r="H3586" s="219" t="s">
        <v>2740</v>
      </c>
    </row>
    <row r="3587" spans="1:8" ht="15.75" thickBot="1" x14ac:dyDescent="0.25">
      <c r="A3587" s="597">
        <v>43010</v>
      </c>
      <c r="B3587" s="222" t="s">
        <v>2787</v>
      </c>
      <c r="C3587" s="223" t="s">
        <v>1230</v>
      </c>
      <c r="D3587" s="806" t="s">
        <v>2915</v>
      </c>
      <c r="E3587" s="224">
        <v>3870.9677419354839</v>
      </c>
      <c r="F3587" s="224"/>
      <c r="G3587" s="224">
        <f t="shared" si="59"/>
        <v>-3870.9677419354839</v>
      </c>
      <c r="H3587" s="219" t="s">
        <v>2740</v>
      </c>
    </row>
    <row r="3588" spans="1:8" ht="15.75" thickBot="1" x14ac:dyDescent="0.25">
      <c r="A3588" s="597">
        <v>43010</v>
      </c>
      <c r="B3588" s="222" t="s">
        <v>2787</v>
      </c>
      <c r="C3588" s="223" t="s">
        <v>1230</v>
      </c>
      <c r="D3588" s="806" t="s">
        <v>1844</v>
      </c>
      <c r="E3588" s="224">
        <v>28415.322580645163</v>
      </c>
      <c r="F3588" s="224"/>
      <c r="G3588" s="224">
        <f t="shared" si="59"/>
        <v>-28415.322580645163</v>
      </c>
      <c r="H3588" s="219" t="s">
        <v>2740</v>
      </c>
    </row>
    <row r="3589" spans="1:8" ht="15.75" thickBot="1" x14ac:dyDescent="0.25">
      <c r="A3589" s="597">
        <v>43010</v>
      </c>
      <c r="B3589" s="222" t="s">
        <v>16</v>
      </c>
      <c r="C3589" s="223" t="s">
        <v>1230</v>
      </c>
      <c r="D3589" s="806" t="s">
        <v>2916</v>
      </c>
      <c r="E3589" s="224">
        <v>10000</v>
      </c>
      <c r="F3589" s="224"/>
      <c r="G3589" s="224">
        <f t="shared" si="59"/>
        <v>-10000</v>
      </c>
      <c r="H3589" s="219" t="s">
        <v>2740</v>
      </c>
    </row>
    <row r="3590" spans="1:8" ht="15.75" thickBot="1" x14ac:dyDescent="0.25">
      <c r="A3590" s="597">
        <v>43010</v>
      </c>
      <c r="B3590" s="222" t="s">
        <v>16</v>
      </c>
      <c r="C3590" s="223" t="s">
        <v>1230</v>
      </c>
      <c r="D3590" s="806" t="s">
        <v>1838</v>
      </c>
      <c r="E3590" s="224">
        <v>0</v>
      </c>
      <c r="F3590" s="224"/>
      <c r="G3590" s="224">
        <f t="shared" si="59"/>
        <v>0</v>
      </c>
      <c r="H3590" s="219" t="s">
        <v>2740</v>
      </c>
    </row>
    <row r="3591" spans="1:8" ht="15.75" thickBot="1" x14ac:dyDescent="0.25">
      <c r="A3591" s="597">
        <v>43010</v>
      </c>
      <c r="B3591" s="222" t="s">
        <v>1400</v>
      </c>
      <c r="C3591" s="223" t="s">
        <v>1230</v>
      </c>
      <c r="D3591" s="806" t="s">
        <v>1684</v>
      </c>
      <c r="E3591" s="224">
        <v>20000</v>
      </c>
      <c r="F3591" s="224"/>
      <c r="G3591" s="224">
        <f t="shared" si="59"/>
        <v>-20000</v>
      </c>
      <c r="H3591" s="219" t="s">
        <v>2740</v>
      </c>
    </row>
    <row r="3592" spans="1:8" ht="15.75" thickBot="1" x14ac:dyDescent="0.25">
      <c r="A3592" s="597">
        <v>43010</v>
      </c>
      <c r="B3592" s="222" t="s">
        <v>1400</v>
      </c>
      <c r="C3592" s="223" t="s">
        <v>1230</v>
      </c>
      <c r="D3592" s="806" t="s">
        <v>2482</v>
      </c>
      <c r="E3592" s="224">
        <v>18019.758064516129</v>
      </c>
      <c r="F3592" s="224"/>
      <c r="G3592" s="224">
        <f t="shared" si="59"/>
        <v>-18019.758064516129</v>
      </c>
      <c r="H3592" s="219" t="s">
        <v>2740</v>
      </c>
    </row>
    <row r="3593" spans="1:8" ht="15.75" thickBot="1" x14ac:dyDescent="0.25">
      <c r="A3593" s="597">
        <v>43010</v>
      </c>
      <c r="B3593" s="222" t="s">
        <v>1400</v>
      </c>
      <c r="C3593" s="223" t="s">
        <v>1230</v>
      </c>
      <c r="D3593" s="806" t="s">
        <v>1550</v>
      </c>
      <c r="E3593" s="224">
        <v>23949.83870967742</v>
      </c>
      <c r="F3593" s="224"/>
      <c r="G3593" s="224">
        <f t="shared" ref="G3593:G3656" si="60">F3593-E3593</f>
        <v>-23949.83870967742</v>
      </c>
      <c r="H3593" s="219" t="s">
        <v>2740</v>
      </c>
    </row>
    <row r="3594" spans="1:8" ht="15.75" thickBot="1" x14ac:dyDescent="0.25">
      <c r="A3594" s="597">
        <v>43010</v>
      </c>
      <c r="B3594" s="222" t="s">
        <v>1400</v>
      </c>
      <c r="C3594" s="223" t="s">
        <v>1230</v>
      </c>
      <c r="D3594" s="806" t="s">
        <v>1871</v>
      </c>
      <c r="E3594" s="224">
        <v>40650</v>
      </c>
      <c r="F3594" s="224"/>
      <c r="G3594" s="224">
        <f t="shared" si="60"/>
        <v>-40650</v>
      </c>
      <c r="H3594" s="219" t="s">
        <v>2740</v>
      </c>
    </row>
    <row r="3595" spans="1:8" ht="15.75" thickBot="1" x14ac:dyDescent="0.25">
      <c r="A3595" s="597">
        <v>43010</v>
      </c>
      <c r="B3595" s="222" t="s">
        <v>1400</v>
      </c>
      <c r="C3595" s="223" t="s">
        <v>1230</v>
      </c>
      <c r="D3595" s="806" t="s">
        <v>2484</v>
      </c>
      <c r="E3595" s="224">
        <v>6499.8387096774204</v>
      </c>
      <c r="F3595" s="224"/>
      <c r="G3595" s="224">
        <f t="shared" si="60"/>
        <v>-6499.8387096774204</v>
      </c>
      <c r="H3595" s="219" t="s">
        <v>2740</v>
      </c>
    </row>
    <row r="3596" spans="1:8" ht="15.75" thickBot="1" x14ac:dyDescent="0.25">
      <c r="A3596" s="597">
        <v>43010</v>
      </c>
      <c r="B3596" s="222" t="s">
        <v>1400</v>
      </c>
      <c r="C3596" s="223" t="s">
        <v>1230</v>
      </c>
      <c r="D3596" s="806" t="s">
        <v>1862</v>
      </c>
      <c r="E3596" s="224">
        <v>15100.806451612902</v>
      </c>
      <c r="F3596" s="224"/>
      <c r="G3596" s="224">
        <f t="shared" si="60"/>
        <v>-15100.806451612902</v>
      </c>
      <c r="H3596" s="219" t="s">
        <v>2740</v>
      </c>
    </row>
    <row r="3597" spans="1:8" ht="15.75" thickBot="1" x14ac:dyDescent="0.25">
      <c r="A3597" s="597">
        <v>43010</v>
      </c>
      <c r="B3597" s="222" t="s">
        <v>1400</v>
      </c>
      <c r="C3597" s="223" t="s">
        <v>1230</v>
      </c>
      <c r="D3597" s="806" t="s">
        <v>2481</v>
      </c>
      <c r="E3597" s="224">
        <v>2910.2258064516127</v>
      </c>
      <c r="F3597" s="224"/>
      <c r="G3597" s="224">
        <f t="shared" si="60"/>
        <v>-2910.2258064516127</v>
      </c>
      <c r="H3597" s="219" t="s">
        <v>2740</v>
      </c>
    </row>
    <row r="3598" spans="1:8" ht="15.75" thickBot="1" x14ac:dyDescent="0.25">
      <c r="A3598" s="597">
        <v>43010</v>
      </c>
      <c r="B3598" s="222" t="s">
        <v>1400</v>
      </c>
      <c r="C3598" s="223" t="s">
        <v>1230</v>
      </c>
      <c r="D3598" s="806" t="s">
        <v>2917</v>
      </c>
      <c r="E3598" s="224">
        <v>0</v>
      </c>
      <c r="F3598" s="224"/>
      <c r="G3598" s="224">
        <f t="shared" si="60"/>
        <v>0</v>
      </c>
      <c r="H3598" s="219" t="s">
        <v>2740</v>
      </c>
    </row>
    <row r="3599" spans="1:8" ht="15.75" thickBot="1" x14ac:dyDescent="0.25">
      <c r="A3599" s="597">
        <v>43010</v>
      </c>
      <c r="B3599" s="222" t="s">
        <v>1400</v>
      </c>
      <c r="C3599" s="223" t="s">
        <v>1230</v>
      </c>
      <c r="D3599" s="806" t="s">
        <v>2918</v>
      </c>
      <c r="E3599" s="224">
        <v>0</v>
      </c>
      <c r="F3599" s="224"/>
      <c r="G3599" s="224">
        <f t="shared" si="60"/>
        <v>0</v>
      </c>
      <c r="H3599" s="219" t="s">
        <v>2740</v>
      </c>
    </row>
    <row r="3600" spans="1:8" ht="15.75" thickBot="1" x14ac:dyDescent="0.25">
      <c r="A3600" s="597">
        <v>43010</v>
      </c>
      <c r="B3600" s="222" t="s">
        <v>1400</v>
      </c>
      <c r="C3600" s="223" t="s">
        <v>1230</v>
      </c>
      <c r="D3600" s="806" t="s">
        <v>1848</v>
      </c>
      <c r="E3600" s="224">
        <v>11049.637096774195</v>
      </c>
      <c r="F3600" s="224"/>
      <c r="G3600" s="224">
        <f t="shared" si="60"/>
        <v>-11049.637096774195</v>
      </c>
      <c r="H3600" s="219" t="s">
        <v>2740</v>
      </c>
    </row>
    <row r="3601" spans="1:8" ht="15.75" thickBot="1" x14ac:dyDescent="0.25">
      <c r="A3601" s="597">
        <v>43010</v>
      </c>
      <c r="B3601" s="222" t="s">
        <v>1400</v>
      </c>
      <c r="C3601" s="223" t="s">
        <v>1230</v>
      </c>
      <c r="D3601" s="806" t="s">
        <v>1858</v>
      </c>
      <c r="E3601" s="224">
        <v>37750</v>
      </c>
      <c r="F3601" s="224"/>
      <c r="G3601" s="224">
        <f t="shared" si="60"/>
        <v>-37750</v>
      </c>
      <c r="H3601" s="219" t="s">
        <v>2740</v>
      </c>
    </row>
    <row r="3602" spans="1:8" ht="15.75" thickBot="1" x14ac:dyDescent="0.25">
      <c r="A3602" s="597">
        <v>43010</v>
      </c>
      <c r="B3602" s="222" t="s">
        <v>1400</v>
      </c>
      <c r="C3602" s="223" t="s">
        <v>1230</v>
      </c>
      <c r="D3602" s="806" t="s">
        <v>1859</v>
      </c>
      <c r="E3602" s="224">
        <v>14645.322580645163</v>
      </c>
      <c r="F3602" s="224"/>
      <c r="G3602" s="224">
        <f t="shared" si="60"/>
        <v>-14645.322580645163</v>
      </c>
      <c r="H3602" s="219" t="s">
        <v>2740</v>
      </c>
    </row>
    <row r="3603" spans="1:8" ht="15.75" thickBot="1" x14ac:dyDescent="0.25">
      <c r="A3603" s="597">
        <v>43010</v>
      </c>
      <c r="B3603" s="222" t="s">
        <v>11</v>
      </c>
      <c r="C3603" s="223" t="s">
        <v>1230</v>
      </c>
      <c r="D3603" s="806" t="s">
        <v>2280</v>
      </c>
      <c r="E3603" s="224">
        <v>23799.919354838708</v>
      </c>
      <c r="F3603" s="224"/>
      <c r="G3603" s="224">
        <f t="shared" si="60"/>
        <v>-23799.919354838708</v>
      </c>
      <c r="H3603" s="219" t="s">
        <v>2740</v>
      </c>
    </row>
    <row r="3604" spans="1:8" ht="15.75" thickBot="1" x14ac:dyDescent="0.25">
      <c r="A3604" s="597">
        <v>43010</v>
      </c>
      <c r="B3604" s="222" t="s">
        <v>2548</v>
      </c>
      <c r="C3604" s="223" t="s">
        <v>1230</v>
      </c>
      <c r="D3604" s="806" t="s">
        <v>1849</v>
      </c>
      <c r="E3604" s="224">
        <v>13910.282258064517</v>
      </c>
      <c r="F3604" s="224"/>
      <c r="G3604" s="224">
        <f t="shared" si="60"/>
        <v>-13910.282258064517</v>
      </c>
      <c r="H3604" s="219" t="s">
        <v>2740</v>
      </c>
    </row>
    <row r="3605" spans="1:8" ht="15.75" customHeight="1" thickBot="1" x14ac:dyDescent="0.25">
      <c r="A3605" s="597">
        <v>43010</v>
      </c>
      <c r="B3605" s="222" t="s">
        <v>1400</v>
      </c>
      <c r="C3605" s="223" t="s">
        <v>1230</v>
      </c>
      <c r="D3605" s="806" t="s">
        <v>1872</v>
      </c>
      <c r="E3605" s="224">
        <v>20809.677419354837</v>
      </c>
      <c r="F3605" s="224"/>
      <c r="G3605" s="224">
        <f t="shared" si="60"/>
        <v>-20809.677419354837</v>
      </c>
      <c r="H3605" s="219" t="s">
        <v>2740</v>
      </c>
    </row>
    <row r="3606" spans="1:8" ht="15.75" customHeight="1" thickBot="1" x14ac:dyDescent="0.25">
      <c r="A3606" s="597">
        <v>43010</v>
      </c>
      <c r="B3606" s="222" t="s">
        <v>40</v>
      </c>
      <c r="C3606" s="223" t="s">
        <v>1230</v>
      </c>
      <c r="D3606" s="806" t="s">
        <v>1850</v>
      </c>
      <c r="E3606" s="224">
        <v>5159.5161290322576</v>
      </c>
      <c r="F3606" s="224"/>
      <c r="G3606" s="224">
        <f t="shared" si="60"/>
        <v>-5159.5161290322576</v>
      </c>
      <c r="H3606" s="219" t="s">
        <v>2740</v>
      </c>
    </row>
    <row r="3607" spans="1:8" ht="15.75" customHeight="1" thickBot="1" x14ac:dyDescent="0.25">
      <c r="A3607" s="597">
        <v>43010</v>
      </c>
      <c r="B3607" s="222" t="s">
        <v>40</v>
      </c>
      <c r="C3607" s="223" t="s">
        <v>1230</v>
      </c>
      <c r="D3607" s="806" t="s">
        <v>2284</v>
      </c>
      <c r="E3607" s="224">
        <v>30000</v>
      </c>
      <c r="F3607" s="224"/>
      <c r="G3607" s="224">
        <f t="shared" si="60"/>
        <v>-30000</v>
      </c>
      <c r="H3607" s="219" t="s">
        <v>2740</v>
      </c>
    </row>
    <row r="3608" spans="1:8" ht="15.75" thickBot="1" x14ac:dyDescent="0.25">
      <c r="A3608" s="597">
        <v>43010</v>
      </c>
      <c r="B3608" s="222" t="s">
        <v>40</v>
      </c>
      <c r="C3608" s="223" t="s">
        <v>1230</v>
      </c>
      <c r="D3608" s="806" t="s">
        <v>1855</v>
      </c>
      <c r="E3608" s="224">
        <v>23599.899193548386</v>
      </c>
      <c r="F3608" s="224"/>
      <c r="G3608" s="224">
        <f t="shared" si="60"/>
        <v>-23599.899193548386</v>
      </c>
      <c r="H3608" s="219" t="s">
        <v>2740</v>
      </c>
    </row>
    <row r="3609" spans="1:8" ht="15.75" thickBot="1" x14ac:dyDescent="0.25">
      <c r="A3609" s="597">
        <v>43010</v>
      </c>
      <c r="B3609" s="222" t="s">
        <v>40</v>
      </c>
      <c r="C3609" s="223" t="s">
        <v>1230</v>
      </c>
      <c r="D3609" s="806" t="s">
        <v>2483</v>
      </c>
      <c r="E3609" s="224">
        <v>16540.322580645163</v>
      </c>
      <c r="F3609" s="224"/>
      <c r="G3609" s="224">
        <f t="shared" si="60"/>
        <v>-16540.322580645163</v>
      </c>
      <c r="H3609" s="219" t="s">
        <v>2740</v>
      </c>
    </row>
    <row r="3610" spans="1:8" ht="15.75" thickBot="1" x14ac:dyDescent="0.25">
      <c r="A3610" s="597">
        <v>43010</v>
      </c>
      <c r="B3610" s="222" t="s">
        <v>40</v>
      </c>
      <c r="C3610" s="223" t="s">
        <v>1230</v>
      </c>
      <c r="D3610" s="806" t="s">
        <v>1851</v>
      </c>
      <c r="E3610" s="224">
        <v>8599.677419354839</v>
      </c>
      <c r="F3610" s="224"/>
      <c r="G3610" s="224">
        <f t="shared" si="60"/>
        <v>-8599.677419354839</v>
      </c>
      <c r="H3610" s="219" t="s">
        <v>2740</v>
      </c>
    </row>
    <row r="3611" spans="1:8" ht="15.75" thickBot="1" x14ac:dyDescent="0.25">
      <c r="A3611" s="597">
        <v>43010</v>
      </c>
      <c r="B3611" s="222" t="s">
        <v>2548</v>
      </c>
      <c r="C3611" s="223" t="s">
        <v>1230</v>
      </c>
      <c r="D3611" s="806" t="s">
        <v>1847</v>
      </c>
      <c r="E3611" s="224">
        <v>21709.677419354841</v>
      </c>
      <c r="F3611" s="224"/>
      <c r="G3611" s="224">
        <f t="shared" si="60"/>
        <v>-21709.677419354841</v>
      </c>
      <c r="H3611" s="219" t="s">
        <v>2740</v>
      </c>
    </row>
    <row r="3612" spans="1:8" ht="15.75" thickBot="1" x14ac:dyDescent="0.25">
      <c r="A3612" s="597">
        <v>43010</v>
      </c>
      <c r="B3612" s="222" t="s">
        <v>37</v>
      </c>
      <c r="C3612" s="223" t="s">
        <v>1230</v>
      </c>
      <c r="D3612" s="806" t="s">
        <v>1866</v>
      </c>
      <c r="E3612" s="224">
        <v>19029.919354838708</v>
      </c>
      <c r="F3612" s="224"/>
      <c r="G3612" s="224">
        <f t="shared" si="60"/>
        <v>-19029.919354838708</v>
      </c>
      <c r="H3612" s="219" t="s">
        <v>2740</v>
      </c>
    </row>
    <row r="3613" spans="1:8" ht="15.75" thickBot="1" x14ac:dyDescent="0.25">
      <c r="A3613" s="597">
        <v>43010</v>
      </c>
      <c r="B3613" s="222" t="s">
        <v>37</v>
      </c>
      <c r="C3613" s="223" t="s">
        <v>1230</v>
      </c>
      <c r="D3613" s="806" t="s">
        <v>1867</v>
      </c>
      <c r="E3613" s="224">
        <v>12500</v>
      </c>
      <c r="F3613" s="224"/>
      <c r="G3613" s="224">
        <f t="shared" si="60"/>
        <v>-12500</v>
      </c>
      <c r="H3613" s="219" t="s">
        <v>2740</v>
      </c>
    </row>
    <row r="3614" spans="1:8" ht="15.75" thickBot="1" x14ac:dyDescent="0.25">
      <c r="A3614" s="597">
        <v>43010</v>
      </c>
      <c r="B3614" s="222" t="s">
        <v>37</v>
      </c>
      <c r="C3614" s="223" t="s">
        <v>1230</v>
      </c>
      <c r="D3614" s="806" t="s">
        <v>1868</v>
      </c>
      <c r="E3614" s="224">
        <v>12000</v>
      </c>
      <c r="F3614" s="224"/>
      <c r="G3614" s="224">
        <f t="shared" si="60"/>
        <v>-12000</v>
      </c>
      <c r="H3614" s="219" t="s">
        <v>2740</v>
      </c>
    </row>
    <row r="3615" spans="1:8" ht="15.75" thickBot="1" x14ac:dyDescent="0.25">
      <c r="A3615" s="597">
        <v>43010</v>
      </c>
      <c r="B3615" s="222" t="s">
        <v>37</v>
      </c>
      <c r="C3615" s="223" t="s">
        <v>1230</v>
      </c>
      <c r="D3615" s="806" t="s">
        <v>2285</v>
      </c>
      <c r="E3615" s="224">
        <v>9879.8387096774186</v>
      </c>
      <c r="F3615" s="224"/>
      <c r="G3615" s="224">
        <f t="shared" si="60"/>
        <v>-9879.8387096774186</v>
      </c>
      <c r="H3615" s="219" t="s">
        <v>2740</v>
      </c>
    </row>
    <row r="3616" spans="1:8" ht="15.75" thickBot="1" x14ac:dyDescent="0.25">
      <c r="A3616" s="597">
        <v>43010</v>
      </c>
      <c r="B3616" s="222" t="s">
        <v>37</v>
      </c>
      <c r="C3616" s="223" t="s">
        <v>1230</v>
      </c>
      <c r="D3616" s="806" t="s">
        <v>2919</v>
      </c>
      <c r="E3616" s="224">
        <v>10449.596774193549</v>
      </c>
      <c r="F3616" s="224"/>
      <c r="G3616" s="224">
        <f t="shared" si="60"/>
        <v>-10449.596774193549</v>
      </c>
      <c r="H3616" s="219" t="s">
        <v>2740</v>
      </c>
    </row>
    <row r="3617" spans="1:8" ht="15.75" thickBot="1" x14ac:dyDescent="0.25">
      <c r="A3617" s="597">
        <v>43010</v>
      </c>
      <c r="B3617" s="222" t="s">
        <v>37</v>
      </c>
      <c r="C3617" s="223" t="s">
        <v>1230</v>
      </c>
      <c r="D3617" s="806" t="s">
        <v>2720</v>
      </c>
      <c r="E3617" s="224">
        <v>12000</v>
      </c>
      <c r="F3617" s="224"/>
      <c r="G3617" s="224">
        <f t="shared" si="60"/>
        <v>-12000</v>
      </c>
      <c r="H3617" s="219" t="s">
        <v>2740</v>
      </c>
    </row>
    <row r="3618" spans="1:8" ht="15.75" thickBot="1" x14ac:dyDescent="0.25">
      <c r="A3618" s="597">
        <v>43010</v>
      </c>
      <c r="B3618" s="222" t="s">
        <v>37</v>
      </c>
      <c r="C3618" s="223" t="s">
        <v>1230</v>
      </c>
      <c r="D3618" s="806" t="s">
        <v>2920</v>
      </c>
      <c r="E3618" s="224">
        <v>12400</v>
      </c>
      <c r="F3618" s="224"/>
      <c r="G3618" s="224">
        <f t="shared" si="60"/>
        <v>-12400</v>
      </c>
      <c r="H3618" s="219" t="s">
        <v>2740</v>
      </c>
    </row>
    <row r="3619" spans="1:8" ht="15.75" thickBot="1" x14ac:dyDescent="0.25">
      <c r="A3619" s="597">
        <v>43010</v>
      </c>
      <c r="B3619" s="222" t="s">
        <v>2787</v>
      </c>
      <c r="C3619" s="223" t="s">
        <v>1230</v>
      </c>
      <c r="D3619" s="806" t="s">
        <v>1863</v>
      </c>
      <c r="E3619" s="224">
        <v>17250</v>
      </c>
      <c r="F3619" s="224"/>
      <c r="G3619" s="224">
        <f t="shared" si="60"/>
        <v>-17250</v>
      </c>
      <c r="H3619" s="219" t="s">
        <v>2740</v>
      </c>
    </row>
    <row r="3620" spans="1:8" ht="15.75" thickBot="1" x14ac:dyDescent="0.25">
      <c r="A3620" s="597">
        <v>43010</v>
      </c>
      <c r="B3620" s="222" t="s">
        <v>2787</v>
      </c>
      <c r="C3620" s="223" t="s">
        <v>1230</v>
      </c>
      <c r="D3620" s="806" t="s">
        <v>1864</v>
      </c>
      <c r="E3620" s="224">
        <v>22850.403225806451</v>
      </c>
      <c r="F3620" s="224"/>
      <c r="G3620" s="224">
        <f t="shared" si="60"/>
        <v>-22850.403225806451</v>
      </c>
      <c r="H3620" s="219" t="s">
        <v>2740</v>
      </c>
    </row>
    <row r="3621" spans="1:8" ht="15.75" thickBot="1" x14ac:dyDescent="0.25">
      <c r="A3621" s="597">
        <v>43010</v>
      </c>
      <c r="B3621" s="222" t="s">
        <v>2787</v>
      </c>
      <c r="C3621" s="223" t="s">
        <v>1230</v>
      </c>
      <c r="D3621" s="806" t="s">
        <v>1852</v>
      </c>
      <c r="E3621" s="224">
        <v>26500</v>
      </c>
      <c r="F3621" s="224"/>
      <c r="G3621" s="224">
        <f t="shared" si="60"/>
        <v>-26500</v>
      </c>
      <c r="H3621" s="219" t="s">
        <v>2740</v>
      </c>
    </row>
    <row r="3622" spans="1:8" ht="15.75" thickBot="1" x14ac:dyDescent="0.25">
      <c r="A3622" s="597">
        <v>43010</v>
      </c>
      <c r="B3622" s="222" t="s">
        <v>2787</v>
      </c>
      <c r="C3622" s="223" t="s">
        <v>1230</v>
      </c>
      <c r="D3622" s="806" t="s">
        <v>2181</v>
      </c>
      <c r="E3622" s="224">
        <v>12759.556451612902</v>
      </c>
      <c r="F3622" s="224"/>
      <c r="G3622" s="224">
        <f t="shared" si="60"/>
        <v>-12759.556451612902</v>
      </c>
      <c r="H3622" s="219" t="s">
        <v>2740</v>
      </c>
    </row>
    <row r="3623" spans="1:8" ht="15.75" thickBot="1" x14ac:dyDescent="0.25">
      <c r="A3623" s="597">
        <v>43010</v>
      </c>
      <c r="B3623" s="222" t="s">
        <v>2787</v>
      </c>
      <c r="C3623" s="223" t="s">
        <v>1230</v>
      </c>
      <c r="D3623" s="806" t="s">
        <v>2921</v>
      </c>
      <c r="E3623" s="224">
        <v>1000.4032258064516</v>
      </c>
      <c r="F3623" s="224"/>
      <c r="G3623" s="224">
        <f t="shared" si="60"/>
        <v>-1000.4032258064516</v>
      </c>
      <c r="H3623" s="219" t="s">
        <v>2740</v>
      </c>
    </row>
    <row r="3624" spans="1:8" ht="15.75" thickBot="1" x14ac:dyDescent="0.25">
      <c r="A3624" s="597">
        <v>43010</v>
      </c>
      <c r="B3624" s="222" t="s">
        <v>2787</v>
      </c>
      <c r="C3624" s="223" t="s">
        <v>1230</v>
      </c>
      <c r="D3624" s="806" t="s">
        <v>2922</v>
      </c>
      <c r="E3624" s="224">
        <v>0</v>
      </c>
      <c r="F3624" s="224"/>
      <c r="G3624" s="224">
        <f t="shared" si="60"/>
        <v>0</v>
      </c>
      <c r="H3624" s="219" t="s">
        <v>2740</v>
      </c>
    </row>
    <row r="3625" spans="1:8" ht="15.75" thickBot="1" x14ac:dyDescent="0.25">
      <c r="A3625" s="597">
        <v>43010</v>
      </c>
      <c r="B3625" s="222" t="s">
        <v>2787</v>
      </c>
      <c r="C3625" s="223" t="s">
        <v>1230</v>
      </c>
      <c r="D3625" s="806" t="s">
        <v>1540</v>
      </c>
      <c r="E3625" s="224">
        <v>1500</v>
      </c>
      <c r="F3625" s="224"/>
      <c r="G3625" s="224">
        <f t="shared" si="60"/>
        <v>-1500</v>
      </c>
      <c r="H3625" s="219" t="s">
        <v>2740</v>
      </c>
    </row>
    <row r="3626" spans="1:8" ht="15.75" thickBot="1" x14ac:dyDescent="0.25">
      <c r="A3626" s="597">
        <v>43010</v>
      </c>
      <c r="B3626" s="222" t="s">
        <v>2787</v>
      </c>
      <c r="C3626" s="223" t="s">
        <v>1230</v>
      </c>
      <c r="D3626" s="806" t="s">
        <v>2923</v>
      </c>
      <c r="E3626" s="224">
        <v>1550.3870967741937</v>
      </c>
      <c r="F3626" s="224"/>
      <c r="G3626" s="224">
        <f t="shared" si="60"/>
        <v>-1550.3870967741937</v>
      </c>
      <c r="H3626" s="219" t="s">
        <v>2740</v>
      </c>
    </row>
    <row r="3627" spans="1:8" ht="15.75" thickBot="1" x14ac:dyDescent="0.25">
      <c r="A3627" s="597">
        <v>43010</v>
      </c>
      <c r="B3627" s="222" t="s">
        <v>2787</v>
      </c>
      <c r="C3627" s="223" t="s">
        <v>1230</v>
      </c>
      <c r="D3627" s="806" t="s">
        <v>2924</v>
      </c>
      <c r="E3627" s="224">
        <v>810.45161290322585</v>
      </c>
      <c r="F3627" s="224"/>
      <c r="G3627" s="224">
        <f t="shared" si="60"/>
        <v>-810.45161290322585</v>
      </c>
      <c r="H3627" s="219" t="s">
        <v>2740</v>
      </c>
    </row>
    <row r="3628" spans="1:8" ht="15.75" thickBot="1" x14ac:dyDescent="0.25">
      <c r="A3628" s="597">
        <v>43010</v>
      </c>
      <c r="B3628" s="222" t="s">
        <v>11</v>
      </c>
      <c r="C3628" s="223" t="s">
        <v>1230</v>
      </c>
      <c r="D3628" s="806" t="s">
        <v>1870</v>
      </c>
      <c r="E3628" s="224">
        <v>0</v>
      </c>
      <c r="F3628" s="224"/>
      <c r="G3628" s="224">
        <f t="shared" si="60"/>
        <v>0</v>
      </c>
      <c r="H3628" s="219" t="s">
        <v>2740</v>
      </c>
    </row>
    <row r="3629" spans="1:8" ht="15.75" thickBot="1" x14ac:dyDescent="0.25">
      <c r="A3629" s="597">
        <v>43010</v>
      </c>
      <c r="B3629" s="222" t="s">
        <v>11</v>
      </c>
      <c r="C3629" s="223" t="s">
        <v>1230</v>
      </c>
      <c r="D3629" s="806" t="s">
        <v>2760</v>
      </c>
      <c r="E3629" s="224">
        <v>11630.161290322581</v>
      </c>
      <c r="F3629" s="224"/>
      <c r="G3629" s="224">
        <f t="shared" si="60"/>
        <v>-11630.161290322581</v>
      </c>
      <c r="H3629" s="219" t="s">
        <v>2740</v>
      </c>
    </row>
    <row r="3630" spans="1:8" ht="15.75" thickBot="1" x14ac:dyDescent="0.25">
      <c r="A3630" s="597">
        <v>43010</v>
      </c>
      <c r="B3630" s="222" t="s">
        <v>11</v>
      </c>
      <c r="C3630" s="223" t="s">
        <v>1230</v>
      </c>
      <c r="D3630" s="806" t="s">
        <v>668</v>
      </c>
      <c r="E3630" s="224">
        <v>14100</v>
      </c>
      <c r="F3630" s="224"/>
      <c r="G3630" s="224">
        <f t="shared" si="60"/>
        <v>-14100</v>
      </c>
      <c r="H3630" s="219" t="s">
        <v>2740</v>
      </c>
    </row>
    <row r="3631" spans="1:8" ht="15.75" thickBot="1" x14ac:dyDescent="0.25">
      <c r="A3631" s="597">
        <v>43010</v>
      </c>
      <c r="B3631" s="222" t="s">
        <v>2652</v>
      </c>
      <c r="C3631" s="223" t="s">
        <v>1230</v>
      </c>
      <c r="D3631" s="806" t="s">
        <v>2925</v>
      </c>
      <c r="E3631" s="224">
        <v>33390.096774193546</v>
      </c>
      <c r="F3631" s="224"/>
      <c r="G3631" s="224">
        <f t="shared" si="60"/>
        <v>-33390.096774193546</v>
      </c>
      <c r="H3631" s="219" t="s">
        <v>2740</v>
      </c>
    </row>
    <row r="3632" spans="1:8" ht="15.75" thickBot="1" x14ac:dyDescent="0.25">
      <c r="A3632" s="597">
        <v>43010</v>
      </c>
      <c r="B3632" s="222" t="s">
        <v>40</v>
      </c>
      <c r="C3632" s="223" t="s">
        <v>1230</v>
      </c>
      <c r="D3632" s="806" t="s">
        <v>2926</v>
      </c>
      <c r="E3632" s="224">
        <v>6849.5967741935474</v>
      </c>
      <c r="F3632" s="224"/>
      <c r="G3632" s="224">
        <f t="shared" si="60"/>
        <v>-6849.5967741935474</v>
      </c>
      <c r="H3632" s="219" t="s">
        <v>2740</v>
      </c>
    </row>
    <row r="3633" spans="1:8" ht="15.75" thickBot="1" x14ac:dyDescent="0.25">
      <c r="A3633" s="597">
        <v>43010</v>
      </c>
      <c r="B3633" s="222" t="s">
        <v>25</v>
      </c>
      <c r="C3633" s="223" t="s">
        <v>1230</v>
      </c>
      <c r="D3633" s="806" t="s">
        <v>2183</v>
      </c>
      <c r="E3633" s="224">
        <v>13000</v>
      </c>
      <c r="F3633" s="224"/>
      <c r="G3633" s="224">
        <f t="shared" si="60"/>
        <v>-13000</v>
      </c>
      <c r="H3633" s="219" t="s">
        <v>2740</v>
      </c>
    </row>
    <row r="3634" spans="1:8" ht="15.75" thickBot="1" x14ac:dyDescent="0.25">
      <c r="A3634" s="597">
        <v>43010</v>
      </c>
      <c r="B3634" s="222" t="s">
        <v>1400</v>
      </c>
      <c r="C3634" s="223" t="s">
        <v>1230</v>
      </c>
      <c r="D3634" s="806" t="s">
        <v>2927</v>
      </c>
      <c r="E3634" s="224">
        <v>5420.354838709678</v>
      </c>
      <c r="F3634" s="224"/>
      <c r="G3634" s="224">
        <f t="shared" si="60"/>
        <v>-5420.354838709678</v>
      </c>
      <c r="H3634" s="219" t="s">
        <v>2740</v>
      </c>
    </row>
    <row r="3635" spans="1:8" ht="15.75" thickBot="1" x14ac:dyDescent="0.25">
      <c r="A3635" s="597">
        <v>43010</v>
      </c>
      <c r="B3635" s="222" t="s">
        <v>2548</v>
      </c>
      <c r="C3635" s="223" t="s">
        <v>2594</v>
      </c>
      <c r="D3635" s="805" t="s">
        <v>2108</v>
      </c>
      <c r="E3635" s="224">
        <v>1000</v>
      </c>
      <c r="F3635" s="224"/>
      <c r="G3635" s="224">
        <f t="shared" si="60"/>
        <v>-1000</v>
      </c>
      <c r="H3635" s="219" t="s">
        <v>2740</v>
      </c>
    </row>
    <row r="3636" spans="1:8" ht="15.75" thickBot="1" x14ac:dyDescent="0.25">
      <c r="A3636" s="597">
        <v>43010</v>
      </c>
      <c r="B3636" s="222" t="s">
        <v>14</v>
      </c>
      <c r="C3636" s="223" t="s">
        <v>2594</v>
      </c>
      <c r="D3636" s="805" t="s">
        <v>2756</v>
      </c>
      <c r="E3636" s="224">
        <v>4000</v>
      </c>
      <c r="F3636" s="224"/>
      <c r="G3636" s="224">
        <f t="shared" si="60"/>
        <v>-4000</v>
      </c>
      <c r="H3636" s="219" t="s">
        <v>2740</v>
      </c>
    </row>
    <row r="3637" spans="1:8" ht="15.75" thickBot="1" x14ac:dyDescent="0.25">
      <c r="A3637" s="597">
        <v>43011</v>
      </c>
      <c r="B3637" s="222" t="s">
        <v>40</v>
      </c>
      <c r="C3637" s="223" t="s">
        <v>392</v>
      </c>
      <c r="D3637" s="805" t="s">
        <v>2780</v>
      </c>
      <c r="E3637" s="224">
        <v>590</v>
      </c>
      <c r="F3637" s="224"/>
      <c r="G3637" s="224">
        <f t="shared" si="60"/>
        <v>-590</v>
      </c>
      <c r="H3637" s="219" t="s">
        <v>2740</v>
      </c>
    </row>
    <row r="3638" spans="1:8" ht="15.75" thickBot="1" x14ac:dyDescent="0.25">
      <c r="A3638" s="597">
        <v>43011</v>
      </c>
      <c r="B3638" s="222" t="s">
        <v>25</v>
      </c>
      <c r="C3638" s="223" t="s">
        <v>1894</v>
      </c>
      <c r="D3638" s="805" t="s">
        <v>2781</v>
      </c>
      <c r="E3638" s="224">
        <v>3935</v>
      </c>
      <c r="F3638" s="224"/>
      <c r="G3638" s="224">
        <f t="shared" si="60"/>
        <v>-3935</v>
      </c>
      <c r="H3638" s="219" t="s">
        <v>2740</v>
      </c>
    </row>
    <row r="3639" spans="1:8" ht="15.75" thickBot="1" x14ac:dyDescent="0.25">
      <c r="A3639" s="597">
        <v>43011</v>
      </c>
      <c r="B3639" s="222" t="s">
        <v>2548</v>
      </c>
      <c r="C3639" s="223" t="s">
        <v>2557</v>
      </c>
      <c r="D3639" s="805" t="s">
        <v>2782</v>
      </c>
      <c r="E3639" s="224">
        <v>1800</v>
      </c>
      <c r="F3639" s="224"/>
      <c r="G3639" s="224">
        <f t="shared" si="60"/>
        <v>-1800</v>
      </c>
      <c r="H3639" s="219" t="s">
        <v>2740</v>
      </c>
    </row>
    <row r="3640" spans="1:8" ht="15.75" thickBot="1" x14ac:dyDescent="0.25">
      <c r="A3640" s="597">
        <v>43011</v>
      </c>
      <c r="B3640" s="222" t="s">
        <v>25</v>
      </c>
      <c r="C3640" s="223" t="s">
        <v>1689</v>
      </c>
      <c r="D3640" s="805" t="s">
        <v>2575</v>
      </c>
      <c r="E3640" s="224">
        <v>630</v>
      </c>
      <c r="F3640" s="224"/>
      <c r="G3640" s="224">
        <f t="shared" si="60"/>
        <v>-630</v>
      </c>
      <c r="H3640" s="219" t="s">
        <v>2740</v>
      </c>
    </row>
    <row r="3641" spans="1:8" ht="15.75" thickBot="1" x14ac:dyDescent="0.25">
      <c r="A3641" s="597">
        <v>43012</v>
      </c>
      <c r="B3641" s="222" t="s">
        <v>16</v>
      </c>
      <c r="C3641" s="223" t="s">
        <v>773</v>
      </c>
      <c r="D3641" s="805" t="s">
        <v>2783</v>
      </c>
      <c r="E3641" s="224">
        <v>1545</v>
      </c>
      <c r="F3641" s="224"/>
      <c r="G3641" s="224">
        <f t="shared" si="60"/>
        <v>-1545</v>
      </c>
      <c r="H3641" s="219" t="s">
        <v>2740</v>
      </c>
    </row>
    <row r="3642" spans="1:8" ht="15.75" thickBot="1" x14ac:dyDescent="0.25">
      <c r="A3642" s="597">
        <v>43013</v>
      </c>
      <c r="B3642" s="222" t="s">
        <v>16</v>
      </c>
      <c r="C3642" s="223" t="s">
        <v>2212</v>
      </c>
      <c r="D3642" s="805" t="s">
        <v>2825</v>
      </c>
      <c r="E3642" s="224">
        <v>4900</v>
      </c>
      <c r="F3642" s="224"/>
      <c r="G3642" s="224">
        <f t="shared" si="60"/>
        <v>-4900</v>
      </c>
      <c r="H3642" s="219" t="s">
        <v>2740</v>
      </c>
    </row>
    <row r="3643" spans="1:8" ht="15.75" customHeight="1" thickBot="1" x14ac:dyDescent="0.25">
      <c r="A3643" s="597">
        <v>43013</v>
      </c>
      <c r="B3643" s="222" t="s">
        <v>16</v>
      </c>
      <c r="C3643" s="223" t="s">
        <v>2212</v>
      </c>
      <c r="D3643" s="805" t="s">
        <v>2826</v>
      </c>
      <c r="E3643" s="224">
        <v>10000</v>
      </c>
      <c r="F3643" s="224"/>
      <c r="G3643" s="224">
        <f t="shared" si="60"/>
        <v>-10000</v>
      </c>
      <c r="H3643" s="219" t="s">
        <v>2740</v>
      </c>
    </row>
    <row r="3644" spans="1:8" ht="15.75" customHeight="1" thickBot="1" x14ac:dyDescent="0.25">
      <c r="A3644" s="597">
        <v>43013</v>
      </c>
      <c r="B3644" s="222" t="s">
        <v>25</v>
      </c>
      <c r="C3644" s="223" t="s">
        <v>1916</v>
      </c>
      <c r="D3644" s="805" t="s">
        <v>2108</v>
      </c>
      <c r="E3644" s="224">
        <v>2000</v>
      </c>
      <c r="F3644" s="224"/>
      <c r="G3644" s="224">
        <f t="shared" si="60"/>
        <v>-2000</v>
      </c>
      <c r="H3644" s="219" t="s">
        <v>2740</v>
      </c>
    </row>
    <row r="3645" spans="1:8" ht="15.75" customHeight="1" thickBot="1" x14ac:dyDescent="0.25">
      <c r="A3645" s="597">
        <v>43015</v>
      </c>
      <c r="B3645" s="222" t="s">
        <v>16</v>
      </c>
      <c r="C3645" s="223" t="s">
        <v>773</v>
      </c>
      <c r="D3645" s="805" t="s">
        <v>2789</v>
      </c>
      <c r="E3645" s="224">
        <v>480</v>
      </c>
      <c r="F3645" s="224"/>
      <c r="G3645" s="224">
        <f t="shared" si="60"/>
        <v>-480</v>
      </c>
      <c r="H3645" s="219" t="s">
        <v>2740</v>
      </c>
    </row>
    <row r="3646" spans="1:8" ht="15.75" customHeight="1" thickBot="1" x14ac:dyDescent="0.25">
      <c r="A3646" s="597">
        <v>43017</v>
      </c>
      <c r="B3646" s="222" t="s">
        <v>37</v>
      </c>
      <c r="C3646" s="223" t="s">
        <v>450</v>
      </c>
      <c r="D3646" s="805" t="s">
        <v>2790</v>
      </c>
      <c r="E3646" s="224">
        <v>300</v>
      </c>
      <c r="F3646" s="224"/>
      <c r="G3646" s="224">
        <f t="shared" si="60"/>
        <v>-300</v>
      </c>
      <c r="H3646" s="219" t="s">
        <v>2740</v>
      </c>
    </row>
    <row r="3647" spans="1:8" ht="15.75" customHeight="1" thickBot="1" x14ac:dyDescent="0.25">
      <c r="A3647" s="597">
        <v>43017</v>
      </c>
      <c r="B3647" s="222" t="s">
        <v>40</v>
      </c>
      <c r="C3647" s="223" t="s">
        <v>929</v>
      </c>
      <c r="D3647" s="805" t="s">
        <v>2791</v>
      </c>
      <c r="E3647" s="224">
        <v>3760</v>
      </c>
      <c r="F3647" s="224"/>
      <c r="G3647" s="224">
        <f t="shared" si="60"/>
        <v>-3760</v>
      </c>
      <c r="H3647" s="219" t="s">
        <v>2740</v>
      </c>
    </row>
    <row r="3648" spans="1:8" ht="15.75" customHeight="1" thickBot="1" x14ac:dyDescent="0.25">
      <c r="A3648" s="597">
        <v>43017</v>
      </c>
      <c r="B3648" s="222" t="s">
        <v>16</v>
      </c>
      <c r="C3648" s="223" t="s">
        <v>773</v>
      </c>
      <c r="D3648" s="805" t="s">
        <v>2792</v>
      </c>
      <c r="E3648" s="224">
        <v>1220</v>
      </c>
      <c r="F3648" s="224"/>
      <c r="G3648" s="224">
        <f t="shared" si="60"/>
        <v>-1220</v>
      </c>
      <c r="H3648" s="219" t="s">
        <v>2740</v>
      </c>
    </row>
    <row r="3649" spans="1:8" ht="15.75" customHeight="1" thickBot="1" x14ac:dyDescent="0.25">
      <c r="A3649" s="597">
        <v>43017</v>
      </c>
      <c r="B3649" s="222" t="s">
        <v>1400</v>
      </c>
      <c r="C3649" s="223" t="s">
        <v>64</v>
      </c>
      <c r="D3649" s="805" t="s">
        <v>2364</v>
      </c>
      <c r="E3649" s="224">
        <v>168</v>
      </c>
      <c r="F3649" s="224"/>
      <c r="G3649" s="224">
        <f t="shared" si="60"/>
        <v>-168</v>
      </c>
      <c r="H3649" s="219" t="s">
        <v>2740</v>
      </c>
    </row>
    <row r="3650" spans="1:8" ht="15.75" thickBot="1" x14ac:dyDescent="0.25">
      <c r="A3650" s="597">
        <v>43018</v>
      </c>
      <c r="B3650" s="222" t="s">
        <v>40</v>
      </c>
      <c r="C3650" s="223" t="s">
        <v>149</v>
      </c>
      <c r="D3650" s="805" t="s">
        <v>2827</v>
      </c>
      <c r="E3650" s="224">
        <v>2500</v>
      </c>
      <c r="F3650" s="224"/>
      <c r="G3650" s="224">
        <f t="shared" si="60"/>
        <v>-2500</v>
      </c>
      <c r="H3650" s="219" t="s">
        <v>2740</v>
      </c>
    </row>
    <row r="3651" spans="1:8" ht="15.75" thickBot="1" x14ac:dyDescent="0.25">
      <c r="A3651" s="597">
        <v>43018</v>
      </c>
      <c r="B3651" s="222" t="s">
        <v>40</v>
      </c>
      <c r="C3651" s="223" t="s">
        <v>450</v>
      </c>
      <c r="D3651" s="805" t="s">
        <v>2828</v>
      </c>
      <c r="E3651" s="224">
        <v>7580</v>
      </c>
      <c r="F3651" s="224"/>
      <c r="G3651" s="224">
        <f t="shared" si="60"/>
        <v>-7580</v>
      </c>
      <c r="H3651" s="219" t="s">
        <v>2740</v>
      </c>
    </row>
    <row r="3652" spans="1:8" ht="15.75" thickBot="1" x14ac:dyDescent="0.25">
      <c r="A3652" s="597">
        <v>43018</v>
      </c>
      <c r="B3652" s="222" t="s">
        <v>1400</v>
      </c>
      <c r="C3652" s="223" t="s">
        <v>64</v>
      </c>
      <c r="D3652" s="805" t="s">
        <v>392</v>
      </c>
      <c r="E3652" s="224">
        <v>11980</v>
      </c>
      <c r="F3652" s="224"/>
      <c r="G3652" s="224">
        <f t="shared" si="60"/>
        <v>-11980</v>
      </c>
      <c r="H3652" s="219" t="s">
        <v>2740</v>
      </c>
    </row>
    <row r="3653" spans="1:8" ht="15.75" customHeight="1" thickBot="1" x14ac:dyDescent="0.25">
      <c r="A3653" s="597">
        <v>43019</v>
      </c>
      <c r="B3653" s="222" t="s">
        <v>1691</v>
      </c>
      <c r="C3653" s="223" t="s">
        <v>2557</v>
      </c>
      <c r="D3653" s="805" t="s">
        <v>2829</v>
      </c>
      <c r="E3653" s="224">
        <v>550</v>
      </c>
      <c r="F3653" s="224"/>
      <c r="G3653" s="224">
        <f t="shared" si="60"/>
        <v>-550</v>
      </c>
      <c r="H3653" s="219" t="s">
        <v>2740</v>
      </c>
    </row>
    <row r="3654" spans="1:8" ht="15.75" customHeight="1" thickBot="1" x14ac:dyDescent="0.25">
      <c r="A3654" s="597">
        <v>43020</v>
      </c>
      <c r="B3654" s="222" t="s">
        <v>82</v>
      </c>
      <c r="C3654" s="223" t="s">
        <v>325</v>
      </c>
      <c r="D3654" s="805" t="s">
        <v>2830</v>
      </c>
      <c r="E3654" s="224">
        <v>10000</v>
      </c>
      <c r="F3654" s="224"/>
      <c r="G3654" s="224">
        <f t="shared" si="60"/>
        <v>-10000</v>
      </c>
      <c r="H3654" s="219" t="s">
        <v>2740</v>
      </c>
    </row>
    <row r="3655" spans="1:8" ht="15.75" customHeight="1" thickBot="1" x14ac:dyDescent="0.25">
      <c r="A3655" s="597">
        <v>43020</v>
      </c>
      <c r="B3655" s="222" t="s">
        <v>18</v>
      </c>
      <c r="C3655" s="223" t="s">
        <v>325</v>
      </c>
      <c r="D3655" s="805" t="s">
        <v>2831</v>
      </c>
      <c r="E3655" s="224">
        <v>800</v>
      </c>
      <c r="F3655" s="224"/>
      <c r="G3655" s="224">
        <f t="shared" si="60"/>
        <v>-800</v>
      </c>
      <c r="H3655" s="219" t="s">
        <v>2740</v>
      </c>
    </row>
    <row r="3656" spans="1:8" ht="15.75" thickBot="1" x14ac:dyDescent="0.25">
      <c r="A3656" s="597">
        <v>43020</v>
      </c>
      <c r="B3656" s="222" t="s">
        <v>40</v>
      </c>
      <c r="C3656" s="223" t="s">
        <v>325</v>
      </c>
      <c r="D3656" s="805" t="s">
        <v>72</v>
      </c>
      <c r="E3656" s="224">
        <v>450</v>
      </c>
      <c r="F3656" s="224"/>
      <c r="G3656" s="224">
        <f t="shared" si="60"/>
        <v>-450</v>
      </c>
      <c r="H3656" s="219" t="s">
        <v>2740</v>
      </c>
    </row>
    <row r="3657" spans="1:8" ht="15.75" thickBot="1" x14ac:dyDescent="0.25">
      <c r="A3657" s="597">
        <v>43020</v>
      </c>
      <c r="B3657" s="222" t="s">
        <v>2657</v>
      </c>
      <c r="C3657" s="223" t="s">
        <v>325</v>
      </c>
      <c r="D3657" s="805" t="s">
        <v>72</v>
      </c>
      <c r="E3657" s="224">
        <v>450</v>
      </c>
      <c r="F3657" s="224"/>
      <c r="G3657" s="224">
        <f t="shared" ref="G3657:G3720" si="61">F3657-E3657</f>
        <v>-450</v>
      </c>
      <c r="H3657" s="219" t="s">
        <v>2740</v>
      </c>
    </row>
    <row r="3658" spans="1:8" ht="15.75" thickBot="1" x14ac:dyDescent="0.25">
      <c r="A3658" s="597">
        <v>43020</v>
      </c>
      <c r="B3658" s="222" t="s">
        <v>2548</v>
      </c>
      <c r="C3658" s="223" t="s">
        <v>290</v>
      </c>
      <c r="D3658" s="805" t="s">
        <v>2832</v>
      </c>
      <c r="E3658" s="224">
        <v>17500</v>
      </c>
      <c r="F3658" s="224"/>
      <c r="G3658" s="224">
        <f t="shared" si="61"/>
        <v>-17500</v>
      </c>
      <c r="H3658" s="219" t="s">
        <v>2740</v>
      </c>
    </row>
    <row r="3659" spans="1:8" ht="15.75" thickBot="1" x14ac:dyDescent="0.25">
      <c r="A3659" s="597">
        <v>43020</v>
      </c>
      <c r="B3659" s="222" t="s">
        <v>25</v>
      </c>
      <c r="C3659" s="223" t="s">
        <v>1894</v>
      </c>
      <c r="D3659" s="805" t="s">
        <v>392</v>
      </c>
      <c r="E3659" s="224">
        <v>7150</v>
      </c>
      <c r="F3659" s="224"/>
      <c r="G3659" s="224">
        <f t="shared" si="61"/>
        <v>-7150</v>
      </c>
      <c r="H3659" s="219" t="s">
        <v>2740</v>
      </c>
    </row>
    <row r="3660" spans="1:8" ht="15.75" thickBot="1" x14ac:dyDescent="0.25">
      <c r="A3660" s="597">
        <v>43020</v>
      </c>
      <c r="B3660" s="222" t="s">
        <v>1400</v>
      </c>
      <c r="C3660" s="223" t="s">
        <v>64</v>
      </c>
      <c r="D3660" s="805" t="s">
        <v>392</v>
      </c>
      <c r="E3660" s="224">
        <v>14315</v>
      </c>
      <c r="F3660" s="224"/>
      <c r="G3660" s="224">
        <f t="shared" si="61"/>
        <v>-14315</v>
      </c>
      <c r="H3660" s="219" t="s">
        <v>2740</v>
      </c>
    </row>
    <row r="3661" spans="1:8" ht="15.75" thickBot="1" x14ac:dyDescent="0.25">
      <c r="A3661" s="597">
        <v>43020</v>
      </c>
      <c r="B3661" s="222" t="s">
        <v>1400</v>
      </c>
      <c r="C3661" s="223" t="s">
        <v>1704</v>
      </c>
      <c r="D3661" s="805" t="s">
        <v>1410</v>
      </c>
      <c r="E3661" s="224">
        <v>1445</v>
      </c>
      <c r="F3661" s="224"/>
      <c r="G3661" s="224">
        <f t="shared" si="61"/>
        <v>-1445</v>
      </c>
      <c r="H3661" s="219" t="s">
        <v>2740</v>
      </c>
    </row>
    <row r="3662" spans="1:8" ht="15.75" thickBot="1" x14ac:dyDescent="0.25">
      <c r="A3662" s="597">
        <v>43020</v>
      </c>
      <c r="B3662" s="222" t="s">
        <v>1400</v>
      </c>
      <c r="C3662" s="223" t="s">
        <v>1704</v>
      </c>
      <c r="D3662" s="805" t="s">
        <v>1410</v>
      </c>
      <c r="E3662" s="224">
        <v>360</v>
      </c>
      <c r="F3662" s="224"/>
      <c r="G3662" s="224">
        <f t="shared" si="61"/>
        <v>-360</v>
      </c>
      <c r="H3662" s="219" t="s">
        <v>2740</v>
      </c>
    </row>
    <row r="3663" spans="1:8" ht="15.75" thickBot="1" x14ac:dyDescent="0.25">
      <c r="A3663" s="597">
        <v>43020</v>
      </c>
      <c r="B3663" s="222" t="s">
        <v>2652</v>
      </c>
      <c r="C3663" s="223" t="s">
        <v>3149</v>
      </c>
      <c r="D3663" s="805" t="s">
        <v>1410</v>
      </c>
      <c r="E3663" s="224">
        <v>200</v>
      </c>
      <c r="F3663" s="224"/>
      <c r="G3663" s="224">
        <f t="shared" si="61"/>
        <v>-200</v>
      </c>
      <c r="H3663" s="219" t="s">
        <v>2740</v>
      </c>
    </row>
    <row r="3664" spans="1:8" ht="15.75" thickBot="1" x14ac:dyDescent="0.25">
      <c r="A3664" s="597">
        <v>43022</v>
      </c>
      <c r="B3664" s="222" t="s">
        <v>2548</v>
      </c>
      <c r="C3664" s="223" t="s">
        <v>290</v>
      </c>
      <c r="D3664" s="805" t="s">
        <v>2793</v>
      </c>
      <c r="E3664" s="224">
        <v>1000</v>
      </c>
      <c r="F3664" s="224"/>
      <c r="G3664" s="224">
        <f t="shared" si="61"/>
        <v>-1000</v>
      </c>
      <c r="H3664" s="219" t="s">
        <v>2740</v>
      </c>
    </row>
    <row r="3665" spans="1:8" ht="15.75" thickBot="1" x14ac:dyDescent="0.25">
      <c r="A3665" s="597">
        <v>43022</v>
      </c>
      <c r="B3665" s="222" t="s">
        <v>2548</v>
      </c>
      <c r="C3665" s="223" t="s">
        <v>2594</v>
      </c>
      <c r="D3665" s="805" t="s">
        <v>2141</v>
      </c>
      <c r="E3665" s="224">
        <v>1000</v>
      </c>
      <c r="F3665" s="224"/>
      <c r="G3665" s="224">
        <f t="shared" si="61"/>
        <v>-1000</v>
      </c>
      <c r="H3665" s="219" t="s">
        <v>2740</v>
      </c>
    </row>
    <row r="3666" spans="1:8" ht="15.75" thickBot="1" x14ac:dyDescent="0.25">
      <c r="A3666" s="597">
        <v>43022</v>
      </c>
      <c r="B3666" s="222" t="s">
        <v>2548</v>
      </c>
      <c r="C3666" s="223" t="s">
        <v>290</v>
      </c>
      <c r="D3666" s="805" t="s">
        <v>2833</v>
      </c>
      <c r="E3666" s="224">
        <v>4465</v>
      </c>
      <c r="F3666" s="224"/>
      <c r="G3666" s="224">
        <f t="shared" si="61"/>
        <v>-4465</v>
      </c>
      <c r="H3666" s="219" t="s">
        <v>2740</v>
      </c>
    </row>
    <row r="3667" spans="1:8" ht="15.75" thickBot="1" x14ac:dyDescent="0.25">
      <c r="A3667" s="597">
        <v>43024</v>
      </c>
      <c r="B3667" s="222" t="s">
        <v>16</v>
      </c>
      <c r="C3667" s="223" t="s">
        <v>773</v>
      </c>
      <c r="D3667" s="805" t="s">
        <v>2794</v>
      </c>
      <c r="E3667" s="224">
        <v>300</v>
      </c>
      <c r="F3667" s="224"/>
      <c r="G3667" s="224">
        <f t="shared" si="61"/>
        <v>-300</v>
      </c>
      <c r="H3667" s="219" t="s">
        <v>2740</v>
      </c>
    </row>
    <row r="3668" spans="1:8" ht="15.75" customHeight="1" thickBot="1" x14ac:dyDescent="0.25">
      <c r="A3668" s="597">
        <v>43024</v>
      </c>
      <c r="B3668" s="222" t="s">
        <v>1400</v>
      </c>
      <c r="C3668" s="223" t="s">
        <v>794</v>
      </c>
      <c r="D3668" s="805" t="s">
        <v>2795</v>
      </c>
      <c r="E3668" s="224">
        <v>8000</v>
      </c>
      <c r="F3668" s="224"/>
      <c r="G3668" s="224">
        <f t="shared" si="61"/>
        <v>-8000</v>
      </c>
      <c r="H3668" s="219" t="s">
        <v>2740</v>
      </c>
    </row>
    <row r="3669" spans="1:8" ht="15.75" customHeight="1" thickBot="1" x14ac:dyDescent="0.25">
      <c r="A3669" s="597">
        <v>43025</v>
      </c>
      <c r="B3669" s="222" t="s">
        <v>40</v>
      </c>
      <c r="C3669" s="223" t="s">
        <v>149</v>
      </c>
      <c r="D3669" s="805" t="s">
        <v>2834</v>
      </c>
      <c r="E3669" s="224">
        <v>1100</v>
      </c>
      <c r="F3669" s="224"/>
      <c r="G3669" s="224">
        <f t="shared" si="61"/>
        <v>-1100</v>
      </c>
      <c r="H3669" s="219" t="s">
        <v>2740</v>
      </c>
    </row>
    <row r="3670" spans="1:8" ht="15.75" customHeight="1" thickBot="1" x14ac:dyDescent="0.25">
      <c r="A3670" s="597">
        <v>43025</v>
      </c>
      <c r="B3670" s="222" t="s">
        <v>2548</v>
      </c>
      <c r="C3670" s="223" t="s">
        <v>2557</v>
      </c>
      <c r="D3670" s="805" t="s">
        <v>2835</v>
      </c>
      <c r="E3670" s="224">
        <v>100</v>
      </c>
      <c r="F3670" s="224"/>
      <c r="G3670" s="224">
        <f t="shared" si="61"/>
        <v>-100</v>
      </c>
      <c r="H3670" s="219" t="s">
        <v>2740</v>
      </c>
    </row>
    <row r="3671" spans="1:8" ht="15.75" customHeight="1" thickBot="1" x14ac:dyDescent="0.25">
      <c r="A3671" s="597">
        <v>43025</v>
      </c>
      <c r="B3671" s="222" t="s">
        <v>16</v>
      </c>
      <c r="C3671" s="223" t="s">
        <v>2002</v>
      </c>
      <c r="D3671" s="805" t="s">
        <v>370</v>
      </c>
      <c r="E3671" s="224">
        <v>300</v>
      </c>
      <c r="F3671" s="224"/>
      <c r="G3671" s="224">
        <f t="shared" si="61"/>
        <v>-300</v>
      </c>
      <c r="H3671" s="219" t="s">
        <v>2740</v>
      </c>
    </row>
    <row r="3672" spans="1:8" ht="15.75" customHeight="1" thickBot="1" x14ac:dyDescent="0.25">
      <c r="A3672" s="597">
        <v>43025</v>
      </c>
      <c r="B3672" s="222" t="s">
        <v>2652</v>
      </c>
      <c r="C3672" s="223" t="s">
        <v>2002</v>
      </c>
      <c r="D3672" s="805" t="s">
        <v>370</v>
      </c>
      <c r="E3672" s="224">
        <v>700</v>
      </c>
      <c r="F3672" s="224"/>
      <c r="G3672" s="224">
        <f t="shared" si="61"/>
        <v>-700</v>
      </c>
      <c r="H3672" s="219" t="s">
        <v>2740</v>
      </c>
    </row>
    <row r="3673" spans="1:8" ht="15.75" customHeight="1" thickBot="1" x14ac:dyDescent="0.25">
      <c r="A3673" s="597">
        <v>43026</v>
      </c>
      <c r="B3673" s="222" t="s">
        <v>2652</v>
      </c>
      <c r="C3673" s="223" t="s">
        <v>3149</v>
      </c>
      <c r="D3673" s="805" t="s">
        <v>1410</v>
      </c>
      <c r="E3673" s="224">
        <v>245</v>
      </c>
      <c r="F3673" s="224"/>
      <c r="G3673" s="224">
        <f t="shared" si="61"/>
        <v>-245</v>
      </c>
      <c r="H3673" s="219" t="s">
        <v>2740</v>
      </c>
    </row>
    <row r="3674" spans="1:8" ht="15.75" customHeight="1" thickBot="1" x14ac:dyDescent="0.25">
      <c r="A3674" s="597">
        <v>43026</v>
      </c>
      <c r="B3674" s="222" t="s">
        <v>2787</v>
      </c>
      <c r="C3674" s="223" t="s">
        <v>3149</v>
      </c>
      <c r="D3674" s="805" t="s">
        <v>1410</v>
      </c>
      <c r="E3674" s="224">
        <v>650</v>
      </c>
      <c r="F3674" s="224"/>
      <c r="G3674" s="224">
        <f t="shared" si="61"/>
        <v>-650</v>
      </c>
      <c r="H3674" s="219" t="s">
        <v>2740</v>
      </c>
    </row>
    <row r="3675" spans="1:8" ht="15.75" customHeight="1" thickBot="1" x14ac:dyDescent="0.25">
      <c r="A3675" s="597">
        <v>43027</v>
      </c>
      <c r="B3675" s="222" t="s">
        <v>25</v>
      </c>
      <c r="C3675" s="223" t="s">
        <v>2705</v>
      </c>
      <c r="D3675" s="805" t="s">
        <v>370</v>
      </c>
      <c r="E3675" s="224">
        <v>450</v>
      </c>
      <c r="F3675" s="224"/>
      <c r="G3675" s="224">
        <f t="shared" si="61"/>
        <v>-450</v>
      </c>
      <c r="H3675" s="219" t="s">
        <v>2740</v>
      </c>
    </row>
    <row r="3676" spans="1:8" ht="15.75" customHeight="1" thickBot="1" x14ac:dyDescent="0.25">
      <c r="A3676" s="597">
        <v>43027</v>
      </c>
      <c r="B3676" s="222" t="s">
        <v>25</v>
      </c>
      <c r="C3676" s="223" t="s">
        <v>1894</v>
      </c>
      <c r="D3676" s="805" t="s">
        <v>370</v>
      </c>
      <c r="E3676" s="224">
        <v>4984</v>
      </c>
      <c r="F3676" s="224"/>
      <c r="G3676" s="224">
        <f t="shared" si="61"/>
        <v>-4984</v>
      </c>
      <c r="H3676" s="219" t="s">
        <v>2740</v>
      </c>
    </row>
    <row r="3677" spans="1:8" ht="15.75" customHeight="1" thickBot="1" x14ac:dyDescent="0.25">
      <c r="A3677" s="597">
        <v>43027</v>
      </c>
      <c r="B3677" s="222" t="s">
        <v>40</v>
      </c>
      <c r="C3677" s="223" t="s">
        <v>2594</v>
      </c>
      <c r="D3677" s="805" t="s">
        <v>72</v>
      </c>
      <c r="E3677" s="224">
        <v>9895</v>
      </c>
      <c r="F3677" s="224"/>
      <c r="G3677" s="224">
        <f t="shared" si="61"/>
        <v>-9895</v>
      </c>
      <c r="H3677" s="219" t="s">
        <v>2740</v>
      </c>
    </row>
    <row r="3678" spans="1:8" ht="15.75" customHeight="1" thickBot="1" x14ac:dyDescent="0.25">
      <c r="A3678" s="597">
        <v>43027</v>
      </c>
      <c r="B3678" s="222" t="s">
        <v>82</v>
      </c>
      <c r="C3678" s="223" t="s">
        <v>2594</v>
      </c>
      <c r="D3678" s="805" t="s">
        <v>72</v>
      </c>
      <c r="E3678" s="224">
        <v>17835</v>
      </c>
      <c r="F3678" s="224"/>
      <c r="G3678" s="224">
        <f t="shared" si="61"/>
        <v>-17835</v>
      </c>
      <c r="H3678" s="219" t="s">
        <v>2740</v>
      </c>
    </row>
    <row r="3679" spans="1:8" ht="15.75" customHeight="1" thickBot="1" x14ac:dyDescent="0.25">
      <c r="A3679" s="597">
        <v>43027</v>
      </c>
      <c r="B3679" s="222" t="s">
        <v>1400</v>
      </c>
      <c r="C3679" s="223" t="s">
        <v>780</v>
      </c>
      <c r="D3679" s="805" t="s">
        <v>72</v>
      </c>
      <c r="E3679" s="224">
        <v>12500</v>
      </c>
      <c r="F3679" s="224"/>
      <c r="G3679" s="224">
        <f t="shared" si="61"/>
        <v>-12500</v>
      </c>
      <c r="H3679" s="219" t="s">
        <v>2740</v>
      </c>
    </row>
    <row r="3680" spans="1:8" ht="15.75" customHeight="1" thickBot="1" x14ac:dyDescent="0.25">
      <c r="A3680" s="597">
        <v>43028</v>
      </c>
      <c r="B3680" s="222" t="s">
        <v>1691</v>
      </c>
      <c r="C3680" s="223" t="s">
        <v>2594</v>
      </c>
      <c r="D3680" s="805" t="s">
        <v>72</v>
      </c>
      <c r="E3680" s="224">
        <v>13600</v>
      </c>
      <c r="F3680" s="224"/>
      <c r="G3680" s="224">
        <f t="shared" si="61"/>
        <v>-13600</v>
      </c>
      <c r="H3680" s="219" t="s">
        <v>2740</v>
      </c>
    </row>
    <row r="3681" spans="1:8" ht="15.75" customHeight="1" thickBot="1" x14ac:dyDescent="0.25">
      <c r="A3681" s="597">
        <v>43028</v>
      </c>
      <c r="B3681" s="222" t="s">
        <v>40</v>
      </c>
      <c r="C3681" s="223" t="s">
        <v>773</v>
      </c>
      <c r="D3681" s="805" t="s">
        <v>2836</v>
      </c>
      <c r="E3681" s="224">
        <v>600</v>
      </c>
      <c r="F3681" s="224"/>
      <c r="G3681" s="224">
        <f t="shared" si="61"/>
        <v>-600</v>
      </c>
      <c r="H3681" s="219" t="s">
        <v>2740</v>
      </c>
    </row>
    <row r="3682" spans="1:8" ht="15.75" customHeight="1" thickBot="1" x14ac:dyDescent="0.25">
      <c r="A3682" s="597">
        <v>43028</v>
      </c>
      <c r="B3682" s="222" t="s">
        <v>2548</v>
      </c>
      <c r="C3682" s="223" t="s">
        <v>290</v>
      </c>
      <c r="D3682" s="805" t="s">
        <v>2837</v>
      </c>
      <c r="E3682" s="224">
        <v>200</v>
      </c>
      <c r="F3682" s="224"/>
      <c r="G3682" s="224">
        <f t="shared" si="61"/>
        <v>-200</v>
      </c>
      <c r="H3682" s="219" t="s">
        <v>2740</v>
      </c>
    </row>
    <row r="3683" spans="1:8" ht="15.75" customHeight="1" thickBot="1" x14ac:dyDescent="0.25">
      <c r="A3683" s="597">
        <v>43029</v>
      </c>
      <c r="B3683" s="222" t="s">
        <v>1400</v>
      </c>
      <c r="C3683" s="223" t="s">
        <v>64</v>
      </c>
      <c r="D3683" s="805" t="s">
        <v>2822</v>
      </c>
      <c r="E3683" s="224">
        <v>5500</v>
      </c>
      <c r="F3683" s="224"/>
      <c r="G3683" s="224">
        <f t="shared" si="61"/>
        <v>-5500</v>
      </c>
      <c r="H3683" s="219" t="s">
        <v>2740</v>
      </c>
    </row>
    <row r="3684" spans="1:8" ht="15.75" customHeight="1" thickBot="1" x14ac:dyDescent="0.25">
      <c r="A3684" s="597">
        <v>43029</v>
      </c>
      <c r="B3684" s="222" t="s">
        <v>1400</v>
      </c>
      <c r="C3684" s="223" t="s">
        <v>309</v>
      </c>
      <c r="D3684" s="805" t="s">
        <v>2272</v>
      </c>
      <c r="E3684" s="224">
        <v>6800</v>
      </c>
      <c r="F3684" s="224"/>
      <c r="G3684" s="224">
        <f t="shared" si="61"/>
        <v>-6800</v>
      </c>
      <c r="H3684" s="219" t="s">
        <v>2740</v>
      </c>
    </row>
    <row r="3685" spans="1:8" ht="15.75" customHeight="1" thickBot="1" x14ac:dyDescent="0.25">
      <c r="A3685" s="597">
        <v>43030</v>
      </c>
      <c r="B3685" s="222" t="s">
        <v>2787</v>
      </c>
      <c r="C3685" s="223" t="s">
        <v>3145</v>
      </c>
      <c r="D3685" s="805" t="s">
        <v>3152</v>
      </c>
      <c r="E3685" s="224">
        <v>20410</v>
      </c>
      <c r="F3685" s="224"/>
      <c r="G3685" s="224">
        <f t="shared" si="61"/>
        <v>-20410</v>
      </c>
      <c r="H3685" s="219" t="s">
        <v>2740</v>
      </c>
    </row>
    <row r="3686" spans="1:8" ht="15.75" customHeight="1" thickBot="1" x14ac:dyDescent="0.25">
      <c r="A3686" s="597">
        <v>43030</v>
      </c>
      <c r="B3686" s="222" t="s">
        <v>40</v>
      </c>
      <c r="C3686" s="223" t="s">
        <v>149</v>
      </c>
      <c r="D3686" s="805" t="s">
        <v>286</v>
      </c>
      <c r="E3686" s="224">
        <v>200</v>
      </c>
      <c r="F3686" s="224"/>
      <c r="G3686" s="224">
        <f t="shared" si="61"/>
        <v>-200</v>
      </c>
      <c r="H3686" s="219" t="s">
        <v>2740</v>
      </c>
    </row>
    <row r="3687" spans="1:8" ht="15.75" customHeight="1" thickBot="1" x14ac:dyDescent="0.25">
      <c r="A3687" s="597">
        <v>43031</v>
      </c>
      <c r="B3687" s="222" t="s">
        <v>2548</v>
      </c>
      <c r="C3687" s="223" t="s">
        <v>290</v>
      </c>
      <c r="D3687" s="805" t="s">
        <v>2838</v>
      </c>
      <c r="E3687" s="224">
        <v>4232</v>
      </c>
      <c r="F3687" s="224"/>
      <c r="G3687" s="224">
        <f t="shared" si="61"/>
        <v>-4232</v>
      </c>
      <c r="H3687" s="219" t="s">
        <v>2740</v>
      </c>
    </row>
    <row r="3688" spans="1:8" ht="15.75" customHeight="1" thickBot="1" x14ac:dyDescent="0.25">
      <c r="A3688" s="597">
        <v>43031</v>
      </c>
      <c r="B3688" s="222" t="s">
        <v>2787</v>
      </c>
      <c r="C3688" s="223" t="s">
        <v>2797</v>
      </c>
      <c r="D3688" s="805" t="s">
        <v>370</v>
      </c>
      <c r="E3688" s="224">
        <v>2500</v>
      </c>
      <c r="F3688" s="224"/>
      <c r="G3688" s="224">
        <f t="shared" si="61"/>
        <v>-2500</v>
      </c>
      <c r="H3688" s="219" t="s">
        <v>2740</v>
      </c>
    </row>
    <row r="3689" spans="1:8" ht="24.75" customHeight="1" thickBot="1" x14ac:dyDescent="0.25">
      <c r="A3689" s="597">
        <v>43031</v>
      </c>
      <c r="B3689" s="222" t="s">
        <v>2787</v>
      </c>
      <c r="C3689" s="223" t="s">
        <v>3145</v>
      </c>
      <c r="D3689" s="805" t="s">
        <v>3153</v>
      </c>
      <c r="E3689" s="224">
        <v>25720</v>
      </c>
      <c r="F3689" s="224"/>
      <c r="G3689" s="224">
        <f t="shared" si="61"/>
        <v>-25720</v>
      </c>
      <c r="H3689" s="219" t="s">
        <v>2740</v>
      </c>
    </row>
    <row r="3690" spans="1:8" ht="24.75" customHeight="1" thickBot="1" x14ac:dyDescent="0.25">
      <c r="A3690" s="597">
        <v>43031</v>
      </c>
      <c r="B3690" s="222" t="s">
        <v>40</v>
      </c>
      <c r="C3690" s="223" t="s">
        <v>450</v>
      </c>
      <c r="D3690" s="805" t="s">
        <v>2798</v>
      </c>
      <c r="E3690" s="224">
        <v>700</v>
      </c>
      <c r="F3690" s="224"/>
      <c r="G3690" s="224">
        <f t="shared" si="61"/>
        <v>-700</v>
      </c>
      <c r="H3690" s="219" t="s">
        <v>2740</v>
      </c>
    </row>
    <row r="3691" spans="1:8" ht="15.75" thickBot="1" x14ac:dyDescent="0.25">
      <c r="A3691" s="597">
        <v>43031</v>
      </c>
      <c r="B3691" s="222" t="s">
        <v>1400</v>
      </c>
      <c r="C3691" s="223" t="s">
        <v>773</v>
      </c>
      <c r="D3691" s="805" t="s">
        <v>2799</v>
      </c>
      <c r="E3691" s="224">
        <v>460</v>
      </c>
      <c r="F3691" s="224"/>
      <c r="G3691" s="224">
        <f t="shared" si="61"/>
        <v>-460</v>
      </c>
      <c r="H3691" s="219" t="s">
        <v>2740</v>
      </c>
    </row>
    <row r="3692" spans="1:8" ht="15.75" thickBot="1" x14ac:dyDescent="0.25">
      <c r="A3692" s="597">
        <v>43031</v>
      </c>
      <c r="B3692" s="222" t="s">
        <v>25</v>
      </c>
      <c r="C3692" s="223" t="s">
        <v>1894</v>
      </c>
      <c r="D3692" s="805" t="s">
        <v>2800</v>
      </c>
      <c r="E3692" s="224">
        <v>2100</v>
      </c>
      <c r="F3692" s="224"/>
      <c r="G3692" s="224">
        <f t="shared" si="61"/>
        <v>-2100</v>
      </c>
      <c r="H3692" s="219" t="s">
        <v>2740</v>
      </c>
    </row>
    <row r="3693" spans="1:8" ht="15.75" thickBot="1" x14ac:dyDescent="0.25">
      <c r="A3693" s="597">
        <v>43032</v>
      </c>
      <c r="B3693" s="222" t="s">
        <v>16</v>
      </c>
      <c r="C3693" s="223" t="s">
        <v>1894</v>
      </c>
      <c r="D3693" s="805" t="s">
        <v>2801</v>
      </c>
      <c r="E3693" s="224">
        <v>2011</v>
      </c>
      <c r="F3693" s="224"/>
      <c r="G3693" s="224">
        <f t="shared" si="61"/>
        <v>-2011</v>
      </c>
      <c r="H3693" s="219" t="s">
        <v>2740</v>
      </c>
    </row>
    <row r="3694" spans="1:8" ht="15.75" thickBot="1" x14ac:dyDescent="0.25">
      <c r="A3694" s="597">
        <v>43032</v>
      </c>
      <c r="B3694" s="222" t="s">
        <v>1400</v>
      </c>
      <c r="C3694" s="223" t="s">
        <v>1704</v>
      </c>
      <c r="D3694" s="805" t="s">
        <v>1410</v>
      </c>
      <c r="E3694" s="224">
        <v>900</v>
      </c>
      <c r="F3694" s="224"/>
      <c r="G3694" s="224">
        <f t="shared" si="61"/>
        <v>-900</v>
      </c>
      <c r="H3694" s="219" t="s">
        <v>2740</v>
      </c>
    </row>
    <row r="3695" spans="1:8" ht="24.75" thickBot="1" x14ac:dyDescent="0.25">
      <c r="A3695" s="597">
        <v>43033</v>
      </c>
      <c r="B3695" s="222" t="s">
        <v>2652</v>
      </c>
      <c r="C3695" s="223" t="s">
        <v>392</v>
      </c>
      <c r="D3695" s="805" t="s">
        <v>4231</v>
      </c>
      <c r="E3695" s="224">
        <v>1200</v>
      </c>
      <c r="F3695" s="224"/>
      <c r="G3695" s="224">
        <f t="shared" si="61"/>
        <v>-1200</v>
      </c>
      <c r="H3695" s="219" t="s">
        <v>2740</v>
      </c>
    </row>
    <row r="3696" spans="1:8" ht="15.75" thickBot="1" x14ac:dyDescent="0.25">
      <c r="A3696" s="597">
        <v>43033</v>
      </c>
      <c r="B3696" s="222" t="s">
        <v>2652</v>
      </c>
      <c r="C3696" s="223" t="s">
        <v>3145</v>
      </c>
      <c r="D3696" s="805" t="s">
        <v>2839</v>
      </c>
      <c r="E3696" s="224">
        <v>280</v>
      </c>
      <c r="F3696" s="224"/>
      <c r="G3696" s="224">
        <f t="shared" si="61"/>
        <v>-280</v>
      </c>
      <c r="H3696" s="219" t="s">
        <v>2740</v>
      </c>
    </row>
    <row r="3697" spans="1:8" ht="24.75" thickBot="1" x14ac:dyDescent="0.25">
      <c r="A3697" s="597">
        <v>43033</v>
      </c>
      <c r="B3697" s="222" t="s">
        <v>11</v>
      </c>
      <c r="C3697" s="223" t="s">
        <v>309</v>
      </c>
      <c r="D3697" s="805" t="s">
        <v>2802</v>
      </c>
      <c r="E3697" s="224">
        <v>14000</v>
      </c>
      <c r="F3697" s="224"/>
      <c r="G3697" s="224">
        <f t="shared" si="61"/>
        <v>-14000</v>
      </c>
      <c r="H3697" s="219" t="s">
        <v>2740</v>
      </c>
    </row>
    <row r="3698" spans="1:8" ht="15.75" thickBot="1" x14ac:dyDescent="0.25">
      <c r="A3698" s="597">
        <v>43033</v>
      </c>
      <c r="B3698" s="222" t="s">
        <v>1400</v>
      </c>
      <c r="C3698" s="223" t="s">
        <v>773</v>
      </c>
      <c r="D3698" s="805" t="s">
        <v>2803</v>
      </c>
      <c r="E3698" s="224">
        <v>5300</v>
      </c>
      <c r="F3698" s="224"/>
      <c r="G3698" s="224">
        <f t="shared" si="61"/>
        <v>-5300</v>
      </c>
      <c r="H3698" s="219" t="s">
        <v>2740</v>
      </c>
    </row>
    <row r="3699" spans="1:8" ht="15.75" thickBot="1" x14ac:dyDescent="0.25">
      <c r="A3699" s="597">
        <v>43034</v>
      </c>
      <c r="B3699" s="222" t="s">
        <v>2787</v>
      </c>
      <c r="C3699" s="223" t="s">
        <v>3149</v>
      </c>
      <c r="D3699" s="805" t="s">
        <v>1410</v>
      </c>
      <c r="E3699" s="224">
        <v>890</v>
      </c>
      <c r="F3699" s="224"/>
      <c r="G3699" s="224">
        <f t="shared" si="61"/>
        <v>-890</v>
      </c>
      <c r="H3699" s="219" t="s">
        <v>2740</v>
      </c>
    </row>
    <row r="3700" spans="1:8" ht="15.75" thickBot="1" x14ac:dyDescent="0.25">
      <c r="A3700" s="597">
        <v>43035</v>
      </c>
      <c r="B3700" s="222" t="s">
        <v>1691</v>
      </c>
      <c r="C3700" s="223" t="s">
        <v>2594</v>
      </c>
      <c r="D3700" s="805" t="s">
        <v>72</v>
      </c>
      <c r="E3700" s="224">
        <v>12720</v>
      </c>
      <c r="F3700" s="224"/>
      <c r="G3700" s="224">
        <f t="shared" si="61"/>
        <v>-12720</v>
      </c>
      <c r="H3700" s="219" t="s">
        <v>2740</v>
      </c>
    </row>
    <row r="3701" spans="1:8" ht="15.75" thickBot="1" x14ac:dyDescent="0.25">
      <c r="A3701" s="597">
        <v>43035</v>
      </c>
      <c r="B3701" s="222" t="s">
        <v>40</v>
      </c>
      <c r="C3701" s="223" t="s">
        <v>929</v>
      </c>
      <c r="D3701" s="805" t="s">
        <v>2804</v>
      </c>
      <c r="E3701" s="224">
        <v>10280</v>
      </c>
      <c r="F3701" s="224"/>
      <c r="G3701" s="224">
        <f t="shared" si="61"/>
        <v>-10280</v>
      </c>
      <c r="H3701" s="219" t="s">
        <v>2740</v>
      </c>
    </row>
    <row r="3702" spans="1:8" ht="15.75" thickBot="1" x14ac:dyDescent="0.25">
      <c r="A3702" s="597">
        <v>43035</v>
      </c>
      <c r="B3702" s="222" t="s">
        <v>1400</v>
      </c>
      <c r="C3702" s="223" t="s">
        <v>773</v>
      </c>
      <c r="D3702" s="805" t="s">
        <v>2805</v>
      </c>
      <c r="E3702" s="224">
        <v>5970</v>
      </c>
      <c r="F3702" s="224"/>
      <c r="G3702" s="224">
        <f t="shared" si="61"/>
        <v>-5970</v>
      </c>
      <c r="H3702" s="219" t="s">
        <v>2740</v>
      </c>
    </row>
    <row r="3703" spans="1:8" ht="15.75" thickBot="1" x14ac:dyDescent="0.25">
      <c r="A3703" s="597">
        <v>43035</v>
      </c>
      <c r="B3703" s="222" t="s">
        <v>1691</v>
      </c>
      <c r="C3703" s="223" t="s">
        <v>2594</v>
      </c>
      <c r="D3703" s="805" t="s">
        <v>2806</v>
      </c>
      <c r="E3703" s="224">
        <v>90000</v>
      </c>
      <c r="F3703" s="224"/>
      <c r="G3703" s="224">
        <f t="shared" si="61"/>
        <v>-90000</v>
      </c>
      <c r="H3703" s="219" t="s">
        <v>2740</v>
      </c>
    </row>
    <row r="3704" spans="1:8" ht="24.75" thickBot="1" x14ac:dyDescent="0.25">
      <c r="A3704" s="597">
        <v>43036</v>
      </c>
      <c r="B3704" s="222" t="s">
        <v>2787</v>
      </c>
      <c r="C3704" s="223" t="s">
        <v>3145</v>
      </c>
      <c r="D3704" s="805" t="s">
        <v>3154</v>
      </c>
      <c r="E3704" s="224">
        <v>4230</v>
      </c>
      <c r="F3704" s="224"/>
      <c r="G3704" s="224">
        <f t="shared" si="61"/>
        <v>-4230</v>
      </c>
      <c r="H3704" s="219" t="s">
        <v>2740</v>
      </c>
    </row>
    <row r="3705" spans="1:8" ht="15.75" thickBot="1" x14ac:dyDescent="0.25">
      <c r="A3705" s="597">
        <v>43036</v>
      </c>
      <c r="B3705" s="222" t="s">
        <v>16</v>
      </c>
      <c r="C3705" s="223" t="s">
        <v>773</v>
      </c>
      <c r="D3705" s="805" t="s">
        <v>2807</v>
      </c>
      <c r="E3705" s="224">
        <v>5000</v>
      </c>
      <c r="F3705" s="224"/>
      <c r="G3705" s="224">
        <f t="shared" si="61"/>
        <v>-5000</v>
      </c>
      <c r="H3705" s="219" t="s">
        <v>2740</v>
      </c>
    </row>
    <row r="3706" spans="1:8" ht="15.75" thickBot="1" x14ac:dyDescent="0.25">
      <c r="A3706" s="597">
        <v>43036</v>
      </c>
      <c r="B3706" s="222" t="s">
        <v>82</v>
      </c>
      <c r="C3706" s="223" t="s">
        <v>2570</v>
      </c>
      <c r="D3706" s="805" t="s">
        <v>2704</v>
      </c>
      <c r="E3706" s="224">
        <v>15000</v>
      </c>
      <c r="F3706" s="224"/>
      <c r="G3706" s="224">
        <f t="shared" si="61"/>
        <v>-15000</v>
      </c>
      <c r="H3706" s="219" t="s">
        <v>2740</v>
      </c>
    </row>
    <row r="3707" spans="1:8" ht="24.75" thickBot="1" x14ac:dyDescent="0.25">
      <c r="A3707" s="597">
        <v>43036</v>
      </c>
      <c r="B3707" s="222" t="s">
        <v>1400</v>
      </c>
      <c r="C3707" s="223" t="s">
        <v>773</v>
      </c>
      <c r="D3707" s="805" t="s">
        <v>2808</v>
      </c>
      <c r="E3707" s="224">
        <v>200</v>
      </c>
      <c r="F3707" s="224"/>
      <c r="G3707" s="224">
        <f t="shared" si="61"/>
        <v>-200</v>
      </c>
      <c r="H3707" s="219" t="s">
        <v>2740</v>
      </c>
    </row>
    <row r="3708" spans="1:8" ht="15.75" thickBot="1" x14ac:dyDescent="0.25">
      <c r="A3708" s="597">
        <v>43036</v>
      </c>
      <c r="B3708" s="222" t="s">
        <v>1400</v>
      </c>
      <c r="C3708" s="223" t="s">
        <v>290</v>
      </c>
      <c r="D3708" s="805" t="s">
        <v>2866</v>
      </c>
      <c r="E3708" s="224">
        <v>1000</v>
      </c>
      <c r="F3708" s="224"/>
      <c r="G3708" s="224">
        <f t="shared" si="61"/>
        <v>-1000</v>
      </c>
      <c r="H3708" s="219" t="s">
        <v>2740</v>
      </c>
    </row>
    <row r="3709" spans="1:8" ht="15.75" thickBot="1" x14ac:dyDescent="0.25">
      <c r="A3709" s="597">
        <v>43036</v>
      </c>
      <c r="B3709" s="222" t="s">
        <v>37</v>
      </c>
      <c r="C3709" s="223" t="s">
        <v>2594</v>
      </c>
      <c r="D3709" s="805" t="s">
        <v>2360</v>
      </c>
      <c r="E3709" s="224">
        <v>1000</v>
      </c>
      <c r="F3709" s="224"/>
      <c r="G3709" s="224">
        <f t="shared" si="61"/>
        <v>-1000</v>
      </c>
      <c r="H3709" s="219" t="s">
        <v>2740</v>
      </c>
    </row>
    <row r="3710" spans="1:8" ht="15.75" thickBot="1" x14ac:dyDescent="0.25">
      <c r="A3710" s="597">
        <v>43038</v>
      </c>
      <c r="B3710" s="222" t="s">
        <v>1691</v>
      </c>
      <c r="C3710" s="223" t="s">
        <v>2473</v>
      </c>
      <c r="D3710" s="805" t="s">
        <v>2809</v>
      </c>
      <c r="E3710" s="224">
        <v>17067</v>
      </c>
      <c r="F3710" s="224"/>
      <c r="G3710" s="224">
        <f t="shared" si="61"/>
        <v>-17067</v>
      </c>
      <c r="H3710" s="219" t="s">
        <v>2740</v>
      </c>
    </row>
    <row r="3711" spans="1:8" ht="15.75" customHeight="1" thickBot="1" x14ac:dyDescent="0.25">
      <c r="A3711" s="597">
        <v>43038</v>
      </c>
      <c r="B3711" s="222" t="s">
        <v>1691</v>
      </c>
      <c r="C3711" s="223" t="s">
        <v>2473</v>
      </c>
      <c r="D3711" s="805" t="s">
        <v>2431</v>
      </c>
      <c r="E3711" s="224">
        <v>1000</v>
      </c>
      <c r="F3711" s="224"/>
      <c r="G3711" s="224">
        <f t="shared" si="61"/>
        <v>-1000</v>
      </c>
      <c r="H3711" s="219" t="s">
        <v>2740</v>
      </c>
    </row>
    <row r="3712" spans="1:8" ht="24.75" thickBot="1" x14ac:dyDescent="0.25">
      <c r="A3712" s="597">
        <v>43038</v>
      </c>
      <c r="B3712" s="222" t="s">
        <v>16</v>
      </c>
      <c r="C3712" s="223" t="s">
        <v>64</v>
      </c>
      <c r="D3712" s="805" t="s">
        <v>2810</v>
      </c>
      <c r="E3712" s="224">
        <v>40200</v>
      </c>
      <c r="F3712" s="224"/>
      <c r="G3712" s="224">
        <f t="shared" si="61"/>
        <v>-40200</v>
      </c>
      <c r="H3712" s="219" t="s">
        <v>2740</v>
      </c>
    </row>
    <row r="3713" spans="1:8" ht="15.75" thickBot="1" x14ac:dyDescent="0.25">
      <c r="A3713" s="597">
        <v>43038</v>
      </c>
      <c r="B3713" s="222" t="s">
        <v>1400</v>
      </c>
      <c r="C3713" s="223" t="s">
        <v>325</v>
      </c>
      <c r="D3713" s="805" t="s">
        <v>2868</v>
      </c>
      <c r="E3713" s="224">
        <v>33500</v>
      </c>
      <c r="F3713" s="224"/>
      <c r="G3713" s="224">
        <f t="shared" si="61"/>
        <v>-33500</v>
      </c>
      <c r="H3713" s="219" t="s">
        <v>2740</v>
      </c>
    </row>
    <row r="3714" spans="1:8" ht="15.75" thickBot="1" x14ac:dyDescent="0.25">
      <c r="A3714" s="597">
        <v>43038</v>
      </c>
      <c r="B3714" s="222" t="s">
        <v>18</v>
      </c>
      <c r="C3714" s="223" t="s">
        <v>325</v>
      </c>
      <c r="D3714" s="805" t="s">
        <v>2869</v>
      </c>
      <c r="E3714" s="224">
        <v>430</v>
      </c>
      <c r="F3714" s="224"/>
      <c r="G3714" s="224">
        <f t="shared" si="61"/>
        <v>-430</v>
      </c>
      <c r="H3714" s="219" t="s">
        <v>2740</v>
      </c>
    </row>
    <row r="3715" spans="1:8" ht="15.75" customHeight="1" thickBot="1" x14ac:dyDescent="0.25">
      <c r="A3715" s="597">
        <v>43038</v>
      </c>
      <c r="B3715" s="222" t="s">
        <v>40</v>
      </c>
      <c r="C3715" s="223" t="s">
        <v>325</v>
      </c>
      <c r="D3715" s="805" t="s">
        <v>2867</v>
      </c>
      <c r="E3715" s="224">
        <v>5300</v>
      </c>
      <c r="F3715" s="224"/>
      <c r="G3715" s="224">
        <f t="shared" si="61"/>
        <v>-5300</v>
      </c>
      <c r="H3715" s="219" t="s">
        <v>2740</v>
      </c>
    </row>
    <row r="3716" spans="1:8" ht="15.75" customHeight="1" thickBot="1" x14ac:dyDescent="0.25">
      <c r="A3716" s="597">
        <v>43038</v>
      </c>
      <c r="B3716" s="222" t="s">
        <v>1691</v>
      </c>
      <c r="C3716" s="223" t="s">
        <v>2473</v>
      </c>
      <c r="D3716" s="805" t="s">
        <v>2159</v>
      </c>
      <c r="E3716" s="224">
        <v>6414</v>
      </c>
      <c r="F3716" s="224"/>
      <c r="G3716" s="224">
        <f t="shared" si="61"/>
        <v>-6414</v>
      </c>
      <c r="H3716" s="219" t="s">
        <v>2740</v>
      </c>
    </row>
    <row r="3717" spans="1:8" ht="15.75" customHeight="1" thickBot="1" x14ac:dyDescent="0.25">
      <c r="A3717" s="597">
        <v>43038</v>
      </c>
      <c r="B3717" s="222" t="s">
        <v>2548</v>
      </c>
      <c r="C3717" s="223" t="s">
        <v>208</v>
      </c>
      <c r="D3717" s="805" t="s">
        <v>2811</v>
      </c>
      <c r="E3717" s="224">
        <v>420</v>
      </c>
      <c r="F3717" s="224"/>
      <c r="G3717" s="224">
        <f t="shared" si="61"/>
        <v>-420</v>
      </c>
      <c r="H3717" s="219" t="s">
        <v>2740</v>
      </c>
    </row>
    <row r="3718" spans="1:8" ht="15.75" thickBot="1" x14ac:dyDescent="0.25">
      <c r="A3718" s="597">
        <v>43039</v>
      </c>
      <c r="B3718" s="222" t="s">
        <v>1400</v>
      </c>
      <c r="C3718" s="223" t="s">
        <v>64</v>
      </c>
      <c r="D3718" s="805" t="s">
        <v>72</v>
      </c>
      <c r="E3718" s="224">
        <v>65735</v>
      </c>
      <c r="F3718" s="224"/>
      <c r="G3718" s="224">
        <f t="shared" si="61"/>
        <v>-65735</v>
      </c>
      <c r="H3718" s="219" t="s">
        <v>2740</v>
      </c>
    </row>
    <row r="3719" spans="1:8" ht="15.75" thickBot="1" x14ac:dyDescent="0.25">
      <c r="A3719" s="597">
        <v>43039</v>
      </c>
      <c r="B3719" s="222" t="s">
        <v>2548</v>
      </c>
      <c r="C3719" s="223" t="s">
        <v>290</v>
      </c>
      <c r="D3719" s="805" t="s">
        <v>2870</v>
      </c>
      <c r="E3719" s="224">
        <v>420</v>
      </c>
      <c r="F3719" s="224"/>
      <c r="G3719" s="224">
        <f t="shared" si="61"/>
        <v>-420</v>
      </c>
      <c r="H3719" s="219" t="s">
        <v>2740</v>
      </c>
    </row>
    <row r="3720" spans="1:8" ht="15.75" thickBot="1" x14ac:dyDescent="0.25">
      <c r="A3720" s="597">
        <v>43039</v>
      </c>
      <c r="B3720" s="222" t="s">
        <v>2787</v>
      </c>
      <c r="C3720" s="223" t="s">
        <v>3145</v>
      </c>
      <c r="D3720" s="805" t="s">
        <v>3155</v>
      </c>
      <c r="E3720" s="224">
        <v>26550</v>
      </c>
      <c r="F3720" s="224"/>
      <c r="G3720" s="224">
        <f t="shared" si="61"/>
        <v>-26550</v>
      </c>
      <c r="H3720" s="219" t="s">
        <v>2740</v>
      </c>
    </row>
    <row r="3721" spans="1:8" ht="15.75" customHeight="1" thickBot="1" x14ac:dyDescent="0.25">
      <c r="A3721" s="597">
        <v>43039</v>
      </c>
      <c r="B3721" s="222" t="s">
        <v>2787</v>
      </c>
      <c r="C3721" s="223" t="s">
        <v>3149</v>
      </c>
      <c r="D3721" s="805" t="s">
        <v>1410</v>
      </c>
      <c r="E3721" s="224">
        <v>840</v>
      </c>
      <c r="F3721" s="224"/>
      <c r="G3721" s="224">
        <f t="shared" ref="G3721:G3784" si="62">F3721-E3721</f>
        <v>-840</v>
      </c>
      <c r="H3721" s="219" t="s">
        <v>2740</v>
      </c>
    </row>
    <row r="3722" spans="1:8" ht="29.25" customHeight="1" thickBot="1" x14ac:dyDescent="0.3">
      <c r="A3722" s="606">
        <v>43013</v>
      </c>
      <c r="B3722" s="227" t="s">
        <v>1400</v>
      </c>
      <c r="C3722" s="174" t="s">
        <v>1875</v>
      </c>
      <c r="D3722" s="228" t="s">
        <v>2741</v>
      </c>
      <c r="E3722" s="229">
        <v>22000</v>
      </c>
      <c r="F3722" s="229"/>
      <c r="G3722" s="229">
        <f t="shared" si="62"/>
        <v>-22000</v>
      </c>
      <c r="H3722" s="163" t="s">
        <v>2740</v>
      </c>
    </row>
    <row r="3723" spans="1:8" ht="15.75" customHeight="1" thickBot="1" x14ac:dyDescent="0.3">
      <c r="A3723" s="606">
        <v>43015</v>
      </c>
      <c r="B3723" s="216" t="s">
        <v>2548</v>
      </c>
      <c r="C3723" s="174" t="s">
        <v>2129</v>
      </c>
      <c r="D3723" s="228" t="s">
        <v>2742</v>
      </c>
      <c r="E3723" s="155">
        <v>70000</v>
      </c>
      <c r="F3723" s="155"/>
      <c r="G3723" s="155">
        <f t="shared" si="62"/>
        <v>-70000</v>
      </c>
      <c r="H3723" s="163" t="s">
        <v>2740</v>
      </c>
    </row>
    <row r="3724" spans="1:8" ht="25.5" customHeight="1" thickBot="1" x14ac:dyDescent="0.3">
      <c r="A3724" s="606">
        <v>43019</v>
      </c>
      <c r="B3724" s="216" t="s">
        <v>1400</v>
      </c>
      <c r="C3724" s="174" t="s">
        <v>1815</v>
      </c>
      <c r="D3724" s="118" t="s">
        <v>2757</v>
      </c>
      <c r="E3724" s="155">
        <v>980000</v>
      </c>
      <c r="F3724" s="155"/>
      <c r="G3724" s="155">
        <f t="shared" si="62"/>
        <v>-980000</v>
      </c>
      <c r="H3724" s="163" t="s">
        <v>2740</v>
      </c>
    </row>
    <row r="3725" spans="1:8" ht="15.75" customHeight="1" thickBot="1" x14ac:dyDescent="0.3">
      <c r="A3725" s="606">
        <v>43019</v>
      </c>
      <c r="B3725" s="216" t="s">
        <v>1400</v>
      </c>
      <c r="C3725" s="122" t="s">
        <v>2728</v>
      </c>
      <c r="D3725" s="118" t="s">
        <v>2768</v>
      </c>
      <c r="E3725" s="123">
        <v>11400</v>
      </c>
      <c r="F3725" s="123"/>
      <c r="G3725" s="123">
        <f t="shared" si="62"/>
        <v>-11400</v>
      </c>
      <c r="H3725" s="163" t="s">
        <v>2740</v>
      </c>
    </row>
    <row r="3726" spans="1:8" ht="15.75" customHeight="1" thickBot="1" x14ac:dyDescent="0.3">
      <c r="A3726" s="606">
        <v>43019</v>
      </c>
      <c r="B3726" s="216" t="s">
        <v>1400</v>
      </c>
      <c r="C3726" s="122" t="s">
        <v>2728</v>
      </c>
      <c r="D3726" s="118" t="s">
        <v>2769</v>
      </c>
      <c r="E3726" s="123">
        <v>16000</v>
      </c>
      <c r="F3726" s="123"/>
      <c r="G3726" s="123">
        <f t="shared" si="62"/>
        <v>-16000</v>
      </c>
      <c r="H3726" s="163" t="s">
        <v>2740</v>
      </c>
    </row>
    <row r="3727" spans="1:8" ht="25.5" customHeight="1" thickBot="1" x14ac:dyDescent="0.3">
      <c r="A3727" s="606">
        <v>43021</v>
      </c>
      <c r="B3727" s="122" t="s">
        <v>1400</v>
      </c>
      <c r="C3727" s="122" t="s">
        <v>2642</v>
      </c>
      <c r="D3727" s="118" t="s">
        <v>2770</v>
      </c>
      <c r="E3727" s="123">
        <v>355000</v>
      </c>
      <c r="F3727" s="123"/>
      <c r="G3727" s="123">
        <f t="shared" si="62"/>
        <v>-355000</v>
      </c>
      <c r="H3727" s="163" t="s">
        <v>2740</v>
      </c>
    </row>
    <row r="3728" spans="1:8" ht="15.75" customHeight="1" thickBot="1" x14ac:dyDescent="0.3">
      <c r="A3728" s="606">
        <v>43021</v>
      </c>
      <c r="B3728" s="122" t="s">
        <v>16</v>
      </c>
      <c r="C3728" s="122" t="s">
        <v>2771</v>
      </c>
      <c r="D3728" s="118" t="s">
        <v>2772</v>
      </c>
      <c r="E3728" s="123">
        <v>16000</v>
      </c>
      <c r="F3728" s="123"/>
      <c r="G3728" s="123">
        <f t="shared" si="62"/>
        <v>-16000</v>
      </c>
      <c r="H3728" s="163" t="s">
        <v>2740</v>
      </c>
    </row>
    <row r="3729" spans="1:8" ht="15.75" customHeight="1" thickBot="1" x14ac:dyDescent="0.3">
      <c r="A3729" s="606">
        <v>43021</v>
      </c>
      <c r="B3729" s="122" t="s">
        <v>2548</v>
      </c>
      <c r="C3729" s="122" t="s">
        <v>1875</v>
      </c>
      <c r="D3729" s="118" t="s">
        <v>2773</v>
      </c>
      <c r="E3729" s="123">
        <v>30000</v>
      </c>
      <c r="F3729" s="123"/>
      <c r="G3729" s="123">
        <f t="shared" si="62"/>
        <v>-30000</v>
      </c>
      <c r="H3729" s="163" t="s">
        <v>2740</v>
      </c>
    </row>
    <row r="3730" spans="1:8" ht="15.75" customHeight="1" thickBot="1" x14ac:dyDescent="0.3">
      <c r="A3730" s="606">
        <v>43024</v>
      </c>
      <c r="B3730" s="122" t="s">
        <v>1400</v>
      </c>
      <c r="C3730" s="122" t="s">
        <v>2515</v>
      </c>
      <c r="D3730" s="118" t="s">
        <v>2776</v>
      </c>
      <c r="E3730" s="123">
        <v>100000</v>
      </c>
      <c r="F3730" s="123"/>
      <c r="G3730" s="123">
        <f t="shared" si="62"/>
        <v>-100000</v>
      </c>
      <c r="H3730" s="163" t="s">
        <v>2740</v>
      </c>
    </row>
    <row r="3731" spans="1:8" ht="15.75" customHeight="1" thickBot="1" x14ac:dyDescent="0.3">
      <c r="A3731" s="606">
        <v>43025</v>
      </c>
      <c r="B3731" s="122" t="s">
        <v>11</v>
      </c>
      <c r="C3731" s="122" t="s">
        <v>2658</v>
      </c>
      <c r="D3731" s="118" t="s">
        <v>2777</v>
      </c>
      <c r="E3731" s="123">
        <v>35000</v>
      </c>
      <c r="F3731" s="123"/>
      <c r="G3731" s="123">
        <f t="shared" si="62"/>
        <v>-35000</v>
      </c>
      <c r="H3731" s="163" t="s">
        <v>2740</v>
      </c>
    </row>
    <row r="3732" spans="1:8" ht="15.75" customHeight="1" thickBot="1" x14ac:dyDescent="0.3">
      <c r="A3732" s="606">
        <v>43033</v>
      </c>
      <c r="B3732" s="174" t="s">
        <v>2094</v>
      </c>
      <c r="C3732" s="174" t="s">
        <v>2813</v>
      </c>
      <c r="D3732" s="118" t="s">
        <v>2784</v>
      </c>
      <c r="E3732" s="236">
        <v>200000</v>
      </c>
      <c r="F3732" s="236"/>
      <c r="G3732" s="236">
        <f t="shared" si="62"/>
        <v>-200000</v>
      </c>
      <c r="H3732" s="163" t="s">
        <v>2740</v>
      </c>
    </row>
    <row r="3733" spans="1:8" ht="15.75" customHeight="1" thickBot="1" x14ac:dyDescent="0.3">
      <c r="A3733" s="606">
        <v>43033</v>
      </c>
      <c r="B3733" s="174" t="s">
        <v>40</v>
      </c>
      <c r="C3733" s="174" t="s">
        <v>929</v>
      </c>
      <c r="D3733" s="118" t="s">
        <v>2812</v>
      </c>
      <c r="E3733" s="236">
        <v>20000</v>
      </c>
      <c r="F3733" s="236"/>
      <c r="G3733" s="236">
        <f t="shared" si="62"/>
        <v>-20000</v>
      </c>
      <c r="H3733" s="163" t="s">
        <v>2740</v>
      </c>
    </row>
    <row r="3734" spans="1:8" ht="15.75" customHeight="1" thickBot="1" x14ac:dyDescent="0.3">
      <c r="A3734" s="606">
        <v>43033</v>
      </c>
      <c r="B3734" s="174" t="s">
        <v>2787</v>
      </c>
      <c r="C3734" s="174" t="s">
        <v>2970</v>
      </c>
      <c r="D3734" s="118" t="s">
        <v>2971</v>
      </c>
      <c r="E3734" s="236">
        <v>457500</v>
      </c>
      <c r="F3734" s="236"/>
      <c r="G3734" s="236">
        <f t="shared" si="62"/>
        <v>-457500</v>
      </c>
      <c r="H3734" s="163" t="s">
        <v>2740</v>
      </c>
    </row>
    <row r="3735" spans="1:8" ht="15.75" customHeight="1" thickBot="1" x14ac:dyDescent="0.3">
      <c r="A3735" s="606">
        <v>43033</v>
      </c>
      <c r="B3735" s="174" t="s">
        <v>2787</v>
      </c>
      <c r="C3735" s="174" t="s">
        <v>2970</v>
      </c>
      <c r="D3735" s="118" t="s">
        <v>2972</v>
      </c>
      <c r="E3735" s="236">
        <v>915000</v>
      </c>
      <c r="F3735" s="236"/>
      <c r="G3735" s="236">
        <f t="shared" si="62"/>
        <v>-915000</v>
      </c>
      <c r="H3735" s="163" t="s">
        <v>2740</v>
      </c>
    </row>
    <row r="3736" spans="1:8" ht="15.75" customHeight="1" thickBot="1" x14ac:dyDescent="0.3">
      <c r="A3736" s="606">
        <v>43038</v>
      </c>
      <c r="B3736" s="174" t="s">
        <v>40</v>
      </c>
      <c r="C3736" s="174" t="s">
        <v>794</v>
      </c>
      <c r="D3736" s="118" t="s">
        <v>2814</v>
      </c>
      <c r="E3736" s="236">
        <v>40000</v>
      </c>
      <c r="F3736" s="236"/>
      <c r="G3736" s="236">
        <f t="shared" si="62"/>
        <v>-40000</v>
      </c>
      <c r="H3736" s="163" t="s">
        <v>2740</v>
      </c>
    </row>
    <row r="3737" spans="1:8" ht="15.75" customHeight="1" thickBot="1" x14ac:dyDescent="0.25">
      <c r="A3737" s="599">
        <v>43027</v>
      </c>
      <c r="B3737" s="91" t="s">
        <v>2657</v>
      </c>
      <c r="C3737" s="91" t="s">
        <v>559</v>
      </c>
      <c r="D3737" s="801" t="s">
        <v>2778</v>
      </c>
      <c r="E3737" s="92"/>
      <c r="F3737" s="92">
        <v>90000</v>
      </c>
      <c r="G3737" s="92">
        <f t="shared" si="62"/>
        <v>90000</v>
      </c>
      <c r="H3737" s="179" t="s">
        <v>2740</v>
      </c>
    </row>
    <row r="3738" spans="1:8" ht="15.75" thickBot="1" x14ac:dyDescent="0.25">
      <c r="A3738" s="599">
        <v>43033</v>
      </c>
      <c r="B3738" s="91" t="s">
        <v>37</v>
      </c>
      <c r="C3738" s="91" t="s">
        <v>559</v>
      </c>
      <c r="D3738" s="801" t="s">
        <v>2785</v>
      </c>
      <c r="E3738" s="92"/>
      <c r="F3738" s="92">
        <v>471420</v>
      </c>
      <c r="G3738" s="92">
        <f t="shared" si="62"/>
        <v>471420</v>
      </c>
      <c r="H3738" s="179" t="s">
        <v>2740</v>
      </c>
    </row>
    <row r="3739" spans="1:8" ht="15.75" thickBot="1" x14ac:dyDescent="0.25">
      <c r="A3739" s="599">
        <v>43033</v>
      </c>
      <c r="B3739" s="91" t="s">
        <v>2657</v>
      </c>
      <c r="C3739" s="91" t="s">
        <v>559</v>
      </c>
      <c r="D3739" s="801" t="s">
        <v>2786</v>
      </c>
      <c r="E3739" s="92"/>
      <c r="F3739" s="92">
        <v>370000</v>
      </c>
      <c r="G3739" s="92">
        <f t="shared" si="62"/>
        <v>370000</v>
      </c>
      <c r="H3739" s="179" t="s">
        <v>2740</v>
      </c>
    </row>
    <row r="3740" spans="1:8" ht="15.75" thickBot="1" x14ac:dyDescent="0.25">
      <c r="A3740" s="599">
        <v>43036</v>
      </c>
      <c r="B3740" s="91" t="s">
        <v>2787</v>
      </c>
      <c r="C3740" s="91" t="s">
        <v>559</v>
      </c>
      <c r="D3740" s="801" t="s">
        <v>2788</v>
      </c>
      <c r="E3740" s="92"/>
      <c r="F3740" s="92">
        <v>11285000</v>
      </c>
      <c r="G3740" s="92">
        <f t="shared" si="62"/>
        <v>11285000</v>
      </c>
      <c r="H3740" s="179" t="s">
        <v>2740</v>
      </c>
    </row>
    <row r="3741" spans="1:8" ht="15.75" thickBot="1" x14ac:dyDescent="0.25">
      <c r="A3741" s="597">
        <v>43040</v>
      </c>
      <c r="B3741" s="222" t="s">
        <v>2787</v>
      </c>
      <c r="C3741" s="222" t="s">
        <v>794</v>
      </c>
      <c r="D3741" s="806" t="s">
        <v>1836</v>
      </c>
      <c r="E3741" s="224">
        <v>25000</v>
      </c>
      <c r="F3741" s="224"/>
      <c r="G3741" s="58">
        <f t="shared" si="62"/>
        <v>-25000</v>
      </c>
      <c r="H3741" s="219" t="s">
        <v>2842</v>
      </c>
    </row>
    <row r="3742" spans="1:8" ht="15.75" thickBot="1" x14ac:dyDescent="0.25">
      <c r="A3742" s="597">
        <v>43040</v>
      </c>
      <c r="B3742" s="222" t="s">
        <v>2548</v>
      </c>
      <c r="C3742" s="222" t="s">
        <v>794</v>
      </c>
      <c r="D3742" s="806" t="s">
        <v>1837</v>
      </c>
      <c r="E3742" s="224">
        <v>25000</v>
      </c>
      <c r="F3742" s="224"/>
      <c r="G3742" s="58">
        <f t="shared" si="62"/>
        <v>-25000</v>
      </c>
      <c r="H3742" s="219" t="s">
        <v>2842</v>
      </c>
    </row>
    <row r="3743" spans="1:8" ht="15.75" thickBot="1" x14ac:dyDescent="0.25">
      <c r="A3743" s="597">
        <v>43040</v>
      </c>
      <c r="B3743" s="222" t="s">
        <v>1400</v>
      </c>
      <c r="C3743" s="222" t="s">
        <v>794</v>
      </c>
      <c r="D3743" s="806" t="s">
        <v>1837</v>
      </c>
      <c r="E3743" s="224">
        <v>25000</v>
      </c>
      <c r="F3743" s="224"/>
      <c r="G3743" s="58">
        <f t="shared" si="62"/>
        <v>-25000</v>
      </c>
      <c r="H3743" s="219" t="s">
        <v>2842</v>
      </c>
    </row>
    <row r="3744" spans="1:8" ht="15.75" thickBot="1" x14ac:dyDescent="0.25">
      <c r="A3744" s="597">
        <v>43040</v>
      </c>
      <c r="B3744" s="222" t="s">
        <v>25</v>
      </c>
      <c r="C3744" s="222" t="s">
        <v>794</v>
      </c>
      <c r="D3744" s="806" t="s">
        <v>1839</v>
      </c>
      <c r="E3744" s="224">
        <v>6500</v>
      </c>
      <c r="F3744" s="224"/>
      <c r="G3744" s="58">
        <f t="shared" si="62"/>
        <v>-6500</v>
      </c>
      <c r="H3744" s="219" t="s">
        <v>2842</v>
      </c>
    </row>
    <row r="3745" spans="1:8" ht="15.75" thickBot="1" x14ac:dyDescent="0.25">
      <c r="A3745" s="597">
        <v>43040</v>
      </c>
      <c r="B3745" s="222" t="s">
        <v>25</v>
      </c>
      <c r="C3745" s="222" t="s">
        <v>794</v>
      </c>
      <c r="D3745" s="806" t="s">
        <v>1840</v>
      </c>
      <c r="E3745" s="224">
        <v>7000</v>
      </c>
      <c r="F3745" s="224"/>
      <c r="G3745" s="58">
        <f t="shared" si="62"/>
        <v>-7000</v>
      </c>
      <c r="H3745" s="219" t="s">
        <v>2842</v>
      </c>
    </row>
    <row r="3746" spans="1:8" ht="15.75" thickBot="1" x14ac:dyDescent="0.25">
      <c r="A3746" s="597">
        <v>43040</v>
      </c>
      <c r="B3746" s="222" t="s">
        <v>25</v>
      </c>
      <c r="C3746" s="222" t="s">
        <v>794</v>
      </c>
      <c r="D3746" s="806" t="s">
        <v>1547</v>
      </c>
      <c r="E3746" s="224">
        <v>9000</v>
      </c>
      <c r="F3746" s="224"/>
      <c r="G3746" s="58">
        <f t="shared" si="62"/>
        <v>-9000</v>
      </c>
      <c r="H3746" s="219" t="s">
        <v>2842</v>
      </c>
    </row>
    <row r="3747" spans="1:8" ht="15.75" thickBot="1" x14ac:dyDescent="0.25">
      <c r="A3747" s="597">
        <v>43040</v>
      </c>
      <c r="B3747" s="222" t="s">
        <v>16</v>
      </c>
      <c r="C3747" s="222" t="s">
        <v>794</v>
      </c>
      <c r="D3747" s="806" t="s">
        <v>1842</v>
      </c>
      <c r="E3747" s="224">
        <v>25000</v>
      </c>
      <c r="F3747" s="224"/>
      <c r="G3747" s="58">
        <f t="shared" si="62"/>
        <v>-25000</v>
      </c>
      <c r="H3747" s="219" t="s">
        <v>2842</v>
      </c>
    </row>
    <row r="3748" spans="1:8" ht="15.75" thickBot="1" x14ac:dyDescent="0.25">
      <c r="A3748" s="597">
        <v>43040</v>
      </c>
      <c r="B3748" s="222" t="s">
        <v>16</v>
      </c>
      <c r="C3748" s="222" t="s">
        <v>794</v>
      </c>
      <c r="D3748" s="806" t="s">
        <v>1843</v>
      </c>
      <c r="E3748" s="224">
        <v>15839.709677419356</v>
      </c>
      <c r="F3748" s="224"/>
      <c r="G3748" s="58">
        <f t="shared" si="62"/>
        <v>-15839.709677419356</v>
      </c>
      <c r="H3748" s="219" t="s">
        <v>2842</v>
      </c>
    </row>
    <row r="3749" spans="1:8" ht="15.75" thickBot="1" x14ac:dyDescent="0.25">
      <c r="A3749" s="597">
        <v>43040</v>
      </c>
      <c r="B3749" s="222" t="s">
        <v>16</v>
      </c>
      <c r="C3749" s="222" t="s">
        <v>794</v>
      </c>
      <c r="D3749" s="806" t="s">
        <v>2915</v>
      </c>
      <c r="E3749" s="224">
        <v>3870.9677419354839</v>
      </c>
      <c r="F3749" s="224"/>
      <c r="G3749" s="58">
        <f t="shared" si="62"/>
        <v>-3870.9677419354839</v>
      </c>
      <c r="H3749" s="219" t="s">
        <v>2842</v>
      </c>
    </row>
    <row r="3750" spans="1:8" ht="15.75" customHeight="1" thickBot="1" x14ac:dyDescent="0.25">
      <c r="A3750" s="597">
        <v>43040</v>
      </c>
      <c r="B3750" s="222" t="s">
        <v>16</v>
      </c>
      <c r="C3750" s="222" t="s">
        <v>794</v>
      </c>
      <c r="D3750" s="806" t="s">
        <v>1844</v>
      </c>
      <c r="E3750" s="224">
        <v>28415.322580645163</v>
      </c>
      <c r="F3750" s="224"/>
      <c r="G3750" s="58">
        <f t="shared" si="62"/>
        <v>-28415.322580645163</v>
      </c>
      <c r="H3750" s="219" t="s">
        <v>2842</v>
      </c>
    </row>
    <row r="3751" spans="1:8" ht="15.75" thickBot="1" x14ac:dyDescent="0.25">
      <c r="A3751" s="597">
        <v>43040</v>
      </c>
      <c r="B3751" s="222" t="s">
        <v>16</v>
      </c>
      <c r="C3751" s="222" t="s">
        <v>794</v>
      </c>
      <c r="D3751" s="806" t="s">
        <v>2916</v>
      </c>
      <c r="E3751" s="224">
        <v>10000</v>
      </c>
      <c r="F3751" s="224"/>
      <c r="G3751" s="58">
        <f t="shared" si="62"/>
        <v>-10000</v>
      </c>
      <c r="H3751" s="219" t="s">
        <v>2842</v>
      </c>
    </row>
    <row r="3752" spans="1:8" ht="15.75" thickBot="1" x14ac:dyDescent="0.25">
      <c r="A3752" s="597">
        <v>43040</v>
      </c>
      <c r="B3752" s="222" t="s">
        <v>16</v>
      </c>
      <c r="C3752" s="222" t="s">
        <v>794</v>
      </c>
      <c r="D3752" s="806" t="s">
        <v>1838</v>
      </c>
      <c r="E3752" s="224">
        <v>0</v>
      </c>
      <c r="F3752" s="224"/>
      <c r="G3752" s="58">
        <f t="shared" si="62"/>
        <v>0</v>
      </c>
      <c r="H3752" s="219" t="s">
        <v>2842</v>
      </c>
    </row>
    <row r="3753" spans="1:8" ht="15.75" thickBot="1" x14ac:dyDescent="0.25">
      <c r="A3753" s="597">
        <v>43040</v>
      </c>
      <c r="B3753" s="222" t="s">
        <v>1400</v>
      </c>
      <c r="C3753" s="222" t="s">
        <v>794</v>
      </c>
      <c r="D3753" s="806" t="s">
        <v>1684</v>
      </c>
      <c r="E3753" s="224">
        <v>20000</v>
      </c>
      <c r="F3753" s="224"/>
      <c r="G3753" s="58">
        <f t="shared" si="62"/>
        <v>-20000</v>
      </c>
      <c r="H3753" s="219" t="s">
        <v>2842</v>
      </c>
    </row>
    <row r="3754" spans="1:8" ht="15.75" thickBot="1" x14ac:dyDescent="0.25">
      <c r="A3754" s="597">
        <v>43040</v>
      </c>
      <c r="B3754" s="222" t="s">
        <v>1400</v>
      </c>
      <c r="C3754" s="222" t="s">
        <v>794</v>
      </c>
      <c r="D3754" s="806" t="s">
        <v>2482</v>
      </c>
      <c r="E3754" s="224">
        <v>18019.758064516129</v>
      </c>
      <c r="F3754" s="224"/>
      <c r="G3754" s="58">
        <f t="shared" si="62"/>
        <v>-18019.758064516129</v>
      </c>
      <c r="H3754" s="219" t="s">
        <v>2842</v>
      </c>
    </row>
    <row r="3755" spans="1:8" ht="15.75" thickBot="1" x14ac:dyDescent="0.25">
      <c r="A3755" s="597">
        <v>43040</v>
      </c>
      <c r="B3755" s="222" t="s">
        <v>1400</v>
      </c>
      <c r="C3755" s="222" t="s">
        <v>794</v>
      </c>
      <c r="D3755" s="806" t="s">
        <v>1550</v>
      </c>
      <c r="E3755" s="224">
        <v>23949.83870967742</v>
      </c>
      <c r="F3755" s="224"/>
      <c r="G3755" s="58">
        <f t="shared" si="62"/>
        <v>-23949.83870967742</v>
      </c>
      <c r="H3755" s="219" t="s">
        <v>2842</v>
      </c>
    </row>
    <row r="3756" spans="1:8" ht="15.75" thickBot="1" x14ac:dyDescent="0.25">
      <c r="A3756" s="597">
        <v>43040</v>
      </c>
      <c r="B3756" s="222" t="s">
        <v>1400</v>
      </c>
      <c r="C3756" s="222" t="s">
        <v>794</v>
      </c>
      <c r="D3756" s="806" t="s">
        <v>1871</v>
      </c>
      <c r="E3756" s="224">
        <v>40650</v>
      </c>
      <c r="F3756" s="224"/>
      <c r="G3756" s="58">
        <f t="shared" si="62"/>
        <v>-40650</v>
      </c>
      <c r="H3756" s="219" t="s">
        <v>2842</v>
      </c>
    </row>
    <row r="3757" spans="1:8" ht="15.75" thickBot="1" x14ac:dyDescent="0.25">
      <c r="A3757" s="597">
        <v>43040</v>
      </c>
      <c r="B3757" s="222" t="s">
        <v>1400</v>
      </c>
      <c r="C3757" s="222" t="s">
        <v>794</v>
      </c>
      <c r="D3757" s="806" t="s">
        <v>2484</v>
      </c>
      <c r="E3757" s="224">
        <v>6499.8387096774204</v>
      </c>
      <c r="F3757" s="224"/>
      <c r="G3757" s="58">
        <f t="shared" si="62"/>
        <v>-6499.8387096774204</v>
      </c>
      <c r="H3757" s="219" t="s">
        <v>2842</v>
      </c>
    </row>
    <row r="3758" spans="1:8" ht="15.75" thickBot="1" x14ac:dyDescent="0.25">
      <c r="A3758" s="597">
        <v>43040</v>
      </c>
      <c r="B3758" s="222" t="s">
        <v>1400</v>
      </c>
      <c r="C3758" s="222" t="s">
        <v>794</v>
      </c>
      <c r="D3758" s="806" t="s">
        <v>1862</v>
      </c>
      <c r="E3758" s="224">
        <v>15100.806451612902</v>
      </c>
      <c r="F3758" s="224"/>
      <c r="G3758" s="58">
        <f t="shared" si="62"/>
        <v>-15100.806451612902</v>
      </c>
      <c r="H3758" s="219" t="s">
        <v>2842</v>
      </c>
    </row>
    <row r="3759" spans="1:8" ht="15.75" thickBot="1" x14ac:dyDescent="0.25">
      <c r="A3759" s="597">
        <v>43040</v>
      </c>
      <c r="B3759" s="222" t="s">
        <v>1400</v>
      </c>
      <c r="C3759" s="222" t="s">
        <v>794</v>
      </c>
      <c r="D3759" s="806" t="s">
        <v>2481</v>
      </c>
      <c r="E3759" s="224">
        <v>2910.2258064516127</v>
      </c>
      <c r="F3759" s="224"/>
      <c r="G3759" s="58">
        <f t="shared" si="62"/>
        <v>-2910.2258064516127</v>
      </c>
      <c r="H3759" s="219" t="s">
        <v>2842</v>
      </c>
    </row>
    <row r="3760" spans="1:8" ht="15.75" thickBot="1" x14ac:dyDescent="0.25">
      <c r="A3760" s="597">
        <v>43040</v>
      </c>
      <c r="B3760" s="222" t="s">
        <v>1400</v>
      </c>
      <c r="C3760" s="222" t="s">
        <v>794</v>
      </c>
      <c r="D3760" s="806" t="s">
        <v>2917</v>
      </c>
      <c r="E3760" s="224">
        <v>0</v>
      </c>
      <c r="F3760" s="224"/>
      <c r="G3760" s="58">
        <f t="shared" si="62"/>
        <v>0</v>
      </c>
      <c r="H3760" s="219" t="s">
        <v>2842</v>
      </c>
    </row>
    <row r="3761" spans="1:8" ht="15.75" thickBot="1" x14ac:dyDescent="0.25">
      <c r="A3761" s="597">
        <v>43040</v>
      </c>
      <c r="B3761" s="222" t="s">
        <v>1400</v>
      </c>
      <c r="C3761" s="222" t="s">
        <v>794</v>
      </c>
      <c r="D3761" s="806" t="s">
        <v>2918</v>
      </c>
      <c r="E3761" s="224">
        <v>0</v>
      </c>
      <c r="F3761" s="224"/>
      <c r="G3761" s="58">
        <f t="shared" si="62"/>
        <v>0</v>
      </c>
      <c r="H3761" s="219" t="s">
        <v>2842</v>
      </c>
    </row>
    <row r="3762" spans="1:8" ht="15.75" thickBot="1" x14ac:dyDescent="0.25">
      <c r="A3762" s="597">
        <v>43040</v>
      </c>
      <c r="B3762" s="222" t="s">
        <v>1400</v>
      </c>
      <c r="C3762" s="222" t="s">
        <v>794</v>
      </c>
      <c r="D3762" s="806" t="s">
        <v>1848</v>
      </c>
      <c r="E3762" s="224">
        <v>11049.637096774195</v>
      </c>
      <c r="F3762" s="224"/>
      <c r="G3762" s="58">
        <f t="shared" si="62"/>
        <v>-11049.637096774195</v>
      </c>
      <c r="H3762" s="219" t="s">
        <v>2842</v>
      </c>
    </row>
    <row r="3763" spans="1:8" ht="15.75" thickBot="1" x14ac:dyDescent="0.25">
      <c r="A3763" s="597">
        <v>43040</v>
      </c>
      <c r="B3763" s="222" t="s">
        <v>1400</v>
      </c>
      <c r="C3763" s="222" t="s">
        <v>794</v>
      </c>
      <c r="D3763" s="806" t="s">
        <v>1858</v>
      </c>
      <c r="E3763" s="224">
        <v>37750</v>
      </c>
      <c r="F3763" s="224"/>
      <c r="G3763" s="58">
        <f t="shared" si="62"/>
        <v>-37750</v>
      </c>
      <c r="H3763" s="219" t="s">
        <v>2842</v>
      </c>
    </row>
    <row r="3764" spans="1:8" ht="15.75" thickBot="1" x14ac:dyDescent="0.25">
      <c r="A3764" s="597">
        <v>43040</v>
      </c>
      <c r="B3764" s="222" t="s">
        <v>1400</v>
      </c>
      <c r="C3764" s="222" t="s">
        <v>794</v>
      </c>
      <c r="D3764" s="806" t="s">
        <v>1859</v>
      </c>
      <c r="E3764" s="224">
        <v>14645.322580645163</v>
      </c>
      <c r="F3764" s="224"/>
      <c r="G3764" s="58">
        <f t="shared" si="62"/>
        <v>-14645.322580645163</v>
      </c>
      <c r="H3764" s="219" t="s">
        <v>2842</v>
      </c>
    </row>
    <row r="3765" spans="1:8" ht="15.75" thickBot="1" x14ac:dyDescent="0.25">
      <c r="A3765" s="597">
        <v>43040</v>
      </c>
      <c r="B3765" s="222" t="s">
        <v>2548</v>
      </c>
      <c r="C3765" s="222" t="s">
        <v>794</v>
      </c>
      <c r="D3765" s="806" t="s">
        <v>1849</v>
      </c>
      <c r="E3765" s="224">
        <v>13910.282258064517</v>
      </c>
      <c r="F3765" s="224"/>
      <c r="G3765" s="58">
        <f t="shared" si="62"/>
        <v>-13910.282258064517</v>
      </c>
      <c r="H3765" s="219" t="s">
        <v>2842</v>
      </c>
    </row>
    <row r="3766" spans="1:8" ht="15.75" thickBot="1" x14ac:dyDescent="0.25">
      <c r="A3766" s="597">
        <v>43040</v>
      </c>
      <c r="B3766" s="222" t="s">
        <v>1400</v>
      </c>
      <c r="C3766" s="222" t="s">
        <v>794</v>
      </c>
      <c r="D3766" s="806" t="s">
        <v>1872</v>
      </c>
      <c r="E3766" s="224">
        <v>20809.677419354837</v>
      </c>
      <c r="F3766" s="224"/>
      <c r="G3766" s="58">
        <f t="shared" si="62"/>
        <v>-20809.677419354837</v>
      </c>
      <c r="H3766" s="219" t="s">
        <v>2842</v>
      </c>
    </row>
    <row r="3767" spans="1:8" ht="15.75" thickBot="1" x14ac:dyDescent="0.25">
      <c r="A3767" s="597">
        <v>43040</v>
      </c>
      <c r="B3767" s="222" t="s">
        <v>40</v>
      </c>
      <c r="C3767" s="222" t="s">
        <v>794</v>
      </c>
      <c r="D3767" s="806" t="s">
        <v>2284</v>
      </c>
      <c r="E3767" s="224">
        <v>30000</v>
      </c>
      <c r="F3767" s="224"/>
      <c r="G3767" s="58">
        <f t="shared" si="62"/>
        <v>-30000</v>
      </c>
      <c r="H3767" s="219" t="s">
        <v>2842</v>
      </c>
    </row>
    <row r="3768" spans="1:8" ht="15.75" thickBot="1" x14ac:dyDescent="0.25">
      <c r="A3768" s="597">
        <v>43040</v>
      </c>
      <c r="B3768" s="222" t="s">
        <v>40</v>
      </c>
      <c r="C3768" s="222" t="s">
        <v>794</v>
      </c>
      <c r="D3768" s="806" t="s">
        <v>1855</v>
      </c>
      <c r="E3768" s="224">
        <v>23599.899193548386</v>
      </c>
      <c r="F3768" s="224"/>
      <c r="G3768" s="58">
        <f t="shared" si="62"/>
        <v>-23599.899193548386</v>
      </c>
      <c r="H3768" s="219" t="s">
        <v>2842</v>
      </c>
    </row>
    <row r="3769" spans="1:8" ht="15.75" thickBot="1" x14ac:dyDescent="0.25">
      <c r="A3769" s="597">
        <v>43040</v>
      </c>
      <c r="B3769" s="222" t="s">
        <v>40</v>
      </c>
      <c r="C3769" s="222" t="s">
        <v>794</v>
      </c>
      <c r="D3769" s="806" t="s">
        <v>2483</v>
      </c>
      <c r="E3769" s="224">
        <v>16540.322580645163</v>
      </c>
      <c r="F3769" s="224"/>
      <c r="G3769" s="58">
        <f t="shared" si="62"/>
        <v>-16540.322580645163</v>
      </c>
      <c r="H3769" s="219" t="s">
        <v>2842</v>
      </c>
    </row>
    <row r="3770" spans="1:8" ht="15.75" thickBot="1" x14ac:dyDescent="0.25">
      <c r="A3770" s="597">
        <v>43040</v>
      </c>
      <c r="B3770" s="222" t="s">
        <v>40</v>
      </c>
      <c r="C3770" s="222" t="s">
        <v>794</v>
      </c>
      <c r="D3770" s="806" t="s">
        <v>1851</v>
      </c>
      <c r="E3770" s="224">
        <v>8599.677419354839</v>
      </c>
      <c r="F3770" s="224"/>
      <c r="G3770" s="58">
        <f t="shared" si="62"/>
        <v>-8599.677419354839</v>
      </c>
      <c r="H3770" s="219" t="s">
        <v>2842</v>
      </c>
    </row>
    <row r="3771" spans="1:8" ht="15.75" thickBot="1" x14ac:dyDescent="0.25">
      <c r="A3771" s="597">
        <v>43040</v>
      </c>
      <c r="B3771" s="222" t="s">
        <v>2548</v>
      </c>
      <c r="C3771" s="222" t="s">
        <v>794</v>
      </c>
      <c r="D3771" s="806" t="s">
        <v>1847</v>
      </c>
      <c r="E3771" s="224">
        <v>21709.677419354841</v>
      </c>
      <c r="F3771" s="224"/>
      <c r="G3771" s="58">
        <f t="shared" si="62"/>
        <v>-21709.677419354841</v>
      </c>
      <c r="H3771" s="219" t="s">
        <v>2842</v>
      </c>
    </row>
    <row r="3772" spans="1:8" ht="15.75" thickBot="1" x14ac:dyDescent="0.25">
      <c r="A3772" s="597">
        <v>43040</v>
      </c>
      <c r="B3772" s="222" t="s">
        <v>37</v>
      </c>
      <c r="C3772" s="222" t="s">
        <v>794</v>
      </c>
      <c r="D3772" s="806" t="s">
        <v>1866</v>
      </c>
      <c r="E3772" s="224">
        <v>19029.919354838708</v>
      </c>
      <c r="F3772" s="224"/>
      <c r="G3772" s="58">
        <f t="shared" si="62"/>
        <v>-19029.919354838708</v>
      </c>
      <c r="H3772" s="219" t="s">
        <v>2842</v>
      </c>
    </row>
    <row r="3773" spans="1:8" ht="15.75" thickBot="1" x14ac:dyDescent="0.25">
      <c r="A3773" s="597">
        <v>43040</v>
      </c>
      <c r="B3773" s="222" t="s">
        <v>37</v>
      </c>
      <c r="C3773" s="222" t="s">
        <v>794</v>
      </c>
      <c r="D3773" s="806" t="s">
        <v>1867</v>
      </c>
      <c r="E3773" s="224">
        <v>12500</v>
      </c>
      <c r="F3773" s="224"/>
      <c r="G3773" s="58">
        <f t="shared" si="62"/>
        <v>-12500</v>
      </c>
      <c r="H3773" s="219" t="s">
        <v>2842</v>
      </c>
    </row>
    <row r="3774" spans="1:8" ht="15.75" thickBot="1" x14ac:dyDescent="0.25">
      <c r="A3774" s="597">
        <v>43040</v>
      </c>
      <c r="B3774" s="222" t="s">
        <v>37</v>
      </c>
      <c r="C3774" s="222" t="s">
        <v>794</v>
      </c>
      <c r="D3774" s="806" t="s">
        <v>1868</v>
      </c>
      <c r="E3774" s="224">
        <v>12000</v>
      </c>
      <c r="F3774" s="224"/>
      <c r="G3774" s="58">
        <f t="shared" si="62"/>
        <v>-12000</v>
      </c>
      <c r="H3774" s="219" t="s">
        <v>2842</v>
      </c>
    </row>
    <row r="3775" spans="1:8" ht="15.75" thickBot="1" x14ac:dyDescent="0.25">
      <c r="A3775" s="597">
        <v>43040</v>
      </c>
      <c r="B3775" s="222" t="s">
        <v>37</v>
      </c>
      <c r="C3775" s="222" t="s">
        <v>794</v>
      </c>
      <c r="D3775" s="806" t="s">
        <v>2285</v>
      </c>
      <c r="E3775" s="224">
        <v>9879.8387096774186</v>
      </c>
      <c r="F3775" s="224"/>
      <c r="G3775" s="58">
        <f t="shared" si="62"/>
        <v>-9879.8387096774186</v>
      </c>
      <c r="H3775" s="219" t="s">
        <v>2842</v>
      </c>
    </row>
    <row r="3776" spans="1:8" ht="15.75" thickBot="1" x14ac:dyDescent="0.25">
      <c r="A3776" s="597">
        <v>43040</v>
      </c>
      <c r="B3776" s="222" t="s">
        <v>37</v>
      </c>
      <c r="C3776" s="222" t="s">
        <v>794</v>
      </c>
      <c r="D3776" s="806" t="s">
        <v>2919</v>
      </c>
      <c r="E3776" s="224">
        <v>10449.596774193549</v>
      </c>
      <c r="F3776" s="224"/>
      <c r="G3776" s="58">
        <f t="shared" si="62"/>
        <v>-10449.596774193549</v>
      </c>
      <c r="H3776" s="219" t="s">
        <v>2842</v>
      </c>
    </row>
    <row r="3777" spans="1:8" ht="15.75" thickBot="1" x14ac:dyDescent="0.25">
      <c r="A3777" s="597">
        <v>43040</v>
      </c>
      <c r="B3777" s="222" t="s">
        <v>37</v>
      </c>
      <c r="C3777" s="222" t="s">
        <v>794</v>
      </c>
      <c r="D3777" s="806" t="s">
        <v>2720</v>
      </c>
      <c r="E3777" s="224">
        <v>12000</v>
      </c>
      <c r="F3777" s="224"/>
      <c r="G3777" s="58">
        <f t="shared" si="62"/>
        <v>-12000</v>
      </c>
      <c r="H3777" s="219" t="s">
        <v>2842</v>
      </c>
    </row>
    <row r="3778" spans="1:8" ht="15.75" thickBot="1" x14ac:dyDescent="0.25">
      <c r="A3778" s="597">
        <v>43040</v>
      </c>
      <c r="B3778" s="222" t="s">
        <v>2787</v>
      </c>
      <c r="C3778" s="222" t="s">
        <v>794</v>
      </c>
      <c r="D3778" s="806" t="s">
        <v>1863</v>
      </c>
      <c r="E3778" s="224">
        <v>17250</v>
      </c>
      <c r="F3778" s="224"/>
      <c r="G3778" s="58">
        <f t="shared" si="62"/>
        <v>-17250</v>
      </c>
      <c r="H3778" s="219" t="s">
        <v>2842</v>
      </c>
    </row>
    <row r="3779" spans="1:8" ht="15.75" thickBot="1" x14ac:dyDescent="0.25">
      <c r="A3779" s="597">
        <v>43040</v>
      </c>
      <c r="B3779" s="222" t="s">
        <v>2787</v>
      </c>
      <c r="C3779" s="222" t="s">
        <v>794</v>
      </c>
      <c r="D3779" s="806" t="s">
        <v>1864</v>
      </c>
      <c r="E3779" s="224">
        <v>22850.403225806451</v>
      </c>
      <c r="F3779" s="224"/>
      <c r="G3779" s="58">
        <f t="shared" si="62"/>
        <v>-22850.403225806451</v>
      </c>
      <c r="H3779" s="219" t="s">
        <v>2842</v>
      </c>
    </row>
    <row r="3780" spans="1:8" ht="15.75" thickBot="1" x14ac:dyDescent="0.25">
      <c r="A3780" s="597">
        <v>43040</v>
      </c>
      <c r="B3780" s="222" t="s">
        <v>40</v>
      </c>
      <c r="C3780" s="222" t="s">
        <v>794</v>
      </c>
      <c r="D3780" s="806" t="s">
        <v>1852</v>
      </c>
      <c r="E3780" s="224">
        <v>26500</v>
      </c>
      <c r="F3780" s="224"/>
      <c r="G3780" s="58">
        <f t="shared" si="62"/>
        <v>-26500</v>
      </c>
      <c r="H3780" s="219" t="s">
        <v>2842</v>
      </c>
    </row>
    <row r="3781" spans="1:8" ht="15.75" thickBot="1" x14ac:dyDescent="0.25">
      <c r="A3781" s="597">
        <v>43040</v>
      </c>
      <c r="B3781" s="222" t="s">
        <v>40</v>
      </c>
      <c r="C3781" s="222" t="s">
        <v>794</v>
      </c>
      <c r="D3781" s="806" t="s">
        <v>2181</v>
      </c>
      <c r="E3781" s="224">
        <v>12759.556451612902</v>
      </c>
      <c r="F3781" s="224"/>
      <c r="G3781" s="58">
        <f t="shared" si="62"/>
        <v>-12759.556451612902</v>
      </c>
      <c r="H3781" s="219" t="s">
        <v>2842</v>
      </c>
    </row>
    <row r="3782" spans="1:8" ht="15.75" thickBot="1" x14ac:dyDescent="0.25">
      <c r="A3782" s="597">
        <v>43040</v>
      </c>
      <c r="B3782" s="222" t="s">
        <v>2787</v>
      </c>
      <c r="C3782" s="222" t="s">
        <v>794</v>
      </c>
      <c r="D3782" s="806" t="s">
        <v>2921</v>
      </c>
      <c r="E3782" s="224">
        <v>1000.4032258064516</v>
      </c>
      <c r="F3782" s="224"/>
      <c r="G3782" s="58">
        <f t="shared" si="62"/>
        <v>-1000.4032258064516</v>
      </c>
      <c r="H3782" s="219" t="s">
        <v>2842</v>
      </c>
    </row>
    <row r="3783" spans="1:8" ht="15.75" thickBot="1" x14ac:dyDescent="0.25">
      <c r="A3783" s="597">
        <v>43040</v>
      </c>
      <c r="B3783" s="222" t="s">
        <v>2787</v>
      </c>
      <c r="C3783" s="222" t="s">
        <v>794</v>
      </c>
      <c r="D3783" s="806" t="s">
        <v>2922</v>
      </c>
      <c r="E3783" s="224">
        <v>0</v>
      </c>
      <c r="F3783" s="224"/>
      <c r="G3783" s="58">
        <f t="shared" si="62"/>
        <v>0</v>
      </c>
      <c r="H3783" s="219" t="s">
        <v>2842</v>
      </c>
    </row>
    <row r="3784" spans="1:8" ht="15.75" thickBot="1" x14ac:dyDescent="0.25">
      <c r="A3784" s="597">
        <v>43040</v>
      </c>
      <c r="B3784" s="222" t="s">
        <v>2787</v>
      </c>
      <c r="C3784" s="222" t="s">
        <v>794</v>
      </c>
      <c r="D3784" s="806" t="s">
        <v>1540</v>
      </c>
      <c r="E3784" s="224">
        <v>1500</v>
      </c>
      <c r="F3784" s="224"/>
      <c r="G3784" s="58">
        <f t="shared" si="62"/>
        <v>-1500</v>
      </c>
      <c r="H3784" s="219" t="s">
        <v>2842</v>
      </c>
    </row>
    <row r="3785" spans="1:8" ht="15.75" thickBot="1" x14ac:dyDescent="0.25">
      <c r="A3785" s="597">
        <v>43040</v>
      </c>
      <c r="B3785" s="222" t="s">
        <v>2787</v>
      </c>
      <c r="C3785" s="222" t="s">
        <v>794</v>
      </c>
      <c r="D3785" s="806" t="s">
        <v>2923</v>
      </c>
      <c r="E3785" s="224">
        <v>1550.3870967741937</v>
      </c>
      <c r="F3785" s="224"/>
      <c r="G3785" s="58">
        <f t="shared" ref="G3785:G3848" si="63">F3785-E3785</f>
        <v>-1550.3870967741937</v>
      </c>
      <c r="H3785" s="219" t="s">
        <v>2842</v>
      </c>
    </row>
    <row r="3786" spans="1:8" ht="15.75" thickBot="1" x14ac:dyDescent="0.25">
      <c r="A3786" s="597">
        <v>43040</v>
      </c>
      <c r="B3786" s="222" t="s">
        <v>2787</v>
      </c>
      <c r="C3786" s="222" t="s">
        <v>794</v>
      </c>
      <c r="D3786" s="806" t="s">
        <v>2924</v>
      </c>
      <c r="E3786" s="224">
        <v>810.45161290322585</v>
      </c>
      <c r="F3786" s="224"/>
      <c r="G3786" s="58">
        <f t="shared" si="63"/>
        <v>-810.45161290322585</v>
      </c>
      <c r="H3786" s="219" t="s">
        <v>2842</v>
      </c>
    </row>
    <row r="3787" spans="1:8" ht="15.75" thickBot="1" x14ac:dyDescent="0.25">
      <c r="A3787" s="597">
        <v>43040</v>
      </c>
      <c r="B3787" s="222" t="s">
        <v>11</v>
      </c>
      <c r="C3787" s="222" t="s">
        <v>794</v>
      </c>
      <c r="D3787" s="806" t="s">
        <v>1870</v>
      </c>
      <c r="E3787" s="224">
        <v>0</v>
      </c>
      <c r="F3787" s="224"/>
      <c r="G3787" s="58">
        <f t="shared" si="63"/>
        <v>0</v>
      </c>
      <c r="H3787" s="219" t="s">
        <v>2842</v>
      </c>
    </row>
    <row r="3788" spans="1:8" ht="15.75" thickBot="1" x14ac:dyDescent="0.25">
      <c r="A3788" s="597">
        <v>43040</v>
      </c>
      <c r="B3788" s="222" t="s">
        <v>2787</v>
      </c>
      <c r="C3788" s="222" t="s">
        <v>794</v>
      </c>
      <c r="D3788" s="806" t="s">
        <v>2760</v>
      </c>
      <c r="E3788" s="224">
        <v>11630.161290322581</v>
      </c>
      <c r="F3788" s="224"/>
      <c r="G3788" s="58">
        <f t="shared" si="63"/>
        <v>-11630.161290322581</v>
      </c>
      <c r="H3788" s="219" t="s">
        <v>2842</v>
      </c>
    </row>
    <row r="3789" spans="1:8" ht="15.75" thickBot="1" x14ac:dyDescent="0.25">
      <c r="A3789" s="597">
        <v>43040</v>
      </c>
      <c r="B3789" s="222" t="s">
        <v>2787</v>
      </c>
      <c r="C3789" s="222" t="s">
        <v>794</v>
      </c>
      <c r="D3789" s="806" t="s">
        <v>668</v>
      </c>
      <c r="E3789" s="224">
        <v>14100</v>
      </c>
      <c r="F3789" s="224"/>
      <c r="G3789" s="58">
        <f t="shared" si="63"/>
        <v>-14100</v>
      </c>
      <c r="H3789" s="219" t="s">
        <v>2842</v>
      </c>
    </row>
    <row r="3790" spans="1:8" ht="15.75" thickBot="1" x14ac:dyDescent="0.25">
      <c r="A3790" s="597">
        <v>43040</v>
      </c>
      <c r="B3790" s="222" t="s">
        <v>2652</v>
      </c>
      <c r="C3790" s="222" t="s">
        <v>794</v>
      </c>
      <c r="D3790" s="806" t="s">
        <v>2925</v>
      </c>
      <c r="E3790" s="224">
        <v>33390.096774193546</v>
      </c>
      <c r="F3790" s="224"/>
      <c r="G3790" s="58">
        <f t="shared" si="63"/>
        <v>-33390.096774193546</v>
      </c>
      <c r="H3790" s="219" t="s">
        <v>2842</v>
      </c>
    </row>
    <row r="3791" spans="1:8" ht="15.75" thickBot="1" x14ac:dyDescent="0.25">
      <c r="A3791" s="597">
        <v>43040</v>
      </c>
      <c r="B3791" s="222" t="s">
        <v>40</v>
      </c>
      <c r="C3791" s="222" t="s">
        <v>794</v>
      </c>
      <c r="D3791" s="806" t="s">
        <v>2926</v>
      </c>
      <c r="E3791" s="224">
        <v>6849.5967741935474</v>
      </c>
      <c r="F3791" s="224"/>
      <c r="G3791" s="58">
        <f t="shared" si="63"/>
        <v>-6849.5967741935474</v>
      </c>
      <c r="H3791" s="219" t="s">
        <v>2842</v>
      </c>
    </row>
    <row r="3792" spans="1:8" ht="15.75" thickBot="1" x14ac:dyDescent="0.25">
      <c r="A3792" s="597">
        <v>43040</v>
      </c>
      <c r="B3792" s="222" t="s">
        <v>25</v>
      </c>
      <c r="C3792" s="222" t="s">
        <v>794</v>
      </c>
      <c r="D3792" s="806" t="s">
        <v>2183</v>
      </c>
      <c r="E3792" s="224">
        <v>13000</v>
      </c>
      <c r="F3792" s="224"/>
      <c r="G3792" s="58">
        <f t="shared" si="63"/>
        <v>-13000</v>
      </c>
      <c r="H3792" s="219" t="s">
        <v>2842</v>
      </c>
    </row>
    <row r="3793" spans="1:8" ht="15.75" thickBot="1" x14ac:dyDescent="0.25">
      <c r="A3793" s="597">
        <v>43040</v>
      </c>
      <c r="B3793" s="222" t="s">
        <v>1400</v>
      </c>
      <c r="C3793" s="222" t="s">
        <v>794</v>
      </c>
      <c r="D3793" s="806" t="s">
        <v>2927</v>
      </c>
      <c r="E3793" s="224">
        <v>5420.354838709678</v>
      </c>
      <c r="F3793" s="224"/>
      <c r="G3793" s="58">
        <f t="shared" si="63"/>
        <v>-5420.354838709678</v>
      </c>
      <c r="H3793" s="219" t="s">
        <v>2842</v>
      </c>
    </row>
    <row r="3794" spans="1:8" ht="15.75" customHeight="1" thickBot="1" x14ac:dyDescent="0.3">
      <c r="A3794" s="597">
        <v>43040</v>
      </c>
      <c r="B3794" s="222" t="s">
        <v>1400</v>
      </c>
      <c r="C3794" s="223" t="s">
        <v>773</v>
      </c>
      <c r="D3794" s="805" t="s">
        <v>2871</v>
      </c>
      <c r="E3794" s="224">
        <v>23470</v>
      </c>
      <c r="F3794" s="224"/>
      <c r="G3794" s="224">
        <f t="shared" si="63"/>
        <v>-23470</v>
      </c>
      <c r="H3794" s="246" t="s">
        <v>2842</v>
      </c>
    </row>
    <row r="3795" spans="1:8" ht="15.75" customHeight="1" thickBot="1" x14ac:dyDescent="0.3">
      <c r="A3795" s="597">
        <v>43040</v>
      </c>
      <c r="B3795" s="222" t="s">
        <v>2787</v>
      </c>
      <c r="C3795" s="223" t="s">
        <v>3156</v>
      </c>
      <c r="D3795" s="805" t="s">
        <v>2872</v>
      </c>
      <c r="E3795" s="224">
        <v>13000</v>
      </c>
      <c r="F3795" s="224"/>
      <c r="G3795" s="224">
        <f t="shared" si="63"/>
        <v>-13000</v>
      </c>
      <c r="H3795" s="246" t="s">
        <v>2842</v>
      </c>
    </row>
    <row r="3796" spans="1:8" ht="15.75" customHeight="1" thickBot="1" x14ac:dyDescent="0.3">
      <c r="A3796" s="597">
        <v>43040</v>
      </c>
      <c r="B3796" s="222" t="s">
        <v>1400</v>
      </c>
      <c r="C3796" s="223" t="s">
        <v>780</v>
      </c>
      <c r="D3796" s="805" t="s">
        <v>72</v>
      </c>
      <c r="E3796" s="224">
        <v>35366</v>
      </c>
      <c r="F3796" s="224"/>
      <c r="G3796" s="224">
        <f t="shared" si="63"/>
        <v>-35366</v>
      </c>
      <c r="H3796" s="246" t="s">
        <v>2842</v>
      </c>
    </row>
    <row r="3797" spans="1:8" ht="15.75" customHeight="1" thickBot="1" x14ac:dyDescent="0.3">
      <c r="A3797" s="597">
        <v>43040</v>
      </c>
      <c r="B3797" s="222" t="s">
        <v>2787</v>
      </c>
      <c r="C3797" s="223" t="s">
        <v>2797</v>
      </c>
      <c r="D3797" s="805" t="s">
        <v>370</v>
      </c>
      <c r="E3797" s="224">
        <v>1000</v>
      </c>
      <c r="F3797" s="224"/>
      <c r="G3797" s="224">
        <f t="shared" si="63"/>
        <v>-1000</v>
      </c>
      <c r="H3797" s="246" t="s">
        <v>2842</v>
      </c>
    </row>
    <row r="3798" spans="1:8" ht="15.75" customHeight="1" thickBot="1" x14ac:dyDescent="0.3">
      <c r="A3798" s="597">
        <v>43041</v>
      </c>
      <c r="B3798" s="222" t="s">
        <v>2787</v>
      </c>
      <c r="C3798" s="223" t="s">
        <v>286</v>
      </c>
      <c r="D3798" s="805" t="s">
        <v>3148</v>
      </c>
      <c r="E3798" s="224">
        <v>12000</v>
      </c>
      <c r="F3798" s="224"/>
      <c r="G3798" s="224">
        <f t="shared" si="63"/>
        <v>-12000</v>
      </c>
      <c r="H3798" s="246" t="s">
        <v>2842</v>
      </c>
    </row>
    <row r="3799" spans="1:8" ht="15.75" customHeight="1" thickBot="1" x14ac:dyDescent="0.3">
      <c r="A3799" s="597">
        <v>43041</v>
      </c>
      <c r="B3799" s="222" t="s">
        <v>18</v>
      </c>
      <c r="C3799" s="223" t="s">
        <v>2473</v>
      </c>
      <c r="D3799" s="805" t="s">
        <v>2873</v>
      </c>
      <c r="E3799" s="224">
        <v>3000</v>
      </c>
      <c r="F3799" s="224"/>
      <c r="G3799" s="224">
        <f t="shared" si="63"/>
        <v>-3000</v>
      </c>
      <c r="H3799" s="246" t="s">
        <v>2842</v>
      </c>
    </row>
    <row r="3800" spans="1:8" ht="15.75" customHeight="1" thickBot="1" x14ac:dyDescent="0.3">
      <c r="A3800" s="597">
        <v>43041</v>
      </c>
      <c r="B3800" s="222" t="s">
        <v>2657</v>
      </c>
      <c r="C3800" s="223" t="s">
        <v>2473</v>
      </c>
      <c r="D3800" s="805" t="s">
        <v>2873</v>
      </c>
      <c r="E3800" s="224">
        <v>4174</v>
      </c>
      <c r="F3800" s="224"/>
      <c r="G3800" s="224">
        <f t="shared" si="63"/>
        <v>-4174</v>
      </c>
      <c r="H3800" s="246" t="s">
        <v>2842</v>
      </c>
    </row>
    <row r="3801" spans="1:8" ht="15.75" customHeight="1" thickBot="1" x14ac:dyDescent="0.3">
      <c r="A3801" s="597">
        <v>43041</v>
      </c>
      <c r="B3801" s="222" t="s">
        <v>2787</v>
      </c>
      <c r="C3801" s="223" t="s">
        <v>3145</v>
      </c>
      <c r="D3801" s="805" t="s">
        <v>3157</v>
      </c>
      <c r="E3801" s="224">
        <v>1650</v>
      </c>
      <c r="F3801" s="224"/>
      <c r="G3801" s="224">
        <f t="shared" si="63"/>
        <v>-1650</v>
      </c>
      <c r="H3801" s="246" t="s">
        <v>2842</v>
      </c>
    </row>
    <row r="3802" spans="1:8" ht="15.75" customHeight="1" thickBot="1" x14ac:dyDescent="0.3">
      <c r="A3802" s="597">
        <v>43041</v>
      </c>
      <c r="B3802" s="222" t="s">
        <v>2787</v>
      </c>
      <c r="C3802" s="223" t="s">
        <v>3149</v>
      </c>
      <c r="D3802" s="805" t="s">
        <v>1410</v>
      </c>
      <c r="E3802" s="224">
        <v>1260</v>
      </c>
      <c r="F3802" s="224"/>
      <c r="G3802" s="224">
        <f t="shared" si="63"/>
        <v>-1260</v>
      </c>
      <c r="H3802" s="246" t="s">
        <v>2842</v>
      </c>
    </row>
    <row r="3803" spans="1:8" ht="15.75" customHeight="1" thickBot="1" x14ac:dyDescent="0.3">
      <c r="A3803" s="597">
        <v>43041</v>
      </c>
      <c r="B3803" s="222" t="s">
        <v>2787</v>
      </c>
      <c r="C3803" s="223" t="s">
        <v>3149</v>
      </c>
      <c r="D3803" s="805" t="s">
        <v>1410</v>
      </c>
      <c r="E3803" s="224">
        <v>3800</v>
      </c>
      <c r="F3803" s="224"/>
      <c r="G3803" s="224">
        <f t="shared" si="63"/>
        <v>-3800</v>
      </c>
      <c r="H3803" s="246" t="s">
        <v>2842</v>
      </c>
    </row>
    <row r="3804" spans="1:8" ht="15.75" customHeight="1" thickBot="1" x14ac:dyDescent="0.3">
      <c r="A3804" s="597">
        <v>43041</v>
      </c>
      <c r="B3804" s="222" t="s">
        <v>2787</v>
      </c>
      <c r="C3804" s="223" t="s">
        <v>3145</v>
      </c>
      <c r="D3804" s="805" t="s">
        <v>3158</v>
      </c>
      <c r="E3804" s="224">
        <v>10320</v>
      </c>
      <c r="F3804" s="224"/>
      <c r="G3804" s="224">
        <f t="shared" si="63"/>
        <v>-10320</v>
      </c>
      <c r="H3804" s="246" t="s">
        <v>2842</v>
      </c>
    </row>
    <row r="3805" spans="1:8" ht="15.75" customHeight="1" thickBot="1" x14ac:dyDescent="0.3">
      <c r="A3805" s="597">
        <v>43042</v>
      </c>
      <c r="B3805" s="222" t="s">
        <v>2657</v>
      </c>
      <c r="C3805" s="223" t="s">
        <v>2473</v>
      </c>
      <c r="D3805" s="805" t="s">
        <v>2875</v>
      </c>
      <c r="E3805" s="224">
        <v>4030</v>
      </c>
      <c r="F3805" s="224"/>
      <c r="G3805" s="224">
        <f t="shared" si="63"/>
        <v>-4030</v>
      </c>
      <c r="H3805" s="246" t="s">
        <v>2842</v>
      </c>
    </row>
    <row r="3806" spans="1:8" ht="15.75" customHeight="1" thickBot="1" x14ac:dyDescent="0.3">
      <c r="A3806" s="597">
        <v>43042</v>
      </c>
      <c r="B3806" s="222" t="s">
        <v>1400</v>
      </c>
      <c r="C3806" s="223" t="s">
        <v>780</v>
      </c>
      <c r="D3806" s="805" t="s">
        <v>2876</v>
      </c>
      <c r="E3806" s="224">
        <v>42000</v>
      </c>
      <c r="F3806" s="224"/>
      <c r="G3806" s="224">
        <f t="shared" si="63"/>
        <v>-42000</v>
      </c>
      <c r="H3806" s="246" t="s">
        <v>2842</v>
      </c>
    </row>
    <row r="3807" spans="1:8" ht="15.75" customHeight="1" thickBot="1" x14ac:dyDescent="0.3">
      <c r="A3807" s="597">
        <v>43042</v>
      </c>
      <c r="B3807" s="222" t="s">
        <v>1691</v>
      </c>
      <c r="C3807" s="223" t="s">
        <v>2594</v>
      </c>
      <c r="D3807" s="805" t="s">
        <v>72</v>
      </c>
      <c r="E3807" s="224">
        <v>58200</v>
      </c>
      <c r="F3807" s="224"/>
      <c r="G3807" s="224">
        <f t="shared" si="63"/>
        <v>-58200</v>
      </c>
      <c r="H3807" s="246" t="s">
        <v>2842</v>
      </c>
    </row>
    <row r="3808" spans="1:8" ht="15.75" customHeight="1" thickBot="1" x14ac:dyDescent="0.3">
      <c r="A3808" s="597">
        <v>43042</v>
      </c>
      <c r="B3808" s="222" t="s">
        <v>2787</v>
      </c>
      <c r="C3808" s="223" t="s">
        <v>3145</v>
      </c>
      <c r="D3808" s="805" t="s">
        <v>2877</v>
      </c>
      <c r="E3808" s="224">
        <v>5500</v>
      </c>
      <c r="F3808" s="224"/>
      <c r="G3808" s="224">
        <f t="shared" si="63"/>
        <v>-5500</v>
      </c>
      <c r="H3808" s="246" t="s">
        <v>2842</v>
      </c>
    </row>
    <row r="3809" spans="1:8" ht="15.75" customHeight="1" thickBot="1" x14ac:dyDescent="0.3">
      <c r="A3809" s="597">
        <v>43043</v>
      </c>
      <c r="B3809" s="222" t="s">
        <v>2657</v>
      </c>
      <c r="C3809" s="223" t="s">
        <v>309</v>
      </c>
      <c r="D3809" s="805" t="s">
        <v>2878</v>
      </c>
      <c r="E3809" s="224">
        <v>1860</v>
      </c>
      <c r="F3809" s="224"/>
      <c r="G3809" s="224">
        <f t="shared" si="63"/>
        <v>-1860</v>
      </c>
      <c r="H3809" s="246" t="s">
        <v>2842</v>
      </c>
    </row>
    <row r="3810" spans="1:8" ht="15.75" customHeight="1" thickBot="1" x14ac:dyDescent="0.3">
      <c r="A3810" s="597">
        <v>43043</v>
      </c>
      <c r="B3810" s="222" t="s">
        <v>2787</v>
      </c>
      <c r="C3810" s="223" t="s">
        <v>2002</v>
      </c>
      <c r="D3810" s="805" t="s">
        <v>370</v>
      </c>
      <c r="E3810" s="224">
        <v>1300</v>
      </c>
      <c r="F3810" s="224"/>
      <c r="G3810" s="224">
        <f t="shared" si="63"/>
        <v>-1300</v>
      </c>
      <c r="H3810" s="246" t="s">
        <v>2842</v>
      </c>
    </row>
    <row r="3811" spans="1:8" ht="15.75" customHeight="1" thickBot="1" x14ac:dyDescent="0.3">
      <c r="A3811" s="597">
        <v>43043</v>
      </c>
      <c r="B3811" s="222" t="s">
        <v>11</v>
      </c>
      <c r="C3811" s="223" t="s">
        <v>2473</v>
      </c>
      <c r="D3811" s="805" t="s">
        <v>72</v>
      </c>
      <c r="E3811" s="224">
        <v>135</v>
      </c>
      <c r="F3811" s="224"/>
      <c r="G3811" s="224">
        <f t="shared" si="63"/>
        <v>-135</v>
      </c>
      <c r="H3811" s="246" t="s">
        <v>2842</v>
      </c>
    </row>
    <row r="3812" spans="1:8" ht="15.75" customHeight="1" thickBot="1" x14ac:dyDescent="0.3">
      <c r="A3812" s="597">
        <v>43045</v>
      </c>
      <c r="B3812" s="222" t="s">
        <v>1400</v>
      </c>
      <c r="C3812" s="223" t="s">
        <v>64</v>
      </c>
      <c r="D3812" s="805" t="s">
        <v>1917</v>
      </c>
      <c r="E3812" s="224">
        <v>600</v>
      </c>
      <c r="F3812" s="224"/>
      <c r="G3812" s="224">
        <f t="shared" si="63"/>
        <v>-600</v>
      </c>
      <c r="H3812" s="246" t="s">
        <v>2842</v>
      </c>
    </row>
    <row r="3813" spans="1:8" ht="15.75" customHeight="1" thickBot="1" x14ac:dyDescent="0.3">
      <c r="A3813" s="597">
        <v>43045</v>
      </c>
      <c r="B3813" s="222" t="s">
        <v>2548</v>
      </c>
      <c r="C3813" s="223" t="s">
        <v>290</v>
      </c>
      <c r="D3813" s="805" t="s">
        <v>2879</v>
      </c>
      <c r="E3813" s="224">
        <v>2619</v>
      </c>
      <c r="F3813" s="224"/>
      <c r="G3813" s="224">
        <f t="shared" si="63"/>
        <v>-2619</v>
      </c>
      <c r="H3813" s="246" t="s">
        <v>2842</v>
      </c>
    </row>
    <row r="3814" spans="1:8" ht="15.75" customHeight="1" thickBot="1" x14ac:dyDescent="0.3">
      <c r="A3814" s="597">
        <v>43045</v>
      </c>
      <c r="B3814" s="222" t="s">
        <v>11</v>
      </c>
      <c r="C3814" s="223" t="s">
        <v>290</v>
      </c>
      <c r="D3814" s="805" t="s">
        <v>2880</v>
      </c>
      <c r="E3814" s="224">
        <v>5000</v>
      </c>
      <c r="F3814" s="224"/>
      <c r="G3814" s="224">
        <f t="shared" si="63"/>
        <v>-5000</v>
      </c>
      <c r="H3814" s="246" t="s">
        <v>2842</v>
      </c>
    </row>
    <row r="3815" spans="1:8" ht="15.75" customHeight="1" thickBot="1" x14ac:dyDescent="0.3">
      <c r="A3815" s="597">
        <v>43045</v>
      </c>
      <c r="B3815" s="222" t="s">
        <v>2787</v>
      </c>
      <c r="C3815" s="223" t="s">
        <v>3145</v>
      </c>
      <c r="D3815" s="805" t="s">
        <v>3159</v>
      </c>
      <c r="E3815" s="224">
        <v>1000</v>
      </c>
      <c r="F3815" s="224"/>
      <c r="G3815" s="224">
        <f t="shared" si="63"/>
        <v>-1000</v>
      </c>
      <c r="H3815" s="246" t="s">
        <v>2842</v>
      </c>
    </row>
    <row r="3816" spans="1:8" ht="15.75" customHeight="1" thickBot="1" x14ac:dyDescent="0.3">
      <c r="A3816" s="597">
        <v>43047</v>
      </c>
      <c r="B3816" s="222" t="s">
        <v>11</v>
      </c>
      <c r="C3816" s="223" t="s">
        <v>794</v>
      </c>
      <c r="D3816" s="805" t="s">
        <v>267</v>
      </c>
      <c r="E3816" s="224">
        <v>5000</v>
      </c>
      <c r="F3816" s="224"/>
      <c r="G3816" s="224">
        <f t="shared" si="63"/>
        <v>-5000</v>
      </c>
      <c r="H3816" s="246" t="s">
        <v>2842</v>
      </c>
    </row>
    <row r="3817" spans="1:8" ht="15.75" customHeight="1" thickBot="1" x14ac:dyDescent="0.3">
      <c r="A3817" s="597">
        <v>43047</v>
      </c>
      <c r="B3817" s="222" t="s">
        <v>2657</v>
      </c>
      <c r="C3817" s="223" t="s">
        <v>794</v>
      </c>
      <c r="D3817" s="805" t="s">
        <v>267</v>
      </c>
      <c r="E3817" s="224">
        <v>7000</v>
      </c>
      <c r="F3817" s="224"/>
      <c r="G3817" s="224">
        <f t="shared" si="63"/>
        <v>-7000</v>
      </c>
      <c r="H3817" s="246" t="s">
        <v>2842</v>
      </c>
    </row>
    <row r="3818" spans="1:8" ht="15.75" customHeight="1" thickBot="1" x14ac:dyDescent="0.3">
      <c r="A3818" s="597">
        <v>43047</v>
      </c>
      <c r="B3818" s="222" t="s">
        <v>1400</v>
      </c>
      <c r="C3818" s="223" t="s">
        <v>794</v>
      </c>
      <c r="D3818" s="805" t="s">
        <v>2881</v>
      </c>
      <c r="E3818" s="224">
        <v>9032</v>
      </c>
      <c r="F3818" s="224"/>
      <c r="G3818" s="224">
        <f t="shared" si="63"/>
        <v>-9032</v>
      </c>
      <c r="H3818" s="246" t="s">
        <v>2842</v>
      </c>
    </row>
    <row r="3819" spans="1:8" ht="15.75" customHeight="1" thickBot="1" x14ac:dyDescent="0.3">
      <c r="A3819" s="597">
        <v>43048</v>
      </c>
      <c r="B3819" s="222" t="s">
        <v>2787</v>
      </c>
      <c r="C3819" s="223" t="s">
        <v>3145</v>
      </c>
      <c r="D3819" s="805" t="s">
        <v>2882</v>
      </c>
      <c r="E3819" s="224">
        <v>23300</v>
      </c>
      <c r="F3819" s="224"/>
      <c r="G3819" s="224">
        <f t="shared" si="63"/>
        <v>-23300</v>
      </c>
      <c r="H3819" s="246" t="s">
        <v>2842</v>
      </c>
    </row>
    <row r="3820" spans="1:8" ht="15.75" customHeight="1" thickBot="1" x14ac:dyDescent="0.3">
      <c r="A3820" s="597">
        <v>43048</v>
      </c>
      <c r="B3820" s="222" t="s">
        <v>2787</v>
      </c>
      <c r="C3820" s="223" t="s">
        <v>3145</v>
      </c>
      <c r="D3820" s="805" t="s">
        <v>3160</v>
      </c>
      <c r="E3820" s="224">
        <v>28100</v>
      </c>
      <c r="F3820" s="224"/>
      <c r="G3820" s="224">
        <f t="shared" si="63"/>
        <v>-28100</v>
      </c>
      <c r="H3820" s="246" t="s">
        <v>2842</v>
      </c>
    </row>
    <row r="3821" spans="1:8" ht="15.75" customHeight="1" thickBot="1" x14ac:dyDescent="0.3">
      <c r="A3821" s="597">
        <v>43049</v>
      </c>
      <c r="B3821" s="222" t="s">
        <v>2787</v>
      </c>
      <c r="C3821" s="223" t="s">
        <v>3145</v>
      </c>
      <c r="D3821" s="805" t="s">
        <v>3161</v>
      </c>
      <c r="E3821" s="224">
        <v>25800</v>
      </c>
      <c r="F3821" s="224"/>
      <c r="G3821" s="224">
        <f t="shared" si="63"/>
        <v>-25800</v>
      </c>
      <c r="H3821" s="246" t="s">
        <v>2842</v>
      </c>
    </row>
    <row r="3822" spans="1:8" ht="15.75" customHeight="1" thickBot="1" x14ac:dyDescent="0.3">
      <c r="A3822" s="597">
        <v>43049</v>
      </c>
      <c r="B3822" s="222" t="s">
        <v>2787</v>
      </c>
      <c r="C3822" s="223" t="s">
        <v>3149</v>
      </c>
      <c r="D3822" s="805" t="s">
        <v>1410</v>
      </c>
      <c r="E3822" s="224">
        <v>1400</v>
      </c>
      <c r="F3822" s="224"/>
      <c r="G3822" s="224">
        <f t="shared" si="63"/>
        <v>-1400</v>
      </c>
      <c r="H3822" s="246" t="s">
        <v>2842</v>
      </c>
    </row>
    <row r="3823" spans="1:8" ht="15.75" customHeight="1" thickBot="1" x14ac:dyDescent="0.3">
      <c r="A3823" s="597">
        <v>43049</v>
      </c>
      <c r="B3823" s="222" t="s">
        <v>2787</v>
      </c>
      <c r="C3823" s="223" t="s">
        <v>3149</v>
      </c>
      <c r="D3823" s="805" t="s">
        <v>1410</v>
      </c>
      <c r="E3823" s="224">
        <v>560</v>
      </c>
      <c r="F3823" s="224"/>
      <c r="G3823" s="224">
        <f t="shared" si="63"/>
        <v>-560</v>
      </c>
      <c r="H3823" s="246" t="s">
        <v>2842</v>
      </c>
    </row>
    <row r="3824" spans="1:8" ht="15.75" customHeight="1" thickBot="1" x14ac:dyDescent="0.3">
      <c r="A3824" s="597">
        <v>43049</v>
      </c>
      <c r="B3824" s="222" t="s">
        <v>1400</v>
      </c>
      <c r="C3824" s="223" t="s">
        <v>1704</v>
      </c>
      <c r="D3824" s="805" t="s">
        <v>1410</v>
      </c>
      <c r="E3824" s="224">
        <v>440</v>
      </c>
      <c r="F3824" s="224"/>
      <c r="G3824" s="224">
        <f t="shared" si="63"/>
        <v>-440</v>
      </c>
      <c r="H3824" s="246" t="s">
        <v>2842</v>
      </c>
    </row>
    <row r="3825" spans="1:8" ht="15.75" customHeight="1" thickBot="1" x14ac:dyDescent="0.3">
      <c r="A3825" s="597">
        <v>43049</v>
      </c>
      <c r="B3825" s="222" t="s">
        <v>2652</v>
      </c>
      <c r="C3825" s="223" t="s">
        <v>3149</v>
      </c>
      <c r="D3825" s="805" t="s">
        <v>1410</v>
      </c>
      <c r="E3825" s="224">
        <v>260</v>
      </c>
      <c r="F3825" s="224"/>
      <c r="G3825" s="224">
        <f t="shared" si="63"/>
        <v>-260</v>
      </c>
      <c r="H3825" s="246" t="s">
        <v>2842</v>
      </c>
    </row>
    <row r="3826" spans="1:8" ht="15.75" customHeight="1" thickBot="1" x14ac:dyDescent="0.3">
      <c r="A3826" s="597">
        <v>43049</v>
      </c>
      <c r="B3826" s="222" t="s">
        <v>11</v>
      </c>
      <c r="C3826" s="223" t="s">
        <v>438</v>
      </c>
      <c r="D3826" s="805" t="s">
        <v>2883</v>
      </c>
      <c r="E3826" s="224">
        <v>7600</v>
      </c>
      <c r="F3826" s="224"/>
      <c r="G3826" s="224">
        <f t="shared" si="63"/>
        <v>-7600</v>
      </c>
      <c r="H3826" s="246" t="s">
        <v>2842</v>
      </c>
    </row>
    <row r="3827" spans="1:8" ht="15.75" customHeight="1" thickBot="1" x14ac:dyDescent="0.3">
      <c r="A3827" s="597">
        <v>43052</v>
      </c>
      <c r="B3827" s="222" t="s">
        <v>1400</v>
      </c>
      <c r="C3827" s="223" t="s">
        <v>2959</v>
      </c>
      <c r="D3827" s="805" t="s">
        <v>2960</v>
      </c>
      <c r="E3827" s="224">
        <v>9000</v>
      </c>
      <c r="F3827" s="224"/>
      <c r="G3827" s="224">
        <f t="shared" si="63"/>
        <v>-9000</v>
      </c>
      <c r="H3827" s="246" t="s">
        <v>2842</v>
      </c>
    </row>
    <row r="3828" spans="1:8" ht="15.75" customHeight="1" thickBot="1" x14ac:dyDescent="0.3">
      <c r="A3828" s="597">
        <v>43052</v>
      </c>
      <c r="B3828" s="222" t="s">
        <v>2548</v>
      </c>
      <c r="C3828" s="223" t="s">
        <v>2594</v>
      </c>
      <c r="D3828" s="805" t="s">
        <v>2796</v>
      </c>
      <c r="E3828" s="224">
        <v>1000</v>
      </c>
      <c r="F3828" s="224"/>
      <c r="G3828" s="224">
        <f t="shared" si="63"/>
        <v>-1000</v>
      </c>
      <c r="H3828" s="246" t="s">
        <v>2842</v>
      </c>
    </row>
    <row r="3829" spans="1:8" ht="15.75" customHeight="1" thickBot="1" x14ac:dyDescent="0.3">
      <c r="A3829" s="597">
        <v>43052</v>
      </c>
      <c r="B3829" s="222" t="s">
        <v>2787</v>
      </c>
      <c r="C3829" s="223" t="s">
        <v>3145</v>
      </c>
      <c r="D3829" s="805" t="s">
        <v>3162</v>
      </c>
      <c r="E3829" s="224">
        <v>11859</v>
      </c>
      <c r="F3829" s="224"/>
      <c r="G3829" s="224">
        <f t="shared" si="63"/>
        <v>-11859</v>
      </c>
      <c r="H3829" s="246" t="s">
        <v>2842</v>
      </c>
    </row>
    <row r="3830" spans="1:8" ht="15.75" customHeight="1" thickBot="1" x14ac:dyDescent="0.3">
      <c r="A3830" s="597">
        <v>43052</v>
      </c>
      <c r="B3830" s="222" t="s">
        <v>37</v>
      </c>
      <c r="C3830" s="223" t="s">
        <v>1743</v>
      </c>
      <c r="D3830" s="805" t="s">
        <v>270</v>
      </c>
      <c r="E3830" s="224">
        <v>2630</v>
      </c>
      <c r="F3830" s="224"/>
      <c r="G3830" s="224">
        <f t="shared" si="63"/>
        <v>-2630</v>
      </c>
      <c r="H3830" s="246" t="s">
        <v>2842</v>
      </c>
    </row>
    <row r="3831" spans="1:8" ht="15.75" customHeight="1" thickBot="1" x14ac:dyDescent="0.3">
      <c r="A3831" s="597">
        <v>43052</v>
      </c>
      <c r="B3831" s="222" t="s">
        <v>18</v>
      </c>
      <c r="C3831" s="223"/>
      <c r="D3831" s="805" t="s">
        <v>270</v>
      </c>
      <c r="E3831" s="224">
        <v>600</v>
      </c>
      <c r="F3831" s="224"/>
      <c r="G3831" s="224">
        <f t="shared" si="63"/>
        <v>-600</v>
      </c>
      <c r="H3831" s="246" t="s">
        <v>2842</v>
      </c>
    </row>
    <row r="3832" spans="1:8" ht="15.75" customHeight="1" thickBot="1" x14ac:dyDescent="0.3">
      <c r="A3832" s="597">
        <v>43052</v>
      </c>
      <c r="B3832" s="222" t="s">
        <v>18</v>
      </c>
      <c r="C3832" s="223"/>
      <c r="D3832" s="805" t="s">
        <v>270</v>
      </c>
      <c r="E3832" s="224">
        <v>3390</v>
      </c>
      <c r="F3832" s="224"/>
      <c r="G3832" s="224">
        <f t="shared" si="63"/>
        <v>-3390</v>
      </c>
      <c r="H3832" s="246" t="s">
        <v>2842</v>
      </c>
    </row>
    <row r="3833" spans="1:8" ht="15.75" customHeight="1" thickBot="1" x14ac:dyDescent="0.3">
      <c r="A3833" s="597">
        <v>43052</v>
      </c>
      <c r="B3833" s="222" t="s">
        <v>16</v>
      </c>
      <c r="C3833" s="223"/>
      <c r="D3833" s="805" t="s">
        <v>2928</v>
      </c>
      <c r="E3833" s="224">
        <v>900</v>
      </c>
      <c r="F3833" s="224"/>
      <c r="G3833" s="224">
        <f t="shared" si="63"/>
        <v>-900</v>
      </c>
      <c r="H3833" s="246" t="s">
        <v>2842</v>
      </c>
    </row>
    <row r="3834" spans="1:8" ht="15.75" customHeight="1" thickBot="1" x14ac:dyDescent="0.3">
      <c r="A3834" s="597">
        <v>43056</v>
      </c>
      <c r="B3834" s="222" t="s">
        <v>2652</v>
      </c>
      <c r="C3834" s="223" t="s">
        <v>392</v>
      </c>
      <c r="D3834" s="805" t="s">
        <v>4232</v>
      </c>
      <c r="E3834" s="224">
        <v>800</v>
      </c>
      <c r="F3834" s="224"/>
      <c r="G3834" s="224">
        <f t="shared" si="63"/>
        <v>-800</v>
      </c>
      <c r="H3834" s="246" t="s">
        <v>2842</v>
      </c>
    </row>
    <row r="3835" spans="1:8" ht="15.75" customHeight="1" thickBot="1" x14ac:dyDescent="0.3">
      <c r="A3835" s="597">
        <v>43056</v>
      </c>
      <c r="B3835" s="222" t="s">
        <v>2548</v>
      </c>
      <c r="C3835" s="223" t="s">
        <v>551</v>
      </c>
      <c r="D3835" s="805" t="s">
        <v>2349</v>
      </c>
      <c r="E3835" s="224">
        <v>17045</v>
      </c>
      <c r="F3835" s="224"/>
      <c r="G3835" s="224">
        <f t="shared" si="63"/>
        <v>-17045</v>
      </c>
      <c r="H3835" s="246" t="s">
        <v>2842</v>
      </c>
    </row>
    <row r="3836" spans="1:8" ht="15.75" customHeight="1" thickBot="1" x14ac:dyDescent="0.3">
      <c r="A3836" s="597">
        <v>43056</v>
      </c>
      <c r="B3836" s="222" t="s">
        <v>2548</v>
      </c>
      <c r="C3836" s="223"/>
      <c r="D3836" s="805" t="s">
        <v>2961</v>
      </c>
      <c r="E3836" s="224">
        <v>530</v>
      </c>
      <c r="F3836" s="224"/>
      <c r="G3836" s="224">
        <f t="shared" si="63"/>
        <v>-530</v>
      </c>
      <c r="H3836" s="246" t="s">
        <v>2842</v>
      </c>
    </row>
    <row r="3837" spans="1:8" ht="15.75" customHeight="1" thickBot="1" x14ac:dyDescent="0.3">
      <c r="A3837" s="597">
        <v>43056</v>
      </c>
      <c r="B3837" s="222" t="s">
        <v>11</v>
      </c>
      <c r="C3837" s="223" t="s">
        <v>2473</v>
      </c>
      <c r="D3837" s="805" t="s">
        <v>286</v>
      </c>
      <c r="E3837" s="224">
        <v>200</v>
      </c>
      <c r="F3837" s="224"/>
      <c r="G3837" s="224">
        <f t="shared" si="63"/>
        <v>-200</v>
      </c>
      <c r="H3837" s="246" t="s">
        <v>2842</v>
      </c>
    </row>
    <row r="3838" spans="1:8" ht="15.75" customHeight="1" thickBot="1" x14ac:dyDescent="0.3">
      <c r="A3838" s="597">
        <v>43056</v>
      </c>
      <c r="B3838" s="222" t="s">
        <v>2548</v>
      </c>
      <c r="C3838" s="223" t="s">
        <v>2874</v>
      </c>
      <c r="D3838" s="805" t="s">
        <v>286</v>
      </c>
      <c r="E3838" s="224">
        <v>200</v>
      </c>
      <c r="F3838" s="224"/>
      <c r="G3838" s="224">
        <f t="shared" si="63"/>
        <v>-200</v>
      </c>
      <c r="H3838" s="246" t="s">
        <v>2842</v>
      </c>
    </row>
    <row r="3839" spans="1:8" ht="15.75" customHeight="1" thickBot="1" x14ac:dyDescent="0.3">
      <c r="A3839" s="597">
        <v>43056</v>
      </c>
      <c r="B3839" s="222" t="s">
        <v>2787</v>
      </c>
      <c r="C3839" s="223" t="s">
        <v>3145</v>
      </c>
      <c r="D3839" s="805" t="s">
        <v>3162</v>
      </c>
      <c r="E3839" s="224">
        <v>4585</v>
      </c>
      <c r="F3839" s="224"/>
      <c r="G3839" s="224">
        <f t="shared" si="63"/>
        <v>-4585</v>
      </c>
      <c r="H3839" s="246" t="s">
        <v>2842</v>
      </c>
    </row>
    <row r="3840" spans="1:8" ht="15.75" customHeight="1" thickBot="1" x14ac:dyDescent="0.3">
      <c r="A3840" s="597">
        <v>43056</v>
      </c>
      <c r="B3840" s="222" t="s">
        <v>2548</v>
      </c>
      <c r="C3840" s="223"/>
      <c r="D3840" s="805" t="s">
        <v>2929</v>
      </c>
      <c r="E3840" s="224">
        <v>550</v>
      </c>
      <c r="F3840" s="224"/>
      <c r="G3840" s="224">
        <f t="shared" si="63"/>
        <v>-550</v>
      </c>
      <c r="H3840" s="246" t="s">
        <v>2842</v>
      </c>
    </row>
    <row r="3841" spans="1:8" ht="15.75" customHeight="1" thickBot="1" x14ac:dyDescent="0.3">
      <c r="A3841" s="597">
        <v>43056</v>
      </c>
      <c r="B3841" s="222" t="s">
        <v>2548</v>
      </c>
      <c r="C3841" s="223"/>
      <c r="D3841" s="805" t="s">
        <v>1886</v>
      </c>
      <c r="E3841" s="224">
        <v>400</v>
      </c>
      <c r="F3841" s="224"/>
      <c r="G3841" s="224">
        <f t="shared" si="63"/>
        <v>-400</v>
      </c>
      <c r="H3841" s="246" t="s">
        <v>2842</v>
      </c>
    </row>
    <row r="3842" spans="1:8" ht="15.75" customHeight="1" thickBot="1" x14ac:dyDescent="0.3">
      <c r="A3842" s="597">
        <v>43056</v>
      </c>
      <c r="B3842" s="222" t="s">
        <v>2548</v>
      </c>
      <c r="C3842" s="223"/>
      <c r="D3842" s="805" t="s">
        <v>2962</v>
      </c>
      <c r="E3842" s="224">
        <v>500</v>
      </c>
      <c r="F3842" s="224"/>
      <c r="G3842" s="224">
        <f t="shared" si="63"/>
        <v>-500</v>
      </c>
      <c r="H3842" s="246" t="s">
        <v>2842</v>
      </c>
    </row>
    <row r="3843" spans="1:8" ht="15.75" customHeight="1" thickBot="1" x14ac:dyDescent="0.3">
      <c r="A3843" s="597">
        <v>43056</v>
      </c>
      <c r="B3843" s="222" t="s">
        <v>25</v>
      </c>
      <c r="C3843" s="223"/>
      <c r="D3843" s="805" t="s">
        <v>2963</v>
      </c>
      <c r="E3843" s="224">
        <v>450</v>
      </c>
      <c r="F3843" s="224"/>
      <c r="G3843" s="224">
        <f t="shared" si="63"/>
        <v>-450</v>
      </c>
      <c r="H3843" s="246" t="s">
        <v>2842</v>
      </c>
    </row>
    <row r="3844" spans="1:8" ht="15.75" customHeight="1" thickBot="1" x14ac:dyDescent="0.3">
      <c r="A3844" s="597">
        <v>43056</v>
      </c>
      <c r="B3844" s="222" t="s">
        <v>40</v>
      </c>
      <c r="C3844" s="223" t="s">
        <v>325</v>
      </c>
      <c r="D3844" s="805" t="s">
        <v>270</v>
      </c>
      <c r="E3844" s="224">
        <v>2020</v>
      </c>
      <c r="F3844" s="224"/>
      <c r="G3844" s="224">
        <f t="shared" si="63"/>
        <v>-2020</v>
      </c>
      <c r="H3844" s="246" t="s">
        <v>2842</v>
      </c>
    </row>
    <row r="3845" spans="1:8" ht="15.75" customHeight="1" thickBot="1" x14ac:dyDescent="0.3">
      <c r="A3845" s="597">
        <v>43056</v>
      </c>
      <c r="B3845" s="222" t="s">
        <v>2787</v>
      </c>
      <c r="C3845" s="223" t="s">
        <v>3145</v>
      </c>
      <c r="D3845" s="805" t="s">
        <v>3163</v>
      </c>
      <c r="E3845" s="224">
        <v>11500</v>
      </c>
      <c r="F3845" s="224"/>
      <c r="G3845" s="224">
        <f t="shared" si="63"/>
        <v>-11500</v>
      </c>
      <c r="H3845" s="246" t="s">
        <v>2842</v>
      </c>
    </row>
    <row r="3846" spans="1:8" ht="15.75" customHeight="1" thickBot="1" x14ac:dyDescent="0.3">
      <c r="A3846" s="597">
        <v>43056</v>
      </c>
      <c r="B3846" s="222" t="s">
        <v>1400</v>
      </c>
      <c r="C3846" s="223"/>
      <c r="D3846" s="805" t="s">
        <v>2964</v>
      </c>
      <c r="E3846" s="224">
        <v>450</v>
      </c>
      <c r="F3846" s="224"/>
      <c r="G3846" s="224">
        <f t="shared" si="63"/>
        <v>-450</v>
      </c>
      <c r="H3846" s="246" t="s">
        <v>2842</v>
      </c>
    </row>
    <row r="3847" spans="1:8" ht="15.75" customHeight="1" thickBot="1" x14ac:dyDescent="0.3">
      <c r="A3847" s="597">
        <v>43057</v>
      </c>
      <c r="B3847" s="222" t="s">
        <v>82</v>
      </c>
      <c r="C3847" s="223"/>
      <c r="D3847" s="805" t="s">
        <v>2930</v>
      </c>
      <c r="E3847" s="224">
        <v>13170</v>
      </c>
      <c r="F3847" s="224"/>
      <c r="G3847" s="224">
        <f t="shared" si="63"/>
        <v>-13170</v>
      </c>
      <c r="H3847" s="246" t="s">
        <v>2842</v>
      </c>
    </row>
    <row r="3848" spans="1:8" ht="15.75" customHeight="1" thickBot="1" x14ac:dyDescent="0.3">
      <c r="A3848" s="597">
        <v>43059</v>
      </c>
      <c r="B3848" s="222" t="s">
        <v>2787</v>
      </c>
      <c r="C3848" s="223" t="s">
        <v>3145</v>
      </c>
      <c r="D3848" s="805" t="s">
        <v>2931</v>
      </c>
      <c r="E3848" s="224">
        <v>240</v>
      </c>
      <c r="F3848" s="224"/>
      <c r="G3848" s="224">
        <f t="shared" si="63"/>
        <v>-240</v>
      </c>
      <c r="H3848" s="246" t="s">
        <v>2842</v>
      </c>
    </row>
    <row r="3849" spans="1:8" ht="15.75" customHeight="1" thickBot="1" x14ac:dyDescent="0.3">
      <c r="A3849" s="597">
        <v>43061</v>
      </c>
      <c r="B3849" s="222" t="s">
        <v>2787</v>
      </c>
      <c r="C3849" s="223" t="s">
        <v>3145</v>
      </c>
      <c r="D3849" s="805" t="s">
        <v>2932</v>
      </c>
      <c r="E3849" s="224">
        <v>5000</v>
      </c>
      <c r="F3849" s="224"/>
      <c r="G3849" s="224">
        <f t="shared" ref="G3849:G3912" si="64">F3849-E3849</f>
        <v>-5000</v>
      </c>
      <c r="H3849" s="246" t="s">
        <v>2842</v>
      </c>
    </row>
    <row r="3850" spans="1:8" ht="15.75" customHeight="1" thickBot="1" x14ac:dyDescent="0.3">
      <c r="A3850" s="597">
        <v>43061</v>
      </c>
      <c r="B3850" s="222" t="s">
        <v>2548</v>
      </c>
      <c r="C3850" s="223" t="s">
        <v>290</v>
      </c>
      <c r="D3850" s="805" t="s">
        <v>392</v>
      </c>
      <c r="E3850" s="224">
        <v>7380</v>
      </c>
      <c r="F3850" s="224"/>
      <c r="G3850" s="224">
        <f t="shared" si="64"/>
        <v>-7380</v>
      </c>
      <c r="H3850" s="246" t="s">
        <v>2842</v>
      </c>
    </row>
    <row r="3851" spans="1:8" ht="15.75" customHeight="1" thickBot="1" x14ac:dyDescent="0.3">
      <c r="A3851" s="597">
        <v>43061</v>
      </c>
      <c r="B3851" s="222" t="s">
        <v>2787</v>
      </c>
      <c r="C3851" s="223" t="s">
        <v>3145</v>
      </c>
      <c r="D3851" s="805" t="s">
        <v>392</v>
      </c>
      <c r="E3851" s="224">
        <v>10150</v>
      </c>
      <c r="F3851" s="224"/>
      <c r="G3851" s="224">
        <f t="shared" si="64"/>
        <v>-10150</v>
      </c>
      <c r="H3851" s="246" t="s">
        <v>2842</v>
      </c>
    </row>
    <row r="3852" spans="1:8" ht="15.75" customHeight="1" thickBot="1" x14ac:dyDescent="0.3">
      <c r="A3852" s="597">
        <v>43061</v>
      </c>
      <c r="B3852" s="222" t="s">
        <v>2548</v>
      </c>
      <c r="C3852" s="223" t="s">
        <v>551</v>
      </c>
      <c r="D3852" s="805" t="s">
        <v>392</v>
      </c>
      <c r="E3852" s="224">
        <v>13830</v>
      </c>
      <c r="F3852" s="224"/>
      <c r="G3852" s="224">
        <f t="shared" si="64"/>
        <v>-13830</v>
      </c>
      <c r="H3852" s="246" t="s">
        <v>2842</v>
      </c>
    </row>
    <row r="3853" spans="1:8" ht="15.75" customHeight="1" thickBot="1" x14ac:dyDescent="0.3">
      <c r="A3853" s="597">
        <v>43061</v>
      </c>
      <c r="B3853" s="222" t="s">
        <v>2548</v>
      </c>
      <c r="C3853" s="223" t="s">
        <v>2874</v>
      </c>
      <c r="D3853" s="805" t="s">
        <v>392</v>
      </c>
      <c r="E3853" s="224">
        <v>11124</v>
      </c>
      <c r="F3853" s="224"/>
      <c r="G3853" s="224">
        <f t="shared" si="64"/>
        <v>-11124</v>
      </c>
      <c r="H3853" s="246" t="s">
        <v>2842</v>
      </c>
    </row>
    <row r="3854" spans="1:8" ht="15.75" customHeight="1" thickBot="1" x14ac:dyDescent="0.3">
      <c r="A3854" s="597">
        <v>43061</v>
      </c>
      <c r="B3854" s="222" t="s">
        <v>16</v>
      </c>
      <c r="C3854" s="223"/>
      <c r="D3854" s="805" t="s">
        <v>2965</v>
      </c>
      <c r="E3854" s="224">
        <v>900</v>
      </c>
      <c r="F3854" s="224"/>
      <c r="G3854" s="224">
        <f t="shared" si="64"/>
        <v>-900</v>
      </c>
      <c r="H3854" s="246" t="s">
        <v>2842</v>
      </c>
    </row>
    <row r="3855" spans="1:8" ht="15.75" customHeight="1" thickBot="1" x14ac:dyDescent="0.3">
      <c r="A3855" s="597">
        <v>43062</v>
      </c>
      <c r="B3855" s="222" t="s">
        <v>2548</v>
      </c>
      <c r="C3855" s="223" t="s">
        <v>2874</v>
      </c>
      <c r="D3855" s="805" t="s">
        <v>2360</v>
      </c>
      <c r="E3855" s="224">
        <v>420</v>
      </c>
      <c r="F3855" s="224"/>
      <c r="G3855" s="224">
        <f t="shared" si="64"/>
        <v>-420</v>
      </c>
      <c r="H3855" s="246" t="s">
        <v>2842</v>
      </c>
    </row>
    <row r="3856" spans="1:8" ht="15.75" customHeight="1" thickBot="1" x14ac:dyDescent="0.3">
      <c r="A3856" s="597">
        <v>43062</v>
      </c>
      <c r="B3856" s="222" t="s">
        <v>40</v>
      </c>
      <c r="C3856" s="223" t="s">
        <v>325</v>
      </c>
      <c r="D3856" s="805" t="s">
        <v>392</v>
      </c>
      <c r="E3856" s="224">
        <v>610</v>
      </c>
      <c r="F3856" s="224"/>
      <c r="G3856" s="224">
        <f t="shared" si="64"/>
        <v>-610</v>
      </c>
      <c r="H3856" s="246" t="s">
        <v>2842</v>
      </c>
    </row>
    <row r="3857" spans="1:8" ht="15.75" customHeight="1" thickBot="1" x14ac:dyDescent="0.3">
      <c r="A3857" s="597">
        <v>43062</v>
      </c>
      <c r="B3857" s="222" t="s">
        <v>2933</v>
      </c>
      <c r="C3857" s="223" t="s">
        <v>3145</v>
      </c>
      <c r="D3857" s="805" t="s">
        <v>2934</v>
      </c>
      <c r="E3857" s="224">
        <v>6000</v>
      </c>
      <c r="F3857" s="224"/>
      <c r="G3857" s="224">
        <f t="shared" si="64"/>
        <v>-6000</v>
      </c>
      <c r="H3857" s="246" t="s">
        <v>2842</v>
      </c>
    </row>
    <row r="3858" spans="1:8" ht="15.75" customHeight="1" thickBot="1" x14ac:dyDescent="0.3">
      <c r="A3858" s="597">
        <v>43062</v>
      </c>
      <c r="B3858" s="222" t="s">
        <v>2787</v>
      </c>
      <c r="C3858" s="223" t="s">
        <v>3145</v>
      </c>
      <c r="D3858" s="805" t="s">
        <v>2945</v>
      </c>
      <c r="E3858" s="224">
        <v>7790</v>
      </c>
      <c r="F3858" s="224"/>
      <c r="G3858" s="224">
        <f t="shared" si="64"/>
        <v>-7790</v>
      </c>
      <c r="H3858" s="246" t="s">
        <v>2842</v>
      </c>
    </row>
    <row r="3859" spans="1:8" ht="15.75" customHeight="1" thickBot="1" x14ac:dyDescent="0.3">
      <c r="A3859" s="597">
        <v>43062</v>
      </c>
      <c r="B3859" s="222" t="s">
        <v>14</v>
      </c>
      <c r="C3859" s="223"/>
      <c r="D3859" s="805" t="s">
        <v>1410</v>
      </c>
      <c r="E3859" s="224">
        <v>840</v>
      </c>
      <c r="F3859" s="224"/>
      <c r="G3859" s="224">
        <f t="shared" si="64"/>
        <v>-840</v>
      </c>
      <c r="H3859" s="246" t="s">
        <v>2842</v>
      </c>
    </row>
    <row r="3860" spans="1:8" ht="15.75" customHeight="1" thickBot="1" x14ac:dyDescent="0.3">
      <c r="A3860" s="597">
        <v>43062</v>
      </c>
      <c r="B3860" s="222" t="s">
        <v>2787</v>
      </c>
      <c r="C3860" s="223" t="s">
        <v>3016</v>
      </c>
      <c r="D3860" s="805" t="s">
        <v>2935</v>
      </c>
      <c r="E3860" s="224">
        <v>1000</v>
      </c>
      <c r="F3860" s="224"/>
      <c r="G3860" s="224">
        <f t="shared" si="64"/>
        <v>-1000</v>
      </c>
      <c r="H3860" s="246" t="s">
        <v>2842</v>
      </c>
    </row>
    <row r="3861" spans="1:8" ht="15.75" customHeight="1" thickBot="1" x14ac:dyDescent="0.3">
      <c r="A3861" s="597">
        <v>43062</v>
      </c>
      <c r="B3861" s="222" t="s">
        <v>1400</v>
      </c>
      <c r="C3861" s="223" t="s">
        <v>929</v>
      </c>
      <c r="D3861" s="805" t="s">
        <v>2936</v>
      </c>
      <c r="E3861" s="224">
        <v>300</v>
      </c>
      <c r="F3861" s="224"/>
      <c r="G3861" s="224">
        <f t="shared" si="64"/>
        <v>-300</v>
      </c>
      <c r="H3861" s="246" t="s">
        <v>2842</v>
      </c>
    </row>
    <row r="3862" spans="1:8" ht="15.75" customHeight="1" thickBot="1" x14ac:dyDescent="0.3">
      <c r="A3862" s="597">
        <v>43063</v>
      </c>
      <c r="B3862" s="222" t="s">
        <v>2787</v>
      </c>
      <c r="C3862" s="223" t="s">
        <v>3149</v>
      </c>
      <c r="D3862" s="805" t="s">
        <v>2937</v>
      </c>
      <c r="E3862" s="224">
        <v>1680</v>
      </c>
      <c r="F3862" s="224"/>
      <c r="G3862" s="224">
        <f t="shared" si="64"/>
        <v>-1680</v>
      </c>
      <c r="H3862" s="246" t="s">
        <v>2842</v>
      </c>
    </row>
    <row r="3863" spans="1:8" ht="15.75" customHeight="1" thickBot="1" x14ac:dyDescent="0.3">
      <c r="A3863" s="597">
        <v>43063</v>
      </c>
      <c r="B3863" s="222" t="s">
        <v>1400</v>
      </c>
      <c r="C3863" s="223" t="s">
        <v>1704</v>
      </c>
      <c r="D3863" s="805" t="s">
        <v>2938</v>
      </c>
      <c r="E3863" s="224">
        <v>1680</v>
      </c>
      <c r="F3863" s="224"/>
      <c r="G3863" s="224">
        <f t="shared" si="64"/>
        <v>-1680</v>
      </c>
      <c r="H3863" s="246" t="s">
        <v>2842</v>
      </c>
    </row>
    <row r="3864" spans="1:8" ht="15.75" customHeight="1" thickBot="1" x14ac:dyDescent="0.3">
      <c r="A3864" s="597">
        <v>43063</v>
      </c>
      <c r="B3864" s="222" t="s">
        <v>2652</v>
      </c>
      <c r="C3864" s="223" t="s">
        <v>3149</v>
      </c>
      <c r="D3864" s="805" t="s">
        <v>1410</v>
      </c>
      <c r="E3864" s="224">
        <v>260</v>
      </c>
      <c r="F3864" s="224"/>
      <c r="G3864" s="224">
        <f t="shared" si="64"/>
        <v>-260</v>
      </c>
      <c r="H3864" s="246" t="s">
        <v>2842</v>
      </c>
    </row>
    <row r="3865" spans="1:8" ht="15.75" customHeight="1" thickBot="1" x14ac:dyDescent="0.3">
      <c r="A3865" s="597">
        <v>43063</v>
      </c>
      <c r="B3865" s="222" t="s">
        <v>2787</v>
      </c>
      <c r="C3865" s="223" t="s">
        <v>3149</v>
      </c>
      <c r="D3865" s="805" t="s">
        <v>2939</v>
      </c>
      <c r="E3865" s="224">
        <v>140</v>
      </c>
      <c r="F3865" s="224"/>
      <c r="G3865" s="224">
        <f t="shared" si="64"/>
        <v>-140</v>
      </c>
      <c r="H3865" s="246" t="s">
        <v>2842</v>
      </c>
    </row>
    <row r="3866" spans="1:8" ht="15.75" customHeight="1" thickBot="1" x14ac:dyDescent="0.3">
      <c r="A3866" s="597">
        <v>43063</v>
      </c>
      <c r="B3866" s="222" t="s">
        <v>2787</v>
      </c>
      <c r="C3866" s="223" t="s">
        <v>3145</v>
      </c>
      <c r="D3866" s="805" t="s">
        <v>3164</v>
      </c>
      <c r="E3866" s="224">
        <v>18550</v>
      </c>
      <c r="F3866" s="224"/>
      <c r="G3866" s="224">
        <f t="shared" si="64"/>
        <v>-18550</v>
      </c>
      <c r="H3866" s="246" t="s">
        <v>2842</v>
      </c>
    </row>
    <row r="3867" spans="1:8" ht="24.75" customHeight="1" thickBot="1" x14ac:dyDescent="0.3">
      <c r="A3867" s="597">
        <v>43064</v>
      </c>
      <c r="B3867" s="223" t="s">
        <v>2787</v>
      </c>
      <c r="C3867" s="223" t="s">
        <v>3145</v>
      </c>
      <c r="D3867" s="807" t="s">
        <v>3165</v>
      </c>
      <c r="E3867" s="243">
        <v>39736</v>
      </c>
      <c r="F3867" s="243"/>
      <c r="G3867" s="243">
        <f t="shared" si="64"/>
        <v>-39736</v>
      </c>
      <c r="H3867" s="246" t="s">
        <v>2842</v>
      </c>
    </row>
    <row r="3868" spans="1:8" ht="25.5" customHeight="1" thickBot="1" x14ac:dyDescent="0.3">
      <c r="A3868" s="597">
        <v>43064</v>
      </c>
      <c r="B3868" s="223" t="s">
        <v>2787</v>
      </c>
      <c r="C3868" s="223" t="s">
        <v>3145</v>
      </c>
      <c r="D3868" s="805" t="s">
        <v>3166</v>
      </c>
      <c r="E3868" s="224">
        <v>20135</v>
      </c>
      <c r="F3868" s="224"/>
      <c r="G3868" s="224">
        <f t="shared" si="64"/>
        <v>-20135</v>
      </c>
      <c r="H3868" s="246" t="s">
        <v>2842</v>
      </c>
    </row>
    <row r="3869" spans="1:8" ht="25.5" customHeight="1" thickBot="1" x14ac:dyDescent="0.3">
      <c r="A3869" s="597">
        <v>43064</v>
      </c>
      <c r="B3869" s="223" t="s">
        <v>1400</v>
      </c>
      <c r="C3869" s="223" t="s">
        <v>64</v>
      </c>
      <c r="D3869" s="805" t="s">
        <v>2941</v>
      </c>
      <c r="E3869" s="224">
        <v>27091</v>
      </c>
      <c r="F3869" s="224"/>
      <c r="G3869" s="224">
        <f t="shared" si="64"/>
        <v>-27091</v>
      </c>
      <c r="H3869" s="246" t="s">
        <v>2842</v>
      </c>
    </row>
    <row r="3870" spans="1:8" ht="15.75" customHeight="1" thickBot="1" x14ac:dyDescent="0.3">
      <c r="A3870" s="597">
        <v>43064</v>
      </c>
      <c r="B3870" s="223" t="s">
        <v>1691</v>
      </c>
      <c r="C3870" s="223" t="s">
        <v>2594</v>
      </c>
      <c r="D3870" s="805" t="s">
        <v>392</v>
      </c>
      <c r="E3870" s="224">
        <v>13980</v>
      </c>
      <c r="F3870" s="224"/>
      <c r="G3870" s="224">
        <f t="shared" si="64"/>
        <v>-13980</v>
      </c>
      <c r="H3870" s="246" t="s">
        <v>2842</v>
      </c>
    </row>
    <row r="3871" spans="1:8" ht="15.75" customHeight="1" thickBot="1" x14ac:dyDescent="0.3">
      <c r="A3871" s="597">
        <v>43064</v>
      </c>
      <c r="B3871" s="223" t="s">
        <v>1691</v>
      </c>
      <c r="C3871" s="223" t="s">
        <v>2594</v>
      </c>
      <c r="D3871" s="805" t="s">
        <v>392</v>
      </c>
      <c r="E3871" s="224">
        <v>7000</v>
      </c>
      <c r="F3871" s="224"/>
      <c r="G3871" s="224">
        <f t="shared" si="64"/>
        <v>-7000</v>
      </c>
      <c r="H3871" s="246" t="s">
        <v>2842</v>
      </c>
    </row>
    <row r="3872" spans="1:8" ht="15.75" customHeight="1" thickBot="1" x14ac:dyDescent="0.3">
      <c r="A3872" s="597">
        <v>43066</v>
      </c>
      <c r="B3872" s="223" t="s">
        <v>1691</v>
      </c>
      <c r="C3872" s="223" t="s">
        <v>2594</v>
      </c>
      <c r="D3872" s="805" t="s">
        <v>392</v>
      </c>
      <c r="E3872" s="224">
        <v>32500</v>
      </c>
      <c r="F3872" s="224"/>
      <c r="G3872" s="224">
        <f t="shared" si="64"/>
        <v>-32500</v>
      </c>
      <c r="H3872" s="246" t="s">
        <v>2842</v>
      </c>
    </row>
    <row r="3873" spans="1:8" ht="15.75" customHeight="1" thickBot="1" x14ac:dyDescent="0.3">
      <c r="A3873" s="597">
        <v>43066</v>
      </c>
      <c r="B3873" s="223" t="s">
        <v>1691</v>
      </c>
      <c r="C3873" s="223" t="s">
        <v>2594</v>
      </c>
      <c r="D3873" s="805" t="s">
        <v>392</v>
      </c>
      <c r="E3873" s="224">
        <v>143000</v>
      </c>
      <c r="F3873" s="224"/>
      <c r="G3873" s="224">
        <f t="shared" si="64"/>
        <v>-143000</v>
      </c>
      <c r="H3873" s="246" t="s">
        <v>2842</v>
      </c>
    </row>
    <row r="3874" spans="1:8" ht="15.75" customHeight="1" thickBot="1" x14ac:dyDescent="0.3">
      <c r="A3874" s="597">
        <v>43066</v>
      </c>
      <c r="B3874" s="223" t="s">
        <v>25</v>
      </c>
      <c r="C3874" s="223" t="s">
        <v>1894</v>
      </c>
      <c r="D3874" s="805" t="s">
        <v>2942</v>
      </c>
      <c r="E3874" s="224">
        <v>40500</v>
      </c>
      <c r="F3874" s="224"/>
      <c r="G3874" s="224">
        <f t="shared" si="64"/>
        <v>-40500</v>
      </c>
      <c r="H3874" s="246" t="s">
        <v>2842</v>
      </c>
    </row>
    <row r="3875" spans="1:8" ht="15.75" customHeight="1" thickBot="1" x14ac:dyDescent="0.3">
      <c r="A3875" s="597">
        <v>43066</v>
      </c>
      <c r="B3875" s="223" t="s">
        <v>1691</v>
      </c>
      <c r="C3875" s="223" t="s">
        <v>2594</v>
      </c>
      <c r="D3875" s="805" t="s">
        <v>392</v>
      </c>
      <c r="E3875" s="224">
        <v>71165</v>
      </c>
      <c r="F3875" s="224"/>
      <c r="G3875" s="224">
        <f t="shared" si="64"/>
        <v>-71165</v>
      </c>
      <c r="H3875" s="246" t="s">
        <v>2842</v>
      </c>
    </row>
    <row r="3876" spans="1:8" ht="15.75" customHeight="1" thickBot="1" x14ac:dyDescent="0.3">
      <c r="A3876" s="597">
        <v>43066</v>
      </c>
      <c r="B3876" s="223" t="s">
        <v>1691</v>
      </c>
      <c r="C3876" s="223" t="s">
        <v>2594</v>
      </c>
      <c r="D3876" s="805" t="s">
        <v>392</v>
      </c>
      <c r="E3876" s="224">
        <v>38000</v>
      </c>
      <c r="F3876" s="224"/>
      <c r="G3876" s="224">
        <f t="shared" si="64"/>
        <v>-38000</v>
      </c>
      <c r="H3876" s="246" t="s">
        <v>2842</v>
      </c>
    </row>
    <row r="3877" spans="1:8" ht="15.75" customHeight="1" thickBot="1" x14ac:dyDescent="0.3">
      <c r="A3877" s="597">
        <v>43067</v>
      </c>
      <c r="B3877" s="223" t="s">
        <v>1400</v>
      </c>
      <c r="C3877" s="223" t="s">
        <v>64</v>
      </c>
      <c r="D3877" s="805" t="s">
        <v>2943</v>
      </c>
      <c r="E3877" s="224">
        <v>2045</v>
      </c>
      <c r="F3877" s="224"/>
      <c r="G3877" s="224">
        <f t="shared" si="64"/>
        <v>-2045</v>
      </c>
      <c r="H3877" s="246" t="s">
        <v>2842</v>
      </c>
    </row>
    <row r="3878" spans="1:8" ht="15.75" customHeight="1" thickBot="1" x14ac:dyDescent="0.3">
      <c r="A3878" s="597">
        <v>43067</v>
      </c>
      <c r="B3878" s="223" t="s">
        <v>2787</v>
      </c>
      <c r="C3878" s="223" t="s">
        <v>3145</v>
      </c>
      <c r="D3878" s="805" t="s">
        <v>3167</v>
      </c>
      <c r="E3878" s="224">
        <v>28100</v>
      </c>
      <c r="F3878" s="224"/>
      <c r="G3878" s="224">
        <f t="shared" si="64"/>
        <v>-28100</v>
      </c>
      <c r="H3878" s="246" t="s">
        <v>2842</v>
      </c>
    </row>
    <row r="3879" spans="1:8" ht="15.75" customHeight="1" thickBot="1" x14ac:dyDescent="0.3">
      <c r="A3879" s="597">
        <v>43068</v>
      </c>
      <c r="B3879" s="223" t="s">
        <v>2548</v>
      </c>
      <c r="C3879" s="223" t="s">
        <v>2473</v>
      </c>
      <c r="D3879" s="805" t="s">
        <v>2944</v>
      </c>
      <c r="E3879" s="224">
        <v>1500</v>
      </c>
      <c r="F3879" s="224"/>
      <c r="G3879" s="224">
        <f t="shared" si="64"/>
        <v>-1500</v>
      </c>
      <c r="H3879" s="246" t="s">
        <v>2842</v>
      </c>
    </row>
    <row r="3880" spans="1:8" ht="15.75" customHeight="1" thickBot="1" x14ac:dyDescent="0.3">
      <c r="A3880" s="597">
        <v>43068</v>
      </c>
      <c r="B3880" s="223" t="s">
        <v>2652</v>
      </c>
      <c r="C3880" s="223" t="s">
        <v>392</v>
      </c>
      <c r="D3880" s="805" t="s">
        <v>72</v>
      </c>
      <c r="E3880" s="224">
        <v>1980</v>
      </c>
      <c r="F3880" s="224"/>
      <c r="G3880" s="224">
        <f t="shared" si="64"/>
        <v>-1980</v>
      </c>
      <c r="H3880" s="246" t="s">
        <v>2842</v>
      </c>
    </row>
    <row r="3881" spans="1:8" ht="15.75" customHeight="1" thickBot="1" x14ac:dyDescent="0.3">
      <c r="A3881" s="597">
        <v>43068</v>
      </c>
      <c r="B3881" s="223" t="s">
        <v>14</v>
      </c>
      <c r="C3881" s="223" t="s">
        <v>2473</v>
      </c>
      <c r="D3881" s="805" t="s">
        <v>2966</v>
      </c>
      <c r="E3881" s="224">
        <v>1000</v>
      </c>
      <c r="F3881" s="224"/>
      <c r="G3881" s="224">
        <f t="shared" si="64"/>
        <v>-1000</v>
      </c>
      <c r="H3881" s="246" t="s">
        <v>2842</v>
      </c>
    </row>
    <row r="3882" spans="1:8" ht="15.75" customHeight="1" thickBot="1" x14ac:dyDescent="0.3">
      <c r="A3882" s="597">
        <v>43068</v>
      </c>
      <c r="B3882" s="223" t="s">
        <v>25</v>
      </c>
      <c r="C3882" s="223" t="s">
        <v>1894</v>
      </c>
      <c r="D3882" s="805" t="s">
        <v>2967</v>
      </c>
      <c r="E3882" s="224">
        <v>1116</v>
      </c>
      <c r="F3882" s="224"/>
      <c r="G3882" s="224">
        <f t="shared" si="64"/>
        <v>-1116</v>
      </c>
      <c r="H3882" s="246" t="s">
        <v>2842</v>
      </c>
    </row>
    <row r="3883" spans="1:8" ht="15.75" customHeight="1" thickBot="1" x14ac:dyDescent="0.3">
      <c r="A3883" s="597">
        <v>43068</v>
      </c>
      <c r="B3883" s="223" t="s">
        <v>2787</v>
      </c>
      <c r="C3883" s="223" t="s">
        <v>3145</v>
      </c>
      <c r="D3883" s="805" t="s">
        <v>3168</v>
      </c>
      <c r="E3883" s="224">
        <v>14805</v>
      </c>
      <c r="F3883" s="224"/>
      <c r="G3883" s="224">
        <f t="shared" si="64"/>
        <v>-14805</v>
      </c>
      <c r="H3883" s="246" t="s">
        <v>2842</v>
      </c>
    </row>
    <row r="3884" spans="1:8" ht="15.75" customHeight="1" thickBot="1" x14ac:dyDescent="0.3">
      <c r="A3884" s="597">
        <v>43068</v>
      </c>
      <c r="B3884" s="223" t="s">
        <v>2548</v>
      </c>
      <c r="C3884" s="223" t="s">
        <v>2874</v>
      </c>
      <c r="D3884" s="805" t="s">
        <v>392</v>
      </c>
      <c r="E3884" s="224">
        <v>580</v>
      </c>
      <c r="F3884" s="224"/>
      <c r="G3884" s="224">
        <f t="shared" si="64"/>
        <v>-580</v>
      </c>
      <c r="H3884" s="246" t="s">
        <v>2842</v>
      </c>
    </row>
    <row r="3885" spans="1:8" ht="15.75" customHeight="1" thickBot="1" x14ac:dyDescent="0.3">
      <c r="A3885" s="597">
        <v>43068</v>
      </c>
      <c r="B3885" s="223" t="s">
        <v>2787</v>
      </c>
      <c r="C3885" s="223" t="s">
        <v>929</v>
      </c>
      <c r="D3885" s="805" t="s">
        <v>2968</v>
      </c>
      <c r="E3885" s="224">
        <v>25000</v>
      </c>
      <c r="F3885" s="224"/>
      <c r="G3885" s="224">
        <f t="shared" si="64"/>
        <v>-25000</v>
      </c>
      <c r="H3885" s="246" t="s">
        <v>2842</v>
      </c>
    </row>
    <row r="3886" spans="1:8" ht="15.75" customHeight="1" thickBot="1" x14ac:dyDescent="0.3">
      <c r="A3886" s="597">
        <v>43069</v>
      </c>
      <c r="B3886" s="223" t="s">
        <v>1400</v>
      </c>
      <c r="C3886" s="223" t="s">
        <v>780</v>
      </c>
      <c r="D3886" s="805" t="s">
        <v>392</v>
      </c>
      <c r="E3886" s="224">
        <v>43590</v>
      </c>
      <c r="F3886" s="224"/>
      <c r="G3886" s="224">
        <f t="shared" si="64"/>
        <v>-43590</v>
      </c>
      <c r="H3886" s="246" t="s">
        <v>2842</v>
      </c>
    </row>
    <row r="3887" spans="1:8" ht="15.75" customHeight="1" thickBot="1" x14ac:dyDescent="0.3">
      <c r="A3887" s="606">
        <v>43040</v>
      </c>
      <c r="B3887" s="174" t="s">
        <v>40</v>
      </c>
      <c r="C3887" s="174" t="s">
        <v>895</v>
      </c>
      <c r="D3887" s="118" t="s">
        <v>2815</v>
      </c>
      <c r="E3887" s="236">
        <v>70000</v>
      </c>
      <c r="F3887" s="236"/>
      <c r="G3887" s="236">
        <f t="shared" si="64"/>
        <v>-70000</v>
      </c>
      <c r="H3887" s="163" t="s">
        <v>2842</v>
      </c>
    </row>
    <row r="3888" spans="1:8" ht="15.75" customHeight="1" thickBot="1" x14ac:dyDescent="0.3">
      <c r="A3888" s="606">
        <v>43040</v>
      </c>
      <c r="B3888" s="174" t="s">
        <v>40</v>
      </c>
      <c r="C3888" s="174" t="s">
        <v>895</v>
      </c>
      <c r="D3888" s="118" t="s">
        <v>2815</v>
      </c>
      <c r="E3888" s="236">
        <v>40000</v>
      </c>
      <c r="F3888" s="236"/>
      <c r="G3888" s="236">
        <f t="shared" si="64"/>
        <v>-40000</v>
      </c>
      <c r="H3888" s="163" t="s">
        <v>2842</v>
      </c>
    </row>
    <row r="3889" spans="1:8" ht="15.75" customHeight="1" thickBot="1" x14ac:dyDescent="0.3">
      <c r="A3889" s="606">
        <v>43040</v>
      </c>
      <c r="B3889" s="174" t="s">
        <v>2787</v>
      </c>
      <c r="C3889" s="174" t="s">
        <v>2816</v>
      </c>
      <c r="D3889" s="118" t="s">
        <v>2815</v>
      </c>
      <c r="E3889" s="236">
        <v>33000</v>
      </c>
      <c r="F3889" s="236"/>
      <c r="G3889" s="236">
        <f t="shared" si="64"/>
        <v>-33000</v>
      </c>
      <c r="H3889" s="163" t="s">
        <v>2842</v>
      </c>
    </row>
    <row r="3890" spans="1:8" ht="15.75" customHeight="1" thickBot="1" x14ac:dyDescent="0.3">
      <c r="A3890" s="606">
        <v>43040</v>
      </c>
      <c r="B3890" s="174" t="s">
        <v>2787</v>
      </c>
      <c r="C3890" s="174" t="s">
        <v>2818</v>
      </c>
      <c r="D3890" s="118" t="s">
        <v>2815</v>
      </c>
      <c r="E3890" s="236">
        <v>1200000</v>
      </c>
      <c r="F3890" s="236"/>
      <c r="G3890" s="236">
        <f t="shared" si="64"/>
        <v>-1200000</v>
      </c>
      <c r="H3890" s="163" t="s">
        <v>2842</v>
      </c>
    </row>
    <row r="3891" spans="1:8" ht="15.75" customHeight="1" thickBot="1" x14ac:dyDescent="0.3">
      <c r="A3891" s="606">
        <v>43040</v>
      </c>
      <c r="B3891" s="174" t="s">
        <v>1400</v>
      </c>
      <c r="C3891" s="174" t="s">
        <v>2762</v>
      </c>
      <c r="D3891" s="118" t="s">
        <v>2823</v>
      </c>
      <c r="E3891" s="236">
        <v>32000</v>
      </c>
      <c r="F3891" s="236"/>
      <c r="G3891" s="236">
        <f t="shared" si="64"/>
        <v>-32000</v>
      </c>
      <c r="H3891" s="163" t="s">
        <v>2842</v>
      </c>
    </row>
    <row r="3892" spans="1:8" ht="15.75" customHeight="1" thickBot="1" x14ac:dyDescent="0.3">
      <c r="A3892" s="606">
        <v>43041</v>
      </c>
      <c r="B3892" s="174" t="s">
        <v>1400</v>
      </c>
      <c r="C3892" s="174" t="s">
        <v>2341</v>
      </c>
      <c r="D3892" s="118" t="s">
        <v>2817</v>
      </c>
      <c r="E3892" s="236">
        <v>18480</v>
      </c>
      <c r="F3892" s="236"/>
      <c r="G3892" s="236">
        <f t="shared" si="64"/>
        <v>-18480</v>
      </c>
      <c r="H3892" s="163" t="s">
        <v>2842</v>
      </c>
    </row>
    <row r="3893" spans="1:8" ht="15" customHeight="1" x14ac:dyDescent="0.25">
      <c r="A3893" s="610">
        <v>43041</v>
      </c>
      <c r="B3893" s="237" t="s">
        <v>1400</v>
      </c>
      <c r="C3893" s="237" t="s">
        <v>2819</v>
      </c>
      <c r="D3893" s="808" t="s">
        <v>2820</v>
      </c>
      <c r="E3893" s="229">
        <v>28800</v>
      </c>
      <c r="F3893" s="229"/>
      <c r="G3893" s="229">
        <f t="shared" si="64"/>
        <v>-28800</v>
      </c>
      <c r="H3893" s="172" t="s">
        <v>2842</v>
      </c>
    </row>
    <row r="3894" spans="1:8" ht="15" customHeight="1" x14ac:dyDescent="0.25">
      <c r="A3894" s="602">
        <v>43045</v>
      </c>
      <c r="B3894" s="174" t="s">
        <v>1400</v>
      </c>
      <c r="C3894" s="174" t="s">
        <v>2840</v>
      </c>
      <c r="D3894" s="118" t="s">
        <v>2841</v>
      </c>
      <c r="E3894" s="236">
        <v>30000</v>
      </c>
      <c r="F3894" s="236"/>
      <c r="G3894" s="236">
        <f t="shared" si="64"/>
        <v>-30000</v>
      </c>
      <c r="H3894" s="117" t="s">
        <v>2842</v>
      </c>
    </row>
    <row r="3895" spans="1:8" ht="24.75" customHeight="1" x14ac:dyDescent="0.25">
      <c r="A3895" s="602">
        <v>43047</v>
      </c>
      <c r="B3895" s="174" t="s">
        <v>1400</v>
      </c>
      <c r="C3895" s="174" t="s">
        <v>4988</v>
      </c>
      <c r="D3895" s="118" t="s">
        <v>2843</v>
      </c>
      <c r="E3895" s="236">
        <v>50000</v>
      </c>
      <c r="F3895" s="236"/>
      <c r="G3895" s="236">
        <f t="shared" si="64"/>
        <v>-50000</v>
      </c>
      <c r="H3895" s="117" t="s">
        <v>2842</v>
      </c>
    </row>
    <row r="3896" spans="1:8" ht="15" customHeight="1" x14ac:dyDescent="0.25">
      <c r="A3896" s="602">
        <v>43047</v>
      </c>
      <c r="B3896" s="174" t="s">
        <v>1400</v>
      </c>
      <c r="C3896" s="174" t="s">
        <v>780</v>
      </c>
      <c r="D3896" s="118" t="s">
        <v>2844</v>
      </c>
      <c r="E3896" s="236">
        <v>42000</v>
      </c>
      <c r="F3896" s="236"/>
      <c r="G3896" s="236">
        <f t="shared" si="64"/>
        <v>-42000</v>
      </c>
      <c r="H3896" s="117" t="s">
        <v>2842</v>
      </c>
    </row>
    <row r="3897" spans="1:8" ht="15" customHeight="1" x14ac:dyDescent="0.25">
      <c r="A3897" s="602">
        <v>43048</v>
      </c>
      <c r="B3897" s="174" t="s">
        <v>2787</v>
      </c>
      <c r="C3897" s="174" t="s">
        <v>3016</v>
      </c>
      <c r="D3897" s="118" t="s">
        <v>2845</v>
      </c>
      <c r="E3897" s="236">
        <v>22000</v>
      </c>
      <c r="F3897" s="236"/>
      <c r="G3897" s="236">
        <f t="shared" si="64"/>
        <v>-22000</v>
      </c>
      <c r="H3897" s="117" t="s">
        <v>2842</v>
      </c>
    </row>
    <row r="3898" spans="1:8" ht="24.75" customHeight="1" x14ac:dyDescent="0.25">
      <c r="A3898" s="602">
        <v>43048</v>
      </c>
      <c r="B3898" s="174" t="s">
        <v>1400</v>
      </c>
      <c r="C3898" s="174" t="s">
        <v>2728</v>
      </c>
      <c r="D3898" s="118" t="s">
        <v>2846</v>
      </c>
      <c r="E3898" s="236">
        <v>26000</v>
      </c>
      <c r="F3898" s="236"/>
      <c r="G3898" s="236">
        <f t="shared" si="64"/>
        <v>-26000</v>
      </c>
      <c r="H3898" s="117" t="s">
        <v>2842</v>
      </c>
    </row>
    <row r="3899" spans="1:8" ht="15" customHeight="1" x14ac:dyDescent="0.25">
      <c r="A3899" s="602">
        <v>43052</v>
      </c>
      <c r="B3899" s="174" t="s">
        <v>1400</v>
      </c>
      <c r="C3899" s="174" t="s">
        <v>2840</v>
      </c>
      <c r="D3899" s="118" t="s">
        <v>2847</v>
      </c>
      <c r="E3899" s="236">
        <v>50000</v>
      </c>
      <c r="F3899" s="236"/>
      <c r="G3899" s="236">
        <f t="shared" si="64"/>
        <v>-50000</v>
      </c>
      <c r="H3899" s="117" t="s">
        <v>2842</v>
      </c>
    </row>
    <row r="3900" spans="1:8" ht="24.75" customHeight="1" x14ac:dyDescent="0.25">
      <c r="A3900" s="602">
        <v>43052</v>
      </c>
      <c r="B3900" s="174" t="s">
        <v>1400</v>
      </c>
      <c r="C3900" s="174" t="s">
        <v>794</v>
      </c>
      <c r="D3900" s="118" t="s">
        <v>2848</v>
      </c>
      <c r="E3900" s="236">
        <v>64500</v>
      </c>
      <c r="F3900" s="236"/>
      <c r="G3900" s="236">
        <f t="shared" si="64"/>
        <v>-64500</v>
      </c>
      <c r="H3900" s="117" t="s">
        <v>2842</v>
      </c>
    </row>
    <row r="3901" spans="1:8" ht="15" customHeight="1" x14ac:dyDescent="0.25">
      <c r="A3901" s="602">
        <v>43052</v>
      </c>
      <c r="B3901" s="174" t="s">
        <v>2787</v>
      </c>
      <c r="C3901" s="174" t="s">
        <v>2196</v>
      </c>
      <c r="D3901" s="118" t="s">
        <v>2849</v>
      </c>
      <c r="E3901" s="236">
        <v>102000</v>
      </c>
      <c r="F3901" s="236"/>
      <c r="G3901" s="236">
        <f t="shared" si="64"/>
        <v>-102000</v>
      </c>
      <c r="H3901" s="117" t="s">
        <v>2842</v>
      </c>
    </row>
    <row r="3902" spans="1:8" ht="24.75" customHeight="1" x14ac:dyDescent="0.25">
      <c r="A3902" s="602">
        <v>43052</v>
      </c>
      <c r="B3902" s="174" t="s">
        <v>1400</v>
      </c>
      <c r="C3902" s="174" t="s">
        <v>2515</v>
      </c>
      <c r="D3902" s="118" t="s">
        <v>2850</v>
      </c>
      <c r="E3902" s="236">
        <v>160000</v>
      </c>
      <c r="F3902" s="236"/>
      <c r="G3902" s="236">
        <f t="shared" si="64"/>
        <v>-160000</v>
      </c>
      <c r="H3902" s="117" t="s">
        <v>2842</v>
      </c>
    </row>
    <row r="3903" spans="1:8" ht="15" customHeight="1" x14ac:dyDescent="0.25">
      <c r="A3903" s="602">
        <v>43052</v>
      </c>
      <c r="B3903" s="174" t="s">
        <v>2787</v>
      </c>
      <c r="C3903" s="174" t="s">
        <v>1230</v>
      </c>
      <c r="D3903" s="118" t="s">
        <v>2851</v>
      </c>
      <c r="E3903" s="236">
        <v>11975</v>
      </c>
      <c r="F3903" s="236"/>
      <c r="G3903" s="236">
        <f t="shared" si="64"/>
        <v>-11975</v>
      </c>
      <c r="H3903" s="117" t="s">
        <v>2842</v>
      </c>
    </row>
    <row r="3904" spans="1:8" ht="24.75" customHeight="1" x14ac:dyDescent="0.25">
      <c r="A3904" s="602">
        <v>43052</v>
      </c>
      <c r="B3904" s="174" t="s">
        <v>14</v>
      </c>
      <c r="C3904" s="174" t="s">
        <v>2160</v>
      </c>
      <c r="D3904" s="118" t="s">
        <v>2852</v>
      </c>
      <c r="E3904" s="236">
        <v>90000</v>
      </c>
      <c r="F3904" s="236"/>
      <c r="G3904" s="236">
        <f t="shared" si="64"/>
        <v>-90000</v>
      </c>
      <c r="H3904" s="117" t="s">
        <v>2842</v>
      </c>
    </row>
    <row r="3905" spans="1:8" ht="24.75" customHeight="1" x14ac:dyDescent="0.25">
      <c r="A3905" s="602">
        <v>43052</v>
      </c>
      <c r="B3905" s="174" t="s">
        <v>18</v>
      </c>
      <c r="C3905" s="174" t="s">
        <v>2160</v>
      </c>
      <c r="D3905" s="118" t="s">
        <v>2852</v>
      </c>
      <c r="E3905" s="236">
        <v>20000</v>
      </c>
      <c r="F3905" s="236"/>
      <c r="G3905" s="236">
        <f t="shared" si="64"/>
        <v>-20000</v>
      </c>
      <c r="H3905" s="117" t="s">
        <v>2842</v>
      </c>
    </row>
    <row r="3906" spans="1:8" ht="15" customHeight="1" x14ac:dyDescent="0.25">
      <c r="A3906" s="602">
        <v>43052</v>
      </c>
      <c r="B3906" s="240" t="s">
        <v>2548</v>
      </c>
      <c r="C3906" s="240" t="s">
        <v>2386</v>
      </c>
      <c r="D3906" s="118" t="s">
        <v>2853</v>
      </c>
      <c r="E3906" s="241">
        <v>200000</v>
      </c>
      <c r="F3906" s="241"/>
      <c r="G3906" s="241">
        <f t="shared" si="64"/>
        <v>-200000</v>
      </c>
      <c r="H3906" s="117" t="s">
        <v>2842</v>
      </c>
    </row>
    <row r="3907" spans="1:8" ht="15" customHeight="1" x14ac:dyDescent="0.25">
      <c r="A3907" s="602">
        <v>43054</v>
      </c>
      <c r="B3907" s="240" t="s">
        <v>2548</v>
      </c>
      <c r="C3907" s="240" t="s">
        <v>2854</v>
      </c>
      <c r="D3907" s="118" t="s">
        <v>2855</v>
      </c>
      <c r="E3907" s="241">
        <v>57000</v>
      </c>
      <c r="F3907" s="241"/>
      <c r="G3907" s="241">
        <f t="shared" si="64"/>
        <v>-57000</v>
      </c>
      <c r="H3907" s="117" t="s">
        <v>2842</v>
      </c>
    </row>
    <row r="3908" spans="1:8" ht="24.75" customHeight="1" x14ac:dyDescent="0.25">
      <c r="A3908" s="602">
        <v>43055</v>
      </c>
      <c r="B3908" s="240" t="s">
        <v>1400</v>
      </c>
      <c r="C3908" s="240" t="s">
        <v>2196</v>
      </c>
      <c r="D3908" s="118" t="s">
        <v>2856</v>
      </c>
      <c r="E3908" s="241">
        <v>130000</v>
      </c>
      <c r="F3908" s="241"/>
      <c r="G3908" s="241">
        <f t="shared" si="64"/>
        <v>-130000</v>
      </c>
      <c r="H3908" s="117" t="s">
        <v>2842</v>
      </c>
    </row>
    <row r="3909" spans="1:8" ht="24.75" customHeight="1" x14ac:dyDescent="0.25">
      <c r="A3909" s="602">
        <v>43055</v>
      </c>
      <c r="B3909" s="240" t="s">
        <v>2548</v>
      </c>
      <c r="C3909" s="240" t="s">
        <v>2857</v>
      </c>
      <c r="D3909" s="118" t="s">
        <v>2858</v>
      </c>
      <c r="E3909" s="241">
        <v>57870</v>
      </c>
      <c r="F3909" s="241"/>
      <c r="G3909" s="241">
        <f t="shared" si="64"/>
        <v>-57870</v>
      </c>
      <c r="H3909" s="117" t="s">
        <v>2842</v>
      </c>
    </row>
    <row r="3910" spans="1:8" ht="15" customHeight="1" x14ac:dyDescent="0.25">
      <c r="A3910" s="602">
        <v>43056</v>
      </c>
      <c r="B3910" s="240" t="s">
        <v>2787</v>
      </c>
      <c r="C3910" s="240" t="s">
        <v>251</v>
      </c>
      <c r="D3910" s="118" t="s">
        <v>2860</v>
      </c>
      <c r="E3910" s="241">
        <v>50000</v>
      </c>
      <c r="F3910" s="241"/>
      <c r="G3910" s="241">
        <f t="shared" si="64"/>
        <v>-50000</v>
      </c>
      <c r="H3910" s="117" t="s">
        <v>2842</v>
      </c>
    </row>
    <row r="3911" spans="1:8" ht="15" customHeight="1" x14ac:dyDescent="0.25">
      <c r="A3911" s="602">
        <v>43059</v>
      </c>
      <c r="B3911" s="240" t="s">
        <v>1400</v>
      </c>
      <c r="C3911" s="240" t="s">
        <v>2840</v>
      </c>
      <c r="D3911" s="118" t="s">
        <v>2861</v>
      </c>
      <c r="E3911" s="241">
        <v>50000</v>
      </c>
      <c r="F3911" s="241"/>
      <c r="G3911" s="241">
        <f t="shared" si="64"/>
        <v>-50000</v>
      </c>
      <c r="H3911" s="117" t="s">
        <v>2842</v>
      </c>
    </row>
    <row r="3912" spans="1:8" ht="15" customHeight="1" x14ac:dyDescent="0.25">
      <c r="A3912" s="602">
        <v>43059</v>
      </c>
      <c r="B3912" s="240" t="s">
        <v>1400</v>
      </c>
      <c r="C3912" s="240" t="s">
        <v>2728</v>
      </c>
      <c r="D3912" s="118" t="s">
        <v>2862</v>
      </c>
      <c r="E3912" s="241">
        <v>30000</v>
      </c>
      <c r="F3912" s="241"/>
      <c r="G3912" s="241">
        <f t="shared" si="64"/>
        <v>-30000</v>
      </c>
      <c r="H3912" s="117" t="s">
        <v>2842</v>
      </c>
    </row>
    <row r="3913" spans="1:8" ht="15" customHeight="1" x14ac:dyDescent="0.25">
      <c r="A3913" s="602">
        <v>43060</v>
      </c>
      <c r="B3913" s="174" t="s">
        <v>2787</v>
      </c>
      <c r="C3913" s="174" t="s">
        <v>895</v>
      </c>
      <c r="D3913" s="118" t="s">
        <v>2863</v>
      </c>
      <c r="E3913" s="236">
        <v>326000</v>
      </c>
      <c r="F3913" s="236"/>
      <c r="G3913" s="236">
        <f t="shared" ref="G3913:G3976" si="65">F3913-E3913</f>
        <v>-326000</v>
      </c>
      <c r="H3913" s="117" t="s">
        <v>2842</v>
      </c>
    </row>
    <row r="3914" spans="1:8" ht="24" customHeight="1" x14ac:dyDescent="0.2">
      <c r="A3914" s="602">
        <v>43061</v>
      </c>
      <c r="B3914" s="174" t="s">
        <v>2548</v>
      </c>
      <c r="C3914" s="174" t="s">
        <v>165</v>
      </c>
      <c r="D3914" s="118" t="s">
        <v>2864</v>
      </c>
      <c r="E3914" s="236">
        <v>35100</v>
      </c>
      <c r="F3914" s="236"/>
      <c r="G3914" s="236">
        <f t="shared" si="65"/>
        <v>-35100</v>
      </c>
      <c r="H3914" s="244" t="s">
        <v>2842</v>
      </c>
    </row>
    <row r="3915" spans="1:8" ht="24" x14ac:dyDescent="0.2">
      <c r="A3915" s="602">
        <v>43061</v>
      </c>
      <c r="B3915" s="174" t="s">
        <v>1400</v>
      </c>
      <c r="C3915" s="174" t="s">
        <v>165</v>
      </c>
      <c r="D3915" s="118" t="s">
        <v>2864</v>
      </c>
      <c r="E3915" s="236">
        <v>91223</v>
      </c>
      <c r="F3915" s="236"/>
      <c r="G3915" s="236">
        <f t="shared" si="65"/>
        <v>-91223</v>
      </c>
      <c r="H3915" s="244" t="s">
        <v>2842</v>
      </c>
    </row>
    <row r="3916" spans="1:8" ht="24" x14ac:dyDescent="0.2">
      <c r="A3916" s="602">
        <v>43061</v>
      </c>
      <c r="B3916" s="174" t="s">
        <v>14</v>
      </c>
      <c r="C3916" s="174" t="s">
        <v>165</v>
      </c>
      <c r="D3916" s="118" t="s">
        <v>2864</v>
      </c>
      <c r="E3916" s="236">
        <v>23050</v>
      </c>
      <c r="F3916" s="236"/>
      <c r="G3916" s="236">
        <f t="shared" si="65"/>
        <v>-23050</v>
      </c>
      <c r="H3916" s="244" t="s">
        <v>2842</v>
      </c>
    </row>
    <row r="3917" spans="1:8" ht="24" x14ac:dyDescent="0.2">
      <c r="A3917" s="602">
        <v>43061</v>
      </c>
      <c r="B3917" s="174" t="s">
        <v>2652</v>
      </c>
      <c r="C3917" s="174" t="s">
        <v>165</v>
      </c>
      <c r="D3917" s="118" t="s">
        <v>2864</v>
      </c>
      <c r="E3917" s="236">
        <v>20297</v>
      </c>
      <c r="F3917" s="236"/>
      <c r="G3917" s="236">
        <f t="shared" si="65"/>
        <v>-20297</v>
      </c>
      <c r="H3917" s="244" t="s">
        <v>2842</v>
      </c>
    </row>
    <row r="3918" spans="1:8" ht="15" customHeight="1" x14ac:dyDescent="0.2">
      <c r="A3918" s="602">
        <v>43061</v>
      </c>
      <c r="B3918" s="240" t="s">
        <v>2787</v>
      </c>
      <c r="C3918" s="174" t="s">
        <v>165</v>
      </c>
      <c r="D3918" s="157" t="s">
        <v>2889</v>
      </c>
      <c r="E3918" s="241">
        <v>14643</v>
      </c>
      <c r="F3918" s="241"/>
      <c r="G3918" s="236">
        <f t="shared" si="65"/>
        <v>-14643</v>
      </c>
      <c r="H3918" s="244" t="s">
        <v>2842</v>
      </c>
    </row>
    <row r="3919" spans="1:8" ht="15" customHeight="1" x14ac:dyDescent="0.2">
      <c r="A3919" s="602">
        <v>43061</v>
      </c>
      <c r="B3919" s="240" t="s">
        <v>2652</v>
      </c>
      <c r="C3919" s="174" t="s">
        <v>165</v>
      </c>
      <c r="D3919" s="157" t="s">
        <v>2889</v>
      </c>
      <c r="E3919" s="241">
        <v>88900</v>
      </c>
      <c r="F3919" s="241"/>
      <c r="G3919" s="236">
        <f t="shared" si="65"/>
        <v>-88900</v>
      </c>
      <c r="H3919" s="244" t="s">
        <v>2842</v>
      </c>
    </row>
    <row r="3920" spans="1:8" ht="15" customHeight="1" x14ac:dyDescent="0.2">
      <c r="A3920" s="602">
        <v>43061</v>
      </c>
      <c r="B3920" s="240" t="s">
        <v>14</v>
      </c>
      <c r="C3920" s="174" t="s">
        <v>165</v>
      </c>
      <c r="D3920" s="157" t="s">
        <v>2889</v>
      </c>
      <c r="E3920" s="241">
        <v>96457</v>
      </c>
      <c r="F3920" s="241"/>
      <c r="G3920" s="236">
        <f t="shared" si="65"/>
        <v>-96457</v>
      </c>
      <c r="H3920" s="244" t="s">
        <v>2842</v>
      </c>
    </row>
    <row r="3921" spans="1:8" ht="15" customHeight="1" x14ac:dyDescent="0.2">
      <c r="A3921" s="602">
        <v>43062</v>
      </c>
      <c r="B3921" s="240" t="s">
        <v>1400</v>
      </c>
      <c r="C3921" s="240" t="s">
        <v>164</v>
      </c>
      <c r="D3921" s="157" t="s">
        <v>2890</v>
      </c>
      <c r="E3921" s="241">
        <v>300000</v>
      </c>
      <c r="F3921" s="241"/>
      <c r="G3921" s="241">
        <f t="shared" si="65"/>
        <v>-300000</v>
      </c>
      <c r="H3921" s="244" t="s">
        <v>2842</v>
      </c>
    </row>
    <row r="3922" spans="1:8" ht="15" customHeight="1" x14ac:dyDescent="0.2">
      <c r="A3922" s="602">
        <v>43062</v>
      </c>
      <c r="B3922" s="240" t="s">
        <v>1400</v>
      </c>
      <c r="C3922" s="240" t="s">
        <v>2160</v>
      </c>
      <c r="D3922" s="157" t="s">
        <v>2891</v>
      </c>
      <c r="E3922" s="241">
        <v>15000</v>
      </c>
      <c r="F3922" s="241"/>
      <c r="G3922" s="241">
        <f t="shared" si="65"/>
        <v>-15000</v>
      </c>
      <c r="H3922" s="244" t="s">
        <v>2842</v>
      </c>
    </row>
    <row r="3923" spans="1:8" ht="15" customHeight="1" x14ac:dyDescent="0.2">
      <c r="A3923" s="602">
        <v>43063</v>
      </c>
      <c r="B3923" s="240" t="s">
        <v>16</v>
      </c>
      <c r="C3923" s="240" t="s">
        <v>1689</v>
      </c>
      <c r="D3923" s="157" t="s">
        <v>2892</v>
      </c>
      <c r="E3923" s="241">
        <v>19294</v>
      </c>
      <c r="F3923" s="241"/>
      <c r="G3923" s="241">
        <f t="shared" si="65"/>
        <v>-19294</v>
      </c>
      <c r="H3923" s="244" t="s">
        <v>2842</v>
      </c>
    </row>
    <row r="3924" spans="1:8" ht="15" customHeight="1" x14ac:dyDescent="0.2">
      <c r="A3924" s="602">
        <v>43063</v>
      </c>
      <c r="B3924" s="240" t="s">
        <v>25</v>
      </c>
      <c r="C3924" s="240" t="s">
        <v>1689</v>
      </c>
      <c r="D3924" s="157" t="s">
        <v>2892</v>
      </c>
      <c r="E3924" s="241">
        <v>15530</v>
      </c>
      <c r="F3924" s="241"/>
      <c r="G3924" s="241">
        <f t="shared" si="65"/>
        <v>-15530</v>
      </c>
      <c r="H3924" s="244" t="s">
        <v>2842</v>
      </c>
    </row>
    <row r="3925" spans="1:8" ht="15.75" customHeight="1" thickBot="1" x14ac:dyDescent="0.25">
      <c r="A3925" s="599">
        <v>43056</v>
      </c>
      <c r="B3925" s="91" t="s">
        <v>2094</v>
      </c>
      <c r="C3925" s="91" t="s">
        <v>559</v>
      </c>
      <c r="D3925" s="801" t="s">
        <v>2126</v>
      </c>
      <c r="E3925" s="92"/>
      <c r="F3925" s="92">
        <v>1484884</v>
      </c>
      <c r="G3925" s="92">
        <f t="shared" si="65"/>
        <v>1484884</v>
      </c>
      <c r="H3925" s="179" t="s">
        <v>2842</v>
      </c>
    </row>
    <row r="3926" spans="1:8" ht="15.75" customHeight="1" thickBot="1" x14ac:dyDescent="0.25">
      <c r="A3926" s="599">
        <v>43056</v>
      </c>
      <c r="B3926" s="91" t="s">
        <v>2657</v>
      </c>
      <c r="C3926" s="91" t="s">
        <v>559</v>
      </c>
      <c r="D3926" s="801" t="s">
        <v>2786</v>
      </c>
      <c r="E3926" s="92"/>
      <c r="F3926" s="92">
        <v>138750</v>
      </c>
      <c r="G3926" s="92">
        <f t="shared" si="65"/>
        <v>138750</v>
      </c>
      <c r="H3926" s="179" t="s">
        <v>2842</v>
      </c>
    </row>
    <row r="3927" spans="1:8" ht="15.75" thickBot="1" x14ac:dyDescent="0.25">
      <c r="A3927" s="597">
        <v>43070</v>
      </c>
      <c r="B3927" s="222" t="s">
        <v>2787</v>
      </c>
      <c r="C3927" s="222" t="s">
        <v>1230</v>
      </c>
      <c r="D3927" s="806" t="s">
        <v>1836</v>
      </c>
      <c r="E3927" s="247">
        <v>50000</v>
      </c>
      <c r="F3927" s="247"/>
      <c r="G3927" s="58">
        <f t="shared" si="65"/>
        <v>-50000</v>
      </c>
      <c r="H3927" s="219" t="s">
        <v>2885</v>
      </c>
    </row>
    <row r="3928" spans="1:8" ht="15.75" thickBot="1" x14ac:dyDescent="0.25">
      <c r="A3928" s="597">
        <v>43070</v>
      </c>
      <c r="B3928" s="222" t="s">
        <v>2933</v>
      </c>
      <c r="C3928" s="222" t="s">
        <v>1230</v>
      </c>
      <c r="D3928" s="806" t="s">
        <v>1837</v>
      </c>
      <c r="E3928" s="247">
        <v>25000</v>
      </c>
      <c r="F3928" s="247"/>
      <c r="G3928" s="58">
        <f t="shared" si="65"/>
        <v>-25000</v>
      </c>
      <c r="H3928" s="219" t="s">
        <v>2885</v>
      </c>
    </row>
    <row r="3929" spans="1:8" ht="15.75" thickBot="1" x14ac:dyDescent="0.25">
      <c r="A3929" s="597">
        <v>43070</v>
      </c>
      <c r="B3929" s="222" t="s">
        <v>25</v>
      </c>
      <c r="C3929" s="222" t="s">
        <v>1230</v>
      </c>
      <c r="D3929" s="806" t="s">
        <v>1839</v>
      </c>
      <c r="E3929" s="247">
        <v>6500</v>
      </c>
      <c r="F3929" s="247"/>
      <c r="G3929" s="58">
        <f t="shared" si="65"/>
        <v>-6500</v>
      </c>
      <c r="H3929" s="219" t="s">
        <v>2885</v>
      </c>
    </row>
    <row r="3930" spans="1:8" ht="15.75" customHeight="1" thickBot="1" x14ac:dyDescent="0.25">
      <c r="A3930" s="597">
        <v>43070</v>
      </c>
      <c r="B3930" s="222" t="s">
        <v>25</v>
      </c>
      <c r="C3930" s="222" t="s">
        <v>1230</v>
      </c>
      <c r="D3930" s="806" t="s">
        <v>2183</v>
      </c>
      <c r="E3930" s="247">
        <v>13000</v>
      </c>
      <c r="F3930" s="247"/>
      <c r="G3930" s="58">
        <f t="shared" si="65"/>
        <v>-13000</v>
      </c>
      <c r="H3930" s="219" t="s">
        <v>2885</v>
      </c>
    </row>
    <row r="3931" spans="1:8" ht="15.75" customHeight="1" thickBot="1" x14ac:dyDescent="0.25">
      <c r="A3931" s="597">
        <v>43070</v>
      </c>
      <c r="B3931" s="222" t="s">
        <v>25</v>
      </c>
      <c r="C3931" s="222" t="s">
        <v>1230</v>
      </c>
      <c r="D3931" s="806" t="s">
        <v>1840</v>
      </c>
      <c r="E3931" s="247">
        <v>7000</v>
      </c>
      <c r="F3931" s="247"/>
      <c r="G3931" s="58">
        <f t="shared" si="65"/>
        <v>-7000</v>
      </c>
      <c r="H3931" s="219" t="s">
        <v>2885</v>
      </c>
    </row>
    <row r="3932" spans="1:8" ht="15.75" customHeight="1" thickBot="1" x14ac:dyDescent="0.25">
      <c r="A3932" s="597">
        <v>43070</v>
      </c>
      <c r="B3932" s="222" t="s">
        <v>25</v>
      </c>
      <c r="C3932" s="222" t="s">
        <v>1230</v>
      </c>
      <c r="D3932" s="806" t="s">
        <v>1547</v>
      </c>
      <c r="E3932" s="247">
        <v>9000</v>
      </c>
      <c r="F3932" s="247"/>
      <c r="G3932" s="58">
        <f t="shared" si="65"/>
        <v>-9000</v>
      </c>
      <c r="H3932" s="219" t="s">
        <v>2885</v>
      </c>
    </row>
    <row r="3933" spans="1:8" ht="15.75" customHeight="1" thickBot="1" x14ac:dyDescent="0.25">
      <c r="A3933" s="597">
        <v>43070</v>
      </c>
      <c r="B3933" s="222" t="s">
        <v>16</v>
      </c>
      <c r="C3933" s="222" t="s">
        <v>1230</v>
      </c>
      <c r="D3933" s="806" t="s">
        <v>1842</v>
      </c>
      <c r="E3933" s="247">
        <v>25000</v>
      </c>
      <c r="F3933" s="247"/>
      <c r="G3933" s="58">
        <f t="shared" si="65"/>
        <v>-25000</v>
      </c>
      <c r="H3933" s="219" t="s">
        <v>2885</v>
      </c>
    </row>
    <row r="3934" spans="1:8" ht="15.75" thickBot="1" x14ac:dyDescent="0.25">
      <c r="A3934" s="597">
        <v>43070</v>
      </c>
      <c r="B3934" s="222" t="s">
        <v>16</v>
      </c>
      <c r="C3934" s="222" t="s">
        <v>1230</v>
      </c>
      <c r="D3934" s="806" t="s">
        <v>1843</v>
      </c>
      <c r="E3934" s="247">
        <v>14000</v>
      </c>
      <c r="F3934" s="247"/>
      <c r="G3934" s="58">
        <f t="shared" si="65"/>
        <v>-14000</v>
      </c>
      <c r="H3934" s="219" t="s">
        <v>2885</v>
      </c>
    </row>
    <row r="3935" spans="1:8" ht="15.75" thickBot="1" x14ac:dyDescent="0.25">
      <c r="A3935" s="597">
        <v>43070</v>
      </c>
      <c r="B3935" s="222" t="s">
        <v>2787</v>
      </c>
      <c r="C3935" s="222" t="s">
        <v>1230</v>
      </c>
      <c r="D3935" s="806" t="s">
        <v>3065</v>
      </c>
      <c r="E3935" s="247">
        <v>23340</v>
      </c>
      <c r="F3935" s="247"/>
      <c r="G3935" s="58">
        <f t="shared" si="65"/>
        <v>-23340</v>
      </c>
      <c r="H3935" s="219" t="s">
        <v>2885</v>
      </c>
    </row>
    <row r="3936" spans="1:8" ht="15.75" thickBot="1" x14ac:dyDescent="0.25">
      <c r="A3936" s="597">
        <v>43070</v>
      </c>
      <c r="B3936" s="222" t="s">
        <v>16</v>
      </c>
      <c r="C3936" s="222" t="s">
        <v>1230</v>
      </c>
      <c r="D3936" s="806" t="s">
        <v>3066</v>
      </c>
      <c r="E3936" s="247">
        <v>22340.333333333336</v>
      </c>
      <c r="F3936" s="247"/>
      <c r="G3936" s="58">
        <f t="shared" si="65"/>
        <v>-22340.333333333336</v>
      </c>
      <c r="H3936" s="219" t="s">
        <v>2885</v>
      </c>
    </row>
    <row r="3937" spans="1:8" ht="15.75" thickBot="1" x14ac:dyDescent="0.25">
      <c r="A3937" s="597">
        <v>43070</v>
      </c>
      <c r="B3937" s="222" t="s">
        <v>16</v>
      </c>
      <c r="C3937" s="222" t="s">
        <v>1230</v>
      </c>
      <c r="D3937" s="806" t="s">
        <v>2283</v>
      </c>
      <c r="E3937" s="247">
        <v>11040.333333333332</v>
      </c>
      <c r="F3937" s="247"/>
      <c r="G3937" s="58">
        <f t="shared" si="65"/>
        <v>-11040.333333333332</v>
      </c>
      <c r="H3937" s="219" t="s">
        <v>2885</v>
      </c>
    </row>
    <row r="3938" spans="1:8" ht="15.75" thickBot="1" x14ac:dyDescent="0.25">
      <c r="A3938" s="597">
        <v>43070</v>
      </c>
      <c r="B3938" s="222" t="s">
        <v>16</v>
      </c>
      <c r="C3938" s="222" t="s">
        <v>1230</v>
      </c>
      <c r="D3938" s="806" t="s">
        <v>1844</v>
      </c>
      <c r="E3938" s="247">
        <v>25775</v>
      </c>
      <c r="F3938" s="247"/>
      <c r="G3938" s="58">
        <f t="shared" si="65"/>
        <v>-25775</v>
      </c>
      <c r="H3938" s="219" t="s">
        <v>2885</v>
      </c>
    </row>
    <row r="3939" spans="1:8" ht="15.75" thickBot="1" x14ac:dyDescent="0.25">
      <c r="A3939" s="597">
        <v>43070</v>
      </c>
      <c r="B3939" s="222" t="s">
        <v>16</v>
      </c>
      <c r="C3939" s="222" t="s">
        <v>1230</v>
      </c>
      <c r="D3939" s="806" t="s">
        <v>2916</v>
      </c>
      <c r="E3939" s="247">
        <v>10000</v>
      </c>
      <c r="F3939" s="247"/>
      <c r="G3939" s="58">
        <f t="shared" si="65"/>
        <v>-10000</v>
      </c>
      <c r="H3939" s="219" t="s">
        <v>2885</v>
      </c>
    </row>
    <row r="3940" spans="1:8" ht="15.75" thickBot="1" x14ac:dyDescent="0.25">
      <c r="A3940" s="597">
        <v>43070</v>
      </c>
      <c r="B3940" s="222" t="s">
        <v>1400</v>
      </c>
      <c r="C3940" s="222" t="s">
        <v>1230</v>
      </c>
      <c r="D3940" s="806" t="s">
        <v>1684</v>
      </c>
      <c r="E3940" s="247">
        <v>20000</v>
      </c>
      <c r="F3940" s="247"/>
      <c r="G3940" s="58">
        <f t="shared" si="65"/>
        <v>-20000</v>
      </c>
      <c r="H3940" s="219" t="s">
        <v>2885</v>
      </c>
    </row>
    <row r="3941" spans="1:8" ht="15.75" thickBot="1" x14ac:dyDescent="0.25">
      <c r="A3941" s="597">
        <v>43070</v>
      </c>
      <c r="B3941" s="222" t="s">
        <v>1400</v>
      </c>
      <c r="C3941" s="222" t="s">
        <v>1230</v>
      </c>
      <c r="D3941" s="806" t="s">
        <v>2482</v>
      </c>
      <c r="E3941" s="247">
        <v>19800</v>
      </c>
      <c r="F3941" s="247"/>
      <c r="G3941" s="58">
        <f t="shared" si="65"/>
        <v>-19800</v>
      </c>
      <c r="H3941" s="219" t="s">
        <v>2885</v>
      </c>
    </row>
    <row r="3942" spans="1:8" ht="15.75" customHeight="1" thickBot="1" x14ac:dyDescent="0.25">
      <c r="A3942" s="597">
        <v>43070</v>
      </c>
      <c r="B3942" s="222" t="s">
        <v>1400</v>
      </c>
      <c r="C3942" s="222" t="s">
        <v>1230</v>
      </c>
      <c r="D3942" s="806" t="s">
        <v>1550</v>
      </c>
      <c r="E3942" s="247">
        <v>24750</v>
      </c>
      <c r="F3942" s="247"/>
      <c r="G3942" s="58">
        <f t="shared" si="65"/>
        <v>-24750</v>
      </c>
      <c r="H3942" s="219" t="s">
        <v>2885</v>
      </c>
    </row>
    <row r="3943" spans="1:8" ht="15.75" customHeight="1" thickBot="1" x14ac:dyDescent="0.25">
      <c r="A3943" s="597">
        <v>43070</v>
      </c>
      <c r="B3943" s="222" t="s">
        <v>1400</v>
      </c>
      <c r="C3943" s="222" t="s">
        <v>1230</v>
      </c>
      <c r="D3943" s="806" t="s">
        <v>1871</v>
      </c>
      <c r="E3943" s="247">
        <v>41500</v>
      </c>
      <c r="F3943" s="247"/>
      <c r="G3943" s="58">
        <f t="shared" si="65"/>
        <v>-41500</v>
      </c>
      <c r="H3943" s="219" t="s">
        <v>2885</v>
      </c>
    </row>
    <row r="3944" spans="1:8" ht="15.75" customHeight="1" thickBot="1" x14ac:dyDescent="0.25">
      <c r="A3944" s="597">
        <v>43070</v>
      </c>
      <c r="B3944" s="222" t="s">
        <v>1400</v>
      </c>
      <c r="C3944" s="222" t="s">
        <v>1230</v>
      </c>
      <c r="D3944" s="806" t="s">
        <v>2484</v>
      </c>
      <c r="E3944" s="247">
        <v>5800</v>
      </c>
      <c r="F3944" s="247"/>
      <c r="G3944" s="58">
        <f t="shared" si="65"/>
        <v>-5800</v>
      </c>
      <c r="H3944" s="219" t="s">
        <v>2885</v>
      </c>
    </row>
    <row r="3945" spans="1:8" ht="15.75" thickBot="1" x14ac:dyDescent="0.25">
      <c r="A3945" s="597">
        <v>43070</v>
      </c>
      <c r="B3945" s="222" t="s">
        <v>1400</v>
      </c>
      <c r="C3945" s="222" t="s">
        <v>1230</v>
      </c>
      <c r="D3945" s="806" t="s">
        <v>1862</v>
      </c>
      <c r="E3945" s="247">
        <v>20270.375</v>
      </c>
      <c r="F3945" s="247"/>
      <c r="G3945" s="58">
        <f t="shared" si="65"/>
        <v>-20270.375</v>
      </c>
      <c r="H3945" s="219" t="s">
        <v>2885</v>
      </c>
    </row>
    <row r="3946" spans="1:8" ht="15.75" thickBot="1" x14ac:dyDescent="0.25">
      <c r="A3946" s="597">
        <v>43070</v>
      </c>
      <c r="B3946" s="222" t="s">
        <v>1400</v>
      </c>
      <c r="C3946" s="222" t="s">
        <v>1230</v>
      </c>
      <c r="D3946" s="806" t="s">
        <v>2927</v>
      </c>
      <c r="E3946" s="247">
        <v>12850</v>
      </c>
      <c r="F3946" s="247"/>
      <c r="G3946" s="58">
        <f t="shared" si="65"/>
        <v>-12850</v>
      </c>
      <c r="H3946" s="219" t="s">
        <v>2885</v>
      </c>
    </row>
    <row r="3947" spans="1:8" ht="15.75" thickBot="1" x14ac:dyDescent="0.25">
      <c r="A3947" s="597">
        <v>43070</v>
      </c>
      <c r="B3947" s="222" t="s">
        <v>1400</v>
      </c>
      <c r="C3947" s="222" t="s">
        <v>1230</v>
      </c>
      <c r="D3947" s="806" t="s">
        <v>3067</v>
      </c>
      <c r="E3947" s="247">
        <v>8950</v>
      </c>
      <c r="F3947" s="247"/>
      <c r="G3947" s="58">
        <f t="shared" si="65"/>
        <v>-8950</v>
      </c>
      <c r="H3947" s="219" t="s">
        <v>2885</v>
      </c>
    </row>
    <row r="3948" spans="1:8" ht="15.75" thickBot="1" x14ac:dyDescent="0.25">
      <c r="A3948" s="597">
        <v>43070</v>
      </c>
      <c r="B3948" s="222" t="s">
        <v>1400</v>
      </c>
      <c r="C3948" s="222" t="s">
        <v>1230</v>
      </c>
      <c r="D3948" s="806" t="s">
        <v>3068</v>
      </c>
      <c r="E3948" s="247">
        <v>1200</v>
      </c>
      <c r="F3948" s="247"/>
      <c r="G3948" s="58">
        <f t="shared" si="65"/>
        <v>-1200</v>
      </c>
      <c r="H3948" s="219" t="s">
        <v>2885</v>
      </c>
    </row>
    <row r="3949" spans="1:8" ht="15.75" thickBot="1" x14ac:dyDescent="0.25">
      <c r="A3949" s="597">
        <v>43070</v>
      </c>
      <c r="B3949" s="222" t="s">
        <v>1400</v>
      </c>
      <c r="C3949" s="222" t="s">
        <v>1230</v>
      </c>
      <c r="D3949" s="806" t="s">
        <v>3069</v>
      </c>
      <c r="E3949" s="247">
        <v>3250</v>
      </c>
      <c r="F3949" s="247"/>
      <c r="G3949" s="58">
        <f t="shared" si="65"/>
        <v>-3250</v>
      </c>
      <c r="H3949" s="219" t="s">
        <v>2885</v>
      </c>
    </row>
    <row r="3950" spans="1:8" ht="15.75" thickBot="1" x14ac:dyDescent="0.25">
      <c r="A3950" s="597">
        <v>43070</v>
      </c>
      <c r="B3950" s="222" t="s">
        <v>1400</v>
      </c>
      <c r="C3950" s="222" t="s">
        <v>1230</v>
      </c>
      <c r="D3950" s="806" t="s">
        <v>3070</v>
      </c>
      <c r="E3950" s="247">
        <v>6669.6666666666661</v>
      </c>
      <c r="F3950" s="247"/>
      <c r="G3950" s="58">
        <f t="shared" si="65"/>
        <v>-6669.6666666666661</v>
      </c>
      <c r="H3950" s="219" t="s">
        <v>2885</v>
      </c>
    </row>
    <row r="3951" spans="1:8" ht="15.75" thickBot="1" x14ac:dyDescent="0.25">
      <c r="A3951" s="597">
        <v>43070</v>
      </c>
      <c r="B3951" s="222" t="s">
        <v>1400</v>
      </c>
      <c r="C3951" s="222" t="s">
        <v>1230</v>
      </c>
      <c r="D3951" s="806" t="s">
        <v>2481</v>
      </c>
      <c r="E3951" s="247">
        <v>12070</v>
      </c>
      <c r="F3951" s="247"/>
      <c r="G3951" s="58">
        <f t="shared" si="65"/>
        <v>-12070</v>
      </c>
      <c r="H3951" s="219" t="s">
        <v>2885</v>
      </c>
    </row>
    <row r="3952" spans="1:8" ht="15.75" thickBot="1" x14ac:dyDescent="0.25">
      <c r="A3952" s="597">
        <v>43070</v>
      </c>
      <c r="B3952" s="222" t="s">
        <v>1400</v>
      </c>
      <c r="C3952" s="222" t="s">
        <v>1230</v>
      </c>
      <c r="D3952" s="806" t="s">
        <v>2917</v>
      </c>
      <c r="E3952" s="247">
        <v>11550</v>
      </c>
      <c r="F3952" s="247"/>
      <c r="G3952" s="58">
        <f t="shared" si="65"/>
        <v>-11550</v>
      </c>
      <c r="H3952" s="219" t="s">
        <v>2885</v>
      </c>
    </row>
    <row r="3953" spans="1:8" ht="15.75" thickBot="1" x14ac:dyDescent="0.25">
      <c r="A3953" s="597">
        <v>43070</v>
      </c>
      <c r="B3953" s="222" t="s">
        <v>1400</v>
      </c>
      <c r="C3953" s="222" t="s">
        <v>1230</v>
      </c>
      <c r="D3953" s="806" t="s">
        <v>1848</v>
      </c>
      <c r="E3953" s="247">
        <v>466.66666666666652</v>
      </c>
      <c r="F3953" s="247"/>
      <c r="G3953" s="58">
        <f t="shared" si="65"/>
        <v>-466.66666666666652</v>
      </c>
      <c r="H3953" s="219" t="s">
        <v>2885</v>
      </c>
    </row>
    <row r="3954" spans="1:8" ht="15.75" thickBot="1" x14ac:dyDescent="0.25">
      <c r="A3954" s="597">
        <v>43070</v>
      </c>
      <c r="B3954" s="222" t="s">
        <v>2933</v>
      </c>
      <c r="C3954" s="222" t="s">
        <v>1230</v>
      </c>
      <c r="D3954" s="806" t="s">
        <v>1858</v>
      </c>
      <c r="E3954" s="247">
        <v>37119.833333333336</v>
      </c>
      <c r="F3954" s="247"/>
      <c r="G3954" s="58">
        <f t="shared" si="65"/>
        <v>-37119.833333333336</v>
      </c>
      <c r="H3954" s="219" t="s">
        <v>2885</v>
      </c>
    </row>
    <row r="3955" spans="1:8" ht="15.75" thickBot="1" x14ac:dyDescent="0.25">
      <c r="A3955" s="597">
        <v>43070</v>
      </c>
      <c r="B3955" s="222" t="s">
        <v>1400</v>
      </c>
      <c r="C3955" s="222" t="s">
        <v>1230</v>
      </c>
      <c r="D3955" s="806" t="s">
        <v>1872</v>
      </c>
      <c r="E3955" s="247">
        <v>22410</v>
      </c>
      <c r="F3955" s="247"/>
      <c r="G3955" s="58">
        <f t="shared" si="65"/>
        <v>-22410</v>
      </c>
      <c r="H3955" s="219" t="s">
        <v>2885</v>
      </c>
    </row>
    <row r="3956" spans="1:8" ht="15.75" thickBot="1" x14ac:dyDescent="0.25">
      <c r="A3956" s="597">
        <v>43070</v>
      </c>
      <c r="B3956" s="222" t="s">
        <v>40</v>
      </c>
      <c r="C3956" s="222" t="s">
        <v>1230</v>
      </c>
      <c r="D3956" s="806" t="s">
        <v>2284</v>
      </c>
      <c r="E3956" s="247">
        <v>30000</v>
      </c>
      <c r="F3956" s="247"/>
      <c r="G3956" s="58">
        <f t="shared" si="65"/>
        <v>-30000</v>
      </c>
      <c r="H3956" s="219" t="s">
        <v>2885</v>
      </c>
    </row>
    <row r="3957" spans="1:8" ht="15.75" thickBot="1" x14ac:dyDescent="0.25">
      <c r="A3957" s="597">
        <v>43070</v>
      </c>
      <c r="B3957" s="222" t="s">
        <v>40</v>
      </c>
      <c r="C3957" s="222" t="s">
        <v>1230</v>
      </c>
      <c r="D3957" s="806" t="s">
        <v>1855</v>
      </c>
      <c r="E3957" s="247">
        <v>24656.25</v>
      </c>
      <c r="F3957" s="247"/>
      <c r="G3957" s="58">
        <f t="shared" si="65"/>
        <v>-24656.25</v>
      </c>
      <c r="H3957" s="219" t="s">
        <v>2885</v>
      </c>
    </row>
    <row r="3958" spans="1:8" ht="15.75" thickBot="1" x14ac:dyDescent="0.25">
      <c r="A3958" s="597">
        <v>43070</v>
      </c>
      <c r="B3958" s="222" t="s">
        <v>40</v>
      </c>
      <c r="C3958" s="222" t="s">
        <v>1230</v>
      </c>
      <c r="D3958" s="806" t="s">
        <v>2483</v>
      </c>
      <c r="E3958" s="247">
        <v>16349.666666666668</v>
      </c>
      <c r="F3958" s="247"/>
      <c r="G3958" s="58">
        <f t="shared" si="65"/>
        <v>-16349.666666666668</v>
      </c>
      <c r="H3958" s="219" t="s">
        <v>2885</v>
      </c>
    </row>
    <row r="3959" spans="1:8" ht="15.75" thickBot="1" x14ac:dyDescent="0.25">
      <c r="A3959" s="597">
        <v>43070</v>
      </c>
      <c r="B3959" s="222" t="s">
        <v>40</v>
      </c>
      <c r="C3959" s="222" t="s">
        <v>1230</v>
      </c>
      <c r="D3959" s="806" t="s">
        <v>1851</v>
      </c>
      <c r="E3959" s="247">
        <v>9219.6666666666679</v>
      </c>
      <c r="F3959" s="247"/>
      <c r="G3959" s="58">
        <f t="shared" si="65"/>
        <v>-9219.6666666666679</v>
      </c>
      <c r="H3959" s="219" t="s">
        <v>2885</v>
      </c>
    </row>
    <row r="3960" spans="1:8" ht="15.75" thickBot="1" x14ac:dyDescent="0.25">
      <c r="A3960" s="597">
        <v>43070</v>
      </c>
      <c r="B3960" s="222" t="s">
        <v>11</v>
      </c>
      <c r="C3960" s="222" t="s">
        <v>1230</v>
      </c>
      <c r="D3960" s="806" t="s">
        <v>1847</v>
      </c>
      <c r="E3960" s="247">
        <v>22800</v>
      </c>
      <c r="F3960" s="247"/>
      <c r="G3960" s="58">
        <f t="shared" si="65"/>
        <v>-22800</v>
      </c>
      <c r="H3960" s="219" t="s">
        <v>2885</v>
      </c>
    </row>
    <row r="3961" spans="1:8" ht="15.75" thickBot="1" x14ac:dyDescent="0.25">
      <c r="A3961" s="597">
        <v>43070</v>
      </c>
      <c r="B3961" s="222" t="s">
        <v>37</v>
      </c>
      <c r="C3961" s="222" t="s">
        <v>1230</v>
      </c>
      <c r="D3961" s="806" t="s">
        <v>1866</v>
      </c>
      <c r="E3961" s="247">
        <v>13829.5</v>
      </c>
      <c r="F3961" s="247"/>
      <c r="G3961" s="58">
        <f t="shared" si="65"/>
        <v>-13829.5</v>
      </c>
      <c r="H3961" s="219" t="s">
        <v>2885</v>
      </c>
    </row>
    <row r="3962" spans="1:8" ht="15.75" thickBot="1" x14ac:dyDescent="0.25">
      <c r="A3962" s="597">
        <v>43070</v>
      </c>
      <c r="B3962" s="222" t="s">
        <v>37</v>
      </c>
      <c r="C3962" s="222" t="s">
        <v>1230</v>
      </c>
      <c r="D3962" s="806" t="s">
        <v>1867</v>
      </c>
      <c r="E3962" s="247">
        <v>13500</v>
      </c>
      <c r="F3962" s="247"/>
      <c r="G3962" s="58">
        <f t="shared" si="65"/>
        <v>-13500</v>
      </c>
      <c r="H3962" s="219" t="s">
        <v>2885</v>
      </c>
    </row>
    <row r="3963" spans="1:8" ht="15.75" thickBot="1" x14ac:dyDescent="0.25">
      <c r="A3963" s="597">
        <v>43070</v>
      </c>
      <c r="B3963" s="222" t="s">
        <v>37</v>
      </c>
      <c r="C3963" s="222" t="s">
        <v>1230</v>
      </c>
      <c r="D3963" s="806" t="s">
        <v>1868</v>
      </c>
      <c r="E3963" s="247">
        <v>17199.916666666668</v>
      </c>
      <c r="F3963" s="247"/>
      <c r="G3963" s="58">
        <f t="shared" si="65"/>
        <v>-17199.916666666668</v>
      </c>
      <c r="H3963" s="219" t="s">
        <v>2885</v>
      </c>
    </row>
    <row r="3964" spans="1:8" ht="15.75" thickBot="1" x14ac:dyDescent="0.25">
      <c r="A3964" s="597">
        <v>43070</v>
      </c>
      <c r="B3964" s="222" t="s">
        <v>37</v>
      </c>
      <c r="C3964" s="222" t="s">
        <v>1230</v>
      </c>
      <c r="D3964" s="806" t="s">
        <v>2919</v>
      </c>
      <c r="E3964" s="247">
        <v>10000</v>
      </c>
      <c r="F3964" s="247"/>
      <c r="G3964" s="58">
        <f t="shared" si="65"/>
        <v>-10000</v>
      </c>
      <c r="H3964" s="219" t="s">
        <v>2885</v>
      </c>
    </row>
    <row r="3965" spans="1:8" ht="15.75" thickBot="1" x14ac:dyDescent="0.25">
      <c r="A3965" s="597">
        <v>43070</v>
      </c>
      <c r="B3965" s="222" t="s">
        <v>37</v>
      </c>
      <c r="C3965" s="222" t="s">
        <v>1230</v>
      </c>
      <c r="D3965" s="806" t="s">
        <v>2720</v>
      </c>
      <c r="E3965" s="247">
        <v>11200</v>
      </c>
      <c r="F3965" s="247"/>
      <c r="G3965" s="58">
        <f t="shared" si="65"/>
        <v>-11200</v>
      </c>
      <c r="H3965" s="219" t="s">
        <v>2885</v>
      </c>
    </row>
    <row r="3966" spans="1:8" ht="15.75" customHeight="1" thickBot="1" x14ac:dyDescent="0.25">
      <c r="A3966" s="597">
        <v>43070</v>
      </c>
      <c r="B3966" s="222" t="s">
        <v>2787</v>
      </c>
      <c r="C3966" s="222" t="s">
        <v>1230</v>
      </c>
      <c r="D3966" s="806" t="s">
        <v>1863</v>
      </c>
      <c r="E3966" s="247">
        <v>26659.916666666672</v>
      </c>
      <c r="F3966" s="247"/>
      <c r="G3966" s="58">
        <f t="shared" si="65"/>
        <v>-26659.916666666672</v>
      </c>
      <c r="H3966" s="219" t="s">
        <v>2885</v>
      </c>
    </row>
    <row r="3967" spans="1:8" ht="15.75" customHeight="1" thickBot="1" x14ac:dyDescent="0.25">
      <c r="A3967" s="597">
        <v>43070</v>
      </c>
      <c r="B3967" s="222" t="s">
        <v>2787</v>
      </c>
      <c r="C3967" s="222" t="s">
        <v>1230</v>
      </c>
      <c r="D3967" s="806" t="s">
        <v>1864</v>
      </c>
      <c r="E3967" s="247">
        <v>37250</v>
      </c>
      <c r="F3967" s="247"/>
      <c r="G3967" s="58">
        <f t="shared" si="65"/>
        <v>-37250</v>
      </c>
      <c r="H3967" s="219" t="s">
        <v>2885</v>
      </c>
    </row>
    <row r="3968" spans="1:8" ht="15.75" thickBot="1" x14ac:dyDescent="0.25">
      <c r="A3968" s="597">
        <v>43070</v>
      </c>
      <c r="B3968" s="222" t="s">
        <v>2787</v>
      </c>
      <c r="C3968" s="222" t="s">
        <v>1230</v>
      </c>
      <c r="D3968" s="806" t="s">
        <v>1852</v>
      </c>
      <c r="E3968" s="247">
        <v>41980.208333333328</v>
      </c>
      <c r="F3968" s="247"/>
      <c r="G3968" s="58">
        <f t="shared" si="65"/>
        <v>-41980.208333333328</v>
      </c>
      <c r="H3968" s="219" t="s">
        <v>2885</v>
      </c>
    </row>
    <row r="3969" spans="1:8" ht="15.75" thickBot="1" x14ac:dyDescent="0.25">
      <c r="A3969" s="597">
        <v>43070</v>
      </c>
      <c r="B3969" s="222" t="s">
        <v>2787</v>
      </c>
      <c r="C3969" s="222" t="s">
        <v>1230</v>
      </c>
      <c r="D3969" s="806" t="s">
        <v>2181</v>
      </c>
      <c r="E3969" s="247">
        <v>3579.5833333333335</v>
      </c>
      <c r="F3969" s="247"/>
      <c r="G3969" s="58">
        <f t="shared" si="65"/>
        <v>-3579.5833333333335</v>
      </c>
      <c r="H3969" s="219" t="s">
        <v>2885</v>
      </c>
    </row>
    <row r="3970" spans="1:8" ht="15.75" thickBot="1" x14ac:dyDescent="0.25">
      <c r="A3970" s="597">
        <v>43070</v>
      </c>
      <c r="B3970" s="222" t="s">
        <v>2787</v>
      </c>
      <c r="C3970" s="222" t="s">
        <v>1230</v>
      </c>
      <c r="D3970" s="806" t="s">
        <v>2921</v>
      </c>
      <c r="E3970" s="247">
        <v>11940</v>
      </c>
      <c r="F3970" s="247"/>
      <c r="G3970" s="58">
        <f t="shared" si="65"/>
        <v>-11940</v>
      </c>
      <c r="H3970" s="219" t="s">
        <v>2885</v>
      </c>
    </row>
    <row r="3971" spans="1:8" ht="15.75" customHeight="1" thickBot="1" x14ac:dyDescent="0.25">
      <c r="A3971" s="597">
        <v>43070</v>
      </c>
      <c r="B3971" s="222" t="s">
        <v>2787</v>
      </c>
      <c r="C3971" s="222" t="s">
        <v>1230</v>
      </c>
      <c r="D3971" s="806" t="s">
        <v>3071</v>
      </c>
      <c r="E3971" s="247">
        <v>11100.25</v>
      </c>
      <c r="F3971" s="247"/>
      <c r="G3971" s="58">
        <f t="shared" si="65"/>
        <v>-11100.25</v>
      </c>
      <c r="H3971" s="219" t="s">
        <v>2885</v>
      </c>
    </row>
    <row r="3972" spans="1:8" ht="15.75" customHeight="1" thickBot="1" x14ac:dyDescent="0.25">
      <c r="A3972" s="597">
        <v>43070</v>
      </c>
      <c r="B3972" s="222" t="s">
        <v>2787</v>
      </c>
      <c r="C3972" s="222" t="s">
        <v>1230</v>
      </c>
      <c r="D3972" s="806" t="s">
        <v>668</v>
      </c>
      <c r="E3972" s="247">
        <v>18600.000000000004</v>
      </c>
      <c r="F3972" s="247"/>
      <c r="G3972" s="58">
        <f t="shared" si="65"/>
        <v>-18600.000000000004</v>
      </c>
      <c r="H3972" s="219" t="s">
        <v>2885</v>
      </c>
    </row>
    <row r="3973" spans="1:8" ht="15.75" customHeight="1" thickBot="1" x14ac:dyDescent="0.25">
      <c r="A3973" s="597">
        <v>43070</v>
      </c>
      <c r="B3973" s="222" t="s">
        <v>2787</v>
      </c>
      <c r="C3973" s="222" t="s">
        <v>1230</v>
      </c>
      <c r="D3973" s="806" t="s">
        <v>2760</v>
      </c>
      <c r="E3973" s="247">
        <v>9249.9166666666679</v>
      </c>
      <c r="F3973" s="247"/>
      <c r="G3973" s="58">
        <f t="shared" si="65"/>
        <v>-9249.9166666666679</v>
      </c>
      <c r="H3973" s="219" t="s">
        <v>2885</v>
      </c>
    </row>
    <row r="3974" spans="1:8" ht="15.75" customHeight="1" thickBot="1" x14ac:dyDescent="0.25">
      <c r="A3974" s="597">
        <v>43070</v>
      </c>
      <c r="B3974" s="222" t="s">
        <v>2787</v>
      </c>
      <c r="C3974" s="222" t="s">
        <v>1230</v>
      </c>
      <c r="D3974" s="806" t="s">
        <v>1859</v>
      </c>
      <c r="E3974" s="247">
        <v>13230</v>
      </c>
      <c r="F3974" s="247"/>
      <c r="G3974" s="58">
        <f t="shared" si="65"/>
        <v>-13230</v>
      </c>
      <c r="H3974" s="219" t="s">
        <v>2885</v>
      </c>
    </row>
    <row r="3975" spans="1:8" ht="15.75" customHeight="1" thickBot="1" x14ac:dyDescent="0.25">
      <c r="A3975" s="597">
        <v>43070</v>
      </c>
      <c r="B3975" s="222" t="s">
        <v>2787</v>
      </c>
      <c r="C3975" s="222" t="s">
        <v>1230</v>
      </c>
      <c r="D3975" s="806" t="s">
        <v>2922</v>
      </c>
      <c r="E3975" s="247">
        <v>37520</v>
      </c>
      <c r="F3975" s="247"/>
      <c r="G3975" s="58">
        <f t="shared" si="65"/>
        <v>-37520</v>
      </c>
      <c r="H3975" s="219" t="s">
        <v>2885</v>
      </c>
    </row>
    <row r="3976" spans="1:8" ht="15.75" customHeight="1" thickBot="1" x14ac:dyDescent="0.25">
      <c r="A3976" s="597">
        <v>43070</v>
      </c>
      <c r="B3976" s="222" t="s">
        <v>2787</v>
      </c>
      <c r="C3976" s="222" t="s">
        <v>1230</v>
      </c>
      <c r="D3976" s="806" t="s">
        <v>3072</v>
      </c>
      <c r="E3976" s="247">
        <v>16875</v>
      </c>
      <c r="F3976" s="247"/>
      <c r="G3976" s="58">
        <f t="shared" si="65"/>
        <v>-16875</v>
      </c>
      <c r="H3976" s="219" t="s">
        <v>2885</v>
      </c>
    </row>
    <row r="3977" spans="1:8" ht="15.75" customHeight="1" thickBot="1" x14ac:dyDescent="0.25">
      <c r="A3977" s="597">
        <v>43070</v>
      </c>
      <c r="B3977" s="222" t="s">
        <v>2787</v>
      </c>
      <c r="C3977" s="222" t="s">
        <v>1230</v>
      </c>
      <c r="D3977" s="806" t="s">
        <v>3073</v>
      </c>
      <c r="E3977" s="247">
        <v>20100</v>
      </c>
      <c r="F3977" s="247"/>
      <c r="G3977" s="58">
        <f t="shared" ref="G3977:G4040" si="66">F3977-E3977</f>
        <v>-20100</v>
      </c>
      <c r="H3977" s="219" t="s">
        <v>2885</v>
      </c>
    </row>
    <row r="3978" spans="1:8" ht="15.75" customHeight="1" thickBot="1" x14ac:dyDescent="0.25">
      <c r="A3978" s="597">
        <v>43070</v>
      </c>
      <c r="B3978" s="222" t="s">
        <v>2787</v>
      </c>
      <c r="C3978" s="222" t="s">
        <v>1230</v>
      </c>
      <c r="D3978" s="806" t="s">
        <v>1540</v>
      </c>
      <c r="E3978" s="247">
        <v>12570</v>
      </c>
      <c r="F3978" s="247"/>
      <c r="G3978" s="58">
        <f t="shared" si="66"/>
        <v>-12570</v>
      </c>
      <c r="H3978" s="219" t="s">
        <v>2885</v>
      </c>
    </row>
    <row r="3979" spans="1:8" ht="15.75" customHeight="1" thickBot="1" x14ac:dyDescent="0.25">
      <c r="A3979" s="597">
        <v>43070</v>
      </c>
      <c r="B3979" s="222" t="s">
        <v>2787</v>
      </c>
      <c r="C3979" s="222" t="s">
        <v>1230</v>
      </c>
      <c r="D3979" s="806" t="s">
        <v>2923</v>
      </c>
      <c r="E3979" s="247">
        <v>4400</v>
      </c>
      <c r="F3979" s="247"/>
      <c r="G3979" s="58">
        <f t="shared" si="66"/>
        <v>-4400</v>
      </c>
      <c r="H3979" s="219" t="s">
        <v>2885</v>
      </c>
    </row>
    <row r="3980" spans="1:8" ht="15.75" customHeight="1" thickBot="1" x14ac:dyDescent="0.25">
      <c r="A3980" s="597">
        <v>43070</v>
      </c>
      <c r="B3980" s="222" t="s">
        <v>2787</v>
      </c>
      <c r="C3980" s="222" t="s">
        <v>1230</v>
      </c>
      <c r="D3980" s="806" t="s">
        <v>3074</v>
      </c>
      <c r="E3980" s="247">
        <v>28970.166666666672</v>
      </c>
      <c r="F3980" s="247"/>
      <c r="G3980" s="58">
        <f t="shared" si="66"/>
        <v>-28970.166666666672</v>
      </c>
      <c r="H3980" s="219" t="s">
        <v>2885</v>
      </c>
    </row>
    <row r="3981" spans="1:8" ht="15.75" thickBot="1" x14ac:dyDescent="0.25">
      <c r="A3981" s="597">
        <v>43070</v>
      </c>
      <c r="B3981" s="222" t="s">
        <v>11</v>
      </c>
      <c r="C3981" s="222" t="s">
        <v>1230</v>
      </c>
      <c r="D3981" s="806" t="s">
        <v>1870</v>
      </c>
      <c r="E3981" s="247">
        <v>5000</v>
      </c>
      <c r="F3981" s="247"/>
      <c r="G3981" s="58">
        <f t="shared" si="66"/>
        <v>-5000</v>
      </c>
      <c r="H3981" s="219" t="s">
        <v>2885</v>
      </c>
    </row>
    <row r="3982" spans="1:8" ht="15.75" thickBot="1" x14ac:dyDescent="0.25">
      <c r="A3982" s="597">
        <v>43070</v>
      </c>
      <c r="B3982" s="222" t="s">
        <v>2933</v>
      </c>
      <c r="C3982" s="222" t="s">
        <v>1230</v>
      </c>
      <c r="D3982" s="806" t="s">
        <v>2925</v>
      </c>
      <c r="E3982" s="247">
        <v>45000</v>
      </c>
      <c r="F3982" s="247"/>
      <c r="G3982" s="58">
        <f t="shared" si="66"/>
        <v>-45000</v>
      </c>
      <c r="H3982" s="219" t="s">
        <v>2885</v>
      </c>
    </row>
    <row r="3983" spans="1:8" ht="15.75" thickBot="1" x14ac:dyDescent="0.25">
      <c r="A3983" s="597">
        <v>43070</v>
      </c>
      <c r="B3983" s="222" t="s">
        <v>16</v>
      </c>
      <c r="C3983" s="222"/>
      <c r="D3983" s="806" t="s">
        <v>3171</v>
      </c>
      <c r="E3983" s="247">
        <v>530</v>
      </c>
      <c r="F3983" s="247"/>
      <c r="G3983" s="58">
        <f t="shared" si="66"/>
        <v>-530</v>
      </c>
      <c r="H3983" s="219" t="s">
        <v>2885</v>
      </c>
    </row>
    <row r="3984" spans="1:8" ht="15.75" thickBot="1" x14ac:dyDescent="0.25">
      <c r="A3984" s="597">
        <v>43070</v>
      </c>
      <c r="B3984" s="222" t="s">
        <v>16</v>
      </c>
      <c r="C3984" s="222" t="s">
        <v>2874</v>
      </c>
      <c r="D3984" s="806" t="s">
        <v>3172</v>
      </c>
      <c r="E3984" s="247">
        <v>3200</v>
      </c>
      <c r="F3984" s="247"/>
      <c r="G3984" s="58">
        <f t="shared" si="66"/>
        <v>-3200</v>
      </c>
      <c r="H3984" s="219" t="s">
        <v>2885</v>
      </c>
    </row>
    <row r="3985" spans="1:8" ht="15.75" thickBot="1" x14ac:dyDescent="0.25">
      <c r="A3985" s="597">
        <v>43070</v>
      </c>
      <c r="B3985" s="222" t="s">
        <v>2787</v>
      </c>
      <c r="C3985" s="222" t="s">
        <v>3145</v>
      </c>
      <c r="D3985" s="806" t="s">
        <v>3173</v>
      </c>
      <c r="E3985" s="247">
        <v>4600</v>
      </c>
      <c r="F3985" s="247"/>
      <c r="G3985" s="58">
        <f t="shared" si="66"/>
        <v>-4600</v>
      </c>
      <c r="H3985" s="219" t="s">
        <v>2885</v>
      </c>
    </row>
    <row r="3986" spans="1:8" ht="15.75" thickBot="1" x14ac:dyDescent="0.25">
      <c r="A3986" s="597">
        <v>43073</v>
      </c>
      <c r="B3986" s="222" t="s">
        <v>16</v>
      </c>
      <c r="C3986" s="222" t="s">
        <v>2594</v>
      </c>
      <c r="D3986" s="806" t="s">
        <v>3174</v>
      </c>
      <c r="E3986" s="247">
        <v>10320</v>
      </c>
      <c r="F3986" s="247"/>
      <c r="G3986" s="58">
        <f t="shared" si="66"/>
        <v>-10320</v>
      </c>
      <c r="H3986" s="219" t="s">
        <v>2885</v>
      </c>
    </row>
    <row r="3987" spans="1:8" ht="15.75" thickBot="1" x14ac:dyDescent="0.25">
      <c r="A3987" s="597">
        <v>43073</v>
      </c>
      <c r="B3987" s="222" t="s">
        <v>25</v>
      </c>
      <c r="C3987" s="222" t="s">
        <v>2978</v>
      </c>
      <c r="D3987" s="806" t="s">
        <v>3175</v>
      </c>
      <c r="E3987" s="247">
        <v>4350</v>
      </c>
      <c r="F3987" s="247"/>
      <c r="G3987" s="58">
        <f t="shared" si="66"/>
        <v>-4350</v>
      </c>
      <c r="H3987" s="219" t="s">
        <v>2885</v>
      </c>
    </row>
    <row r="3988" spans="1:8" ht="15.75" thickBot="1" x14ac:dyDescent="0.25">
      <c r="A3988" s="597">
        <v>43073</v>
      </c>
      <c r="B3988" s="222" t="s">
        <v>1400</v>
      </c>
      <c r="C3988" s="222" t="s">
        <v>3077</v>
      </c>
      <c r="D3988" s="806" t="s">
        <v>3176</v>
      </c>
      <c r="E3988" s="247">
        <v>1000</v>
      </c>
      <c r="F3988" s="247"/>
      <c r="G3988" s="58">
        <f t="shared" si="66"/>
        <v>-1000</v>
      </c>
      <c r="H3988" s="219" t="s">
        <v>2885</v>
      </c>
    </row>
    <row r="3989" spans="1:8" ht="15.75" thickBot="1" x14ac:dyDescent="0.25">
      <c r="A3989" s="597">
        <v>43073</v>
      </c>
      <c r="B3989" s="222" t="s">
        <v>82</v>
      </c>
      <c r="C3989" s="222" t="s">
        <v>2160</v>
      </c>
      <c r="D3989" s="806"/>
      <c r="E3989" s="247">
        <v>4000</v>
      </c>
      <c r="F3989" s="247"/>
      <c r="G3989" s="58">
        <f t="shared" si="66"/>
        <v>-4000</v>
      </c>
      <c r="H3989" s="219" t="s">
        <v>2885</v>
      </c>
    </row>
    <row r="3990" spans="1:8" ht="15.75" thickBot="1" x14ac:dyDescent="0.25">
      <c r="A3990" s="597">
        <v>43073</v>
      </c>
      <c r="B3990" s="222" t="s">
        <v>82</v>
      </c>
      <c r="C3990" s="222" t="s">
        <v>2283</v>
      </c>
      <c r="D3990" s="806" t="s">
        <v>2979</v>
      </c>
      <c r="E3990" s="247">
        <v>13635</v>
      </c>
      <c r="F3990" s="247"/>
      <c r="G3990" s="58">
        <f t="shared" si="66"/>
        <v>-13635</v>
      </c>
      <c r="H3990" s="219" t="s">
        <v>2885</v>
      </c>
    </row>
    <row r="3991" spans="1:8" ht="15.75" thickBot="1" x14ac:dyDescent="0.25">
      <c r="A3991" s="597">
        <v>43073</v>
      </c>
      <c r="B3991" s="222" t="s">
        <v>16</v>
      </c>
      <c r="C3991" s="222" t="s">
        <v>668</v>
      </c>
      <c r="D3991" s="806"/>
      <c r="E3991" s="247">
        <v>9075</v>
      </c>
      <c r="F3991" s="247"/>
      <c r="G3991" s="58">
        <f t="shared" si="66"/>
        <v>-9075</v>
      </c>
      <c r="H3991" s="219" t="s">
        <v>2885</v>
      </c>
    </row>
    <row r="3992" spans="1:8" ht="15.75" thickBot="1" x14ac:dyDescent="0.25">
      <c r="A3992" s="597">
        <v>43073</v>
      </c>
      <c r="B3992" s="222" t="s">
        <v>25</v>
      </c>
      <c r="C3992" s="222" t="s">
        <v>1894</v>
      </c>
      <c r="D3992" s="806"/>
      <c r="E3992" s="247">
        <v>6220</v>
      </c>
      <c r="F3992" s="247"/>
      <c r="G3992" s="58">
        <f t="shared" si="66"/>
        <v>-6220</v>
      </c>
      <c r="H3992" s="219" t="s">
        <v>2885</v>
      </c>
    </row>
    <row r="3993" spans="1:8" ht="15.75" thickBot="1" x14ac:dyDescent="0.25">
      <c r="A3993" s="597">
        <v>43074</v>
      </c>
      <c r="B3993" s="222" t="s">
        <v>11</v>
      </c>
      <c r="C3993" s="222" t="s">
        <v>2473</v>
      </c>
      <c r="D3993" s="806"/>
      <c r="E3993" s="247">
        <v>12105</v>
      </c>
      <c r="F3993" s="247"/>
      <c r="G3993" s="58">
        <f t="shared" si="66"/>
        <v>-12105</v>
      </c>
      <c r="H3993" s="219" t="s">
        <v>2885</v>
      </c>
    </row>
    <row r="3994" spans="1:8" ht="15.75" customHeight="1" thickBot="1" x14ac:dyDescent="0.25">
      <c r="A3994" s="597">
        <v>43074</v>
      </c>
      <c r="B3994" s="222" t="s">
        <v>2787</v>
      </c>
      <c r="C3994" s="222" t="s">
        <v>3145</v>
      </c>
      <c r="D3994" s="806" t="s">
        <v>3177</v>
      </c>
      <c r="E3994" s="247">
        <v>13192</v>
      </c>
      <c r="F3994" s="247"/>
      <c r="G3994" s="58">
        <f t="shared" si="66"/>
        <v>-13192</v>
      </c>
      <c r="H3994" s="219" t="s">
        <v>2885</v>
      </c>
    </row>
    <row r="3995" spans="1:8" ht="15.75" thickBot="1" x14ac:dyDescent="0.25">
      <c r="A3995" s="597">
        <v>43074</v>
      </c>
      <c r="B3995" s="222" t="s">
        <v>82</v>
      </c>
      <c r="C3995" s="222" t="s">
        <v>3145</v>
      </c>
      <c r="D3995" s="806" t="s">
        <v>3178</v>
      </c>
      <c r="E3995" s="247">
        <v>1100</v>
      </c>
      <c r="F3995" s="247"/>
      <c r="G3995" s="58">
        <f t="shared" si="66"/>
        <v>-1100</v>
      </c>
      <c r="H3995" s="219" t="s">
        <v>2885</v>
      </c>
    </row>
    <row r="3996" spans="1:8" ht="15.75" thickBot="1" x14ac:dyDescent="0.25">
      <c r="A3996" s="597">
        <v>43074</v>
      </c>
      <c r="B3996" s="222" t="s">
        <v>2787</v>
      </c>
      <c r="C3996" s="222" t="s">
        <v>929</v>
      </c>
      <c r="D3996" s="806"/>
      <c r="E3996" s="247">
        <v>5000</v>
      </c>
      <c r="F3996" s="247"/>
      <c r="G3996" s="58">
        <f t="shared" si="66"/>
        <v>-5000</v>
      </c>
      <c r="H3996" s="219" t="s">
        <v>2885</v>
      </c>
    </row>
    <row r="3997" spans="1:8" ht="15.75" thickBot="1" x14ac:dyDescent="0.25">
      <c r="A3997" s="597">
        <v>43075</v>
      </c>
      <c r="B3997" s="222" t="s">
        <v>2548</v>
      </c>
      <c r="C3997" s="222" t="s">
        <v>3145</v>
      </c>
      <c r="D3997" s="806" t="s">
        <v>3179</v>
      </c>
      <c r="E3997" s="247">
        <v>16500</v>
      </c>
      <c r="F3997" s="247"/>
      <c r="G3997" s="58">
        <f t="shared" si="66"/>
        <v>-16500</v>
      </c>
      <c r="H3997" s="219" t="s">
        <v>2885</v>
      </c>
    </row>
    <row r="3998" spans="1:8" ht="15.75" thickBot="1" x14ac:dyDescent="0.25">
      <c r="A3998" s="597">
        <v>43076</v>
      </c>
      <c r="B3998" s="222" t="s">
        <v>1400</v>
      </c>
      <c r="C3998" s="222" t="s">
        <v>3145</v>
      </c>
      <c r="D3998" s="806"/>
      <c r="E3998" s="247">
        <v>8580</v>
      </c>
      <c r="F3998" s="247"/>
      <c r="G3998" s="58">
        <f t="shared" si="66"/>
        <v>-8580</v>
      </c>
      <c r="H3998" s="219" t="s">
        <v>2885</v>
      </c>
    </row>
    <row r="3999" spans="1:8" ht="15.75" thickBot="1" x14ac:dyDescent="0.25">
      <c r="A3999" s="597">
        <v>43076</v>
      </c>
      <c r="B3999" s="222" t="s">
        <v>2548</v>
      </c>
      <c r="C3999" s="222" t="s">
        <v>551</v>
      </c>
      <c r="D3999" s="806"/>
      <c r="E3999" s="247">
        <v>20600</v>
      </c>
      <c r="F3999" s="247"/>
      <c r="G3999" s="58">
        <f t="shared" si="66"/>
        <v>-20600</v>
      </c>
      <c r="H3999" s="219" t="s">
        <v>2885</v>
      </c>
    </row>
    <row r="4000" spans="1:8" ht="15.75" thickBot="1" x14ac:dyDescent="0.25">
      <c r="A4000" s="597">
        <v>43076</v>
      </c>
      <c r="B4000" s="222" t="s">
        <v>1400</v>
      </c>
      <c r="C4000" s="222" t="s">
        <v>1704</v>
      </c>
      <c r="D4000" s="806"/>
      <c r="E4000" s="247">
        <v>780</v>
      </c>
      <c r="F4000" s="247"/>
      <c r="G4000" s="58">
        <f t="shared" si="66"/>
        <v>-780</v>
      </c>
      <c r="H4000" s="219" t="s">
        <v>2885</v>
      </c>
    </row>
    <row r="4001" spans="1:8" ht="15.75" thickBot="1" x14ac:dyDescent="0.25">
      <c r="A4001" s="597">
        <v>43078</v>
      </c>
      <c r="B4001" s="222" t="s">
        <v>2787</v>
      </c>
      <c r="C4001" s="223" t="s">
        <v>3149</v>
      </c>
      <c r="D4001" s="806" t="s">
        <v>1855</v>
      </c>
      <c r="E4001" s="247">
        <v>1375</v>
      </c>
      <c r="F4001" s="247"/>
      <c r="G4001" s="58">
        <f t="shared" si="66"/>
        <v>-1375</v>
      </c>
      <c r="H4001" s="219" t="s">
        <v>2885</v>
      </c>
    </row>
    <row r="4002" spans="1:8" ht="15.75" thickBot="1" x14ac:dyDescent="0.25">
      <c r="A4002" s="597">
        <v>43078</v>
      </c>
      <c r="B4002" s="222" t="s">
        <v>2787</v>
      </c>
      <c r="C4002" s="222" t="s">
        <v>3145</v>
      </c>
      <c r="D4002" s="806" t="s">
        <v>3180</v>
      </c>
      <c r="E4002" s="247">
        <v>12280</v>
      </c>
      <c r="F4002" s="247"/>
      <c r="G4002" s="58">
        <f t="shared" si="66"/>
        <v>-12280</v>
      </c>
      <c r="H4002" s="219" t="s">
        <v>2885</v>
      </c>
    </row>
    <row r="4003" spans="1:8" ht="15.75" thickBot="1" x14ac:dyDescent="0.25">
      <c r="A4003" s="597">
        <v>43080</v>
      </c>
      <c r="B4003" s="222" t="s">
        <v>2652</v>
      </c>
      <c r="C4003" s="222" t="s">
        <v>392</v>
      </c>
      <c r="D4003" s="806" t="s">
        <v>4233</v>
      </c>
      <c r="E4003" s="247">
        <v>1515</v>
      </c>
      <c r="F4003" s="247"/>
      <c r="G4003" s="58">
        <f t="shared" si="66"/>
        <v>-1515</v>
      </c>
      <c r="H4003" s="219" t="s">
        <v>2885</v>
      </c>
    </row>
    <row r="4004" spans="1:8" ht="15.75" thickBot="1" x14ac:dyDescent="0.25">
      <c r="A4004" s="597">
        <v>43080</v>
      </c>
      <c r="B4004" s="222" t="s">
        <v>2787</v>
      </c>
      <c r="C4004" s="223" t="s">
        <v>3149</v>
      </c>
      <c r="D4004" s="806" t="s">
        <v>3181</v>
      </c>
      <c r="E4004" s="247">
        <v>700</v>
      </c>
      <c r="F4004" s="247"/>
      <c r="G4004" s="58">
        <f t="shared" si="66"/>
        <v>-700</v>
      </c>
      <c r="H4004" s="219" t="s">
        <v>2885</v>
      </c>
    </row>
    <row r="4005" spans="1:8" ht="15.75" thickBot="1" x14ac:dyDescent="0.25">
      <c r="A4005" s="597">
        <v>43081</v>
      </c>
      <c r="B4005" s="222" t="s">
        <v>25</v>
      </c>
      <c r="C4005" s="222" t="s">
        <v>1894</v>
      </c>
      <c r="D4005" s="806"/>
      <c r="E4005" s="247">
        <v>7600</v>
      </c>
      <c r="F4005" s="247"/>
      <c r="G4005" s="58">
        <f t="shared" si="66"/>
        <v>-7600</v>
      </c>
      <c r="H4005" s="219" t="s">
        <v>2885</v>
      </c>
    </row>
    <row r="4006" spans="1:8" ht="15.75" thickBot="1" x14ac:dyDescent="0.25">
      <c r="A4006" s="597">
        <v>43081</v>
      </c>
      <c r="B4006" s="222" t="s">
        <v>25</v>
      </c>
      <c r="C4006" s="222" t="s">
        <v>2978</v>
      </c>
      <c r="D4006" s="806"/>
      <c r="E4006" s="247">
        <v>2400</v>
      </c>
      <c r="F4006" s="247"/>
      <c r="G4006" s="58">
        <f t="shared" si="66"/>
        <v>-2400</v>
      </c>
      <c r="H4006" s="219" t="s">
        <v>2885</v>
      </c>
    </row>
    <row r="4007" spans="1:8" ht="15.75" thickBot="1" x14ac:dyDescent="0.25">
      <c r="A4007" s="597">
        <v>43082</v>
      </c>
      <c r="B4007" s="222" t="s">
        <v>2787</v>
      </c>
      <c r="C4007" s="222" t="s">
        <v>3145</v>
      </c>
      <c r="D4007" s="806" t="s">
        <v>3182</v>
      </c>
      <c r="E4007" s="247">
        <v>4750</v>
      </c>
      <c r="F4007" s="247"/>
      <c r="G4007" s="58">
        <f t="shared" si="66"/>
        <v>-4750</v>
      </c>
      <c r="H4007" s="219" t="s">
        <v>2885</v>
      </c>
    </row>
    <row r="4008" spans="1:8" ht="15.75" thickBot="1" x14ac:dyDescent="0.25">
      <c r="A4008" s="597">
        <v>43082</v>
      </c>
      <c r="B4008" s="222" t="s">
        <v>25</v>
      </c>
      <c r="C4008" s="222" t="s">
        <v>1894</v>
      </c>
      <c r="D4008" s="806" t="s">
        <v>2983</v>
      </c>
      <c r="E4008" s="247">
        <v>850</v>
      </c>
      <c r="F4008" s="247"/>
      <c r="G4008" s="58">
        <f t="shared" si="66"/>
        <v>-850</v>
      </c>
      <c r="H4008" s="219" t="s">
        <v>2885</v>
      </c>
    </row>
    <row r="4009" spans="1:8" ht="15.75" thickBot="1" x14ac:dyDescent="0.25">
      <c r="A4009" s="597">
        <v>43082</v>
      </c>
      <c r="B4009" s="222" t="s">
        <v>2787</v>
      </c>
      <c r="C4009" s="222" t="s">
        <v>3145</v>
      </c>
      <c r="D4009" s="806" t="s">
        <v>3183</v>
      </c>
      <c r="E4009" s="247">
        <v>1250</v>
      </c>
      <c r="F4009" s="247"/>
      <c r="G4009" s="58">
        <f t="shared" si="66"/>
        <v>-1250</v>
      </c>
      <c r="H4009" s="219" t="s">
        <v>2885</v>
      </c>
    </row>
    <row r="4010" spans="1:8" ht="15.75" thickBot="1" x14ac:dyDescent="0.25">
      <c r="A4010" s="597">
        <v>43083</v>
      </c>
      <c r="B4010" s="222" t="s">
        <v>1400</v>
      </c>
      <c r="C4010" s="222" t="s">
        <v>1704</v>
      </c>
      <c r="D4010" s="806"/>
      <c r="E4010" s="247">
        <v>780</v>
      </c>
      <c r="F4010" s="247"/>
      <c r="G4010" s="58">
        <f t="shared" si="66"/>
        <v>-780</v>
      </c>
      <c r="H4010" s="219" t="s">
        <v>2885</v>
      </c>
    </row>
    <row r="4011" spans="1:8" ht="15.75" thickBot="1" x14ac:dyDescent="0.25">
      <c r="A4011" s="597">
        <v>43083</v>
      </c>
      <c r="B4011" s="222" t="s">
        <v>2548</v>
      </c>
      <c r="C4011" s="222" t="s">
        <v>2874</v>
      </c>
      <c r="D4011" s="806" t="s">
        <v>2984</v>
      </c>
      <c r="E4011" s="247">
        <v>13500</v>
      </c>
      <c r="F4011" s="247"/>
      <c r="G4011" s="58">
        <f t="shared" si="66"/>
        <v>-13500</v>
      </c>
      <c r="H4011" s="219" t="s">
        <v>2885</v>
      </c>
    </row>
    <row r="4012" spans="1:8" ht="15.75" thickBot="1" x14ac:dyDescent="0.25">
      <c r="A4012" s="597">
        <v>43083</v>
      </c>
      <c r="B4012" s="222" t="s">
        <v>1400</v>
      </c>
      <c r="C4012" s="222" t="s">
        <v>64</v>
      </c>
      <c r="D4012" s="806" t="s">
        <v>2985</v>
      </c>
      <c r="E4012" s="247">
        <v>1460</v>
      </c>
      <c r="F4012" s="247"/>
      <c r="G4012" s="58">
        <f t="shared" si="66"/>
        <v>-1460</v>
      </c>
      <c r="H4012" s="219" t="s">
        <v>2885</v>
      </c>
    </row>
    <row r="4013" spans="1:8" ht="15.75" thickBot="1" x14ac:dyDescent="0.25">
      <c r="A4013" s="597">
        <v>43083</v>
      </c>
      <c r="B4013" s="222" t="s">
        <v>2787</v>
      </c>
      <c r="C4013" s="222" t="s">
        <v>3145</v>
      </c>
      <c r="D4013" s="806" t="s">
        <v>3184</v>
      </c>
      <c r="E4013" s="247">
        <v>10420</v>
      </c>
      <c r="F4013" s="247"/>
      <c r="G4013" s="58">
        <f t="shared" si="66"/>
        <v>-10420</v>
      </c>
      <c r="H4013" s="219" t="s">
        <v>2885</v>
      </c>
    </row>
    <row r="4014" spans="1:8" ht="15.75" thickBot="1" x14ac:dyDescent="0.25">
      <c r="A4014" s="597">
        <v>43083</v>
      </c>
      <c r="B4014" s="222" t="s">
        <v>2933</v>
      </c>
      <c r="C4014" s="222" t="s">
        <v>286</v>
      </c>
      <c r="D4014" s="806" t="s">
        <v>3148</v>
      </c>
      <c r="E4014" s="247">
        <v>5000</v>
      </c>
      <c r="F4014" s="247"/>
      <c r="G4014" s="58">
        <f t="shared" si="66"/>
        <v>-5000</v>
      </c>
      <c r="H4014" s="219" t="s">
        <v>2885</v>
      </c>
    </row>
    <row r="4015" spans="1:8" ht="15.75" thickBot="1" x14ac:dyDescent="0.25">
      <c r="A4015" s="597">
        <v>43083</v>
      </c>
      <c r="B4015" s="222" t="s">
        <v>1400</v>
      </c>
      <c r="C4015" s="222" t="s">
        <v>3077</v>
      </c>
      <c r="D4015" s="806"/>
      <c r="E4015" s="247">
        <v>2485</v>
      </c>
      <c r="F4015" s="247"/>
      <c r="G4015" s="58">
        <f t="shared" si="66"/>
        <v>-2485</v>
      </c>
      <c r="H4015" s="219" t="s">
        <v>2885</v>
      </c>
    </row>
    <row r="4016" spans="1:8" ht="15.75" thickBot="1" x14ac:dyDescent="0.25">
      <c r="A4016" s="597">
        <v>43087</v>
      </c>
      <c r="B4016" s="222" t="s">
        <v>25</v>
      </c>
      <c r="C4016" s="222" t="s">
        <v>1894</v>
      </c>
      <c r="D4016" s="806"/>
      <c r="E4016" s="247">
        <v>6410</v>
      </c>
      <c r="F4016" s="247"/>
      <c r="G4016" s="247">
        <f t="shared" si="66"/>
        <v>-6410</v>
      </c>
      <c r="H4016" s="219" t="s">
        <v>2885</v>
      </c>
    </row>
    <row r="4017" spans="1:8" ht="15.75" thickBot="1" x14ac:dyDescent="0.25">
      <c r="A4017" s="597">
        <v>43087</v>
      </c>
      <c r="B4017" s="222" t="s">
        <v>2787</v>
      </c>
      <c r="C4017" s="222" t="s">
        <v>2797</v>
      </c>
      <c r="D4017" s="806" t="s">
        <v>370</v>
      </c>
      <c r="E4017" s="247">
        <v>1000</v>
      </c>
      <c r="F4017" s="247"/>
      <c r="G4017" s="247">
        <f t="shared" si="66"/>
        <v>-1000</v>
      </c>
      <c r="H4017" s="219" t="s">
        <v>2885</v>
      </c>
    </row>
    <row r="4018" spans="1:8" ht="15.75" thickBot="1" x14ac:dyDescent="0.25">
      <c r="A4018" s="597">
        <v>43087</v>
      </c>
      <c r="B4018" s="222" t="s">
        <v>1400</v>
      </c>
      <c r="C4018" s="222" t="s">
        <v>929</v>
      </c>
      <c r="D4018" s="806"/>
      <c r="E4018" s="247">
        <v>25000</v>
      </c>
      <c r="F4018" s="247"/>
      <c r="G4018" s="247">
        <f t="shared" si="66"/>
        <v>-25000</v>
      </c>
      <c r="H4018" s="219" t="s">
        <v>2885</v>
      </c>
    </row>
    <row r="4019" spans="1:8" ht="15.75" thickBot="1" x14ac:dyDescent="0.25">
      <c r="A4019" s="597">
        <v>43087</v>
      </c>
      <c r="B4019" s="222" t="s">
        <v>2787</v>
      </c>
      <c r="C4019" s="222" t="s">
        <v>2797</v>
      </c>
      <c r="D4019" s="806" t="s">
        <v>370</v>
      </c>
      <c r="E4019" s="247">
        <v>1000</v>
      </c>
      <c r="F4019" s="247"/>
      <c r="G4019" s="247">
        <f t="shared" si="66"/>
        <v>-1000</v>
      </c>
      <c r="H4019" s="219" t="s">
        <v>2885</v>
      </c>
    </row>
    <row r="4020" spans="1:8" ht="15.75" thickBot="1" x14ac:dyDescent="0.25">
      <c r="A4020" s="597">
        <v>43088</v>
      </c>
      <c r="B4020" s="222" t="s">
        <v>40</v>
      </c>
      <c r="C4020" s="222" t="s">
        <v>2557</v>
      </c>
      <c r="D4020" s="806"/>
      <c r="E4020" s="247">
        <v>2640</v>
      </c>
      <c r="F4020" s="247"/>
      <c r="G4020" s="247">
        <f t="shared" si="66"/>
        <v>-2640</v>
      </c>
      <c r="H4020" s="219" t="s">
        <v>2885</v>
      </c>
    </row>
    <row r="4021" spans="1:8" ht="15.75" thickBot="1" x14ac:dyDescent="0.25">
      <c r="A4021" s="597">
        <v>43088</v>
      </c>
      <c r="B4021" s="222" t="s">
        <v>37</v>
      </c>
      <c r="C4021" s="222" t="s">
        <v>2594</v>
      </c>
      <c r="D4021" s="806"/>
      <c r="E4021" s="247">
        <v>6895</v>
      </c>
      <c r="F4021" s="247"/>
      <c r="G4021" s="247">
        <f t="shared" si="66"/>
        <v>-6895</v>
      </c>
      <c r="H4021" s="219" t="s">
        <v>2885</v>
      </c>
    </row>
    <row r="4022" spans="1:8" ht="15.75" thickBot="1" x14ac:dyDescent="0.25">
      <c r="A4022" s="597">
        <v>43088</v>
      </c>
      <c r="B4022" s="222" t="s">
        <v>25</v>
      </c>
      <c r="C4022" s="222" t="s">
        <v>1894</v>
      </c>
      <c r="D4022" s="806" t="s">
        <v>2986</v>
      </c>
      <c r="E4022" s="247">
        <v>15000</v>
      </c>
      <c r="F4022" s="247"/>
      <c r="G4022" s="247">
        <f t="shared" si="66"/>
        <v>-15000</v>
      </c>
      <c r="H4022" s="219" t="s">
        <v>2885</v>
      </c>
    </row>
    <row r="4023" spans="1:8" ht="15.75" thickBot="1" x14ac:dyDescent="0.25">
      <c r="A4023" s="597">
        <v>43088</v>
      </c>
      <c r="B4023" s="222" t="s">
        <v>2787</v>
      </c>
      <c r="C4023" s="222" t="s">
        <v>3145</v>
      </c>
      <c r="D4023" s="806" t="s">
        <v>2987</v>
      </c>
      <c r="E4023" s="247">
        <v>1000</v>
      </c>
      <c r="F4023" s="247"/>
      <c r="G4023" s="247">
        <f t="shared" si="66"/>
        <v>-1000</v>
      </c>
      <c r="H4023" s="219" t="s">
        <v>2885</v>
      </c>
    </row>
    <row r="4024" spans="1:8" ht="15.75" thickBot="1" x14ac:dyDescent="0.25">
      <c r="A4024" s="597">
        <v>43088</v>
      </c>
      <c r="B4024" s="222" t="s">
        <v>2787</v>
      </c>
      <c r="C4024" s="223" t="s">
        <v>3149</v>
      </c>
      <c r="D4024" s="806" t="s">
        <v>3150</v>
      </c>
      <c r="E4024" s="247">
        <v>420</v>
      </c>
      <c r="F4024" s="247"/>
      <c r="G4024" s="247">
        <f t="shared" si="66"/>
        <v>-420</v>
      </c>
      <c r="H4024" s="219" t="s">
        <v>2885</v>
      </c>
    </row>
    <row r="4025" spans="1:8" ht="15.75" thickBot="1" x14ac:dyDescent="0.25">
      <c r="A4025" s="597">
        <v>43088</v>
      </c>
      <c r="B4025" s="222" t="s">
        <v>2787</v>
      </c>
      <c r="C4025" s="223" t="s">
        <v>3149</v>
      </c>
      <c r="D4025" s="806" t="s">
        <v>3150</v>
      </c>
      <c r="E4025" s="247">
        <v>210</v>
      </c>
      <c r="F4025" s="247"/>
      <c r="G4025" s="247">
        <f t="shared" si="66"/>
        <v>-210</v>
      </c>
      <c r="H4025" s="219" t="s">
        <v>2885</v>
      </c>
    </row>
    <row r="4026" spans="1:8" ht="15.75" thickBot="1" x14ac:dyDescent="0.25">
      <c r="A4026" s="597">
        <v>43088</v>
      </c>
      <c r="B4026" s="222" t="s">
        <v>2933</v>
      </c>
      <c r="C4026" s="222" t="s">
        <v>3149</v>
      </c>
      <c r="D4026" s="806" t="s">
        <v>3150</v>
      </c>
      <c r="E4026" s="247">
        <v>4340</v>
      </c>
      <c r="F4026" s="247"/>
      <c r="G4026" s="247">
        <f t="shared" si="66"/>
        <v>-4340</v>
      </c>
      <c r="H4026" s="219" t="s">
        <v>2885</v>
      </c>
    </row>
    <row r="4027" spans="1:8" ht="15.75" thickBot="1" x14ac:dyDescent="0.25">
      <c r="A4027" s="597">
        <v>43088</v>
      </c>
      <c r="B4027" s="222" t="s">
        <v>2548</v>
      </c>
      <c r="C4027" s="222" t="s">
        <v>2874</v>
      </c>
      <c r="D4027" s="806"/>
      <c r="E4027" s="247">
        <v>90</v>
      </c>
      <c r="F4027" s="247"/>
      <c r="G4027" s="247">
        <f t="shared" si="66"/>
        <v>-90</v>
      </c>
      <c r="H4027" s="219" t="s">
        <v>2885</v>
      </c>
    </row>
    <row r="4028" spans="1:8" ht="15.75" thickBot="1" x14ac:dyDescent="0.25">
      <c r="A4028" s="597">
        <v>43088</v>
      </c>
      <c r="B4028" s="222" t="s">
        <v>1400</v>
      </c>
      <c r="C4028" s="222" t="s">
        <v>2874</v>
      </c>
      <c r="D4028" s="806"/>
      <c r="E4028" s="247">
        <v>17335</v>
      </c>
      <c r="F4028" s="247"/>
      <c r="G4028" s="247">
        <f t="shared" si="66"/>
        <v>-17335</v>
      </c>
      <c r="H4028" s="219" t="s">
        <v>2885</v>
      </c>
    </row>
    <row r="4029" spans="1:8" ht="15.75" thickBot="1" x14ac:dyDescent="0.25">
      <c r="A4029" s="597">
        <v>43088</v>
      </c>
      <c r="B4029" s="222" t="s">
        <v>2787</v>
      </c>
      <c r="C4029" s="222" t="s">
        <v>3145</v>
      </c>
      <c r="D4029" s="806" t="s">
        <v>3185</v>
      </c>
      <c r="E4029" s="247">
        <v>392</v>
      </c>
      <c r="F4029" s="247"/>
      <c r="G4029" s="247">
        <f t="shared" si="66"/>
        <v>-392</v>
      </c>
      <c r="H4029" s="219" t="s">
        <v>2885</v>
      </c>
    </row>
    <row r="4030" spans="1:8" ht="15.75" thickBot="1" x14ac:dyDescent="0.25">
      <c r="A4030" s="597">
        <v>43089</v>
      </c>
      <c r="B4030" s="222" t="s">
        <v>11</v>
      </c>
      <c r="C4030" s="222" t="s">
        <v>290</v>
      </c>
      <c r="D4030" s="806"/>
      <c r="E4030" s="247">
        <v>2905</v>
      </c>
      <c r="F4030" s="247"/>
      <c r="G4030" s="247">
        <f t="shared" si="66"/>
        <v>-2905</v>
      </c>
      <c r="H4030" s="219" t="s">
        <v>2885</v>
      </c>
    </row>
    <row r="4031" spans="1:8" ht="15.75" thickBot="1" x14ac:dyDescent="0.25">
      <c r="A4031" s="597">
        <v>43089</v>
      </c>
      <c r="B4031" s="222" t="s">
        <v>2548</v>
      </c>
      <c r="C4031" s="222" t="s">
        <v>290</v>
      </c>
      <c r="D4031" s="806"/>
      <c r="E4031" s="247">
        <v>8070</v>
      </c>
      <c r="F4031" s="247"/>
      <c r="G4031" s="247">
        <f t="shared" si="66"/>
        <v>-8070</v>
      </c>
      <c r="H4031" s="219" t="s">
        <v>2885</v>
      </c>
    </row>
    <row r="4032" spans="1:8" ht="15.75" thickBot="1" x14ac:dyDescent="0.25">
      <c r="A4032" s="597">
        <v>43089</v>
      </c>
      <c r="B4032" s="222" t="s">
        <v>2548</v>
      </c>
      <c r="C4032" s="222"/>
      <c r="D4032" s="806" t="s">
        <v>2989</v>
      </c>
      <c r="E4032" s="247">
        <v>1830</v>
      </c>
      <c r="F4032" s="247"/>
      <c r="G4032" s="247">
        <f t="shared" si="66"/>
        <v>-1830</v>
      </c>
      <c r="H4032" s="219" t="s">
        <v>2885</v>
      </c>
    </row>
    <row r="4033" spans="1:8" ht="15.75" thickBot="1" x14ac:dyDescent="0.25">
      <c r="A4033" s="597">
        <v>43089</v>
      </c>
      <c r="B4033" s="222" t="s">
        <v>2787</v>
      </c>
      <c r="C4033" s="222" t="s">
        <v>3145</v>
      </c>
      <c r="D4033" s="806" t="s">
        <v>2988</v>
      </c>
      <c r="E4033" s="247">
        <v>7500</v>
      </c>
      <c r="F4033" s="247"/>
      <c r="G4033" s="247">
        <f t="shared" si="66"/>
        <v>-7500</v>
      </c>
      <c r="H4033" s="219" t="s">
        <v>2885</v>
      </c>
    </row>
    <row r="4034" spans="1:8" ht="15.75" thickBot="1" x14ac:dyDescent="0.25">
      <c r="A4034" s="597">
        <v>43090</v>
      </c>
      <c r="B4034" s="41" t="s">
        <v>16</v>
      </c>
      <c r="D4034" s="108" t="s">
        <v>2990</v>
      </c>
      <c r="E4034" s="42">
        <v>14689</v>
      </c>
      <c r="G4034" s="42">
        <f t="shared" si="66"/>
        <v>-14689</v>
      </c>
      <c r="H4034" s="219" t="s">
        <v>2885</v>
      </c>
    </row>
    <row r="4035" spans="1:8" ht="15.75" thickBot="1" x14ac:dyDescent="0.25">
      <c r="A4035" s="597">
        <v>43090</v>
      </c>
      <c r="B4035" s="222" t="s">
        <v>25</v>
      </c>
      <c r="C4035" s="222" t="s">
        <v>1894</v>
      </c>
      <c r="D4035" s="806"/>
      <c r="E4035" s="249">
        <v>3620</v>
      </c>
      <c r="F4035" s="249"/>
      <c r="G4035" s="249">
        <f t="shared" si="66"/>
        <v>-3620</v>
      </c>
      <c r="H4035" s="219" t="s">
        <v>2885</v>
      </c>
    </row>
    <row r="4036" spans="1:8" ht="15.75" thickBot="1" x14ac:dyDescent="0.25">
      <c r="A4036" s="597">
        <v>43090</v>
      </c>
      <c r="B4036" s="222" t="s">
        <v>2787</v>
      </c>
      <c r="C4036" s="222" t="s">
        <v>286</v>
      </c>
      <c r="D4036" s="806" t="s">
        <v>3148</v>
      </c>
      <c r="E4036" s="249">
        <v>2500</v>
      </c>
      <c r="F4036" s="249"/>
      <c r="G4036" s="249">
        <f t="shared" si="66"/>
        <v>-2500</v>
      </c>
      <c r="H4036" s="219" t="s">
        <v>2885</v>
      </c>
    </row>
    <row r="4037" spans="1:8" ht="15.75" thickBot="1" x14ac:dyDescent="0.25">
      <c r="A4037" s="597">
        <v>43090</v>
      </c>
      <c r="B4037" s="222" t="s">
        <v>2548</v>
      </c>
      <c r="C4037" s="222" t="s">
        <v>290</v>
      </c>
      <c r="D4037" s="806" t="s">
        <v>2991</v>
      </c>
      <c r="E4037" s="249">
        <v>6000</v>
      </c>
      <c r="F4037" s="249"/>
      <c r="G4037" s="249">
        <f t="shared" si="66"/>
        <v>-6000</v>
      </c>
      <c r="H4037" s="219" t="s">
        <v>2885</v>
      </c>
    </row>
    <row r="4038" spans="1:8" ht="15.75" thickBot="1" x14ac:dyDescent="0.25">
      <c r="A4038" s="597">
        <v>43091</v>
      </c>
      <c r="B4038" s="222" t="s">
        <v>40</v>
      </c>
      <c r="C4038" s="222" t="s">
        <v>2557</v>
      </c>
      <c r="D4038" s="806"/>
      <c r="E4038" s="249">
        <v>280</v>
      </c>
      <c r="F4038" s="249"/>
      <c r="G4038" s="249">
        <f t="shared" si="66"/>
        <v>-280</v>
      </c>
      <c r="H4038" s="219" t="s">
        <v>2885</v>
      </c>
    </row>
    <row r="4039" spans="1:8" ht="15.75" thickBot="1" x14ac:dyDescent="0.25">
      <c r="A4039" s="597">
        <v>43091</v>
      </c>
      <c r="B4039" s="222" t="s">
        <v>2787</v>
      </c>
      <c r="C4039" s="222" t="s">
        <v>3145</v>
      </c>
      <c r="D4039" s="806" t="s">
        <v>2993</v>
      </c>
      <c r="E4039" s="249">
        <v>10500</v>
      </c>
      <c r="F4039" s="249"/>
      <c r="G4039" s="249">
        <f t="shared" si="66"/>
        <v>-10500</v>
      </c>
      <c r="H4039" s="219" t="s">
        <v>2885</v>
      </c>
    </row>
    <row r="4040" spans="1:8" ht="15.75" thickBot="1" x14ac:dyDescent="0.25">
      <c r="A4040" s="597">
        <v>43092</v>
      </c>
      <c r="B4040" s="222" t="s">
        <v>2787</v>
      </c>
      <c r="C4040" s="222" t="s">
        <v>3016</v>
      </c>
      <c r="D4040" s="806" t="s">
        <v>2994</v>
      </c>
      <c r="E4040" s="249">
        <v>3000</v>
      </c>
      <c r="F4040" s="249"/>
      <c r="G4040" s="249">
        <f t="shared" si="66"/>
        <v>-3000</v>
      </c>
      <c r="H4040" s="219" t="s">
        <v>2885</v>
      </c>
    </row>
    <row r="4041" spans="1:8" ht="15.75" thickBot="1" x14ac:dyDescent="0.25">
      <c r="A4041" s="597">
        <v>43092</v>
      </c>
      <c r="B4041" s="222" t="s">
        <v>40</v>
      </c>
      <c r="C4041" s="222" t="s">
        <v>929</v>
      </c>
      <c r="D4041" s="806" t="s">
        <v>2995</v>
      </c>
      <c r="E4041" s="249">
        <v>17000</v>
      </c>
      <c r="F4041" s="249"/>
      <c r="G4041" s="249">
        <f t="shared" ref="G4041:G4104" si="67">F4041-E4041</f>
        <v>-17000</v>
      </c>
      <c r="H4041" s="219" t="s">
        <v>2885</v>
      </c>
    </row>
    <row r="4042" spans="1:8" ht="15.75" thickBot="1" x14ac:dyDescent="0.25">
      <c r="A4042" s="597">
        <v>43092</v>
      </c>
      <c r="B4042" s="222" t="s">
        <v>25</v>
      </c>
      <c r="C4042" s="222" t="s">
        <v>551</v>
      </c>
      <c r="D4042" s="806" t="s">
        <v>2996</v>
      </c>
      <c r="E4042" s="249">
        <v>15000</v>
      </c>
      <c r="F4042" s="249"/>
      <c r="G4042" s="249">
        <f t="shared" si="67"/>
        <v>-15000</v>
      </c>
      <c r="H4042" s="219" t="s">
        <v>2885</v>
      </c>
    </row>
    <row r="4043" spans="1:8" ht="15.75" thickBot="1" x14ac:dyDescent="0.25">
      <c r="A4043" s="597">
        <v>43092</v>
      </c>
      <c r="B4043" s="222" t="s">
        <v>25</v>
      </c>
      <c r="C4043" s="222" t="s">
        <v>1894</v>
      </c>
      <c r="D4043" s="806" t="s">
        <v>392</v>
      </c>
      <c r="E4043" s="249">
        <v>1560</v>
      </c>
      <c r="F4043" s="249"/>
      <c r="G4043" s="249">
        <f t="shared" si="67"/>
        <v>-1560</v>
      </c>
      <c r="H4043" s="219" t="s">
        <v>2885</v>
      </c>
    </row>
    <row r="4044" spans="1:8" ht="15.75" thickBot="1" x14ac:dyDescent="0.25">
      <c r="A4044" s="597">
        <v>43092</v>
      </c>
      <c r="B4044" s="222" t="s">
        <v>11</v>
      </c>
      <c r="C4044" s="222" t="s">
        <v>2473</v>
      </c>
      <c r="D4044" s="806" t="s">
        <v>2360</v>
      </c>
      <c r="E4044" s="249">
        <v>250</v>
      </c>
      <c r="F4044" s="249"/>
      <c r="G4044" s="249">
        <f t="shared" si="67"/>
        <v>-250</v>
      </c>
      <c r="H4044" s="219" t="s">
        <v>2885</v>
      </c>
    </row>
    <row r="4045" spans="1:8" ht="15.75" thickBot="1" x14ac:dyDescent="0.25">
      <c r="A4045" s="597">
        <v>43092</v>
      </c>
      <c r="B4045" s="222" t="s">
        <v>1400</v>
      </c>
      <c r="C4045" s="222" t="s">
        <v>1704</v>
      </c>
      <c r="D4045" s="806" t="s">
        <v>1410</v>
      </c>
      <c r="E4045" s="249">
        <v>630</v>
      </c>
      <c r="F4045" s="249"/>
      <c r="G4045" s="249">
        <f t="shared" si="67"/>
        <v>-630</v>
      </c>
      <c r="H4045" s="219" t="s">
        <v>2885</v>
      </c>
    </row>
    <row r="4046" spans="1:8" ht="15.75" thickBot="1" x14ac:dyDescent="0.25">
      <c r="A4046" s="597">
        <v>43092</v>
      </c>
      <c r="B4046" s="222" t="s">
        <v>2787</v>
      </c>
      <c r="C4046" s="222" t="s">
        <v>794</v>
      </c>
      <c r="D4046" s="806" t="s">
        <v>2997</v>
      </c>
      <c r="E4046" s="247">
        <v>17620</v>
      </c>
      <c r="F4046" s="247"/>
      <c r="G4046" s="247">
        <f t="shared" si="67"/>
        <v>-17620</v>
      </c>
      <c r="H4046" s="219" t="s">
        <v>2885</v>
      </c>
    </row>
    <row r="4047" spans="1:8" ht="15.75" thickBot="1" x14ac:dyDescent="0.25">
      <c r="A4047" s="597">
        <v>43095</v>
      </c>
      <c r="B4047" s="222" t="s">
        <v>2787</v>
      </c>
      <c r="C4047" s="222" t="s">
        <v>3145</v>
      </c>
      <c r="D4047" s="806" t="s">
        <v>2805</v>
      </c>
      <c r="E4047" s="247">
        <v>3588</v>
      </c>
      <c r="F4047" s="247"/>
      <c r="G4047" s="247">
        <f t="shared" si="67"/>
        <v>-3588</v>
      </c>
      <c r="H4047" s="219" t="s">
        <v>2885</v>
      </c>
    </row>
    <row r="4048" spans="1:8" ht="15.75" thickBot="1" x14ac:dyDescent="0.25">
      <c r="A4048" s="597">
        <v>43095</v>
      </c>
      <c r="B4048" s="222" t="s">
        <v>1400</v>
      </c>
      <c r="C4048" s="222" t="s">
        <v>780</v>
      </c>
      <c r="D4048" s="806" t="s">
        <v>72</v>
      </c>
      <c r="E4048" s="247">
        <v>51390</v>
      </c>
      <c r="F4048" s="247"/>
      <c r="G4048" s="247">
        <f t="shared" si="67"/>
        <v>-51390</v>
      </c>
      <c r="H4048" s="219" t="s">
        <v>2885</v>
      </c>
    </row>
    <row r="4049" spans="1:8" ht="15.75" thickBot="1" x14ac:dyDescent="0.25">
      <c r="A4049" s="597">
        <v>43095</v>
      </c>
      <c r="B4049" s="222" t="s">
        <v>2787</v>
      </c>
      <c r="C4049" s="223" t="s">
        <v>3149</v>
      </c>
      <c r="D4049" s="806" t="s">
        <v>1410</v>
      </c>
      <c r="E4049" s="247">
        <v>560</v>
      </c>
      <c r="F4049" s="247"/>
      <c r="G4049" s="247">
        <f t="shared" si="67"/>
        <v>-560</v>
      </c>
      <c r="H4049" s="219" t="s">
        <v>2885</v>
      </c>
    </row>
    <row r="4050" spans="1:8" ht="15.75" thickBot="1" x14ac:dyDescent="0.25">
      <c r="A4050" s="597">
        <v>43095</v>
      </c>
      <c r="B4050" s="222" t="s">
        <v>2787</v>
      </c>
      <c r="C4050" s="223" t="s">
        <v>3149</v>
      </c>
      <c r="D4050" s="806" t="s">
        <v>1410</v>
      </c>
      <c r="E4050" s="247">
        <v>420</v>
      </c>
      <c r="F4050" s="247"/>
      <c r="G4050" s="247">
        <f t="shared" si="67"/>
        <v>-420</v>
      </c>
      <c r="H4050" s="219" t="s">
        <v>2885</v>
      </c>
    </row>
    <row r="4051" spans="1:8" ht="15.75" thickBot="1" x14ac:dyDescent="0.25">
      <c r="A4051" s="597">
        <v>43095</v>
      </c>
      <c r="B4051" s="222" t="s">
        <v>2787</v>
      </c>
      <c r="C4051" s="223" t="s">
        <v>3149</v>
      </c>
      <c r="D4051" s="806" t="s">
        <v>1410</v>
      </c>
      <c r="E4051" s="247">
        <v>1120</v>
      </c>
      <c r="F4051" s="247"/>
      <c r="G4051" s="247">
        <f t="shared" si="67"/>
        <v>-1120</v>
      </c>
      <c r="H4051" s="219" t="s">
        <v>2885</v>
      </c>
    </row>
    <row r="4052" spans="1:8" ht="15.75" thickBot="1" x14ac:dyDescent="0.25">
      <c r="A4052" s="597">
        <v>43095</v>
      </c>
      <c r="B4052" s="222" t="s">
        <v>2787</v>
      </c>
      <c r="C4052" s="222" t="s">
        <v>3145</v>
      </c>
      <c r="D4052" s="806" t="s">
        <v>3186</v>
      </c>
      <c r="E4052" s="247">
        <v>13620</v>
      </c>
      <c r="F4052" s="247"/>
      <c r="G4052" s="247">
        <f t="shared" si="67"/>
        <v>-13620</v>
      </c>
      <c r="H4052" s="219" t="s">
        <v>2885</v>
      </c>
    </row>
    <row r="4053" spans="1:8" ht="15.75" thickBot="1" x14ac:dyDescent="0.25">
      <c r="A4053" s="597">
        <v>43095</v>
      </c>
      <c r="B4053" s="222" t="s">
        <v>25</v>
      </c>
      <c r="C4053" s="222" t="s">
        <v>2705</v>
      </c>
      <c r="D4053" s="806"/>
      <c r="E4053" s="247">
        <v>300</v>
      </c>
      <c r="F4053" s="247"/>
      <c r="G4053" s="247">
        <f t="shared" si="67"/>
        <v>-300</v>
      </c>
      <c r="H4053" s="219" t="s">
        <v>2885</v>
      </c>
    </row>
    <row r="4054" spans="1:8" ht="15.75" thickBot="1" x14ac:dyDescent="0.25">
      <c r="A4054" s="597">
        <v>43095</v>
      </c>
      <c r="B4054" s="222" t="s">
        <v>2787</v>
      </c>
      <c r="C4054" s="222" t="s">
        <v>3145</v>
      </c>
      <c r="D4054" s="806" t="s">
        <v>3187</v>
      </c>
      <c r="E4054" s="247">
        <v>23280</v>
      </c>
      <c r="F4054" s="247"/>
      <c r="G4054" s="247">
        <f t="shared" si="67"/>
        <v>-23280</v>
      </c>
      <c r="H4054" s="219" t="s">
        <v>2885</v>
      </c>
    </row>
    <row r="4055" spans="1:8" ht="15.75" thickBot="1" x14ac:dyDescent="0.25">
      <c r="A4055" s="597">
        <v>43096</v>
      </c>
      <c r="B4055" s="222" t="s">
        <v>1400</v>
      </c>
      <c r="C4055" s="222" t="s">
        <v>64</v>
      </c>
      <c r="D4055" s="806" t="s">
        <v>72</v>
      </c>
      <c r="E4055" s="247">
        <f>80380-E4056</f>
        <v>46380</v>
      </c>
      <c r="F4055" s="247"/>
      <c r="G4055" s="247">
        <f t="shared" si="67"/>
        <v>-46380</v>
      </c>
      <c r="H4055" s="219" t="s">
        <v>2885</v>
      </c>
    </row>
    <row r="4056" spans="1:8" ht="15.75" thickBot="1" x14ac:dyDescent="0.25">
      <c r="A4056" s="597">
        <v>43096</v>
      </c>
      <c r="B4056" s="222" t="s">
        <v>16</v>
      </c>
      <c r="C4056" s="222" t="s">
        <v>64</v>
      </c>
      <c r="D4056" s="806" t="s">
        <v>2998</v>
      </c>
      <c r="E4056" s="247">
        <v>34000</v>
      </c>
      <c r="F4056" s="247"/>
      <c r="G4056" s="247">
        <f t="shared" si="67"/>
        <v>-34000</v>
      </c>
      <c r="H4056" s="219" t="s">
        <v>2885</v>
      </c>
    </row>
    <row r="4057" spans="1:8" ht="15.75" thickBot="1" x14ac:dyDescent="0.25">
      <c r="A4057" s="597">
        <v>43097</v>
      </c>
      <c r="B4057" s="222" t="s">
        <v>2787</v>
      </c>
      <c r="C4057" s="222" t="s">
        <v>3145</v>
      </c>
      <c r="D4057" s="806" t="s">
        <v>3188</v>
      </c>
      <c r="E4057" s="247">
        <v>16130</v>
      </c>
      <c r="F4057" s="247"/>
      <c r="G4057" s="247">
        <f t="shared" si="67"/>
        <v>-16130</v>
      </c>
      <c r="H4057" s="219" t="s">
        <v>2885</v>
      </c>
    </row>
    <row r="4058" spans="1:8" ht="15.75" thickBot="1" x14ac:dyDescent="0.25">
      <c r="A4058" s="597">
        <v>43097</v>
      </c>
      <c r="B4058" s="222" t="s">
        <v>2787</v>
      </c>
      <c r="C4058" s="223" t="s">
        <v>3149</v>
      </c>
      <c r="D4058" s="806" t="s">
        <v>1410</v>
      </c>
      <c r="E4058" s="247">
        <v>280</v>
      </c>
      <c r="F4058" s="247"/>
      <c r="G4058" s="247">
        <f t="shared" si="67"/>
        <v>-280</v>
      </c>
      <c r="H4058" s="219" t="s">
        <v>2885</v>
      </c>
    </row>
    <row r="4059" spans="1:8" ht="15.75" thickBot="1" x14ac:dyDescent="0.25">
      <c r="A4059" s="597">
        <v>43097</v>
      </c>
      <c r="B4059" s="222" t="s">
        <v>2787</v>
      </c>
      <c r="C4059" s="223" t="s">
        <v>3149</v>
      </c>
      <c r="D4059" s="806" t="s">
        <v>1410</v>
      </c>
      <c r="E4059" s="247">
        <v>100</v>
      </c>
      <c r="F4059" s="247"/>
      <c r="G4059" s="247">
        <f t="shared" si="67"/>
        <v>-100</v>
      </c>
      <c r="H4059" s="219" t="s">
        <v>2885</v>
      </c>
    </row>
    <row r="4060" spans="1:8" ht="15.75" thickBot="1" x14ac:dyDescent="0.25">
      <c r="A4060" s="597">
        <v>43097</v>
      </c>
      <c r="B4060" s="222" t="s">
        <v>2933</v>
      </c>
      <c r="C4060" s="222" t="s">
        <v>3149</v>
      </c>
      <c r="D4060" s="806" t="s">
        <v>3151</v>
      </c>
      <c r="E4060" s="247">
        <v>1050</v>
      </c>
      <c r="F4060" s="247"/>
      <c r="G4060" s="247">
        <f t="shared" si="67"/>
        <v>-1050</v>
      </c>
      <c r="H4060" s="219" t="s">
        <v>2885</v>
      </c>
    </row>
    <row r="4061" spans="1:8" ht="15.75" thickBot="1" x14ac:dyDescent="0.25">
      <c r="A4061" s="597">
        <v>43097</v>
      </c>
      <c r="B4061" s="222" t="s">
        <v>2787</v>
      </c>
      <c r="C4061" s="223" t="s">
        <v>3149</v>
      </c>
      <c r="D4061" s="806" t="s">
        <v>1410</v>
      </c>
      <c r="E4061" s="247">
        <v>420</v>
      </c>
      <c r="F4061" s="247"/>
      <c r="G4061" s="247">
        <f t="shared" si="67"/>
        <v>-420</v>
      </c>
      <c r="H4061" s="219" t="s">
        <v>2885</v>
      </c>
    </row>
    <row r="4062" spans="1:8" ht="15.75" thickBot="1" x14ac:dyDescent="0.25">
      <c r="A4062" s="597">
        <v>43097</v>
      </c>
      <c r="B4062" s="222" t="s">
        <v>2787</v>
      </c>
      <c r="C4062" s="222" t="s">
        <v>2999</v>
      </c>
      <c r="D4062" s="806" t="s">
        <v>370</v>
      </c>
      <c r="E4062" s="247">
        <v>13000</v>
      </c>
      <c r="F4062" s="247"/>
      <c r="G4062" s="247">
        <f t="shared" si="67"/>
        <v>-13000</v>
      </c>
      <c r="H4062" s="219" t="s">
        <v>2885</v>
      </c>
    </row>
    <row r="4063" spans="1:8" ht="15.75" thickBot="1" x14ac:dyDescent="0.25">
      <c r="A4063" s="597">
        <v>43098</v>
      </c>
      <c r="B4063" s="222" t="s">
        <v>16</v>
      </c>
      <c r="C4063" s="222"/>
      <c r="D4063" s="806" t="s">
        <v>3000</v>
      </c>
      <c r="E4063" s="247">
        <v>1750</v>
      </c>
      <c r="F4063" s="247"/>
      <c r="G4063" s="247">
        <f t="shared" si="67"/>
        <v>-1750</v>
      </c>
      <c r="H4063" s="219" t="s">
        <v>2885</v>
      </c>
    </row>
    <row r="4064" spans="1:8" ht="15.75" thickBot="1" x14ac:dyDescent="0.25">
      <c r="A4064" s="597">
        <v>43098</v>
      </c>
      <c r="B4064" s="222" t="s">
        <v>2787</v>
      </c>
      <c r="C4064" s="222" t="s">
        <v>3145</v>
      </c>
      <c r="D4064" s="806" t="s">
        <v>3189</v>
      </c>
      <c r="E4064" s="247">
        <v>18434</v>
      </c>
      <c r="F4064" s="247"/>
      <c r="G4064" s="247">
        <f t="shared" si="67"/>
        <v>-18434</v>
      </c>
      <c r="H4064" s="219" t="s">
        <v>2885</v>
      </c>
    </row>
    <row r="4065" spans="1:8" ht="15.75" customHeight="1" thickBot="1" x14ac:dyDescent="0.25">
      <c r="A4065" s="597">
        <v>43098</v>
      </c>
      <c r="B4065" s="222" t="s">
        <v>14</v>
      </c>
      <c r="C4065" s="222" t="s">
        <v>2473</v>
      </c>
      <c r="D4065" s="806" t="s">
        <v>3001</v>
      </c>
      <c r="E4065" s="247">
        <v>1450</v>
      </c>
      <c r="F4065" s="247"/>
      <c r="G4065" s="247">
        <f t="shared" si="67"/>
        <v>-1450</v>
      </c>
      <c r="H4065" s="219" t="s">
        <v>2885</v>
      </c>
    </row>
    <row r="4066" spans="1:8" ht="15.75" customHeight="1" thickBot="1" x14ac:dyDescent="0.25">
      <c r="A4066" s="597">
        <v>43098</v>
      </c>
      <c r="B4066" s="222" t="s">
        <v>1400</v>
      </c>
      <c r="C4066" s="222" t="s">
        <v>2992</v>
      </c>
      <c r="D4066" s="806" t="s">
        <v>370</v>
      </c>
      <c r="E4066" s="247">
        <v>22000</v>
      </c>
      <c r="F4066" s="247"/>
      <c r="G4066" s="247">
        <f t="shared" si="67"/>
        <v>-22000</v>
      </c>
      <c r="H4066" s="219" t="s">
        <v>2885</v>
      </c>
    </row>
    <row r="4067" spans="1:8" ht="15.75" customHeight="1" thickBot="1" x14ac:dyDescent="0.25">
      <c r="A4067" s="597">
        <v>43099</v>
      </c>
      <c r="B4067" s="222" t="s">
        <v>2787</v>
      </c>
      <c r="C4067" s="222" t="s">
        <v>3145</v>
      </c>
      <c r="D4067" s="806" t="s">
        <v>3190</v>
      </c>
      <c r="E4067" s="247">
        <v>20183</v>
      </c>
      <c r="F4067" s="247"/>
      <c r="G4067" s="247">
        <f t="shared" si="67"/>
        <v>-20183</v>
      </c>
      <c r="H4067" s="219" t="s">
        <v>2885</v>
      </c>
    </row>
    <row r="4068" spans="1:8" ht="15.75" customHeight="1" thickBot="1" x14ac:dyDescent="0.25">
      <c r="A4068" s="597">
        <v>43099</v>
      </c>
      <c r="B4068" s="222" t="s">
        <v>11</v>
      </c>
      <c r="C4068" s="222" t="s">
        <v>290</v>
      </c>
      <c r="D4068" s="806"/>
      <c r="E4068" s="247">
        <v>2210</v>
      </c>
      <c r="F4068" s="247"/>
      <c r="G4068" s="247">
        <f t="shared" si="67"/>
        <v>-2210</v>
      </c>
      <c r="H4068" s="219" t="s">
        <v>2885</v>
      </c>
    </row>
    <row r="4069" spans="1:8" ht="15.75" customHeight="1" thickBot="1" x14ac:dyDescent="0.25">
      <c r="A4069" s="597">
        <v>43099</v>
      </c>
      <c r="B4069" s="222" t="s">
        <v>2548</v>
      </c>
      <c r="C4069" s="222" t="s">
        <v>290</v>
      </c>
      <c r="D4069" s="806"/>
      <c r="E4069" s="247">
        <v>900</v>
      </c>
      <c r="F4069" s="247"/>
      <c r="G4069" s="247">
        <f t="shared" si="67"/>
        <v>-900</v>
      </c>
      <c r="H4069" s="219" t="s">
        <v>2885</v>
      </c>
    </row>
    <row r="4070" spans="1:8" ht="15" x14ac:dyDescent="0.2">
      <c r="A4070" s="602">
        <v>43071</v>
      </c>
      <c r="B4070" s="240" t="s">
        <v>1400</v>
      </c>
      <c r="C4070" s="240" t="s">
        <v>1803</v>
      </c>
      <c r="D4070" s="157" t="s">
        <v>2895</v>
      </c>
      <c r="E4070" s="241">
        <v>82324</v>
      </c>
      <c r="F4070" s="241"/>
      <c r="G4070" s="241">
        <f t="shared" si="67"/>
        <v>-82324</v>
      </c>
      <c r="H4070" s="244" t="s">
        <v>2885</v>
      </c>
    </row>
    <row r="4071" spans="1:8" ht="15" x14ac:dyDescent="0.2">
      <c r="A4071" s="602">
        <v>43071</v>
      </c>
      <c r="B4071" s="240" t="s">
        <v>18</v>
      </c>
      <c r="C4071" s="240" t="s">
        <v>1803</v>
      </c>
      <c r="D4071" s="157" t="s">
        <v>2895</v>
      </c>
      <c r="E4071" s="241">
        <v>39941</v>
      </c>
      <c r="F4071" s="241"/>
      <c r="G4071" s="241">
        <f t="shared" si="67"/>
        <v>-39941</v>
      </c>
      <c r="H4071" s="244" t="s">
        <v>2885</v>
      </c>
    </row>
    <row r="4072" spans="1:8" ht="15" x14ac:dyDescent="0.2">
      <c r="A4072" s="602">
        <v>43071</v>
      </c>
      <c r="B4072" s="240" t="s">
        <v>2657</v>
      </c>
      <c r="C4072" s="240" t="s">
        <v>1803</v>
      </c>
      <c r="D4072" s="157" t="s">
        <v>2895</v>
      </c>
      <c r="E4072" s="241">
        <v>11328</v>
      </c>
      <c r="F4072" s="241"/>
      <c r="G4072" s="241">
        <f t="shared" si="67"/>
        <v>-11328</v>
      </c>
      <c r="H4072" s="244" t="s">
        <v>2885</v>
      </c>
    </row>
    <row r="4073" spans="1:8" ht="15" x14ac:dyDescent="0.2">
      <c r="A4073" s="602">
        <v>43073</v>
      </c>
      <c r="B4073" s="240" t="s">
        <v>2787</v>
      </c>
      <c r="C4073" s="240" t="s">
        <v>251</v>
      </c>
      <c r="D4073" s="157" t="s">
        <v>2896</v>
      </c>
      <c r="E4073" s="241">
        <v>100000</v>
      </c>
      <c r="F4073" s="241"/>
      <c r="G4073" s="241">
        <f t="shared" si="67"/>
        <v>-100000</v>
      </c>
      <c r="H4073" s="244" t="s">
        <v>2885</v>
      </c>
    </row>
    <row r="4074" spans="1:8" ht="15" x14ac:dyDescent="0.2">
      <c r="A4074" s="602">
        <v>43073</v>
      </c>
      <c r="B4074" s="240" t="s">
        <v>40</v>
      </c>
      <c r="C4074" s="240" t="s">
        <v>1983</v>
      </c>
      <c r="D4074" s="157" t="s">
        <v>2897</v>
      </c>
      <c r="E4074" s="241">
        <v>50000</v>
      </c>
      <c r="F4074" s="241"/>
      <c r="G4074" s="241">
        <f t="shared" si="67"/>
        <v>-50000</v>
      </c>
      <c r="H4074" s="244" t="s">
        <v>2885</v>
      </c>
    </row>
    <row r="4075" spans="1:8" ht="15" x14ac:dyDescent="0.2">
      <c r="A4075" s="602">
        <v>43074</v>
      </c>
      <c r="B4075" s="240" t="s">
        <v>2094</v>
      </c>
      <c r="C4075" s="240" t="s">
        <v>2128</v>
      </c>
      <c r="D4075" s="157" t="s">
        <v>2898</v>
      </c>
      <c r="E4075" s="241">
        <v>321180</v>
      </c>
      <c r="F4075" s="241"/>
      <c r="G4075" s="241">
        <f t="shared" si="67"/>
        <v>-321180</v>
      </c>
      <c r="H4075" s="244" t="s">
        <v>2885</v>
      </c>
    </row>
    <row r="4076" spans="1:8" ht="15" x14ac:dyDescent="0.2">
      <c r="A4076" s="602">
        <v>43075</v>
      </c>
      <c r="B4076" s="240" t="s">
        <v>1400</v>
      </c>
      <c r="C4076" s="240" t="s">
        <v>2840</v>
      </c>
      <c r="D4076" s="157" t="s">
        <v>2899</v>
      </c>
      <c r="E4076" s="241">
        <v>50000</v>
      </c>
      <c r="F4076" s="241"/>
      <c r="G4076" s="241">
        <f t="shared" si="67"/>
        <v>-50000</v>
      </c>
      <c r="H4076" s="244" t="s">
        <v>2885</v>
      </c>
    </row>
    <row r="4077" spans="1:8" ht="15" x14ac:dyDescent="0.2">
      <c r="A4077" s="602">
        <v>43075</v>
      </c>
      <c r="B4077" s="240" t="s">
        <v>2652</v>
      </c>
      <c r="C4077" s="240" t="s">
        <v>895</v>
      </c>
      <c r="D4077" s="157" t="s">
        <v>2900</v>
      </c>
      <c r="E4077" s="241">
        <v>288000</v>
      </c>
      <c r="F4077" s="241"/>
      <c r="G4077" s="241">
        <f t="shared" si="67"/>
        <v>-288000</v>
      </c>
      <c r="H4077" s="244" t="s">
        <v>2885</v>
      </c>
    </row>
    <row r="4078" spans="1:8" ht="15" x14ac:dyDescent="0.2">
      <c r="A4078" s="602">
        <v>43075</v>
      </c>
      <c r="B4078" s="240" t="s">
        <v>1400</v>
      </c>
      <c r="C4078" s="240" t="s">
        <v>1815</v>
      </c>
      <c r="D4078" s="157" t="s">
        <v>2901</v>
      </c>
      <c r="E4078" s="241">
        <v>700000</v>
      </c>
      <c r="F4078" s="241"/>
      <c r="G4078" s="241">
        <f t="shared" si="67"/>
        <v>-700000</v>
      </c>
      <c r="H4078" s="244" t="s">
        <v>2885</v>
      </c>
    </row>
    <row r="4079" spans="1:8" ht="15" customHeight="1" x14ac:dyDescent="0.2">
      <c r="A4079" s="602">
        <v>43075</v>
      </c>
      <c r="B4079" s="240" t="s">
        <v>2787</v>
      </c>
      <c r="C4079" s="240" t="s">
        <v>2128</v>
      </c>
      <c r="D4079" s="157" t="s">
        <v>2902</v>
      </c>
      <c r="E4079" s="241">
        <v>400000</v>
      </c>
      <c r="F4079" s="241"/>
      <c r="G4079" s="241">
        <f t="shared" si="67"/>
        <v>-400000</v>
      </c>
      <c r="H4079" s="244" t="s">
        <v>2885</v>
      </c>
    </row>
    <row r="4080" spans="1:8" ht="15" customHeight="1" x14ac:dyDescent="0.2">
      <c r="A4080" s="602">
        <v>43076</v>
      </c>
      <c r="B4080" s="240" t="s">
        <v>2787</v>
      </c>
      <c r="C4080" s="240" t="s">
        <v>137</v>
      </c>
      <c r="D4080" s="157" t="s">
        <v>3194</v>
      </c>
      <c r="E4080" s="241">
        <v>1500000</v>
      </c>
      <c r="F4080" s="241"/>
      <c r="G4080" s="241">
        <f t="shared" si="67"/>
        <v>-1500000</v>
      </c>
      <c r="H4080" s="244" t="s">
        <v>2885</v>
      </c>
    </row>
    <row r="4081" spans="1:8" ht="24" customHeight="1" x14ac:dyDescent="0.2">
      <c r="A4081" s="602">
        <v>43081</v>
      </c>
      <c r="B4081" s="240" t="s">
        <v>1400</v>
      </c>
      <c r="C4081" s="240" t="s">
        <v>2903</v>
      </c>
      <c r="D4081" s="157" t="s">
        <v>2904</v>
      </c>
      <c r="E4081" s="241">
        <v>343000</v>
      </c>
      <c r="F4081" s="241"/>
      <c r="G4081" s="241">
        <f t="shared" si="67"/>
        <v>-343000</v>
      </c>
      <c r="H4081" s="244" t="s">
        <v>2885</v>
      </c>
    </row>
    <row r="4082" spans="1:8" ht="15" customHeight="1" x14ac:dyDescent="0.2">
      <c r="A4082" s="602">
        <v>43081</v>
      </c>
      <c r="B4082" s="240" t="s">
        <v>2548</v>
      </c>
      <c r="C4082" s="240" t="s">
        <v>1511</v>
      </c>
      <c r="D4082" s="157" t="s">
        <v>2905</v>
      </c>
      <c r="E4082" s="241">
        <v>15000</v>
      </c>
      <c r="F4082" s="241"/>
      <c r="G4082" s="241">
        <f t="shared" si="67"/>
        <v>-15000</v>
      </c>
      <c r="H4082" s="244" t="s">
        <v>2885</v>
      </c>
    </row>
    <row r="4083" spans="1:8" ht="15" x14ac:dyDescent="0.2">
      <c r="A4083" s="602">
        <v>43083</v>
      </c>
      <c r="B4083" s="240" t="s">
        <v>2548</v>
      </c>
      <c r="C4083" s="240" t="s">
        <v>2907</v>
      </c>
      <c r="D4083" s="157" t="s">
        <v>2906</v>
      </c>
      <c r="E4083" s="241">
        <v>100000</v>
      </c>
      <c r="F4083" s="241"/>
      <c r="G4083" s="241">
        <f t="shared" si="67"/>
        <v>-100000</v>
      </c>
      <c r="H4083" s="244" t="s">
        <v>2885</v>
      </c>
    </row>
    <row r="4084" spans="1:8" ht="24" x14ac:dyDescent="0.2">
      <c r="A4084" s="602">
        <v>43083</v>
      </c>
      <c r="B4084" s="240" t="s">
        <v>1400</v>
      </c>
      <c r="C4084" s="240" t="s">
        <v>2330</v>
      </c>
      <c r="D4084" s="157" t="s">
        <v>2908</v>
      </c>
      <c r="E4084" s="241">
        <v>300000</v>
      </c>
      <c r="F4084" s="241"/>
      <c r="G4084" s="241">
        <f t="shared" si="67"/>
        <v>-300000</v>
      </c>
      <c r="H4084" s="244" t="s">
        <v>2885</v>
      </c>
    </row>
    <row r="4085" spans="1:8" ht="15" x14ac:dyDescent="0.2">
      <c r="A4085" s="602">
        <v>43083</v>
      </c>
      <c r="B4085" s="240" t="s">
        <v>2548</v>
      </c>
      <c r="C4085" s="240" t="s">
        <v>2386</v>
      </c>
      <c r="D4085" s="157" t="s">
        <v>2909</v>
      </c>
      <c r="E4085" s="241">
        <v>131000</v>
      </c>
      <c r="F4085" s="241"/>
      <c r="G4085" s="241">
        <f t="shared" si="67"/>
        <v>-131000</v>
      </c>
      <c r="H4085" s="244" t="s">
        <v>2885</v>
      </c>
    </row>
    <row r="4086" spans="1:8" ht="15" x14ac:dyDescent="0.2">
      <c r="A4086" s="602">
        <v>43083</v>
      </c>
      <c r="B4086" s="240" t="s">
        <v>1400</v>
      </c>
      <c r="C4086" s="240" t="s">
        <v>2515</v>
      </c>
      <c r="D4086" s="157" t="s">
        <v>2910</v>
      </c>
      <c r="E4086" s="241">
        <v>63000</v>
      </c>
      <c r="F4086" s="241"/>
      <c r="G4086" s="241">
        <f t="shared" si="67"/>
        <v>-63000</v>
      </c>
      <c r="H4086" s="244" t="s">
        <v>2885</v>
      </c>
    </row>
    <row r="4087" spans="1:8" ht="15" x14ac:dyDescent="0.2">
      <c r="A4087" s="602">
        <v>43083</v>
      </c>
      <c r="B4087" s="240" t="s">
        <v>2787</v>
      </c>
      <c r="C4087" s="240" t="s">
        <v>895</v>
      </c>
      <c r="D4087" s="157" t="s">
        <v>2911</v>
      </c>
      <c r="E4087" s="241">
        <v>100000</v>
      </c>
      <c r="F4087" s="241"/>
      <c r="G4087" s="241">
        <f t="shared" si="67"/>
        <v>-100000</v>
      </c>
      <c r="H4087" s="244" t="s">
        <v>2885</v>
      </c>
    </row>
    <row r="4088" spans="1:8" ht="15" customHeight="1" x14ac:dyDescent="0.2">
      <c r="A4088" s="602">
        <v>43083</v>
      </c>
      <c r="B4088" s="240" t="s">
        <v>2787</v>
      </c>
      <c r="C4088" s="240" t="s">
        <v>2762</v>
      </c>
      <c r="D4088" s="157" t="s">
        <v>2912</v>
      </c>
      <c r="E4088" s="241">
        <v>100000</v>
      </c>
      <c r="F4088" s="241"/>
      <c r="G4088" s="241">
        <f t="shared" si="67"/>
        <v>-100000</v>
      </c>
      <c r="H4088" s="244" t="s">
        <v>2885</v>
      </c>
    </row>
    <row r="4089" spans="1:8" ht="15" customHeight="1" x14ac:dyDescent="0.2">
      <c r="A4089" s="602">
        <v>43088</v>
      </c>
      <c r="B4089" s="240" t="s">
        <v>2548</v>
      </c>
      <c r="C4089" s="240" t="s">
        <v>2913</v>
      </c>
      <c r="D4089" s="157" t="s">
        <v>2914</v>
      </c>
      <c r="E4089" s="241">
        <v>48120</v>
      </c>
      <c r="F4089" s="241"/>
      <c r="G4089" s="241">
        <f t="shared" si="67"/>
        <v>-48120</v>
      </c>
      <c r="H4089" s="244" t="s">
        <v>2885</v>
      </c>
    </row>
    <row r="4090" spans="1:8" ht="15" customHeight="1" x14ac:dyDescent="0.2">
      <c r="A4090" s="602">
        <v>43088</v>
      </c>
      <c r="B4090" s="240" t="s">
        <v>1400</v>
      </c>
      <c r="C4090" s="240" t="s">
        <v>2913</v>
      </c>
      <c r="D4090" s="157" t="s">
        <v>2914</v>
      </c>
      <c r="E4090" s="241">
        <v>40050</v>
      </c>
      <c r="F4090" s="241"/>
      <c r="G4090" s="241">
        <f t="shared" si="67"/>
        <v>-40050</v>
      </c>
      <c r="H4090" s="244" t="s">
        <v>2885</v>
      </c>
    </row>
    <row r="4091" spans="1:8" ht="15" customHeight="1" x14ac:dyDescent="0.2">
      <c r="A4091" s="602">
        <v>43089</v>
      </c>
      <c r="B4091" s="240" t="s">
        <v>2787</v>
      </c>
      <c r="C4091" s="240" t="s">
        <v>251</v>
      </c>
      <c r="D4091" s="157" t="s">
        <v>2946</v>
      </c>
      <c r="E4091" s="241">
        <v>50000</v>
      </c>
      <c r="F4091" s="241"/>
      <c r="G4091" s="241">
        <f t="shared" si="67"/>
        <v>-50000</v>
      </c>
      <c r="H4091" s="244" t="s">
        <v>2885</v>
      </c>
    </row>
    <row r="4092" spans="1:8" ht="15" customHeight="1" x14ac:dyDescent="0.2">
      <c r="A4092" s="602">
        <v>43089</v>
      </c>
      <c r="B4092" s="240" t="s">
        <v>1400</v>
      </c>
      <c r="C4092" s="240" t="s">
        <v>2947</v>
      </c>
      <c r="D4092" s="157" t="s">
        <v>2948</v>
      </c>
      <c r="E4092" s="241">
        <v>40000</v>
      </c>
      <c r="F4092" s="241"/>
      <c r="G4092" s="241">
        <f t="shared" si="67"/>
        <v>-40000</v>
      </c>
      <c r="H4092" s="244" t="s">
        <v>2885</v>
      </c>
    </row>
    <row r="4093" spans="1:8" ht="15" customHeight="1" x14ac:dyDescent="0.2">
      <c r="A4093" s="602">
        <v>43089</v>
      </c>
      <c r="B4093" s="240" t="s">
        <v>1400</v>
      </c>
      <c r="C4093" s="240" t="s">
        <v>2642</v>
      </c>
      <c r="D4093" s="157" t="s">
        <v>2949</v>
      </c>
      <c r="E4093" s="241">
        <v>352550</v>
      </c>
      <c r="F4093" s="241"/>
      <c r="G4093" s="241">
        <f t="shared" si="67"/>
        <v>-352550</v>
      </c>
      <c r="H4093" s="244" t="s">
        <v>2885</v>
      </c>
    </row>
    <row r="4094" spans="1:8" ht="24" customHeight="1" x14ac:dyDescent="0.2">
      <c r="A4094" s="602">
        <v>43090</v>
      </c>
      <c r="B4094" s="240" t="s">
        <v>1400</v>
      </c>
      <c r="C4094" s="240" t="s">
        <v>2515</v>
      </c>
      <c r="D4094" s="157" t="s">
        <v>2950</v>
      </c>
      <c r="E4094" s="241">
        <v>110000</v>
      </c>
      <c r="F4094" s="241"/>
      <c r="G4094" s="241">
        <f t="shared" si="67"/>
        <v>-110000</v>
      </c>
      <c r="H4094" s="244" t="s">
        <v>2885</v>
      </c>
    </row>
    <row r="4095" spans="1:8" ht="15" customHeight="1" x14ac:dyDescent="0.2">
      <c r="A4095" s="602">
        <v>43092</v>
      </c>
      <c r="B4095" s="240" t="s">
        <v>2787</v>
      </c>
      <c r="C4095" s="240" t="s">
        <v>895</v>
      </c>
      <c r="D4095" s="157" t="s">
        <v>2951</v>
      </c>
      <c r="E4095" s="241">
        <v>287000</v>
      </c>
      <c r="F4095" s="241"/>
      <c r="G4095" s="241">
        <f t="shared" si="67"/>
        <v>-287000</v>
      </c>
      <c r="H4095" s="244" t="s">
        <v>2885</v>
      </c>
    </row>
    <row r="4096" spans="1:8" ht="15" customHeight="1" x14ac:dyDescent="0.2">
      <c r="A4096" s="602">
        <v>43097</v>
      </c>
      <c r="B4096" s="240" t="s">
        <v>1400</v>
      </c>
      <c r="C4096" s="240" t="s">
        <v>3077</v>
      </c>
      <c r="D4096" s="157" t="s">
        <v>2952</v>
      </c>
      <c r="E4096" s="241">
        <v>62500</v>
      </c>
      <c r="F4096" s="241"/>
      <c r="G4096" s="241">
        <f t="shared" si="67"/>
        <v>-62500</v>
      </c>
      <c r="H4096" s="244" t="s">
        <v>2885</v>
      </c>
    </row>
    <row r="4097" spans="1:8" ht="15" customHeight="1" x14ac:dyDescent="0.2">
      <c r="A4097" s="602">
        <v>43097</v>
      </c>
      <c r="B4097" s="240" t="s">
        <v>1400</v>
      </c>
      <c r="C4097" s="240" t="s">
        <v>2160</v>
      </c>
      <c r="D4097" s="157" t="s">
        <v>2953</v>
      </c>
      <c r="E4097" s="241">
        <v>20000</v>
      </c>
      <c r="F4097" s="241"/>
      <c r="G4097" s="241">
        <f t="shared" si="67"/>
        <v>-20000</v>
      </c>
      <c r="H4097" s="244" t="s">
        <v>2885</v>
      </c>
    </row>
    <row r="4098" spans="1:8" ht="15" x14ac:dyDescent="0.2">
      <c r="A4098" s="602">
        <v>43097</v>
      </c>
      <c r="B4098" s="240" t="s">
        <v>1400</v>
      </c>
      <c r="C4098" s="240" t="s">
        <v>2728</v>
      </c>
      <c r="D4098" s="157" t="s">
        <v>2956</v>
      </c>
      <c r="E4098" s="241">
        <v>12000</v>
      </c>
      <c r="F4098" s="241"/>
      <c r="G4098" s="241">
        <f t="shared" si="67"/>
        <v>-12000</v>
      </c>
      <c r="H4098" s="244" t="s">
        <v>2885</v>
      </c>
    </row>
    <row r="4099" spans="1:8" ht="15" x14ac:dyDescent="0.2">
      <c r="A4099" s="602">
        <v>43097</v>
      </c>
      <c r="B4099" s="240" t="s">
        <v>2548</v>
      </c>
      <c r="C4099" s="240" t="s">
        <v>2728</v>
      </c>
      <c r="D4099" s="157" t="s">
        <v>2956</v>
      </c>
      <c r="E4099" s="241">
        <v>4000</v>
      </c>
      <c r="F4099" s="241"/>
      <c r="G4099" s="241">
        <f t="shared" si="67"/>
        <v>-4000</v>
      </c>
      <c r="H4099" s="244" t="s">
        <v>2885</v>
      </c>
    </row>
    <row r="4100" spans="1:8" ht="24" x14ac:dyDescent="0.2">
      <c r="A4100" s="602">
        <v>43097</v>
      </c>
      <c r="B4100" s="240" t="s">
        <v>2787</v>
      </c>
      <c r="C4100" s="240" t="s">
        <v>266</v>
      </c>
      <c r="D4100" s="157" t="s">
        <v>2957</v>
      </c>
      <c r="E4100" s="241">
        <v>114000</v>
      </c>
      <c r="F4100" s="241"/>
      <c r="G4100" s="241">
        <f t="shared" si="67"/>
        <v>-114000</v>
      </c>
      <c r="H4100" s="244" t="s">
        <v>2885</v>
      </c>
    </row>
    <row r="4101" spans="1:8" ht="15" x14ac:dyDescent="0.2">
      <c r="A4101" s="602">
        <v>43097</v>
      </c>
      <c r="B4101" s="240" t="s">
        <v>2652</v>
      </c>
      <c r="C4101" s="240" t="s">
        <v>266</v>
      </c>
      <c r="D4101" s="157" t="s">
        <v>2958</v>
      </c>
      <c r="E4101" s="241">
        <v>68000</v>
      </c>
      <c r="F4101" s="241"/>
      <c r="G4101" s="241">
        <f t="shared" si="67"/>
        <v>-68000</v>
      </c>
      <c r="H4101" s="244" t="s">
        <v>2885</v>
      </c>
    </row>
    <row r="4102" spans="1:8" ht="15" x14ac:dyDescent="0.2">
      <c r="A4102" s="602">
        <v>43097</v>
      </c>
      <c r="B4102" s="240" t="s">
        <v>40</v>
      </c>
      <c r="C4102" s="240" t="s">
        <v>266</v>
      </c>
      <c r="D4102" s="157" t="s">
        <v>2958</v>
      </c>
      <c r="E4102" s="241">
        <v>5000</v>
      </c>
      <c r="F4102" s="241"/>
      <c r="G4102" s="241">
        <f t="shared" si="67"/>
        <v>-5000</v>
      </c>
      <c r="H4102" s="244" t="s">
        <v>2885</v>
      </c>
    </row>
    <row r="4103" spans="1:8" ht="15.75" thickBot="1" x14ac:dyDescent="0.25">
      <c r="A4103" s="599">
        <v>43071</v>
      </c>
      <c r="B4103" s="91" t="s">
        <v>82</v>
      </c>
      <c r="C4103" s="91" t="s">
        <v>559</v>
      </c>
      <c r="D4103" s="801" t="s">
        <v>2884</v>
      </c>
      <c r="E4103" s="92"/>
      <c r="F4103" s="92">
        <v>258448</v>
      </c>
      <c r="G4103" s="92">
        <f t="shared" si="67"/>
        <v>258448</v>
      </c>
      <c r="H4103" s="179" t="s">
        <v>2885</v>
      </c>
    </row>
    <row r="4104" spans="1:8" ht="15.75" thickBot="1" x14ac:dyDescent="0.25">
      <c r="A4104" s="599">
        <v>43081</v>
      </c>
      <c r="B4104" s="91" t="s">
        <v>2548</v>
      </c>
      <c r="C4104" s="91" t="s">
        <v>559</v>
      </c>
      <c r="D4104" s="801" t="s">
        <v>2887</v>
      </c>
      <c r="E4104" s="92"/>
      <c r="F4104" s="92">
        <v>49500</v>
      </c>
      <c r="G4104" s="92">
        <f t="shared" si="67"/>
        <v>49500</v>
      </c>
      <c r="H4104" s="179" t="s">
        <v>2885</v>
      </c>
    </row>
    <row r="4105" spans="1:8" ht="15.75" thickBot="1" x14ac:dyDescent="0.25">
      <c r="A4105" s="599">
        <v>43081</v>
      </c>
      <c r="B4105" s="91" t="s">
        <v>2548</v>
      </c>
      <c r="C4105" s="91" t="s">
        <v>559</v>
      </c>
      <c r="D4105" s="801" t="s">
        <v>2888</v>
      </c>
      <c r="E4105" s="92"/>
      <c r="F4105" s="92">
        <v>922841</v>
      </c>
      <c r="G4105" s="92">
        <f t="shared" ref="G4105:G4168" si="68">F4105-E4105</f>
        <v>922841</v>
      </c>
      <c r="H4105" s="179" t="s">
        <v>2885</v>
      </c>
    </row>
    <row r="4106" spans="1:8" ht="15.75" thickBot="1" x14ac:dyDescent="0.25">
      <c r="A4106" s="597">
        <v>43101</v>
      </c>
      <c r="B4106" s="222" t="s">
        <v>2787</v>
      </c>
      <c r="C4106" s="222" t="s">
        <v>1230</v>
      </c>
      <c r="D4106" s="806" t="s">
        <v>1836</v>
      </c>
      <c r="E4106" s="247">
        <v>50000</v>
      </c>
      <c r="F4106" s="247"/>
      <c r="G4106" s="58">
        <f t="shared" si="68"/>
        <v>-50000</v>
      </c>
      <c r="H4106" s="219" t="s">
        <v>2973</v>
      </c>
    </row>
    <row r="4107" spans="1:8" ht="15.75" thickBot="1" x14ac:dyDescent="0.25">
      <c r="A4107" s="597">
        <v>43101</v>
      </c>
      <c r="B4107" s="222" t="s">
        <v>25</v>
      </c>
      <c r="C4107" s="222" t="s">
        <v>1230</v>
      </c>
      <c r="D4107" s="806" t="s">
        <v>1839</v>
      </c>
      <c r="E4107" s="247">
        <v>6500</v>
      </c>
      <c r="F4107" s="247"/>
      <c r="G4107" s="58">
        <f t="shared" si="68"/>
        <v>-6500</v>
      </c>
      <c r="H4107" s="219" t="s">
        <v>2973</v>
      </c>
    </row>
    <row r="4108" spans="1:8" ht="15.75" thickBot="1" x14ac:dyDescent="0.25">
      <c r="A4108" s="597">
        <v>43101</v>
      </c>
      <c r="B4108" s="222" t="s">
        <v>25</v>
      </c>
      <c r="C4108" s="222" t="s">
        <v>1230</v>
      </c>
      <c r="D4108" s="806" t="s">
        <v>2183</v>
      </c>
      <c r="E4108" s="247">
        <v>13000</v>
      </c>
      <c r="F4108" s="247"/>
      <c r="G4108" s="58">
        <f t="shared" si="68"/>
        <v>-13000</v>
      </c>
      <c r="H4108" s="219" t="s">
        <v>2973</v>
      </c>
    </row>
    <row r="4109" spans="1:8" ht="15.75" customHeight="1" thickBot="1" x14ac:dyDescent="0.25">
      <c r="A4109" s="597">
        <v>43101</v>
      </c>
      <c r="B4109" s="222" t="s">
        <v>25</v>
      </c>
      <c r="C4109" s="222" t="s">
        <v>1230</v>
      </c>
      <c r="D4109" s="806" t="s">
        <v>1840</v>
      </c>
      <c r="E4109" s="247">
        <v>7000</v>
      </c>
      <c r="F4109" s="247"/>
      <c r="G4109" s="58">
        <f t="shared" si="68"/>
        <v>-7000</v>
      </c>
      <c r="H4109" s="219" t="s">
        <v>2973</v>
      </c>
    </row>
    <row r="4110" spans="1:8" ht="15.75" customHeight="1" thickBot="1" x14ac:dyDescent="0.25">
      <c r="A4110" s="597">
        <v>43101</v>
      </c>
      <c r="B4110" s="222" t="s">
        <v>25</v>
      </c>
      <c r="C4110" s="222" t="s">
        <v>1230</v>
      </c>
      <c r="D4110" s="806" t="s">
        <v>1547</v>
      </c>
      <c r="E4110" s="247">
        <v>9000</v>
      </c>
      <c r="F4110" s="247"/>
      <c r="G4110" s="58">
        <f t="shared" si="68"/>
        <v>-9000</v>
      </c>
      <c r="H4110" s="219" t="s">
        <v>2973</v>
      </c>
    </row>
    <row r="4111" spans="1:8" ht="15.75" customHeight="1" thickBot="1" x14ac:dyDescent="0.25">
      <c r="A4111" s="597">
        <v>43101</v>
      </c>
      <c r="B4111" s="222" t="s">
        <v>16</v>
      </c>
      <c r="C4111" s="222" t="s">
        <v>1230</v>
      </c>
      <c r="D4111" s="806" t="s">
        <v>1844</v>
      </c>
      <c r="E4111" s="247">
        <v>27309.717741935485</v>
      </c>
      <c r="F4111" s="247"/>
      <c r="G4111" s="58">
        <f t="shared" si="68"/>
        <v>-27309.717741935485</v>
      </c>
      <c r="H4111" s="219" t="s">
        <v>2973</v>
      </c>
    </row>
    <row r="4112" spans="1:8" ht="15.75" customHeight="1" thickBot="1" x14ac:dyDescent="0.25">
      <c r="A4112" s="597">
        <v>43101</v>
      </c>
      <c r="B4112" s="222" t="s">
        <v>16</v>
      </c>
      <c r="C4112" s="222" t="s">
        <v>1230</v>
      </c>
      <c r="D4112" s="806" t="s">
        <v>1842</v>
      </c>
      <c r="E4112" s="247">
        <v>25000</v>
      </c>
      <c r="F4112" s="247"/>
      <c r="G4112" s="58">
        <f t="shared" si="68"/>
        <v>-25000</v>
      </c>
      <c r="H4112" s="219" t="s">
        <v>2973</v>
      </c>
    </row>
    <row r="4113" spans="1:8" ht="15.75" customHeight="1" thickBot="1" x14ac:dyDescent="0.25">
      <c r="A4113" s="597">
        <v>43101</v>
      </c>
      <c r="B4113" s="222" t="s">
        <v>16</v>
      </c>
      <c r="C4113" s="222" t="s">
        <v>1230</v>
      </c>
      <c r="D4113" s="806" t="s">
        <v>1843</v>
      </c>
      <c r="E4113" s="247">
        <v>15099.774193548386</v>
      </c>
      <c r="F4113" s="247"/>
      <c r="G4113" s="58">
        <f t="shared" si="68"/>
        <v>-15099.774193548386</v>
      </c>
      <c r="H4113" s="219" t="s">
        <v>2973</v>
      </c>
    </row>
    <row r="4114" spans="1:8" ht="15.75" customHeight="1" thickBot="1" x14ac:dyDescent="0.25">
      <c r="A4114" s="597">
        <v>43101</v>
      </c>
      <c r="B4114" s="222" t="s">
        <v>2787</v>
      </c>
      <c r="C4114" s="222" t="s">
        <v>1230</v>
      </c>
      <c r="D4114" s="806" t="s">
        <v>3065</v>
      </c>
      <c r="E4114" s="247">
        <v>23229.83870967742</v>
      </c>
      <c r="F4114" s="247"/>
      <c r="G4114" s="58">
        <f t="shared" si="68"/>
        <v>-23229.83870967742</v>
      </c>
      <c r="H4114" s="219" t="s">
        <v>2973</v>
      </c>
    </row>
    <row r="4115" spans="1:8" ht="15.75" customHeight="1" thickBot="1" x14ac:dyDescent="0.25">
      <c r="A4115" s="597">
        <v>43101</v>
      </c>
      <c r="B4115" s="222" t="s">
        <v>16</v>
      </c>
      <c r="C4115" s="222" t="s">
        <v>1230</v>
      </c>
      <c r="D4115" s="806" t="s">
        <v>3066</v>
      </c>
      <c r="E4115" s="247">
        <v>18290.322580645163</v>
      </c>
      <c r="F4115" s="247"/>
      <c r="G4115" s="58">
        <f t="shared" si="68"/>
        <v>-18290.322580645163</v>
      </c>
      <c r="H4115" s="219" t="s">
        <v>2973</v>
      </c>
    </row>
    <row r="4116" spans="1:8" ht="15.75" customHeight="1" thickBot="1" x14ac:dyDescent="0.25">
      <c r="A4116" s="597">
        <v>43101</v>
      </c>
      <c r="B4116" s="222" t="s">
        <v>16</v>
      </c>
      <c r="C4116" s="222" t="s">
        <v>1230</v>
      </c>
      <c r="D4116" s="806" t="s">
        <v>2283</v>
      </c>
      <c r="E4116" s="247">
        <v>21020.129032258064</v>
      </c>
      <c r="F4116" s="247"/>
      <c r="G4116" s="58">
        <f t="shared" si="68"/>
        <v>-21020.129032258064</v>
      </c>
      <c r="H4116" s="219" t="s">
        <v>2973</v>
      </c>
    </row>
    <row r="4117" spans="1:8" ht="15.75" customHeight="1" thickBot="1" x14ac:dyDescent="0.25">
      <c r="A4117" s="597">
        <v>43101</v>
      </c>
      <c r="B4117" s="222" t="s">
        <v>16</v>
      </c>
      <c r="C4117" s="222" t="s">
        <v>1230</v>
      </c>
      <c r="D4117" s="806" t="s">
        <v>3120</v>
      </c>
      <c r="E4117" s="247">
        <v>5229.8064516129034</v>
      </c>
      <c r="F4117" s="247"/>
      <c r="G4117" s="58">
        <f t="shared" si="68"/>
        <v>-5229.8064516129034</v>
      </c>
      <c r="H4117" s="219" t="s">
        <v>2973</v>
      </c>
    </row>
    <row r="4118" spans="1:8" ht="15.75" customHeight="1" thickBot="1" x14ac:dyDescent="0.25">
      <c r="A4118" s="597">
        <v>43101</v>
      </c>
      <c r="B4118" s="222" t="s">
        <v>16</v>
      </c>
      <c r="C4118" s="222" t="s">
        <v>1230</v>
      </c>
      <c r="D4118" s="806" t="s">
        <v>2916</v>
      </c>
      <c r="E4118" s="247">
        <v>10000</v>
      </c>
      <c r="F4118" s="247"/>
      <c r="G4118" s="58">
        <f t="shared" si="68"/>
        <v>-10000</v>
      </c>
      <c r="H4118" s="219" t="s">
        <v>2973</v>
      </c>
    </row>
    <row r="4119" spans="1:8" ht="15.75" customHeight="1" thickBot="1" x14ac:dyDescent="0.25">
      <c r="A4119" s="597">
        <v>43101</v>
      </c>
      <c r="B4119" s="222" t="s">
        <v>16</v>
      </c>
      <c r="C4119" s="222" t="s">
        <v>1230</v>
      </c>
      <c r="D4119" s="806" t="s">
        <v>3121</v>
      </c>
      <c r="E4119" s="247">
        <v>10000</v>
      </c>
      <c r="F4119" s="247"/>
      <c r="G4119" s="58">
        <f t="shared" si="68"/>
        <v>-10000</v>
      </c>
      <c r="H4119" s="219" t="s">
        <v>2973</v>
      </c>
    </row>
    <row r="4120" spans="1:8" ht="15.75" customHeight="1" thickBot="1" x14ac:dyDescent="0.25">
      <c r="A4120" s="597">
        <v>43101</v>
      </c>
      <c r="B4120" s="222" t="s">
        <v>2787</v>
      </c>
      <c r="C4120" s="222" t="s">
        <v>1230</v>
      </c>
      <c r="D4120" s="806" t="s">
        <v>1863</v>
      </c>
      <c r="E4120" s="247">
        <v>17680.483870967742</v>
      </c>
      <c r="F4120" s="247"/>
      <c r="G4120" s="58">
        <f t="shared" si="68"/>
        <v>-17680.483870967742</v>
      </c>
      <c r="H4120" s="219" t="s">
        <v>2973</v>
      </c>
    </row>
    <row r="4121" spans="1:8" ht="15.75" customHeight="1" thickBot="1" x14ac:dyDescent="0.25">
      <c r="A4121" s="597">
        <v>43101</v>
      </c>
      <c r="B4121" s="222" t="s">
        <v>2787</v>
      </c>
      <c r="C4121" s="222" t="s">
        <v>1230</v>
      </c>
      <c r="D4121" s="806" t="s">
        <v>1864</v>
      </c>
      <c r="E4121" s="247">
        <v>34524.193548387098</v>
      </c>
      <c r="F4121" s="247"/>
      <c r="G4121" s="58">
        <f t="shared" si="68"/>
        <v>-34524.193548387098</v>
      </c>
      <c r="H4121" s="219" t="s">
        <v>2973</v>
      </c>
    </row>
    <row r="4122" spans="1:8" ht="15.75" thickBot="1" x14ac:dyDescent="0.25">
      <c r="A4122" s="597">
        <v>43101</v>
      </c>
      <c r="B4122" s="222" t="s">
        <v>2787</v>
      </c>
      <c r="C4122" s="222" t="s">
        <v>1230</v>
      </c>
      <c r="D4122" s="806" t="s">
        <v>1852</v>
      </c>
      <c r="E4122" s="247">
        <v>38310.483870967742</v>
      </c>
      <c r="F4122" s="247"/>
      <c r="G4122" s="58">
        <f t="shared" si="68"/>
        <v>-38310.483870967742</v>
      </c>
      <c r="H4122" s="219" t="s">
        <v>2973</v>
      </c>
    </row>
    <row r="4123" spans="1:8" ht="15.75" thickBot="1" x14ac:dyDescent="0.25">
      <c r="A4123" s="597">
        <v>43101</v>
      </c>
      <c r="B4123" s="222" t="s">
        <v>2787</v>
      </c>
      <c r="C4123" s="222" t="s">
        <v>1230</v>
      </c>
      <c r="D4123" s="806" t="s">
        <v>3071</v>
      </c>
      <c r="E4123" s="247">
        <v>16599.596774193549</v>
      </c>
      <c r="F4123" s="247"/>
      <c r="G4123" s="58">
        <f t="shared" si="68"/>
        <v>-16599.596774193549</v>
      </c>
      <c r="H4123" s="219" t="s">
        <v>2973</v>
      </c>
    </row>
    <row r="4124" spans="1:8" ht="15.75" thickBot="1" x14ac:dyDescent="0.25">
      <c r="A4124" s="597">
        <v>43101</v>
      </c>
      <c r="B4124" s="222" t="s">
        <v>2787</v>
      </c>
      <c r="C4124" s="222" t="s">
        <v>1230</v>
      </c>
      <c r="D4124" s="806" t="s">
        <v>2921</v>
      </c>
      <c r="E4124" s="247">
        <v>7139.5161290322576</v>
      </c>
      <c r="F4124" s="247"/>
      <c r="G4124" s="58">
        <f t="shared" si="68"/>
        <v>-7139.5161290322576</v>
      </c>
      <c r="H4124" s="219" t="s">
        <v>2973</v>
      </c>
    </row>
    <row r="4125" spans="1:8" ht="15.75" thickBot="1" x14ac:dyDescent="0.25">
      <c r="A4125" s="597">
        <v>43101</v>
      </c>
      <c r="B4125" s="222" t="s">
        <v>2787</v>
      </c>
      <c r="C4125" s="222" t="s">
        <v>1230</v>
      </c>
      <c r="D4125" s="806" t="s">
        <v>668</v>
      </c>
      <c r="E4125" s="247">
        <v>14360</v>
      </c>
      <c r="F4125" s="247"/>
      <c r="G4125" s="58">
        <f t="shared" si="68"/>
        <v>-14360</v>
      </c>
      <c r="H4125" s="219" t="s">
        <v>2973</v>
      </c>
    </row>
    <row r="4126" spans="1:8" ht="15.75" thickBot="1" x14ac:dyDescent="0.25">
      <c r="A4126" s="597">
        <v>43101</v>
      </c>
      <c r="B4126" s="222" t="s">
        <v>2787</v>
      </c>
      <c r="C4126" s="222" t="s">
        <v>1230</v>
      </c>
      <c r="D4126" s="806" t="s">
        <v>3072</v>
      </c>
      <c r="E4126" s="247">
        <v>21739.516129032258</v>
      </c>
      <c r="F4126" s="247"/>
      <c r="G4126" s="58">
        <f t="shared" si="68"/>
        <v>-21739.516129032258</v>
      </c>
      <c r="H4126" s="219" t="s">
        <v>2973</v>
      </c>
    </row>
    <row r="4127" spans="1:8" ht="15.75" thickBot="1" x14ac:dyDescent="0.25">
      <c r="A4127" s="597">
        <v>43101</v>
      </c>
      <c r="B4127" s="222" t="s">
        <v>2787</v>
      </c>
      <c r="C4127" s="222" t="s">
        <v>1230</v>
      </c>
      <c r="D4127" s="806" t="s">
        <v>3073</v>
      </c>
      <c r="E4127" s="247">
        <v>6000</v>
      </c>
      <c r="F4127" s="247"/>
      <c r="G4127" s="58">
        <f t="shared" si="68"/>
        <v>-6000</v>
      </c>
      <c r="H4127" s="219" t="s">
        <v>2973</v>
      </c>
    </row>
    <row r="4128" spans="1:8" ht="15.75" thickBot="1" x14ac:dyDescent="0.25">
      <c r="A4128" s="597">
        <v>43101</v>
      </c>
      <c r="B4128" s="222" t="s">
        <v>2787</v>
      </c>
      <c r="C4128" s="222" t="s">
        <v>1230</v>
      </c>
      <c r="D4128" s="806" t="s">
        <v>1540</v>
      </c>
      <c r="E4128" s="247">
        <v>10350</v>
      </c>
      <c r="F4128" s="247"/>
      <c r="G4128" s="58">
        <f t="shared" si="68"/>
        <v>-10350</v>
      </c>
      <c r="H4128" s="219" t="s">
        <v>2973</v>
      </c>
    </row>
    <row r="4129" spans="1:8" ht="15.75" thickBot="1" x14ac:dyDescent="0.25">
      <c r="A4129" s="597">
        <v>43101</v>
      </c>
      <c r="B4129" s="222" t="s">
        <v>2787</v>
      </c>
      <c r="C4129" s="222" t="s">
        <v>1230</v>
      </c>
      <c r="D4129" s="806" t="s">
        <v>3122</v>
      </c>
      <c r="E4129" s="247">
        <v>1260.1612903225807</v>
      </c>
      <c r="F4129" s="247"/>
      <c r="G4129" s="58">
        <f t="shared" si="68"/>
        <v>-1260.1612903225807</v>
      </c>
      <c r="H4129" s="219" t="s">
        <v>2973</v>
      </c>
    </row>
    <row r="4130" spans="1:8" ht="15.75" thickBot="1" x14ac:dyDescent="0.25">
      <c r="A4130" s="597">
        <v>43101</v>
      </c>
      <c r="B4130" s="222" t="s">
        <v>2787</v>
      </c>
      <c r="C4130" s="222" t="s">
        <v>1230</v>
      </c>
      <c r="D4130" s="806" t="s">
        <v>1686</v>
      </c>
      <c r="E4130" s="247">
        <v>8549.5967741935492</v>
      </c>
      <c r="F4130" s="247"/>
      <c r="G4130" s="58">
        <f t="shared" si="68"/>
        <v>-8549.5967741935492</v>
      </c>
      <c r="H4130" s="219" t="s">
        <v>2973</v>
      </c>
    </row>
    <row r="4131" spans="1:8" ht="15.75" thickBot="1" x14ac:dyDescent="0.25">
      <c r="A4131" s="597">
        <v>43101</v>
      </c>
      <c r="B4131" s="222" t="s">
        <v>2787</v>
      </c>
      <c r="C4131" s="222" t="s">
        <v>1230</v>
      </c>
      <c r="D4131" s="806" t="s">
        <v>3074</v>
      </c>
      <c r="E4131" s="247">
        <v>12410</v>
      </c>
      <c r="F4131" s="247"/>
      <c r="G4131" s="58">
        <f t="shared" si="68"/>
        <v>-12410</v>
      </c>
      <c r="H4131" s="219" t="s">
        <v>2973</v>
      </c>
    </row>
    <row r="4132" spans="1:8" ht="15.75" customHeight="1" thickBot="1" x14ac:dyDescent="0.25">
      <c r="A4132" s="597">
        <v>43101</v>
      </c>
      <c r="B4132" s="222" t="s">
        <v>1400</v>
      </c>
      <c r="C4132" s="222" t="s">
        <v>1230</v>
      </c>
      <c r="D4132" s="806" t="s">
        <v>1684</v>
      </c>
      <c r="E4132" s="247">
        <v>20000</v>
      </c>
      <c r="F4132" s="247"/>
      <c r="G4132" s="58">
        <f t="shared" si="68"/>
        <v>-20000</v>
      </c>
      <c r="H4132" s="219" t="s">
        <v>2973</v>
      </c>
    </row>
    <row r="4133" spans="1:8" ht="15.75" customHeight="1" thickBot="1" x14ac:dyDescent="0.25">
      <c r="A4133" s="597">
        <v>43101</v>
      </c>
      <c r="B4133" s="222" t="s">
        <v>1400</v>
      </c>
      <c r="C4133" s="222" t="s">
        <v>1230</v>
      </c>
      <c r="D4133" s="806" t="s">
        <v>2482</v>
      </c>
      <c r="E4133" s="247">
        <v>21411.290322580644</v>
      </c>
      <c r="F4133" s="247"/>
      <c r="G4133" s="58">
        <f t="shared" si="68"/>
        <v>-21411.290322580644</v>
      </c>
      <c r="H4133" s="219" t="s">
        <v>2973</v>
      </c>
    </row>
    <row r="4134" spans="1:8" ht="15.75" customHeight="1" thickBot="1" x14ac:dyDescent="0.25">
      <c r="A4134" s="597">
        <v>43101</v>
      </c>
      <c r="B4134" s="222" t="s">
        <v>1400</v>
      </c>
      <c r="C4134" s="222" t="s">
        <v>1230</v>
      </c>
      <c r="D4134" s="806" t="s">
        <v>1550</v>
      </c>
      <c r="E4134" s="247">
        <v>21649.596774193549</v>
      </c>
      <c r="F4134" s="247"/>
      <c r="G4134" s="58">
        <f t="shared" si="68"/>
        <v>-21649.596774193549</v>
      </c>
      <c r="H4134" s="219" t="s">
        <v>2973</v>
      </c>
    </row>
    <row r="4135" spans="1:8" ht="15.75" thickBot="1" x14ac:dyDescent="0.25">
      <c r="A4135" s="597">
        <v>43101</v>
      </c>
      <c r="B4135" s="222" t="s">
        <v>1400</v>
      </c>
      <c r="C4135" s="222" t="s">
        <v>1230</v>
      </c>
      <c r="D4135" s="806" t="s">
        <v>1871</v>
      </c>
      <c r="E4135" s="247">
        <v>38459.677419354834</v>
      </c>
      <c r="F4135" s="247"/>
      <c r="G4135" s="58">
        <f t="shared" si="68"/>
        <v>-38459.677419354834</v>
      </c>
      <c r="H4135" s="219" t="s">
        <v>2973</v>
      </c>
    </row>
    <row r="4136" spans="1:8" ht="15.75" customHeight="1" thickBot="1" x14ac:dyDescent="0.25">
      <c r="A4136" s="597">
        <v>43101</v>
      </c>
      <c r="B4136" s="222" t="s">
        <v>1400</v>
      </c>
      <c r="C4136" s="222" t="s">
        <v>1230</v>
      </c>
      <c r="D4136" s="806" t="s">
        <v>1862</v>
      </c>
      <c r="E4136" s="247">
        <v>15759.637096774193</v>
      </c>
      <c r="F4136" s="247"/>
      <c r="G4136" s="58">
        <f t="shared" si="68"/>
        <v>-15759.637096774193</v>
      </c>
      <c r="H4136" s="219" t="s">
        <v>2973</v>
      </c>
    </row>
    <row r="4137" spans="1:8" ht="15.75" customHeight="1" thickBot="1" x14ac:dyDescent="0.25">
      <c r="A4137" s="597">
        <v>43101</v>
      </c>
      <c r="B4137" s="222" t="s">
        <v>1400</v>
      </c>
      <c r="C4137" s="222" t="s">
        <v>1230</v>
      </c>
      <c r="D4137" s="806" t="s">
        <v>2927</v>
      </c>
      <c r="E4137" s="247">
        <v>6745.1612903225814</v>
      </c>
      <c r="F4137" s="247"/>
      <c r="G4137" s="58">
        <f t="shared" si="68"/>
        <v>-6745.1612903225814</v>
      </c>
      <c r="H4137" s="219" t="s">
        <v>2973</v>
      </c>
    </row>
    <row r="4138" spans="1:8" ht="15.75" thickBot="1" x14ac:dyDescent="0.25">
      <c r="A4138" s="597">
        <v>43101</v>
      </c>
      <c r="B4138" s="222" t="s">
        <v>1400</v>
      </c>
      <c r="C4138" s="222" t="s">
        <v>1230</v>
      </c>
      <c r="D4138" s="806" t="s">
        <v>3067</v>
      </c>
      <c r="E4138" s="247">
        <v>11520</v>
      </c>
      <c r="F4138" s="247"/>
      <c r="G4138" s="58">
        <f t="shared" si="68"/>
        <v>-11520</v>
      </c>
      <c r="H4138" s="219" t="s">
        <v>2973</v>
      </c>
    </row>
    <row r="4139" spans="1:8" ht="15.75" thickBot="1" x14ac:dyDescent="0.25">
      <c r="A4139" s="597">
        <v>43101</v>
      </c>
      <c r="B4139" s="222" t="s">
        <v>1400</v>
      </c>
      <c r="C4139" s="222" t="s">
        <v>1230</v>
      </c>
      <c r="D4139" s="806" t="s">
        <v>1872</v>
      </c>
      <c r="E4139" s="247">
        <v>23879.919354838708</v>
      </c>
      <c r="F4139" s="247"/>
      <c r="G4139" s="58">
        <f t="shared" si="68"/>
        <v>-23879.919354838708</v>
      </c>
      <c r="H4139" s="219" t="s">
        <v>2973</v>
      </c>
    </row>
    <row r="4140" spans="1:8" ht="15.75" thickBot="1" x14ac:dyDescent="0.25">
      <c r="A4140" s="597">
        <v>43101</v>
      </c>
      <c r="B4140" s="222" t="s">
        <v>1400</v>
      </c>
      <c r="C4140" s="222" t="s">
        <v>1230</v>
      </c>
      <c r="D4140" s="806" t="s">
        <v>3068</v>
      </c>
      <c r="E4140" s="247">
        <v>11180.322580645163</v>
      </c>
      <c r="F4140" s="247"/>
      <c r="G4140" s="58">
        <f t="shared" si="68"/>
        <v>-11180.322580645163</v>
      </c>
      <c r="H4140" s="219" t="s">
        <v>2973</v>
      </c>
    </row>
    <row r="4141" spans="1:8" ht="15.75" thickBot="1" x14ac:dyDescent="0.25">
      <c r="A4141" s="597">
        <v>43101</v>
      </c>
      <c r="B4141" s="222" t="s">
        <v>1400</v>
      </c>
      <c r="C4141" s="222" t="s">
        <v>1230</v>
      </c>
      <c r="D4141" s="806" t="s">
        <v>3069</v>
      </c>
      <c r="E4141" s="247">
        <v>5810.4516129032263</v>
      </c>
      <c r="F4141" s="247"/>
      <c r="G4141" s="58">
        <f t="shared" si="68"/>
        <v>-5810.4516129032263</v>
      </c>
      <c r="H4141" s="219" t="s">
        <v>2973</v>
      </c>
    </row>
    <row r="4142" spans="1:8" ht="15.75" thickBot="1" x14ac:dyDescent="0.25">
      <c r="A4142" s="597">
        <v>43101</v>
      </c>
      <c r="B4142" s="222" t="s">
        <v>1400</v>
      </c>
      <c r="C4142" s="222" t="s">
        <v>1230</v>
      </c>
      <c r="D4142" s="806" t="s">
        <v>3070</v>
      </c>
      <c r="E4142" s="247">
        <v>10489.516129032258</v>
      </c>
      <c r="F4142" s="247"/>
      <c r="G4142" s="58">
        <f t="shared" si="68"/>
        <v>-10489.516129032258</v>
      </c>
      <c r="H4142" s="219" t="s">
        <v>2973</v>
      </c>
    </row>
    <row r="4143" spans="1:8" ht="15.75" thickBot="1" x14ac:dyDescent="0.25">
      <c r="A4143" s="597">
        <v>43101</v>
      </c>
      <c r="B4143" s="222" t="s">
        <v>1400</v>
      </c>
      <c r="C4143" s="222" t="s">
        <v>1230</v>
      </c>
      <c r="D4143" s="806" t="s">
        <v>2481</v>
      </c>
      <c r="E4143" s="247">
        <v>15769.556451612903</v>
      </c>
      <c r="F4143" s="247"/>
      <c r="G4143" s="58">
        <f t="shared" si="68"/>
        <v>-15769.556451612903</v>
      </c>
      <c r="H4143" s="219" t="s">
        <v>2973</v>
      </c>
    </row>
    <row r="4144" spans="1:8" ht="15.75" thickBot="1" x14ac:dyDescent="0.25">
      <c r="A4144" s="597">
        <v>43101</v>
      </c>
      <c r="B4144" s="222" t="s">
        <v>1400</v>
      </c>
      <c r="C4144" s="222" t="s">
        <v>1230</v>
      </c>
      <c r="D4144" s="806" t="s">
        <v>2917</v>
      </c>
      <c r="E4144" s="247">
        <v>10579.83870967742</v>
      </c>
      <c r="F4144" s="247"/>
      <c r="G4144" s="58">
        <f t="shared" si="68"/>
        <v>-10579.83870967742</v>
      </c>
      <c r="H4144" s="219" t="s">
        <v>2973</v>
      </c>
    </row>
    <row r="4145" spans="1:8" ht="15.75" thickBot="1" x14ac:dyDescent="0.25">
      <c r="A4145" s="597">
        <v>43101</v>
      </c>
      <c r="B4145" s="222" t="s">
        <v>11</v>
      </c>
      <c r="C4145" s="222" t="s">
        <v>1230</v>
      </c>
      <c r="D4145" s="806" t="s">
        <v>2280</v>
      </c>
      <c r="E4145" s="247">
        <v>22709.677419354837</v>
      </c>
      <c r="F4145" s="247"/>
      <c r="G4145" s="58">
        <f t="shared" si="68"/>
        <v>-22709.677419354837</v>
      </c>
      <c r="H4145" s="219" t="s">
        <v>2973</v>
      </c>
    </row>
    <row r="4146" spans="1:8" ht="15.75" thickBot="1" x14ac:dyDescent="0.25">
      <c r="A4146" s="597">
        <v>43101</v>
      </c>
      <c r="B4146" s="222" t="s">
        <v>2548</v>
      </c>
      <c r="C4146" s="222" t="s">
        <v>1230</v>
      </c>
      <c r="D4146" s="806" t="s">
        <v>1849</v>
      </c>
      <c r="E4146" s="247">
        <v>15040.161290322581</v>
      </c>
      <c r="F4146" s="247"/>
      <c r="G4146" s="58">
        <f t="shared" si="68"/>
        <v>-15040.161290322581</v>
      </c>
      <c r="H4146" s="219" t="s">
        <v>2973</v>
      </c>
    </row>
    <row r="4147" spans="1:8" ht="15.75" thickBot="1" x14ac:dyDescent="0.25">
      <c r="A4147" s="597">
        <v>43101</v>
      </c>
      <c r="B4147" s="222" t="s">
        <v>2548</v>
      </c>
      <c r="C4147" s="222" t="s">
        <v>1230</v>
      </c>
      <c r="D4147" s="806" t="s">
        <v>1847</v>
      </c>
      <c r="E4147" s="247">
        <v>22780</v>
      </c>
      <c r="F4147" s="247"/>
      <c r="G4147" s="58">
        <f t="shared" si="68"/>
        <v>-22780</v>
      </c>
      <c r="H4147" s="219" t="s">
        <v>2973</v>
      </c>
    </row>
    <row r="4148" spans="1:8" ht="15.75" thickBot="1" x14ac:dyDescent="0.25">
      <c r="A4148" s="597">
        <v>43101</v>
      </c>
      <c r="B4148" s="222" t="s">
        <v>40</v>
      </c>
      <c r="C4148" s="222" t="s">
        <v>1230</v>
      </c>
      <c r="D4148" s="806" t="s">
        <v>2284</v>
      </c>
      <c r="E4148" s="247">
        <v>28000</v>
      </c>
      <c r="F4148" s="247"/>
      <c r="G4148" s="58">
        <f t="shared" si="68"/>
        <v>-28000</v>
      </c>
      <c r="H4148" s="219" t="s">
        <v>2973</v>
      </c>
    </row>
    <row r="4149" spans="1:8" ht="15.75" thickBot="1" x14ac:dyDescent="0.25">
      <c r="A4149" s="597">
        <v>43101</v>
      </c>
      <c r="B4149" s="222" t="s">
        <v>40</v>
      </c>
      <c r="C4149" s="222" t="s">
        <v>1230</v>
      </c>
      <c r="D4149" s="806" t="s">
        <v>1855</v>
      </c>
      <c r="E4149" s="247">
        <v>21049.596774193549</v>
      </c>
      <c r="F4149" s="247"/>
      <c r="G4149" s="58">
        <f t="shared" si="68"/>
        <v>-21049.596774193549</v>
      </c>
      <c r="H4149" s="219" t="s">
        <v>2973</v>
      </c>
    </row>
    <row r="4150" spans="1:8" ht="15.75" thickBot="1" x14ac:dyDescent="0.25">
      <c r="A4150" s="597">
        <v>43101</v>
      </c>
      <c r="B4150" s="222" t="s">
        <v>40</v>
      </c>
      <c r="C4150" s="222" t="s">
        <v>1230</v>
      </c>
      <c r="D4150" s="806" t="s">
        <v>2181</v>
      </c>
      <c r="E4150" s="247">
        <v>15790.322580645159</v>
      </c>
      <c r="F4150" s="247"/>
      <c r="G4150" s="58">
        <f t="shared" si="68"/>
        <v>-15790.322580645159</v>
      </c>
      <c r="H4150" s="219" t="s">
        <v>2973</v>
      </c>
    </row>
    <row r="4151" spans="1:8" ht="15.75" thickBot="1" x14ac:dyDescent="0.25">
      <c r="A4151" s="597">
        <v>43101</v>
      </c>
      <c r="B4151" s="222" t="s">
        <v>40</v>
      </c>
      <c r="C4151" s="222" t="s">
        <v>1230</v>
      </c>
      <c r="D4151" s="806" t="s">
        <v>1851</v>
      </c>
      <c r="E4151" s="247">
        <v>6070</v>
      </c>
      <c r="F4151" s="247"/>
      <c r="G4151" s="58">
        <f t="shared" si="68"/>
        <v>-6070</v>
      </c>
      <c r="H4151" s="219" t="s">
        <v>2973</v>
      </c>
    </row>
    <row r="4152" spans="1:8" ht="15.75" thickBot="1" x14ac:dyDescent="0.25">
      <c r="A4152" s="597">
        <v>43101</v>
      </c>
      <c r="B4152" s="222" t="s">
        <v>37</v>
      </c>
      <c r="C4152" s="222" t="s">
        <v>1230</v>
      </c>
      <c r="D4152" s="806" t="s">
        <v>1866</v>
      </c>
      <c r="E4152" s="247">
        <v>19599.677419354837</v>
      </c>
      <c r="F4152" s="247"/>
      <c r="G4152" s="58">
        <f t="shared" si="68"/>
        <v>-19599.677419354837</v>
      </c>
      <c r="H4152" s="219" t="s">
        <v>2973</v>
      </c>
    </row>
    <row r="4153" spans="1:8" ht="15.75" thickBot="1" x14ac:dyDescent="0.25">
      <c r="A4153" s="597">
        <v>43101</v>
      </c>
      <c r="B4153" s="222" t="s">
        <v>37</v>
      </c>
      <c r="C4153" s="222" t="s">
        <v>1230</v>
      </c>
      <c r="D4153" s="806" t="s">
        <v>1867</v>
      </c>
      <c r="E4153" s="247">
        <v>13500</v>
      </c>
      <c r="F4153" s="247"/>
      <c r="G4153" s="58">
        <f t="shared" si="68"/>
        <v>-13500</v>
      </c>
      <c r="H4153" s="219" t="s">
        <v>2973</v>
      </c>
    </row>
    <row r="4154" spans="1:8" ht="15.75" thickBot="1" x14ac:dyDescent="0.25">
      <c r="A4154" s="597">
        <v>43101</v>
      </c>
      <c r="B4154" s="222" t="s">
        <v>37</v>
      </c>
      <c r="C4154" s="222" t="s">
        <v>1230</v>
      </c>
      <c r="D4154" s="806" t="s">
        <v>1868</v>
      </c>
      <c r="E4154" s="247">
        <v>16549.576612903227</v>
      </c>
      <c r="F4154" s="247"/>
      <c r="G4154" s="58">
        <f t="shared" si="68"/>
        <v>-16549.576612903227</v>
      </c>
      <c r="H4154" s="219" t="s">
        <v>2973</v>
      </c>
    </row>
    <row r="4155" spans="1:8" ht="15.75" thickBot="1" x14ac:dyDescent="0.25">
      <c r="A4155" s="597">
        <v>43101</v>
      </c>
      <c r="B4155" s="222" t="s">
        <v>37</v>
      </c>
      <c r="C4155" s="222" t="s">
        <v>1230</v>
      </c>
      <c r="D4155" s="806" t="s">
        <v>2919</v>
      </c>
      <c r="E4155" s="247">
        <v>10450</v>
      </c>
      <c r="F4155" s="247"/>
      <c r="G4155" s="58">
        <f t="shared" si="68"/>
        <v>-10450</v>
      </c>
      <c r="H4155" s="219" t="s">
        <v>2973</v>
      </c>
    </row>
    <row r="4156" spans="1:8" ht="15.75" thickBot="1" x14ac:dyDescent="0.25">
      <c r="A4156" s="597">
        <v>43101</v>
      </c>
      <c r="B4156" s="222" t="s">
        <v>37</v>
      </c>
      <c r="C4156" s="222" t="s">
        <v>1230</v>
      </c>
      <c r="D4156" s="806" t="s">
        <v>2720</v>
      </c>
      <c r="E4156" s="247">
        <v>13839.677419354839</v>
      </c>
      <c r="F4156" s="247"/>
      <c r="G4156" s="58">
        <f t="shared" si="68"/>
        <v>-13839.677419354839</v>
      </c>
      <c r="H4156" s="219" t="s">
        <v>2973</v>
      </c>
    </row>
    <row r="4157" spans="1:8" ht="15.75" thickBot="1" x14ac:dyDescent="0.25">
      <c r="A4157" s="597">
        <v>43101</v>
      </c>
      <c r="B4157" s="222" t="s">
        <v>1400</v>
      </c>
      <c r="C4157" s="222" t="s">
        <v>1230</v>
      </c>
      <c r="D4157" s="806" t="s">
        <v>1858</v>
      </c>
      <c r="E4157" s="247">
        <v>36830.645161290326</v>
      </c>
      <c r="F4157" s="247"/>
      <c r="G4157" s="58">
        <f t="shared" si="68"/>
        <v>-36830.645161290326</v>
      </c>
      <c r="H4157" s="219" t="s">
        <v>2973</v>
      </c>
    </row>
    <row r="4158" spans="1:8" ht="15.75" thickBot="1" x14ac:dyDescent="0.25">
      <c r="A4158" s="597">
        <v>43101</v>
      </c>
      <c r="B4158" s="222" t="s">
        <v>2933</v>
      </c>
      <c r="C4158" s="222" t="s">
        <v>1230</v>
      </c>
      <c r="D4158" s="806" t="s">
        <v>2925</v>
      </c>
      <c r="E4158" s="247">
        <v>45000</v>
      </c>
      <c r="F4158" s="247"/>
      <c r="G4158" s="58">
        <f t="shared" si="68"/>
        <v>-45000</v>
      </c>
      <c r="H4158" s="219" t="s">
        <v>2973</v>
      </c>
    </row>
    <row r="4159" spans="1:8" ht="15.75" thickBot="1" x14ac:dyDescent="0.25">
      <c r="A4159" s="597">
        <v>43101</v>
      </c>
      <c r="B4159" s="222" t="s">
        <v>2787</v>
      </c>
      <c r="C4159" s="222" t="s">
        <v>3145</v>
      </c>
      <c r="D4159" s="806" t="s">
        <v>1228</v>
      </c>
      <c r="E4159" s="247">
        <v>2500</v>
      </c>
      <c r="F4159" s="247"/>
      <c r="G4159" s="58">
        <f t="shared" si="68"/>
        <v>-2500</v>
      </c>
      <c r="H4159" s="219" t="s">
        <v>2973</v>
      </c>
    </row>
    <row r="4160" spans="1:8" ht="15.75" thickBot="1" x14ac:dyDescent="0.25">
      <c r="A4160" s="597">
        <v>43101</v>
      </c>
      <c r="B4160" s="222" t="s">
        <v>11</v>
      </c>
      <c r="C4160" s="222"/>
      <c r="D4160" s="806" t="s">
        <v>3017</v>
      </c>
      <c r="E4160" s="247">
        <v>320</v>
      </c>
      <c r="F4160" s="247"/>
      <c r="G4160" s="58">
        <f t="shared" si="68"/>
        <v>-320</v>
      </c>
      <c r="H4160" s="219" t="s">
        <v>2973</v>
      </c>
    </row>
    <row r="4161" spans="1:8" ht="15.75" thickBot="1" x14ac:dyDescent="0.25">
      <c r="A4161" s="597">
        <v>43101</v>
      </c>
      <c r="B4161" s="222" t="s">
        <v>2787</v>
      </c>
      <c r="C4161" s="222" t="s">
        <v>3145</v>
      </c>
      <c r="D4161" s="806" t="s">
        <v>3018</v>
      </c>
      <c r="E4161" s="247">
        <v>27700</v>
      </c>
      <c r="F4161" s="247"/>
      <c r="G4161" s="58">
        <f t="shared" si="68"/>
        <v>-27700</v>
      </c>
      <c r="H4161" s="219" t="s">
        <v>2973</v>
      </c>
    </row>
    <row r="4162" spans="1:8" ht="15.75" thickBot="1" x14ac:dyDescent="0.25">
      <c r="A4162" s="597">
        <v>43102</v>
      </c>
      <c r="B4162" s="222" t="s">
        <v>40</v>
      </c>
      <c r="C4162" s="222"/>
      <c r="D4162" s="806" t="s">
        <v>2979</v>
      </c>
      <c r="E4162" s="247">
        <v>2240</v>
      </c>
      <c r="F4162" s="247"/>
      <c r="G4162" s="247">
        <f t="shared" si="68"/>
        <v>-2240</v>
      </c>
      <c r="H4162" s="219" t="s">
        <v>2973</v>
      </c>
    </row>
    <row r="4163" spans="1:8" ht="15.75" thickBot="1" x14ac:dyDescent="0.25">
      <c r="A4163" s="597">
        <v>43102</v>
      </c>
      <c r="B4163" s="222" t="s">
        <v>2787</v>
      </c>
      <c r="C4163" s="222" t="s">
        <v>3145</v>
      </c>
      <c r="D4163" s="806" t="s">
        <v>370</v>
      </c>
      <c r="E4163" s="247">
        <v>1500</v>
      </c>
      <c r="F4163" s="247"/>
      <c r="G4163" s="247">
        <f t="shared" si="68"/>
        <v>-1500</v>
      </c>
      <c r="H4163" s="219" t="s">
        <v>2973</v>
      </c>
    </row>
    <row r="4164" spans="1:8" ht="15.75" thickBot="1" x14ac:dyDescent="0.25">
      <c r="A4164" s="597">
        <v>43102</v>
      </c>
      <c r="B4164" s="222" t="s">
        <v>2933</v>
      </c>
      <c r="C4164" s="223" t="s">
        <v>3145</v>
      </c>
      <c r="D4164" s="806" t="s">
        <v>370</v>
      </c>
      <c r="E4164" s="247">
        <v>19000</v>
      </c>
      <c r="F4164" s="247"/>
      <c r="G4164" s="247">
        <f t="shared" si="68"/>
        <v>-19000</v>
      </c>
      <c r="H4164" s="219" t="s">
        <v>2973</v>
      </c>
    </row>
    <row r="4165" spans="1:8" ht="15.75" thickBot="1" x14ac:dyDescent="0.25">
      <c r="A4165" s="597">
        <v>43102</v>
      </c>
      <c r="B4165" s="222" t="s">
        <v>2787</v>
      </c>
      <c r="C4165" s="222" t="s">
        <v>3145</v>
      </c>
      <c r="D4165" s="806" t="s">
        <v>72</v>
      </c>
      <c r="E4165" s="247">
        <v>15035</v>
      </c>
      <c r="F4165" s="247"/>
      <c r="G4165" s="247">
        <f t="shared" si="68"/>
        <v>-15035</v>
      </c>
      <c r="H4165" s="219" t="s">
        <v>2973</v>
      </c>
    </row>
    <row r="4166" spans="1:8" ht="15.75" thickBot="1" x14ac:dyDescent="0.25">
      <c r="A4166" s="597">
        <v>43102</v>
      </c>
      <c r="B4166" s="222" t="s">
        <v>25</v>
      </c>
      <c r="C4166" s="222" t="s">
        <v>1894</v>
      </c>
      <c r="D4166" s="806" t="s">
        <v>72</v>
      </c>
      <c r="E4166" s="247">
        <v>1700</v>
      </c>
      <c r="F4166" s="247"/>
      <c r="G4166" s="247">
        <f t="shared" si="68"/>
        <v>-1700</v>
      </c>
      <c r="H4166" s="219" t="s">
        <v>2973</v>
      </c>
    </row>
    <row r="4167" spans="1:8" ht="15.75" thickBot="1" x14ac:dyDescent="0.25">
      <c r="A4167" s="597">
        <v>43102</v>
      </c>
      <c r="B4167" s="222" t="s">
        <v>2652</v>
      </c>
      <c r="C4167" s="222" t="s">
        <v>3149</v>
      </c>
      <c r="D4167" s="806" t="s">
        <v>1410</v>
      </c>
      <c r="E4167" s="247">
        <v>140</v>
      </c>
      <c r="F4167" s="247"/>
      <c r="G4167" s="247">
        <f t="shared" si="68"/>
        <v>-140</v>
      </c>
      <c r="H4167" s="219" t="s">
        <v>2973</v>
      </c>
    </row>
    <row r="4168" spans="1:8" ht="15.75" thickBot="1" x14ac:dyDescent="0.25">
      <c r="A4168" s="597">
        <v>43102</v>
      </c>
      <c r="B4168" s="222" t="s">
        <v>2652</v>
      </c>
      <c r="C4168" s="222" t="s">
        <v>3149</v>
      </c>
      <c r="D4168" s="806" t="s">
        <v>1410</v>
      </c>
      <c r="E4168" s="247">
        <v>140</v>
      </c>
      <c r="F4168" s="247"/>
      <c r="G4168" s="247">
        <f t="shared" si="68"/>
        <v>-140</v>
      </c>
      <c r="H4168" s="219" t="s">
        <v>2973</v>
      </c>
    </row>
    <row r="4169" spans="1:8" ht="15.75" customHeight="1" thickBot="1" x14ac:dyDescent="0.25">
      <c r="A4169" s="597">
        <v>43102</v>
      </c>
      <c r="B4169" s="222" t="s">
        <v>2787</v>
      </c>
      <c r="C4169" s="223" t="s">
        <v>3149</v>
      </c>
      <c r="D4169" s="806" t="s">
        <v>1410</v>
      </c>
      <c r="E4169" s="247">
        <v>2215</v>
      </c>
      <c r="F4169" s="247"/>
      <c r="G4169" s="247">
        <f t="shared" ref="G4169:G4232" si="69">F4169-E4169</f>
        <v>-2215</v>
      </c>
      <c r="H4169" s="219" t="s">
        <v>2973</v>
      </c>
    </row>
    <row r="4170" spans="1:8" ht="15.75" customHeight="1" thickBot="1" x14ac:dyDescent="0.25">
      <c r="A4170" s="597">
        <v>43103</v>
      </c>
      <c r="B4170" s="222" t="s">
        <v>2787</v>
      </c>
      <c r="C4170" s="223" t="s">
        <v>3149</v>
      </c>
      <c r="D4170" s="806" t="s">
        <v>1410</v>
      </c>
      <c r="E4170" s="247">
        <v>1400</v>
      </c>
      <c r="F4170" s="247"/>
      <c r="G4170" s="247">
        <f t="shared" si="69"/>
        <v>-1400</v>
      </c>
      <c r="H4170" s="219" t="s">
        <v>2973</v>
      </c>
    </row>
    <row r="4171" spans="1:8" ht="15.75" customHeight="1" thickBot="1" x14ac:dyDescent="0.25">
      <c r="A4171" s="597">
        <v>43103</v>
      </c>
      <c r="B4171" s="222" t="s">
        <v>2787</v>
      </c>
      <c r="C4171" s="222" t="s">
        <v>3145</v>
      </c>
      <c r="D4171" s="806" t="s">
        <v>286</v>
      </c>
      <c r="E4171" s="247">
        <v>4000</v>
      </c>
      <c r="F4171" s="247"/>
      <c r="G4171" s="247">
        <f t="shared" si="69"/>
        <v>-4000</v>
      </c>
      <c r="H4171" s="219" t="s">
        <v>2973</v>
      </c>
    </row>
    <row r="4172" spans="1:8" ht="15.75" thickBot="1" x14ac:dyDescent="0.25">
      <c r="A4172" s="597">
        <v>43103</v>
      </c>
      <c r="B4172" s="222" t="s">
        <v>25</v>
      </c>
      <c r="C4172" s="222" t="s">
        <v>1894</v>
      </c>
      <c r="D4172" s="806" t="s">
        <v>392</v>
      </c>
      <c r="E4172" s="247">
        <v>2725</v>
      </c>
      <c r="F4172" s="247"/>
      <c r="G4172" s="247">
        <f t="shared" si="69"/>
        <v>-2725</v>
      </c>
      <c r="H4172" s="219" t="s">
        <v>2973</v>
      </c>
    </row>
    <row r="4173" spans="1:8" ht="15.75" thickBot="1" x14ac:dyDescent="0.25">
      <c r="A4173" s="597">
        <v>43103</v>
      </c>
      <c r="B4173" s="222" t="s">
        <v>11</v>
      </c>
      <c r="C4173" s="222" t="s">
        <v>2473</v>
      </c>
      <c r="D4173" s="806" t="s">
        <v>392</v>
      </c>
      <c r="E4173" s="247">
        <v>1050</v>
      </c>
      <c r="F4173" s="247"/>
      <c r="G4173" s="247">
        <f t="shared" si="69"/>
        <v>-1050</v>
      </c>
      <c r="H4173" s="219" t="s">
        <v>2973</v>
      </c>
    </row>
    <row r="4174" spans="1:8" ht="15.75" thickBot="1" x14ac:dyDescent="0.25">
      <c r="A4174" s="597">
        <v>43104</v>
      </c>
      <c r="B4174" s="222" t="s">
        <v>2787</v>
      </c>
      <c r="C4174" s="222" t="s">
        <v>3145</v>
      </c>
      <c r="D4174" s="806" t="s">
        <v>370</v>
      </c>
      <c r="E4174" s="247">
        <v>2250</v>
      </c>
      <c r="F4174" s="247"/>
      <c r="G4174" s="247">
        <f t="shared" si="69"/>
        <v>-2250</v>
      </c>
      <c r="H4174" s="219" t="s">
        <v>2973</v>
      </c>
    </row>
    <row r="4175" spans="1:8" ht="15.75" thickBot="1" x14ac:dyDescent="0.25">
      <c r="A4175" s="597">
        <v>43104</v>
      </c>
      <c r="B4175" s="222" t="s">
        <v>2787</v>
      </c>
      <c r="C4175" s="222" t="s">
        <v>3145</v>
      </c>
      <c r="D4175" s="806" t="s">
        <v>393</v>
      </c>
      <c r="E4175" s="247">
        <v>21200</v>
      </c>
      <c r="F4175" s="247"/>
      <c r="G4175" s="247">
        <f t="shared" si="69"/>
        <v>-21200</v>
      </c>
      <c r="H4175" s="219" t="s">
        <v>2973</v>
      </c>
    </row>
    <row r="4176" spans="1:8" ht="15.75" thickBot="1" x14ac:dyDescent="0.25">
      <c r="A4176" s="597">
        <v>43104</v>
      </c>
      <c r="B4176" s="222" t="s">
        <v>2652</v>
      </c>
      <c r="C4176" s="222" t="s">
        <v>3149</v>
      </c>
      <c r="D4176" s="806" t="s">
        <v>1410</v>
      </c>
      <c r="E4176" s="247">
        <v>50</v>
      </c>
      <c r="F4176" s="247"/>
      <c r="G4176" s="247">
        <f t="shared" si="69"/>
        <v>-50</v>
      </c>
      <c r="H4176" s="219" t="s">
        <v>2973</v>
      </c>
    </row>
    <row r="4177" spans="1:8" ht="15.75" thickBot="1" x14ac:dyDescent="0.25">
      <c r="A4177" s="597">
        <v>43105</v>
      </c>
      <c r="B4177" s="222" t="s">
        <v>2933</v>
      </c>
      <c r="C4177" s="222" t="s">
        <v>3149</v>
      </c>
      <c r="D4177" s="806" t="s">
        <v>3151</v>
      </c>
      <c r="E4177" s="247">
        <v>390</v>
      </c>
      <c r="F4177" s="247"/>
      <c r="G4177" s="247">
        <f t="shared" si="69"/>
        <v>-390</v>
      </c>
      <c r="H4177" s="219" t="s">
        <v>2973</v>
      </c>
    </row>
    <row r="4178" spans="1:8" ht="15.75" customHeight="1" thickBot="1" x14ac:dyDescent="0.25">
      <c r="A4178" s="597">
        <v>43105</v>
      </c>
      <c r="B4178" s="222" t="s">
        <v>2652</v>
      </c>
      <c r="C4178" s="222" t="s">
        <v>3149</v>
      </c>
      <c r="D4178" s="806" t="s">
        <v>1410</v>
      </c>
      <c r="E4178" s="247">
        <v>140</v>
      </c>
      <c r="F4178" s="247"/>
      <c r="G4178" s="247">
        <f t="shared" si="69"/>
        <v>-140</v>
      </c>
      <c r="H4178" s="219" t="s">
        <v>2973</v>
      </c>
    </row>
    <row r="4179" spans="1:8" ht="15.75" thickBot="1" x14ac:dyDescent="0.25">
      <c r="A4179" s="597">
        <v>43105</v>
      </c>
      <c r="B4179" s="222" t="s">
        <v>2652</v>
      </c>
      <c r="C4179" s="222" t="s">
        <v>3149</v>
      </c>
      <c r="D4179" s="806" t="s">
        <v>1410</v>
      </c>
      <c r="E4179" s="247">
        <v>140</v>
      </c>
      <c r="F4179" s="247"/>
      <c r="G4179" s="247">
        <f t="shared" si="69"/>
        <v>-140</v>
      </c>
      <c r="H4179" s="219" t="s">
        <v>2973</v>
      </c>
    </row>
    <row r="4180" spans="1:8" ht="15.75" customHeight="1" thickBot="1" x14ac:dyDescent="0.25">
      <c r="A4180" s="597">
        <v>43105</v>
      </c>
      <c r="B4180" s="222" t="s">
        <v>2652</v>
      </c>
      <c r="C4180" s="222" t="s">
        <v>3149</v>
      </c>
      <c r="D4180" s="806" t="s">
        <v>1410</v>
      </c>
      <c r="E4180" s="247">
        <v>130</v>
      </c>
      <c r="F4180" s="247"/>
      <c r="G4180" s="247">
        <f t="shared" si="69"/>
        <v>-130</v>
      </c>
      <c r="H4180" s="219" t="s">
        <v>2973</v>
      </c>
    </row>
    <row r="4181" spans="1:8" ht="15.75" customHeight="1" thickBot="1" x14ac:dyDescent="0.25">
      <c r="A4181" s="597">
        <v>43105</v>
      </c>
      <c r="B4181" s="222" t="s">
        <v>2652</v>
      </c>
      <c r="C4181" s="222" t="s">
        <v>3149</v>
      </c>
      <c r="D4181" s="806" t="s">
        <v>1410</v>
      </c>
      <c r="E4181" s="247">
        <v>140</v>
      </c>
      <c r="F4181" s="247"/>
      <c r="G4181" s="247">
        <f t="shared" si="69"/>
        <v>-140</v>
      </c>
      <c r="H4181" s="219" t="s">
        <v>2973</v>
      </c>
    </row>
    <row r="4182" spans="1:8" ht="15.75" customHeight="1" thickBot="1" x14ac:dyDescent="0.25">
      <c r="A4182" s="597">
        <v>43105</v>
      </c>
      <c r="B4182" s="222" t="s">
        <v>2787</v>
      </c>
      <c r="C4182" s="222" t="s">
        <v>3145</v>
      </c>
      <c r="D4182" s="806" t="s">
        <v>2667</v>
      </c>
      <c r="E4182" s="247">
        <v>24326</v>
      </c>
      <c r="F4182" s="247"/>
      <c r="G4182" s="247">
        <f t="shared" si="69"/>
        <v>-24326</v>
      </c>
      <c r="H4182" s="219" t="s">
        <v>2973</v>
      </c>
    </row>
    <row r="4183" spans="1:8" ht="15.75" thickBot="1" x14ac:dyDescent="0.25">
      <c r="A4183" s="597">
        <v>43105</v>
      </c>
      <c r="B4183" s="222" t="s">
        <v>14</v>
      </c>
      <c r="C4183" s="222" t="s">
        <v>2473</v>
      </c>
      <c r="D4183" s="806"/>
      <c r="E4183" s="247">
        <v>820</v>
      </c>
      <c r="F4183" s="247"/>
      <c r="G4183" s="247">
        <f t="shared" si="69"/>
        <v>-820</v>
      </c>
      <c r="H4183" s="219" t="s">
        <v>2973</v>
      </c>
    </row>
    <row r="4184" spans="1:8" ht="15.75" thickBot="1" x14ac:dyDescent="0.25">
      <c r="A4184" s="597">
        <v>43105</v>
      </c>
      <c r="B4184" s="222" t="s">
        <v>25</v>
      </c>
      <c r="C4184" s="222" t="s">
        <v>1894</v>
      </c>
      <c r="D4184" s="806" t="s">
        <v>2667</v>
      </c>
      <c r="E4184" s="247">
        <v>4570</v>
      </c>
      <c r="F4184" s="247"/>
      <c r="G4184" s="247">
        <f t="shared" si="69"/>
        <v>-4570</v>
      </c>
      <c r="H4184" s="219" t="s">
        <v>2973</v>
      </c>
    </row>
    <row r="4185" spans="1:8" ht="15.75" thickBot="1" x14ac:dyDescent="0.25">
      <c r="A4185" s="597">
        <v>43106</v>
      </c>
      <c r="B4185" s="222" t="s">
        <v>2933</v>
      </c>
      <c r="C4185" s="223" t="s">
        <v>3145</v>
      </c>
      <c r="D4185" s="806" t="s">
        <v>3019</v>
      </c>
      <c r="E4185" s="247">
        <v>2000</v>
      </c>
      <c r="F4185" s="247"/>
      <c r="G4185" s="247">
        <f t="shared" si="69"/>
        <v>-2000</v>
      </c>
      <c r="H4185" s="219" t="s">
        <v>2973</v>
      </c>
    </row>
    <row r="4186" spans="1:8" ht="15.75" thickBot="1" x14ac:dyDescent="0.25">
      <c r="A4186" s="597">
        <v>43106</v>
      </c>
      <c r="B4186" s="222" t="s">
        <v>16</v>
      </c>
      <c r="C4186" s="222" t="s">
        <v>2672</v>
      </c>
      <c r="D4186" s="806" t="s">
        <v>3020</v>
      </c>
      <c r="E4186" s="247">
        <v>1700</v>
      </c>
      <c r="F4186" s="247"/>
      <c r="G4186" s="247">
        <f t="shared" si="69"/>
        <v>-1700</v>
      </c>
      <c r="H4186" s="219" t="s">
        <v>2973</v>
      </c>
    </row>
    <row r="4187" spans="1:8" ht="15.75" thickBot="1" x14ac:dyDescent="0.25">
      <c r="A4187" s="597">
        <v>43106</v>
      </c>
      <c r="B4187" s="222" t="s">
        <v>16</v>
      </c>
      <c r="C4187" s="222"/>
      <c r="D4187" s="806" t="s">
        <v>2360</v>
      </c>
      <c r="E4187" s="247">
        <v>1000</v>
      </c>
      <c r="F4187" s="247"/>
      <c r="G4187" s="247">
        <f t="shared" si="69"/>
        <v>-1000</v>
      </c>
      <c r="H4187" s="219" t="s">
        <v>2973</v>
      </c>
    </row>
    <row r="4188" spans="1:8" ht="15.75" thickBot="1" x14ac:dyDescent="0.25">
      <c r="A4188" s="597">
        <v>43106</v>
      </c>
      <c r="B4188" s="222" t="s">
        <v>16</v>
      </c>
      <c r="C4188" s="222"/>
      <c r="D4188" s="806" t="s">
        <v>1756</v>
      </c>
      <c r="E4188" s="247">
        <v>500</v>
      </c>
      <c r="F4188" s="247"/>
      <c r="G4188" s="247">
        <f t="shared" si="69"/>
        <v>-500</v>
      </c>
      <c r="H4188" s="219" t="s">
        <v>2973</v>
      </c>
    </row>
    <row r="4189" spans="1:8" ht="15.75" thickBot="1" x14ac:dyDescent="0.25">
      <c r="A4189" s="597">
        <v>43106</v>
      </c>
      <c r="B4189" s="222" t="s">
        <v>2787</v>
      </c>
      <c r="C4189" s="222" t="s">
        <v>3145</v>
      </c>
      <c r="D4189" s="806" t="s">
        <v>72</v>
      </c>
      <c r="E4189" s="247">
        <v>15960</v>
      </c>
      <c r="F4189" s="247"/>
      <c r="G4189" s="247">
        <f t="shared" si="69"/>
        <v>-15960</v>
      </c>
      <c r="H4189" s="219" t="s">
        <v>2973</v>
      </c>
    </row>
    <row r="4190" spans="1:8" ht="15.75" thickBot="1" x14ac:dyDescent="0.25">
      <c r="A4190" s="597">
        <v>43106</v>
      </c>
      <c r="B4190" s="222" t="s">
        <v>2548</v>
      </c>
      <c r="C4190" s="222" t="s">
        <v>208</v>
      </c>
      <c r="D4190" s="806" t="s">
        <v>72</v>
      </c>
      <c r="E4190" s="247">
        <v>2100</v>
      </c>
      <c r="F4190" s="247"/>
      <c r="G4190" s="247">
        <f t="shared" si="69"/>
        <v>-2100</v>
      </c>
      <c r="H4190" s="219" t="s">
        <v>2973</v>
      </c>
    </row>
    <row r="4191" spans="1:8" ht="15.75" thickBot="1" x14ac:dyDescent="0.25">
      <c r="A4191" s="597">
        <v>43108</v>
      </c>
      <c r="B4191" s="222" t="s">
        <v>2787</v>
      </c>
      <c r="C4191" s="222" t="s">
        <v>3145</v>
      </c>
      <c r="D4191" s="806" t="s">
        <v>3021</v>
      </c>
      <c r="E4191" s="247">
        <v>30815</v>
      </c>
      <c r="F4191" s="247"/>
      <c r="G4191" s="247">
        <f t="shared" si="69"/>
        <v>-30815</v>
      </c>
      <c r="H4191" s="219" t="s">
        <v>2973</v>
      </c>
    </row>
    <row r="4192" spans="1:8" ht="15.75" thickBot="1" x14ac:dyDescent="0.25">
      <c r="A4192" s="597">
        <v>43108</v>
      </c>
      <c r="B4192" s="222" t="s">
        <v>25</v>
      </c>
      <c r="C4192" s="222" t="s">
        <v>1894</v>
      </c>
      <c r="D4192" s="806" t="s">
        <v>2967</v>
      </c>
      <c r="E4192" s="247">
        <v>1035</v>
      </c>
      <c r="F4192" s="247"/>
      <c r="G4192" s="247">
        <f t="shared" si="69"/>
        <v>-1035</v>
      </c>
      <c r="H4192" s="219" t="s">
        <v>2973</v>
      </c>
    </row>
    <row r="4193" spans="1:8" ht="15.75" thickBot="1" x14ac:dyDescent="0.25">
      <c r="A4193" s="597">
        <v>43108</v>
      </c>
      <c r="B4193" s="222" t="s">
        <v>2787</v>
      </c>
      <c r="C4193" s="222" t="s">
        <v>3145</v>
      </c>
      <c r="D4193" s="806" t="s">
        <v>2940</v>
      </c>
      <c r="E4193" s="247">
        <v>8870</v>
      </c>
      <c r="F4193" s="247"/>
      <c r="G4193" s="247">
        <f t="shared" si="69"/>
        <v>-8870</v>
      </c>
      <c r="H4193" s="219" t="s">
        <v>2973</v>
      </c>
    </row>
    <row r="4194" spans="1:8" ht="15.75" thickBot="1" x14ac:dyDescent="0.25">
      <c r="A4194" s="597">
        <v>43108</v>
      </c>
      <c r="B4194" s="222" t="s">
        <v>2787</v>
      </c>
      <c r="C4194" s="222" t="s">
        <v>3149</v>
      </c>
      <c r="D4194" s="806" t="s">
        <v>1410</v>
      </c>
      <c r="E4194" s="247">
        <v>420</v>
      </c>
      <c r="F4194" s="247"/>
      <c r="G4194" s="247">
        <f t="shared" si="69"/>
        <v>-420</v>
      </c>
      <c r="H4194" s="219" t="s">
        <v>2973</v>
      </c>
    </row>
    <row r="4195" spans="1:8" ht="15.75" customHeight="1" thickBot="1" x14ac:dyDescent="0.25">
      <c r="A4195" s="597">
        <v>43108</v>
      </c>
      <c r="B4195" s="222" t="s">
        <v>2787</v>
      </c>
      <c r="C4195" s="222" t="s">
        <v>3149</v>
      </c>
      <c r="D4195" s="806" t="s">
        <v>1410</v>
      </c>
      <c r="E4195" s="247">
        <v>280</v>
      </c>
      <c r="F4195" s="247"/>
      <c r="G4195" s="247">
        <f t="shared" si="69"/>
        <v>-280</v>
      </c>
      <c r="H4195" s="219" t="s">
        <v>2973</v>
      </c>
    </row>
    <row r="4196" spans="1:8" ht="15.75" customHeight="1" thickBot="1" x14ac:dyDescent="0.25">
      <c r="A4196" s="597">
        <v>43108</v>
      </c>
      <c r="B4196" s="222" t="s">
        <v>25</v>
      </c>
      <c r="C4196" s="222" t="s">
        <v>1894</v>
      </c>
      <c r="D4196" s="806" t="s">
        <v>3022</v>
      </c>
      <c r="E4196" s="247">
        <v>52322</v>
      </c>
      <c r="F4196" s="247"/>
      <c r="G4196" s="247">
        <f t="shared" si="69"/>
        <v>-52322</v>
      </c>
      <c r="H4196" s="219" t="s">
        <v>2973</v>
      </c>
    </row>
    <row r="4197" spans="1:8" ht="15.75" customHeight="1" thickBot="1" x14ac:dyDescent="0.25">
      <c r="A4197" s="597">
        <v>43108</v>
      </c>
      <c r="B4197" s="222" t="s">
        <v>2787</v>
      </c>
      <c r="C4197" s="222" t="s">
        <v>3145</v>
      </c>
      <c r="D4197" s="806" t="s">
        <v>757</v>
      </c>
      <c r="E4197" s="247">
        <v>9872</v>
      </c>
      <c r="F4197" s="247"/>
      <c r="G4197" s="247">
        <f t="shared" si="69"/>
        <v>-9872</v>
      </c>
      <c r="H4197" s="219" t="s">
        <v>2973</v>
      </c>
    </row>
    <row r="4198" spans="1:8" ht="15.75" customHeight="1" thickBot="1" x14ac:dyDescent="0.25">
      <c r="A4198" s="597">
        <v>43109</v>
      </c>
      <c r="B4198" s="222" t="s">
        <v>25</v>
      </c>
      <c r="C4198" s="222" t="s">
        <v>2978</v>
      </c>
      <c r="D4198" s="806" t="s">
        <v>3023</v>
      </c>
      <c r="E4198" s="247">
        <v>1500</v>
      </c>
      <c r="F4198" s="247"/>
      <c r="G4198" s="247">
        <f t="shared" si="69"/>
        <v>-1500</v>
      </c>
      <c r="H4198" s="219" t="s">
        <v>2973</v>
      </c>
    </row>
    <row r="4199" spans="1:8" ht="15.75" customHeight="1" thickBot="1" x14ac:dyDescent="0.25">
      <c r="A4199" s="597">
        <v>43110</v>
      </c>
      <c r="B4199" s="222" t="s">
        <v>2787</v>
      </c>
      <c r="C4199" s="222" t="s">
        <v>3145</v>
      </c>
      <c r="D4199" s="806" t="s">
        <v>286</v>
      </c>
      <c r="E4199" s="247">
        <v>2000</v>
      </c>
      <c r="F4199" s="247"/>
      <c r="G4199" s="247">
        <f t="shared" si="69"/>
        <v>-2000</v>
      </c>
      <c r="H4199" s="219" t="s">
        <v>2973</v>
      </c>
    </row>
    <row r="4200" spans="1:8" ht="15.75" customHeight="1" thickBot="1" x14ac:dyDescent="0.25">
      <c r="A4200" s="597">
        <v>43110</v>
      </c>
      <c r="B4200" s="222" t="s">
        <v>2787</v>
      </c>
      <c r="C4200" s="222" t="s">
        <v>3145</v>
      </c>
      <c r="D4200" s="806" t="s">
        <v>3024</v>
      </c>
      <c r="E4200" s="247">
        <v>41000</v>
      </c>
      <c r="F4200" s="247"/>
      <c r="G4200" s="247">
        <f t="shared" si="69"/>
        <v>-41000</v>
      </c>
      <c r="H4200" s="219" t="s">
        <v>2973</v>
      </c>
    </row>
    <row r="4201" spans="1:8" ht="15.75" customHeight="1" thickBot="1" x14ac:dyDescent="0.25">
      <c r="A4201" s="597">
        <v>43111</v>
      </c>
      <c r="B4201" s="222" t="s">
        <v>2787</v>
      </c>
      <c r="C4201" s="223" t="s">
        <v>3149</v>
      </c>
      <c r="D4201" s="806" t="s">
        <v>1410</v>
      </c>
      <c r="E4201" s="247">
        <v>205</v>
      </c>
      <c r="F4201" s="247"/>
      <c r="G4201" s="247">
        <f t="shared" si="69"/>
        <v>-205</v>
      </c>
      <c r="H4201" s="219" t="s">
        <v>2973</v>
      </c>
    </row>
    <row r="4202" spans="1:8" ht="15.75" customHeight="1" thickBot="1" x14ac:dyDescent="0.25">
      <c r="A4202" s="597">
        <v>43112</v>
      </c>
      <c r="B4202" s="222" t="s">
        <v>2787</v>
      </c>
      <c r="C4202" s="223" t="s">
        <v>3149</v>
      </c>
      <c r="D4202" s="806" t="s">
        <v>1410</v>
      </c>
      <c r="E4202" s="247">
        <v>420</v>
      </c>
      <c r="F4202" s="247"/>
      <c r="G4202" s="247">
        <f t="shared" si="69"/>
        <v>-420</v>
      </c>
      <c r="H4202" s="219" t="s">
        <v>2973</v>
      </c>
    </row>
    <row r="4203" spans="1:8" ht="15.75" customHeight="1" thickBot="1" x14ac:dyDescent="0.25">
      <c r="A4203" s="597">
        <v>43112</v>
      </c>
      <c r="B4203" s="222" t="s">
        <v>2787</v>
      </c>
      <c r="C4203" s="222" t="s">
        <v>3085</v>
      </c>
      <c r="D4203" s="806" t="s">
        <v>3025</v>
      </c>
      <c r="E4203" s="247">
        <v>25000</v>
      </c>
      <c r="F4203" s="247"/>
      <c r="G4203" s="247">
        <f t="shared" si="69"/>
        <v>-25000</v>
      </c>
      <c r="H4203" s="219" t="s">
        <v>2973</v>
      </c>
    </row>
    <row r="4204" spans="1:8" ht="15.75" customHeight="1" thickBot="1" x14ac:dyDescent="0.25">
      <c r="A4204" s="597">
        <v>43112</v>
      </c>
      <c r="B4204" s="222" t="s">
        <v>2652</v>
      </c>
      <c r="C4204" s="222" t="s">
        <v>3149</v>
      </c>
      <c r="D4204" s="806" t="s">
        <v>1410</v>
      </c>
      <c r="E4204" s="247">
        <v>260</v>
      </c>
      <c r="F4204" s="247"/>
      <c r="G4204" s="247">
        <f t="shared" si="69"/>
        <v>-260</v>
      </c>
      <c r="H4204" s="219" t="s">
        <v>2973</v>
      </c>
    </row>
    <row r="4205" spans="1:8" ht="15.75" customHeight="1" thickBot="1" x14ac:dyDescent="0.25">
      <c r="A4205" s="597">
        <v>43112</v>
      </c>
      <c r="B4205" s="222" t="s">
        <v>2933</v>
      </c>
      <c r="C4205" s="222" t="s">
        <v>3149</v>
      </c>
      <c r="D4205" s="806" t="s">
        <v>3151</v>
      </c>
      <c r="E4205" s="247">
        <v>2100</v>
      </c>
      <c r="F4205" s="247"/>
      <c r="G4205" s="247">
        <f t="shared" si="69"/>
        <v>-2100</v>
      </c>
      <c r="H4205" s="219" t="s">
        <v>2973</v>
      </c>
    </row>
    <row r="4206" spans="1:8" ht="15.75" customHeight="1" thickBot="1" x14ac:dyDescent="0.25">
      <c r="A4206" s="597">
        <v>43113</v>
      </c>
      <c r="B4206" s="222" t="s">
        <v>2787</v>
      </c>
      <c r="C4206" s="222" t="s">
        <v>3026</v>
      </c>
      <c r="D4206" s="806" t="s">
        <v>3027</v>
      </c>
      <c r="E4206" s="247">
        <v>20000</v>
      </c>
      <c r="F4206" s="247"/>
      <c r="G4206" s="247">
        <f t="shared" si="69"/>
        <v>-20000</v>
      </c>
      <c r="H4206" s="219" t="s">
        <v>2973</v>
      </c>
    </row>
    <row r="4207" spans="1:8" ht="15.75" customHeight="1" thickBot="1" x14ac:dyDescent="0.25">
      <c r="A4207" s="597">
        <v>43115</v>
      </c>
      <c r="B4207" s="222" t="s">
        <v>11</v>
      </c>
      <c r="C4207" s="222" t="s">
        <v>290</v>
      </c>
      <c r="D4207" s="806" t="s">
        <v>2159</v>
      </c>
      <c r="E4207" s="247">
        <v>6190</v>
      </c>
      <c r="F4207" s="247"/>
      <c r="G4207" s="247">
        <f t="shared" si="69"/>
        <v>-6190</v>
      </c>
      <c r="H4207" s="219" t="s">
        <v>2973</v>
      </c>
    </row>
    <row r="4208" spans="1:8" ht="15.75" customHeight="1" thickBot="1" x14ac:dyDescent="0.25">
      <c r="A4208" s="597">
        <v>43116</v>
      </c>
      <c r="B4208" s="222" t="s">
        <v>2787</v>
      </c>
      <c r="C4208" s="222" t="s">
        <v>3145</v>
      </c>
      <c r="D4208" s="806" t="s">
        <v>2805</v>
      </c>
      <c r="E4208" s="247">
        <v>4800</v>
      </c>
      <c r="F4208" s="247"/>
      <c r="G4208" s="247">
        <f t="shared" si="69"/>
        <v>-4800</v>
      </c>
      <c r="H4208" s="219" t="s">
        <v>2973</v>
      </c>
    </row>
    <row r="4209" spans="1:8" ht="15.75" customHeight="1" thickBot="1" x14ac:dyDescent="0.25">
      <c r="A4209" s="597">
        <v>43117</v>
      </c>
      <c r="B4209" s="222" t="s">
        <v>16</v>
      </c>
      <c r="C4209" s="222" t="s">
        <v>309</v>
      </c>
      <c r="D4209" s="806" t="s">
        <v>3028</v>
      </c>
      <c r="E4209" s="247">
        <v>1610</v>
      </c>
      <c r="F4209" s="247"/>
      <c r="G4209" s="247">
        <f t="shared" si="69"/>
        <v>-1610</v>
      </c>
      <c r="H4209" s="219" t="s">
        <v>2973</v>
      </c>
    </row>
    <row r="4210" spans="1:8" ht="15.75" customHeight="1" thickBot="1" x14ac:dyDescent="0.25">
      <c r="A4210" s="597">
        <v>43117</v>
      </c>
      <c r="B4210" s="222" t="s">
        <v>11</v>
      </c>
      <c r="C4210" s="222" t="s">
        <v>290</v>
      </c>
      <c r="D4210" s="806" t="s">
        <v>3029</v>
      </c>
      <c r="E4210" s="247">
        <v>3430</v>
      </c>
      <c r="F4210" s="247"/>
      <c r="G4210" s="247">
        <f t="shared" si="69"/>
        <v>-3430</v>
      </c>
      <c r="H4210" s="219" t="s">
        <v>2973</v>
      </c>
    </row>
    <row r="4211" spans="1:8" ht="15.75" customHeight="1" thickBot="1" x14ac:dyDescent="0.25">
      <c r="A4211" s="597">
        <v>43117</v>
      </c>
      <c r="B4211" s="222" t="s">
        <v>40</v>
      </c>
      <c r="C4211" s="222" t="s">
        <v>2672</v>
      </c>
      <c r="D4211" s="806" t="s">
        <v>3030</v>
      </c>
      <c r="E4211" s="247">
        <v>5000</v>
      </c>
      <c r="F4211" s="247"/>
      <c r="G4211" s="247">
        <f t="shared" si="69"/>
        <v>-5000</v>
      </c>
      <c r="H4211" s="219" t="s">
        <v>2973</v>
      </c>
    </row>
    <row r="4212" spans="1:8" ht="15.75" customHeight="1" thickBot="1" x14ac:dyDescent="0.25">
      <c r="A4212" s="597">
        <v>43117</v>
      </c>
      <c r="B4212" s="222" t="s">
        <v>1400</v>
      </c>
      <c r="C4212" s="222" t="s">
        <v>3031</v>
      </c>
      <c r="D4212" s="806" t="s">
        <v>3032</v>
      </c>
      <c r="E4212" s="247">
        <v>12000</v>
      </c>
      <c r="F4212" s="247"/>
      <c r="G4212" s="247">
        <f t="shared" si="69"/>
        <v>-12000</v>
      </c>
      <c r="H4212" s="219" t="s">
        <v>2973</v>
      </c>
    </row>
    <row r="4213" spans="1:8" ht="15.75" customHeight="1" thickBot="1" x14ac:dyDescent="0.25">
      <c r="A4213" s="597">
        <v>43117</v>
      </c>
      <c r="B4213" s="222" t="s">
        <v>1400</v>
      </c>
      <c r="C4213" s="222" t="s">
        <v>3033</v>
      </c>
      <c r="D4213" s="806" t="s">
        <v>370</v>
      </c>
      <c r="E4213" s="247">
        <v>4000</v>
      </c>
      <c r="F4213" s="247"/>
      <c r="G4213" s="247">
        <f t="shared" si="69"/>
        <v>-4000</v>
      </c>
      <c r="H4213" s="219" t="s">
        <v>2973</v>
      </c>
    </row>
    <row r="4214" spans="1:8" ht="15.75" customHeight="1" thickBot="1" x14ac:dyDescent="0.25">
      <c r="A4214" s="597">
        <v>43117</v>
      </c>
      <c r="B4214" s="222" t="s">
        <v>2787</v>
      </c>
      <c r="C4214" s="222" t="s">
        <v>3145</v>
      </c>
      <c r="D4214" s="806" t="s">
        <v>2137</v>
      </c>
      <c r="E4214" s="247">
        <v>4400</v>
      </c>
      <c r="F4214" s="247"/>
      <c r="G4214" s="247">
        <f t="shared" si="69"/>
        <v>-4400</v>
      </c>
      <c r="H4214" s="219" t="s">
        <v>2973</v>
      </c>
    </row>
    <row r="4215" spans="1:8" ht="15.75" customHeight="1" thickBot="1" x14ac:dyDescent="0.25">
      <c r="A4215" s="597">
        <v>43117</v>
      </c>
      <c r="B4215" s="222" t="s">
        <v>25</v>
      </c>
      <c r="C4215" s="222" t="s">
        <v>2978</v>
      </c>
      <c r="D4215" s="806" t="s">
        <v>2116</v>
      </c>
      <c r="E4215" s="247">
        <v>2400</v>
      </c>
      <c r="F4215" s="247"/>
      <c r="G4215" s="247">
        <f t="shared" si="69"/>
        <v>-2400</v>
      </c>
      <c r="H4215" s="219" t="s">
        <v>2973</v>
      </c>
    </row>
    <row r="4216" spans="1:8" ht="15.75" customHeight="1" thickBot="1" x14ac:dyDescent="0.25">
      <c r="A4216" s="597">
        <v>43117</v>
      </c>
      <c r="B4216" s="222" t="s">
        <v>2787</v>
      </c>
      <c r="C4216" s="222" t="s">
        <v>3145</v>
      </c>
      <c r="D4216" s="806" t="s">
        <v>3035</v>
      </c>
      <c r="E4216" s="247">
        <v>31150</v>
      </c>
      <c r="F4216" s="247"/>
      <c r="G4216" s="247">
        <f t="shared" si="69"/>
        <v>-31150</v>
      </c>
      <c r="H4216" s="219" t="s">
        <v>2973</v>
      </c>
    </row>
    <row r="4217" spans="1:8" ht="15.75" customHeight="1" thickBot="1" x14ac:dyDescent="0.25">
      <c r="A4217" s="597">
        <v>43118</v>
      </c>
      <c r="B4217" s="222" t="s">
        <v>18</v>
      </c>
      <c r="C4217" s="222" t="s">
        <v>1875</v>
      </c>
      <c r="D4217" s="806" t="s">
        <v>370</v>
      </c>
      <c r="E4217" s="247">
        <v>15000</v>
      </c>
      <c r="F4217" s="247"/>
      <c r="G4217" s="247">
        <f t="shared" si="69"/>
        <v>-15000</v>
      </c>
      <c r="H4217" s="219" t="s">
        <v>2973</v>
      </c>
    </row>
    <row r="4218" spans="1:8" ht="24.75" customHeight="1" thickBot="1" x14ac:dyDescent="0.25">
      <c r="A4218" s="597">
        <v>43118</v>
      </c>
      <c r="B4218" s="222" t="s">
        <v>11</v>
      </c>
      <c r="C4218" s="222" t="s">
        <v>290</v>
      </c>
      <c r="D4218" s="805" t="s">
        <v>3034</v>
      </c>
      <c r="E4218" s="247">
        <v>1000</v>
      </c>
      <c r="F4218" s="247"/>
      <c r="G4218" s="247">
        <f t="shared" si="69"/>
        <v>-1000</v>
      </c>
      <c r="H4218" s="219" t="s">
        <v>2973</v>
      </c>
    </row>
    <row r="4219" spans="1:8" ht="15.75" customHeight="1" thickBot="1" x14ac:dyDescent="0.25">
      <c r="A4219" s="597">
        <v>43118</v>
      </c>
      <c r="B4219" s="222" t="s">
        <v>2652</v>
      </c>
      <c r="C4219" s="222" t="s">
        <v>3149</v>
      </c>
      <c r="D4219" s="805" t="s">
        <v>1410</v>
      </c>
      <c r="E4219" s="247">
        <v>260</v>
      </c>
      <c r="F4219" s="247"/>
      <c r="G4219" s="247">
        <f t="shared" si="69"/>
        <v>-260</v>
      </c>
      <c r="H4219" s="219" t="s">
        <v>2973</v>
      </c>
    </row>
    <row r="4220" spans="1:8" ht="15.75" customHeight="1" thickBot="1" x14ac:dyDescent="0.25">
      <c r="A4220" s="597">
        <v>43119</v>
      </c>
      <c r="B4220" s="222" t="s">
        <v>25</v>
      </c>
      <c r="C4220" s="222" t="s">
        <v>1894</v>
      </c>
      <c r="D4220" s="805" t="s">
        <v>392</v>
      </c>
      <c r="E4220" s="247">
        <v>4062</v>
      </c>
      <c r="F4220" s="247"/>
      <c r="G4220" s="247">
        <f t="shared" si="69"/>
        <v>-4062</v>
      </c>
      <c r="H4220" s="219" t="s">
        <v>2973</v>
      </c>
    </row>
    <row r="4221" spans="1:8" ht="15.75" customHeight="1" thickBot="1" x14ac:dyDescent="0.25">
      <c r="A4221" s="597">
        <v>43119</v>
      </c>
      <c r="B4221" s="222" t="s">
        <v>25</v>
      </c>
      <c r="C4221" s="222" t="s">
        <v>551</v>
      </c>
      <c r="D4221" s="805" t="s">
        <v>2996</v>
      </c>
      <c r="E4221" s="247">
        <v>20000</v>
      </c>
      <c r="F4221" s="247"/>
      <c r="G4221" s="247">
        <f t="shared" si="69"/>
        <v>-20000</v>
      </c>
      <c r="H4221" s="219" t="s">
        <v>2973</v>
      </c>
    </row>
    <row r="4222" spans="1:8" ht="15.75" customHeight="1" thickBot="1" x14ac:dyDescent="0.25">
      <c r="A4222" s="597">
        <v>43119</v>
      </c>
      <c r="B4222" s="222" t="s">
        <v>25</v>
      </c>
      <c r="C4222" s="222" t="s">
        <v>551</v>
      </c>
      <c r="D4222" s="805" t="s">
        <v>3048</v>
      </c>
      <c r="E4222" s="247">
        <v>40000</v>
      </c>
      <c r="F4222" s="247"/>
      <c r="G4222" s="247">
        <f t="shared" si="69"/>
        <v>-40000</v>
      </c>
      <c r="H4222" s="219" t="s">
        <v>2973</v>
      </c>
    </row>
    <row r="4223" spans="1:8" ht="15.75" customHeight="1" thickBot="1" x14ac:dyDescent="0.25">
      <c r="A4223" s="597">
        <v>43119</v>
      </c>
      <c r="B4223" s="222" t="s">
        <v>2787</v>
      </c>
      <c r="C4223" s="222" t="s">
        <v>3145</v>
      </c>
      <c r="D4223" s="805" t="s">
        <v>370</v>
      </c>
      <c r="E4223" s="247">
        <v>7500</v>
      </c>
      <c r="F4223" s="247"/>
      <c r="G4223" s="247">
        <f t="shared" si="69"/>
        <v>-7500</v>
      </c>
      <c r="H4223" s="219" t="s">
        <v>2973</v>
      </c>
    </row>
    <row r="4224" spans="1:8" ht="15.75" customHeight="1" thickBot="1" x14ac:dyDescent="0.25">
      <c r="A4224" s="597">
        <v>43119</v>
      </c>
      <c r="B4224" s="222" t="s">
        <v>2787</v>
      </c>
      <c r="C4224" s="222" t="s">
        <v>2816</v>
      </c>
      <c r="D4224" s="805" t="s">
        <v>3049</v>
      </c>
      <c r="E4224" s="247">
        <v>25900</v>
      </c>
      <c r="F4224" s="247"/>
      <c r="G4224" s="247">
        <f t="shared" si="69"/>
        <v>-25900</v>
      </c>
      <c r="H4224" s="219" t="s">
        <v>2973</v>
      </c>
    </row>
    <row r="4225" spans="1:8" ht="15.75" customHeight="1" thickBot="1" x14ac:dyDescent="0.25">
      <c r="A4225" s="597">
        <v>43119</v>
      </c>
      <c r="B4225" s="222" t="s">
        <v>2787</v>
      </c>
      <c r="C4225" s="222" t="s">
        <v>3026</v>
      </c>
      <c r="D4225" s="805" t="s">
        <v>3075</v>
      </c>
      <c r="E4225" s="247">
        <v>15000</v>
      </c>
      <c r="F4225" s="247"/>
      <c r="G4225" s="247">
        <f t="shared" si="69"/>
        <v>-15000</v>
      </c>
      <c r="H4225" s="219" t="s">
        <v>2973</v>
      </c>
    </row>
    <row r="4226" spans="1:8" ht="15.75" customHeight="1" thickBot="1" x14ac:dyDescent="0.25">
      <c r="A4226" s="597">
        <v>43119</v>
      </c>
      <c r="B4226" s="222" t="s">
        <v>2787</v>
      </c>
      <c r="C4226" s="222" t="s">
        <v>2816</v>
      </c>
      <c r="D4226" s="805" t="s">
        <v>3049</v>
      </c>
      <c r="E4226" s="247">
        <v>14600</v>
      </c>
      <c r="F4226" s="247"/>
      <c r="G4226" s="247">
        <f t="shared" si="69"/>
        <v>-14600</v>
      </c>
      <c r="H4226" s="219" t="s">
        <v>2973</v>
      </c>
    </row>
    <row r="4227" spans="1:8" ht="15.75" thickBot="1" x14ac:dyDescent="0.25">
      <c r="A4227" s="597">
        <v>43119</v>
      </c>
      <c r="B4227" s="222" t="s">
        <v>1400</v>
      </c>
      <c r="C4227" s="222" t="s">
        <v>780</v>
      </c>
      <c r="D4227" s="805" t="s">
        <v>72</v>
      </c>
      <c r="E4227" s="247">
        <v>82800</v>
      </c>
      <c r="F4227" s="247"/>
      <c r="G4227" s="247">
        <f t="shared" si="69"/>
        <v>-82800</v>
      </c>
      <c r="H4227" s="219" t="s">
        <v>2973</v>
      </c>
    </row>
    <row r="4228" spans="1:8" ht="15.75" thickBot="1" x14ac:dyDescent="0.25">
      <c r="A4228" s="597">
        <v>43119</v>
      </c>
      <c r="B4228" s="222" t="s">
        <v>2787</v>
      </c>
      <c r="C4228" s="222" t="s">
        <v>551</v>
      </c>
      <c r="D4228" s="805" t="s">
        <v>286</v>
      </c>
      <c r="E4228" s="247">
        <v>4000</v>
      </c>
      <c r="F4228" s="247"/>
      <c r="G4228" s="247">
        <f t="shared" si="69"/>
        <v>-4000</v>
      </c>
      <c r="H4228" s="219" t="s">
        <v>2973</v>
      </c>
    </row>
    <row r="4229" spans="1:8" ht="15.75" thickBot="1" x14ac:dyDescent="0.25">
      <c r="A4229" s="597">
        <v>43122</v>
      </c>
      <c r="B4229" s="222" t="s">
        <v>18</v>
      </c>
      <c r="C4229" s="222" t="s">
        <v>2594</v>
      </c>
      <c r="D4229" s="805" t="s">
        <v>3050</v>
      </c>
      <c r="E4229" s="247">
        <v>11800</v>
      </c>
      <c r="F4229" s="247"/>
      <c r="G4229" s="247">
        <f t="shared" si="69"/>
        <v>-11800</v>
      </c>
      <c r="H4229" s="219" t="s">
        <v>2973</v>
      </c>
    </row>
    <row r="4230" spans="1:8" ht="15.75" thickBot="1" x14ac:dyDescent="0.25">
      <c r="A4230" s="597">
        <v>43122</v>
      </c>
      <c r="B4230" s="222" t="s">
        <v>2787</v>
      </c>
      <c r="C4230" s="222" t="s">
        <v>929</v>
      </c>
      <c r="D4230" s="805" t="s">
        <v>3051</v>
      </c>
      <c r="E4230" s="247">
        <v>15000</v>
      </c>
      <c r="F4230" s="247"/>
      <c r="G4230" s="247">
        <f t="shared" si="69"/>
        <v>-15000</v>
      </c>
      <c r="H4230" s="219" t="s">
        <v>2973</v>
      </c>
    </row>
    <row r="4231" spans="1:8" ht="15.75" thickBot="1" x14ac:dyDescent="0.25">
      <c r="A4231" s="597">
        <v>43122</v>
      </c>
      <c r="B4231" s="222" t="s">
        <v>2787</v>
      </c>
      <c r="C4231" s="222" t="s">
        <v>3026</v>
      </c>
      <c r="D4231" s="805" t="s">
        <v>3051</v>
      </c>
      <c r="E4231" s="247">
        <v>15000</v>
      </c>
      <c r="F4231" s="247"/>
      <c r="G4231" s="247">
        <f t="shared" si="69"/>
        <v>-15000</v>
      </c>
      <c r="H4231" s="219" t="s">
        <v>2973</v>
      </c>
    </row>
    <row r="4232" spans="1:8" ht="15.75" thickBot="1" x14ac:dyDescent="0.25">
      <c r="A4232" s="597">
        <v>43122</v>
      </c>
      <c r="B4232" s="222" t="s">
        <v>1400</v>
      </c>
      <c r="C4232" s="222" t="s">
        <v>64</v>
      </c>
      <c r="D4232" s="805" t="s">
        <v>3056</v>
      </c>
      <c r="E4232" s="247">
        <v>12180</v>
      </c>
      <c r="F4232" s="247"/>
      <c r="G4232" s="247">
        <f t="shared" si="69"/>
        <v>-12180</v>
      </c>
      <c r="H4232" s="219" t="s">
        <v>2973</v>
      </c>
    </row>
    <row r="4233" spans="1:8" ht="24.75" thickBot="1" x14ac:dyDescent="0.25">
      <c r="A4233" s="597">
        <v>43122</v>
      </c>
      <c r="B4233" s="222" t="s">
        <v>2787</v>
      </c>
      <c r="C4233" s="222" t="s">
        <v>3145</v>
      </c>
      <c r="D4233" s="805" t="s">
        <v>3057</v>
      </c>
      <c r="E4233" s="247">
        <v>45000</v>
      </c>
      <c r="F4233" s="247"/>
      <c r="G4233" s="247">
        <f t="shared" ref="G4233:G4296" si="70">F4233-E4233</f>
        <v>-45000</v>
      </c>
      <c r="H4233" s="219" t="s">
        <v>2973</v>
      </c>
    </row>
    <row r="4234" spans="1:8" ht="15.75" thickBot="1" x14ac:dyDescent="0.25">
      <c r="A4234" s="597">
        <v>43122</v>
      </c>
      <c r="B4234" s="222" t="s">
        <v>2787</v>
      </c>
      <c r="C4234" s="222" t="s">
        <v>3145</v>
      </c>
      <c r="D4234" s="805" t="s">
        <v>3058</v>
      </c>
      <c r="E4234" s="247">
        <v>88700</v>
      </c>
      <c r="F4234" s="247"/>
      <c r="G4234" s="247">
        <f t="shared" si="70"/>
        <v>-88700</v>
      </c>
      <c r="H4234" s="219" t="s">
        <v>2973</v>
      </c>
    </row>
    <row r="4235" spans="1:8" ht="15.75" thickBot="1" x14ac:dyDescent="0.25">
      <c r="A4235" s="597">
        <v>43122</v>
      </c>
      <c r="B4235" s="222" t="s">
        <v>1400</v>
      </c>
      <c r="C4235" s="222" t="s">
        <v>780</v>
      </c>
      <c r="D4235" s="805" t="s">
        <v>3059</v>
      </c>
      <c r="E4235" s="247">
        <v>82800</v>
      </c>
      <c r="F4235" s="247"/>
      <c r="G4235" s="247">
        <f t="shared" si="70"/>
        <v>-82800</v>
      </c>
      <c r="H4235" s="219" t="s">
        <v>2973</v>
      </c>
    </row>
    <row r="4236" spans="1:8" ht="15.75" thickBot="1" x14ac:dyDescent="0.25">
      <c r="A4236" s="597">
        <v>43122</v>
      </c>
      <c r="B4236" s="222" t="s">
        <v>2787</v>
      </c>
      <c r="C4236" s="222" t="s">
        <v>3085</v>
      </c>
      <c r="D4236" s="805" t="s">
        <v>370</v>
      </c>
      <c r="E4236" s="247">
        <v>5000</v>
      </c>
      <c r="F4236" s="247"/>
      <c r="G4236" s="247">
        <f t="shared" si="70"/>
        <v>-5000</v>
      </c>
      <c r="H4236" s="219" t="s">
        <v>2973</v>
      </c>
    </row>
    <row r="4237" spans="1:8" ht="15.75" thickBot="1" x14ac:dyDescent="0.25">
      <c r="A4237" s="597">
        <v>43122</v>
      </c>
      <c r="B4237" s="222" t="s">
        <v>2787</v>
      </c>
      <c r="C4237" s="222" t="s">
        <v>3085</v>
      </c>
      <c r="D4237" s="805" t="s">
        <v>370</v>
      </c>
      <c r="E4237" s="247">
        <v>15000</v>
      </c>
      <c r="F4237" s="247"/>
      <c r="G4237" s="247">
        <f t="shared" si="70"/>
        <v>-15000</v>
      </c>
      <c r="H4237" s="219" t="s">
        <v>2973</v>
      </c>
    </row>
    <row r="4238" spans="1:8" ht="15.75" customHeight="1" thickBot="1" x14ac:dyDescent="0.25">
      <c r="A4238" s="597">
        <v>43122</v>
      </c>
      <c r="B4238" s="222" t="s">
        <v>2933</v>
      </c>
      <c r="C4238" s="222" t="s">
        <v>3149</v>
      </c>
      <c r="D4238" s="806" t="s">
        <v>3151</v>
      </c>
      <c r="E4238" s="247">
        <v>480</v>
      </c>
      <c r="F4238" s="247"/>
      <c r="G4238" s="247">
        <f t="shared" si="70"/>
        <v>-480</v>
      </c>
      <c r="H4238" s="219" t="s">
        <v>2973</v>
      </c>
    </row>
    <row r="4239" spans="1:8" ht="15.75" thickBot="1" x14ac:dyDescent="0.25">
      <c r="A4239" s="597">
        <v>43123</v>
      </c>
      <c r="B4239" s="222" t="s">
        <v>1400</v>
      </c>
      <c r="C4239" s="222" t="s">
        <v>64</v>
      </c>
      <c r="D4239" s="805" t="s">
        <v>3060</v>
      </c>
      <c r="E4239" s="247">
        <v>566</v>
      </c>
      <c r="F4239" s="247"/>
      <c r="G4239" s="247">
        <f t="shared" si="70"/>
        <v>-566</v>
      </c>
      <c r="H4239" s="219" t="s">
        <v>2973</v>
      </c>
    </row>
    <row r="4240" spans="1:8" ht="15.75" thickBot="1" x14ac:dyDescent="0.25">
      <c r="A4240" s="597">
        <v>43123</v>
      </c>
      <c r="B4240" s="222" t="s">
        <v>1400</v>
      </c>
      <c r="C4240" s="222" t="s">
        <v>2874</v>
      </c>
      <c r="D4240" s="805" t="s">
        <v>3061</v>
      </c>
      <c r="E4240" s="247">
        <v>9620</v>
      </c>
      <c r="F4240" s="247"/>
      <c r="G4240" s="247">
        <f t="shared" si="70"/>
        <v>-9620</v>
      </c>
      <c r="H4240" s="219" t="s">
        <v>2973</v>
      </c>
    </row>
    <row r="4241" spans="1:8" ht="15.75" thickBot="1" x14ac:dyDescent="0.25">
      <c r="A4241" s="597">
        <v>43123</v>
      </c>
      <c r="B4241" s="222" t="s">
        <v>25</v>
      </c>
      <c r="C4241" s="222" t="s">
        <v>1894</v>
      </c>
      <c r="D4241" s="805" t="s">
        <v>3062</v>
      </c>
      <c r="E4241" s="247">
        <v>7084</v>
      </c>
      <c r="F4241" s="247"/>
      <c r="G4241" s="247">
        <f t="shared" si="70"/>
        <v>-7084</v>
      </c>
      <c r="H4241" s="219" t="s">
        <v>2973</v>
      </c>
    </row>
    <row r="4242" spans="1:8" ht="15.75" customHeight="1" thickBot="1" x14ac:dyDescent="0.25">
      <c r="A4242" s="597">
        <v>43123</v>
      </c>
      <c r="B4242" s="222" t="s">
        <v>18</v>
      </c>
      <c r="C4242" s="222" t="s">
        <v>3136</v>
      </c>
      <c r="D4242" s="805" t="s">
        <v>2237</v>
      </c>
      <c r="E4242" s="247">
        <v>7000</v>
      </c>
      <c r="F4242" s="247"/>
      <c r="G4242" s="247">
        <f t="shared" si="70"/>
        <v>-7000</v>
      </c>
      <c r="H4242" s="219" t="s">
        <v>2973</v>
      </c>
    </row>
    <row r="4243" spans="1:8" ht="15.75" customHeight="1" thickBot="1" x14ac:dyDescent="0.25">
      <c r="A4243" s="597">
        <v>43124</v>
      </c>
      <c r="B4243" s="222" t="s">
        <v>16</v>
      </c>
      <c r="C4243" s="222" t="s">
        <v>1689</v>
      </c>
      <c r="D4243" s="805" t="s">
        <v>370</v>
      </c>
      <c r="E4243" s="247">
        <v>12044</v>
      </c>
      <c r="F4243" s="247"/>
      <c r="G4243" s="247">
        <f t="shared" si="70"/>
        <v>-12044</v>
      </c>
      <c r="H4243" s="219" t="s">
        <v>2973</v>
      </c>
    </row>
    <row r="4244" spans="1:8" ht="15.75" customHeight="1" thickBot="1" x14ac:dyDescent="0.25">
      <c r="A4244" s="597">
        <v>43124</v>
      </c>
      <c r="B4244" s="222" t="s">
        <v>25</v>
      </c>
      <c r="C4244" s="222" t="s">
        <v>1689</v>
      </c>
      <c r="D4244" s="805" t="s">
        <v>370</v>
      </c>
      <c r="E4244" s="247">
        <v>9450</v>
      </c>
      <c r="F4244" s="247"/>
      <c r="G4244" s="247">
        <f t="shared" si="70"/>
        <v>-9450</v>
      </c>
      <c r="H4244" s="219" t="s">
        <v>2973</v>
      </c>
    </row>
    <row r="4245" spans="1:8" ht="15.75" thickBot="1" x14ac:dyDescent="0.25">
      <c r="A4245" s="597">
        <v>43124</v>
      </c>
      <c r="B4245" s="222" t="s">
        <v>25</v>
      </c>
      <c r="C4245" s="222" t="s">
        <v>3079</v>
      </c>
      <c r="D4245" s="805" t="s">
        <v>3080</v>
      </c>
      <c r="E4245" s="247">
        <v>40000</v>
      </c>
      <c r="F4245" s="247"/>
      <c r="G4245" s="247">
        <f t="shared" si="70"/>
        <v>-40000</v>
      </c>
      <c r="H4245" s="219" t="s">
        <v>2973</v>
      </c>
    </row>
    <row r="4246" spans="1:8" ht="15.75" customHeight="1" thickBot="1" x14ac:dyDescent="0.25">
      <c r="A4246" s="597">
        <v>43124</v>
      </c>
      <c r="B4246" s="222" t="s">
        <v>2933</v>
      </c>
      <c r="C4246" s="222" t="s">
        <v>3149</v>
      </c>
      <c r="D4246" s="806" t="s">
        <v>3151</v>
      </c>
      <c r="E4246" s="247">
        <v>3360</v>
      </c>
      <c r="F4246" s="247"/>
      <c r="G4246" s="247">
        <f t="shared" si="70"/>
        <v>-3360</v>
      </c>
      <c r="H4246" s="219" t="s">
        <v>2973</v>
      </c>
    </row>
    <row r="4247" spans="1:8" ht="15.75" customHeight="1" thickBot="1" x14ac:dyDescent="0.25">
      <c r="A4247" s="597">
        <v>43125</v>
      </c>
      <c r="B4247" s="222" t="s">
        <v>11</v>
      </c>
      <c r="C4247" s="222" t="s">
        <v>2473</v>
      </c>
      <c r="D4247" s="805" t="s">
        <v>3081</v>
      </c>
      <c r="E4247" s="247">
        <v>1300</v>
      </c>
      <c r="F4247" s="247"/>
      <c r="G4247" s="247">
        <f t="shared" si="70"/>
        <v>-1300</v>
      </c>
      <c r="H4247" s="219" t="s">
        <v>2973</v>
      </c>
    </row>
    <row r="4248" spans="1:8" ht="15.75" thickBot="1" x14ac:dyDescent="0.25">
      <c r="A4248" s="597">
        <v>43125</v>
      </c>
      <c r="B4248" s="222" t="s">
        <v>25</v>
      </c>
      <c r="C4248" s="222" t="s">
        <v>1894</v>
      </c>
      <c r="D4248" s="805" t="s">
        <v>72</v>
      </c>
      <c r="E4248" s="247">
        <v>4839</v>
      </c>
      <c r="F4248" s="247"/>
      <c r="G4248" s="247">
        <f t="shared" si="70"/>
        <v>-4839</v>
      </c>
      <c r="H4248" s="219" t="s">
        <v>2973</v>
      </c>
    </row>
    <row r="4249" spans="1:8" ht="15.75" customHeight="1" thickBot="1" x14ac:dyDescent="0.25">
      <c r="A4249" s="597">
        <v>43125</v>
      </c>
      <c r="B4249" s="222" t="s">
        <v>2787</v>
      </c>
      <c r="C4249" s="222" t="s">
        <v>3145</v>
      </c>
      <c r="D4249" s="805" t="s">
        <v>72</v>
      </c>
      <c r="E4249" s="247">
        <v>11320</v>
      </c>
      <c r="F4249" s="247"/>
      <c r="G4249" s="247">
        <f t="shared" si="70"/>
        <v>-11320</v>
      </c>
      <c r="H4249" s="219" t="s">
        <v>2973</v>
      </c>
    </row>
    <row r="4250" spans="1:8" ht="15.75" thickBot="1" x14ac:dyDescent="0.25">
      <c r="A4250" s="597">
        <v>43125</v>
      </c>
      <c r="B4250" s="222" t="s">
        <v>16</v>
      </c>
      <c r="C4250" s="222" t="s">
        <v>2473</v>
      </c>
      <c r="D4250" s="805" t="s">
        <v>72</v>
      </c>
      <c r="E4250" s="247">
        <v>3220</v>
      </c>
      <c r="F4250" s="247"/>
      <c r="G4250" s="247">
        <f t="shared" si="70"/>
        <v>-3220</v>
      </c>
      <c r="H4250" s="219" t="s">
        <v>2973</v>
      </c>
    </row>
    <row r="4251" spans="1:8" ht="15.75" thickBot="1" x14ac:dyDescent="0.25">
      <c r="A4251" s="597">
        <v>43125</v>
      </c>
      <c r="B4251" s="222" t="s">
        <v>2787</v>
      </c>
      <c r="C4251" s="223" t="s">
        <v>3149</v>
      </c>
      <c r="D4251" s="805" t="s">
        <v>1410</v>
      </c>
      <c r="E4251" s="247">
        <v>420</v>
      </c>
      <c r="F4251" s="247"/>
      <c r="G4251" s="247">
        <f t="shared" si="70"/>
        <v>-420</v>
      </c>
      <c r="H4251" s="219" t="s">
        <v>2973</v>
      </c>
    </row>
    <row r="4252" spans="1:8" ht="15.75" thickBot="1" x14ac:dyDescent="0.25">
      <c r="A4252" s="597">
        <v>43125</v>
      </c>
      <c r="B4252" s="222" t="s">
        <v>2787</v>
      </c>
      <c r="C4252" s="223" t="s">
        <v>3149</v>
      </c>
      <c r="D4252" s="805" t="s">
        <v>1410</v>
      </c>
      <c r="E4252" s="247">
        <v>140</v>
      </c>
      <c r="F4252" s="247"/>
      <c r="G4252" s="247">
        <f t="shared" si="70"/>
        <v>-140</v>
      </c>
      <c r="H4252" s="219" t="s">
        <v>2973</v>
      </c>
    </row>
    <row r="4253" spans="1:8" ht="15.75" thickBot="1" x14ac:dyDescent="0.25">
      <c r="A4253" s="597">
        <v>43125</v>
      </c>
      <c r="B4253" s="222" t="s">
        <v>2787</v>
      </c>
      <c r="C4253" s="222" t="s">
        <v>3145</v>
      </c>
      <c r="D4253" s="805" t="s">
        <v>3086</v>
      </c>
      <c r="E4253" s="247">
        <v>63000</v>
      </c>
      <c r="F4253" s="247"/>
      <c r="G4253" s="247">
        <f t="shared" si="70"/>
        <v>-63000</v>
      </c>
      <c r="H4253" s="219" t="s">
        <v>2973</v>
      </c>
    </row>
    <row r="4254" spans="1:8" ht="15.75" thickBot="1" x14ac:dyDescent="0.25">
      <c r="A4254" s="597">
        <v>43127</v>
      </c>
      <c r="B4254" s="222" t="s">
        <v>1400</v>
      </c>
      <c r="C4254" s="222" t="s">
        <v>64</v>
      </c>
      <c r="D4254" s="805" t="s">
        <v>3082</v>
      </c>
      <c r="E4254" s="247">
        <v>240</v>
      </c>
      <c r="F4254" s="247"/>
      <c r="G4254" s="247">
        <f t="shared" si="70"/>
        <v>-240</v>
      </c>
      <c r="H4254" s="219" t="s">
        <v>2973</v>
      </c>
    </row>
    <row r="4255" spans="1:8" ht="15.75" thickBot="1" x14ac:dyDescent="0.25">
      <c r="A4255" s="597">
        <v>43127</v>
      </c>
      <c r="B4255" s="222" t="s">
        <v>18</v>
      </c>
      <c r="C4255" s="222" t="s">
        <v>3136</v>
      </c>
      <c r="D4255" s="805" t="s">
        <v>2237</v>
      </c>
      <c r="E4255" s="247">
        <v>5000</v>
      </c>
      <c r="F4255" s="247"/>
      <c r="G4255" s="247">
        <f t="shared" si="70"/>
        <v>-5000</v>
      </c>
      <c r="H4255" s="219" t="s">
        <v>2973</v>
      </c>
    </row>
    <row r="4256" spans="1:8" ht="15.75" thickBot="1" x14ac:dyDescent="0.25">
      <c r="A4256" s="597">
        <v>43127</v>
      </c>
      <c r="B4256" s="222" t="s">
        <v>1400</v>
      </c>
      <c r="C4256" s="222" t="s">
        <v>64</v>
      </c>
      <c r="D4256" s="805" t="s">
        <v>3083</v>
      </c>
      <c r="E4256" s="247">
        <v>600</v>
      </c>
      <c r="F4256" s="247"/>
      <c r="G4256" s="247">
        <f t="shared" si="70"/>
        <v>-600</v>
      </c>
      <c r="H4256" s="219" t="s">
        <v>2973</v>
      </c>
    </row>
    <row r="4257" spans="1:8" ht="15.75" thickBot="1" x14ac:dyDescent="0.25">
      <c r="A4257" s="597">
        <v>43127</v>
      </c>
      <c r="B4257" s="222" t="s">
        <v>1400</v>
      </c>
      <c r="C4257" s="222" t="s">
        <v>1704</v>
      </c>
      <c r="D4257" s="805" t="s">
        <v>1410</v>
      </c>
      <c r="E4257" s="247">
        <v>140</v>
      </c>
      <c r="F4257" s="247"/>
      <c r="G4257" s="247">
        <f t="shared" si="70"/>
        <v>-140</v>
      </c>
      <c r="H4257" s="219" t="s">
        <v>2973</v>
      </c>
    </row>
    <row r="4258" spans="1:8" ht="15.75" thickBot="1" x14ac:dyDescent="0.25">
      <c r="A4258" s="597">
        <v>43129</v>
      </c>
      <c r="B4258" s="222" t="s">
        <v>1400</v>
      </c>
      <c r="C4258" s="222" t="s">
        <v>1704</v>
      </c>
      <c r="D4258" s="805" t="s">
        <v>1410</v>
      </c>
      <c r="E4258" s="247">
        <v>140</v>
      </c>
      <c r="F4258" s="247"/>
      <c r="G4258" s="247">
        <f t="shared" si="70"/>
        <v>-140</v>
      </c>
      <c r="H4258" s="219" t="s">
        <v>2973</v>
      </c>
    </row>
    <row r="4259" spans="1:8" ht="15.75" thickBot="1" x14ac:dyDescent="0.25">
      <c r="A4259" s="597">
        <v>43129</v>
      </c>
      <c r="B4259" s="222" t="s">
        <v>1400</v>
      </c>
      <c r="C4259" s="222" t="s">
        <v>1704</v>
      </c>
      <c r="D4259" s="805" t="s">
        <v>1410</v>
      </c>
      <c r="E4259" s="247">
        <v>280</v>
      </c>
      <c r="F4259" s="247"/>
      <c r="G4259" s="247">
        <f t="shared" si="70"/>
        <v>-280</v>
      </c>
      <c r="H4259" s="219" t="s">
        <v>2973</v>
      </c>
    </row>
    <row r="4260" spans="1:8" ht="15.75" thickBot="1" x14ac:dyDescent="0.25">
      <c r="A4260" s="597">
        <v>43129</v>
      </c>
      <c r="B4260" s="222" t="s">
        <v>2787</v>
      </c>
      <c r="C4260" s="222" t="s">
        <v>2594</v>
      </c>
      <c r="D4260" s="805" t="s">
        <v>392</v>
      </c>
      <c r="E4260" s="247">
        <v>10000</v>
      </c>
      <c r="F4260" s="247"/>
      <c r="G4260" s="247">
        <f t="shared" si="70"/>
        <v>-10000</v>
      </c>
      <c r="H4260" s="219" t="s">
        <v>2973</v>
      </c>
    </row>
    <row r="4261" spans="1:8" ht="15.75" thickBot="1" x14ac:dyDescent="0.25">
      <c r="A4261" s="597">
        <v>43129</v>
      </c>
      <c r="B4261" s="222" t="s">
        <v>2787</v>
      </c>
      <c r="C4261" s="222" t="s">
        <v>2594</v>
      </c>
      <c r="D4261" s="805" t="s">
        <v>392</v>
      </c>
      <c r="E4261" s="247">
        <v>11000</v>
      </c>
      <c r="F4261" s="247"/>
      <c r="G4261" s="247">
        <f t="shared" si="70"/>
        <v>-11000</v>
      </c>
      <c r="H4261" s="219" t="s">
        <v>2973</v>
      </c>
    </row>
    <row r="4262" spans="1:8" ht="15.75" thickBot="1" x14ac:dyDescent="0.25">
      <c r="A4262" s="597">
        <v>43129</v>
      </c>
      <c r="B4262" s="222" t="s">
        <v>2787</v>
      </c>
      <c r="C4262" s="222" t="s">
        <v>3145</v>
      </c>
      <c r="D4262" s="805" t="s">
        <v>3169</v>
      </c>
      <c r="E4262" s="247">
        <v>18000</v>
      </c>
      <c r="F4262" s="247"/>
      <c r="G4262" s="247">
        <f t="shared" si="70"/>
        <v>-18000</v>
      </c>
      <c r="H4262" s="219" t="s">
        <v>2973</v>
      </c>
    </row>
    <row r="4263" spans="1:8" ht="15.75" customHeight="1" thickBot="1" x14ac:dyDescent="0.25">
      <c r="A4263" s="597">
        <v>43129</v>
      </c>
      <c r="B4263" s="222" t="s">
        <v>2787</v>
      </c>
      <c r="C4263" s="222" t="s">
        <v>3145</v>
      </c>
      <c r="D4263" s="805" t="s">
        <v>3169</v>
      </c>
      <c r="E4263" s="247">
        <v>4800</v>
      </c>
      <c r="F4263" s="247"/>
      <c r="G4263" s="247">
        <f t="shared" si="70"/>
        <v>-4800</v>
      </c>
      <c r="H4263" s="219" t="s">
        <v>2973</v>
      </c>
    </row>
    <row r="4264" spans="1:8" ht="15.75" customHeight="1" thickBot="1" x14ac:dyDescent="0.25">
      <c r="A4264" s="597">
        <v>43129</v>
      </c>
      <c r="B4264" s="222" t="s">
        <v>25</v>
      </c>
      <c r="C4264" s="222" t="s">
        <v>1894</v>
      </c>
      <c r="D4264" s="805" t="s">
        <v>72</v>
      </c>
      <c r="E4264" s="247">
        <v>12311</v>
      </c>
      <c r="F4264" s="247"/>
      <c r="G4264" s="247">
        <f t="shared" si="70"/>
        <v>-12311</v>
      </c>
      <c r="H4264" s="219" t="s">
        <v>2973</v>
      </c>
    </row>
    <row r="4265" spans="1:8" ht="15.75" customHeight="1" thickBot="1" x14ac:dyDescent="0.25">
      <c r="A4265" s="597">
        <v>43130</v>
      </c>
      <c r="B4265" s="222" t="s">
        <v>2933</v>
      </c>
      <c r="C4265" s="223" t="s">
        <v>3145</v>
      </c>
      <c r="D4265" s="805" t="s">
        <v>3087</v>
      </c>
      <c r="E4265" s="247">
        <v>9000</v>
      </c>
      <c r="F4265" s="247"/>
      <c r="G4265" s="247">
        <f t="shared" si="70"/>
        <v>-9000</v>
      </c>
      <c r="H4265" s="219" t="s">
        <v>2973</v>
      </c>
    </row>
    <row r="4266" spans="1:8" ht="15.75" customHeight="1" thickBot="1" x14ac:dyDescent="0.25">
      <c r="A4266" s="597">
        <v>43130</v>
      </c>
      <c r="B4266" s="222" t="s">
        <v>40</v>
      </c>
      <c r="C4266" s="222" t="s">
        <v>325</v>
      </c>
      <c r="D4266" s="805" t="s">
        <v>72</v>
      </c>
      <c r="E4266" s="247">
        <v>3520</v>
      </c>
      <c r="F4266" s="247"/>
      <c r="G4266" s="247">
        <f t="shared" si="70"/>
        <v>-3520</v>
      </c>
      <c r="H4266" s="219" t="s">
        <v>2973</v>
      </c>
    </row>
    <row r="4267" spans="1:8" ht="15.75" customHeight="1" thickBot="1" x14ac:dyDescent="0.25">
      <c r="A4267" s="597">
        <v>43130</v>
      </c>
      <c r="B4267" s="222" t="s">
        <v>2787</v>
      </c>
      <c r="C4267" s="223" t="s">
        <v>3149</v>
      </c>
      <c r="D4267" s="805" t="s">
        <v>1410</v>
      </c>
      <c r="E4267" s="247">
        <v>140</v>
      </c>
      <c r="F4267" s="247"/>
      <c r="G4267" s="247">
        <f t="shared" si="70"/>
        <v>-140</v>
      </c>
      <c r="H4267" s="219" t="s">
        <v>2973</v>
      </c>
    </row>
    <row r="4268" spans="1:8" ht="24.75" thickBot="1" x14ac:dyDescent="0.25">
      <c r="A4268" s="597">
        <v>43131</v>
      </c>
      <c r="B4268" s="223" t="s">
        <v>2787</v>
      </c>
      <c r="C4268" s="223" t="s">
        <v>3145</v>
      </c>
      <c r="D4268" s="807" t="s">
        <v>3088</v>
      </c>
      <c r="E4268" s="257">
        <v>48980</v>
      </c>
      <c r="F4268" s="257"/>
      <c r="G4268" s="257">
        <f t="shared" si="70"/>
        <v>-48980</v>
      </c>
      <c r="H4268" s="219" t="s">
        <v>2973</v>
      </c>
    </row>
    <row r="4269" spans="1:8" ht="15.75" thickBot="1" x14ac:dyDescent="0.25">
      <c r="A4269" s="597">
        <v>43131</v>
      </c>
      <c r="B4269" s="223" t="s">
        <v>2787</v>
      </c>
      <c r="C4269" s="223" t="s">
        <v>3145</v>
      </c>
      <c r="D4269" s="807" t="s">
        <v>3095</v>
      </c>
      <c r="E4269" s="257">
        <v>29706</v>
      </c>
      <c r="F4269" s="257"/>
      <c r="G4269" s="257">
        <f t="shared" si="70"/>
        <v>-29706</v>
      </c>
      <c r="H4269" s="219" t="s">
        <v>2973</v>
      </c>
    </row>
    <row r="4270" spans="1:8" ht="15.75" thickBot="1" x14ac:dyDescent="0.25">
      <c r="A4270" s="597">
        <v>43131</v>
      </c>
      <c r="B4270" s="223" t="s">
        <v>2787</v>
      </c>
      <c r="C4270" s="223" t="s">
        <v>3145</v>
      </c>
      <c r="D4270" s="807" t="s">
        <v>2349</v>
      </c>
      <c r="E4270" s="257">
        <v>42770</v>
      </c>
      <c r="F4270" s="257"/>
      <c r="G4270" s="257">
        <f t="shared" si="70"/>
        <v>-42770</v>
      </c>
      <c r="H4270" s="219" t="s">
        <v>2973</v>
      </c>
    </row>
    <row r="4271" spans="1:8" ht="15.75" thickBot="1" x14ac:dyDescent="0.25">
      <c r="A4271" s="597">
        <v>43131</v>
      </c>
      <c r="B4271" s="223" t="s">
        <v>2933</v>
      </c>
      <c r="C4271" s="223" t="s">
        <v>3145</v>
      </c>
      <c r="D4271" s="807" t="s">
        <v>3146</v>
      </c>
      <c r="E4271" s="257">
        <v>23000</v>
      </c>
      <c r="F4271" s="257"/>
      <c r="G4271" s="257">
        <f t="shared" si="70"/>
        <v>-23000</v>
      </c>
      <c r="H4271" s="219" t="s">
        <v>2973</v>
      </c>
    </row>
    <row r="4272" spans="1:8" ht="15.75" thickBot="1" x14ac:dyDescent="0.25">
      <c r="A4272" s="597">
        <v>43131</v>
      </c>
      <c r="B4272" s="223" t="s">
        <v>16</v>
      </c>
      <c r="C4272" s="223" t="s">
        <v>290</v>
      </c>
      <c r="D4272" s="807" t="s">
        <v>3096</v>
      </c>
      <c r="E4272" s="257">
        <v>2450</v>
      </c>
      <c r="F4272" s="257"/>
      <c r="G4272" s="257">
        <f t="shared" si="70"/>
        <v>-2450</v>
      </c>
      <c r="H4272" s="219" t="s">
        <v>2973</v>
      </c>
    </row>
    <row r="4273" spans="1:8" ht="15.75" thickBot="1" x14ac:dyDescent="0.25">
      <c r="A4273" s="597">
        <v>43131</v>
      </c>
      <c r="B4273" s="223" t="s">
        <v>11</v>
      </c>
      <c r="C4273" s="223" t="s">
        <v>290</v>
      </c>
      <c r="D4273" s="807" t="s">
        <v>3097</v>
      </c>
      <c r="E4273" s="257">
        <v>700</v>
      </c>
      <c r="F4273" s="257"/>
      <c r="G4273" s="257">
        <f t="shared" si="70"/>
        <v>-700</v>
      </c>
      <c r="H4273" s="219" t="s">
        <v>2973</v>
      </c>
    </row>
    <row r="4274" spans="1:8" ht="15.75" thickBot="1" x14ac:dyDescent="0.25">
      <c r="A4274" s="597">
        <v>43131</v>
      </c>
      <c r="B4274" s="223" t="s">
        <v>37</v>
      </c>
      <c r="C4274" s="223" t="s">
        <v>111</v>
      </c>
      <c r="D4274" s="807" t="s">
        <v>392</v>
      </c>
      <c r="E4274" s="257">
        <v>505</v>
      </c>
      <c r="F4274" s="257"/>
      <c r="G4274" s="257">
        <f t="shared" si="70"/>
        <v>-505</v>
      </c>
      <c r="H4274" s="219" t="s">
        <v>2973</v>
      </c>
    </row>
    <row r="4275" spans="1:8" ht="15.75" thickBot="1" x14ac:dyDescent="0.25">
      <c r="A4275" s="597">
        <v>43131</v>
      </c>
      <c r="B4275" s="223" t="s">
        <v>2787</v>
      </c>
      <c r="C4275" s="223" t="s">
        <v>3149</v>
      </c>
      <c r="D4275" s="807" t="s">
        <v>1410</v>
      </c>
      <c r="E4275" s="257">
        <v>730</v>
      </c>
      <c r="F4275" s="257"/>
      <c r="G4275" s="257">
        <f t="shared" si="70"/>
        <v>-730</v>
      </c>
      <c r="H4275" s="219" t="s">
        <v>2973</v>
      </c>
    </row>
    <row r="4276" spans="1:8" ht="15.75" thickBot="1" x14ac:dyDescent="0.25">
      <c r="A4276" s="602">
        <v>43103</v>
      </c>
      <c r="B4276" s="240" t="s">
        <v>40</v>
      </c>
      <c r="C4276" s="240" t="s">
        <v>164</v>
      </c>
      <c r="D4276" s="157" t="s">
        <v>2969</v>
      </c>
      <c r="E4276" s="241">
        <v>3797</v>
      </c>
      <c r="F4276" s="241"/>
      <c r="G4276" s="241">
        <f t="shared" si="70"/>
        <v>-3797</v>
      </c>
      <c r="H4276" s="252" t="s">
        <v>2973</v>
      </c>
    </row>
    <row r="4277" spans="1:8" ht="15.75" thickBot="1" x14ac:dyDescent="0.25">
      <c r="A4277" s="602">
        <v>43103</v>
      </c>
      <c r="B4277" s="240" t="s">
        <v>14</v>
      </c>
      <c r="C4277" s="240" t="s">
        <v>164</v>
      </c>
      <c r="D4277" s="157" t="s">
        <v>2969</v>
      </c>
      <c r="E4277" s="241">
        <v>17173</v>
      </c>
      <c r="F4277" s="241"/>
      <c r="G4277" s="241">
        <f t="shared" si="70"/>
        <v>-17173</v>
      </c>
      <c r="H4277" s="252" t="s">
        <v>2973</v>
      </c>
    </row>
    <row r="4278" spans="1:8" ht="15.75" customHeight="1" thickBot="1" x14ac:dyDescent="0.25">
      <c r="A4278" s="602">
        <v>43103</v>
      </c>
      <c r="B4278" s="240" t="s">
        <v>1691</v>
      </c>
      <c r="C4278" s="240" t="s">
        <v>164</v>
      </c>
      <c r="D4278" s="157" t="s">
        <v>2969</v>
      </c>
      <c r="E4278" s="241">
        <v>3492</v>
      </c>
      <c r="F4278" s="241"/>
      <c r="G4278" s="241">
        <f t="shared" si="70"/>
        <v>-3492</v>
      </c>
      <c r="H4278" s="252" t="s">
        <v>2973</v>
      </c>
    </row>
    <row r="4279" spans="1:8" ht="15.75" customHeight="1" thickBot="1" x14ac:dyDescent="0.25">
      <c r="A4279" s="602">
        <v>43103</v>
      </c>
      <c r="B4279" s="240" t="s">
        <v>2548</v>
      </c>
      <c r="C4279" s="240" t="s">
        <v>164</v>
      </c>
      <c r="D4279" s="157" t="s">
        <v>2969</v>
      </c>
      <c r="E4279" s="241">
        <v>17256</v>
      </c>
      <c r="F4279" s="241"/>
      <c r="G4279" s="241">
        <f t="shared" si="70"/>
        <v>-17256</v>
      </c>
      <c r="H4279" s="252" t="s">
        <v>2973</v>
      </c>
    </row>
    <row r="4280" spans="1:8" ht="15.75" customHeight="1" thickBot="1" x14ac:dyDescent="0.25">
      <c r="A4280" s="602">
        <v>43103</v>
      </c>
      <c r="B4280" s="240" t="s">
        <v>11</v>
      </c>
      <c r="C4280" s="240" t="s">
        <v>164</v>
      </c>
      <c r="D4280" s="157" t="s">
        <v>2969</v>
      </c>
      <c r="E4280" s="241">
        <v>112450</v>
      </c>
      <c r="F4280" s="241"/>
      <c r="G4280" s="241">
        <f t="shared" si="70"/>
        <v>-112450</v>
      </c>
      <c r="H4280" s="252" t="s">
        <v>2973</v>
      </c>
    </row>
    <row r="4281" spans="1:8" ht="15.75" customHeight="1" thickBot="1" x14ac:dyDescent="0.25">
      <c r="A4281" s="602">
        <v>43103</v>
      </c>
      <c r="B4281" s="240" t="s">
        <v>2657</v>
      </c>
      <c r="C4281" s="240" t="s">
        <v>164</v>
      </c>
      <c r="D4281" s="157" t="s">
        <v>2969</v>
      </c>
      <c r="E4281" s="241">
        <v>8530</v>
      </c>
      <c r="F4281" s="241"/>
      <c r="G4281" s="241">
        <f t="shared" si="70"/>
        <v>-8530</v>
      </c>
      <c r="H4281" s="252" t="s">
        <v>2973</v>
      </c>
    </row>
    <row r="4282" spans="1:8" ht="15.75" customHeight="1" thickBot="1" x14ac:dyDescent="0.25">
      <c r="A4282" s="602">
        <v>43106</v>
      </c>
      <c r="B4282" s="240" t="s">
        <v>2787</v>
      </c>
      <c r="C4282" s="240" t="s">
        <v>895</v>
      </c>
      <c r="D4282" s="157" t="s">
        <v>2975</v>
      </c>
      <c r="E4282" s="241">
        <v>386000</v>
      </c>
      <c r="F4282" s="241"/>
      <c r="G4282" s="241">
        <f t="shared" si="70"/>
        <v>-386000</v>
      </c>
      <c r="H4282" s="252" t="s">
        <v>2973</v>
      </c>
    </row>
    <row r="4283" spans="1:8" ht="15.75" thickBot="1" x14ac:dyDescent="0.25">
      <c r="A4283" s="602">
        <v>43106</v>
      </c>
      <c r="B4283" s="240" t="s">
        <v>2652</v>
      </c>
      <c r="C4283" s="240" t="s">
        <v>895</v>
      </c>
      <c r="D4283" s="157" t="s">
        <v>2975</v>
      </c>
      <c r="E4283" s="241">
        <v>7000</v>
      </c>
      <c r="F4283" s="241"/>
      <c r="G4283" s="241">
        <f t="shared" si="70"/>
        <v>-7000</v>
      </c>
      <c r="H4283" s="252" t="s">
        <v>2973</v>
      </c>
    </row>
    <row r="4284" spans="1:8" ht="15.75" thickBot="1" x14ac:dyDescent="0.25">
      <c r="A4284" s="602">
        <v>43106</v>
      </c>
      <c r="B4284" s="240" t="s">
        <v>1400</v>
      </c>
      <c r="C4284" s="240" t="s">
        <v>895</v>
      </c>
      <c r="D4284" s="157" t="s">
        <v>2975</v>
      </c>
      <c r="E4284" s="241">
        <v>9000</v>
      </c>
      <c r="F4284" s="241"/>
      <c r="G4284" s="241">
        <f t="shared" si="70"/>
        <v>-9000</v>
      </c>
      <c r="H4284" s="252" t="s">
        <v>2973</v>
      </c>
    </row>
    <row r="4285" spans="1:8" ht="15.75" thickBot="1" x14ac:dyDescent="0.25">
      <c r="A4285" s="602">
        <v>43108</v>
      </c>
      <c r="B4285" s="240" t="s">
        <v>2787</v>
      </c>
      <c r="C4285" s="240" t="s">
        <v>2196</v>
      </c>
      <c r="D4285" s="157" t="s">
        <v>2976</v>
      </c>
      <c r="E4285" s="241">
        <v>150000</v>
      </c>
      <c r="F4285" s="241"/>
      <c r="G4285" s="241">
        <f t="shared" si="70"/>
        <v>-150000</v>
      </c>
      <c r="H4285" s="252" t="s">
        <v>2973</v>
      </c>
    </row>
    <row r="4286" spans="1:8" ht="15.75" thickBot="1" x14ac:dyDescent="0.25">
      <c r="A4286" s="602">
        <v>43108</v>
      </c>
      <c r="B4286" s="240" t="s">
        <v>1400</v>
      </c>
      <c r="C4286" s="240" t="s">
        <v>2515</v>
      </c>
      <c r="D4286" s="157" t="s">
        <v>2977</v>
      </c>
      <c r="E4286" s="241">
        <v>100000</v>
      </c>
      <c r="F4286" s="241"/>
      <c r="G4286" s="241">
        <f t="shared" si="70"/>
        <v>-100000</v>
      </c>
      <c r="H4286" s="252" t="s">
        <v>2973</v>
      </c>
    </row>
    <row r="4287" spans="1:8" ht="15.75" thickBot="1" x14ac:dyDescent="0.25">
      <c r="A4287" s="602">
        <v>43109</v>
      </c>
      <c r="B4287" s="240" t="s">
        <v>1400</v>
      </c>
      <c r="C4287" s="240" t="s">
        <v>165</v>
      </c>
      <c r="D4287" s="157" t="s">
        <v>3002</v>
      </c>
      <c r="E4287" s="241">
        <v>74500</v>
      </c>
      <c r="F4287" s="241"/>
      <c r="G4287" s="241">
        <f t="shared" si="70"/>
        <v>-74500</v>
      </c>
      <c r="H4287" s="252" t="s">
        <v>2973</v>
      </c>
    </row>
    <row r="4288" spans="1:8" ht="15.75" thickBot="1" x14ac:dyDescent="0.25">
      <c r="A4288" s="602">
        <v>43109</v>
      </c>
      <c r="B4288" s="240" t="s">
        <v>2787</v>
      </c>
      <c r="C4288" s="240" t="s">
        <v>165</v>
      </c>
      <c r="D4288" s="157" t="s">
        <v>3002</v>
      </c>
      <c r="E4288" s="241">
        <v>25500</v>
      </c>
      <c r="F4288" s="241"/>
      <c r="G4288" s="241">
        <f t="shared" si="70"/>
        <v>-25500</v>
      </c>
      <c r="H4288" s="252" t="s">
        <v>2973</v>
      </c>
    </row>
    <row r="4289" spans="1:8" ht="15.75" thickBot="1" x14ac:dyDescent="0.25">
      <c r="A4289" s="602">
        <v>43109</v>
      </c>
      <c r="B4289" s="240" t="s">
        <v>82</v>
      </c>
      <c r="C4289" s="240" t="s">
        <v>3003</v>
      </c>
      <c r="D4289" s="157" t="s">
        <v>3004</v>
      </c>
      <c r="E4289" s="241">
        <v>4680</v>
      </c>
      <c r="F4289" s="241"/>
      <c r="G4289" s="241">
        <f t="shared" si="70"/>
        <v>-4680</v>
      </c>
      <c r="H4289" s="252" t="s">
        <v>2973</v>
      </c>
    </row>
    <row r="4290" spans="1:8" ht="15.75" thickBot="1" x14ac:dyDescent="0.25">
      <c r="A4290" s="602">
        <v>43111</v>
      </c>
      <c r="B4290" s="240" t="s">
        <v>2933</v>
      </c>
      <c r="C4290" s="240" t="s">
        <v>794</v>
      </c>
      <c r="D4290" s="157" t="s">
        <v>3005</v>
      </c>
      <c r="E4290" s="241">
        <v>35000</v>
      </c>
      <c r="F4290" s="241"/>
      <c r="G4290" s="241">
        <f t="shared" si="70"/>
        <v>-35000</v>
      </c>
      <c r="H4290" s="252" t="s">
        <v>2973</v>
      </c>
    </row>
    <row r="4291" spans="1:8" ht="15.75" thickBot="1" x14ac:dyDescent="0.25">
      <c r="A4291" s="602">
        <v>43111</v>
      </c>
      <c r="B4291" s="240" t="s">
        <v>2787</v>
      </c>
      <c r="C4291" s="240" t="s">
        <v>1875</v>
      </c>
      <c r="D4291" s="157" t="s">
        <v>3006</v>
      </c>
      <c r="E4291" s="241">
        <v>100000</v>
      </c>
      <c r="F4291" s="241"/>
      <c r="G4291" s="241">
        <f t="shared" si="70"/>
        <v>-100000</v>
      </c>
      <c r="H4291" s="252" t="s">
        <v>2973</v>
      </c>
    </row>
    <row r="4292" spans="1:8" ht="24.75" thickBot="1" x14ac:dyDescent="0.25">
      <c r="A4292" s="602">
        <v>43113</v>
      </c>
      <c r="B4292" s="240" t="s">
        <v>1400</v>
      </c>
      <c r="C4292" s="240" t="s">
        <v>1815</v>
      </c>
      <c r="D4292" s="157" t="s">
        <v>3007</v>
      </c>
      <c r="E4292" s="241">
        <v>1000000</v>
      </c>
      <c r="F4292" s="241"/>
      <c r="G4292" s="241">
        <f t="shared" si="70"/>
        <v>-1000000</v>
      </c>
      <c r="H4292" s="252" t="s">
        <v>2973</v>
      </c>
    </row>
    <row r="4293" spans="1:8" ht="24.75" thickBot="1" x14ac:dyDescent="0.25">
      <c r="A4293" s="602">
        <v>43113</v>
      </c>
      <c r="B4293" s="240" t="s">
        <v>2787</v>
      </c>
      <c r="C4293" s="240" t="s">
        <v>166</v>
      </c>
      <c r="D4293" s="157" t="s">
        <v>3008</v>
      </c>
      <c r="E4293" s="241">
        <v>183600</v>
      </c>
      <c r="F4293" s="241"/>
      <c r="G4293" s="241">
        <f t="shared" si="70"/>
        <v>-183600</v>
      </c>
      <c r="H4293" s="252" t="s">
        <v>2973</v>
      </c>
    </row>
    <row r="4294" spans="1:8" ht="24.75" thickBot="1" x14ac:dyDescent="0.25">
      <c r="A4294" s="602">
        <v>43113</v>
      </c>
      <c r="B4294" s="240" t="s">
        <v>40</v>
      </c>
      <c r="C4294" s="240" t="s">
        <v>166</v>
      </c>
      <c r="D4294" s="157" t="s">
        <v>3008</v>
      </c>
      <c r="E4294" s="241">
        <v>69900</v>
      </c>
      <c r="F4294" s="241"/>
      <c r="G4294" s="241">
        <f t="shared" si="70"/>
        <v>-69900</v>
      </c>
      <c r="H4294" s="252" t="s">
        <v>2973</v>
      </c>
    </row>
    <row r="4295" spans="1:8" ht="24.75" thickBot="1" x14ac:dyDescent="0.25">
      <c r="A4295" s="602">
        <v>43113</v>
      </c>
      <c r="B4295" s="240" t="s">
        <v>1400</v>
      </c>
      <c r="C4295" s="240" t="s">
        <v>166</v>
      </c>
      <c r="D4295" s="157" t="s">
        <v>3008</v>
      </c>
      <c r="E4295" s="241">
        <v>84000</v>
      </c>
      <c r="F4295" s="241"/>
      <c r="G4295" s="241">
        <f t="shared" si="70"/>
        <v>-84000</v>
      </c>
      <c r="H4295" s="252" t="s">
        <v>2973</v>
      </c>
    </row>
    <row r="4296" spans="1:8" ht="24.75" thickBot="1" x14ac:dyDescent="0.25">
      <c r="A4296" s="602">
        <v>43113</v>
      </c>
      <c r="B4296" s="240" t="s">
        <v>40</v>
      </c>
      <c r="C4296" s="240" t="s">
        <v>359</v>
      </c>
      <c r="D4296" s="157" t="s">
        <v>3009</v>
      </c>
      <c r="E4296" s="241">
        <v>100000</v>
      </c>
      <c r="F4296" s="241"/>
      <c r="G4296" s="241">
        <f t="shared" si="70"/>
        <v>-100000</v>
      </c>
      <c r="H4296" s="252" t="s">
        <v>2973</v>
      </c>
    </row>
    <row r="4297" spans="1:8" ht="15.75" thickBot="1" x14ac:dyDescent="0.25">
      <c r="A4297" s="602">
        <v>43116</v>
      </c>
      <c r="B4297" s="240" t="s">
        <v>1400</v>
      </c>
      <c r="C4297" s="240" t="s">
        <v>2160</v>
      </c>
      <c r="D4297" s="157" t="s">
        <v>3010</v>
      </c>
      <c r="E4297" s="241">
        <v>25000</v>
      </c>
      <c r="F4297" s="241"/>
      <c r="G4297" s="241">
        <f t="shared" ref="G4297:G4360" si="71">F4297-E4297</f>
        <v>-25000</v>
      </c>
      <c r="H4297" s="252" t="s">
        <v>2973</v>
      </c>
    </row>
    <row r="4298" spans="1:8" ht="15.75" thickBot="1" x14ac:dyDescent="0.25">
      <c r="A4298" s="602">
        <v>43116</v>
      </c>
      <c r="B4298" s="240" t="s">
        <v>2787</v>
      </c>
      <c r="C4298" s="240" t="s">
        <v>3011</v>
      </c>
      <c r="D4298" s="157" t="s">
        <v>3012</v>
      </c>
      <c r="E4298" s="241">
        <v>500000</v>
      </c>
      <c r="F4298" s="241"/>
      <c r="G4298" s="241">
        <f t="shared" si="71"/>
        <v>-500000</v>
      </c>
      <c r="H4298" s="252" t="s">
        <v>2973</v>
      </c>
    </row>
    <row r="4299" spans="1:8" ht="15.75" thickBot="1" x14ac:dyDescent="0.25">
      <c r="A4299" s="602">
        <v>43116</v>
      </c>
      <c r="B4299" s="240" t="s">
        <v>2787</v>
      </c>
      <c r="C4299" s="240" t="s">
        <v>2515</v>
      </c>
      <c r="D4299" s="157" t="s">
        <v>3013</v>
      </c>
      <c r="E4299" s="241">
        <v>28000</v>
      </c>
      <c r="F4299" s="241"/>
      <c r="G4299" s="241">
        <f t="shared" si="71"/>
        <v>-28000</v>
      </c>
      <c r="H4299" s="252" t="s">
        <v>2973</v>
      </c>
    </row>
    <row r="4300" spans="1:8" ht="15.75" thickBot="1" x14ac:dyDescent="0.25">
      <c r="A4300" s="602">
        <v>43117</v>
      </c>
      <c r="B4300" s="240" t="s">
        <v>40</v>
      </c>
      <c r="C4300" s="240" t="s">
        <v>359</v>
      </c>
      <c r="D4300" s="157" t="s">
        <v>3041</v>
      </c>
      <c r="E4300" s="241">
        <v>14780</v>
      </c>
      <c r="F4300" s="241"/>
      <c r="G4300" s="241">
        <f t="shared" si="71"/>
        <v>-14780</v>
      </c>
      <c r="H4300" s="252" t="s">
        <v>2973</v>
      </c>
    </row>
    <row r="4301" spans="1:8" ht="15.75" thickBot="1" x14ac:dyDescent="0.25">
      <c r="A4301" s="602">
        <v>43118</v>
      </c>
      <c r="B4301" s="240" t="s">
        <v>2787</v>
      </c>
      <c r="C4301" s="240" t="s">
        <v>1875</v>
      </c>
      <c r="D4301" s="157" t="s">
        <v>3015</v>
      </c>
      <c r="E4301" s="241">
        <v>50000</v>
      </c>
      <c r="F4301" s="241"/>
      <c r="G4301" s="241">
        <f t="shared" si="71"/>
        <v>-50000</v>
      </c>
      <c r="H4301" s="252" t="s">
        <v>2973</v>
      </c>
    </row>
    <row r="4302" spans="1:8" ht="15.75" customHeight="1" thickBot="1" x14ac:dyDescent="0.25">
      <c r="A4302" s="602">
        <v>43119</v>
      </c>
      <c r="B4302" s="240" t="s">
        <v>2787</v>
      </c>
      <c r="C4302" s="240" t="s">
        <v>251</v>
      </c>
      <c r="D4302" s="157" t="s">
        <v>3064</v>
      </c>
      <c r="E4302" s="241">
        <v>100000</v>
      </c>
      <c r="F4302" s="241"/>
      <c r="G4302" s="241">
        <f t="shared" si="71"/>
        <v>-100000</v>
      </c>
      <c r="H4302" s="252" t="s">
        <v>2973</v>
      </c>
    </row>
    <row r="4303" spans="1:8" ht="15.75" thickBot="1" x14ac:dyDescent="0.25">
      <c r="A4303" s="602">
        <v>43119</v>
      </c>
      <c r="B4303" s="240" t="s">
        <v>2787</v>
      </c>
      <c r="C4303" s="240" t="s">
        <v>251</v>
      </c>
      <c r="D4303" s="157" t="s">
        <v>3042</v>
      </c>
      <c r="E4303" s="241">
        <v>50000</v>
      </c>
      <c r="F4303" s="241"/>
      <c r="G4303" s="241">
        <f t="shared" si="71"/>
        <v>-50000</v>
      </c>
      <c r="H4303" s="252" t="s">
        <v>2973</v>
      </c>
    </row>
    <row r="4304" spans="1:8" ht="15.75" thickBot="1" x14ac:dyDescent="0.25">
      <c r="A4304" s="602">
        <v>43122</v>
      </c>
      <c r="B4304" s="240" t="s">
        <v>2787</v>
      </c>
      <c r="C4304" s="240" t="s">
        <v>1875</v>
      </c>
      <c r="D4304" s="157" t="s">
        <v>3043</v>
      </c>
      <c r="E4304" s="241">
        <v>125000</v>
      </c>
      <c r="F4304" s="241"/>
      <c r="G4304" s="241">
        <f t="shared" si="71"/>
        <v>-125000</v>
      </c>
      <c r="H4304" s="252" t="s">
        <v>2973</v>
      </c>
    </row>
    <row r="4305" spans="1:8" ht="15.75" thickBot="1" x14ac:dyDescent="0.25">
      <c r="A4305" s="602">
        <v>43122</v>
      </c>
      <c r="B4305" s="240" t="s">
        <v>2787</v>
      </c>
      <c r="C4305" s="240" t="s">
        <v>929</v>
      </c>
      <c r="D4305" s="157" t="s">
        <v>3044</v>
      </c>
      <c r="E4305" s="241">
        <v>40000</v>
      </c>
      <c r="F4305" s="241"/>
      <c r="G4305" s="241">
        <f t="shared" si="71"/>
        <v>-40000</v>
      </c>
      <c r="H4305" s="252" t="s">
        <v>2973</v>
      </c>
    </row>
    <row r="4306" spans="1:8" s="136" customFormat="1" ht="24.75" thickBot="1" x14ac:dyDescent="0.25">
      <c r="A4306" s="603">
        <v>43122</v>
      </c>
      <c r="B4306" s="250" t="s">
        <v>2787</v>
      </c>
      <c r="C4306" s="250" t="s">
        <v>166</v>
      </c>
      <c r="D4306" s="809" t="s">
        <v>3045</v>
      </c>
      <c r="E4306" s="251">
        <v>443523</v>
      </c>
      <c r="F4306" s="251"/>
      <c r="G4306" s="251">
        <f t="shared" si="71"/>
        <v>-443523</v>
      </c>
      <c r="H4306" s="252" t="s">
        <v>2973</v>
      </c>
    </row>
    <row r="4307" spans="1:8" ht="24.75" thickBot="1" x14ac:dyDescent="0.25">
      <c r="A4307" s="602">
        <v>43122</v>
      </c>
      <c r="B4307" s="240" t="s">
        <v>1400</v>
      </c>
      <c r="C4307" s="240" t="s">
        <v>705</v>
      </c>
      <c r="D4307" s="157" t="s">
        <v>3046</v>
      </c>
      <c r="E4307" s="241">
        <v>300000</v>
      </c>
      <c r="F4307" s="241"/>
      <c r="G4307" s="241">
        <f t="shared" si="71"/>
        <v>-300000</v>
      </c>
      <c r="H4307" s="252" t="s">
        <v>2973</v>
      </c>
    </row>
    <row r="4308" spans="1:8" ht="24.75" thickBot="1" x14ac:dyDescent="0.25">
      <c r="A4308" s="602">
        <v>43122</v>
      </c>
      <c r="B4308" s="240" t="s">
        <v>1400</v>
      </c>
      <c r="C4308" s="240" t="s">
        <v>1815</v>
      </c>
      <c r="D4308" s="157" t="s">
        <v>3047</v>
      </c>
      <c r="E4308" s="241">
        <v>500000</v>
      </c>
      <c r="F4308" s="241"/>
      <c r="G4308" s="241">
        <f t="shared" si="71"/>
        <v>-500000</v>
      </c>
      <c r="H4308" s="252" t="s">
        <v>2973</v>
      </c>
    </row>
    <row r="4309" spans="1:8" ht="24.75" thickBot="1" x14ac:dyDescent="0.25">
      <c r="A4309" s="602">
        <v>43123</v>
      </c>
      <c r="B4309" s="240" t="s">
        <v>1400</v>
      </c>
      <c r="C4309" s="240" t="s">
        <v>2386</v>
      </c>
      <c r="D4309" s="157" t="s">
        <v>3053</v>
      </c>
      <c r="E4309" s="241">
        <f>163000-E4310</f>
        <v>51480</v>
      </c>
      <c r="F4309" s="241"/>
      <c r="G4309" s="241">
        <f t="shared" si="71"/>
        <v>-51480</v>
      </c>
      <c r="H4309" s="252" t="s">
        <v>2973</v>
      </c>
    </row>
    <row r="4310" spans="1:8" ht="24.75" thickBot="1" x14ac:dyDescent="0.25">
      <c r="A4310" s="602">
        <v>43123</v>
      </c>
      <c r="B4310" s="240" t="s">
        <v>2548</v>
      </c>
      <c r="C4310" s="240" t="s">
        <v>2386</v>
      </c>
      <c r="D4310" s="157" t="s">
        <v>3053</v>
      </c>
      <c r="E4310" s="241">
        <v>111520</v>
      </c>
      <c r="F4310" s="241"/>
      <c r="G4310" s="241">
        <f t="shared" si="71"/>
        <v>-111520</v>
      </c>
      <c r="H4310" s="252" t="s">
        <v>2973</v>
      </c>
    </row>
    <row r="4311" spans="1:8" ht="15.75" thickBot="1" x14ac:dyDescent="0.25">
      <c r="A4311" s="602">
        <v>43123</v>
      </c>
      <c r="B4311" s="240" t="s">
        <v>2787</v>
      </c>
      <c r="C4311" s="240" t="s">
        <v>895</v>
      </c>
      <c r="D4311" s="157" t="s">
        <v>3054</v>
      </c>
      <c r="E4311" s="241">
        <v>185000</v>
      </c>
      <c r="F4311" s="241"/>
      <c r="G4311" s="241">
        <f t="shared" si="71"/>
        <v>-185000</v>
      </c>
      <c r="H4311" s="252" t="s">
        <v>2973</v>
      </c>
    </row>
    <row r="4312" spans="1:8" ht="15.75" thickBot="1" x14ac:dyDescent="0.25">
      <c r="A4312" s="602">
        <v>43123</v>
      </c>
      <c r="B4312" s="240" t="s">
        <v>2787</v>
      </c>
      <c r="C4312" s="240" t="s">
        <v>3085</v>
      </c>
      <c r="D4312" s="157" t="s">
        <v>3055</v>
      </c>
      <c r="E4312" s="241">
        <v>33000</v>
      </c>
      <c r="F4312" s="241"/>
      <c r="G4312" s="241">
        <f t="shared" si="71"/>
        <v>-33000</v>
      </c>
      <c r="H4312" s="252" t="s">
        <v>2973</v>
      </c>
    </row>
    <row r="4313" spans="1:8" ht="15.75" thickBot="1" x14ac:dyDescent="0.25">
      <c r="A4313" s="602">
        <v>43124</v>
      </c>
      <c r="B4313" s="240" t="s">
        <v>40</v>
      </c>
      <c r="C4313" s="240" t="s">
        <v>540</v>
      </c>
      <c r="D4313" s="157" t="s">
        <v>3063</v>
      </c>
      <c r="E4313" s="241">
        <v>50000</v>
      </c>
      <c r="F4313" s="241"/>
      <c r="G4313" s="241">
        <f t="shared" si="71"/>
        <v>-50000</v>
      </c>
      <c r="H4313" s="252" t="s">
        <v>2973</v>
      </c>
    </row>
    <row r="4314" spans="1:8" ht="15.75" thickBot="1" x14ac:dyDescent="0.25">
      <c r="A4314" s="602">
        <v>43124</v>
      </c>
      <c r="B4314" s="240" t="s">
        <v>2787</v>
      </c>
      <c r="C4314" s="240" t="s">
        <v>3011</v>
      </c>
      <c r="D4314" s="157" t="s">
        <v>3078</v>
      </c>
      <c r="E4314" s="241">
        <v>500000</v>
      </c>
      <c r="F4314" s="241"/>
      <c r="G4314" s="241">
        <f t="shared" si="71"/>
        <v>-500000</v>
      </c>
      <c r="H4314" s="252" t="s">
        <v>2973</v>
      </c>
    </row>
    <row r="4315" spans="1:8" ht="24.75" thickBot="1" x14ac:dyDescent="0.25">
      <c r="A4315" s="602">
        <v>43125</v>
      </c>
      <c r="B4315" s="240" t="s">
        <v>2933</v>
      </c>
      <c r="C4315" s="240" t="s">
        <v>2128</v>
      </c>
      <c r="D4315" s="157" t="s">
        <v>3040</v>
      </c>
      <c r="E4315" s="241">
        <v>700000</v>
      </c>
      <c r="F4315" s="241"/>
      <c r="G4315" s="241">
        <f t="shared" si="71"/>
        <v>-700000</v>
      </c>
      <c r="H4315" s="252" t="s">
        <v>2973</v>
      </c>
    </row>
    <row r="4316" spans="1:8" ht="24.75" thickBot="1" x14ac:dyDescent="0.25">
      <c r="A4316" s="602">
        <v>43125</v>
      </c>
      <c r="B4316" s="240" t="s">
        <v>2933</v>
      </c>
      <c r="C4316" s="240" t="s">
        <v>2128</v>
      </c>
      <c r="D4316" s="157" t="s">
        <v>3040</v>
      </c>
      <c r="E4316" s="241">
        <v>799110</v>
      </c>
      <c r="F4316" s="241"/>
      <c r="G4316" s="241">
        <f t="shared" si="71"/>
        <v>-799110</v>
      </c>
      <c r="H4316" s="252" t="s">
        <v>2973</v>
      </c>
    </row>
    <row r="4317" spans="1:8" ht="15.75" thickBot="1" x14ac:dyDescent="0.25">
      <c r="A4317" s="602">
        <v>43130</v>
      </c>
      <c r="B4317" s="240" t="s">
        <v>1400</v>
      </c>
      <c r="C4317" s="240" t="s">
        <v>5977</v>
      </c>
      <c r="D4317" s="157" t="s">
        <v>5978</v>
      </c>
      <c r="E4317" s="241">
        <v>30000</v>
      </c>
      <c r="F4317" s="241"/>
      <c r="G4317" s="241">
        <f t="shared" si="71"/>
        <v>-30000</v>
      </c>
      <c r="H4317" s="252" t="s">
        <v>2973</v>
      </c>
    </row>
    <row r="4318" spans="1:8" ht="15.75" thickBot="1" x14ac:dyDescent="0.25">
      <c r="A4318" s="602">
        <v>43130</v>
      </c>
      <c r="B4318" s="240" t="s">
        <v>1400</v>
      </c>
      <c r="C4318" s="240" t="s">
        <v>2330</v>
      </c>
      <c r="D4318" s="157" t="s">
        <v>3084</v>
      </c>
      <c r="E4318" s="241">
        <v>188945</v>
      </c>
      <c r="F4318" s="241"/>
      <c r="G4318" s="241">
        <f t="shared" si="71"/>
        <v>-188945</v>
      </c>
      <c r="H4318" s="252" t="s">
        <v>2973</v>
      </c>
    </row>
    <row r="4319" spans="1:8" ht="15.75" thickBot="1" x14ac:dyDescent="0.25">
      <c r="A4319" s="602">
        <v>43130</v>
      </c>
      <c r="B4319" s="240" t="s">
        <v>2787</v>
      </c>
      <c r="C4319" s="240" t="s">
        <v>3085</v>
      </c>
      <c r="D4319" s="157" t="s">
        <v>3124</v>
      </c>
      <c r="E4319" s="241">
        <v>4000</v>
      </c>
      <c r="F4319" s="241"/>
      <c r="G4319" s="241">
        <f t="shared" si="71"/>
        <v>-4000</v>
      </c>
      <c r="H4319" s="252" t="s">
        <v>2973</v>
      </c>
    </row>
    <row r="4320" spans="1:8" ht="15.75" thickBot="1" x14ac:dyDescent="0.25">
      <c r="A4320" s="602">
        <v>43130</v>
      </c>
      <c r="B4320" s="240" t="s">
        <v>2787</v>
      </c>
      <c r="C4320" s="240" t="s">
        <v>3123</v>
      </c>
      <c r="D4320" s="157" t="s">
        <v>3124</v>
      </c>
      <c r="E4320" s="241">
        <v>16000</v>
      </c>
      <c r="F4320" s="241"/>
      <c r="G4320" s="241">
        <f t="shared" si="71"/>
        <v>-16000</v>
      </c>
      <c r="H4320" s="252" t="s">
        <v>2973</v>
      </c>
    </row>
    <row r="4321" spans="1:8" ht="15.75" thickBot="1" x14ac:dyDescent="0.25">
      <c r="A4321" s="602">
        <v>43131</v>
      </c>
      <c r="B4321" s="240" t="s">
        <v>2787</v>
      </c>
      <c r="C4321" s="240" t="s">
        <v>3026</v>
      </c>
      <c r="D4321" s="157" t="s">
        <v>3090</v>
      </c>
      <c r="E4321" s="241">
        <v>96000</v>
      </c>
      <c r="F4321" s="241"/>
      <c r="G4321" s="241">
        <f t="shared" si="71"/>
        <v>-96000</v>
      </c>
      <c r="H4321" s="252" t="s">
        <v>2973</v>
      </c>
    </row>
    <row r="4322" spans="1:8" ht="15.75" thickBot="1" x14ac:dyDescent="0.25">
      <c r="A4322" s="599">
        <v>43106</v>
      </c>
      <c r="B4322" s="91" t="s">
        <v>2787</v>
      </c>
      <c r="C4322" s="91" t="s">
        <v>559</v>
      </c>
      <c r="D4322" s="801" t="s">
        <v>2307</v>
      </c>
      <c r="E4322" s="92"/>
      <c r="F4322" s="92">
        <v>2868280</v>
      </c>
      <c r="G4322" s="92">
        <f t="shared" si="71"/>
        <v>2868280</v>
      </c>
      <c r="H4322" s="179" t="s">
        <v>2973</v>
      </c>
    </row>
    <row r="4323" spans="1:8" ht="24.75" thickBot="1" x14ac:dyDescent="0.25">
      <c r="A4323" s="599">
        <v>43122</v>
      </c>
      <c r="B4323" s="94" t="s">
        <v>1400</v>
      </c>
      <c r="C4323" s="94" t="s">
        <v>559</v>
      </c>
      <c r="D4323" s="802" t="s">
        <v>3036</v>
      </c>
      <c r="E4323" s="176"/>
      <c r="F4323" s="176">
        <v>500000</v>
      </c>
      <c r="G4323" s="176">
        <f t="shared" si="71"/>
        <v>500000</v>
      </c>
      <c r="H4323" s="179" t="s">
        <v>2973</v>
      </c>
    </row>
    <row r="4324" spans="1:8" ht="24.75" thickBot="1" x14ac:dyDescent="0.25">
      <c r="A4324" s="599">
        <v>43122</v>
      </c>
      <c r="B4324" s="94" t="s">
        <v>1400</v>
      </c>
      <c r="C4324" s="94" t="s">
        <v>559</v>
      </c>
      <c r="D4324" s="802" t="s">
        <v>3037</v>
      </c>
      <c r="E4324" s="176"/>
      <c r="F4324" s="176">
        <v>300000</v>
      </c>
      <c r="G4324" s="176">
        <f t="shared" si="71"/>
        <v>300000</v>
      </c>
      <c r="H4324" s="179" t="s">
        <v>2973</v>
      </c>
    </row>
    <row r="4325" spans="1:8" ht="24.75" thickBot="1" x14ac:dyDescent="0.25">
      <c r="A4325" s="599">
        <v>43122</v>
      </c>
      <c r="B4325" s="94" t="s">
        <v>1400</v>
      </c>
      <c r="C4325" s="94" t="s">
        <v>559</v>
      </c>
      <c r="D4325" s="802" t="s">
        <v>3038</v>
      </c>
      <c r="E4325" s="176"/>
      <c r="F4325" s="176">
        <v>500000</v>
      </c>
      <c r="G4325" s="176">
        <f t="shared" si="71"/>
        <v>500000</v>
      </c>
      <c r="H4325" s="179" t="s">
        <v>2973</v>
      </c>
    </row>
    <row r="4326" spans="1:8" ht="24.75" thickBot="1" x14ac:dyDescent="0.25">
      <c r="A4326" s="599">
        <v>43122</v>
      </c>
      <c r="B4326" s="94" t="s">
        <v>1400</v>
      </c>
      <c r="C4326" s="94" t="s">
        <v>559</v>
      </c>
      <c r="D4326" s="802" t="s">
        <v>3039</v>
      </c>
      <c r="E4326" s="176"/>
      <c r="F4326" s="176">
        <v>537966</v>
      </c>
      <c r="G4326" s="176">
        <f t="shared" si="71"/>
        <v>537966</v>
      </c>
      <c r="H4326" s="179" t="s">
        <v>2973</v>
      </c>
    </row>
    <row r="4327" spans="1:8" ht="24.75" thickBot="1" x14ac:dyDescent="0.25">
      <c r="A4327" s="599">
        <v>43122</v>
      </c>
      <c r="B4327" s="94" t="s">
        <v>1400</v>
      </c>
      <c r="C4327" s="94" t="s">
        <v>559</v>
      </c>
      <c r="D4327" s="802" t="s">
        <v>3039</v>
      </c>
      <c r="E4327" s="176"/>
      <c r="F4327" s="176">
        <v>544056</v>
      </c>
      <c r="G4327" s="176">
        <f t="shared" si="71"/>
        <v>544056</v>
      </c>
      <c r="H4327" s="179" t="s">
        <v>2973</v>
      </c>
    </row>
    <row r="4328" spans="1:8" ht="24.75" thickBot="1" x14ac:dyDescent="0.25">
      <c r="A4328" s="599">
        <v>43122</v>
      </c>
      <c r="B4328" s="94" t="s">
        <v>1400</v>
      </c>
      <c r="C4328" s="94" t="s">
        <v>559</v>
      </c>
      <c r="D4328" s="802" t="s">
        <v>3039</v>
      </c>
      <c r="E4328" s="176"/>
      <c r="F4328" s="176">
        <v>585000</v>
      </c>
      <c r="G4328" s="176">
        <f t="shared" si="71"/>
        <v>585000</v>
      </c>
      <c r="H4328" s="179" t="s">
        <v>2973</v>
      </c>
    </row>
    <row r="4329" spans="1:8" ht="24.75" thickBot="1" x14ac:dyDescent="0.25">
      <c r="A4329" s="599">
        <v>43122</v>
      </c>
      <c r="B4329" s="94" t="s">
        <v>1400</v>
      </c>
      <c r="C4329" s="94" t="s">
        <v>559</v>
      </c>
      <c r="D4329" s="802" t="s">
        <v>3039</v>
      </c>
      <c r="E4329" s="176"/>
      <c r="F4329" s="176">
        <v>332983</v>
      </c>
      <c r="G4329" s="176">
        <f t="shared" si="71"/>
        <v>332983</v>
      </c>
      <c r="H4329" s="179" t="s">
        <v>2973</v>
      </c>
    </row>
    <row r="4330" spans="1:8" ht="24.75" thickBot="1" x14ac:dyDescent="0.25">
      <c r="A4330" s="599">
        <v>43122</v>
      </c>
      <c r="B4330" s="94" t="s">
        <v>1400</v>
      </c>
      <c r="C4330" s="94" t="s">
        <v>559</v>
      </c>
      <c r="D4330" s="802" t="s">
        <v>3040</v>
      </c>
      <c r="E4330" s="176"/>
      <c r="F4330" s="176">
        <v>700000</v>
      </c>
      <c r="G4330" s="176">
        <f t="shared" si="71"/>
        <v>700000</v>
      </c>
      <c r="H4330" s="179" t="s">
        <v>2973</v>
      </c>
    </row>
    <row r="4331" spans="1:8" ht="24.75" thickBot="1" x14ac:dyDescent="0.25">
      <c r="A4331" s="599">
        <v>43122</v>
      </c>
      <c r="B4331" s="94" t="s">
        <v>1400</v>
      </c>
      <c r="C4331" s="94" t="s">
        <v>559</v>
      </c>
      <c r="D4331" s="802" t="s">
        <v>3040</v>
      </c>
      <c r="E4331" s="176"/>
      <c r="F4331" s="176">
        <v>799110</v>
      </c>
      <c r="G4331" s="176">
        <f t="shared" si="71"/>
        <v>799110</v>
      </c>
      <c r="H4331" s="179" t="s">
        <v>2973</v>
      </c>
    </row>
    <row r="4332" spans="1:8" ht="24.75" thickBot="1" x14ac:dyDescent="0.25">
      <c r="A4332" s="599">
        <v>43127</v>
      </c>
      <c r="B4332" s="94" t="s">
        <v>1400</v>
      </c>
      <c r="C4332" s="94" t="s">
        <v>559</v>
      </c>
      <c r="D4332" s="802" t="s">
        <v>3076</v>
      </c>
      <c r="E4332" s="176"/>
      <c r="F4332" s="176">
        <v>993400</v>
      </c>
      <c r="G4332" s="176">
        <f t="shared" si="71"/>
        <v>993400</v>
      </c>
      <c r="H4332" s="179" t="s">
        <v>2973</v>
      </c>
    </row>
    <row r="4333" spans="1:8" ht="24.75" thickBot="1" x14ac:dyDescent="0.25">
      <c r="A4333" s="599">
        <v>43127</v>
      </c>
      <c r="B4333" s="94" t="s">
        <v>1400</v>
      </c>
      <c r="C4333" s="94" t="s">
        <v>559</v>
      </c>
      <c r="D4333" s="802" t="s">
        <v>3076</v>
      </c>
      <c r="E4333" s="176"/>
      <c r="F4333" s="176">
        <v>993399</v>
      </c>
      <c r="G4333" s="176">
        <f t="shared" si="71"/>
        <v>993399</v>
      </c>
      <c r="H4333" s="179" t="s">
        <v>2973</v>
      </c>
    </row>
    <row r="4334" spans="1:8" ht="24.75" thickBot="1" x14ac:dyDescent="0.25">
      <c r="A4334" s="599">
        <v>43127</v>
      </c>
      <c r="B4334" s="94" t="s">
        <v>1400</v>
      </c>
      <c r="C4334" s="94" t="s">
        <v>559</v>
      </c>
      <c r="D4334" s="802" t="s">
        <v>3076</v>
      </c>
      <c r="E4334" s="176"/>
      <c r="F4334" s="176">
        <v>800000</v>
      </c>
      <c r="G4334" s="176">
        <f t="shared" si="71"/>
        <v>800000</v>
      </c>
      <c r="H4334" s="179" t="s">
        <v>2973</v>
      </c>
    </row>
    <row r="4335" spans="1:8" ht="24.75" thickBot="1" x14ac:dyDescent="0.25">
      <c r="A4335" s="599">
        <v>43127</v>
      </c>
      <c r="B4335" s="94" t="s">
        <v>1400</v>
      </c>
      <c r="C4335" s="94" t="s">
        <v>559</v>
      </c>
      <c r="D4335" s="802" t="s">
        <v>3076</v>
      </c>
      <c r="E4335" s="176"/>
      <c r="F4335" s="176">
        <v>800000</v>
      </c>
      <c r="G4335" s="176">
        <f t="shared" si="71"/>
        <v>800000</v>
      </c>
      <c r="H4335" s="179" t="s">
        <v>2973</v>
      </c>
    </row>
    <row r="4336" spans="1:8" ht="24.75" thickBot="1" x14ac:dyDescent="0.25">
      <c r="A4336" s="599">
        <v>43127</v>
      </c>
      <c r="B4336" s="94" t="s">
        <v>1400</v>
      </c>
      <c r="C4336" s="94" t="s">
        <v>559</v>
      </c>
      <c r="D4336" s="802" t="s">
        <v>3076</v>
      </c>
      <c r="E4336" s="176"/>
      <c r="F4336" s="176">
        <v>814294</v>
      </c>
      <c r="G4336" s="176">
        <f t="shared" si="71"/>
        <v>814294</v>
      </c>
      <c r="H4336" s="179" t="s">
        <v>2973</v>
      </c>
    </row>
    <row r="4337" spans="1:8" ht="15.75" thickBot="1" x14ac:dyDescent="0.25">
      <c r="A4337" s="599">
        <v>43131</v>
      </c>
      <c r="B4337" s="91" t="s">
        <v>2787</v>
      </c>
      <c r="C4337" s="94" t="s">
        <v>559</v>
      </c>
      <c r="D4337" s="801" t="s">
        <v>3098</v>
      </c>
      <c r="E4337" s="176"/>
      <c r="F4337" s="176">
        <v>3700000</v>
      </c>
      <c r="G4337" s="176">
        <f t="shared" si="71"/>
        <v>3700000</v>
      </c>
      <c r="H4337" s="179" t="s">
        <v>2973</v>
      </c>
    </row>
    <row r="4338" spans="1:8" ht="15" customHeight="1" x14ac:dyDescent="0.2">
      <c r="A4338" s="612">
        <v>43132</v>
      </c>
      <c r="B4338" s="220" t="s">
        <v>2787</v>
      </c>
      <c r="C4338" s="221" t="s">
        <v>794</v>
      </c>
      <c r="D4338" s="810" t="s">
        <v>1836</v>
      </c>
      <c r="E4338" s="173">
        <v>50000</v>
      </c>
      <c r="F4338" s="173"/>
      <c r="G4338" s="173">
        <f t="shared" si="71"/>
        <v>-50000</v>
      </c>
      <c r="H4338" s="263" t="s">
        <v>3091</v>
      </c>
    </row>
    <row r="4339" spans="1:8" ht="15" x14ac:dyDescent="0.2">
      <c r="A4339" s="612">
        <v>43132</v>
      </c>
      <c r="B4339" s="220" t="s">
        <v>2933</v>
      </c>
      <c r="C4339" s="221" t="s">
        <v>794</v>
      </c>
      <c r="D4339" s="810" t="s">
        <v>1837</v>
      </c>
      <c r="E4339" s="173">
        <v>50000</v>
      </c>
      <c r="F4339" s="173"/>
      <c r="G4339" s="173">
        <f t="shared" si="71"/>
        <v>-50000</v>
      </c>
      <c r="H4339" s="263" t="s">
        <v>3091</v>
      </c>
    </row>
    <row r="4340" spans="1:8" ht="15" x14ac:dyDescent="0.2">
      <c r="A4340" s="612">
        <v>43132</v>
      </c>
      <c r="B4340" s="220" t="s">
        <v>25</v>
      </c>
      <c r="C4340" s="221" t="s">
        <v>794</v>
      </c>
      <c r="D4340" s="810" t="s">
        <v>1839</v>
      </c>
      <c r="E4340" s="173">
        <v>6500</v>
      </c>
      <c r="F4340" s="173"/>
      <c r="G4340" s="173">
        <f t="shared" si="71"/>
        <v>-6500</v>
      </c>
      <c r="H4340" s="263" t="s">
        <v>3091</v>
      </c>
    </row>
    <row r="4341" spans="1:8" ht="15" x14ac:dyDescent="0.2">
      <c r="A4341" s="612">
        <v>43132</v>
      </c>
      <c r="B4341" s="220" t="s">
        <v>25</v>
      </c>
      <c r="C4341" s="221" t="s">
        <v>794</v>
      </c>
      <c r="D4341" s="810" t="s">
        <v>2183</v>
      </c>
      <c r="E4341" s="173">
        <v>3000</v>
      </c>
      <c r="F4341" s="173"/>
      <c r="G4341" s="173">
        <f t="shared" si="71"/>
        <v>-3000</v>
      </c>
      <c r="H4341" s="263" t="s">
        <v>3091</v>
      </c>
    </row>
    <row r="4342" spans="1:8" ht="15" x14ac:dyDescent="0.2">
      <c r="A4342" s="612">
        <v>43132</v>
      </c>
      <c r="B4342" s="220" t="s">
        <v>25</v>
      </c>
      <c r="C4342" s="221" t="s">
        <v>794</v>
      </c>
      <c r="D4342" s="810" t="s">
        <v>1840</v>
      </c>
      <c r="E4342" s="173">
        <v>7000</v>
      </c>
      <c r="F4342" s="173"/>
      <c r="G4342" s="173">
        <f t="shared" si="71"/>
        <v>-7000</v>
      </c>
      <c r="H4342" s="263" t="s">
        <v>3091</v>
      </c>
    </row>
    <row r="4343" spans="1:8" ht="15" x14ac:dyDescent="0.2">
      <c r="A4343" s="612">
        <v>43132</v>
      </c>
      <c r="B4343" s="220" t="s">
        <v>25</v>
      </c>
      <c r="C4343" s="221" t="s">
        <v>794</v>
      </c>
      <c r="D4343" s="810" t="s">
        <v>1547</v>
      </c>
      <c r="E4343" s="173">
        <v>9000</v>
      </c>
      <c r="F4343" s="173"/>
      <c r="G4343" s="173">
        <f t="shared" si="71"/>
        <v>-9000</v>
      </c>
      <c r="H4343" s="263" t="s">
        <v>3091</v>
      </c>
    </row>
    <row r="4344" spans="1:8" ht="15" x14ac:dyDescent="0.2">
      <c r="A4344" s="612">
        <v>43132</v>
      </c>
      <c r="B4344" s="220" t="s">
        <v>16</v>
      </c>
      <c r="C4344" s="221" t="s">
        <v>794</v>
      </c>
      <c r="D4344" s="810" t="s">
        <v>1844</v>
      </c>
      <c r="E4344" s="173">
        <v>29051.653225806451</v>
      </c>
      <c r="F4344" s="173"/>
      <c r="G4344" s="173">
        <f t="shared" si="71"/>
        <v>-29051.653225806451</v>
      </c>
      <c r="H4344" s="263" t="s">
        <v>3091</v>
      </c>
    </row>
    <row r="4345" spans="1:8" ht="15" x14ac:dyDescent="0.2">
      <c r="A4345" s="612">
        <v>43132</v>
      </c>
      <c r="B4345" s="220" t="s">
        <v>16</v>
      </c>
      <c r="C4345" s="221" t="s">
        <v>794</v>
      </c>
      <c r="D4345" s="810" t="s">
        <v>1842</v>
      </c>
      <c r="E4345" s="173">
        <v>30000</v>
      </c>
      <c r="F4345" s="173"/>
      <c r="G4345" s="173">
        <f t="shared" si="71"/>
        <v>-30000</v>
      </c>
      <c r="H4345" s="263" t="s">
        <v>3091</v>
      </c>
    </row>
    <row r="4346" spans="1:8" ht="15" x14ac:dyDescent="0.2">
      <c r="A4346" s="612">
        <v>43132</v>
      </c>
      <c r="B4346" s="220" t="s">
        <v>16</v>
      </c>
      <c r="C4346" s="221" t="s">
        <v>794</v>
      </c>
      <c r="D4346" s="810" t="s">
        <v>1843</v>
      </c>
      <c r="E4346" s="173">
        <v>17000</v>
      </c>
      <c r="F4346" s="173"/>
      <c r="G4346" s="173">
        <f t="shared" si="71"/>
        <v>-17000</v>
      </c>
      <c r="H4346" s="263" t="s">
        <v>3091</v>
      </c>
    </row>
    <row r="4347" spans="1:8" ht="15" x14ac:dyDescent="0.2">
      <c r="A4347" s="612">
        <v>43132</v>
      </c>
      <c r="B4347" s="220" t="s">
        <v>16</v>
      </c>
      <c r="C4347" s="221" t="s">
        <v>794</v>
      </c>
      <c r="D4347" s="810" t="s">
        <v>3065</v>
      </c>
      <c r="E4347" s="173">
        <v>31450</v>
      </c>
      <c r="F4347" s="173"/>
      <c r="G4347" s="173">
        <f t="shared" si="71"/>
        <v>-31450</v>
      </c>
      <c r="H4347" s="263" t="s">
        <v>3091</v>
      </c>
    </row>
    <row r="4348" spans="1:8" ht="15" x14ac:dyDescent="0.2">
      <c r="A4348" s="612">
        <v>43132</v>
      </c>
      <c r="B4348" s="220" t="s">
        <v>16</v>
      </c>
      <c r="C4348" s="221" t="s">
        <v>794</v>
      </c>
      <c r="D4348" s="810" t="s">
        <v>3066</v>
      </c>
      <c r="E4348" s="173">
        <v>27500</v>
      </c>
      <c r="F4348" s="173"/>
      <c r="G4348" s="173">
        <f t="shared" si="71"/>
        <v>-27500</v>
      </c>
      <c r="H4348" s="263" t="s">
        <v>3091</v>
      </c>
    </row>
    <row r="4349" spans="1:8" ht="15" x14ac:dyDescent="0.2">
      <c r="A4349" s="612">
        <v>43132</v>
      </c>
      <c r="B4349" s="220" t="s">
        <v>16</v>
      </c>
      <c r="C4349" s="221" t="s">
        <v>794</v>
      </c>
      <c r="D4349" s="810" t="s">
        <v>2283</v>
      </c>
      <c r="E4349" s="173">
        <v>16290.322580645159</v>
      </c>
      <c r="F4349" s="173"/>
      <c r="G4349" s="173">
        <f t="shared" si="71"/>
        <v>-16290.322580645159</v>
      </c>
      <c r="H4349" s="263" t="s">
        <v>3091</v>
      </c>
    </row>
    <row r="4350" spans="1:8" ht="15" x14ac:dyDescent="0.2">
      <c r="A4350" s="612">
        <v>43132</v>
      </c>
      <c r="B4350" s="220" t="s">
        <v>16</v>
      </c>
      <c r="C4350" s="221" t="s">
        <v>794</v>
      </c>
      <c r="D4350" s="810" t="s">
        <v>3120</v>
      </c>
      <c r="E4350" s="173">
        <v>16004</v>
      </c>
      <c r="F4350" s="173"/>
      <c r="G4350" s="173">
        <f t="shared" si="71"/>
        <v>-16004</v>
      </c>
      <c r="H4350" s="263" t="s">
        <v>3091</v>
      </c>
    </row>
    <row r="4351" spans="1:8" ht="15" customHeight="1" x14ac:dyDescent="0.2">
      <c r="A4351" s="612">
        <v>43132</v>
      </c>
      <c r="B4351" s="220" t="s">
        <v>16</v>
      </c>
      <c r="C4351" s="221" t="s">
        <v>794</v>
      </c>
      <c r="D4351" s="810" t="s">
        <v>3230</v>
      </c>
      <c r="E4351" s="173">
        <v>10000</v>
      </c>
      <c r="F4351" s="173"/>
      <c r="G4351" s="173">
        <f t="shared" si="71"/>
        <v>-10000</v>
      </c>
      <c r="H4351" s="263" t="s">
        <v>3091</v>
      </c>
    </row>
    <row r="4352" spans="1:8" ht="15" customHeight="1" x14ac:dyDescent="0.2">
      <c r="A4352" s="612">
        <v>43132</v>
      </c>
      <c r="B4352" s="220" t="s">
        <v>16</v>
      </c>
      <c r="C4352" s="221" t="s">
        <v>794</v>
      </c>
      <c r="D4352" s="810" t="s">
        <v>2916</v>
      </c>
      <c r="E4352" s="173">
        <v>12000</v>
      </c>
      <c r="F4352" s="173"/>
      <c r="G4352" s="173">
        <f t="shared" si="71"/>
        <v>-12000</v>
      </c>
      <c r="H4352" s="263" t="s">
        <v>3091</v>
      </c>
    </row>
    <row r="4353" spans="1:8" ht="15" customHeight="1" x14ac:dyDescent="0.2">
      <c r="A4353" s="612">
        <v>43132</v>
      </c>
      <c r="B4353" s="220" t="s">
        <v>16</v>
      </c>
      <c r="C4353" s="221" t="s">
        <v>794</v>
      </c>
      <c r="D4353" s="810" t="s">
        <v>3121</v>
      </c>
      <c r="E4353" s="173">
        <v>8000</v>
      </c>
      <c r="F4353" s="173"/>
      <c r="G4353" s="173">
        <f t="shared" si="71"/>
        <v>-8000</v>
      </c>
      <c r="H4353" s="263" t="s">
        <v>3091</v>
      </c>
    </row>
    <row r="4354" spans="1:8" ht="15" x14ac:dyDescent="0.2">
      <c r="A4354" s="612">
        <v>43132</v>
      </c>
      <c r="B4354" s="220" t="s">
        <v>2787</v>
      </c>
      <c r="C4354" s="221" t="s">
        <v>794</v>
      </c>
      <c r="D4354" s="810" t="s">
        <v>1863</v>
      </c>
      <c r="E4354" s="173">
        <v>20299.879032258064</v>
      </c>
      <c r="F4354" s="173"/>
      <c r="G4354" s="173">
        <f t="shared" si="71"/>
        <v>-20299.879032258064</v>
      </c>
      <c r="H4354" s="263" t="s">
        <v>3091</v>
      </c>
    </row>
    <row r="4355" spans="1:8" ht="15" x14ac:dyDescent="0.2">
      <c r="A4355" s="612">
        <v>43132</v>
      </c>
      <c r="B4355" s="220" t="s">
        <v>2787</v>
      </c>
      <c r="C4355" s="221" t="s">
        <v>794</v>
      </c>
      <c r="D4355" s="810" t="s">
        <v>1864</v>
      </c>
      <c r="E4355" s="173">
        <v>37750.080645161288</v>
      </c>
      <c r="F4355" s="173"/>
      <c r="G4355" s="173">
        <f t="shared" si="71"/>
        <v>-37750.080645161288</v>
      </c>
      <c r="H4355" s="263" t="s">
        <v>3091</v>
      </c>
    </row>
    <row r="4356" spans="1:8" ht="15" x14ac:dyDescent="0.2">
      <c r="A4356" s="612">
        <v>43132</v>
      </c>
      <c r="B4356" s="220" t="s">
        <v>2787</v>
      </c>
      <c r="C4356" s="221" t="s">
        <v>794</v>
      </c>
      <c r="D4356" s="810" t="s">
        <v>1852</v>
      </c>
      <c r="E4356" s="173">
        <v>39500</v>
      </c>
      <c r="F4356" s="173"/>
      <c r="G4356" s="173">
        <f t="shared" si="71"/>
        <v>-39500</v>
      </c>
      <c r="H4356" s="263" t="s">
        <v>3091</v>
      </c>
    </row>
    <row r="4357" spans="1:8" ht="15" x14ac:dyDescent="0.2">
      <c r="A4357" s="612">
        <v>43132</v>
      </c>
      <c r="B4357" s="220" t="s">
        <v>2787</v>
      </c>
      <c r="C4357" s="221" t="s">
        <v>794</v>
      </c>
      <c r="D4357" s="810" t="s">
        <v>3071</v>
      </c>
      <c r="E4357" s="173">
        <v>4750.4032258064517</v>
      </c>
      <c r="F4357" s="173"/>
      <c r="G4357" s="173">
        <f t="shared" si="71"/>
        <v>-4750.4032258064517</v>
      </c>
      <c r="H4357" s="263" t="s">
        <v>3091</v>
      </c>
    </row>
    <row r="4358" spans="1:8" ht="15" x14ac:dyDescent="0.2">
      <c r="A4358" s="612">
        <v>43132</v>
      </c>
      <c r="B4358" s="220" t="s">
        <v>2787</v>
      </c>
      <c r="C4358" s="221" t="s">
        <v>794</v>
      </c>
      <c r="D4358" s="810" t="s">
        <v>2922</v>
      </c>
      <c r="E4358" s="173">
        <v>26850</v>
      </c>
      <c r="F4358" s="173"/>
      <c r="G4358" s="173">
        <f t="shared" si="71"/>
        <v>-26850</v>
      </c>
      <c r="H4358" s="263" t="s">
        <v>3091</v>
      </c>
    </row>
    <row r="4359" spans="1:8" ht="15" x14ac:dyDescent="0.2">
      <c r="A4359" s="612">
        <v>43132</v>
      </c>
      <c r="B4359" s="220" t="s">
        <v>2787</v>
      </c>
      <c r="C4359" s="221" t="s">
        <v>794</v>
      </c>
      <c r="D4359" s="810" t="s">
        <v>668</v>
      </c>
      <c r="E4359" s="173">
        <v>15900</v>
      </c>
      <c r="F4359" s="173"/>
      <c r="G4359" s="173">
        <f t="shared" si="71"/>
        <v>-15900</v>
      </c>
      <c r="H4359" s="263" t="s">
        <v>3091</v>
      </c>
    </row>
    <row r="4360" spans="1:8" ht="15" x14ac:dyDescent="0.2">
      <c r="A4360" s="612">
        <v>43132</v>
      </c>
      <c r="B4360" s="220" t="s">
        <v>2787</v>
      </c>
      <c r="C4360" s="221" t="s">
        <v>794</v>
      </c>
      <c r="D4360" s="810" t="s">
        <v>3231</v>
      </c>
      <c r="E4360" s="173">
        <v>38550</v>
      </c>
      <c r="F4360" s="173"/>
      <c r="G4360" s="173">
        <f t="shared" si="71"/>
        <v>-38550</v>
      </c>
      <c r="H4360" s="263" t="s">
        <v>3091</v>
      </c>
    </row>
    <row r="4361" spans="1:8" ht="15" x14ac:dyDescent="0.2">
      <c r="A4361" s="612">
        <v>43132</v>
      </c>
      <c r="B4361" s="220" t="s">
        <v>2787</v>
      </c>
      <c r="C4361" s="221" t="s">
        <v>794</v>
      </c>
      <c r="D4361" s="810" t="s">
        <v>3232</v>
      </c>
      <c r="E4361" s="173">
        <v>32499.758064516129</v>
      </c>
      <c r="F4361" s="173"/>
      <c r="G4361" s="173">
        <f t="shared" ref="G4361:G4424" si="72">F4361-E4361</f>
        <v>-32499.758064516129</v>
      </c>
      <c r="H4361" s="263" t="s">
        <v>3091</v>
      </c>
    </row>
    <row r="4362" spans="1:8" ht="15" x14ac:dyDescent="0.2">
      <c r="A4362" s="612">
        <v>43132</v>
      </c>
      <c r="B4362" s="220" t="s">
        <v>2787</v>
      </c>
      <c r="C4362" s="221" t="s">
        <v>794</v>
      </c>
      <c r="D4362" s="810" t="s">
        <v>3072</v>
      </c>
      <c r="E4362" s="173">
        <v>24349.999999999996</v>
      </c>
      <c r="F4362" s="173"/>
      <c r="G4362" s="173">
        <f t="shared" si="72"/>
        <v>-24349.999999999996</v>
      </c>
      <c r="H4362" s="263" t="s">
        <v>3091</v>
      </c>
    </row>
    <row r="4363" spans="1:8" ht="15" x14ac:dyDescent="0.2">
      <c r="A4363" s="612">
        <v>43132</v>
      </c>
      <c r="B4363" s="220" t="s">
        <v>2787</v>
      </c>
      <c r="C4363" s="221" t="s">
        <v>794</v>
      </c>
      <c r="D4363" s="810" t="s">
        <v>1561</v>
      </c>
      <c r="E4363" s="173">
        <v>6049.5967741935483</v>
      </c>
      <c r="F4363" s="173"/>
      <c r="G4363" s="173">
        <f t="shared" si="72"/>
        <v>-6049.5967741935483</v>
      </c>
      <c r="H4363" s="263" t="s">
        <v>3091</v>
      </c>
    </row>
    <row r="4364" spans="1:8" ht="15" x14ac:dyDescent="0.2">
      <c r="A4364" s="612">
        <v>43132</v>
      </c>
      <c r="B4364" s="220" t="s">
        <v>2787</v>
      </c>
      <c r="C4364" s="221" t="s">
        <v>794</v>
      </c>
      <c r="D4364" s="810" t="s">
        <v>1540</v>
      </c>
      <c r="E4364" s="173">
        <v>17599.798387096773</v>
      </c>
      <c r="F4364" s="173"/>
      <c r="G4364" s="173">
        <f t="shared" si="72"/>
        <v>-17599.798387096773</v>
      </c>
      <c r="H4364" s="263" t="s">
        <v>3091</v>
      </c>
    </row>
    <row r="4365" spans="1:8" ht="15" x14ac:dyDescent="0.2">
      <c r="A4365" s="612">
        <v>43132</v>
      </c>
      <c r="B4365" s="220" t="s">
        <v>2787</v>
      </c>
      <c r="C4365" s="221" t="s">
        <v>794</v>
      </c>
      <c r="D4365" s="810" t="s">
        <v>3122</v>
      </c>
      <c r="E4365" s="173">
        <v>5050.0806451612907</v>
      </c>
      <c r="F4365" s="173"/>
      <c r="G4365" s="173">
        <f t="shared" si="72"/>
        <v>-5050.0806451612907</v>
      </c>
      <c r="H4365" s="263" t="s">
        <v>3091</v>
      </c>
    </row>
    <row r="4366" spans="1:8" ht="15" x14ac:dyDescent="0.2">
      <c r="A4366" s="612">
        <v>43132</v>
      </c>
      <c r="B4366" s="220" t="s">
        <v>2787</v>
      </c>
      <c r="C4366" s="221" t="s">
        <v>794</v>
      </c>
      <c r="D4366" s="810" t="s">
        <v>1686</v>
      </c>
      <c r="E4366" s="173">
        <v>4550.0806451612898</v>
      </c>
      <c r="F4366" s="173"/>
      <c r="G4366" s="173">
        <f t="shared" si="72"/>
        <v>-4550.0806451612898</v>
      </c>
      <c r="H4366" s="263" t="s">
        <v>3091</v>
      </c>
    </row>
    <row r="4367" spans="1:8" ht="15" x14ac:dyDescent="0.2">
      <c r="A4367" s="612">
        <v>43132</v>
      </c>
      <c r="B4367" s="220" t="s">
        <v>2787</v>
      </c>
      <c r="C4367" s="221" t="s">
        <v>794</v>
      </c>
      <c r="D4367" s="810" t="s">
        <v>3074</v>
      </c>
      <c r="E4367" s="173">
        <v>18650.322580645163</v>
      </c>
      <c r="F4367" s="173"/>
      <c r="G4367" s="173">
        <f t="shared" si="72"/>
        <v>-18650.322580645163</v>
      </c>
      <c r="H4367" s="263" t="s">
        <v>3091</v>
      </c>
    </row>
    <row r="4368" spans="1:8" ht="15" x14ac:dyDescent="0.2">
      <c r="A4368" s="612">
        <v>43132</v>
      </c>
      <c r="B4368" s="220" t="s">
        <v>1400</v>
      </c>
      <c r="C4368" s="221" t="s">
        <v>794</v>
      </c>
      <c r="D4368" s="810" t="s">
        <v>1684</v>
      </c>
      <c r="E4368" s="173">
        <v>20000</v>
      </c>
      <c r="F4368" s="173"/>
      <c r="G4368" s="173">
        <f t="shared" si="72"/>
        <v>-20000</v>
      </c>
      <c r="H4368" s="263" t="s">
        <v>3091</v>
      </c>
    </row>
    <row r="4369" spans="1:8" ht="15" x14ac:dyDescent="0.2">
      <c r="A4369" s="612">
        <v>43132</v>
      </c>
      <c r="B4369" s="220" t="s">
        <v>1400</v>
      </c>
      <c r="C4369" s="221" t="s">
        <v>794</v>
      </c>
      <c r="D4369" s="810" t="s">
        <v>3233</v>
      </c>
      <c r="E4369" s="173">
        <v>16260.064516129034</v>
      </c>
      <c r="F4369" s="173"/>
      <c r="G4369" s="173">
        <f t="shared" si="72"/>
        <v>-16260.064516129034</v>
      </c>
      <c r="H4369" s="263" t="s">
        <v>3091</v>
      </c>
    </row>
    <row r="4370" spans="1:8" ht="15" x14ac:dyDescent="0.2">
      <c r="A4370" s="612">
        <v>43132</v>
      </c>
      <c r="B4370" s="220" t="s">
        <v>1400</v>
      </c>
      <c r="C4370" s="221" t="s">
        <v>794</v>
      </c>
      <c r="D4370" s="810" t="s">
        <v>2482</v>
      </c>
      <c r="E4370" s="173">
        <v>12429.516129032258</v>
      </c>
      <c r="F4370" s="173"/>
      <c r="G4370" s="173">
        <f t="shared" si="72"/>
        <v>-12429.516129032258</v>
      </c>
      <c r="H4370" s="263" t="s">
        <v>3091</v>
      </c>
    </row>
    <row r="4371" spans="1:8" ht="15" x14ac:dyDescent="0.2">
      <c r="A4371" s="612">
        <v>43132</v>
      </c>
      <c r="B4371" s="220" t="s">
        <v>1400</v>
      </c>
      <c r="C4371" s="221" t="s">
        <v>794</v>
      </c>
      <c r="D4371" s="810" t="s">
        <v>1550</v>
      </c>
      <c r="E4371" s="173">
        <v>22650.241935483871</v>
      </c>
      <c r="F4371" s="173"/>
      <c r="G4371" s="173">
        <f t="shared" si="72"/>
        <v>-22650.241935483871</v>
      </c>
      <c r="H4371" s="263" t="s">
        <v>3091</v>
      </c>
    </row>
    <row r="4372" spans="1:8" ht="15" x14ac:dyDescent="0.2">
      <c r="A4372" s="612">
        <v>43132</v>
      </c>
      <c r="B4372" s="220" t="s">
        <v>1400</v>
      </c>
      <c r="C4372" s="221" t="s">
        <v>794</v>
      </c>
      <c r="D4372" s="810" t="s">
        <v>1871</v>
      </c>
      <c r="E4372" s="173">
        <v>39450</v>
      </c>
      <c r="F4372" s="173"/>
      <c r="G4372" s="173">
        <f t="shared" si="72"/>
        <v>-39450</v>
      </c>
      <c r="H4372" s="263" t="s">
        <v>3091</v>
      </c>
    </row>
    <row r="4373" spans="1:8" ht="15" x14ac:dyDescent="0.2">
      <c r="A4373" s="612">
        <v>43132</v>
      </c>
      <c r="B4373" s="220" t="s">
        <v>1400</v>
      </c>
      <c r="C4373" s="221" t="s">
        <v>794</v>
      </c>
      <c r="D4373" s="810" t="s">
        <v>1862</v>
      </c>
      <c r="E4373" s="173">
        <v>16799.899193548386</v>
      </c>
      <c r="F4373" s="173"/>
      <c r="G4373" s="173">
        <f t="shared" si="72"/>
        <v>-16799.899193548386</v>
      </c>
      <c r="H4373" s="263" t="s">
        <v>3091</v>
      </c>
    </row>
    <row r="4374" spans="1:8" ht="15" x14ac:dyDescent="0.2">
      <c r="A4374" s="612">
        <v>43132</v>
      </c>
      <c r="B4374" s="220" t="s">
        <v>1400</v>
      </c>
      <c r="C4374" s="221" t="s">
        <v>794</v>
      </c>
      <c r="D4374" s="810" t="s">
        <v>3234</v>
      </c>
      <c r="E4374" s="173">
        <v>14809.879032258064</v>
      </c>
      <c r="F4374" s="173"/>
      <c r="G4374" s="173">
        <f t="shared" si="72"/>
        <v>-14809.879032258064</v>
      </c>
      <c r="H4374" s="263" t="s">
        <v>3091</v>
      </c>
    </row>
    <row r="4375" spans="1:8" ht="15" x14ac:dyDescent="0.2">
      <c r="A4375" s="612">
        <v>43132</v>
      </c>
      <c r="B4375" s="220" t="s">
        <v>1400</v>
      </c>
      <c r="C4375" s="221" t="s">
        <v>794</v>
      </c>
      <c r="D4375" s="810" t="s">
        <v>2927</v>
      </c>
      <c r="E4375" s="173">
        <v>15050.322580645161</v>
      </c>
      <c r="F4375" s="173"/>
      <c r="G4375" s="173">
        <f t="shared" si="72"/>
        <v>-15050.322580645161</v>
      </c>
      <c r="H4375" s="263" t="s">
        <v>3091</v>
      </c>
    </row>
    <row r="4376" spans="1:8" ht="15" x14ac:dyDescent="0.2">
      <c r="A4376" s="612">
        <v>43132</v>
      </c>
      <c r="B4376" s="220" t="s">
        <v>1400</v>
      </c>
      <c r="C4376" s="221" t="s">
        <v>794</v>
      </c>
      <c r="D4376" s="810" t="s">
        <v>3067</v>
      </c>
      <c r="E4376" s="173">
        <v>1950</v>
      </c>
      <c r="F4376" s="173"/>
      <c r="G4376" s="173">
        <f t="shared" si="72"/>
        <v>-1950</v>
      </c>
      <c r="H4376" s="263" t="s">
        <v>3091</v>
      </c>
    </row>
    <row r="4377" spans="1:8" ht="15" x14ac:dyDescent="0.2">
      <c r="A4377" s="612">
        <v>43132</v>
      </c>
      <c r="B4377" s="220" t="s">
        <v>1400</v>
      </c>
      <c r="C4377" s="221" t="s">
        <v>794</v>
      </c>
      <c r="D4377" s="810" t="s">
        <v>1872</v>
      </c>
      <c r="E4377" s="173">
        <v>20799.919354838708</v>
      </c>
      <c r="F4377" s="173"/>
      <c r="G4377" s="173">
        <f t="shared" si="72"/>
        <v>-20799.919354838708</v>
      </c>
      <c r="H4377" s="263" t="s">
        <v>3091</v>
      </c>
    </row>
    <row r="4378" spans="1:8" ht="15" x14ac:dyDescent="0.2">
      <c r="A4378" s="612">
        <v>43132</v>
      </c>
      <c r="B4378" s="220" t="s">
        <v>1400</v>
      </c>
      <c r="C4378" s="221" t="s">
        <v>794</v>
      </c>
      <c r="D4378" s="810" t="s">
        <v>3068</v>
      </c>
      <c r="E4378" s="173">
        <v>9750.4838709677442</v>
      </c>
      <c r="F4378" s="173"/>
      <c r="G4378" s="173">
        <f t="shared" si="72"/>
        <v>-9750.4838709677442</v>
      </c>
      <c r="H4378" s="263" t="s">
        <v>3091</v>
      </c>
    </row>
    <row r="4379" spans="1:8" ht="15" x14ac:dyDescent="0.2">
      <c r="A4379" s="612">
        <v>43132</v>
      </c>
      <c r="B4379" s="220" t="s">
        <v>1400</v>
      </c>
      <c r="C4379" s="221" t="s">
        <v>794</v>
      </c>
      <c r="D4379" s="810" t="s">
        <v>3070</v>
      </c>
      <c r="E4379" s="173">
        <v>7750</v>
      </c>
      <c r="F4379" s="173"/>
      <c r="G4379" s="173">
        <f t="shared" si="72"/>
        <v>-7750</v>
      </c>
      <c r="H4379" s="263" t="s">
        <v>3091</v>
      </c>
    </row>
    <row r="4380" spans="1:8" ht="15" x14ac:dyDescent="0.2">
      <c r="A4380" s="612">
        <v>43132</v>
      </c>
      <c r="B4380" s="220" t="s">
        <v>1400</v>
      </c>
      <c r="C4380" s="221" t="s">
        <v>794</v>
      </c>
      <c r="D4380" s="810" t="s">
        <v>2481</v>
      </c>
      <c r="E4380" s="173">
        <v>9450.1209677419356</v>
      </c>
      <c r="F4380" s="173"/>
      <c r="G4380" s="173">
        <f t="shared" si="72"/>
        <v>-9450.1209677419356</v>
      </c>
      <c r="H4380" s="263" t="s">
        <v>3091</v>
      </c>
    </row>
    <row r="4381" spans="1:8" ht="15" x14ac:dyDescent="0.2">
      <c r="A4381" s="612">
        <v>43132</v>
      </c>
      <c r="B4381" s="220" t="s">
        <v>11</v>
      </c>
      <c r="C4381" s="221" t="s">
        <v>794</v>
      </c>
      <c r="D4381" s="810" t="s">
        <v>2280</v>
      </c>
      <c r="E4381" s="173">
        <v>22000</v>
      </c>
      <c r="F4381" s="173"/>
      <c r="G4381" s="173">
        <f t="shared" si="72"/>
        <v>-22000</v>
      </c>
      <c r="H4381" s="263" t="s">
        <v>3091</v>
      </c>
    </row>
    <row r="4382" spans="1:8" ht="15" x14ac:dyDescent="0.2">
      <c r="A4382" s="612">
        <v>43132</v>
      </c>
      <c r="B4382" s="220" t="s">
        <v>2548</v>
      </c>
      <c r="C4382" s="221" t="s">
        <v>794</v>
      </c>
      <c r="D4382" s="810" t="s">
        <v>1849</v>
      </c>
      <c r="E4382" s="173">
        <v>15550.322580645161</v>
      </c>
      <c r="F4382" s="173"/>
      <c r="G4382" s="173">
        <f t="shared" si="72"/>
        <v>-15550.322580645161</v>
      </c>
      <c r="H4382" s="263" t="s">
        <v>3091</v>
      </c>
    </row>
    <row r="4383" spans="1:8" ht="15" x14ac:dyDescent="0.2">
      <c r="A4383" s="612">
        <v>43132</v>
      </c>
      <c r="B4383" s="220" t="s">
        <v>2548</v>
      </c>
      <c r="C4383" s="221" t="s">
        <v>794</v>
      </c>
      <c r="D4383" s="810" t="s">
        <v>1847</v>
      </c>
      <c r="E4383" s="173">
        <v>19000</v>
      </c>
      <c r="F4383" s="173"/>
      <c r="G4383" s="173">
        <f t="shared" si="72"/>
        <v>-19000</v>
      </c>
      <c r="H4383" s="263" t="s">
        <v>3091</v>
      </c>
    </row>
    <row r="4384" spans="1:8" ht="15" x14ac:dyDescent="0.2">
      <c r="A4384" s="612">
        <v>43132</v>
      </c>
      <c r="B4384" s="220" t="s">
        <v>1400</v>
      </c>
      <c r="C4384" s="221" t="s">
        <v>794</v>
      </c>
      <c r="D4384" s="810" t="s">
        <v>1850</v>
      </c>
      <c r="E4384" s="173">
        <v>8600.4032258064508</v>
      </c>
      <c r="F4384" s="173"/>
      <c r="G4384" s="173">
        <f t="shared" si="72"/>
        <v>-8600.4032258064508</v>
      </c>
      <c r="H4384" s="263" t="s">
        <v>3091</v>
      </c>
    </row>
    <row r="4385" spans="1:8" ht="15" x14ac:dyDescent="0.2">
      <c r="A4385" s="612">
        <v>43132</v>
      </c>
      <c r="B4385" s="220" t="s">
        <v>40</v>
      </c>
      <c r="C4385" s="221" t="s">
        <v>794</v>
      </c>
      <c r="D4385" s="810" t="s">
        <v>2284</v>
      </c>
      <c r="E4385" s="173">
        <v>27000</v>
      </c>
      <c r="F4385" s="173"/>
      <c r="G4385" s="173">
        <f t="shared" si="72"/>
        <v>-27000</v>
      </c>
      <c r="H4385" s="263" t="s">
        <v>3091</v>
      </c>
    </row>
    <row r="4386" spans="1:8" ht="15" x14ac:dyDescent="0.2">
      <c r="A4386" s="612">
        <v>43132</v>
      </c>
      <c r="B4386" s="220" t="s">
        <v>40</v>
      </c>
      <c r="C4386" s="221" t="s">
        <v>794</v>
      </c>
      <c r="D4386" s="810" t="s">
        <v>1855</v>
      </c>
      <c r="E4386" s="173">
        <v>23749.596774193549</v>
      </c>
      <c r="F4386" s="173"/>
      <c r="G4386" s="173">
        <f t="shared" si="72"/>
        <v>-23749.596774193549</v>
      </c>
      <c r="H4386" s="263" t="s">
        <v>3091</v>
      </c>
    </row>
    <row r="4387" spans="1:8" ht="15" x14ac:dyDescent="0.2">
      <c r="A4387" s="612">
        <v>43132</v>
      </c>
      <c r="B4387" s="220" t="s">
        <v>40</v>
      </c>
      <c r="C4387" s="221" t="s">
        <v>794</v>
      </c>
      <c r="D4387" s="810" t="s">
        <v>2181</v>
      </c>
      <c r="E4387" s="173">
        <v>15049.596774193547</v>
      </c>
      <c r="F4387" s="173"/>
      <c r="G4387" s="173">
        <f t="shared" si="72"/>
        <v>-15049.596774193547</v>
      </c>
      <c r="H4387" s="263" t="s">
        <v>3091</v>
      </c>
    </row>
    <row r="4388" spans="1:8" ht="15" x14ac:dyDescent="0.2">
      <c r="A4388" s="612">
        <v>43132</v>
      </c>
      <c r="B4388" s="220" t="s">
        <v>40</v>
      </c>
      <c r="C4388" s="221" t="s">
        <v>794</v>
      </c>
      <c r="D4388" s="810" t="s">
        <v>3235</v>
      </c>
      <c r="E4388" s="173">
        <v>3870.9677419354839</v>
      </c>
      <c r="F4388" s="173"/>
      <c r="G4388" s="173">
        <f t="shared" si="72"/>
        <v>-3870.9677419354839</v>
      </c>
      <c r="H4388" s="263" t="s">
        <v>3091</v>
      </c>
    </row>
    <row r="4389" spans="1:8" ht="15" x14ac:dyDescent="0.2">
      <c r="A4389" s="612">
        <v>43132</v>
      </c>
      <c r="B4389" s="220" t="s">
        <v>40</v>
      </c>
      <c r="C4389" s="221" t="s">
        <v>794</v>
      </c>
      <c r="D4389" s="810" t="s">
        <v>1851</v>
      </c>
      <c r="E4389" s="173">
        <v>9844.1935483870966</v>
      </c>
      <c r="F4389" s="173"/>
      <c r="G4389" s="173">
        <f t="shared" si="72"/>
        <v>-9844.1935483870966</v>
      </c>
      <c r="H4389" s="263" t="s">
        <v>3091</v>
      </c>
    </row>
    <row r="4390" spans="1:8" ht="15" x14ac:dyDescent="0.2">
      <c r="A4390" s="612">
        <v>43132</v>
      </c>
      <c r="B4390" s="220" t="s">
        <v>37</v>
      </c>
      <c r="C4390" s="221" t="s">
        <v>794</v>
      </c>
      <c r="D4390" s="810" t="s">
        <v>1866</v>
      </c>
      <c r="E4390" s="173">
        <v>18869.516129032258</v>
      </c>
      <c r="F4390" s="173"/>
      <c r="G4390" s="173">
        <f t="shared" si="72"/>
        <v>-18869.516129032258</v>
      </c>
      <c r="H4390" s="263" t="s">
        <v>3091</v>
      </c>
    </row>
    <row r="4391" spans="1:8" ht="15" x14ac:dyDescent="0.2">
      <c r="A4391" s="612">
        <v>43132</v>
      </c>
      <c r="B4391" s="220" t="s">
        <v>37</v>
      </c>
      <c r="C4391" s="221" t="s">
        <v>794</v>
      </c>
      <c r="D4391" s="810" t="s">
        <v>1867</v>
      </c>
      <c r="E4391" s="173">
        <v>13799.758064516129</v>
      </c>
      <c r="F4391" s="173"/>
      <c r="G4391" s="173">
        <f t="shared" si="72"/>
        <v>-13799.758064516129</v>
      </c>
      <c r="H4391" s="263" t="s">
        <v>3091</v>
      </c>
    </row>
    <row r="4392" spans="1:8" ht="15" customHeight="1" x14ac:dyDescent="0.2">
      <c r="A4392" s="612">
        <v>43132</v>
      </c>
      <c r="B4392" s="220" t="s">
        <v>37</v>
      </c>
      <c r="C4392" s="221" t="s">
        <v>794</v>
      </c>
      <c r="D4392" s="810" t="s">
        <v>1868</v>
      </c>
      <c r="E4392" s="173">
        <v>19549.576612903227</v>
      </c>
      <c r="F4392" s="173"/>
      <c r="G4392" s="173">
        <f t="shared" si="72"/>
        <v>-19549.576612903227</v>
      </c>
      <c r="H4392" s="263" t="s">
        <v>3091</v>
      </c>
    </row>
    <row r="4393" spans="1:8" ht="15" x14ac:dyDescent="0.2">
      <c r="A4393" s="612">
        <v>43132</v>
      </c>
      <c r="B4393" s="220" t="s">
        <v>37</v>
      </c>
      <c r="C4393" s="221" t="s">
        <v>794</v>
      </c>
      <c r="D4393" s="810" t="s">
        <v>1240</v>
      </c>
      <c r="E4393" s="173">
        <v>15199.596774193549</v>
      </c>
      <c r="F4393" s="173"/>
      <c r="G4393" s="173">
        <f t="shared" si="72"/>
        <v>-15199.596774193549</v>
      </c>
      <c r="H4393" s="263" t="s">
        <v>3091</v>
      </c>
    </row>
    <row r="4394" spans="1:8" ht="15" x14ac:dyDescent="0.2">
      <c r="A4394" s="612">
        <v>43132</v>
      </c>
      <c r="B4394" s="220" t="s">
        <v>37</v>
      </c>
      <c r="C4394" s="221" t="s">
        <v>794</v>
      </c>
      <c r="D4394" s="810" t="s">
        <v>2919</v>
      </c>
      <c r="E4394" s="173">
        <v>10080.241935483871</v>
      </c>
      <c r="F4394" s="173"/>
      <c r="G4394" s="173">
        <f t="shared" si="72"/>
        <v>-10080.241935483871</v>
      </c>
      <c r="H4394" s="263" t="s">
        <v>3091</v>
      </c>
    </row>
    <row r="4395" spans="1:8" ht="15" x14ac:dyDescent="0.2">
      <c r="A4395" s="612">
        <v>43132</v>
      </c>
      <c r="B4395" s="220" t="s">
        <v>37</v>
      </c>
      <c r="C4395" s="221" t="s">
        <v>794</v>
      </c>
      <c r="D4395" s="810" t="s">
        <v>2720</v>
      </c>
      <c r="E4395" s="173">
        <v>13009.83870967742</v>
      </c>
      <c r="F4395" s="173"/>
      <c r="G4395" s="173">
        <f t="shared" si="72"/>
        <v>-13009.83870967742</v>
      </c>
      <c r="H4395" s="263" t="s">
        <v>3091</v>
      </c>
    </row>
    <row r="4396" spans="1:8" ht="15" x14ac:dyDescent="0.2">
      <c r="A4396" s="612">
        <v>43132</v>
      </c>
      <c r="B4396" s="220" t="s">
        <v>1400</v>
      </c>
      <c r="C4396" s="221" t="s">
        <v>794</v>
      </c>
      <c r="D4396" s="810" t="s">
        <v>1858</v>
      </c>
      <c r="E4396" s="173">
        <v>33000</v>
      </c>
      <c r="F4396" s="173"/>
      <c r="G4396" s="173">
        <f t="shared" si="72"/>
        <v>-33000</v>
      </c>
      <c r="H4396" s="263" t="s">
        <v>3091</v>
      </c>
    </row>
    <row r="4397" spans="1:8" ht="15" x14ac:dyDescent="0.2">
      <c r="A4397" s="612">
        <v>43132</v>
      </c>
      <c r="B4397" s="220" t="s">
        <v>2933</v>
      </c>
      <c r="C4397" s="221" t="s">
        <v>794</v>
      </c>
      <c r="D4397" s="810" t="s">
        <v>2925</v>
      </c>
      <c r="E4397" s="173">
        <v>45000</v>
      </c>
      <c r="F4397" s="173"/>
      <c r="G4397" s="173">
        <f t="shared" si="72"/>
        <v>-45000</v>
      </c>
      <c r="H4397" s="263" t="s">
        <v>3091</v>
      </c>
    </row>
    <row r="4398" spans="1:8" ht="15" x14ac:dyDescent="0.2">
      <c r="A4398" s="612">
        <v>43132</v>
      </c>
      <c r="B4398" s="220" t="s">
        <v>2933</v>
      </c>
      <c r="C4398" s="221" t="s">
        <v>794</v>
      </c>
      <c r="D4398" s="810" t="s">
        <v>3236</v>
      </c>
      <c r="E4398" s="173">
        <v>25000</v>
      </c>
      <c r="F4398" s="173"/>
      <c r="G4398" s="173">
        <f t="shared" si="72"/>
        <v>-25000</v>
      </c>
      <c r="H4398" s="263" t="s">
        <v>3091</v>
      </c>
    </row>
    <row r="4399" spans="1:8" ht="15" x14ac:dyDescent="0.2">
      <c r="A4399" s="612">
        <v>43132</v>
      </c>
      <c r="B4399" s="220" t="s">
        <v>11</v>
      </c>
      <c r="C4399" s="221" t="s">
        <v>794</v>
      </c>
      <c r="D4399" s="810" t="s">
        <v>1870</v>
      </c>
      <c r="E4399" s="173">
        <v>5000</v>
      </c>
      <c r="F4399" s="173"/>
      <c r="G4399" s="173">
        <f t="shared" si="72"/>
        <v>-5000</v>
      </c>
      <c r="H4399" s="263" t="s">
        <v>3091</v>
      </c>
    </row>
    <row r="4400" spans="1:8" ht="15" x14ac:dyDescent="0.2">
      <c r="A4400" s="597">
        <v>43132</v>
      </c>
      <c r="B4400" s="41" t="s">
        <v>1400</v>
      </c>
      <c r="C4400" s="63" t="s">
        <v>3033</v>
      </c>
      <c r="D4400" s="108" t="s">
        <v>3099</v>
      </c>
      <c r="E4400" s="58">
        <v>2000</v>
      </c>
      <c r="F4400" s="58"/>
      <c r="G4400" s="58">
        <f t="shared" si="72"/>
        <v>-2000</v>
      </c>
      <c r="H4400" s="121" t="s">
        <v>3091</v>
      </c>
    </row>
    <row r="4401" spans="1:8" ht="15" x14ac:dyDescent="0.2">
      <c r="A4401" s="597">
        <v>43132</v>
      </c>
      <c r="B4401" s="41" t="s">
        <v>2787</v>
      </c>
      <c r="C4401" s="223" t="s">
        <v>3149</v>
      </c>
      <c r="D4401" s="108" t="s">
        <v>600</v>
      </c>
      <c r="E4401" s="58">
        <v>1920</v>
      </c>
      <c r="F4401" s="58"/>
      <c r="G4401" s="58">
        <f t="shared" si="72"/>
        <v>-1920</v>
      </c>
      <c r="H4401" s="121" t="s">
        <v>3091</v>
      </c>
    </row>
    <row r="4402" spans="1:8" ht="15" x14ac:dyDescent="0.2">
      <c r="A4402" s="597">
        <v>43133</v>
      </c>
      <c r="B4402" s="41" t="s">
        <v>2787</v>
      </c>
      <c r="C4402" s="63" t="s">
        <v>3145</v>
      </c>
      <c r="D4402" s="108" t="s">
        <v>2349</v>
      </c>
      <c r="E4402" s="58">
        <v>9150</v>
      </c>
      <c r="F4402" s="58"/>
      <c r="G4402" s="58">
        <f t="shared" si="72"/>
        <v>-9150</v>
      </c>
      <c r="H4402" s="121" t="s">
        <v>3091</v>
      </c>
    </row>
    <row r="4403" spans="1:8" ht="15" x14ac:dyDescent="0.2">
      <c r="A4403" s="597">
        <v>43134</v>
      </c>
      <c r="B4403" s="41" t="s">
        <v>25</v>
      </c>
      <c r="C4403" s="63" t="s">
        <v>1894</v>
      </c>
      <c r="D4403" s="108" t="s">
        <v>3100</v>
      </c>
      <c r="E4403" s="58">
        <v>4990</v>
      </c>
      <c r="F4403" s="58"/>
      <c r="G4403" s="58">
        <f t="shared" si="72"/>
        <v>-4990</v>
      </c>
      <c r="H4403" s="121" t="s">
        <v>3091</v>
      </c>
    </row>
    <row r="4404" spans="1:8" ht="15" x14ac:dyDescent="0.2">
      <c r="A4404" s="597">
        <v>43137</v>
      </c>
      <c r="B4404" s="41" t="s">
        <v>1400</v>
      </c>
      <c r="C4404" s="63" t="s">
        <v>64</v>
      </c>
      <c r="D4404" s="108" t="s">
        <v>2349</v>
      </c>
      <c r="E4404" s="58">
        <v>9508</v>
      </c>
      <c r="F4404" s="58"/>
      <c r="G4404" s="58">
        <f t="shared" si="72"/>
        <v>-9508</v>
      </c>
      <c r="H4404" s="121" t="s">
        <v>3091</v>
      </c>
    </row>
    <row r="4405" spans="1:8" ht="15" x14ac:dyDescent="0.2">
      <c r="A4405" s="597">
        <v>43137</v>
      </c>
      <c r="B4405" s="41" t="s">
        <v>1400</v>
      </c>
      <c r="C4405" s="63" t="s">
        <v>551</v>
      </c>
      <c r="D4405" s="108" t="s">
        <v>2349</v>
      </c>
      <c r="E4405" s="58">
        <v>40730</v>
      </c>
      <c r="F4405" s="58"/>
      <c r="G4405" s="58">
        <f t="shared" si="72"/>
        <v>-40730</v>
      </c>
      <c r="H4405" s="121" t="s">
        <v>3091</v>
      </c>
    </row>
    <row r="4406" spans="1:8" ht="15" customHeight="1" x14ac:dyDescent="0.2">
      <c r="A4406" s="597">
        <v>43137</v>
      </c>
      <c r="B4406" s="41" t="s">
        <v>25</v>
      </c>
      <c r="C4406" s="63" t="s">
        <v>1894</v>
      </c>
      <c r="D4406" s="108" t="s">
        <v>3101</v>
      </c>
      <c r="E4406" s="58">
        <v>13587</v>
      </c>
      <c r="F4406" s="58"/>
      <c r="G4406" s="58">
        <f t="shared" si="72"/>
        <v>-13587</v>
      </c>
      <c r="H4406" s="121" t="s">
        <v>3091</v>
      </c>
    </row>
    <row r="4407" spans="1:8" ht="24" x14ac:dyDescent="0.2">
      <c r="A4407" s="597">
        <v>43137</v>
      </c>
      <c r="B4407" s="41" t="s">
        <v>1400</v>
      </c>
      <c r="C4407" s="63" t="s">
        <v>64</v>
      </c>
      <c r="D4407" s="129" t="s">
        <v>3102</v>
      </c>
      <c r="E4407" s="58">
        <v>15120</v>
      </c>
      <c r="F4407" s="58"/>
      <c r="G4407" s="58">
        <f t="shared" si="72"/>
        <v>-15120</v>
      </c>
      <c r="H4407" s="121" t="s">
        <v>3091</v>
      </c>
    </row>
    <row r="4408" spans="1:8" ht="15" x14ac:dyDescent="0.2">
      <c r="A4408" s="597">
        <v>43137</v>
      </c>
      <c r="B4408" s="41" t="s">
        <v>2787</v>
      </c>
      <c r="C4408" s="63" t="s">
        <v>3145</v>
      </c>
      <c r="D4408" s="108" t="s">
        <v>72</v>
      </c>
      <c r="E4408" s="58">
        <v>37270</v>
      </c>
      <c r="F4408" s="58"/>
      <c r="G4408" s="58">
        <f t="shared" si="72"/>
        <v>-37270</v>
      </c>
      <c r="H4408" s="121" t="s">
        <v>3091</v>
      </c>
    </row>
    <row r="4409" spans="1:8" ht="15" x14ac:dyDescent="0.2">
      <c r="A4409" s="597">
        <v>43137</v>
      </c>
      <c r="B4409" s="41" t="s">
        <v>2787</v>
      </c>
      <c r="C4409" s="63" t="s">
        <v>3145</v>
      </c>
      <c r="D4409" s="108" t="s">
        <v>3103</v>
      </c>
      <c r="E4409" s="58">
        <v>4100</v>
      </c>
      <c r="F4409" s="58"/>
      <c r="G4409" s="58">
        <f t="shared" si="72"/>
        <v>-4100</v>
      </c>
      <c r="H4409" s="121" t="s">
        <v>3091</v>
      </c>
    </row>
    <row r="4410" spans="1:8" ht="15" x14ac:dyDescent="0.2">
      <c r="A4410" s="597">
        <v>43137</v>
      </c>
      <c r="B4410" s="41" t="s">
        <v>2787</v>
      </c>
      <c r="C4410" s="63" t="s">
        <v>3104</v>
      </c>
      <c r="D4410" s="108" t="s">
        <v>2237</v>
      </c>
      <c r="E4410" s="58">
        <v>20000</v>
      </c>
      <c r="F4410" s="58"/>
      <c r="G4410" s="58">
        <f t="shared" si="72"/>
        <v>-20000</v>
      </c>
      <c r="H4410" s="121" t="s">
        <v>3091</v>
      </c>
    </row>
    <row r="4411" spans="1:8" ht="15" x14ac:dyDescent="0.2">
      <c r="A4411" s="597">
        <v>43137</v>
      </c>
      <c r="B4411" s="222" t="s">
        <v>2787</v>
      </c>
      <c r="C4411" s="223" t="s">
        <v>3149</v>
      </c>
      <c r="D4411" s="806" t="s">
        <v>1410</v>
      </c>
      <c r="E4411" s="247">
        <v>255</v>
      </c>
      <c r="F4411" s="247"/>
      <c r="G4411" s="247">
        <f t="shared" si="72"/>
        <v>-255</v>
      </c>
      <c r="H4411" s="121" t="s">
        <v>3091</v>
      </c>
    </row>
    <row r="4412" spans="1:8" ht="15" x14ac:dyDescent="0.2">
      <c r="A4412" s="597">
        <v>43137</v>
      </c>
      <c r="B4412" s="222" t="s">
        <v>2787</v>
      </c>
      <c r="C4412" s="223" t="s">
        <v>3149</v>
      </c>
      <c r="D4412" s="806" t="s">
        <v>1410</v>
      </c>
      <c r="E4412" s="247">
        <v>910</v>
      </c>
      <c r="F4412" s="247"/>
      <c r="G4412" s="247">
        <f t="shared" si="72"/>
        <v>-910</v>
      </c>
      <c r="H4412" s="121" t="s">
        <v>3091</v>
      </c>
    </row>
    <row r="4413" spans="1:8" ht="15" x14ac:dyDescent="0.2">
      <c r="A4413" s="597">
        <v>43137</v>
      </c>
      <c r="B4413" s="222" t="s">
        <v>2787</v>
      </c>
      <c r="C4413" s="223" t="s">
        <v>3149</v>
      </c>
      <c r="D4413" s="806" t="s">
        <v>1410</v>
      </c>
      <c r="E4413" s="247">
        <v>85</v>
      </c>
      <c r="F4413" s="247"/>
      <c r="G4413" s="247">
        <f t="shared" si="72"/>
        <v>-85</v>
      </c>
      <c r="H4413" s="121" t="s">
        <v>3091</v>
      </c>
    </row>
    <row r="4414" spans="1:8" ht="15" x14ac:dyDescent="0.2">
      <c r="A4414" s="597">
        <v>43139</v>
      </c>
      <c r="B4414" s="222" t="s">
        <v>25</v>
      </c>
      <c r="C4414" s="223" t="s">
        <v>1894</v>
      </c>
      <c r="D4414" s="806" t="s">
        <v>72</v>
      </c>
      <c r="E4414" s="247">
        <v>10200</v>
      </c>
      <c r="F4414" s="247"/>
      <c r="G4414" s="247">
        <f t="shared" si="72"/>
        <v>-10200</v>
      </c>
      <c r="H4414" s="121" t="s">
        <v>3091</v>
      </c>
    </row>
    <row r="4415" spans="1:8" ht="15" x14ac:dyDescent="0.2">
      <c r="A4415" s="597">
        <v>43139</v>
      </c>
      <c r="B4415" s="222" t="s">
        <v>16</v>
      </c>
      <c r="C4415" s="223" t="s">
        <v>3114</v>
      </c>
      <c r="D4415" s="806" t="s">
        <v>3115</v>
      </c>
      <c r="E4415" s="247">
        <v>12500</v>
      </c>
      <c r="F4415" s="247"/>
      <c r="G4415" s="247">
        <f t="shared" si="72"/>
        <v>-12500</v>
      </c>
      <c r="H4415" s="121" t="s">
        <v>3091</v>
      </c>
    </row>
    <row r="4416" spans="1:8" ht="15" x14ac:dyDescent="0.2">
      <c r="A4416" s="597">
        <v>43139</v>
      </c>
      <c r="B4416" s="222" t="s">
        <v>2787</v>
      </c>
      <c r="C4416" s="63" t="s">
        <v>3145</v>
      </c>
      <c r="D4416" s="806" t="s">
        <v>3116</v>
      </c>
      <c r="E4416" s="247">
        <v>5850</v>
      </c>
      <c r="F4416" s="247"/>
      <c r="G4416" s="247">
        <f t="shared" si="72"/>
        <v>-5850</v>
      </c>
      <c r="H4416" s="121" t="s">
        <v>3091</v>
      </c>
    </row>
    <row r="4417" spans="1:8" ht="15" x14ac:dyDescent="0.2">
      <c r="A4417" s="597">
        <v>43139</v>
      </c>
      <c r="B4417" s="222" t="s">
        <v>16</v>
      </c>
      <c r="C4417" s="223" t="s">
        <v>773</v>
      </c>
      <c r="D4417" s="806" t="s">
        <v>3116</v>
      </c>
      <c r="E4417" s="247">
        <v>2480</v>
      </c>
      <c r="F4417" s="247"/>
      <c r="G4417" s="247">
        <f t="shared" si="72"/>
        <v>-2480</v>
      </c>
      <c r="H4417" s="121" t="s">
        <v>3091</v>
      </c>
    </row>
    <row r="4418" spans="1:8" ht="15" x14ac:dyDescent="0.2">
      <c r="A4418" s="597">
        <v>43139</v>
      </c>
      <c r="B4418" s="222" t="s">
        <v>16</v>
      </c>
      <c r="C4418" s="223" t="s">
        <v>2594</v>
      </c>
      <c r="D4418" s="806" t="s">
        <v>3117</v>
      </c>
      <c r="E4418" s="247">
        <v>2000</v>
      </c>
      <c r="F4418" s="247"/>
      <c r="G4418" s="247">
        <f t="shared" si="72"/>
        <v>-2000</v>
      </c>
      <c r="H4418" s="121" t="s">
        <v>3091</v>
      </c>
    </row>
    <row r="4419" spans="1:8" ht="15" x14ac:dyDescent="0.2">
      <c r="A4419" s="597">
        <v>43139</v>
      </c>
      <c r="B4419" s="222" t="s">
        <v>37</v>
      </c>
      <c r="C4419" s="223" t="s">
        <v>2594</v>
      </c>
      <c r="D4419" s="806" t="s">
        <v>2935</v>
      </c>
      <c r="E4419" s="247">
        <v>1000</v>
      </c>
      <c r="F4419" s="247"/>
      <c r="G4419" s="247">
        <f t="shared" si="72"/>
        <v>-1000</v>
      </c>
      <c r="H4419" s="121" t="s">
        <v>3091</v>
      </c>
    </row>
    <row r="4420" spans="1:8" ht="15" x14ac:dyDescent="0.2">
      <c r="A4420" s="597">
        <v>43139</v>
      </c>
      <c r="B4420" s="222" t="s">
        <v>11</v>
      </c>
      <c r="C4420" s="223" t="s">
        <v>2594</v>
      </c>
      <c r="D4420" s="806" t="s">
        <v>3118</v>
      </c>
      <c r="E4420" s="247">
        <v>3500</v>
      </c>
      <c r="F4420" s="247"/>
      <c r="G4420" s="247">
        <f t="shared" si="72"/>
        <v>-3500</v>
      </c>
      <c r="H4420" s="121" t="s">
        <v>3091</v>
      </c>
    </row>
    <row r="4421" spans="1:8" ht="15" x14ac:dyDescent="0.2">
      <c r="A4421" s="597">
        <v>43140</v>
      </c>
      <c r="B4421" s="222" t="s">
        <v>16</v>
      </c>
      <c r="C4421" s="223" t="s">
        <v>2672</v>
      </c>
      <c r="D4421" s="806" t="s">
        <v>3119</v>
      </c>
      <c r="E4421" s="247">
        <v>1700</v>
      </c>
      <c r="F4421" s="247"/>
      <c r="G4421" s="247">
        <f t="shared" si="72"/>
        <v>-1700</v>
      </c>
      <c r="H4421" s="121" t="s">
        <v>3091</v>
      </c>
    </row>
    <row r="4422" spans="1:8" ht="15" x14ac:dyDescent="0.2">
      <c r="A4422" s="597">
        <v>43140</v>
      </c>
      <c r="B4422" s="222" t="s">
        <v>2787</v>
      </c>
      <c r="C4422" s="223" t="s">
        <v>929</v>
      </c>
      <c r="D4422" s="806" t="s">
        <v>370</v>
      </c>
      <c r="E4422" s="247">
        <v>30000</v>
      </c>
      <c r="F4422" s="247"/>
      <c r="G4422" s="247">
        <f t="shared" si="72"/>
        <v>-30000</v>
      </c>
      <c r="H4422" s="121" t="s">
        <v>3091</v>
      </c>
    </row>
    <row r="4423" spans="1:8" ht="15" x14ac:dyDescent="0.2">
      <c r="A4423" s="597">
        <v>43140</v>
      </c>
      <c r="B4423" s="222" t="s">
        <v>2787</v>
      </c>
      <c r="C4423" s="63" t="s">
        <v>3145</v>
      </c>
      <c r="D4423" s="806" t="s">
        <v>388</v>
      </c>
      <c r="E4423" s="247">
        <v>38570</v>
      </c>
      <c r="F4423" s="247"/>
      <c r="G4423" s="247">
        <f t="shared" si="72"/>
        <v>-38570</v>
      </c>
      <c r="H4423" s="121" t="s">
        <v>3091</v>
      </c>
    </row>
    <row r="4424" spans="1:8" ht="15" x14ac:dyDescent="0.2">
      <c r="A4424" s="597">
        <v>43140</v>
      </c>
      <c r="B4424" s="222" t="s">
        <v>11</v>
      </c>
      <c r="C4424" s="223" t="s">
        <v>2473</v>
      </c>
      <c r="D4424" s="806" t="s">
        <v>388</v>
      </c>
      <c r="E4424" s="247">
        <v>2345</v>
      </c>
      <c r="F4424" s="247"/>
      <c r="G4424" s="247">
        <f t="shared" si="72"/>
        <v>-2345</v>
      </c>
      <c r="H4424" s="121" t="s">
        <v>3091</v>
      </c>
    </row>
    <row r="4425" spans="1:8" ht="15" x14ac:dyDescent="0.2">
      <c r="A4425" s="597">
        <v>43140</v>
      </c>
      <c r="B4425" s="222" t="s">
        <v>2787</v>
      </c>
      <c r="C4425" s="223" t="s">
        <v>3149</v>
      </c>
      <c r="D4425" s="806" t="s">
        <v>1410</v>
      </c>
      <c r="E4425" s="247">
        <v>120</v>
      </c>
      <c r="F4425" s="247"/>
      <c r="G4425" s="247">
        <f t="shared" ref="G4425:G4488" si="73">F4425-E4425</f>
        <v>-120</v>
      </c>
      <c r="H4425" s="121" t="s">
        <v>3091</v>
      </c>
    </row>
    <row r="4426" spans="1:8" ht="15" x14ac:dyDescent="0.2">
      <c r="A4426" s="597">
        <v>43140</v>
      </c>
      <c r="B4426" s="222" t="s">
        <v>11</v>
      </c>
      <c r="C4426" s="223" t="s">
        <v>794</v>
      </c>
      <c r="D4426" s="806" t="s">
        <v>267</v>
      </c>
      <c r="E4426" s="247">
        <v>4000</v>
      </c>
      <c r="F4426" s="247"/>
      <c r="G4426" s="247">
        <f t="shared" si="73"/>
        <v>-4000</v>
      </c>
      <c r="H4426" s="121" t="s">
        <v>3091</v>
      </c>
    </row>
    <row r="4427" spans="1:8" ht="15" x14ac:dyDescent="0.2">
      <c r="A4427" s="597">
        <v>43141</v>
      </c>
      <c r="B4427" s="222" t="s">
        <v>2787</v>
      </c>
      <c r="C4427" s="223" t="s">
        <v>3123</v>
      </c>
      <c r="D4427" s="806" t="s">
        <v>370</v>
      </c>
      <c r="E4427" s="247">
        <v>20000</v>
      </c>
      <c r="F4427" s="247"/>
      <c r="G4427" s="247">
        <f t="shared" si="73"/>
        <v>-20000</v>
      </c>
      <c r="H4427" s="121" t="s">
        <v>3091</v>
      </c>
    </row>
    <row r="4428" spans="1:8" ht="15" customHeight="1" x14ac:dyDescent="0.2">
      <c r="A4428" s="597">
        <v>43141</v>
      </c>
      <c r="B4428" s="222" t="s">
        <v>40</v>
      </c>
      <c r="C4428" s="223" t="s">
        <v>3104</v>
      </c>
      <c r="D4428" s="806" t="s">
        <v>2995</v>
      </c>
      <c r="E4428" s="247">
        <v>10000</v>
      </c>
      <c r="F4428" s="247"/>
      <c r="G4428" s="247">
        <f t="shared" si="73"/>
        <v>-10000</v>
      </c>
      <c r="H4428" s="121" t="s">
        <v>3091</v>
      </c>
    </row>
    <row r="4429" spans="1:8" ht="15" x14ac:dyDescent="0.2">
      <c r="A4429" s="597">
        <v>43141</v>
      </c>
      <c r="B4429" s="222" t="s">
        <v>11</v>
      </c>
      <c r="C4429" s="223" t="s">
        <v>290</v>
      </c>
      <c r="D4429" s="806" t="s">
        <v>72</v>
      </c>
      <c r="E4429" s="247">
        <v>2860</v>
      </c>
      <c r="F4429" s="247"/>
      <c r="G4429" s="247">
        <f t="shared" si="73"/>
        <v>-2860</v>
      </c>
      <c r="H4429" s="121" t="s">
        <v>3091</v>
      </c>
    </row>
    <row r="4430" spans="1:8" ht="15" x14ac:dyDescent="0.2">
      <c r="A4430" s="597">
        <v>43141</v>
      </c>
      <c r="B4430" s="222" t="s">
        <v>14</v>
      </c>
      <c r="C4430" s="223" t="s">
        <v>290</v>
      </c>
      <c r="D4430" s="806" t="s">
        <v>3127</v>
      </c>
      <c r="E4430" s="247">
        <v>2818</v>
      </c>
      <c r="F4430" s="247"/>
      <c r="G4430" s="247">
        <f t="shared" si="73"/>
        <v>-2818</v>
      </c>
      <c r="H4430" s="121" t="s">
        <v>3091</v>
      </c>
    </row>
    <row r="4431" spans="1:8" ht="15" x14ac:dyDescent="0.2">
      <c r="A4431" s="597">
        <v>43141</v>
      </c>
      <c r="B4431" s="222" t="s">
        <v>18</v>
      </c>
      <c r="C4431" s="222" t="s">
        <v>3136</v>
      </c>
      <c r="D4431" s="806" t="s">
        <v>370</v>
      </c>
      <c r="E4431" s="247">
        <v>2000</v>
      </c>
      <c r="F4431" s="247"/>
      <c r="G4431" s="247">
        <f t="shared" si="73"/>
        <v>-2000</v>
      </c>
      <c r="H4431" s="121" t="s">
        <v>3091</v>
      </c>
    </row>
    <row r="4432" spans="1:8" ht="15" x14ac:dyDescent="0.2">
      <c r="A4432" s="597">
        <v>43141</v>
      </c>
      <c r="B4432" s="222" t="s">
        <v>2933</v>
      </c>
      <c r="C4432" s="223" t="s">
        <v>3145</v>
      </c>
      <c r="D4432" s="806" t="s">
        <v>3147</v>
      </c>
      <c r="E4432" s="247">
        <v>10900</v>
      </c>
      <c r="F4432" s="247"/>
      <c r="G4432" s="247">
        <f t="shared" si="73"/>
        <v>-10900</v>
      </c>
      <c r="H4432" s="121" t="s">
        <v>3091</v>
      </c>
    </row>
    <row r="4433" spans="1:8" ht="15" x14ac:dyDescent="0.2">
      <c r="A4433" s="597">
        <v>43141</v>
      </c>
      <c r="B4433" s="222" t="s">
        <v>2787</v>
      </c>
      <c r="C4433" s="63" t="s">
        <v>286</v>
      </c>
      <c r="D4433" s="806" t="s">
        <v>3170</v>
      </c>
      <c r="E4433" s="247">
        <v>3000</v>
      </c>
      <c r="F4433" s="247"/>
      <c r="G4433" s="247">
        <f t="shared" si="73"/>
        <v>-3000</v>
      </c>
      <c r="H4433" s="121" t="s">
        <v>3091</v>
      </c>
    </row>
    <row r="4434" spans="1:8" ht="15" x14ac:dyDescent="0.2">
      <c r="A4434" s="597">
        <v>43141</v>
      </c>
      <c r="B4434" s="222" t="s">
        <v>16</v>
      </c>
      <c r="C4434" s="223" t="s">
        <v>2594</v>
      </c>
      <c r="D4434" s="806" t="s">
        <v>72</v>
      </c>
      <c r="E4434" s="247">
        <v>5700</v>
      </c>
      <c r="F4434" s="247"/>
      <c r="G4434" s="247">
        <f t="shared" si="73"/>
        <v>-5700</v>
      </c>
      <c r="H4434" s="121" t="s">
        <v>3091</v>
      </c>
    </row>
    <row r="4435" spans="1:8" ht="15" x14ac:dyDescent="0.2">
      <c r="A4435" s="597">
        <v>43141</v>
      </c>
      <c r="B4435" s="222" t="s">
        <v>18</v>
      </c>
      <c r="C4435" s="223" t="s">
        <v>2594</v>
      </c>
      <c r="D4435" s="806" t="s">
        <v>3129</v>
      </c>
      <c r="E4435" s="247">
        <v>23000</v>
      </c>
      <c r="F4435" s="247"/>
      <c r="G4435" s="247">
        <f t="shared" si="73"/>
        <v>-23000</v>
      </c>
      <c r="H4435" s="121" t="s">
        <v>3091</v>
      </c>
    </row>
    <row r="4436" spans="1:8" ht="15" x14ac:dyDescent="0.2">
      <c r="A4436" s="597">
        <v>43143</v>
      </c>
      <c r="B4436" s="222" t="s">
        <v>2787</v>
      </c>
      <c r="C4436" s="223" t="s">
        <v>3145</v>
      </c>
      <c r="D4436" s="806" t="s">
        <v>3130</v>
      </c>
      <c r="E4436" s="247">
        <v>43460</v>
      </c>
      <c r="F4436" s="247"/>
      <c r="G4436" s="247">
        <f t="shared" si="73"/>
        <v>-43460</v>
      </c>
      <c r="H4436" s="121" t="s">
        <v>3091</v>
      </c>
    </row>
    <row r="4437" spans="1:8" ht="15" x14ac:dyDescent="0.2">
      <c r="A4437" s="597">
        <v>43143</v>
      </c>
      <c r="B4437" s="222" t="s">
        <v>2787</v>
      </c>
      <c r="C4437" s="223" t="s">
        <v>3145</v>
      </c>
      <c r="D4437" s="806" t="s">
        <v>3095</v>
      </c>
      <c r="E4437" s="247">
        <v>5600</v>
      </c>
      <c r="F4437" s="247"/>
      <c r="G4437" s="247">
        <f t="shared" si="73"/>
        <v>-5600</v>
      </c>
      <c r="H4437" s="121" t="s">
        <v>3091</v>
      </c>
    </row>
    <row r="4438" spans="1:8" ht="15" x14ac:dyDescent="0.2">
      <c r="A4438" s="597">
        <v>43143</v>
      </c>
      <c r="B4438" s="222" t="s">
        <v>2787</v>
      </c>
      <c r="C4438" s="223" t="s">
        <v>3145</v>
      </c>
      <c r="D4438" s="806" t="s">
        <v>3095</v>
      </c>
      <c r="E4438" s="247">
        <v>23600</v>
      </c>
      <c r="F4438" s="247"/>
      <c r="G4438" s="247">
        <f t="shared" si="73"/>
        <v>-23600</v>
      </c>
      <c r="H4438" s="121" t="s">
        <v>3091</v>
      </c>
    </row>
    <row r="4439" spans="1:8" ht="15" x14ac:dyDescent="0.2">
      <c r="A4439" s="597">
        <v>43143</v>
      </c>
      <c r="B4439" s="222" t="s">
        <v>11</v>
      </c>
      <c r="C4439" s="223" t="s">
        <v>290</v>
      </c>
      <c r="D4439" s="806" t="s">
        <v>270</v>
      </c>
      <c r="E4439" s="247">
        <v>700</v>
      </c>
      <c r="F4439" s="247"/>
      <c r="G4439" s="247">
        <f t="shared" si="73"/>
        <v>-700</v>
      </c>
      <c r="H4439" s="121" t="s">
        <v>3091</v>
      </c>
    </row>
    <row r="4440" spans="1:8" ht="15" customHeight="1" x14ac:dyDescent="0.2">
      <c r="A4440" s="597">
        <v>43143</v>
      </c>
      <c r="B4440" s="222" t="s">
        <v>25</v>
      </c>
      <c r="C4440" s="223" t="s">
        <v>2978</v>
      </c>
      <c r="D4440" s="806" t="s">
        <v>3133</v>
      </c>
      <c r="E4440" s="247">
        <v>3000</v>
      </c>
      <c r="F4440" s="247"/>
      <c r="G4440" s="247">
        <f t="shared" si="73"/>
        <v>-3000</v>
      </c>
      <c r="H4440" s="121" t="s">
        <v>3091</v>
      </c>
    </row>
    <row r="4441" spans="1:8" ht="15" customHeight="1" x14ac:dyDescent="0.2">
      <c r="A4441" s="597">
        <v>43144</v>
      </c>
      <c r="B4441" s="222" t="s">
        <v>2787</v>
      </c>
      <c r="C4441" s="223" t="s">
        <v>3145</v>
      </c>
      <c r="D4441" s="806" t="s">
        <v>3134</v>
      </c>
      <c r="E4441" s="247">
        <v>50480</v>
      </c>
      <c r="F4441" s="247"/>
      <c r="G4441" s="247">
        <f t="shared" si="73"/>
        <v>-50480</v>
      </c>
      <c r="H4441" s="121" t="s">
        <v>3091</v>
      </c>
    </row>
    <row r="4442" spans="1:8" ht="15" x14ac:dyDescent="0.2">
      <c r="A4442" s="597">
        <v>43144</v>
      </c>
      <c r="B4442" s="222" t="s">
        <v>1400</v>
      </c>
      <c r="C4442" s="223" t="s">
        <v>2338</v>
      </c>
      <c r="D4442" s="806" t="s">
        <v>3135</v>
      </c>
      <c r="E4442" s="247">
        <v>30000</v>
      </c>
      <c r="F4442" s="247"/>
      <c r="G4442" s="247">
        <f t="shared" si="73"/>
        <v>-30000</v>
      </c>
      <c r="H4442" s="121" t="s">
        <v>3091</v>
      </c>
    </row>
    <row r="4443" spans="1:8" ht="15" customHeight="1" x14ac:dyDescent="0.2">
      <c r="A4443" s="597">
        <v>43144</v>
      </c>
      <c r="B4443" s="222" t="s">
        <v>18</v>
      </c>
      <c r="C4443" s="222" t="s">
        <v>3136</v>
      </c>
      <c r="D4443" s="806" t="s">
        <v>370</v>
      </c>
      <c r="E4443" s="247">
        <v>5000</v>
      </c>
      <c r="F4443" s="247"/>
      <c r="G4443" s="247">
        <f t="shared" si="73"/>
        <v>-5000</v>
      </c>
      <c r="H4443" s="121" t="s">
        <v>3091</v>
      </c>
    </row>
    <row r="4444" spans="1:8" ht="15" customHeight="1" x14ac:dyDescent="0.2">
      <c r="A4444" s="597">
        <v>43144</v>
      </c>
      <c r="B4444" s="222" t="s">
        <v>2787</v>
      </c>
      <c r="C4444" s="223" t="s">
        <v>929</v>
      </c>
      <c r="D4444" s="806" t="s">
        <v>370</v>
      </c>
      <c r="E4444" s="247">
        <v>88800</v>
      </c>
      <c r="F4444" s="247"/>
      <c r="G4444" s="247">
        <f t="shared" si="73"/>
        <v>-88800</v>
      </c>
      <c r="H4444" s="121" t="s">
        <v>3091</v>
      </c>
    </row>
    <row r="4445" spans="1:8" ht="15" x14ac:dyDescent="0.2">
      <c r="A4445" s="597">
        <v>43144</v>
      </c>
      <c r="B4445" s="222" t="s">
        <v>11</v>
      </c>
      <c r="C4445" s="223" t="s">
        <v>111</v>
      </c>
      <c r="D4445" s="806" t="s">
        <v>89</v>
      </c>
      <c r="E4445" s="247">
        <v>7125</v>
      </c>
      <c r="F4445" s="247"/>
      <c r="G4445" s="247">
        <f t="shared" si="73"/>
        <v>-7125</v>
      </c>
      <c r="H4445" s="121" t="s">
        <v>3091</v>
      </c>
    </row>
    <row r="4446" spans="1:8" ht="15" x14ac:dyDescent="0.2">
      <c r="A4446" s="597">
        <v>43145</v>
      </c>
      <c r="B4446" s="222" t="s">
        <v>2933</v>
      </c>
      <c r="C4446" s="223" t="s">
        <v>3145</v>
      </c>
      <c r="D4446" s="806" t="s">
        <v>3215</v>
      </c>
      <c r="E4446" s="247">
        <v>8500</v>
      </c>
      <c r="F4446" s="247"/>
      <c r="G4446" s="247">
        <f t="shared" si="73"/>
        <v>-8500</v>
      </c>
      <c r="H4446" s="121" t="s">
        <v>3091</v>
      </c>
    </row>
    <row r="4447" spans="1:8" ht="15" x14ac:dyDescent="0.2">
      <c r="A4447" s="597">
        <v>43146</v>
      </c>
      <c r="B4447" s="222" t="s">
        <v>16</v>
      </c>
      <c r="C4447" s="223"/>
      <c r="D4447" s="806" t="s">
        <v>370</v>
      </c>
      <c r="E4447" s="247">
        <v>300</v>
      </c>
      <c r="F4447" s="247"/>
      <c r="G4447" s="247">
        <f t="shared" si="73"/>
        <v>-300</v>
      </c>
      <c r="H4447" s="121" t="s">
        <v>3091</v>
      </c>
    </row>
    <row r="4448" spans="1:8" ht="15" x14ac:dyDescent="0.2">
      <c r="A4448" s="597">
        <v>43146</v>
      </c>
      <c r="B4448" s="222" t="s">
        <v>2787</v>
      </c>
      <c r="C4448" s="223" t="s">
        <v>3145</v>
      </c>
      <c r="D4448" s="806" t="s">
        <v>3217</v>
      </c>
      <c r="E4448" s="247">
        <v>5696</v>
      </c>
      <c r="F4448" s="247"/>
      <c r="G4448" s="247">
        <f t="shared" si="73"/>
        <v>-5696</v>
      </c>
      <c r="H4448" s="121" t="s">
        <v>3091</v>
      </c>
    </row>
    <row r="4449" spans="1:8" ht="15" x14ac:dyDescent="0.2">
      <c r="A4449" s="597">
        <v>43146</v>
      </c>
      <c r="B4449" s="222" t="s">
        <v>2933</v>
      </c>
      <c r="C4449" s="223" t="s">
        <v>3145</v>
      </c>
      <c r="D4449" s="806" t="s">
        <v>3218</v>
      </c>
      <c r="E4449" s="247">
        <v>10000</v>
      </c>
      <c r="F4449" s="247"/>
      <c r="G4449" s="247">
        <f t="shared" si="73"/>
        <v>-10000</v>
      </c>
      <c r="H4449" s="121" t="s">
        <v>3091</v>
      </c>
    </row>
    <row r="4450" spans="1:8" ht="15" x14ac:dyDescent="0.2">
      <c r="A4450" s="597">
        <v>43147</v>
      </c>
      <c r="B4450" s="222" t="s">
        <v>2787</v>
      </c>
      <c r="C4450" s="223" t="s">
        <v>3145</v>
      </c>
      <c r="D4450" s="806" t="s">
        <v>3219</v>
      </c>
      <c r="E4450" s="247">
        <v>42737</v>
      </c>
      <c r="F4450" s="247"/>
      <c r="G4450" s="247">
        <f t="shared" si="73"/>
        <v>-42737</v>
      </c>
      <c r="H4450" s="121" t="s">
        <v>3091</v>
      </c>
    </row>
    <row r="4451" spans="1:8" ht="15" x14ac:dyDescent="0.2">
      <c r="A4451" s="597">
        <v>43147</v>
      </c>
      <c r="B4451" s="222" t="s">
        <v>16</v>
      </c>
      <c r="C4451" s="223" t="s">
        <v>2473</v>
      </c>
      <c r="D4451" s="806" t="s">
        <v>3220</v>
      </c>
      <c r="E4451" s="247">
        <v>2300</v>
      </c>
      <c r="F4451" s="247"/>
      <c r="G4451" s="247">
        <f t="shared" si="73"/>
        <v>-2300</v>
      </c>
      <c r="H4451" s="121" t="s">
        <v>3091</v>
      </c>
    </row>
    <row r="4452" spans="1:8" ht="15" x14ac:dyDescent="0.2">
      <c r="A4452" s="597">
        <v>43147</v>
      </c>
      <c r="B4452" s="222" t="s">
        <v>2787</v>
      </c>
      <c r="C4452" s="223" t="s">
        <v>286</v>
      </c>
      <c r="D4452" s="806" t="s">
        <v>3221</v>
      </c>
      <c r="E4452" s="247">
        <v>2500</v>
      </c>
      <c r="F4452" s="247"/>
      <c r="G4452" s="247">
        <f t="shared" si="73"/>
        <v>-2500</v>
      </c>
      <c r="H4452" s="121" t="s">
        <v>3091</v>
      </c>
    </row>
    <row r="4453" spans="1:8" ht="15" x14ac:dyDescent="0.2">
      <c r="A4453" s="597">
        <v>43147</v>
      </c>
      <c r="B4453" s="222" t="s">
        <v>16</v>
      </c>
      <c r="C4453" s="223" t="s">
        <v>309</v>
      </c>
      <c r="D4453" s="806" t="s">
        <v>3222</v>
      </c>
      <c r="E4453" s="247">
        <v>2460</v>
      </c>
      <c r="F4453" s="247"/>
      <c r="G4453" s="247">
        <f t="shared" si="73"/>
        <v>-2460</v>
      </c>
      <c r="H4453" s="121" t="s">
        <v>3091</v>
      </c>
    </row>
    <row r="4454" spans="1:8" ht="15" x14ac:dyDescent="0.2">
      <c r="A4454" s="597">
        <v>43148</v>
      </c>
      <c r="B4454" s="222" t="s">
        <v>2787</v>
      </c>
      <c r="C4454" s="223" t="s">
        <v>3145</v>
      </c>
      <c r="D4454" s="806" t="s">
        <v>3223</v>
      </c>
      <c r="E4454" s="247">
        <v>21860</v>
      </c>
      <c r="F4454" s="247"/>
      <c r="G4454" s="247">
        <f t="shared" si="73"/>
        <v>-21860</v>
      </c>
      <c r="H4454" s="121" t="s">
        <v>3091</v>
      </c>
    </row>
    <row r="4455" spans="1:8" ht="15" x14ac:dyDescent="0.2">
      <c r="A4455" s="597">
        <v>43148</v>
      </c>
      <c r="B4455" s="222" t="s">
        <v>2787</v>
      </c>
      <c r="C4455" s="223" t="s">
        <v>286</v>
      </c>
      <c r="D4455" s="806" t="s">
        <v>3224</v>
      </c>
      <c r="E4455" s="247">
        <v>5000</v>
      </c>
      <c r="F4455" s="247"/>
      <c r="G4455" s="247">
        <f t="shared" si="73"/>
        <v>-5000</v>
      </c>
      <c r="H4455" s="121" t="s">
        <v>3091</v>
      </c>
    </row>
    <row r="4456" spans="1:8" ht="15" x14ac:dyDescent="0.2">
      <c r="A4456" s="597">
        <v>43150</v>
      </c>
      <c r="B4456" s="222" t="s">
        <v>2787</v>
      </c>
      <c r="C4456" s="223" t="s">
        <v>3145</v>
      </c>
      <c r="D4456" s="806" t="s">
        <v>3225</v>
      </c>
      <c r="E4456" s="247">
        <v>11040</v>
      </c>
      <c r="F4456" s="247"/>
      <c r="G4456" s="247">
        <f t="shared" si="73"/>
        <v>-11040</v>
      </c>
      <c r="H4456" s="121" t="s">
        <v>3091</v>
      </c>
    </row>
    <row r="4457" spans="1:8" ht="15" x14ac:dyDescent="0.2">
      <c r="A4457" s="597">
        <v>43151</v>
      </c>
      <c r="B4457" s="222" t="s">
        <v>2933</v>
      </c>
      <c r="C4457" s="223" t="s">
        <v>3145</v>
      </c>
      <c r="D4457" s="806" t="s">
        <v>2153</v>
      </c>
      <c r="E4457" s="247">
        <v>25750</v>
      </c>
      <c r="F4457" s="247"/>
      <c r="G4457" s="247">
        <f t="shared" si="73"/>
        <v>-25750</v>
      </c>
      <c r="H4457" s="121" t="s">
        <v>3091</v>
      </c>
    </row>
    <row r="4458" spans="1:8" ht="15" x14ac:dyDescent="0.2">
      <c r="A4458" s="597">
        <v>43151</v>
      </c>
      <c r="B4458" s="222" t="s">
        <v>2933</v>
      </c>
      <c r="C4458" s="223" t="s">
        <v>3145</v>
      </c>
      <c r="D4458" s="806" t="s">
        <v>3237</v>
      </c>
      <c r="E4458" s="247">
        <v>13000</v>
      </c>
      <c r="F4458" s="247"/>
      <c r="G4458" s="247">
        <f t="shared" si="73"/>
        <v>-13000</v>
      </c>
      <c r="H4458" s="121" t="s">
        <v>3091</v>
      </c>
    </row>
    <row r="4459" spans="1:8" ht="15" x14ac:dyDescent="0.2">
      <c r="A4459" s="597">
        <v>43152</v>
      </c>
      <c r="B4459" s="222" t="s">
        <v>1400</v>
      </c>
      <c r="C4459" s="223" t="s">
        <v>3145</v>
      </c>
      <c r="D4459" s="806" t="s">
        <v>3238</v>
      </c>
      <c r="E4459" s="247">
        <v>75645</v>
      </c>
      <c r="F4459" s="247"/>
      <c r="G4459" s="247">
        <f t="shared" si="73"/>
        <v>-75645</v>
      </c>
      <c r="H4459" s="121" t="s">
        <v>3091</v>
      </c>
    </row>
    <row r="4460" spans="1:8" ht="15" x14ac:dyDescent="0.2">
      <c r="A4460" s="597">
        <v>43152</v>
      </c>
      <c r="B4460" s="222" t="s">
        <v>2787</v>
      </c>
      <c r="C4460" s="223" t="s">
        <v>3145</v>
      </c>
      <c r="D4460" s="806" t="s">
        <v>3239</v>
      </c>
      <c r="E4460" s="247">
        <v>10200</v>
      </c>
      <c r="F4460" s="247"/>
      <c r="G4460" s="247">
        <f t="shared" si="73"/>
        <v>-10200</v>
      </c>
      <c r="H4460" s="121" t="s">
        <v>3091</v>
      </c>
    </row>
    <row r="4461" spans="1:8" ht="15" x14ac:dyDescent="0.2">
      <c r="A4461" s="597">
        <v>43152</v>
      </c>
      <c r="B4461" s="222" t="s">
        <v>2787</v>
      </c>
      <c r="C4461" s="223" t="s">
        <v>3145</v>
      </c>
      <c r="D4461" s="806" t="s">
        <v>3240</v>
      </c>
      <c r="E4461" s="247">
        <v>5320</v>
      </c>
      <c r="F4461" s="247"/>
      <c r="G4461" s="247">
        <f t="shared" si="73"/>
        <v>-5320</v>
      </c>
      <c r="H4461" s="121" t="s">
        <v>3091</v>
      </c>
    </row>
    <row r="4462" spans="1:8" ht="24" x14ac:dyDescent="0.2">
      <c r="A4462" s="597">
        <v>43152</v>
      </c>
      <c r="B4462" s="222" t="s">
        <v>1400</v>
      </c>
      <c r="C4462" s="223" t="s">
        <v>3145</v>
      </c>
      <c r="D4462" s="805" t="s">
        <v>3241</v>
      </c>
      <c r="E4462" s="247">
        <v>12090</v>
      </c>
      <c r="F4462" s="247"/>
      <c r="G4462" s="247">
        <f t="shared" si="73"/>
        <v>-12090</v>
      </c>
      <c r="H4462" s="121" t="s">
        <v>3091</v>
      </c>
    </row>
    <row r="4463" spans="1:8" ht="15" x14ac:dyDescent="0.2">
      <c r="A4463" s="597">
        <v>43153</v>
      </c>
      <c r="B4463" s="222" t="s">
        <v>2787</v>
      </c>
      <c r="C4463" s="223" t="s">
        <v>3145</v>
      </c>
      <c r="D4463" s="805" t="s">
        <v>3242</v>
      </c>
      <c r="E4463" s="247">
        <v>35370</v>
      </c>
      <c r="F4463" s="247"/>
      <c r="G4463" s="247">
        <f t="shared" si="73"/>
        <v>-35370</v>
      </c>
      <c r="H4463" s="121" t="s">
        <v>3091</v>
      </c>
    </row>
    <row r="4464" spans="1:8" ht="15" x14ac:dyDescent="0.2">
      <c r="A4464" s="597">
        <v>43153</v>
      </c>
      <c r="B4464" s="222" t="s">
        <v>2787</v>
      </c>
      <c r="C4464" s="223" t="s">
        <v>3145</v>
      </c>
      <c r="D4464" s="805" t="s">
        <v>3243</v>
      </c>
      <c r="E4464" s="247">
        <v>13117</v>
      </c>
      <c r="F4464" s="247"/>
      <c r="G4464" s="247">
        <f t="shared" si="73"/>
        <v>-13117</v>
      </c>
      <c r="H4464" s="121" t="s">
        <v>3091</v>
      </c>
    </row>
    <row r="4465" spans="1:8" ht="15" x14ac:dyDescent="0.2">
      <c r="A4465" s="597">
        <v>43153</v>
      </c>
      <c r="B4465" s="222" t="s">
        <v>2787</v>
      </c>
      <c r="C4465" s="223" t="s">
        <v>3149</v>
      </c>
      <c r="D4465" s="805" t="s">
        <v>3244</v>
      </c>
      <c r="E4465" s="247">
        <v>185</v>
      </c>
      <c r="F4465" s="247"/>
      <c r="G4465" s="247">
        <f t="shared" si="73"/>
        <v>-185</v>
      </c>
      <c r="H4465" s="121" t="s">
        <v>3091</v>
      </c>
    </row>
    <row r="4466" spans="1:8" ht="15" x14ac:dyDescent="0.2">
      <c r="A4466" s="597">
        <v>43153</v>
      </c>
      <c r="B4466" s="222" t="s">
        <v>1400</v>
      </c>
      <c r="C4466" s="223" t="s">
        <v>3145</v>
      </c>
      <c r="D4466" s="805" t="s">
        <v>3245</v>
      </c>
      <c r="E4466" s="247">
        <v>2000</v>
      </c>
      <c r="F4466" s="247"/>
      <c r="G4466" s="247">
        <f t="shared" si="73"/>
        <v>-2000</v>
      </c>
      <c r="H4466" s="121" t="s">
        <v>3091</v>
      </c>
    </row>
    <row r="4467" spans="1:8" ht="15" x14ac:dyDescent="0.2">
      <c r="A4467" s="597">
        <v>43153</v>
      </c>
      <c r="B4467" s="222" t="s">
        <v>40</v>
      </c>
      <c r="C4467" s="223" t="s">
        <v>3145</v>
      </c>
      <c r="D4467" s="805" t="s">
        <v>3246</v>
      </c>
      <c r="E4467" s="247">
        <v>7835</v>
      </c>
      <c r="F4467" s="247"/>
      <c r="G4467" s="247">
        <f t="shared" si="73"/>
        <v>-7835</v>
      </c>
      <c r="H4467" s="121" t="s">
        <v>3091</v>
      </c>
    </row>
    <row r="4468" spans="1:8" ht="15" x14ac:dyDescent="0.2">
      <c r="A4468" s="597">
        <v>43153</v>
      </c>
      <c r="B4468" s="222" t="s">
        <v>25</v>
      </c>
      <c r="C4468" s="223" t="s">
        <v>2978</v>
      </c>
      <c r="D4468" s="805" t="s">
        <v>3247</v>
      </c>
      <c r="E4468" s="247">
        <v>1500</v>
      </c>
      <c r="F4468" s="247"/>
      <c r="G4468" s="247">
        <f t="shared" si="73"/>
        <v>-1500</v>
      </c>
      <c r="H4468" s="121" t="s">
        <v>3091</v>
      </c>
    </row>
    <row r="4469" spans="1:8" ht="15" x14ac:dyDescent="0.2">
      <c r="A4469" s="597">
        <v>43155</v>
      </c>
      <c r="B4469" s="222" t="s">
        <v>18</v>
      </c>
      <c r="C4469" s="223" t="s">
        <v>3145</v>
      </c>
      <c r="D4469" s="805" t="s">
        <v>3248</v>
      </c>
      <c r="E4469" s="247">
        <v>2010</v>
      </c>
      <c r="F4469" s="247"/>
      <c r="G4469" s="247">
        <f t="shared" si="73"/>
        <v>-2010</v>
      </c>
      <c r="H4469" s="121" t="s">
        <v>3091</v>
      </c>
    </row>
    <row r="4470" spans="1:8" ht="15" x14ac:dyDescent="0.2">
      <c r="A4470" s="597">
        <v>43155</v>
      </c>
      <c r="B4470" s="222" t="s">
        <v>16</v>
      </c>
      <c r="C4470" s="223" t="s">
        <v>3145</v>
      </c>
      <c r="D4470" s="805" t="s">
        <v>3248</v>
      </c>
      <c r="E4470" s="247">
        <v>1120</v>
      </c>
      <c r="F4470" s="247"/>
      <c r="G4470" s="247">
        <f t="shared" si="73"/>
        <v>-1120</v>
      </c>
      <c r="H4470" s="121" t="s">
        <v>3091</v>
      </c>
    </row>
    <row r="4471" spans="1:8" ht="15" x14ac:dyDescent="0.2">
      <c r="A4471" s="597">
        <v>43155</v>
      </c>
      <c r="B4471" s="222" t="s">
        <v>40</v>
      </c>
      <c r="C4471" s="223" t="s">
        <v>3145</v>
      </c>
      <c r="D4471" s="805" t="s">
        <v>3249</v>
      </c>
      <c r="E4471" s="247">
        <v>7850</v>
      </c>
      <c r="F4471" s="247"/>
      <c r="G4471" s="247">
        <f t="shared" si="73"/>
        <v>-7850</v>
      </c>
      <c r="H4471" s="121" t="s">
        <v>3091</v>
      </c>
    </row>
    <row r="4472" spans="1:8" ht="15" x14ac:dyDescent="0.2">
      <c r="A4472" s="597">
        <v>43155</v>
      </c>
      <c r="B4472" s="222" t="s">
        <v>2787</v>
      </c>
      <c r="C4472" s="223" t="s">
        <v>3145</v>
      </c>
      <c r="D4472" s="805" t="s">
        <v>3250</v>
      </c>
      <c r="E4472" s="247">
        <v>37405</v>
      </c>
      <c r="F4472" s="247"/>
      <c r="G4472" s="247">
        <f t="shared" si="73"/>
        <v>-37405</v>
      </c>
      <c r="H4472" s="121" t="s">
        <v>3091</v>
      </c>
    </row>
    <row r="4473" spans="1:8" ht="15" x14ac:dyDescent="0.2">
      <c r="A4473" s="597">
        <v>43155</v>
      </c>
      <c r="B4473" s="222" t="s">
        <v>2657</v>
      </c>
      <c r="C4473" s="223" t="s">
        <v>3145</v>
      </c>
      <c r="D4473" s="805" t="s">
        <v>3251</v>
      </c>
      <c r="E4473" s="247">
        <v>55615</v>
      </c>
      <c r="F4473" s="247"/>
      <c r="G4473" s="247">
        <f t="shared" si="73"/>
        <v>-55615</v>
      </c>
      <c r="H4473" s="121" t="s">
        <v>3091</v>
      </c>
    </row>
    <row r="4474" spans="1:8" ht="15" x14ac:dyDescent="0.2">
      <c r="A4474" s="597">
        <v>43155</v>
      </c>
      <c r="B4474" s="222" t="s">
        <v>2787</v>
      </c>
      <c r="C4474" s="223" t="s">
        <v>3149</v>
      </c>
      <c r="D4474" s="805" t="s">
        <v>3252</v>
      </c>
      <c r="E4474" s="247">
        <v>1275</v>
      </c>
      <c r="F4474" s="247"/>
      <c r="G4474" s="247">
        <f t="shared" si="73"/>
        <v>-1275</v>
      </c>
      <c r="H4474" s="121" t="s">
        <v>3091</v>
      </c>
    </row>
    <row r="4475" spans="1:8" ht="15" x14ac:dyDescent="0.2">
      <c r="A4475" s="597">
        <v>43157</v>
      </c>
      <c r="B4475" s="222" t="s">
        <v>2787</v>
      </c>
      <c r="C4475" s="223" t="s">
        <v>1875</v>
      </c>
      <c r="D4475" s="805" t="s">
        <v>370</v>
      </c>
      <c r="E4475" s="247">
        <v>5000</v>
      </c>
      <c r="F4475" s="247"/>
      <c r="G4475" s="247">
        <f t="shared" si="73"/>
        <v>-5000</v>
      </c>
      <c r="H4475" s="121" t="s">
        <v>3091</v>
      </c>
    </row>
    <row r="4476" spans="1:8" ht="15" customHeight="1" x14ac:dyDescent="0.2">
      <c r="A4476" s="597">
        <v>43157</v>
      </c>
      <c r="B4476" s="222" t="s">
        <v>25</v>
      </c>
      <c r="C4476" s="223" t="s">
        <v>1894</v>
      </c>
      <c r="D4476" s="805" t="s">
        <v>1974</v>
      </c>
      <c r="E4476" s="247">
        <v>25500</v>
      </c>
      <c r="F4476" s="247"/>
      <c r="G4476" s="247">
        <f t="shared" si="73"/>
        <v>-25500</v>
      </c>
      <c r="H4476" s="121" t="s">
        <v>3091</v>
      </c>
    </row>
    <row r="4477" spans="1:8" ht="15" customHeight="1" x14ac:dyDescent="0.2">
      <c r="A4477" s="597">
        <v>43157</v>
      </c>
      <c r="B4477" s="222" t="s">
        <v>2787</v>
      </c>
      <c r="C4477" s="223" t="s">
        <v>3149</v>
      </c>
      <c r="D4477" s="805" t="s">
        <v>3253</v>
      </c>
      <c r="E4477" s="247">
        <v>720</v>
      </c>
      <c r="F4477" s="247"/>
      <c r="G4477" s="247">
        <f t="shared" si="73"/>
        <v>-720</v>
      </c>
      <c r="H4477" s="121" t="s">
        <v>3091</v>
      </c>
    </row>
    <row r="4478" spans="1:8" ht="15" x14ac:dyDescent="0.2">
      <c r="A4478" s="597">
        <v>43158</v>
      </c>
      <c r="B4478" s="222" t="s">
        <v>2787</v>
      </c>
      <c r="C4478" s="223" t="s">
        <v>3145</v>
      </c>
      <c r="D4478" s="805" t="s">
        <v>3254</v>
      </c>
      <c r="E4478" s="247">
        <v>5000</v>
      </c>
      <c r="F4478" s="247"/>
      <c r="G4478" s="247">
        <f t="shared" si="73"/>
        <v>-5000</v>
      </c>
      <c r="H4478" s="121" t="s">
        <v>3091</v>
      </c>
    </row>
    <row r="4479" spans="1:8" ht="15" x14ac:dyDescent="0.2">
      <c r="A4479" s="597">
        <v>43158</v>
      </c>
      <c r="B4479" s="222" t="s">
        <v>16</v>
      </c>
      <c r="C4479" s="223" t="s">
        <v>794</v>
      </c>
      <c r="D4479" s="805" t="s">
        <v>2916</v>
      </c>
      <c r="E4479" s="247">
        <v>12000</v>
      </c>
      <c r="F4479" s="247"/>
      <c r="G4479" s="247">
        <f t="shared" si="73"/>
        <v>-12000</v>
      </c>
      <c r="H4479" s="121" t="s">
        <v>3091</v>
      </c>
    </row>
    <row r="4480" spans="1:8" ht="15" x14ac:dyDescent="0.2">
      <c r="A4480" s="597">
        <v>43158</v>
      </c>
      <c r="B4480" s="222" t="s">
        <v>18</v>
      </c>
      <c r="C4480" s="223" t="s">
        <v>3136</v>
      </c>
      <c r="D4480" s="805" t="s">
        <v>370</v>
      </c>
      <c r="E4480" s="247">
        <v>5000</v>
      </c>
      <c r="F4480" s="247"/>
      <c r="G4480" s="247">
        <f t="shared" si="73"/>
        <v>-5000</v>
      </c>
      <c r="H4480" s="121" t="s">
        <v>3091</v>
      </c>
    </row>
    <row r="4481" spans="1:8" ht="15" x14ac:dyDescent="0.2">
      <c r="A4481" s="597">
        <v>43158</v>
      </c>
      <c r="B4481" s="222" t="s">
        <v>2787</v>
      </c>
      <c r="C4481" s="223" t="s">
        <v>3145</v>
      </c>
      <c r="D4481" s="805" t="s">
        <v>3255</v>
      </c>
      <c r="E4481" s="247">
        <v>500</v>
      </c>
      <c r="F4481" s="247"/>
      <c r="G4481" s="247">
        <f t="shared" si="73"/>
        <v>-500</v>
      </c>
      <c r="H4481" s="121" t="s">
        <v>3091</v>
      </c>
    </row>
    <row r="4482" spans="1:8" ht="24" x14ac:dyDescent="0.2">
      <c r="A4482" s="597">
        <v>43159</v>
      </c>
      <c r="B4482" s="222" t="s">
        <v>2787</v>
      </c>
      <c r="C4482" s="223" t="s">
        <v>3145</v>
      </c>
      <c r="D4482" s="805" t="s">
        <v>3256</v>
      </c>
      <c r="E4482" s="247">
        <v>37776</v>
      </c>
      <c r="F4482" s="247"/>
      <c r="G4482" s="247">
        <f t="shared" si="73"/>
        <v>-37776</v>
      </c>
      <c r="H4482" s="121" t="s">
        <v>3091</v>
      </c>
    </row>
    <row r="4483" spans="1:8" ht="15" x14ac:dyDescent="0.2">
      <c r="A4483" s="597">
        <v>43159</v>
      </c>
      <c r="B4483" s="222" t="s">
        <v>16</v>
      </c>
      <c r="C4483" s="223" t="s">
        <v>3145</v>
      </c>
      <c r="D4483" s="805" t="s">
        <v>3257</v>
      </c>
      <c r="E4483" s="247">
        <v>570</v>
      </c>
      <c r="F4483" s="247"/>
      <c r="G4483" s="247">
        <f t="shared" si="73"/>
        <v>-570</v>
      </c>
      <c r="H4483" s="121" t="s">
        <v>3091</v>
      </c>
    </row>
    <row r="4484" spans="1:8" ht="15" x14ac:dyDescent="0.2">
      <c r="A4484" s="597">
        <v>43159</v>
      </c>
      <c r="B4484" s="222" t="s">
        <v>2787</v>
      </c>
      <c r="C4484" s="223" t="s">
        <v>3145</v>
      </c>
      <c r="D4484" s="805" t="s">
        <v>3258</v>
      </c>
      <c r="E4484" s="247">
        <v>23199</v>
      </c>
      <c r="F4484" s="247"/>
      <c r="G4484" s="247">
        <f t="shared" si="73"/>
        <v>-23199</v>
      </c>
      <c r="H4484" s="121" t="s">
        <v>3091</v>
      </c>
    </row>
    <row r="4485" spans="1:8" ht="15" x14ac:dyDescent="0.2">
      <c r="A4485" s="597">
        <v>43159</v>
      </c>
      <c r="B4485" s="222" t="s">
        <v>18</v>
      </c>
      <c r="C4485" s="223" t="s">
        <v>3136</v>
      </c>
      <c r="D4485" s="805" t="s">
        <v>370</v>
      </c>
      <c r="E4485" s="247">
        <v>4000</v>
      </c>
      <c r="F4485" s="247"/>
      <c r="G4485" s="247">
        <f t="shared" si="73"/>
        <v>-4000</v>
      </c>
      <c r="H4485" s="121" t="s">
        <v>3091</v>
      </c>
    </row>
    <row r="4486" spans="1:8" ht="15" x14ac:dyDescent="0.2">
      <c r="A4486" s="597">
        <v>43159</v>
      </c>
      <c r="B4486" s="222" t="s">
        <v>16</v>
      </c>
      <c r="C4486" s="223" t="s">
        <v>199</v>
      </c>
      <c r="D4486" s="805" t="s">
        <v>3259</v>
      </c>
      <c r="E4486" s="247">
        <v>19905</v>
      </c>
      <c r="F4486" s="247"/>
      <c r="G4486" s="247">
        <f t="shared" si="73"/>
        <v>-19905</v>
      </c>
      <c r="H4486" s="121" t="s">
        <v>3091</v>
      </c>
    </row>
    <row r="4487" spans="1:8" ht="15.75" thickBot="1" x14ac:dyDescent="0.25">
      <c r="A4487" s="602">
        <v>43137</v>
      </c>
      <c r="B4487" s="240" t="s">
        <v>1400</v>
      </c>
      <c r="C4487" s="240" t="s">
        <v>895</v>
      </c>
      <c r="D4487" s="157" t="s">
        <v>5979</v>
      </c>
      <c r="E4487" s="241">
        <v>300000</v>
      </c>
      <c r="F4487" s="241"/>
      <c r="G4487" s="241">
        <f t="shared" si="73"/>
        <v>-300000</v>
      </c>
      <c r="H4487" s="252" t="s">
        <v>3091</v>
      </c>
    </row>
    <row r="4488" spans="1:8" ht="15.75" thickBot="1" x14ac:dyDescent="0.25">
      <c r="A4488" s="602">
        <v>43137</v>
      </c>
      <c r="B4488" s="240" t="s">
        <v>1400</v>
      </c>
      <c r="C4488" s="240" t="s">
        <v>2840</v>
      </c>
      <c r="D4488" s="157" t="s">
        <v>5980</v>
      </c>
      <c r="E4488" s="241">
        <v>60000</v>
      </c>
      <c r="F4488" s="241"/>
      <c r="G4488" s="241">
        <f t="shared" si="73"/>
        <v>-60000</v>
      </c>
      <c r="H4488" s="252" t="s">
        <v>3091</v>
      </c>
    </row>
    <row r="4489" spans="1:8" ht="15.75" thickBot="1" x14ac:dyDescent="0.25">
      <c r="A4489" s="602">
        <v>43137</v>
      </c>
      <c r="B4489" s="240" t="s">
        <v>2787</v>
      </c>
      <c r="C4489" s="240" t="s">
        <v>266</v>
      </c>
      <c r="D4489" s="157" t="s">
        <v>3092</v>
      </c>
      <c r="E4489" s="241">
        <v>123000</v>
      </c>
      <c r="F4489" s="241"/>
      <c r="G4489" s="241">
        <f t="shared" ref="G4489:G4552" si="74">F4489-E4489</f>
        <v>-123000</v>
      </c>
      <c r="H4489" s="252" t="s">
        <v>3091</v>
      </c>
    </row>
    <row r="4490" spans="1:8" ht="15.75" thickBot="1" x14ac:dyDescent="0.25">
      <c r="A4490" s="602">
        <v>43137</v>
      </c>
      <c r="B4490" s="240" t="s">
        <v>2787</v>
      </c>
      <c r="C4490" s="240" t="s">
        <v>266</v>
      </c>
      <c r="D4490" s="157" t="s">
        <v>3093</v>
      </c>
      <c r="E4490" s="241">
        <v>100000</v>
      </c>
      <c r="F4490" s="241"/>
      <c r="G4490" s="241">
        <f t="shared" si="74"/>
        <v>-100000</v>
      </c>
      <c r="H4490" s="252" t="s">
        <v>3091</v>
      </c>
    </row>
    <row r="4491" spans="1:8" ht="15.75" thickBot="1" x14ac:dyDescent="0.25">
      <c r="A4491" s="602">
        <v>43137</v>
      </c>
      <c r="B4491" s="240" t="s">
        <v>1400</v>
      </c>
      <c r="C4491" s="240" t="s">
        <v>3077</v>
      </c>
      <c r="D4491" s="157" t="s">
        <v>3094</v>
      </c>
      <c r="E4491" s="241">
        <v>25000</v>
      </c>
      <c r="F4491" s="241"/>
      <c r="G4491" s="241">
        <f t="shared" si="74"/>
        <v>-25000</v>
      </c>
      <c r="H4491" s="252" t="s">
        <v>3091</v>
      </c>
    </row>
    <row r="4492" spans="1:8" ht="15.75" thickBot="1" x14ac:dyDescent="0.25">
      <c r="A4492" s="602">
        <v>43137</v>
      </c>
      <c r="B4492" s="240" t="s">
        <v>1400</v>
      </c>
      <c r="C4492" s="240" t="s">
        <v>2160</v>
      </c>
      <c r="D4492" s="157" t="s">
        <v>3105</v>
      </c>
      <c r="E4492" s="241">
        <v>20000</v>
      </c>
      <c r="F4492" s="241"/>
      <c r="G4492" s="241">
        <f t="shared" si="74"/>
        <v>-20000</v>
      </c>
      <c r="H4492" s="252" t="s">
        <v>3091</v>
      </c>
    </row>
    <row r="4493" spans="1:8" ht="24.75" thickBot="1" x14ac:dyDescent="0.25">
      <c r="A4493" s="602">
        <v>43138</v>
      </c>
      <c r="B4493" s="240" t="s">
        <v>1400</v>
      </c>
      <c r="C4493" s="240" t="s">
        <v>2515</v>
      </c>
      <c r="D4493" s="157" t="s">
        <v>3108</v>
      </c>
      <c r="E4493" s="241">
        <v>172500</v>
      </c>
      <c r="F4493" s="241"/>
      <c r="G4493" s="241">
        <f t="shared" si="74"/>
        <v>-172500</v>
      </c>
      <c r="H4493" s="252" t="s">
        <v>3091</v>
      </c>
    </row>
    <row r="4494" spans="1:8" ht="15.75" thickBot="1" x14ac:dyDescent="0.25">
      <c r="A4494" s="602">
        <v>43138</v>
      </c>
      <c r="B4494" s="240" t="s">
        <v>2787</v>
      </c>
      <c r="C4494" s="240" t="s">
        <v>2515</v>
      </c>
      <c r="D4494" s="157" t="s">
        <v>3109</v>
      </c>
      <c r="E4494" s="241">
        <v>81500</v>
      </c>
      <c r="F4494" s="241"/>
      <c r="G4494" s="241">
        <f t="shared" si="74"/>
        <v>-81500</v>
      </c>
      <c r="H4494" s="252" t="s">
        <v>3091</v>
      </c>
    </row>
    <row r="4495" spans="1:8" ht="15.75" thickBot="1" x14ac:dyDescent="0.25">
      <c r="A4495" s="602">
        <v>43138</v>
      </c>
      <c r="B4495" s="240" t="s">
        <v>2787</v>
      </c>
      <c r="C4495" s="240" t="s">
        <v>3106</v>
      </c>
      <c r="D4495" s="157" t="s">
        <v>3107</v>
      </c>
      <c r="E4495" s="241">
        <v>200000</v>
      </c>
      <c r="F4495" s="241"/>
      <c r="G4495" s="241">
        <f t="shared" si="74"/>
        <v>-200000</v>
      </c>
      <c r="H4495" s="252" t="s">
        <v>3091</v>
      </c>
    </row>
    <row r="4496" spans="1:8" ht="15.75" thickBot="1" x14ac:dyDescent="0.25">
      <c r="A4496" s="602">
        <v>43139</v>
      </c>
      <c r="B4496" s="240" t="s">
        <v>2787</v>
      </c>
      <c r="C4496" s="240" t="s">
        <v>1875</v>
      </c>
      <c r="D4496" s="157" t="s">
        <v>3110</v>
      </c>
      <c r="E4496" s="241">
        <v>135000</v>
      </c>
      <c r="F4496" s="241"/>
      <c r="G4496" s="241">
        <f t="shared" si="74"/>
        <v>-135000</v>
      </c>
      <c r="H4496" s="252" t="s">
        <v>3091</v>
      </c>
    </row>
    <row r="4497" spans="1:8" ht="15.75" thickBot="1" x14ac:dyDescent="0.25">
      <c r="A4497" s="602">
        <v>43140</v>
      </c>
      <c r="B4497" s="240" t="s">
        <v>2787</v>
      </c>
      <c r="C4497" s="240" t="s">
        <v>2289</v>
      </c>
      <c r="D4497" s="157" t="s">
        <v>3111</v>
      </c>
      <c r="E4497" s="241">
        <v>300000</v>
      </c>
      <c r="F4497" s="241"/>
      <c r="G4497" s="241">
        <f t="shared" si="74"/>
        <v>-300000</v>
      </c>
      <c r="H4497" s="252" t="s">
        <v>3091</v>
      </c>
    </row>
    <row r="4498" spans="1:8" ht="15.75" thickBot="1" x14ac:dyDescent="0.25">
      <c r="A4498" s="602">
        <v>43140</v>
      </c>
      <c r="B4498" s="240" t="s">
        <v>2933</v>
      </c>
      <c r="C4498" s="240" t="s">
        <v>3112</v>
      </c>
      <c r="D4498" s="157" t="s">
        <v>3113</v>
      </c>
      <c r="E4498" s="241">
        <v>50000</v>
      </c>
      <c r="F4498" s="241"/>
      <c r="G4498" s="241">
        <f t="shared" si="74"/>
        <v>-50000</v>
      </c>
      <c r="H4498" s="252" t="s">
        <v>3091</v>
      </c>
    </row>
    <row r="4499" spans="1:8" ht="15.75" thickBot="1" x14ac:dyDescent="0.25">
      <c r="A4499" s="602">
        <v>43140</v>
      </c>
      <c r="B4499" s="240" t="s">
        <v>2933</v>
      </c>
      <c r="C4499" s="240" t="s">
        <v>1875</v>
      </c>
      <c r="D4499" s="157" t="s">
        <v>3125</v>
      </c>
      <c r="E4499" s="241">
        <v>65000</v>
      </c>
      <c r="F4499" s="241"/>
      <c r="G4499" s="241">
        <f t="shared" si="74"/>
        <v>-65000</v>
      </c>
      <c r="H4499" s="252" t="s">
        <v>3091</v>
      </c>
    </row>
    <row r="4500" spans="1:8" ht="15.75" thickBot="1" x14ac:dyDescent="0.25">
      <c r="A4500" s="602">
        <v>43141</v>
      </c>
      <c r="B4500" s="240" t="s">
        <v>2787</v>
      </c>
      <c r="C4500" s="240" t="s">
        <v>3123</v>
      </c>
      <c r="D4500" s="157" t="s">
        <v>3126</v>
      </c>
      <c r="E4500" s="241">
        <v>20000</v>
      </c>
      <c r="F4500" s="241"/>
      <c r="G4500" s="241">
        <f t="shared" si="74"/>
        <v>-20000</v>
      </c>
      <c r="H4500" s="252" t="s">
        <v>3091</v>
      </c>
    </row>
    <row r="4501" spans="1:8" ht="15.75" thickBot="1" x14ac:dyDescent="0.25">
      <c r="A4501" s="602">
        <v>43143</v>
      </c>
      <c r="B4501" s="240" t="s">
        <v>1400</v>
      </c>
      <c r="C4501" s="240" t="s">
        <v>2642</v>
      </c>
      <c r="D4501" s="157" t="s">
        <v>3128</v>
      </c>
      <c r="E4501" s="241">
        <v>589250</v>
      </c>
      <c r="F4501" s="241"/>
      <c r="G4501" s="241">
        <f t="shared" si="74"/>
        <v>-589250</v>
      </c>
      <c r="H4501" s="252" t="s">
        <v>3091</v>
      </c>
    </row>
    <row r="4502" spans="1:8" ht="15.75" thickBot="1" x14ac:dyDescent="0.25">
      <c r="A4502" s="602">
        <v>43143</v>
      </c>
      <c r="B4502" s="240" t="s">
        <v>2787</v>
      </c>
      <c r="C4502" s="240" t="s">
        <v>3131</v>
      </c>
      <c r="D4502" s="157" t="s">
        <v>3132</v>
      </c>
      <c r="E4502" s="241">
        <v>21750</v>
      </c>
      <c r="F4502" s="241"/>
      <c r="G4502" s="241">
        <f t="shared" si="74"/>
        <v>-21750</v>
      </c>
      <c r="H4502" s="252" t="s">
        <v>3091</v>
      </c>
    </row>
    <row r="4503" spans="1:8" ht="15.75" thickBot="1" x14ac:dyDescent="0.25">
      <c r="A4503" s="602">
        <v>43144</v>
      </c>
      <c r="B4503" s="240" t="s">
        <v>2787</v>
      </c>
      <c r="C4503" s="240" t="s">
        <v>895</v>
      </c>
      <c r="D4503" s="157" t="s">
        <v>3137</v>
      </c>
      <c r="E4503" s="241">
        <v>400000</v>
      </c>
      <c r="F4503" s="241"/>
      <c r="G4503" s="241">
        <f t="shared" si="74"/>
        <v>-400000</v>
      </c>
      <c r="H4503" s="252" t="s">
        <v>3091</v>
      </c>
    </row>
    <row r="4504" spans="1:8" ht="24.75" thickBot="1" x14ac:dyDescent="0.25">
      <c r="A4504" s="602">
        <v>43147</v>
      </c>
      <c r="B4504" s="240" t="s">
        <v>2933</v>
      </c>
      <c r="C4504" s="240" t="s">
        <v>2594</v>
      </c>
      <c r="D4504" s="157" t="s">
        <v>3138</v>
      </c>
      <c r="E4504" s="241">
        <v>19873</v>
      </c>
      <c r="F4504" s="241"/>
      <c r="G4504" s="241">
        <f t="shared" si="74"/>
        <v>-19873</v>
      </c>
      <c r="H4504" s="252" t="s">
        <v>3091</v>
      </c>
    </row>
    <row r="4505" spans="1:8" ht="15.75" thickBot="1" x14ac:dyDescent="0.25">
      <c r="A4505" s="602">
        <v>43147</v>
      </c>
      <c r="B4505" s="240" t="s">
        <v>2787</v>
      </c>
      <c r="C4505" s="240" t="s">
        <v>359</v>
      </c>
      <c r="D4505" s="157" t="s">
        <v>3139</v>
      </c>
      <c r="E4505" s="241">
        <v>250000</v>
      </c>
      <c r="F4505" s="241"/>
      <c r="G4505" s="241">
        <f t="shared" si="74"/>
        <v>-250000</v>
      </c>
      <c r="H4505" s="252" t="s">
        <v>3091</v>
      </c>
    </row>
    <row r="4506" spans="1:8" ht="15" x14ac:dyDescent="0.2">
      <c r="A4506" s="604">
        <v>43148</v>
      </c>
      <c r="B4506" s="258" t="s">
        <v>2787</v>
      </c>
      <c r="C4506" s="174" t="s">
        <v>3106</v>
      </c>
      <c r="D4506" s="118" t="s">
        <v>3140</v>
      </c>
      <c r="E4506" s="236">
        <v>205300</v>
      </c>
      <c r="F4506" s="259"/>
      <c r="G4506" s="259">
        <f t="shared" si="74"/>
        <v>-205300</v>
      </c>
      <c r="H4506" s="260" t="s">
        <v>3091</v>
      </c>
    </row>
    <row r="4507" spans="1:8" ht="24" x14ac:dyDescent="0.2">
      <c r="A4507" s="604">
        <v>43152</v>
      </c>
      <c r="B4507" s="174" t="s">
        <v>1400</v>
      </c>
      <c r="C4507" s="174" t="s">
        <v>2160</v>
      </c>
      <c r="D4507" s="118" t="s">
        <v>3142</v>
      </c>
      <c r="E4507" s="236">
        <v>15000</v>
      </c>
      <c r="F4507" s="236"/>
      <c r="G4507" s="236">
        <f t="shared" si="74"/>
        <v>-15000</v>
      </c>
      <c r="H4507" s="260" t="s">
        <v>3091</v>
      </c>
    </row>
    <row r="4508" spans="1:8" ht="15" x14ac:dyDescent="0.2">
      <c r="A4508" s="604">
        <v>43152</v>
      </c>
      <c r="B4508" s="174" t="s">
        <v>3144</v>
      </c>
      <c r="C4508" s="174" t="s">
        <v>3112</v>
      </c>
      <c r="D4508" s="157" t="s">
        <v>3143</v>
      </c>
      <c r="E4508" s="236">
        <v>100000</v>
      </c>
      <c r="F4508" s="236"/>
      <c r="G4508" s="236">
        <f t="shared" si="74"/>
        <v>-100000</v>
      </c>
      <c r="H4508" s="260" t="s">
        <v>3091</v>
      </c>
    </row>
    <row r="4509" spans="1:8" ht="15" x14ac:dyDescent="0.2">
      <c r="A4509" s="604">
        <v>43154</v>
      </c>
      <c r="B4509" s="174" t="s">
        <v>2787</v>
      </c>
      <c r="C4509" s="174" t="s">
        <v>3011</v>
      </c>
      <c r="D4509" s="157" t="s">
        <v>3191</v>
      </c>
      <c r="E4509" s="236">
        <v>15000</v>
      </c>
      <c r="F4509" s="236"/>
      <c r="G4509" s="236">
        <f t="shared" si="74"/>
        <v>-15000</v>
      </c>
      <c r="H4509" s="260" t="s">
        <v>3091</v>
      </c>
    </row>
    <row r="4510" spans="1:8" ht="15" x14ac:dyDescent="0.2">
      <c r="A4510" s="604">
        <v>43157</v>
      </c>
      <c r="B4510" s="174" t="s">
        <v>2787</v>
      </c>
      <c r="C4510" s="174" t="s">
        <v>895</v>
      </c>
      <c r="D4510" s="157" t="s">
        <v>3192</v>
      </c>
      <c r="E4510" s="236">
        <v>179000</v>
      </c>
      <c r="F4510" s="236"/>
      <c r="G4510" s="236">
        <f t="shared" si="74"/>
        <v>-179000</v>
      </c>
      <c r="H4510" s="260" t="s">
        <v>3091</v>
      </c>
    </row>
    <row r="4511" spans="1:8" ht="15" x14ac:dyDescent="0.2">
      <c r="A4511" s="604">
        <v>43158</v>
      </c>
      <c r="B4511" s="174" t="s">
        <v>2787</v>
      </c>
      <c r="C4511" s="174" t="s">
        <v>1875</v>
      </c>
      <c r="D4511" s="157" t="s">
        <v>3195</v>
      </c>
      <c r="E4511" s="236">
        <v>11000</v>
      </c>
      <c r="F4511" s="236"/>
      <c r="G4511" s="236">
        <f t="shared" si="74"/>
        <v>-11000</v>
      </c>
      <c r="H4511" s="260" t="s">
        <v>3091</v>
      </c>
    </row>
    <row r="4512" spans="1:8" ht="15" x14ac:dyDescent="0.2">
      <c r="A4512" s="604">
        <v>43158</v>
      </c>
      <c r="B4512" s="174" t="s">
        <v>2787</v>
      </c>
      <c r="C4512" s="174" t="s">
        <v>929</v>
      </c>
      <c r="D4512" s="157" t="s">
        <v>3196</v>
      </c>
      <c r="E4512" s="236">
        <v>30000</v>
      </c>
      <c r="F4512" s="236"/>
      <c r="G4512" s="236">
        <f t="shared" si="74"/>
        <v>-30000</v>
      </c>
      <c r="H4512" s="260" t="s">
        <v>3091</v>
      </c>
    </row>
    <row r="4513" spans="1:8" ht="15" x14ac:dyDescent="0.2">
      <c r="A4513" s="604">
        <v>43158</v>
      </c>
      <c r="B4513" s="174" t="s">
        <v>2787</v>
      </c>
      <c r="C4513" s="174" t="s">
        <v>3145</v>
      </c>
      <c r="D4513" s="157" t="s">
        <v>3197</v>
      </c>
      <c r="E4513" s="236">
        <v>8200</v>
      </c>
      <c r="F4513" s="236"/>
      <c r="G4513" s="236">
        <f t="shared" si="74"/>
        <v>-8200</v>
      </c>
      <c r="H4513" s="260" t="s">
        <v>3091</v>
      </c>
    </row>
    <row r="4514" spans="1:8" ht="15" x14ac:dyDescent="0.2">
      <c r="A4514" s="604">
        <v>43158</v>
      </c>
      <c r="B4514" s="174" t="s">
        <v>2787</v>
      </c>
      <c r="C4514" s="174" t="s">
        <v>3145</v>
      </c>
      <c r="D4514" s="157" t="s">
        <v>3198</v>
      </c>
      <c r="E4514" s="236">
        <v>29300</v>
      </c>
      <c r="F4514" s="236"/>
      <c r="G4514" s="236">
        <f t="shared" si="74"/>
        <v>-29300</v>
      </c>
      <c r="H4514" s="260" t="s">
        <v>3091</v>
      </c>
    </row>
    <row r="4515" spans="1:8" ht="15" x14ac:dyDescent="0.2">
      <c r="A4515" s="604">
        <v>43158</v>
      </c>
      <c r="B4515" s="174" t="s">
        <v>2787</v>
      </c>
      <c r="C4515" s="174" t="s">
        <v>3145</v>
      </c>
      <c r="D4515" s="157" t="s">
        <v>3199</v>
      </c>
      <c r="E4515" s="236">
        <v>29200</v>
      </c>
      <c r="F4515" s="236"/>
      <c r="G4515" s="236">
        <f t="shared" si="74"/>
        <v>-29200</v>
      </c>
      <c r="H4515" s="260" t="s">
        <v>3091</v>
      </c>
    </row>
    <row r="4516" spans="1:8" ht="15" x14ac:dyDescent="0.2">
      <c r="A4516" s="604">
        <v>43159</v>
      </c>
      <c r="B4516" s="174" t="s">
        <v>2787</v>
      </c>
      <c r="C4516" s="174" t="s">
        <v>3011</v>
      </c>
      <c r="D4516" s="157" t="s">
        <v>2655</v>
      </c>
      <c r="E4516" s="236">
        <v>200000</v>
      </c>
      <c r="F4516" s="236"/>
      <c r="G4516" s="236">
        <f t="shared" si="74"/>
        <v>-200000</v>
      </c>
      <c r="H4516" s="260" t="s">
        <v>3091</v>
      </c>
    </row>
    <row r="4517" spans="1:8" ht="36" x14ac:dyDescent="0.2">
      <c r="A4517" s="599">
        <v>43151</v>
      </c>
      <c r="B4517" s="94" t="s">
        <v>40</v>
      </c>
      <c r="C4517" s="94" t="s">
        <v>559</v>
      </c>
      <c r="D4517" s="802" t="s">
        <v>3141</v>
      </c>
      <c r="E4517" s="176"/>
      <c r="F4517" s="176">
        <v>127650</v>
      </c>
      <c r="G4517" s="176">
        <f t="shared" si="74"/>
        <v>127650</v>
      </c>
      <c r="H4517" s="261" t="s">
        <v>3091</v>
      </c>
    </row>
    <row r="4518" spans="1:8" ht="24" x14ac:dyDescent="0.2">
      <c r="A4518" s="599">
        <v>43159</v>
      </c>
      <c r="B4518" s="94" t="s">
        <v>2787</v>
      </c>
      <c r="C4518" s="94" t="s">
        <v>559</v>
      </c>
      <c r="D4518" s="802" t="s">
        <v>3193</v>
      </c>
      <c r="E4518" s="176"/>
      <c r="F4518" s="176">
        <v>8113274</v>
      </c>
      <c r="G4518" s="176">
        <f t="shared" si="74"/>
        <v>8113274</v>
      </c>
      <c r="H4518" s="261" t="s">
        <v>3091</v>
      </c>
    </row>
    <row r="4519" spans="1:8" ht="15" x14ac:dyDescent="0.2">
      <c r="A4519" s="597">
        <v>43160</v>
      </c>
      <c r="B4519" s="63" t="s">
        <v>2787</v>
      </c>
      <c r="C4519" s="63" t="s">
        <v>794</v>
      </c>
      <c r="D4519" s="807" t="s">
        <v>1836</v>
      </c>
      <c r="E4519" s="126">
        <v>50000</v>
      </c>
      <c r="F4519" s="126"/>
      <c r="G4519" s="126">
        <f t="shared" si="74"/>
        <v>-50000</v>
      </c>
      <c r="H4519" s="121" t="s">
        <v>3206</v>
      </c>
    </row>
    <row r="4520" spans="1:8" ht="15" x14ac:dyDescent="0.2">
      <c r="A4520" s="597">
        <v>43160</v>
      </c>
      <c r="B4520" s="63" t="s">
        <v>2933</v>
      </c>
      <c r="C4520" s="63" t="s">
        <v>794</v>
      </c>
      <c r="D4520" s="807" t="s">
        <v>1837</v>
      </c>
      <c r="E4520" s="126">
        <v>50000</v>
      </c>
      <c r="F4520" s="126"/>
      <c r="G4520" s="126">
        <f t="shared" si="74"/>
        <v>-50000</v>
      </c>
      <c r="H4520" s="121" t="s">
        <v>3206</v>
      </c>
    </row>
    <row r="4521" spans="1:8" ht="15" x14ac:dyDescent="0.2">
      <c r="A4521" s="597">
        <v>43160</v>
      </c>
      <c r="B4521" s="63" t="s">
        <v>25</v>
      </c>
      <c r="C4521" s="63" t="s">
        <v>794</v>
      </c>
      <c r="D4521" s="807" t="s">
        <v>1839</v>
      </c>
      <c r="E4521" s="126">
        <v>10000</v>
      </c>
      <c r="F4521" s="126"/>
      <c r="G4521" s="126">
        <f t="shared" si="74"/>
        <v>-10000</v>
      </c>
      <c r="H4521" s="121" t="s">
        <v>3206</v>
      </c>
    </row>
    <row r="4522" spans="1:8" ht="15" x14ac:dyDescent="0.2">
      <c r="A4522" s="597">
        <v>43160</v>
      </c>
      <c r="B4522" s="63" t="s">
        <v>25</v>
      </c>
      <c r="C4522" s="63" t="s">
        <v>794</v>
      </c>
      <c r="D4522" s="807" t="s">
        <v>2183</v>
      </c>
      <c r="E4522" s="126">
        <v>18000</v>
      </c>
      <c r="F4522" s="126"/>
      <c r="G4522" s="126">
        <f t="shared" si="74"/>
        <v>-18000</v>
      </c>
      <c r="H4522" s="121" t="s">
        <v>3206</v>
      </c>
    </row>
    <row r="4523" spans="1:8" ht="15" x14ac:dyDescent="0.2">
      <c r="A4523" s="597">
        <v>43160</v>
      </c>
      <c r="B4523" s="63" t="s">
        <v>25</v>
      </c>
      <c r="C4523" s="63" t="s">
        <v>794</v>
      </c>
      <c r="D4523" s="807" t="s">
        <v>1840</v>
      </c>
      <c r="E4523" s="126">
        <v>7000</v>
      </c>
      <c r="F4523" s="126"/>
      <c r="G4523" s="126">
        <f t="shared" si="74"/>
        <v>-7000</v>
      </c>
      <c r="H4523" s="121" t="s">
        <v>3206</v>
      </c>
    </row>
    <row r="4524" spans="1:8" ht="15" x14ac:dyDescent="0.2">
      <c r="A4524" s="597">
        <v>43160</v>
      </c>
      <c r="B4524" s="63" t="s">
        <v>25</v>
      </c>
      <c r="C4524" s="63" t="s">
        <v>794</v>
      </c>
      <c r="D4524" s="807" t="s">
        <v>1547</v>
      </c>
      <c r="E4524" s="126">
        <v>9000</v>
      </c>
      <c r="F4524" s="126"/>
      <c r="G4524" s="126">
        <f t="shared" si="74"/>
        <v>-9000</v>
      </c>
      <c r="H4524" s="121" t="s">
        <v>3206</v>
      </c>
    </row>
    <row r="4525" spans="1:8" ht="15" x14ac:dyDescent="0.2">
      <c r="A4525" s="597">
        <v>43160</v>
      </c>
      <c r="B4525" s="63" t="s">
        <v>16</v>
      </c>
      <c r="C4525" s="63" t="s">
        <v>794</v>
      </c>
      <c r="D4525" s="807" t="s">
        <v>1844</v>
      </c>
      <c r="E4525" s="126">
        <v>25689.910714285714</v>
      </c>
      <c r="F4525" s="126"/>
      <c r="G4525" s="126">
        <f t="shared" si="74"/>
        <v>-25689.910714285714</v>
      </c>
      <c r="H4525" s="121" t="s">
        <v>3206</v>
      </c>
    </row>
    <row r="4526" spans="1:8" ht="15" x14ac:dyDescent="0.2">
      <c r="A4526" s="597">
        <v>43160</v>
      </c>
      <c r="B4526" s="63" t="s">
        <v>16</v>
      </c>
      <c r="C4526" s="63" t="s">
        <v>794</v>
      </c>
      <c r="D4526" s="807" t="s">
        <v>1842</v>
      </c>
      <c r="E4526" s="126">
        <v>29999.999999999996</v>
      </c>
      <c r="F4526" s="126"/>
      <c r="G4526" s="126">
        <f t="shared" si="74"/>
        <v>-29999.999999999996</v>
      </c>
      <c r="H4526" s="121" t="s">
        <v>3206</v>
      </c>
    </row>
    <row r="4527" spans="1:8" ht="15" x14ac:dyDescent="0.2">
      <c r="A4527" s="597">
        <v>43160</v>
      </c>
      <c r="B4527" s="63" t="s">
        <v>16</v>
      </c>
      <c r="C4527" s="63" t="s">
        <v>794</v>
      </c>
      <c r="D4527" s="807" t="s">
        <v>1843</v>
      </c>
      <c r="E4527" s="126">
        <v>15158.163265306124</v>
      </c>
      <c r="F4527" s="126"/>
      <c r="G4527" s="126">
        <f t="shared" si="74"/>
        <v>-15158.163265306124</v>
      </c>
      <c r="H4527" s="121" t="s">
        <v>3206</v>
      </c>
    </row>
    <row r="4528" spans="1:8" ht="15" x14ac:dyDescent="0.2">
      <c r="A4528" s="597">
        <v>43160</v>
      </c>
      <c r="B4528" s="63" t="s">
        <v>2787</v>
      </c>
      <c r="C4528" s="63" t="s">
        <v>794</v>
      </c>
      <c r="D4528" s="807" t="s">
        <v>3065</v>
      </c>
      <c r="E4528" s="126">
        <v>20000</v>
      </c>
      <c r="F4528" s="126"/>
      <c r="G4528" s="126">
        <f t="shared" si="74"/>
        <v>-20000</v>
      </c>
      <c r="H4528" s="121" t="s">
        <v>3206</v>
      </c>
    </row>
    <row r="4529" spans="1:8" ht="15" x14ac:dyDescent="0.2">
      <c r="A4529" s="597">
        <v>43160</v>
      </c>
      <c r="B4529" s="63" t="s">
        <v>16</v>
      </c>
      <c r="C4529" s="63" t="s">
        <v>794</v>
      </c>
      <c r="D4529" s="807" t="s">
        <v>2283</v>
      </c>
      <c r="E4529" s="126">
        <v>14401.785714285714</v>
      </c>
      <c r="F4529" s="126"/>
      <c r="G4529" s="126">
        <f t="shared" si="74"/>
        <v>-14401.785714285714</v>
      </c>
      <c r="H4529" s="121" t="s">
        <v>3206</v>
      </c>
    </row>
    <row r="4530" spans="1:8" ht="15" x14ac:dyDescent="0.2">
      <c r="A4530" s="597">
        <v>43160</v>
      </c>
      <c r="B4530" s="63" t="s">
        <v>16</v>
      </c>
      <c r="C4530" s="63" t="s">
        <v>794</v>
      </c>
      <c r="D4530" s="807" t="s">
        <v>3120</v>
      </c>
      <c r="E4530" s="126">
        <v>13348.214285714286</v>
      </c>
      <c r="F4530" s="126"/>
      <c r="G4530" s="126">
        <f t="shared" si="74"/>
        <v>-13348.214285714286</v>
      </c>
      <c r="H4530" s="121" t="s">
        <v>3206</v>
      </c>
    </row>
    <row r="4531" spans="1:8" ht="15" x14ac:dyDescent="0.2">
      <c r="A4531" s="597">
        <v>43160</v>
      </c>
      <c r="B4531" s="63" t="s">
        <v>16</v>
      </c>
      <c r="C4531" s="63" t="s">
        <v>794</v>
      </c>
      <c r="D4531" s="807" t="s">
        <v>3230</v>
      </c>
      <c r="E4531" s="126">
        <v>10000</v>
      </c>
      <c r="F4531" s="126"/>
      <c r="G4531" s="126">
        <f t="shared" si="74"/>
        <v>-10000</v>
      </c>
      <c r="H4531" s="121" t="s">
        <v>3206</v>
      </c>
    </row>
    <row r="4532" spans="1:8" ht="15" x14ac:dyDescent="0.2">
      <c r="A4532" s="597">
        <v>43160</v>
      </c>
      <c r="B4532" s="63" t="s">
        <v>2787</v>
      </c>
      <c r="C4532" s="63" t="s">
        <v>794</v>
      </c>
      <c r="D4532" s="807" t="s">
        <v>1863</v>
      </c>
      <c r="E4532" s="126">
        <v>18071.428571428569</v>
      </c>
      <c r="F4532" s="126"/>
      <c r="G4532" s="126">
        <f t="shared" si="74"/>
        <v>-18071.428571428569</v>
      </c>
      <c r="H4532" s="121" t="s">
        <v>3206</v>
      </c>
    </row>
    <row r="4533" spans="1:8" ht="15" x14ac:dyDescent="0.2">
      <c r="A4533" s="597">
        <v>43160</v>
      </c>
      <c r="B4533" s="63" t="s">
        <v>2787</v>
      </c>
      <c r="C4533" s="63" t="s">
        <v>794</v>
      </c>
      <c r="D4533" s="807" t="s">
        <v>1864</v>
      </c>
      <c r="E4533" s="126">
        <v>39929.732142857145</v>
      </c>
      <c r="F4533" s="126"/>
      <c r="G4533" s="126">
        <f t="shared" si="74"/>
        <v>-39929.732142857145</v>
      </c>
      <c r="H4533" s="121" t="s">
        <v>3206</v>
      </c>
    </row>
    <row r="4534" spans="1:8" ht="15" x14ac:dyDescent="0.2">
      <c r="A4534" s="597">
        <v>43160</v>
      </c>
      <c r="B4534" s="63" t="s">
        <v>2787</v>
      </c>
      <c r="C4534" s="63" t="s">
        <v>794</v>
      </c>
      <c r="D4534" s="807" t="s">
        <v>1852</v>
      </c>
      <c r="E4534" s="126">
        <v>32260.044642857145</v>
      </c>
      <c r="F4534" s="126"/>
      <c r="G4534" s="126">
        <f t="shared" si="74"/>
        <v>-32260.044642857145</v>
      </c>
      <c r="H4534" s="121" t="s">
        <v>3206</v>
      </c>
    </row>
    <row r="4535" spans="1:8" ht="15" x14ac:dyDescent="0.2">
      <c r="A4535" s="597">
        <v>43160</v>
      </c>
      <c r="B4535" s="63" t="s">
        <v>2787</v>
      </c>
      <c r="C4535" s="63" t="s">
        <v>794</v>
      </c>
      <c r="D4535" s="807" t="s">
        <v>2922</v>
      </c>
      <c r="E4535" s="126">
        <v>29750</v>
      </c>
      <c r="F4535" s="126"/>
      <c r="G4535" s="126">
        <f t="shared" si="74"/>
        <v>-29750</v>
      </c>
      <c r="H4535" s="121" t="s">
        <v>3206</v>
      </c>
    </row>
    <row r="4536" spans="1:8" ht="15" x14ac:dyDescent="0.2">
      <c r="A4536" s="597">
        <v>43160</v>
      </c>
      <c r="B4536" s="63" t="s">
        <v>2787</v>
      </c>
      <c r="C4536" s="63" t="s">
        <v>794</v>
      </c>
      <c r="D4536" s="807" t="s">
        <v>668</v>
      </c>
      <c r="E4536" s="126">
        <v>18930</v>
      </c>
      <c r="F4536" s="126"/>
      <c r="G4536" s="126">
        <f t="shared" si="74"/>
        <v>-18930</v>
      </c>
      <c r="H4536" s="121" t="s">
        <v>3206</v>
      </c>
    </row>
    <row r="4537" spans="1:8" ht="15" customHeight="1" x14ac:dyDescent="0.2">
      <c r="A4537" s="597">
        <v>43160</v>
      </c>
      <c r="B4537" s="63" t="s">
        <v>2787</v>
      </c>
      <c r="C4537" s="63" t="s">
        <v>794</v>
      </c>
      <c r="D4537" s="807" t="s">
        <v>3231</v>
      </c>
      <c r="E4537" s="126">
        <v>35159.59821428571</v>
      </c>
      <c r="F4537" s="126"/>
      <c r="G4537" s="126">
        <f t="shared" si="74"/>
        <v>-35159.59821428571</v>
      </c>
      <c r="H4537" s="121" t="s">
        <v>3206</v>
      </c>
    </row>
    <row r="4538" spans="1:8" ht="15" x14ac:dyDescent="0.2">
      <c r="A4538" s="597">
        <v>43160</v>
      </c>
      <c r="B4538" s="63" t="s">
        <v>2787</v>
      </c>
      <c r="C4538" s="63" t="s">
        <v>794</v>
      </c>
      <c r="D4538" s="807" t="s">
        <v>3232</v>
      </c>
      <c r="E4538" s="126">
        <v>25500</v>
      </c>
      <c r="F4538" s="126"/>
      <c r="G4538" s="126">
        <f t="shared" si="74"/>
        <v>-25500</v>
      </c>
      <c r="H4538" s="121" t="s">
        <v>3206</v>
      </c>
    </row>
    <row r="4539" spans="1:8" ht="15" x14ac:dyDescent="0.2">
      <c r="A4539" s="597">
        <v>43160</v>
      </c>
      <c r="B4539" s="63" t="s">
        <v>2787</v>
      </c>
      <c r="C4539" s="63" t="s">
        <v>794</v>
      </c>
      <c r="D4539" s="807" t="s">
        <v>3072</v>
      </c>
      <c r="E4539" s="126">
        <v>19290.178571428572</v>
      </c>
      <c r="F4539" s="126"/>
      <c r="G4539" s="126">
        <f t="shared" si="74"/>
        <v>-19290.178571428572</v>
      </c>
      <c r="H4539" s="121" t="s">
        <v>3206</v>
      </c>
    </row>
    <row r="4540" spans="1:8" ht="15" x14ac:dyDescent="0.2">
      <c r="A4540" s="597">
        <v>43160</v>
      </c>
      <c r="B4540" s="63" t="s">
        <v>2787</v>
      </c>
      <c r="C4540" s="63" t="s">
        <v>794</v>
      </c>
      <c r="D4540" s="807" t="s">
        <v>3070</v>
      </c>
      <c r="E4540" s="126">
        <v>9289.7142857142862</v>
      </c>
      <c r="F4540" s="126"/>
      <c r="G4540" s="126">
        <f t="shared" si="74"/>
        <v>-9289.7142857142862</v>
      </c>
      <c r="H4540" s="121" t="s">
        <v>3206</v>
      </c>
    </row>
    <row r="4541" spans="1:8" ht="15" x14ac:dyDescent="0.2">
      <c r="A4541" s="597">
        <v>43160</v>
      </c>
      <c r="B4541" s="63" t="s">
        <v>2787</v>
      </c>
      <c r="C4541" s="63" t="s">
        <v>794</v>
      </c>
      <c r="D4541" s="807" t="s">
        <v>1561</v>
      </c>
      <c r="E4541" s="126">
        <v>5550.2678571428578</v>
      </c>
      <c r="F4541" s="126"/>
      <c r="G4541" s="126">
        <f t="shared" si="74"/>
        <v>-5550.2678571428578</v>
      </c>
      <c r="H4541" s="121" t="s">
        <v>3206</v>
      </c>
    </row>
    <row r="4542" spans="1:8" ht="15" customHeight="1" x14ac:dyDescent="0.2">
      <c r="A4542" s="597">
        <v>43160</v>
      </c>
      <c r="B4542" s="63" t="s">
        <v>2787</v>
      </c>
      <c r="C4542" s="63" t="s">
        <v>794</v>
      </c>
      <c r="D4542" s="807" t="s">
        <v>1540</v>
      </c>
      <c r="E4542" s="126">
        <v>3989.7321428571422</v>
      </c>
      <c r="F4542" s="126"/>
      <c r="G4542" s="126">
        <f t="shared" si="74"/>
        <v>-3989.7321428571422</v>
      </c>
      <c r="H4542" s="121" t="s">
        <v>3206</v>
      </c>
    </row>
    <row r="4543" spans="1:8" ht="15" customHeight="1" x14ac:dyDescent="0.2">
      <c r="A4543" s="597">
        <v>43160</v>
      </c>
      <c r="B4543" s="63" t="s">
        <v>2787</v>
      </c>
      <c r="C4543" s="63" t="s">
        <v>794</v>
      </c>
      <c r="D4543" s="807" t="s">
        <v>1686</v>
      </c>
      <c r="E4543" s="126">
        <v>5779.7767857142853</v>
      </c>
      <c r="F4543" s="126"/>
      <c r="G4543" s="126">
        <f t="shared" si="74"/>
        <v>-5779.7767857142853</v>
      </c>
      <c r="H4543" s="121" t="s">
        <v>3206</v>
      </c>
    </row>
    <row r="4544" spans="1:8" ht="15" customHeight="1" x14ac:dyDescent="0.2">
      <c r="A4544" s="597">
        <v>43160</v>
      </c>
      <c r="B4544" s="63" t="s">
        <v>2787</v>
      </c>
      <c r="C4544" s="63" t="s">
        <v>794</v>
      </c>
      <c r="D4544" s="807" t="s">
        <v>3074</v>
      </c>
      <c r="E4544" s="126">
        <v>14500</v>
      </c>
      <c r="F4544" s="126"/>
      <c r="G4544" s="126">
        <f t="shared" si="74"/>
        <v>-14500</v>
      </c>
      <c r="H4544" s="121" t="s">
        <v>3206</v>
      </c>
    </row>
    <row r="4545" spans="1:8" ht="15" customHeight="1" x14ac:dyDescent="0.2">
      <c r="A4545" s="597">
        <v>43160</v>
      </c>
      <c r="B4545" s="63" t="s">
        <v>1400</v>
      </c>
      <c r="C4545" s="63" t="s">
        <v>794</v>
      </c>
      <c r="D4545" s="807" t="s">
        <v>1684</v>
      </c>
      <c r="E4545" s="126">
        <v>20000</v>
      </c>
      <c r="F4545" s="126"/>
      <c r="G4545" s="126">
        <f t="shared" si="74"/>
        <v>-20000</v>
      </c>
      <c r="H4545" s="121" t="s">
        <v>3206</v>
      </c>
    </row>
    <row r="4546" spans="1:8" ht="15" customHeight="1" x14ac:dyDescent="0.2">
      <c r="A4546" s="597">
        <v>43160</v>
      </c>
      <c r="B4546" s="63" t="s">
        <v>1400</v>
      </c>
      <c r="C4546" s="63" t="s">
        <v>794</v>
      </c>
      <c r="D4546" s="807" t="s">
        <v>2482</v>
      </c>
      <c r="E4546" s="126">
        <v>22070.312500000004</v>
      </c>
      <c r="F4546" s="126"/>
      <c r="G4546" s="126">
        <f t="shared" si="74"/>
        <v>-22070.312500000004</v>
      </c>
      <c r="H4546" s="121" t="s">
        <v>3206</v>
      </c>
    </row>
    <row r="4547" spans="1:8" ht="15" customHeight="1" x14ac:dyDescent="0.2">
      <c r="A4547" s="597">
        <v>43160</v>
      </c>
      <c r="B4547" s="63" t="s">
        <v>1400</v>
      </c>
      <c r="C4547" s="63" t="s">
        <v>794</v>
      </c>
      <c r="D4547" s="807" t="s">
        <v>1550</v>
      </c>
      <c r="E4547" s="126">
        <v>22000</v>
      </c>
      <c r="F4547" s="126"/>
      <c r="G4547" s="126">
        <f t="shared" si="74"/>
        <v>-22000</v>
      </c>
      <c r="H4547" s="121" t="s">
        <v>3206</v>
      </c>
    </row>
    <row r="4548" spans="1:8" ht="15" customHeight="1" x14ac:dyDescent="0.2">
      <c r="A4548" s="597">
        <v>43160</v>
      </c>
      <c r="B4548" s="63" t="s">
        <v>1400</v>
      </c>
      <c r="C4548" s="63" t="s">
        <v>794</v>
      </c>
      <c r="D4548" s="807" t="s">
        <v>1871</v>
      </c>
      <c r="E4548" s="126">
        <v>40000</v>
      </c>
      <c r="F4548" s="126"/>
      <c r="G4548" s="126">
        <f t="shared" si="74"/>
        <v>-40000</v>
      </c>
      <c r="H4548" s="121" t="s">
        <v>3206</v>
      </c>
    </row>
    <row r="4549" spans="1:8" ht="15" customHeight="1" x14ac:dyDescent="0.2">
      <c r="A4549" s="597">
        <v>43160</v>
      </c>
      <c r="B4549" s="63" t="s">
        <v>1400</v>
      </c>
      <c r="C4549" s="63" t="s">
        <v>794</v>
      </c>
      <c r="D4549" s="807" t="s">
        <v>1862</v>
      </c>
      <c r="E4549" s="126">
        <v>15370.535714285714</v>
      </c>
      <c r="F4549" s="126"/>
      <c r="G4549" s="126">
        <f t="shared" si="74"/>
        <v>-15370.535714285714</v>
      </c>
      <c r="H4549" s="121" t="s">
        <v>3206</v>
      </c>
    </row>
    <row r="4550" spans="1:8" ht="15" customHeight="1" x14ac:dyDescent="0.2">
      <c r="A4550" s="597">
        <v>43160</v>
      </c>
      <c r="B4550" s="63" t="s">
        <v>1400</v>
      </c>
      <c r="C4550" s="63" t="s">
        <v>794</v>
      </c>
      <c r="D4550" s="807" t="s">
        <v>3234</v>
      </c>
      <c r="E4550" s="126">
        <v>15679.687499999998</v>
      </c>
      <c r="F4550" s="126"/>
      <c r="G4550" s="126">
        <f t="shared" si="74"/>
        <v>-15679.687499999998</v>
      </c>
      <c r="H4550" s="121" t="s">
        <v>3206</v>
      </c>
    </row>
    <row r="4551" spans="1:8" ht="15" customHeight="1" x14ac:dyDescent="0.2">
      <c r="A4551" s="597">
        <v>43160</v>
      </c>
      <c r="B4551" s="63" t="s">
        <v>1400</v>
      </c>
      <c r="C4551" s="63" t="s">
        <v>794</v>
      </c>
      <c r="D4551" s="807" t="s">
        <v>2927</v>
      </c>
      <c r="E4551" s="126">
        <v>11709.642857142857</v>
      </c>
      <c r="F4551" s="126"/>
      <c r="G4551" s="126">
        <f t="shared" si="74"/>
        <v>-11709.642857142857</v>
      </c>
      <c r="H4551" s="121" t="s">
        <v>3206</v>
      </c>
    </row>
    <row r="4552" spans="1:8" ht="15" x14ac:dyDescent="0.2">
      <c r="A4552" s="597">
        <v>43160</v>
      </c>
      <c r="B4552" s="63" t="s">
        <v>1400</v>
      </c>
      <c r="C4552" s="63" t="s">
        <v>794</v>
      </c>
      <c r="D4552" s="807" t="s">
        <v>1872</v>
      </c>
      <c r="E4552" s="126">
        <v>21750</v>
      </c>
      <c r="F4552" s="126"/>
      <c r="G4552" s="126">
        <f t="shared" si="74"/>
        <v>-21750</v>
      </c>
      <c r="H4552" s="121" t="s">
        <v>3206</v>
      </c>
    </row>
    <row r="4553" spans="1:8" ht="15" x14ac:dyDescent="0.2">
      <c r="A4553" s="597">
        <v>43160</v>
      </c>
      <c r="B4553" s="63" t="s">
        <v>1400</v>
      </c>
      <c r="C4553" s="63" t="s">
        <v>794</v>
      </c>
      <c r="D4553" s="807" t="s">
        <v>3068</v>
      </c>
      <c r="E4553" s="126">
        <v>12500</v>
      </c>
      <c r="F4553" s="126"/>
      <c r="G4553" s="126">
        <f t="shared" ref="G4553:G4616" si="75">F4553-E4553</f>
        <v>-12500</v>
      </c>
      <c r="H4553" s="121" t="s">
        <v>3206</v>
      </c>
    </row>
    <row r="4554" spans="1:8" ht="15" x14ac:dyDescent="0.2">
      <c r="A4554" s="597">
        <v>43160</v>
      </c>
      <c r="B4554" s="63" t="s">
        <v>1400</v>
      </c>
      <c r="C4554" s="63" t="s">
        <v>794</v>
      </c>
      <c r="D4554" s="807" t="s">
        <v>2481</v>
      </c>
      <c r="E4554" s="126">
        <v>13170.446428571429</v>
      </c>
      <c r="F4554" s="126"/>
      <c r="G4554" s="126">
        <f t="shared" si="75"/>
        <v>-13170.446428571429</v>
      </c>
      <c r="H4554" s="121" t="s">
        <v>3206</v>
      </c>
    </row>
    <row r="4555" spans="1:8" ht="15" x14ac:dyDescent="0.2">
      <c r="A4555" s="597">
        <v>43160</v>
      </c>
      <c r="B4555" s="63" t="s">
        <v>11</v>
      </c>
      <c r="C4555" s="63" t="s">
        <v>794</v>
      </c>
      <c r="D4555" s="807" t="s">
        <v>2280</v>
      </c>
      <c r="E4555" s="126">
        <v>25000.446428571428</v>
      </c>
      <c r="F4555" s="126"/>
      <c r="G4555" s="126">
        <f t="shared" si="75"/>
        <v>-25000.446428571428</v>
      </c>
      <c r="H4555" s="121" t="s">
        <v>3206</v>
      </c>
    </row>
    <row r="4556" spans="1:8" ht="15" x14ac:dyDescent="0.2">
      <c r="A4556" s="597">
        <v>43160</v>
      </c>
      <c r="B4556" s="63" t="s">
        <v>2787</v>
      </c>
      <c r="C4556" s="63" t="s">
        <v>794</v>
      </c>
      <c r="D4556" s="807" t="s">
        <v>1845</v>
      </c>
      <c r="E4556" s="126">
        <v>28929.642857142855</v>
      </c>
      <c r="F4556" s="126"/>
      <c r="G4556" s="126">
        <f t="shared" si="75"/>
        <v>-28929.642857142855</v>
      </c>
      <c r="H4556" s="121" t="s">
        <v>3206</v>
      </c>
    </row>
    <row r="4557" spans="1:8" ht="15" x14ac:dyDescent="0.2">
      <c r="A4557" s="597">
        <v>43160</v>
      </c>
      <c r="B4557" s="63" t="s">
        <v>40</v>
      </c>
      <c r="C4557" s="63" t="s">
        <v>794</v>
      </c>
      <c r="D4557" s="807" t="s">
        <v>1855</v>
      </c>
      <c r="E4557" s="126">
        <v>27440.290178571428</v>
      </c>
      <c r="F4557" s="126"/>
      <c r="G4557" s="126">
        <f t="shared" si="75"/>
        <v>-27440.290178571428</v>
      </c>
      <c r="H4557" s="121" t="s">
        <v>3206</v>
      </c>
    </row>
    <row r="4558" spans="1:8" ht="15" x14ac:dyDescent="0.2">
      <c r="A4558" s="597">
        <v>43160</v>
      </c>
      <c r="B4558" s="63" t="s">
        <v>40</v>
      </c>
      <c r="C4558" s="63" t="s">
        <v>794</v>
      </c>
      <c r="D4558" s="807" t="s">
        <v>1861</v>
      </c>
      <c r="E4558" s="126">
        <v>17349.776785714283</v>
      </c>
      <c r="F4558" s="126"/>
      <c r="G4558" s="126">
        <f t="shared" si="75"/>
        <v>-17349.776785714283</v>
      </c>
      <c r="H4558" s="121" t="s">
        <v>3206</v>
      </c>
    </row>
    <row r="4559" spans="1:8" ht="15" x14ac:dyDescent="0.2">
      <c r="A4559" s="597">
        <v>43160</v>
      </c>
      <c r="B4559" s="63" t="s">
        <v>40</v>
      </c>
      <c r="C4559" s="63" t="s">
        <v>794</v>
      </c>
      <c r="D4559" s="807" t="s">
        <v>1849</v>
      </c>
      <c r="E4559" s="126">
        <v>17290</v>
      </c>
      <c r="F4559" s="126"/>
      <c r="G4559" s="126">
        <f t="shared" si="75"/>
        <v>-17290</v>
      </c>
      <c r="H4559" s="121" t="s">
        <v>3206</v>
      </c>
    </row>
    <row r="4560" spans="1:8" ht="15" x14ac:dyDescent="0.2">
      <c r="A4560" s="597">
        <v>43160</v>
      </c>
      <c r="B4560" s="63" t="s">
        <v>40</v>
      </c>
      <c r="C4560" s="63" t="s">
        <v>794</v>
      </c>
      <c r="D4560" s="807" t="s">
        <v>3354</v>
      </c>
      <c r="E4560" s="126">
        <v>9449.5535714285725</v>
      </c>
      <c r="F4560" s="126"/>
      <c r="G4560" s="126">
        <f t="shared" si="75"/>
        <v>-9449.5535714285725</v>
      </c>
      <c r="H4560" s="121" t="s">
        <v>3206</v>
      </c>
    </row>
    <row r="4561" spans="1:8" ht="15" x14ac:dyDescent="0.2">
      <c r="A4561" s="597">
        <v>43160</v>
      </c>
      <c r="B4561" s="63" t="s">
        <v>37</v>
      </c>
      <c r="C4561" s="63" t="s">
        <v>794</v>
      </c>
      <c r="D4561" s="807" t="s">
        <v>1866</v>
      </c>
      <c r="E4561" s="126">
        <v>14210.178571428572</v>
      </c>
      <c r="F4561" s="126"/>
      <c r="G4561" s="126">
        <f t="shared" si="75"/>
        <v>-14210.178571428572</v>
      </c>
      <c r="H4561" s="121" t="s">
        <v>3206</v>
      </c>
    </row>
    <row r="4562" spans="1:8" ht="15" x14ac:dyDescent="0.2">
      <c r="A4562" s="597">
        <v>43160</v>
      </c>
      <c r="B4562" s="63" t="s">
        <v>37</v>
      </c>
      <c r="C4562" s="63" t="s">
        <v>794</v>
      </c>
      <c r="D4562" s="807" t="s">
        <v>1867</v>
      </c>
      <c r="E4562" s="126">
        <v>13880</v>
      </c>
      <c r="F4562" s="126"/>
      <c r="G4562" s="126">
        <f t="shared" si="75"/>
        <v>-13880</v>
      </c>
      <c r="H4562" s="121" t="s">
        <v>3206</v>
      </c>
    </row>
    <row r="4563" spans="1:8" ht="15" x14ac:dyDescent="0.2">
      <c r="A4563" s="597">
        <v>43160</v>
      </c>
      <c r="B4563" s="63" t="s">
        <v>37</v>
      </c>
      <c r="C4563" s="63" t="s">
        <v>794</v>
      </c>
      <c r="D4563" s="807" t="s">
        <v>1868</v>
      </c>
      <c r="E4563" s="126">
        <v>14178.571428571428</v>
      </c>
      <c r="F4563" s="126"/>
      <c r="G4563" s="126">
        <f t="shared" si="75"/>
        <v>-14178.571428571428</v>
      </c>
      <c r="H4563" s="121" t="s">
        <v>3206</v>
      </c>
    </row>
    <row r="4564" spans="1:8" ht="15" x14ac:dyDescent="0.2">
      <c r="A4564" s="597">
        <v>43160</v>
      </c>
      <c r="B4564" s="63" t="s">
        <v>37</v>
      </c>
      <c r="C4564" s="63" t="s">
        <v>794</v>
      </c>
      <c r="D4564" s="807" t="s">
        <v>1240</v>
      </c>
      <c r="E4564" s="126">
        <v>14750</v>
      </c>
      <c r="F4564" s="126"/>
      <c r="G4564" s="126">
        <f t="shared" si="75"/>
        <v>-14750</v>
      </c>
      <c r="H4564" s="121" t="s">
        <v>3206</v>
      </c>
    </row>
    <row r="4565" spans="1:8" ht="15" customHeight="1" x14ac:dyDescent="0.2">
      <c r="A4565" s="597">
        <v>43160</v>
      </c>
      <c r="B4565" s="63" t="s">
        <v>37</v>
      </c>
      <c r="C4565" s="63" t="s">
        <v>794</v>
      </c>
      <c r="D4565" s="807" t="s">
        <v>2919</v>
      </c>
      <c r="E4565" s="126">
        <v>8928.5714285714294</v>
      </c>
      <c r="F4565" s="126"/>
      <c r="G4565" s="126">
        <f t="shared" si="75"/>
        <v>-8928.5714285714294</v>
      </c>
      <c r="H4565" s="121" t="s">
        <v>3206</v>
      </c>
    </row>
    <row r="4566" spans="1:8" ht="15" customHeight="1" x14ac:dyDescent="0.2">
      <c r="A4566" s="597">
        <v>43160</v>
      </c>
      <c r="B4566" s="63" t="s">
        <v>37</v>
      </c>
      <c r="C4566" s="63" t="s">
        <v>794</v>
      </c>
      <c r="D4566" s="807" t="s">
        <v>2720</v>
      </c>
      <c r="E4566" s="126">
        <v>13500</v>
      </c>
      <c r="F4566" s="126"/>
      <c r="G4566" s="126">
        <f t="shared" si="75"/>
        <v>-13500</v>
      </c>
      <c r="H4566" s="121" t="s">
        <v>3206</v>
      </c>
    </row>
    <row r="4567" spans="1:8" ht="15" x14ac:dyDescent="0.2">
      <c r="A4567" s="597">
        <v>43160</v>
      </c>
      <c r="B4567" s="63" t="s">
        <v>1400</v>
      </c>
      <c r="C4567" s="63" t="s">
        <v>794</v>
      </c>
      <c r="D4567" s="807" t="s">
        <v>1858</v>
      </c>
      <c r="E4567" s="126">
        <v>33000</v>
      </c>
      <c r="F4567" s="126"/>
      <c r="G4567" s="126">
        <f t="shared" si="75"/>
        <v>-33000</v>
      </c>
      <c r="H4567" s="121" t="s">
        <v>3206</v>
      </c>
    </row>
    <row r="4568" spans="1:8" ht="15" x14ac:dyDescent="0.2">
      <c r="A4568" s="597">
        <v>43160</v>
      </c>
      <c r="B4568" s="63" t="s">
        <v>2933</v>
      </c>
      <c r="C4568" s="63" t="s">
        <v>794</v>
      </c>
      <c r="D4568" s="807" t="s">
        <v>2925</v>
      </c>
      <c r="E4568" s="126">
        <v>45000</v>
      </c>
      <c r="F4568" s="126"/>
      <c r="G4568" s="126">
        <f t="shared" si="75"/>
        <v>-45000</v>
      </c>
      <c r="H4568" s="121" t="s">
        <v>3206</v>
      </c>
    </row>
    <row r="4569" spans="1:8" ht="15" x14ac:dyDescent="0.2">
      <c r="A4569" s="597">
        <v>43160</v>
      </c>
      <c r="B4569" s="63" t="s">
        <v>1400</v>
      </c>
      <c r="C4569" s="63" t="s">
        <v>794</v>
      </c>
      <c r="D4569" s="807" t="s">
        <v>1850</v>
      </c>
      <c r="E4569" s="126">
        <v>5875</v>
      </c>
      <c r="F4569" s="126"/>
      <c r="G4569" s="126">
        <f t="shared" si="75"/>
        <v>-5875</v>
      </c>
      <c r="H4569" s="121" t="s">
        <v>3206</v>
      </c>
    </row>
    <row r="4570" spans="1:8" ht="15" x14ac:dyDescent="0.2">
      <c r="A4570" s="597">
        <v>43160</v>
      </c>
      <c r="B4570" s="63" t="s">
        <v>2933</v>
      </c>
      <c r="C4570" s="63" t="s">
        <v>794</v>
      </c>
      <c r="D4570" s="807" t="s">
        <v>3236</v>
      </c>
      <c r="E4570" s="126">
        <v>25000</v>
      </c>
      <c r="F4570" s="126"/>
      <c r="G4570" s="126">
        <f t="shared" si="75"/>
        <v>-25000</v>
      </c>
      <c r="H4570" s="121" t="s">
        <v>3206</v>
      </c>
    </row>
    <row r="4571" spans="1:8" ht="15" x14ac:dyDescent="0.2">
      <c r="A4571" s="597">
        <v>43160</v>
      </c>
      <c r="B4571" s="63" t="s">
        <v>11</v>
      </c>
      <c r="C4571" s="63" t="s">
        <v>794</v>
      </c>
      <c r="D4571" s="807" t="s">
        <v>1870</v>
      </c>
      <c r="E4571" s="126">
        <v>5000</v>
      </c>
      <c r="F4571" s="126"/>
      <c r="G4571" s="126">
        <f t="shared" si="75"/>
        <v>-5000</v>
      </c>
      <c r="H4571" s="121" t="s">
        <v>3206</v>
      </c>
    </row>
    <row r="4572" spans="1:8" ht="15" x14ac:dyDescent="0.2">
      <c r="A4572" s="597">
        <v>43160</v>
      </c>
      <c r="B4572" s="63" t="s">
        <v>40</v>
      </c>
      <c r="C4572" s="63" t="s">
        <v>794</v>
      </c>
      <c r="D4572" s="807" t="s">
        <v>2036</v>
      </c>
      <c r="E4572" s="126">
        <v>13190</v>
      </c>
      <c r="F4572" s="126"/>
      <c r="G4572" s="126">
        <f t="shared" si="75"/>
        <v>-13190</v>
      </c>
      <c r="H4572" s="121" t="s">
        <v>3206</v>
      </c>
    </row>
    <row r="4573" spans="1:8" ht="15" x14ac:dyDescent="0.2">
      <c r="A4573" s="597">
        <v>43160</v>
      </c>
      <c r="B4573" s="63" t="s">
        <v>2787</v>
      </c>
      <c r="C4573" s="63" t="s">
        <v>3123</v>
      </c>
      <c r="D4573" s="807" t="s">
        <v>3334</v>
      </c>
      <c r="E4573" s="126">
        <v>40000</v>
      </c>
      <c r="F4573" s="126"/>
      <c r="G4573" s="126">
        <f t="shared" si="75"/>
        <v>-40000</v>
      </c>
      <c r="H4573" s="121" t="s">
        <v>3206</v>
      </c>
    </row>
    <row r="4574" spans="1:8" ht="15" x14ac:dyDescent="0.2">
      <c r="A4574" s="597">
        <v>43160</v>
      </c>
      <c r="B4574" s="63" t="s">
        <v>25</v>
      </c>
      <c r="C4574" s="63" t="s">
        <v>1894</v>
      </c>
      <c r="D4574" s="807" t="s">
        <v>72</v>
      </c>
      <c r="E4574" s="126">
        <v>18345</v>
      </c>
      <c r="F4574" s="126"/>
      <c r="G4574" s="126">
        <f t="shared" si="75"/>
        <v>-18345</v>
      </c>
      <c r="H4574" s="121" t="s">
        <v>3206</v>
      </c>
    </row>
    <row r="4575" spans="1:8" ht="15" customHeight="1" x14ac:dyDescent="0.2">
      <c r="A4575" s="597">
        <v>43162</v>
      </c>
      <c r="B4575" s="63" t="s">
        <v>16</v>
      </c>
      <c r="C4575" s="63" t="s">
        <v>286</v>
      </c>
      <c r="D4575" s="807" t="s">
        <v>3261</v>
      </c>
      <c r="E4575" s="126">
        <v>650</v>
      </c>
      <c r="F4575" s="126"/>
      <c r="G4575" s="126">
        <f t="shared" si="75"/>
        <v>-650</v>
      </c>
      <c r="H4575" s="121" t="s">
        <v>3206</v>
      </c>
    </row>
    <row r="4576" spans="1:8" ht="15" customHeight="1" x14ac:dyDescent="0.2">
      <c r="A4576" s="597">
        <v>43162</v>
      </c>
      <c r="B4576" s="63" t="s">
        <v>2652</v>
      </c>
      <c r="C4576" s="63" t="s">
        <v>3145</v>
      </c>
      <c r="D4576" s="807" t="s">
        <v>3262</v>
      </c>
      <c r="E4576" s="126">
        <f>22280-15000</f>
        <v>7280</v>
      </c>
      <c r="F4576" s="126"/>
      <c r="G4576" s="126">
        <f t="shared" si="75"/>
        <v>-7280</v>
      </c>
      <c r="H4576" s="121" t="s">
        <v>3206</v>
      </c>
    </row>
    <row r="4577" spans="1:8" ht="15" customHeight="1" x14ac:dyDescent="0.2">
      <c r="A4577" s="597">
        <v>43162</v>
      </c>
      <c r="B4577" s="63" t="s">
        <v>2933</v>
      </c>
      <c r="C4577" s="63" t="s">
        <v>3145</v>
      </c>
      <c r="D4577" s="807" t="s">
        <v>3262</v>
      </c>
      <c r="E4577" s="126">
        <v>15000</v>
      </c>
      <c r="F4577" s="126"/>
      <c r="G4577" s="126">
        <f t="shared" si="75"/>
        <v>-15000</v>
      </c>
      <c r="H4577" s="121" t="s">
        <v>3206</v>
      </c>
    </row>
    <row r="4578" spans="1:8" ht="15" customHeight="1" x14ac:dyDescent="0.2">
      <c r="A4578" s="597">
        <v>43162</v>
      </c>
      <c r="B4578" s="63" t="s">
        <v>40</v>
      </c>
      <c r="C4578" s="63" t="s">
        <v>3145</v>
      </c>
      <c r="D4578" s="807" t="s">
        <v>3263</v>
      </c>
      <c r="E4578" s="126">
        <v>1590</v>
      </c>
      <c r="F4578" s="126"/>
      <c r="G4578" s="126">
        <f t="shared" si="75"/>
        <v>-1590</v>
      </c>
      <c r="H4578" s="121" t="s">
        <v>3206</v>
      </c>
    </row>
    <row r="4579" spans="1:8" ht="15" customHeight="1" x14ac:dyDescent="0.2">
      <c r="A4579" s="597">
        <v>43162</v>
      </c>
      <c r="B4579" s="63" t="s">
        <v>82</v>
      </c>
      <c r="C4579" s="63" t="s">
        <v>3145</v>
      </c>
      <c r="D4579" s="807" t="s">
        <v>3263</v>
      </c>
      <c r="E4579" s="126">
        <v>4160</v>
      </c>
      <c r="F4579" s="126"/>
      <c r="G4579" s="126">
        <f t="shared" si="75"/>
        <v>-4160</v>
      </c>
      <c r="H4579" s="121" t="s">
        <v>3206</v>
      </c>
    </row>
    <row r="4580" spans="1:8" ht="15" customHeight="1" x14ac:dyDescent="0.2">
      <c r="A4580" s="597">
        <v>43164</v>
      </c>
      <c r="B4580" s="63" t="s">
        <v>2787</v>
      </c>
      <c r="C4580" s="63" t="s">
        <v>286</v>
      </c>
      <c r="D4580" s="807" t="s">
        <v>3264</v>
      </c>
      <c r="E4580" s="126">
        <v>5000</v>
      </c>
      <c r="F4580" s="126"/>
      <c r="G4580" s="126">
        <f t="shared" si="75"/>
        <v>-5000</v>
      </c>
      <c r="H4580" s="121" t="s">
        <v>3206</v>
      </c>
    </row>
    <row r="4581" spans="1:8" ht="15" customHeight="1" x14ac:dyDescent="0.2">
      <c r="A4581" s="597">
        <v>43164</v>
      </c>
      <c r="B4581" s="63" t="s">
        <v>2787</v>
      </c>
      <c r="C4581" s="63" t="s">
        <v>3145</v>
      </c>
      <c r="D4581" s="807" t="s">
        <v>3265</v>
      </c>
      <c r="E4581" s="126">
        <v>42520</v>
      </c>
      <c r="F4581" s="126"/>
      <c r="G4581" s="126">
        <f t="shared" si="75"/>
        <v>-42520</v>
      </c>
      <c r="H4581" s="121" t="s">
        <v>3206</v>
      </c>
    </row>
    <row r="4582" spans="1:8" ht="15" customHeight="1" x14ac:dyDescent="0.2">
      <c r="A4582" s="597">
        <v>43164</v>
      </c>
      <c r="B4582" s="63" t="s">
        <v>2787</v>
      </c>
      <c r="C4582" s="63" t="s">
        <v>3145</v>
      </c>
      <c r="D4582" s="807" t="s">
        <v>3155</v>
      </c>
      <c r="E4582" s="126">
        <v>72200</v>
      </c>
      <c r="F4582" s="126"/>
      <c r="G4582" s="126">
        <f t="shared" si="75"/>
        <v>-72200</v>
      </c>
      <c r="H4582" s="121" t="s">
        <v>3206</v>
      </c>
    </row>
    <row r="4583" spans="1:8" ht="24" customHeight="1" x14ac:dyDescent="0.2">
      <c r="A4583" s="597">
        <v>43165</v>
      </c>
      <c r="B4583" s="63" t="s">
        <v>2787</v>
      </c>
      <c r="C4583" s="63" t="s">
        <v>3145</v>
      </c>
      <c r="D4583" s="807" t="s">
        <v>3266</v>
      </c>
      <c r="E4583" s="126">
        <v>37230</v>
      </c>
      <c r="F4583" s="126"/>
      <c r="G4583" s="126">
        <f t="shared" si="75"/>
        <v>-37230</v>
      </c>
      <c r="H4583" s="121" t="s">
        <v>3206</v>
      </c>
    </row>
    <row r="4584" spans="1:8" ht="15" customHeight="1" x14ac:dyDescent="0.2">
      <c r="A4584" s="597">
        <v>43165</v>
      </c>
      <c r="B4584" s="63" t="s">
        <v>1400</v>
      </c>
      <c r="C4584" s="63" t="s">
        <v>3145</v>
      </c>
      <c r="D4584" s="807" t="s">
        <v>3267</v>
      </c>
      <c r="E4584" s="126">
        <v>2000</v>
      </c>
      <c r="F4584" s="126"/>
      <c r="G4584" s="126">
        <f t="shared" si="75"/>
        <v>-2000</v>
      </c>
      <c r="H4584" s="121" t="s">
        <v>3206</v>
      </c>
    </row>
    <row r="4585" spans="1:8" ht="15" customHeight="1" x14ac:dyDescent="0.2">
      <c r="A4585" s="597">
        <v>43166</v>
      </c>
      <c r="B4585" s="63" t="s">
        <v>40</v>
      </c>
      <c r="C4585" s="63" t="s">
        <v>3104</v>
      </c>
      <c r="D4585" s="807" t="s">
        <v>734</v>
      </c>
      <c r="E4585" s="126">
        <v>5500</v>
      </c>
      <c r="F4585" s="126"/>
      <c r="G4585" s="126">
        <f t="shared" si="75"/>
        <v>-5500</v>
      </c>
      <c r="H4585" s="121" t="s">
        <v>3206</v>
      </c>
    </row>
    <row r="4586" spans="1:8" ht="15" customHeight="1" x14ac:dyDescent="0.2">
      <c r="A4586" s="597">
        <v>43166</v>
      </c>
      <c r="B4586" s="63" t="s">
        <v>40</v>
      </c>
      <c r="C4586" s="63" t="s">
        <v>3104</v>
      </c>
      <c r="D4586" s="807" t="s">
        <v>734</v>
      </c>
      <c r="E4586" s="126">
        <v>9500</v>
      </c>
      <c r="F4586" s="126"/>
      <c r="G4586" s="126">
        <f t="shared" si="75"/>
        <v>-9500</v>
      </c>
      <c r="H4586" s="121" t="s">
        <v>3206</v>
      </c>
    </row>
    <row r="4587" spans="1:8" ht="15" customHeight="1" x14ac:dyDescent="0.2">
      <c r="A4587" s="597">
        <v>43166</v>
      </c>
      <c r="B4587" s="63" t="s">
        <v>2787</v>
      </c>
      <c r="C4587" s="63" t="s">
        <v>3145</v>
      </c>
      <c r="D4587" s="807" t="s">
        <v>3268</v>
      </c>
      <c r="E4587" s="126">
        <v>17700</v>
      </c>
      <c r="F4587" s="126"/>
      <c r="G4587" s="126">
        <f t="shared" si="75"/>
        <v>-17700</v>
      </c>
      <c r="H4587" s="121" t="s">
        <v>3206</v>
      </c>
    </row>
    <row r="4588" spans="1:8" ht="24" customHeight="1" x14ac:dyDescent="0.2">
      <c r="A4588" s="597">
        <v>43166</v>
      </c>
      <c r="B4588" s="63" t="s">
        <v>1400</v>
      </c>
      <c r="C4588" s="63" t="s">
        <v>3145</v>
      </c>
      <c r="D4588" s="807" t="s">
        <v>3269</v>
      </c>
      <c r="E4588" s="126">
        <v>27630</v>
      </c>
      <c r="F4588" s="126"/>
      <c r="G4588" s="126">
        <f t="shared" si="75"/>
        <v>-27630</v>
      </c>
      <c r="H4588" s="121" t="s">
        <v>3206</v>
      </c>
    </row>
    <row r="4589" spans="1:8" ht="15" customHeight="1" x14ac:dyDescent="0.2">
      <c r="A4589" s="597">
        <v>43166</v>
      </c>
      <c r="B4589" s="63" t="s">
        <v>25</v>
      </c>
      <c r="C4589" s="63" t="s">
        <v>1894</v>
      </c>
      <c r="D4589" s="807" t="s">
        <v>72</v>
      </c>
      <c r="E4589" s="126">
        <v>6000</v>
      </c>
      <c r="F4589" s="126"/>
      <c r="G4589" s="126">
        <f t="shared" si="75"/>
        <v>-6000</v>
      </c>
      <c r="H4589" s="121" t="s">
        <v>3206</v>
      </c>
    </row>
    <row r="4590" spans="1:8" ht="15" customHeight="1" x14ac:dyDescent="0.2">
      <c r="A4590" s="597">
        <v>43166</v>
      </c>
      <c r="B4590" s="63" t="s">
        <v>40</v>
      </c>
      <c r="C4590" s="63" t="s">
        <v>3145</v>
      </c>
      <c r="D4590" s="807" t="s">
        <v>3270</v>
      </c>
      <c r="E4590" s="126">
        <v>900</v>
      </c>
      <c r="F4590" s="126"/>
      <c r="G4590" s="126">
        <f t="shared" si="75"/>
        <v>-900</v>
      </c>
      <c r="H4590" s="121" t="s">
        <v>3206</v>
      </c>
    </row>
    <row r="4591" spans="1:8" ht="15" customHeight="1" x14ac:dyDescent="0.2">
      <c r="A4591" s="597">
        <v>43166</v>
      </c>
      <c r="B4591" s="63" t="s">
        <v>37</v>
      </c>
      <c r="C4591" s="63" t="s">
        <v>111</v>
      </c>
      <c r="D4591" s="807" t="s">
        <v>3271</v>
      </c>
      <c r="E4591" s="126">
        <v>2085</v>
      </c>
      <c r="F4591" s="126"/>
      <c r="G4591" s="126">
        <f t="shared" si="75"/>
        <v>-2085</v>
      </c>
      <c r="H4591" s="121" t="s">
        <v>3206</v>
      </c>
    </row>
    <row r="4592" spans="1:8" ht="15" customHeight="1" x14ac:dyDescent="0.2">
      <c r="A4592" s="597">
        <v>43169</v>
      </c>
      <c r="B4592" s="63" t="s">
        <v>2787</v>
      </c>
      <c r="C4592" s="63" t="s">
        <v>286</v>
      </c>
      <c r="D4592" s="807" t="s">
        <v>3272</v>
      </c>
      <c r="E4592" s="126">
        <v>8380</v>
      </c>
      <c r="F4592" s="126"/>
      <c r="G4592" s="126">
        <f t="shared" si="75"/>
        <v>-8380</v>
      </c>
      <c r="H4592" s="121" t="s">
        <v>3206</v>
      </c>
    </row>
    <row r="4593" spans="1:8" ht="15" customHeight="1" x14ac:dyDescent="0.2">
      <c r="A4593" s="597">
        <v>43169</v>
      </c>
      <c r="B4593" s="63" t="s">
        <v>2787</v>
      </c>
      <c r="C4593" s="63" t="s">
        <v>286</v>
      </c>
      <c r="D4593" s="807" t="s">
        <v>3148</v>
      </c>
      <c r="E4593" s="126">
        <v>5000</v>
      </c>
      <c r="F4593" s="126"/>
      <c r="G4593" s="126">
        <f t="shared" si="75"/>
        <v>-5000</v>
      </c>
      <c r="H4593" s="121" t="s">
        <v>3206</v>
      </c>
    </row>
    <row r="4594" spans="1:8" ht="15" customHeight="1" x14ac:dyDescent="0.2">
      <c r="A4594" s="597">
        <v>43169</v>
      </c>
      <c r="B4594" s="63" t="s">
        <v>2787</v>
      </c>
      <c r="C4594" s="63" t="s">
        <v>3145</v>
      </c>
      <c r="D4594" s="807" t="s">
        <v>3274</v>
      </c>
      <c r="E4594" s="126">
        <v>46450</v>
      </c>
      <c r="F4594" s="126"/>
      <c r="G4594" s="126">
        <f t="shared" si="75"/>
        <v>-46450</v>
      </c>
      <c r="H4594" s="121" t="s">
        <v>3206</v>
      </c>
    </row>
    <row r="4595" spans="1:8" ht="15" x14ac:dyDescent="0.2">
      <c r="A4595" s="597">
        <v>43169</v>
      </c>
      <c r="B4595" s="63" t="s">
        <v>2933</v>
      </c>
      <c r="C4595" s="63" t="s">
        <v>3145</v>
      </c>
      <c r="D4595" s="807" t="s">
        <v>3273</v>
      </c>
      <c r="E4595" s="126">
        <v>3260</v>
      </c>
      <c r="F4595" s="126"/>
      <c r="G4595" s="126">
        <f t="shared" si="75"/>
        <v>-3260</v>
      </c>
      <c r="H4595" s="121" t="s">
        <v>3206</v>
      </c>
    </row>
    <row r="4596" spans="1:8" ht="15" x14ac:dyDescent="0.2">
      <c r="A4596" s="597">
        <v>43171</v>
      </c>
      <c r="B4596" s="63" t="s">
        <v>2787</v>
      </c>
      <c r="C4596" s="63" t="s">
        <v>3275</v>
      </c>
      <c r="D4596" s="807" t="s">
        <v>3276</v>
      </c>
      <c r="E4596" s="126">
        <v>10000</v>
      </c>
      <c r="F4596" s="126"/>
      <c r="G4596" s="126">
        <f t="shared" si="75"/>
        <v>-10000</v>
      </c>
      <c r="H4596" s="121" t="s">
        <v>3206</v>
      </c>
    </row>
    <row r="4597" spans="1:8" ht="15" x14ac:dyDescent="0.2">
      <c r="A4597" s="597">
        <v>43171</v>
      </c>
      <c r="B4597" s="63" t="s">
        <v>82</v>
      </c>
      <c r="C4597" s="63" t="s">
        <v>3145</v>
      </c>
      <c r="D4597" s="807" t="s">
        <v>3277</v>
      </c>
      <c r="E4597" s="126">
        <v>3370</v>
      </c>
      <c r="F4597" s="126"/>
      <c r="G4597" s="126">
        <f t="shared" si="75"/>
        <v>-3370</v>
      </c>
      <c r="H4597" s="121" t="s">
        <v>3206</v>
      </c>
    </row>
    <row r="4598" spans="1:8" ht="15" x14ac:dyDescent="0.2">
      <c r="A4598" s="597">
        <v>43171</v>
      </c>
      <c r="B4598" s="63" t="s">
        <v>40</v>
      </c>
      <c r="C4598" s="63" t="s">
        <v>3145</v>
      </c>
      <c r="D4598" s="807" t="s">
        <v>72</v>
      </c>
      <c r="E4598" s="126">
        <v>1500</v>
      </c>
      <c r="F4598" s="126"/>
      <c r="G4598" s="126">
        <f t="shared" si="75"/>
        <v>-1500</v>
      </c>
      <c r="H4598" s="121" t="s">
        <v>3206</v>
      </c>
    </row>
    <row r="4599" spans="1:8" ht="15" x14ac:dyDescent="0.2">
      <c r="A4599" s="597">
        <v>43171</v>
      </c>
      <c r="B4599" s="63" t="s">
        <v>11</v>
      </c>
      <c r="C4599" s="63" t="s">
        <v>3145</v>
      </c>
      <c r="D4599" s="807" t="s">
        <v>3278</v>
      </c>
      <c r="E4599" s="126">
        <v>2210</v>
      </c>
      <c r="F4599" s="126"/>
      <c r="G4599" s="126">
        <f t="shared" si="75"/>
        <v>-2210</v>
      </c>
      <c r="H4599" s="121" t="s">
        <v>3206</v>
      </c>
    </row>
    <row r="4600" spans="1:8" ht="15" x14ac:dyDescent="0.2">
      <c r="A4600" s="597">
        <v>43171</v>
      </c>
      <c r="B4600" s="63" t="s">
        <v>1400</v>
      </c>
      <c r="C4600" s="63" t="s">
        <v>3145</v>
      </c>
      <c r="D4600" s="807" t="s">
        <v>3279</v>
      </c>
      <c r="E4600" s="126">
        <v>2000</v>
      </c>
      <c r="F4600" s="126"/>
      <c r="G4600" s="126">
        <f t="shared" si="75"/>
        <v>-2000</v>
      </c>
      <c r="H4600" s="121" t="s">
        <v>3206</v>
      </c>
    </row>
    <row r="4601" spans="1:8" ht="15" x14ac:dyDescent="0.2">
      <c r="A4601" s="597">
        <v>43172</v>
      </c>
      <c r="B4601" s="63" t="s">
        <v>11</v>
      </c>
      <c r="C4601" s="63" t="s">
        <v>3145</v>
      </c>
      <c r="D4601" s="807" t="s">
        <v>3340</v>
      </c>
      <c r="E4601" s="126">
        <v>1070</v>
      </c>
      <c r="F4601" s="126"/>
      <c r="G4601" s="126">
        <f t="shared" si="75"/>
        <v>-1070</v>
      </c>
      <c r="H4601" s="121" t="s">
        <v>3206</v>
      </c>
    </row>
    <row r="4602" spans="1:8" ht="15" x14ac:dyDescent="0.2">
      <c r="A4602" s="597">
        <v>43172</v>
      </c>
      <c r="B4602" s="63" t="s">
        <v>1400</v>
      </c>
      <c r="C4602" s="63" t="s">
        <v>3145</v>
      </c>
      <c r="D4602" s="807" t="s">
        <v>3341</v>
      </c>
      <c r="E4602" s="126">
        <v>86487</v>
      </c>
      <c r="F4602" s="126"/>
      <c r="G4602" s="126">
        <f t="shared" si="75"/>
        <v>-86487</v>
      </c>
      <c r="H4602" s="121" t="s">
        <v>3206</v>
      </c>
    </row>
    <row r="4603" spans="1:8" ht="15" x14ac:dyDescent="0.2">
      <c r="A4603" s="597">
        <v>43173</v>
      </c>
      <c r="B4603" s="63" t="s">
        <v>2787</v>
      </c>
      <c r="C4603" s="63" t="s">
        <v>3145</v>
      </c>
      <c r="D4603" s="807" t="s">
        <v>3342</v>
      </c>
      <c r="E4603" s="126">
        <v>23820</v>
      </c>
      <c r="F4603" s="126"/>
      <c r="G4603" s="126">
        <f t="shared" si="75"/>
        <v>-23820</v>
      </c>
      <c r="H4603" s="121" t="s">
        <v>3206</v>
      </c>
    </row>
    <row r="4604" spans="1:8" ht="15" x14ac:dyDescent="0.2">
      <c r="A4604" s="597">
        <v>43173</v>
      </c>
      <c r="B4604" s="63" t="s">
        <v>2787</v>
      </c>
      <c r="C4604" s="63" t="s">
        <v>3145</v>
      </c>
      <c r="D4604" s="807" t="s">
        <v>3343</v>
      </c>
      <c r="E4604" s="126">
        <v>29198</v>
      </c>
      <c r="F4604" s="126"/>
      <c r="G4604" s="126">
        <f t="shared" si="75"/>
        <v>-29198</v>
      </c>
      <c r="H4604" s="121" t="s">
        <v>3206</v>
      </c>
    </row>
    <row r="4605" spans="1:8" ht="15" x14ac:dyDescent="0.2">
      <c r="A4605" s="597">
        <v>43173</v>
      </c>
      <c r="B4605" s="63" t="s">
        <v>2787</v>
      </c>
      <c r="C4605" s="63" t="s">
        <v>3145</v>
      </c>
      <c r="D4605" s="807" t="s">
        <v>3344</v>
      </c>
      <c r="E4605" s="126">
        <v>30200</v>
      </c>
      <c r="F4605" s="126"/>
      <c r="G4605" s="126">
        <f t="shared" si="75"/>
        <v>-30200</v>
      </c>
      <c r="H4605" s="121" t="s">
        <v>3206</v>
      </c>
    </row>
    <row r="4606" spans="1:8" ht="15" x14ac:dyDescent="0.2">
      <c r="A4606" s="597">
        <v>43173</v>
      </c>
      <c r="B4606" s="63" t="s">
        <v>1400</v>
      </c>
      <c r="C4606" s="63" t="s">
        <v>3145</v>
      </c>
      <c r="D4606" s="807" t="s">
        <v>3341</v>
      </c>
      <c r="E4606" s="126">
        <v>4300</v>
      </c>
      <c r="F4606" s="126"/>
      <c r="G4606" s="126">
        <f t="shared" si="75"/>
        <v>-4300</v>
      </c>
      <c r="H4606" s="121" t="s">
        <v>3206</v>
      </c>
    </row>
    <row r="4607" spans="1:8" ht="24" x14ac:dyDescent="0.2">
      <c r="A4607" s="597">
        <v>43174</v>
      </c>
      <c r="B4607" s="63" t="s">
        <v>2787</v>
      </c>
      <c r="C4607" s="63" t="s">
        <v>3145</v>
      </c>
      <c r="D4607" s="807" t="s">
        <v>3345</v>
      </c>
      <c r="E4607" s="126">
        <v>47070</v>
      </c>
      <c r="F4607" s="126"/>
      <c r="G4607" s="126">
        <f t="shared" si="75"/>
        <v>-47070</v>
      </c>
      <c r="H4607" s="121" t="s">
        <v>3206</v>
      </c>
    </row>
    <row r="4608" spans="1:8" ht="15" x14ac:dyDescent="0.2">
      <c r="A4608" s="597">
        <v>43174</v>
      </c>
      <c r="B4608" s="63" t="s">
        <v>2787</v>
      </c>
      <c r="C4608" s="63" t="s">
        <v>3149</v>
      </c>
      <c r="D4608" s="807" t="s">
        <v>3346</v>
      </c>
      <c r="E4608" s="126">
        <f>340+300+110</f>
        <v>750</v>
      </c>
      <c r="F4608" s="126"/>
      <c r="G4608" s="126">
        <f t="shared" si="75"/>
        <v>-750</v>
      </c>
      <c r="H4608" s="121" t="s">
        <v>3206</v>
      </c>
    </row>
    <row r="4609" spans="1:8" ht="15" x14ac:dyDescent="0.2">
      <c r="A4609" s="597">
        <v>43190</v>
      </c>
      <c r="B4609" s="63" t="s">
        <v>2787</v>
      </c>
      <c r="C4609" s="63" t="s">
        <v>3145</v>
      </c>
      <c r="D4609" s="807" t="s">
        <v>3342</v>
      </c>
      <c r="E4609" s="126">
        <v>53346</v>
      </c>
      <c r="F4609" s="126"/>
      <c r="G4609" s="126">
        <f t="shared" si="75"/>
        <v>-53346</v>
      </c>
      <c r="H4609" s="121" t="s">
        <v>3206</v>
      </c>
    </row>
    <row r="4610" spans="1:8" ht="15" x14ac:dyDescent="0.2">
      <c r="A4610" s="597">
        <v>43190</v>
      </c>
      <c r="B4610" s="63" t="s">
        <v>2787</v>
      </c>
      <c r="C4610" s="63" t="s">
        <v>3145</v>
      </c>
      <c r="D4610" s="807" t="s">
        <v>3347</v>
      </c>
      <c r="E4610" s="126">
        <v>3900</v>
      </c>
      <c r="F4610" s="126"/>
      <c r="G4610" s="126">
        <f t="shared" si="75"/>
        <v>-3900</v>
      </c>
      <c r="H4610" s="121" t="s">
        <v>3206</v>
      </c>
    </row>
    <row r="4611" spans="1:8" ht="15" x14ac:dyDescent="0.2">
      <c r="A4611" s="597">
        <v>43190</v>
      </c>
      <c r="B4611" s="63" t="s">
        <v>2787</v>
      </c>
      <c r="C4611" s="63" t="s">
        <v>3145</v>
      </c>
      <c r="D4611" s="807" t="s">
        <v>3348</v>
      </c>
      <c r="E4611" s="126">
        <v>30600</v>
      </c>
      <c r="F4611" s="126"/>
      <c r="G4611" s="126">
        <f t="shared" si="75"/>
        <v>-30600</v>
      </c>
      <c r="H4611" s="121" t="s">
        <v>3206</v>
      </c>
    </row>
    <row r="4612" spans="1:8" ht="15" x14ac:dyDescent="0.2">
      <c r="A4612" s="597">
        <v>43190</v>
      </c>
      <c r="B4612" s="63" t="s">
        <v>1400</v>
      </c>
      <c r="C4612" s="63" t="s">
        <v>3145</v>
      </c>
      <c r="D4612" s="807" t="s">
        <v>3348</v>
      </c>
      <c r="E4612" s="126">
        <v>98966</v>
      </c>
      <c r="F4612" s="126"/>
      <c r="G4612" s="126">
        <f t="shared" si="75"/>
        <v>-98966</v>
      </c>
      <c r="H4612" s="121" t="s">
        <v>3206</v>
      </c>
    </row>
    <row r="4613" spans="1:8" ht="15" x14ac:dyDescent="0.2">
      <c r="A4613" s="597">
        <v>43190</v>
      </c>
      <c r="B4613" s="63" t="s">
        <v>2787</v>
      </c>
      <c r="C4613" s="63" t="s">
        <v>3145</v>
      </c>
      <c r="D4613" s="807" t="s">
        <v>3349</v>
      </c>
      <c r="E4613" s="126">
        <v>9300</v>
      </c>
      <c r="F4613" s="126"/>
      <c r="G4613" s="126">
        <f t="shared" si="75"/>
        <v>-9300</v>
      </c>
      <c r="H4613" s="121" t="s">
        <v>3206</v>
      </c>
    </row>
    <row r="4614" spans="1:8" ht="15" x14ac:dyDescent="0.2">
      <c r="A4614" s="597">
        <v>43190</v>
      </c>
      <c r="B4614" s="63" t="s">
        <v>2787</v>
      </c>
      <c r="C4614" s="63" t="s">
        <v>3145</v>
      </c>
      <c r="D4614" s="807" t="s">
        <v>3348</v>
      </c>
      <c r="E4614" s="126">
        <v>9588</v>
      </c>
      <c r="F4614" s="126"/>
      <c r="G4614" s="126">
        <f t="shared" si="75"/>
        <v>-9588</v>
      </c>
      <c r="H4614" s="121" t="s">
        <v>3206</v>
      </c>
    </row>
    <row r="4615" spans="1:8" ht="15" x14ac:dyDescent="0.2">
      <c r="A4615" s="597">
        <v>43190</v>
      </c>
      <c r="B4615" s="63" t="s">
        <v>2787</v>
      </c>
      <c r="C4615" s="63" t="s">
        <v>3145</v>
      </c>
      <c r="D4615" s="807" t="s">
        <v>3350</v>
      </c>
      <c r="E4615" s="126">
        <v>22100</v>
      </c>
      <c r="F4615" s="126"/>
      <c r="G4615" s="126">
        <f t="shared" si="75"/>
        <v>-22100</v>
      </c>
      <c r="H4615" s="121" t="s">
        <v>3206</v>
      </c>
    </row>
    <row r="4616" spans="1:8" ht="15" x14ac:dyDescent="0.2">
      <c r="A4616" s="597">
        <v>43190</v>
      </c>
      <c r="B4616" s="63" t="s">
        <v>1400</v>
      </c>
      <c r="C4616" s="63" t="s">
        <v>3145</v>
      </c>
      <c r="D4616" s="807" t="s">
        <v>3350</v>
      </c>
      <c r="E4616" s="126">
        <v>22100</v>
      </c>
      <c r="F4616" s="126"/>
      <c r="G4616" s="126">
        <f t="shared" si="75"/>
        <v>-22100</v>
      </c>
      <c r="H4616" s="121" t="s">
        <v>3206</v>
      </c>
    </row>
    <row r="4617" spans="1:8" ht="15" x14ac:dyDescent="0.2">
      <c r="A4617" s="597">
        <v>43190</v>
      </c>
      <c r="B4617" s="63" t="s">
        <v>40</v>
      </c>
      <c r="C4617" s="63" t="s">
        <v>3104</v>
      </c>
      <c r="D4617" s="807" t="s">
        <v>3276</v>
      </c>
      <c r="E4617" s="126">
        <v>25000</v>
      </c>
      <c r="F4617" s="126"/>
      <c r="G4617" s="126">
        <f t="shared" ref="G4617:G4680" si="76">F4617-E4617</f>
        <v>-25000</v>
      </c>
      <c r="H4617" s="121" t="s">
        <v>3206</v>
      </c>
    </row>
    <row r="4618" spans="1:8" ht="15" x14ac:dyDescent="0.2">
      <c r="A4618" s="597">
        <v>43190</v>
      </c>
      <c r="B4618" s="63" t="s">
        <v>2933</v>
      </c>
      <c r="C4618" s="63" t="s">
        <v>3145</v>
      </c>
      <c r="D4618" s="807" t="s">
        <v>3351</v>
      </c>
      <c r="E4618" s="126">
        <v>36960</v>
      </c>
      <c r="F4618" s="126"/>
      <c r="G4618" s="126">
        <f t="shared" si="76"/>
        <v>-36960</v>
      </c>
      <c r="H4618" s="121" t="s">
        <v>3206</v>
      </c>
    </row>
    <row r="4619" spans="1:8" ht="15" x14ac:dyDescent="0.2">
      <c r="A4619" s="597">
        <v>43190</v>
      </c>
      <c r="B4619" s="63" t="s">
        <v>2787</v>
      </c>
      <c r="C4619" s="63" t="s">
        <v>3145</v>
      </c>
      <c r="D4619" s="807" t="s">
        <v>3352</v>
      </c>
      <c r="E4619" s="126">
        <v>33070</v>
      </c>
      <c r="F4619" s="126"/>
      <c r="G4619" s="126">
        <f t="shared" si="76"/>
        <v>-33070</v>
      </c>
      <c r="H4619" s="121" t="s">
        <v>3206</v>
      </c>
    </row>
    <row r="4620" spans="1:8" ht="15" x14ac:dyDescent="0.2">
      <c r="A4620" s="597">
        <v>43190</v>
      </c>
      <c r="B4620" s="63" t="s">
        <v>2787</v>
      </c>
      <c r="C4620" s="63" t="s">
        <v>286</v>
      </c>
      <c r="D4620" s="807" t="s">
        <v>3230</v>
      </c>
      <c r="E4620" s="126">
        <v>1000</v>
      </c>
      <c r="F4620" s="126"/>
      <c r="G4620" s="126">
        <f t="shared" si="76"/>
        <v>-1000</v>
      </c>
      <c r="H4620" s="121" t="s">
        <v>3206</v>
      </c>
    </row>
    <row r="4621" spans="1:8" ht="15" x14ac:dyDescent="0.2">
      <c r="A4621" s="597">
        <v>43190</v>
      </c>
      <c r="B4621" s="63" t="s">
        <v>2787</v>
      </c>
      <c r="C4621" s="63" t="s">
        <v>3145</v>
      </c>
      <c r="D4621" s="807" t="s">
        <v>3185</v>
      </c>
      <c r="E4621" s="126">
        <v>18332</v>
      </c>
      <c r="F4621" s="126"/>
      <c r="G4621" s="126">
        <f t="shared" si="76"/>
        <v>-18332</v>
      </c>
      <c r="H4621" s="121" t="s">
        <v>3206</v>
      </c>
    </row>
    <row r="4622" spans="1:8" ht="15" x14ac:dyDescent="0.2">
      <c r="A4622" s="597">
        <v>43190</v>
      </c>
      <c r="B4622" s="63" t="s">
        <v>37</v>
      </c>
      <c r="C4622" s="63" t="s">
        <v>3145</v>
      </c>
      <c r="D4622" s="807" t="s">
        <v>3353</v>
      </c>
      <c r="E4622" s="126">
        <v>8390</v>
      </c>
      <c r="F4622" s="126"/>
      <c r="G4622" s="126">
        <f t="shared" si="76"/>
        <v>-8390</v>
      </c>
      <c r="H4622" s="121" t="s">
        <v>3206</v>
      </c>
    </row>
    <row r="4623" spans="1:8" ht="15" x14ac:dyDescent="0.2">
      <c r="A4623" s="604">
        <v>43160</v>
      </c>
      <c r="B4623" s="174" t="s">
        <v>1400</v>
      </c>
      <c r="C4623" s="174" t="s">
        <v>2160</v>
      </c>
      <c r="D4623" s="157" t="s">
        <v>3200</v>
      </c>
      <c r="E4623" s="236">
        <v>10000</v>
      </c>
      <c r="F4623" s="236"/>
      <c r="G4623" s="236">
        <f t="shared" si="76"/>
        <v>-10000</v>
      </c>
      <c r="H4623" s="260" t="s">
        <v>3206</v>
      </c>
    </row>
    <row r="4624" spans="1:8" ht="24" x14ac:dyDescent="0.2">
      <c r="A4624" s="604">
        <v>43160</v>
      </c>
      <c r="B4624" s="174" t="s">
        <v>1400</v>
      </c>
      <c r="C4624" s="174" t="s">
        <v>3077</v>
      </c>
      <c r="D4624" s="118" t="s">
        <v>3142</v>
      </c>
      <c r="E4624" s="236">
        <v>27000</v>
      </c>
      <c r="F4624" s="236"/>
      <c r="G4624" s="236">
        <f t="shared" si="76"/>
        <v>-27000</v>
      </c>
      <c r="H4624" s="260" t="s">
        <v>3206</v>
      </c>
    </row>
    <row r="4625" spans="1:8" ht="15" x14ac:dyDescent="0.2">
      <c r="A4625" s="604">
        <v>43161</v>
      </c>
      <c r="B4625" s="174" t="s">
        <v>2787</v>
      </c>
      <c r="C4625" s="174" t="s">
        <v>251</v>
      </c>
      <c r="D4625" s="118" t="s">
        <v>3201</v>
      </c>
      <c r="E4625" s="236">
        <v>76000</v>
      </c>
      <c r="F4625" s="236"/>
      <c r="G4625" s="236">
        <f t="shared" si="76"/>
        <v>-76000</v>
      </c>
      <c r="H4625" s="260" t="s">
        <v>3206</v>
      </c>
    </row>
    <row r="4626" spans="1:8" ht="15" x14ac:dyDescent="0.2">
      <c r="A4626" s="604">
        <v>43161</v>
      </c>
      <c r="B4626" s="174" t="s">
        <v>1400</v>
      </c>
      <c r="C4626" s="174" t="s">
        <v>3202</v>
      </c>
      <c r="D4626" s="157" t="s">
        <v>3203</v>
      </c>
      <c r="E4626" s="236">
        <v>100000</v>
      </c>
      <c r="F4626" s="236"/>
      <c r="G4626" s="236">
        <f t="shared" si="76"/>
        <v>-100000</v>
      </c>
      <c r="H4626" s="260" t="s">
        <v>3206</v>
      </c>
    </row>
    <row r="4627" spans="1:8" ht="24" x14ac:dyDescent="0.2">
      <c r="A4627" s="604">
        <v>43161</v>
      </c>
      <c r="B4627" s="174" t="s">
        <v>2787</v>
      </c>
      <c r="C4627" s="174" t="s">
        <v>573</v>
      </c>
      <c r="D4627" s="118" t="s">
        <v>3204</v>
      </c>
      <c r="E4627" s="236">
        <v>1500000</v>
      </c>
      <c r="F4627" s="236"/>
      <c r="G4627" s="236">
        <f t="shared" si="76"/>
        <v>-1500000</v>
      </c>
      <c r="H4627" s="260" t="s">
        <v>3206</v>
      </c>
    </row>
    <row r="4628" spans="1:8" ht="15" x14ac:dyDescent="0.2">
      <c r="A4628" s="604">
        <v>43164</v>
      </c>
      <c r="B4628" s="174" t="s">
        <v>18</v>
      </c>
      <c r="C4628" s="174" t="s">
        <v>2160</v>
      </c>
      <c r="D4628" s="118" t="s">
        <v>3207</v>
      </c>
      <c r="E4628" s="236">
        <v>35280</v>
      </c>
      <c r="F4628" s="236"/>
      <c r="G4628" s="236">
        <f t="shared" si="76"/>
        <v>-35280</v>
      </c>
      <c r="H4628" s="260" t="s">
        <v>3206</v>
      </c>
    </row>
    <row r="4629" spans="1:8" ht="15" x14ac:dyDescent="0.2">
      <c r="A4629" s="604">
        <v>43164</v>
      </c>
      <c r="B4629" s="174" t="s">
        <v>2787</v>
      </c>
      <c r="C4629" s="174" t="s">
        <v>3208</v>
      </c>
      <c r="D4629" s="118" t="s">
        <v>3209</v>
      </c>
      <c r="E4629" s="236">
        <v>91500</v>
      </c>
      <c r="F4629" s="236"/>
      <c r="G4629" s="236">
        <f t="shared" si="76"/>
        <v>-91500</v>
      </c>
      <c r="H4629" s="260" t="s">
        <v>3206</v>
      </c>
    </row>
    <row r="4630" spans="1:8" ht="15" x14ac:dyDescent="0.2">
      <c r="A4630" s="604">
        <v>43164</v>
      </c>
      <c r="B4630" s="174" t="s">
        <v>2933</v>
      </c>
      <c r="C4630" s="174" t="s">
        <v>3112</v>
      </c>
      <c r="D4630" s="118" t="s">
        <v>2655</v>
      </c>
      <c r="E4630" s="236">
        <v>100000</v>
      </c>
      <c r="F4630" s="236"/>
      <c r="G4630" s="236">
        <f t="shared" si="76"/>
        <v>-100000</v>
      </c>
      <c r="H4630" s="260" t="s">
        <v>3206</v>
      </c>
    </row>
    <row r="4631" spans="1:8" ht="15" x14ac:dyDescent="0.2">
      <c r="A4631" s="604">
        <v>43164</v>
      </c>
      <c r="B4631" s="174" t="s">
        <v>2933</v>
      </c>
      <c r="C4631" s="174" t="s">
        <v>3112</v>
      </c>
      <c r="D4631" s="118" t="s">
        <v>3205</v>
      </c>
      <c r="E4631" s="236">
        <v>100000</v>
      </c>
      <c r="F4631" s="236"/>
      <c r="G4631" s="236">
        <f t="shared" si="76"/>
        <v>-100000</v>
      </c>
      <c r="H4631" s="260" t="s">
        <v>3206</v>
      </c>
    </row>
    <row r="4632" spans="1:8" ht="15" x14ac:dyDescent="0.2">
      <c r="A4632" s="604">
        <v>43164</v>
      </c>
      <c r="B4632" s="174" t="s">
        <v>2787</v>
      </c>
      <c r="C4632" s="174" t="s">
        <v>3106</v>
      </c>
      <c r="D4632" s="118" t="s">
        <v>3210</v>
      </c>
      <c r="E4632" s="236">
        <v>319000</v>
      </c>
      <c r="F4632" s="236"/>
      <c r="G4632" s="236">
        <f t="shared" si="76"/>
        <v>-319000</v>
      </c>
      <c r="H4632" s="260" t="s">
        <v>3206</v>
      </c>
    </row>
    <row r="4633" spans="1:8" ht="15" x14ac:dyDescent="0.2">
      <c r="A4633" s="604">
        <v>43164</v>
      </c>
      <c r="B4633" s="174" t="s">
        <v>2787</v>
      </c>
      <c r="C4633" s="174" t="s">
        <v>3106</v>
      </c>
      <c r="D4633" s="157" t="s">
        <v>3211</v>
      </c>
      <c r="E4633" s="236">
        <v>100000</v>
      </c>
      <c r="F4633" s="236"/>
      <c r="G4633" s="236">
        <f t="shared" si="76"/>
        <v>-100000</v>
      </c>
      <c r="H4633" s="260" t="s">
        <v>3206</v>
      </c>
    </row>
    <row r="4634" spans="1:8" ht="24" x14ac:dyDescent="0.2">
      <c r="A4634" s="604">
        <v>43164</v>
      </c>
      <c r="B4634" s="174" t="s">
        <v>2933</v>
      </c>
      <c r="C4634" s="174" t="s">
        <v>2128</v>
      </c>
      <c r="D4634" s="118" t="s">
        <v>3212</v>
      </c>
      <c r="E4634" s="236">
        <v>1000000</v>
      </c>
      <c r="F4634" s="236"/>
      <c r="G4634" s="236">
        <f t="shared" si="76"/>
        <v>-1000000</v>
      </c>
      <c r="H4634" s="260" t="s">
        <v>3206</v>
      </c>
    </row>
    <row r="4635" spans="1:8" ht="24" x14ac:dyDescent="0.2">
      <c r="A4635" s="604">
        <v>43164</v>
      </c>
      <c r="B4635" s="174" t="s">
        <v>2787</v>
      </c>
      <c r="C4635" s="174" t="s">
        <v>2128</v>
      </c>
      <c r="D4635" s="118" t="s">
        <v>3213</v>
      </c>
      <c r="E4635" s="236">
        <v>680000</v>
      </c>
      <c r="F4635" s="236"/>
      <c r="G4635" s="236">
        <f t="shared" si="76"/>
        <v>-680000</v>
      </c>
      <c r="H4635" s="260" t="s">
        <v>3206</v>
      </c>
    </row>
    <row r="4636" spans="1:8" ht="15" x14ac:dyDescent="0.2">
      <c r="A4636" s="604">
        <v>43164</v>
      </c>
      <c r="B4636" s="174" t="s">
        <v>2787</v>
      </c>
      <c r="C4636" s="174" t="s">
        <v>3145</v>
      </c>
      <c r="D4636" s="118" t="s">
        <v>3214</v>
      </c>
      <c r="E4636" s="236">
        <v>213315</v>
      </c>
      <c r="F4636" s="236"/>
      <c r="G4636" s="236">
        <f t="shared" si="76"/>
        <v>-213315</v>
      </c>
      <c r="H4636" s="260" t="s">
        <v>3206</v>
      </c>
    </row>
    <row r="4637" spans="1:8" ht="15" x14ac:dyDescent="0.2">
      <c r="A4637" s="604">
        <v>43165</v>
      </c>
      <c r="B4637" s="174" t="s">
        <v>2787</v>
      </c>
      <c r="C4637" s="174" t="s">
        <v>165</v>
      </c>
      <c r="D4637" s="118" t="s">
        <v>2893</v>
      </c>
      <c r="E4637" s="236">
        <v>150000</v>
      </c>
      <c r="F4637" s="236"/>
      <c r="G4637" s="236">
        <f t="shared" si="76"/>
        <v>-150000</v>
      </c>
      <c r="H4637" s="260" t="s">
        <v>3206</v>
      </c>
    </row>
    <row r="4638" spans="1:8" ht="15" x14ac:dyDescent="0.2">
      <c r="A4638" s="604">
        <v>43165</v>
      </c>
      <c r="B4638" s="174" t="s">
        <v>2933</v>
      </c>
      <c r="C4638" s="174" t="s">
        <v>165</v>
      </c>
      <c r="D4638" s="118" t="s">
        <v>2893</v>
      </c>
      <c r="E4638" s="236">
        <v>50000</v>
      </c>
      <c r="F4638" s="236"/>
      <c r="G4638" s="236">
        <f t="shared" si="76"/>
        <v>-50000</v>
      </c>
      <c r="H4638" s="260" t="s">
        <v>3206</v>
      </c>
    </row>
    <row r="4639" spans="1:8" ht="36" x14ac:dyDescent="0.2">
      <c r="A4639" s="604">
        <v>43166</v>
      </c>
      <c r="B4639" s="174" t="s">
        <v>1400</v>
      </c>
      <c r="C4639" s="174" t="s">
        <v>3226</v>
      </c>
      <c r="D4639" s="118" t="s">
        <v>3227</v>
      </c>
      <c r="E4639" s="236">
        <v>1320000</v>
      </c>
      <c r="F4639" s="236"/>
      <c r="G4639" s="236">
        <f t="shared" si="76"/>
        <v>-1320000</v>
      </c>
      <c r="H4639" s="260" t="s">
        <v>3206</v>
      </c>
    </row>
    <row r="4640" spans="1:8" ht="15" x14ac:dyDescent="0.2">
      <c r="A4640" s="604">
        <v>43166</v>
      </c>
      <c r="B4640" s="174" t="s">
        <v>2787</v>
      </c>
      <c r="C4640" s="174" t="s">
        <v>929</v>
      </c>
      <c r="D4640" s="118" t="s">
        <v>2655</v>
      </c>
      <c r="E4640" s="236">
        <v>12000</v>
      </c>
      <c r="F4640" s="236"/>
      <c r="G4640" s="236">
        <f t="shared" si="76"/>
        <v>-12000</v>
      </c>
      <c r="H4640" s="260" t="s">
        <v>3206</v>
      </c>
    </row>
    <row r="4641" spans="1:8" ht="15" x14ac:dyDescent="0.2">
      <c r="A4641" s="604">
        <v>43166</v>
      </c>
      <c r="B4641" s="174" t="s">
        <v>2787</v>
      </c>
      <c r="C4641" s="174" t="s">
        <v>929</v>
      </c>
      <c r="D4641" s="118" t="s">
        <v>3228</v>
      </c>
      <c r="E4641" s="236">
        <v>70000</v>
      </c>
      <c r="F4641" s="236"/>
      <c r="G4641" s="236">
        <f t="shared" si="76"/>
        <v>-70000</v>
      </c>
      <c r="H4641" s="260" t="s">
        <v>3206</v>
      </c>
    </row>
    <row r="4642" spans="1:8" ht="15" x14ac:dyDescent="0.2">
      <c r="A4642" s="604">
        <v>43166</v>
      </c>
      <c r="B4642" s="174" t="s">
        <v>2787</v>
      </c>
      <c r="C4642" s="174" t="s">
        <v>266</v>
      </c>
      <c r="D4642" s="118" t="s">
        <v>2655</v>
      </c>
      <c r="E4642" s="236">
        <v>123000</v>
      </c>
      <c r="F4642" s="236"/>
      <c r="G4642" s="236">
        <f t="shared" si="76"/>
        <v>-123000</v>
      </c>
      <c r="H4642" s="260" t="s">
        <v>3206</v>
      </c>
    </row>
    <row r="4643" spans="1:8" ht="15" x14ac:dyDescent="0.2">
      <c r="A4643" s="604">
        <v>43167</v>
      </c>
      <c r="B4643" s="174" t="s">
        <v>2787</v>
      </c>
      <c r="C4643" s="174" t="s">
        <v>3011</v>
      </c>
      <c r="D4643" s="118" t="s">
        <v>2655</v>
      </c>
      <c r="E4643" s="236">
        <v>200000</v>
      </c>
      <c r="F4643" s="236"/>
      <c r="G4643" s="236">
        <f t="shared" si="76"/>
        <v>-200000</v>
      </c>
      <c r="H4643" s="260" t="s">
        <v>3206</v>
      </c>
    </row>
    <row r="4644" spans="1:8" ht="15" x14ac:dyDescent="0.2">
      <c r="A4644" s="604">
        <v>43167</v>
      </c>
      <c r="B4644" s="174" t="s">
        <v>2787</v>
      </c>
      <c r="C4644" s="174" t="s">
        <v>895</v>
      </c>
      <c r="D4644" s="118" t="s">
        <v>3229</v>
      </c>
      <c r="E4644" s="236">
        <v>360000</v>
      </c>
      <c r="F4644" s="236"/>
      <c r="G4644" s="236">
        <f t="shared" si="76"/>
        <v>-360000</v>
      </c>
      <c r="H4644" s="260" t="s">
        <v>3206</v>
      </c>
    </row>
    <row r="4645" spans="1:8" ht="15" x14ac:dyDescent="0.2">
      <c r="A4645" s="604">
        <v>43169</v>
      </c>
      <c r="B4645" s="174" t="s">
        <v>2787</v>
      </c>
      <c r="C4645" s="174" t="s">
        <v>5187</v>
      </c>
      <c r="D4645" s="118" t="s">
        <v>3260</v>
      </c>
      <c r="E4645" s="236">
        <v>300000</v>
      </c>
      <c r="F4645" s="236"/>
      <c r="G4645" s="236">
        <f t="shared" si="76"/>
        <v>-300000</v>
      </c>
      <c r="H4645" s="260" t="s">
        <v>3206</v>
      </c>
    </row>
    <row r="4646" spans="1:8" ht="15" x14ac:dyDescent="0.2">
      <c r="A4646" s="604">
        <v>43173</v>
      </c>
      <c r="B4646" s="174" t="s">
        <v>1400</v>
      </c>
      <c r="C4646" s="174" t="s">
        <v>438</v>
      </c>
      <c r="D4646" s="118" t="s">
        <v>5983</v>
      </c>
      <c r="E4646" s="236">
        <v>20625</v>
      </c>
      <c r="F4646" s="236"/>
      <c r="G4646" s="236">
        <f t="shared" si="76"/>
        <v>-20625</v>
      </c>
      <c r="H4646" s="260" t="s">
        <v>3206</v>
      </c>
    </row>
    <row r="4647" spans="1:8" ht="15" x14ac:dyDescent="0.2">
      <c r="A4647" s="604">
        <v>43174</v>
      </c>
      <c r="B4647" s="174" t="s">
        <v>2787</v>
      </c>
      <c r="C4647" s="174" t="s">
        <v>251</v>
      </c>
      <c r="D4647" s="118" t="s">
        <v>5984</v>
      </c>
      <c r="E4647" s="236">
        <v>107236</v>
      </c>
      <c r="F4647" s="236"/>
      <c r="G4647" s="236">
        <f t="shared" si="76"/>
        <v>-107236</v>
      </c>
      <c r="H4647" s="260" t="s">
        <v>3206</v>
      </c>
    </row>
    <row r="4648" spans="1:8" ht="15" x14ac:dyDescent="0.2">
      <c r="A4648" s="604">
        <v>43177</v>
      </c>
      <c r="B4648" s="174" t="s">
        <v>2787</v>
      </c>
      <c r="C4648" s="174" t="s">
        <v>2338</v>
      </c>
      <c r="D4648" s="118" t="s">
        <v>3283</v>
      </c>
      <c r="E4648" s="236">
        <v>171883</v>
      </c>
      <c r="F4648" s="236"/>
      <c r="G4648" s="236">
        <f t="shared" si="76"/>
        <v>-171883</v>
      </c>
      <c r="H4648" s="260" t="s">
        <v>3206</v>
      </c>
    </row>
    <row r="4649" spans="1:8" ht="15" x14ac:dyDescent="0.2">
      <c r="A4649" s="604">
        <v>43177</v>
      </c>
      <c r="B4649" s="174" t="s">
        <v>2933</v>
      </c>
      <c r="C4649" s="174" t="s">
        <v>3112</v>
      </c>
      <c r="D4649" s="118" t="s">
        <v>3284</v>
      </c>
      <c r="E4649" s="236">
        <v>50000</v>
      </c>
      <c r="F4649" s="236"/>
      <c r="G4649" s="236">
        <f t="shared" si="76"/>
        <v>-50000</v>
      </c>
      <c r="H4649" s="260" t="s">
        <v>3206</v>
      </c>
    </row>
    <row r="4650" spans="1:8" ht="15" x14ac:dyDescent="0.2">
      <c r="A4650" s="604">
        <v>43178</v>
      </c>
      <c r="B4650" s="174" t="s">
        <v>2787</v>
      </c>
      <c r="C4650" s="174" t="s">
        <v>929</v>
      </c>
      <c r="D4650" s="118" t="s">
        <v>2655</v>
      </c>
      <c r="E4650" s="236">
        <v>25000</v>
      </c>
      <c r="F4650" s="236"/>
      <c r="G4650" s="236">
        <f t="shared" si="76"/>
        <v>-25000</v>
      </c>
      <c r="H4650" s="260" t="s">
        <v>3206</v>
      </c>
    </row>
    <row r="4651" spans="1:8" ht="15" customHeight="1" x14ac:dyDescent="0.2">
      <c r="A4651" s="604">
        <v>43179</v>
      </c>
      <c r="B4651" s="174" t="s">
        <v>2787</v>
      </c>
      <c r="C4651" s="174" t="s">
        <v>3285</v>
      </c>
      <c r="D4651" s="118" t="s">
        <v>3286</v>
      </c>
      <c r="E4651" s="236">
        <v>255000</v>
      </c>
      <c r="F4651" s="236"/>
      <c r="G4651" s="236">
        <f t="shared" si="76"/>
        <v>-255000</v>
      </c>
      <c r="H4651" s="260" t="s">
        <v>3206</v>
      </c>
    </row>
    <row r="4652" spans="1:8" ht="15" customHeight="1" x14ac:dyDescent="0.2">
      <c r="A4652" s="604">
        <v>43179</v>
      </c>
      <c r="B4652" s="174" t="s">
        <v>2787</v>
      </c>
      <c r="C4652" s="174" t="s">
        <v>3285</v>
      </c>
      <c r="D4652" s="118" t="s">
        <v>3287</v>
      </c>
      <c r="E4652" s="236">
        <v>83000</v>
      </c>
      <c r="F4652" s="236"/>
      <c r="G4652" s="236">
        <f t="shared" si="76"/>
        <v>-83000</v>
      </c>
      <c r="H4652" s="260" t="s">
        <v>3206</v>
      </c>
    </row>
    <row r="4653" spans="1:8" ht="15" x14ac:dyDescent="0.2">
      <c r="A4653" s="604">
        <v>43179</v>
      </c>
      <c r="B4653" s="174" t="s">
        <v>2787</v>
      </c>
      <c r="C4653" s="174" t="s">
        <v>895</v>
      </c>
      <c r="D4653" s="118" t="s">
        <v>3288</v>
      </c>
      <c r="E4653" s="236">
        <v>300000</v>
      </c>
      <c r="F4653" s="236"/>
      <c r="G4653" s="236">
        <f t="shared" si="76"/>
        <v>-300000</v>
      </c>
      <c r="H4653" s="260" t="s">
        <v>3206</v>
      </c>
    </row>
    <row r="4654" spans="1:8" ht="15" x14ac:dyDescent="0.2">
      <c r="A4654" s="604">
        <v>43180</v>
      </c>
      <c r="B4654" s="174" t="s">
        <v>2787</v>
      </c>
      <c r="C4654" s="174" t="s">
        <v>2586</v>
      </c>
      <c r="D4654" s="118" t="s">
        <v>3289</v>
      </c>
      <c r="E4654" s="236">
        <v>27000</v>
      </c>
      <c r="F4654" s="236"/>
      <c r="G4654" s="236">
        <f t="shared" si="76"/>
        <v>-27000</v>
      </c>
      <c r="H4654" s="260" t="s">
        <v>3206</v>
      </c>
    </row>
    <row r="4655" spans="1:8" ht="15" x14ac:dyDescent="0.2">
      <c r="A4655" s="604">
        <v>43180</v>
      </c>
      <c r="B4655" s="174" t="s">
        <v>1400</v>
      </c>
      <c r="C4655" s="174" t="s">
        <v>2515</v>
      </c>
      <c r="D4655" s="118" t="s">
        <v>3290</v>
      </c>
      <c r="E4655" s="236">
        <v>100000</v>
      </c>
      <c r="F4655" s="236"/>
      <c r="G4655" s="236">
        <f t="shared" si="76"/>
        <v>-100000</v>
      </c>
      <c r="H4655" s="260" t="s">
        <v>3206</v>
      </c>
    </row>
    <row r="4656" spans="1:8" ht="15" x14ac:dyDescent="0.2">
      <c r="A4656" s="604">
        <v>43181</v>
      </c>
      <c r="B4656" s="174" t="s">
        <v>1400</v>
      </c>
      <c r="C4656" s="174" t="s">
        <v>2160</v>
      </c>
      <c r="D4656" s="118" t="s">
        <v>3291</v>
      </c>
      <c r="E4656" s="236">
        <v>20000</v>
      </c>
      <c r="F4656" s="236"/>
      <c r="G4656" s="236">
        <f t="shared" si="76"/>
        <v>-20000</v>
      </c>
      <c r="H4656" s="260" t="s">
        <v>3206</v>
      </c>
    </row>
    <row r="4657" spans="1:8" ht="15" x14ac:dyDescent="0.2">
      <c r="A4657" s="604">
        <v>43182</v>
      </c>
      <c r="B4657" s="174" t="s">
        <v>1400</v>
      </c>
      <c r="C4657" s="174" t="s">
        <v>2515</v>
      </c>
      <c r="D4657" s="118" t="s">
        <v>3293</v>
      </c>
      <c r="E4657" s="236">
        <v>100000</v>
      </c>
      <c r="F4657" s="236"/>
      <c r="G4657" s="236">
        <f t="shared" si="76"/>
        <v>-100000</v>
      </c>
      <c r="H4657" s="260" t="s">
        <v>3206</v>
      </c>
    </row>
    <row r="4658" spans="1:8" ht="15" x14ac:dyDescent="0.2">
      <c r="A4658" s="604">
        <v>43184</v>
      </c>
      <c r="B4658" s="174" t="s">
        <v>2787</v>
      </c>
      <c r="C4658" s="174" t="s">
        <v>3275</v>
      </c>
      <c r="D4658" s="118" t="s">
        <v>3295</v>
      </c>
      <c r="E4658" s="236">
        <v>108000</v>
      </c>
      <c r="F4658" s="236"/>
      <c r="G4658" s="236">
        <f t="shared" si="76"/>
        <v>-108000</v>
      </c>
      <c r="H4658" s="260" t="s">
        <v>3206</v>
      </c>
    </row>
    <row r="4659" spans="1:8" ht="15" x14ac:dyDescent="0.2">
      <c r="A4659" s="604">
        <v>43187</v>
      </c>
      <c r="B4659" s="174" t="s">
        <v>2933</v>
      </c>
      <c r="C4659" s="174" t="s">
        <v>3302</v>
      </c>
      <c r="D4659" s="118" t="s">
        <v>2893</v>
      </c>
      <c r="E4659" s="236">
        <v>150000</v>
      </c>
      <c r="F4659" s="236"/>
      <c r="G4659" s="236">
        <f t="shared" si="76"/>
        <v>-150000</v>
      </c>
      <c r="H4659" s="260" t="s">
        <v>3206</v>
      </c>
    </row>
    <row r="4660" spans="1:8" ht="15" x14ac:dyDescent="0.2">
      <c r="A4660" s="604">
        <v>43188</v>
      </c>
      <c r="B4660" s="174" t="s">
        <v>2787</v>
      </c>
      <c r="C4660" s="174" t="s">
        <v>3145</v>
      </c>
      <c r="D4660" s="118" t="s">
        <v>3296</v>
      </c>
      <c r="E4660" s="236">
        <f>42800+19200</f>
        <v>62000</v>
      </c>
      <c r="F4660" s="236"/>
      <c r="G4660" s="236">
        <f t="shared" si="76"/>
        <v>-62000</v>
      </c>
      <c r="H4660" s="260" t="s">
        <v>3206</v>
      </c>
    </row>
    <row r="4661" spans="1:8" ht="15" x14ac:dyDescent="0.2">
      <c r="A4661" s="604">
        <v>43188</v>
      </c>
      <c r="B4661" s="174" t="s">
        <v>2787</v>
      </c>
      <c r="C4661" s="174" t="s">
        <v>1875</v>
      </c>
      <c r="D4661" s="118" t="s">
        <v>3299</v>
      </c>
      <c r="E4661" s="236">
        <v>6000</v>
      </c>
      <c r="F4661" s="236"/>
      <c r="G4661" s="236">
        <f t="shared" si="76"/>
        <v>-6000</v>
      </c>
      <c r="H4661" s="260" t="s">
        <v>3206</v>
      </c>
    </row>
    <row r="4662" spans="1:8" ht="15" x14ac:dyDescent="0.2">
      <c r="A4662" s="604">
        <v>43189</v>
      </c>
      <c r="B4662" s="174" t="s">
        <v>2787</v>
      </c>
      <c r="C4662" s="174" t="s">
        <v>895</v>
      </c>
      <c r="D4662" s="118" t="s">
        <v>3297</v>
      </c>
      <c r="E4662" s="236">
        <v>330000</v>
      </c>
      <c r="F4662" s="236"/>
      <c r="G4662" s="236">
        <f t="shared" si="76"/>
        <v>-330000</v>
      </c>
      <c r="H4662" s="260" t="s">
        <v>3206</v>
      </c>
    </row>
    <row r="4663" spans="1:8" ht="15" x14ac:dyDescent="0.2">
      <c r="A4663" s="604">
        <v>43189</v>
      </c>
      <c r="B4663" s="174" t="s">
        <v>2787</v>
      </c>
      <c r="C4663" s="174" t="s">
        <v>895</v>
      </c>
      <c r="D4663" s="118" t="s">
        <v>3298</v>
      </c>
      <c r="E4663" s="236">
        <v>350000</v>
      </c>
      <c r="F4663" s="236"/>
      <c r="G4663" s="236">
        <f t="shared" si="76"/>
        <v>-350000</v>
      </c>
      <c r="H4663" s="260" t="s">
        <v>3206</v>
      </c>
    </row>
    <row r="4664" spans="1:8" ht="15" x14ac:dyDescent="0.2">
      <c r="A4664" s="604">
        <v>43189</v>
      </c>
      <c r="B4664" s="174" t="s">
        <v>2787</v>
      </c>
      <c r="C4664" s="174" t="s">
        <v>166</v>
      </c>
      <c r="D4664" s="118" t="s">
        <v>3300</v>
      </c>
      <c r="E4664" s="236">
        <v>500000</v>
      </c>
      <c r="F4664" s="236"/>
      <c r="G4664" s="236">
        <f t="shared" si="76"/>
        <v>-500000</v>
      </c>
      <c r="H4664" s="260" t="s">
        <v>3206</v>
      </c>
    </row>
    <row r="4665" spans="1:8" ht="15" x14ac:dyDescent="0.2">
      <c r="A4665" s="604">
        <v>43190</v>
      </c>
      <c r="B4665" s="174" t="s">
        <v>2787</v>
      </c>
      <c r="C4665" s="174" t="s">
        <v>166</v>
      </c>
      <c r="D4665" s="118" t="s">
        <v>3301</v>
      </c>
      <c r="E4665" s="236">
        <v>500000</v>
      </c>
      <c r="F4665" s="236"/>
      <c r="G4665" s="236">
        <f t="shared" si="76"/>
        <v>-500000</v>
      </c>
      <c r="H4665" s="260" t="s">
        <v>3206</v>
      </c>
    </row>
    <row r="4666" spans="1:8" ht="15" x14ac:dyDescent="0.2">
      <c r="A4666" s="604">
        <v>43190</v>
      </c>
      <c r="B4666" s="174" t="s">
        <v>3144</v>
      </c>
      <c r="C4666" s="174" t="s">
        <v>3285</v>
      </c>
      <c r="D4666" s="118" t="s">
        <v>3303</v>
      </c>
      <c r="E4666" s="236">
        <v>196332</v>
      </c>
      <c r="F4666" s="236"/>
      <c r="G4666" s="236">
        <f t="shared" si="76"/>
        <v>-196332</v>
      </c>
      <c r="H4666" s="260" t="s">
        <v>3206</v>
      </c>
    </row>
    <row r="4667" spans="1:8" ht="15" x14ac:dyDescent="0.2">
      <c r="A4667" s="604">
        <v>43190</v>
      </c>
      <c r="B4667" s="174" t="s">
        <v>2787</v>
      </c>
      <c r="C4667" s="174" t="s">
        <v>3285</v>
      </c>
      <c r="D4667" s="118" t="s">
        <v>3304</v>
      </c>
      <c r="E4667" s="236">
        <v>191964</v>
      </c>
      <c r="F4667" s="236"/>
      <c r="G4667" s="236">
        <f t="shared" si="76"/>
        <v>-191964</v>
      </c>
      <c r="H4667" s="260" t="s">
        <v>3206</v>
      </c>
    </row>
    <row r="4668" spans="1:8" ht="15" x14ac:dyDescent="0.2">
      <c r="A4668" s="604">
        <v>43190</v>
      </c>
      <c r="B4668" s="174" t="s">
        <v>2787</v>
      </c>
      <c r="C4668" s="174" t="s">
        <v>573</v>
      </c>
      <c r="D4668" s="118" t="s">
        <v>3305</v>
      </c>
      <c r="E4668" s="236">
        <v>800000</v>
      </c>
      <c r="F4668" s="236"/>
      <c r="G4668" s="236">
        <f t="shared" si="76"/>
        <v>-800000</v>
      </c>
      <c r="H4668" s="260" t="s">
        <v>3206</v>
      </c>
    </row>
    <row r="4669" spans="1:8" ht="15" x14ac:dyDescent="0.2">
      <c r="A4669" s="604">
        <v>43190</v>
      </c>
      <c r="B4669" s="174" t="s">
        <v>40</v>
      </c>
      <c r="C4669" s="174" t="s">
        <v>3104</v>
      </c>
      <c r="D4669" s="118" t="s">
        <v>3306</v>
      </c>
      <c r="E4669" s="236">
        <v>20000</v>
      </c>
      <c r="F4669" s="236"/>
      <c r="G4669" s="236">
        <f t="shared" si="76"/>
        <v>-20000</v>
      </c>
      <c r="H4669" s="260" t="s">
        <v>3206</v>
      </c>
    </row>
    <row r="4670" spans="1:8" ht="15" x14ac:dyDescent="0.2">
      <c r="A4670" s="604">
        <v>43190</v>
      </c>
      <c r="B4670" s="174" t="s">
        <v>82</v>
      </c>
      <c r="C4670" s="174" t="s">
        <v>3104</v>
      </c>
      <c r="D4670" s="118" t="s">
        <v>3306</v>
      </c>
      <c r="E4670" s="236">
        <v>20000</v>
      </c>
      <c r="F4670" s="236"/>
      <c r="G4670" s="236">
        <f t="shared" si="76"/>
        <v>-20000</v>
      </c>
      <c r="H4670" s="260" t="s">
        <v>3206</v>
      </c>
    </row>
    <row r="4671" spans="1:8" ht="15" customHeight="1" x14ac:dyDescent="0.2">
      <c r="A4671" s="604">
        <v>43190</v>
      </c>
      <c r="B4671" s="174" t="s">
        <v>2652</v>
      </c>
      <c r="C4671" s="174" t="s">
        <v>3104</v>
      </c>
      <c r="D4671" s="118" t="s">
        <v>3306</v>
      </c>
      <c r="E4671" s="236">
        <v>10000</v>
      </c>
      <c r="F4671" s="236"/>
      <c r="G4671" s="236">
        <f t="shared" si="76"/>
        <v>-10000</v>
      </c>
      <c r="H4671" s="260" t="s">
        <v>3206</v>
      </c>
    </row>
    <row r="4672" spans="1:8" ht="15" customHeight="1" x14ac:dyDescent="0.2">
      <c r="A4672" s="604">
        <v>43190</v>
      </c>
      <c r="B4672" s="174" t="s">
        <v>2787</v>
      </c>
      <c r="C4672" s="174" t="s">
        <v>3145</v>
      </c>
      <c r="D4672" s="118" t="s">
        <v>3095</v>
      </c>
      <c r="E4672" s="236">
        <v>42800</v>
      </c>
      <c r="F4672" s="236"/>
      <c r="G4672" s="236">
        <f t="shared" si="76"/>
        <v>-42800</v>
      </c>
      <c r="H4672" s="260" t="s">
        <v>3206</v>
      </c>
    </row>
    <row r="4673" spans="1:8" ht="15" customHeight="1" x14ac:dyDescent="0.2">
      <c r="A4673" s="604">
        <v>43190</v>
      </c>
      <c r="B4673" s="174" t="s">
        <v>2787</v>
      </c>
      <c r="C4673" s="174" t="s">
        <v>3106</v>
      </c>
      <c r="D4673" s="118" t="s">
        <v>2655</v>
      </c>
      <c r="E4673" s="236">
        <v>100000</v>
      </c>
      <c r="F4673" s="236"/>
      <c r="G4673" s="236">
        <f t="shared" si="76"/>
        <v>-100000</v>
      </c>
      <c r="H4673" s="260" t="s">
        <v>3206</v>
      </c>
    </row>
    <row r="4674" spans="1:8" ht="15" customHeight="1" x14ac:dyDescent="0.2">
      <c r="A4674" s="599">
        <v>43175</v>
      </c>
      <c r="B4674" s="91" t="s">
        <v>40</v>
      </c>
      <c r="C4674" s="94" t="s">
        <v>559</v>
      </c>
      <c r="D4674" s="801" t="s">
        <v>3280</v>
      </c>
      <c r="E4674" s="92"/>
      <c r="F4674" s="92">
        <v>221537</v>
      </c>
      <c r="G4674" s="92">
        <f t="shared" si="76"/>
        <v>221537</v>
      </c>
      <c r="H4674" s="261" t="s">
        <v>3206</v>
      </c>
    </row>
    <row r="4675" spans="1:8" ht="15" customHeight="1" x14ac:dyDescent="0.2">
      <c r="A4675" s="599">
        <v>43179</v>
      </c>
      <c r="B4675" s="91" t="s">
        <v>40</v>
      </c>
      <c r="C4675" s="94" t="s">
        <v>559</v>
      </c>
      <c r="D4675" s="801" t="s">
        <v>3281</v>
      </c>
      <c r="E4675" s="92"/>
      <c r="F4675" s="92">
        <v>802808</v>
      </c>
      <c r="G4675" s="92">
        <f t="shared" si="76"/>
        <v>802808</v>
      </c>
      <c r="H4675" s="261" t="s">
        <v>3206</v>
      </c>
    </row>
    <row r="4676" spans="1:8" ht="24" customHeight="1" x14ac:dyDescent="0.2">
      <c r="A4676" s="599">
        <v>43180</v>
      </c>
      <c r="B4676" s="91" t="s">
        <v>82</v>
      </c>
      <c r="C4676" s="94" t="s">
        <v>559</v>
      </c>
      <c r="D4676" s="798" t="s">
        <v>3407</v>
      </c>
      <c r="E4676" s="92"/>
      <c r="F4676" s="92">
        <v>163623</v>
      </c>
      <c r="G4676" s="92">
        <f t="shared" si="76"/>
        <v>163623</v>
      </c>
      <c r="H4676" s="261" t="s">
        <v>3206</v>
      </c>
    </row>
    <row r="4677" spans="1:8" ht="15" customHeight="1" x14ac:dyDescent="0.2">
      <c r="A4677" s="599">
        <v>43187</v>
      </c>
      <c r="B4677" s="91" t="s">
        <v>2787</v>
      </c>
      <c r="C4677" s="94" t="s">
        <v>559</v>
      </c>
      <c r="D4677" s="801" t="s">
        <v>3282</v>
      </c>
      <c r="E4677" s="92"/>
      <c r="F4677" s="92">
        <v>12765000</v>
      </c>
      <c r="G4677" s="92">
        <f t="shared" si="76"/>
        <v>12765000</v>
      </c>
      <c r="H4677" s="261" t="s">
        <v>3206</v>
      </c>
    </row>
    <row r="4678" spans="1:8" ht="15" customHeight="1" x14ac:dyDescent="0.2">
      <c r="A4678" s="597">
        <v>43192</v>
      </c>
      <c r="B4678" s="41" t="s">
        <v>2787</v>
      </c>
      <c r="C4678" s="63" t="s">
        <v>794</v>
      </c>
      <c r="D4678" s="108" t="s">
        <v>1836</v>
      </c>
      <c r="E4678" s="58">
        <v>50000</v>
      </c>
      <c r="F4678" s="58"/>
      <c r="G4678" s="58">
        <f t="shared" si="76"/>
        <v>-50000</v>
      </c>
      <c r="H4678" s="121" t="s">
        <v>3314</v>
      </c>
    </row>
    <row r="4679" spans="1:8" ht="15" customHeight="1" x14ac:dyDescent="0.2">
      <c r="A4679" s="597">
        <v>43192</v>
      </c>
      <c r="B4679" s="41" t="s">
        <v>2787</v>
      </c>
      <c r="C4679" s="63" t="s">
        <v>794</v>
      </c>
      <c r="D4679" s="108" t="s">
        <v>1837</v>
      </c>
      <c r="E4679" s="58">
        <v>25000</v>
      </c>
      <c r="F4679" s="58"/>
      <c r="G4679" s="58">
        <f t="shared" si="76"/>
        <v>-25000</v>
      </c>
      <c r="H4679" s="121" t="s">
        <v>3314</v>
      </c>
    </row>
    <row r="4680" spans="1:8" ht="15" customHeight="1" x14ac:dyDescent="0.2">
      <c r="A4680" s="597">
        <v>43192</v>
      </c>
      <c r="B4680" s="41" t="s">
        <v>2933</v>
      </c>
      <c r="C4680" s="63" t="s">
        <v>794</v>
      </c>
      <c r="D4680" s="108" t="s">
        <v>1837</v>
      </c>
      <c r="E4680" s="58">
        <v>25000</v>
      </c>
      <c r="F4680" s="58"/>
      <c r="G4680" s="58">
        <f t="shared" si="76"/>
        <v>-25000</v>
      </c>
      <c r="H4680" s="121" t="s">
        <v>3314</v>
      </c>
    </row>
    <row r="4681" spans="1:8" ht="15" x14ac:dyDescent="0.2">
      <c r="A4681" s="597">
        <v>43192</v>
      </c>
      <c r="B4681" s="41" t="s">
        <v>25</v>
      </c>
      <c r="C4681" s="63" t="s">
        <v>794</v>
      </c>
      <c r="D4681" s="108" t="s">
        <v>1839</v>
      </c>
      <c r="E4681" s="58">
        <v>10000</v>
      </c>
      <c r="F4681" s="58"/>
      <c r="G4681" s="58">
        <f t="shared" ref="G4681:G4744" si="77">F4681-E4681</f>
        <v>-10000</v>
      </c>
      <c r="H4681" s="121" t="s">
        <v>3314</v>
      </c>
    </row>
    <row r="4682" spans="1:8" ht="15" x14ac:dyDescent="0.2">
      <c r="A4682" s="597">
        <v>43192</v>
      </c>
      <c r="B4682" s="41" t="s">
        <v>25</v>
      </c>
      <c r="C4682" s="63" t="s">
        <v>794</v>
      </c>
      <c r="D4682" s="108" t="s">
        <v>2183</v>
      </c>
      <c r="E4682" s="58">
        <v>18000</v>
      </c>
      <c r="F4682" s="58"/>
      <c r="G4682" s="58">
        <f t="shared" si="77"/>
        <v>-18000</v>
      </c>
      <c r="H4682" s="121" t="s">
        <v>3314</v>
      </c>
    </row>
    <row r="4683" spans="1:8" ht="15" x14ac:dyDescent="0.2">
      <c r="A4683" s="597">
        <v>43192</v>
      </c>
      <c r="B4683" s="41" t="s">
        <v>25</v>
      </c>
      <c r="C4683" s="63" t="s">
        <v>794</v>
      </c>
      <c r="D4683" s="108" t="s">
        <v>1840</v>
      </c>
      <c r="E4683" s="58">
        <v>7000</v>
      </c>
      <c r="F4683" s="58"/>
      <c r="G4683" s="58">
        <f t="shared" si="77"/>
        <v>-7000</v>
      </c>
      <c r="H4683" s="121" t="s">
        <v>3314</v>
      </c>
    </row>
    <row r="4684" spans="1:8" ht="15" x14ac:dyDescent="0.2">
      <c r="A4684" s="597">
        <v>43192</v>
      </c>
      <c r="B4684" s="41" t="s">
        <v>25</v>
      </c>
      <c r="C4684" s="63" t="s">
        <v>794</v>
      </c>
      <c r="D4684" s="108" t="s">
        <v>1547</v>
      </c>
      <c r="E4684" s="58">
        <v>9000</v>
      </c>
      <c r="F4684" s="58"/>
      <c r="G4684" s="58">
        <f t="shared" si="77"/>
        <v>-9000</v>
      </c>
      <c r="H4684" s="121" t="s">
        <v>3314</v>
      </c>
    </row>
    <row r="4685" spans="1:8" ht="15" x14ac:dyDescent="0.2">
      <c r="A4685" s="597">
        <v>43192</v>
      </c>
      <c r="B4685" s="41" t="s">
        <v>16</v>
      </c>
      <c r="C4685" s="63" t="s">
        <v>794</v>
      </c>
      <c r="D4685" s="108" t="s">
        <v>1844</v>
      </c>
      <c r="E4685" s="58">
        <v>26659.758064516129</v>
      </c>
      <c r="F4685" s="58"/>
      <c r="G4685" s="58">
        <f t="shared" si="77"/>
        <v>-26659.758064516129</v>
      </c>
      <c r="H4685" s="121" t="s">
        <v>3314</v>
      </c>
    </row>
    <row r="4686" spans="1:8" ht="15" x14ac:dyDescent="0.2">
      <c r="A4686" s="597">
        <v>43192</v>
      </c>
      <c r="B4686" s="41" t="s">
        <v>16</v>
      </c>
      <c r="C4686" s="63" t="s">
        <v>794</v>
      </c>
      <c r="D4686" s="108" t="s">
        <v>1842</v>
      </c>
      <c r="E4686" s="58">
        <v>30000</v>
      </c>
      <c r="F4686" s="58"/>
      <c r="G4686" s="58">
        <f t="shared" si="77"/>
        <v>-30000</v>
      </c>
      <c r="H4686" s="121" t="s">
        <v>3314</v>
      </c>
    </row>
    <row r="4687" spans="1:8" ht="15" x14ac:dyDescent="0.2">
      <c r="A4687" s="597">
        <v>43192</v>
      </c>
      <c r="B4687" s="41" t="s">
        <v>16</v>
      </c>
      <c r="C4687" s="63" t="s">
        <v>794</v>
      </c>
      <c r="D4687" s="108" t="s">
        <v>1843</v>
      </c>
      <c r="E4687" s="58">
        <v>18000</v>
      </c>
      <c r="F4687" s="58"/>
      <c r="G4687" s="58">
        <f t="shared" si="77"/>
        <v>-18000</v>
      </c>
      <c r="H4687" s="121" t="s">
        <v>3314</v>
      </c>
    </row>
    <row r="4688" spans="1:8" ht="15" x14ac:dyDescent="0.2">
      <c r="A4688" s="597">
        <v>43192</v>
      </c>
      <c r="B4688" s="41" t="s">
        <v>2787</v>
      </c>
      <c r="C4688" s="63" t="s">
        <v>794</v>
      </c>
      <c r="D4688" s="108" t="s">
        <v>3065</v>
      </c>
      <c r="E4688" s="58">
        <v>20000</v>
      </c>
      <c r="F4688" s="58"/>
      <c r="G4688" s="58">
        <f t="shared" si="77"/>
        <v>-20000</v>
      </c>
      <c r="H4688" s="121" t="s">
        <v>3314</v>
      </c>
    </row>
    <row r="4689" spans="1:8" ht="15" x14ac:dyDescent="0.2">
      <c r="A4689" s="597">
        <v>43192</v>
      </c>
      <c r="B4689" s="41" t="s">
        <v>16</v>
      </c>
      <c r="C4689" s="63" t="s">
        <v>794</v>
      </c>
      <c r="D4689" s="108" t="s">
        <v>2283</v>
      </c>
      <c r="E4689" s="58">
        <v>14858.870967741936</v>
      </c>
      <c r="F4689" s="58"/>
      <c r="G4689" s="58">
        <f t="shared" si="77"/>
        <v>-14858.870967741936</v>
      </c>
      <c r="H4689" s="121" t="s">
        <v>3314</v>
      </c>
    </row>
    <row r="4690" spans="1:8" ht="15" x14ac:dyDescent="0.2">
      <c r="A4690" s="597">
        <v>43192</v>
      </c>
      <c r="B4690" s="41" t="s">
        <v>16</v>
      </c>
      <c r="C4690" s="63" t="s">
        <v>794</v>
      </c>
      <c r="D4690" s="108" t="s">
        <v>3120</v>
      </c>
      <c r="E4690" s="58">
        <v>9999.9193548387102</v>
      </c>
      <c r="F4690" s="58"/>
      <c r="G4690" s="58">
        <f t="shared" si="77"/>
        <v>-9999.9193548387102</v>
      </c>
      <c r="H4690" s="121" t="s">
        <v>3314</v>
      </c>
    </row>
    <row r="4691" spans="1:8" ht="15" x14ac:dyDescent="0.2">
      <c r="A4691" s="597">
        <v>43192</v>
      </c>
      <c r="B4691" s="41" t="s">
        <v>16</v>
      </c>
      <c r="C4691" s="63" t="s">
        <v>794</v>
      </c>
      <c r="D4691" s="108" t="s">
        <v>3230</v>
      </c>
      <c r="E4691" s="58">
        <v>10279.838709677419</v>
      </c>
      <c r="F4691" s="58"/>
      <c r="G4691" s="58">
        <f t="shared" si="77"/>
        <v>-10279.838709677419</v>
      </c>
      <c r="H4691" s="121" t="s">
        <v>3314</v>
      </c>
    </row>
    <row r="4692" spans="1:8" ht="15" customHeight="1" x14ac:dyDescent="0.2">
      <c r="A4692" s="597">
        <v>43192</v>
      </c>
      <c r="B4692" s="41" t="s">
        <v>16</v>
      </c>
      <c r="C4692" s="63" t="s">
        <v>794</v>
      </c>
      <c r="D4692" s="108" t="s">
        <v>2916</v>
      </c>
      <c r="E4692" s="58">
        <v>12000</v>
      </c>
      <c r="F4692" s="58"/>
      <c r="G4692" s="58">
        <f t="shared" si="77"/>
        <v>-12000</v>
      </c>
      <c r="H4692" s="121" t="s">
        <v>3314</v>
      </c>
    </row>
    <row r="4693" spans="1:8" ht="15" customHeight="1" x14ac:dyDescent="0.2">
      <c r="A4693" s="597">
        <v>43192</v>
      </c>
      <c r="B4693" s="41" t="s">
        <v>2787</v>
      </c>
      <c r="C4693" s="63" t="s">
        <v>794</v>
      </c>
      <c r="D4693" s="108" t="s">
        <v>1863</v>
      </c>
      <c r="E4693" s="58">
        <v>20410</v>
      </c>
      <c r="F4693" s="58"/>
      <c r="G4693" s="58">
        <f t="shared" si="77"/>
        <v>-20410</v>
      </c>
      <c r="H4693" s="121" t="s">
        <v>3314</v>
      </c>
    </row>
    <row r="4694" spans="1:8" ht="15" customHeight="1" x14ac:dyDescent="0.2">
      <c r="A4694" s="597">
        <v>43192</v>
      </c>
      <c r="B4694" s="41" t="s">
        <v>2787</v>
      </c>
      <c r="C4694" s="63" t="s">
        <v>794</v>
      </c>
      <c r="D4694" s="108" t="s">
        <v>1864</v>
      </c>
      <c r="E4694" s="58">
        <v>40991.93548387097</v>
      </c>
      <c r="F4694" s="58"/>
      <c r="G4694" s="58">
        <f t="shared" si="77"/>
        <v>-40991.93548387097</v>
      </c>
      <c r="H4694" s="121" t="s">
        <v>3314</v>
      </c>
    </row>
    <row r="4695" spans="1:8" ht="15" customHeight="1" x14ac:dyDescent="0.2">
      <c r="A4695" s="597">
        <v>43192</v>
      </c>
      <c r="B4695" s="41" t="s">
        <v>2787</v>
      </c>
      <c r="C4695" s="63" t="s">
        <v>794</v>
      </c>
      <c r="D4695" s="108" t="s">
        <v>1852</v>
      </c>
      <c r="E4695" s="58">
        <v>37000</v>
      </c>
      <c r="F4695" s="58"/>
      <c r="G4695" s="58">
        <f t="shared" si="77"/>
        <v>-37000</v>
      </c>
      <c r="H4695" s="121" t="s">
        <v>3314</v>
      </c>
    </row>
    <row r="4696" spans="1:8" ht="15" customHeight="1" x14ac:dyDescent="0.2">
      <c r="A4696" s="597">
        <v>43192</v>
      </c>
      <c r="B4696" s="41" t="s">
        <v>2787</v>
      </c>
      <c r="C4696" s="63" t="s">
        <v>794</v>
      </c>
      <c r="D4696" s="108" t="s">
        <v>2922</v>
      </c>
      <c r="E4696" s="58">
        <v>35000</v>
      </c>
      <c r="F4696" s="58"/>
      <c r="G4696" s="58">
        <f t="shared" si="77"/>
        <v>-35000</v>
      </c>
      <c r="H4696" s="121" t="s">
        <v>3314</v>
      </c>
    </row>
    <row r="4697" spans="1:8" ht="15" customHeight="1" x14ac:dyDescent="0.2">
      <c r="A4697" s="597">
        <v>43192</v>
      </c>
      <c r="B4697" s="41" t="s">
        <v>2787</v>
      </c>
      <c r="C4697" s="63" t="s">
        <v>794</v>
      </c>
      <c r="D4697" s="108" t="s">
        <v>668</v>
      </c>
      <c r="E4697" s="58">
        <v>19390</v>
      </c>
      <c r="F4697" s="58"/>
      <c r="G4697" s="58">
        <f t="shared" si="77"/>
        <v>-19390</v>
      </c>
      <c r="H4697" s="121" t="s">
        <v>3314</v>
      </c>
    </row>
    <row r="4698" spans="1:8" ht="15" customHeight="1" x14ac:dyDescent="0.2">
      <c r="A4698" s="597">
        <v>43192</v>
      </c>
      <c r="B4698" s="41" t="s">
        <v>2787</v>
      </c>
      <c r="C4698" s="63" t="s">
        <v>794</v>
      </c>
      <c r="D4698" s="108" t="s">
        <v>3231</v>
      </c>
      <c r="E4698" s="58">
        <v>39920.443548387098</v>
      </c>
      <c r="F4698" s="58"/>
      <c r="G4698" s="58">
        <f t="shared" si="77"/>
        <v>-39920.443548387098</v>
      </c>
      <c r="H4698" s="121" t="s">
        <v>3314</v>
      </c>
    </row>
    <row r="4699" spans="1:8" ht="15" customHeight="1" x14ac:dyDescent="0.2">
      <c r="A4699" s="597">
        <v>43192</v>
      </c>
      <c r="B4699" s="41" t="s">
        <v>2787</v>
      </c>
      <c r="C4699" s="63" t="s">
        <v>794</v>
      </c>
      <c r="D4699" s="108" t="s">
        <v>3490</v>
      </c>
      <c r="E4699" s="58">
        <v>9709.6774193548372</v>
      </c>
      <c r="F4699" s="58"/>
      <c r="G4699" s="58">
        <f t="shared" si="77"/>
        <v>-9709.6774193548372</v>
      </c>
      <c r="H4699" s="121" t="s">
        <v>3314</v>
      </c>
    </row>
    <row r="4700" spans="1:8" ht="15" customHeight="1" x14ac:dyDescent="0.2">
      <c r="A4700" s="597">
        <v>43192</v>
      </c>
      <c r="B4700" s="41" t="s">
        <v>2787</v>
      </c>
      <c r="C4700" s="63" t="s">
        <v>794</v>
      </c>
      <c r="D4700" s="108" t="s">
        <v>3072</v>
      </c>
      <c r="E4700" s="58">
        <v>20970.16129032258</v>
      </c>
      <c r="F4700" s="58"/>
      <c r="G4700" s="58">
        <f t="shared" si="77"/>
        <v>-20970.16129032258</v>
      </c>
      <c r="H4700" s="121" t="s">
        <v>3314</v>
      </c>
    </row>
    <row r="4701" spans="1:8" ht="15" customHeight="1" x14ac:dyDescent="0.2">
      <c r="A4701" s="597">
        <v>43192</v>
      </c>
      <c r="B4701" s="41" t="s">
        <v>2787</v>
      </c>
      <c r="C4701" s="63" t="s">
        <v>794</v>
      </c>
      <c r="D4701" s="108" t="s">
        <v>3070</v>
      </c>
      <c r="E4701" s="58">
        <v>8709.677419354839</v>
      </c>
      <c r="F4701" s="58"/>
      <c r="G4701" s="58">
        <f t="shared" si="77"/>
        <v>-8709.677419354839</v>
      </c>
      <c r="H4701" s="121" t="s">
        <v>3314</v>
      </c>
    </row>
    <row r="4702" spans="1:8" ht="15" customHeight="1" x14ac:dyDescent="0.2">
      <c r="A4702" s="597">
        <v>43192</v>
      </c>
      <c r="B4702" s="41" t="s">
        <v>2787</v>
      </c>
      <c r="C4702" s="63" t="s">
        <v>794</v>
      </c>
      <c r="D4702" s="108" t="s">
        <v>1561</v>
      </c>
      <c r="E4702" s="58">
        <v>22064.516129032258</v>
      </c>
      <c r="F4702" s="58"/>
      <c r="G4702" s="58">
        <f t="shared" si="77"/>
        <v>-22064.516129032258</v>
      </c>
      <c r="H4702" s="121" t="s">
        <v>3314</v>
      </c>
    </row>
    <row r="4703" spans="1:8" ht="15" customHeight="1" x14ac:dyDescent="0.2">
      <c r="A4703" s="597">
        <v>43192</v>
      </c>
      <c r="B4703" s="41" t="s">
        <v>2787</v>
      </c>
      <c r="C4703" s="63" t="s">
        <v>794</v>
      </c>
      <c r="D4703" s="108" t="s">
        <v>3074</v>
      </c>
      <c r="E4703" s="58">
        <v>19760.322580645163</v>
      </c>
      <c r="F4703" s="58"/>
      <c r="G4703" s="58">
        <f t="shared" si="77"/>
        <v>-19760.322580645163</v>
      </c>
      <c r="H4703" s="121" t="s">
        <v>3314</v>
      </c>
    </row>
    <row r="4704" spans="1:8" ht="15" customHeight="1" x14ac:dyDescent="0.2">
      <c r="A4704" s="597">
        <v>43192</v>
      </c>
      <c r="B4704" s="41" t="s">
        <v>1400</v>
      </c>
      <c r="C4704" s="63" t="s">
        <v>794</v>
      </c>
      <c r="D4704" s="108" t="s">
        <v>1684</v>
      </c>
      <c r="E4704" s="58">
        <v>30000</v>
      </c>
      <c r="F4704" s="58"/>
      <c r="G4704" s="58">
        <f t="shared" si="77"/>
        <v>-30000</v>
      </c>
      <c r="H4704" s="121" t="s">
        <v>3314</v>
      </c>
    </row>
    <row r="4705" spans="1:8" ht="15" x14ac:dyDescent="0.2">
      <c r="A4705" s="597">
        <v>43192</v>
      </c>
      <c r="B4705" s="41" t="s">
        <v>1400</v>
      </c>
      <c r="C4705" s="63" t="s">
        <v>794</v>
      </c>
      <c r="D4705" s="108" t="s">
        <v>2482</v>
      </c>
      <c r="E4705" s="58">
        <v>20310.483870967742</v>
      </c>
      <c r="F4705" s="58"/>
      <c r="G4705" s="58">
        <f t="shared" si="77"/>
        <v>-20310.483870967742</v>
      </c>
      <c r="H4705" s="121" t="s">
        <v>3314</v>
      </c>
    </row>
    <row r="4706" spans="1:8" ht="15" x14ac:dyDescent="0.2">
      <c r="A4706" s="597">
        <v>43192</v>
      </c>
      <c r="B4706" s="41" t="s">
        <v>1400</v>
      </c>
      <c r="C4706" s="63" t="s">
        <v>794</v>
      </c>
      <c r="D4706" s="108" t="s">
        <v>1550</v>
      </c>
      <c r="E4706" s="58">
        <v>21379.919354838708</v>
      </c>
      <c r="F4706" s="58"/>
      <c r="G4706" s="58">
        <f t="shared" si="77"/>
        <v>-21379.919354838708</v>
      </c>
      <c r="H4706" s="121" t="s">
        <v>3314</v>
      </c>
    </row>
    <row r="4707" spans="1:8" ht="15" x14ac:dyDescent="0.2">
      <c r="A4707" s="597">
        <v>43192</v>
      </c>
      <c r="B4707" s="41" t="s">
        <v>1400</v>
      </c>
      <c r="C4707" s="63" t="s">
        <v>794</v>
      </c>
      <c r="D4707" s="108" t="s">
        <v>1871</v>
      </c>
      <c r="E4707" s="58">
        <v>37000</v>
      </c>
      <c r="F4707" s="58"/>
      <c r="G4707" s="58">
        <f t="shared" si="77"/>
        <v>-37000</v>
      </c>
      <c r="H4707" s="121" t="s">
        <v>3314</v>
      </c>
    </row>
    <row r="4708" spans="1:8" ht="15" x14ac:dyDescent="0.2">
      <c r="A4708" s="597">
        <v>43192</v>
      </c>
      <c r="B4708" s="41" t="s">
        <v>1400</v>
      </c>
      <c r="C4708" s="63" t="s">
        <v>794</v>
      </c>
      <c r="D4708" s="108" t="s">
        <v>3491</v>
      </c>
      <c r="E4708" s="58">
        <v>20387.096774193549</v>
      </c>
      <c r="F4708" s="58"/>
      <c r="G4708" s="58">
        <f t="shared" si="77"/>
        <v>-20387.096774193549</v>
      </c>
      <c r="H4708" s="121" t="s">
        <v>3314</v>
      </c>
    </row>
    <row r="4709" spans="1:8" ht="15" x14ac:dyDescent="0.2">
      <c r="A4709" s="597">
        <v>43192</v>
      </c>
      <c r="B4709" s="41" t="s">
        <v>1400</v>
      </c>
      <c r="C4709" s="63" t="s">
        <v>794</v>
      </c>
      <c r="D4709" s="108" t="s">
        <v>1862</v>
      </c>
      <c r="E4709" s="58">
        <v>18250.342741935485</v>
      </c>
      <c r="F4709" s="58"/>
      <c r="G4709" s="58">
        <f t="shared" si="77"/>
        <v>-18250.342741935485</v>
      </c>
      <c r="H4709" s="121" t="s">
        <v>3314</v>
      </c>
    </row>
    <row r="4710" spans="1:8" ht="15" x14ac:dyDescent="0.2">
      <c r="A4710" s="597">
        <v>43192</v>
      </c>
      <c r="B4710" s="41" t="s">
        <v>1400</v>
      </c>
      <c r="C4710" s="63" t="s">
        <v>794</v>
      </c>
      <c r="D4710" s="108" t="s">
        <v>1850</v>
      </c>
      <c r="E4710" s="58">
        <v>6420.4838709677424</v>
      </c>
      <c r="F4710" s="58"/>
      <c r="G4710" s="58">
        <f t="shared" si="77"/>
        <v>-6420.4838709677424</v>
      </c>
      <c r="H4710" s="121" t="s">
        <v>3314</v>
      </c>
    </row>
    <row r="4711" spans="1:8" ht="15" x14ac:dyDescent="0.2">
      <c r="A4711" s="597">
        <v>43192</v>
      </c>
      <c r="B4711" s="41" t="s">
        <v>1400</v>
      </c>
      <c r="C4711" s="63" t="s">
        <v>794</v>
      </c>
      <c r="D4711" s="108" t="s">
        <v>3492</v>
      </c>
      <c r="E4711" s="58">
        <v>2100.4435483870971</v>
      </c>
      <c r="F4711" s="58"/>
      <c r="G4711" s="58">
        <f t="shared" si="77"/>
        <v>-2100.4435483870971</v>
      </c>
      <c r="H4711" s="121" t="s">
        <v>3314</v>
      </c>
    </row>
    <row r="4712" spans="1:8" ht="15" x14ac:dyDescent="0.2">
      <c r="A4712" s="597">
        <v>43192</v>
      </c>
      <c r="B4712" s="41" t="s">
        <v>1400</v>
      </c>
      <c r="C4712" s="63" t="s">
        <v>794</v>
      </c>
      <c r="D4712" s="108" t="s">
        <v>3234</v>
      </c>
      <c r="E4712" s="58">
        <v>15700.201612903227</v>
      </c>
      <c r="F4712" s="58"/>
      <c r="G4712" s="58">
        <f t="shared" si="77"/>
        <v>-15700.201612903227</v>
      </c>
      <c r="H4712" s="121" t="s">
        <v>3314</v>
      </c>
    </row>
    <row r="4713" spans="1:8" ht="15" x14ac:dyDescent="0.2">
      <c r="A4713" s="597">
        <v>43192</v>
      </c>
      <c r="B4713" s="41" t="s">
        <v>1400</v>
      </c>
      <c r="C4713" s="63" t="s">
        <v>794</v>
      </c>
      <c r="D4713" s="108" t="s">
        <v>2927</v>
      </c>
      <c r="E4713" s="58">
        <v>12319.596774193549</v>
      </c>
      <c r="F4713" s="58"/>
      <c r="G4713" s="58">
        <f t="shared" si="77"/>
        <v>-12319.596774193549</v>
      </c>
      <c r="H4713" s="121" t="s">
        <v>3314</v>
      </c>
    </row>
    <row r="4714" spans="1:8" ht="15" x14ac:dyDescent="0.2">
      <c r="A4714" s="597">
        <v>43192</v>
      </c>
      <c r="B4714" s="41" t="s">
        <v>1400</v>
      </c>
      <c r="C4714" s="63" t="s">
        <v>794</v>
      </c>
      <c r="D4714" s="108" t="s">
        <v>1872</v>
      </c>
      <c r="E4714" s="58">
        <v>23435.483870967742</v>
      </c>
      <c r="F4714" s="58"/>
      <c r="G4714" s="58">
        <f t="shared" si="77"/>
        <v>-23435.483870967742</v>
      </c>
      <c r="H4714" s="121" t="s">
        <v>3314</v>
      </c>
    </row>
    <row r="4715" spans="1:8" ht="15" x14ac:dyDescent="0.2">
      <c r="A4715" s="597">
        <v>43192</v>
      </c>
      <c r="B4715" s="41" t="s">
        <v>1400</v>
      </c>
      <c r="C4715" s="63" t="s">
        <v>794</v>
      </c>
      <c r="D4715" s="108" t="s">
        <v>3068</v>
      </c>
      <c r="E4715" s="58">
        <v>7225.8064516129034</v>
      </c>
      <c r="F4715" s="58"/>
      <c r="G4715" s="58">
        <f t="shared" si="77"/>
        <v>-7225.8064516129034</v>
      </c>
      <c r="H4715" s="121" t="s">
        <v>3314</v>
      </c>
    </row>
    <row r="4716" spans="1:8" ht="15" x14ac:dyDescent="0.2">
      <c r="A4716" s="597">
        <v>43192</v>
      </c>
      <c r="B4716" s="41" t="s">
        <v>1400</v>
      </c>
      <c r="C4716" s="63" t="s">
        <v>794</v>
      </c>
      <c r="D4716" s="108" t="s">
        <v>2481</v>
      </c>
      <c r="E4716" s="58">
        <v>3290.322580645161</v>
      </c>
      <c r="F4716" s="58"/>
      <c r="G4716" s="58">
        <f t="shared" si="77"/>
        <v>-3290.322580645161</v>
      </c>
      <c r="H4716" s="121" t="s">
        <v>3314</v>
      </c>
    </row>
    <row r="4717" spans="1:8" ht="15" x14ac:dyDescent="0.2">
      <c r="A4717" s="597">
        <v>43192</v>
      </c>
      <c r="B4717" s="41" t="s">
        <v>18</v>
      </c>
      <c r="C4717" s="63" t="s">
        <v>794</v>
      </c>
      <c r="D4717" s="108" t="s">
        <v>2280</v>
      </c>
      <c r="E4717" s="58">
        <v>29629.919354838708</v>
      </c>
      <c r="F4717" s="58"/>
      <c r="G4717" s="58">
        <f t="shared" si="77"/>
        <v>-29629.919354838708</v>
      </c>
      <c r="H4717" s="121" t="s">
        <v>3314</v>
      </c>
    </row>
    <row r="4718" spans="1:8" ht="15" x14ac:dyDescent="0.2">
      <c r="A4718" s="597">
        <v>43192</v>
      </c>
      <c r="B4718" s="41" t="s">
        <v>2548</v>
      </c>
      <c r="C4718" s="63" t="s">
        <v>794</v>
      </c>
      <c r="D4718" s="108" t="s">
        <v>1847</v>
      </c>
      <c r="E4718" s="58">
        <v>23650</v>
      </c>
      <c r="F4718" s="58"/>
      <c r="G4718" s="58">
        <f t="shared" si="77"/>
        <v>-23650</v>
      </c>
      <c r="H4718" s="121" t="s">
        <v>3314</v>
      </c>
    </row>
    <row r="4719" spans="1:8" ht="15" customHeight="1" x14ac:dyDescent="0.2">
      <c r="A4719" s="597">
        <v>43192</v>
      </c>
      <c r="B4719" s="41" t="s">
        <v>2787</v>
      </c>
      <c r="C4719" s="63" t="s">
        <v>794</v>
      </c>
      <c r="D4719" s="108" t="s">
        <v>1845</v>
      </c>
      <c r="E4719" s="58">
        <v>19780</v>
      </c>
      <c r="F4719" s="58"/>
      <c r="G4719" s="58">
        <f t="shared" si="77"/>
        <v>-19780</v>
      </c>
      <c r="H4719" s="121" t="s">
        <v>3314</v>
      </c>
    </row>
    <row r="4720" spans="1:8" ht="15" customHeight="1" x14ac:dyDescent="0.2">
      <c r="A4720" s="597">
        <v>43192</v>
      </c>
      <c r="B4720" s="41" t="s">
        <v>40</v>
      </c>
      <c r="C4720" s="63" t="s">
        <v>794</v>
      </c>
      <c r="D4720" s="108" t="s">
        <v>1855</v>
      </c>
      <c r="E4720" s="58">
        <v>26939.516129032258</v>
      </c>
      <c r="F4720" s="58"/>
      <c r="G4720" s="58">
        <f t="shared" si="77"/>
        <v>-26939.516129032258</v>
      </c>
      <c r="H4720" s="121" t="s">
        <v>3314</v>
      </c>
    </row>
    <row r="4721" spans="1:8" ht="15" x14ac:dyDescent="0.2">
      <c r="A4721" s="597">
        <v>43192</v>
      </c>
      <c r="B4721" s="41" t="s">
        <v>40</v>
      </c>
      <c r="C4721" s="63" t="s">
        <v>794</v>
      </c>
      <c r="D4721" s="108" t="s">
        <v>1861</v>
      </c>
      <c r="E4721" s="58">
        <v>18059.879032258064</v>
      </c>
      <c r="F4721" s="58"/>
      <c r="G4721" s="58">
        <f t="shared" si="77"/>
        <v>-18059.879032258064</v>
      </c>
      <c r="H4721" s="121" t="s">
        <v>3314</v>
      </c>
    </row>
    <row r="4722" spans="1:8" ht="15" x14ac:dyDescent="0.2">
      <c r="A4722" s="597">
        <v>43192</v>
      </c>
      <c r="B4722" s="41" t="s">
        <v>40</v>
      </c>
      <c r="C4722" s="63" t="s">
        <v>794</v>
      </c>
      <c r="D4722" s="108" t="s">
        <v>1849</v>
      </c>
      <c r="E4722" s="58">
        <v>19029.83870967742</v>
      </c>
      <c r="F4722" s="58"/>
      <c r="G4722" s="58">
        <f t="shared" si="77"/>
        <v>-19029.83870967742</v>
      </c>
      <c r="H4722" s="121" t="s">
        <v>3314</v>
      </c>
    </row>
    <row r="4723" spans="1:8" ht="15" x14ac:dyDescent="0.2">
      <c r="A4723" s="597">
        <v>43192</v>
      </c>
      <c r="B4723" s="41" t="s">
        <v>40</v>
      </c>
      <c r="C4723" s="63" t="s">
        <v>794</v>
      </c>
      <c r="D4723" s="108" t="s">
        <v>2036</v>
      </c>
      <c r="E4723" s="58">
        <v>10959.677419354841</v>
      </c>
      <c r="F4723" s="58"/>
      <c r="G4723" s="58">
        <f t="shared" si="77"/>
        <v>-10959.677419354841</v>
      </c>
      <c r="H4723" s="121" t="s">
        <v>3314</v>
      </c>
    </row>
    <row r="4724" spans="1:8" ht="15" x14ac:dyDescent="0.2">
      <c r="A4724" s="597">
        <v>43192</v>
      </c>
      <c r="B4724" s="41" t="s">
        <v>40</v>
      </c>
      <c r="C4724" s="63" t="s">
        <v>794</v>
      </c>
      <c r="D4724" s="108" t="s">
        <v>3354</v>
      </c>
      <c r="E4724" s="58">
        <v>11010.08064516129</v>
      </c>
      <c r="F4724" s="58"/>
      <c r="G4724" s="58">
        <f t="shared" si="77"/>
        <v>-11010.08064516129</v>
      </c>
      <c r="H4724" s="121" t="s">
        <v>3314</v>
      </c>
    </row>
    <row r="4725" spans="1:8" ht="15" x14ac:dyDescent="0.2">
      <c r="A4725" s="597">
        <v>43192</v>
      </c>
      <c r="B4725" s="41" t="s">
        <v>37</v>
      </c>
      <c r="C4725" s="63" t="s">
        <v>794</v>
      </c>
      <c r="D4725" s="108" t="s">
        <v>1866</v>
      </c>
      <c r="E4725" s="58">
        <v>16009.516129032258</v>
      </c>
      <c r="F4725" s="58"/>
      <c r="G4725" s="58">
        <f t="shared" si="77"/>
        <v>-16009.516129032258</v>
      </c>
      <c r="H4725" s="121" t="s">
        <v>3314</v>
      </c>
    </row>
    <row r="4726" spans="1:8" ht="15" x14ac:dyDescent="0.2">
      <c r="A4726" s="597">
        <v>43192</v>
      </c>
      <c r="B4726" s="41" t="s">
        <v>37</v>
      </c>
      <c r="C4726" s="63" t="s">
        <v>794</v>
      </c>
      <c r="D4726" s="108" t="s">
        <v>1867</v>
      </c>
      <c r="E4726" s="58">
        <v>14000</v>
      </c>
      <c r="F4726" s="58"/>
      <c r="G4726" s="58">
        <f t="shared" si="77"/>
        <v>-14000</v>
      </c>
      <c r="H4726" s="121" t="s">
        <v>3314</v>
      </c>
    </row>
    <row r="4727" spans="1:8" ht="15" x14ac:dyDescent="0.2">
      <c r="A4727" s="597">
        <v>43192</v>
      </c>
      <c r="B4727" s="41" t="s">
        <v>37</v>
      </c>
      <c r="C4727" s="63" t="s">
        <v>794</v>
      </c>
      <c r="D4727" s="108" t="s">
        <v>1868</v>
      </c>
      <c r="E4727" s="58">
        <v>18880.443548387098</v>
      </c>
      <c r="F4727" s="58"/>
      <c r="G4727" s="58">
        <f t="shared" si="77"/>
        <v>-18880.443548387098</v>
      </c>
      <c r="H4727" s="121" t="s">
        <v>3314</v>
      </c>
    </row>
    <row r="4728" spans="1:8" ht="15" x14ac:dyDescent="0.2">
      <c r="A4728" s="597">
        <v>43192</v>
      </c>
      <c r="B4728" s="41" t="s">
        <v>37</v>
      </c>
      <c r="C4728" s="63" t="s">
        <v>794</v>
      </c>
      <c r="D4728" s="108" t="s">
        <v>1240</v>
      </c>
      <c r="E4728" s="58">
        <v>14680.241935483871</v>
      </c>
      <c r="F4728" s="58"/>
      <c r="G4728" s="58">
        <f t="shared" si="77"/>
        <v>-14680.241935483871</v>
      </c>
      <c r="H4728" s="121" t="s">
        <v>3314</v>
      </c>
    </row>
    <row r="4729" spans="1:8" ht="15" x14ac:dyDescent="0.2">
      <c r="A4729" s="597">
        <v>43192</v>
      </c>
      <c r="B4729" s="41" t="s">
        <v>37</v>
      </c>
      <c r="C4729" s="63" t="s">
        <v>794</v>
      </c>
      <c r="D4729" s="108" t="s">
        <v>2919</v>
      </c>
      <c r="E4729" s="58">
        <v>10249.596774193549</v>
      </c>
      <c r="F4729" s="58"/>
      <c r="G4729" s="58">
        <f t="shared" si="77"/>
        <v>-10249.596774193549</v>
      </c>
      <c r="H4729" s="121" t="s">
        <v>3314</v>
      </c>
    </row>
    <row r="4730" spans="1:8" ht="15" x14ac:dyDescent="0.2">
      <c r="A4730" s="597">
        <v>43192</v>
      </c>
      <c r="B4730" s="41" t="s">
        <v>37</v>
      </c>
      <c r="C4730" s="63" t="s">
        <v>794</v>
      </c>
      <c r="D4730" s="108" t="s">
        <v>2720</v>
      </c>
      <c r="E4730" s="58">
        <v>12780</v>
      </c>
      <c r="F4730" s="58"/>
      <c r="G4730" s="58">
        <f t="shared" si="77"/>
        <v>-12780</v>
      </c>
      <c r="H4730" s="121" t="s">
        <v>3314</v>
      </c>
    </row>
    <row r="4731" spans="1:8" ht="15" x14ac:dyDescent="0.2">
      <c r="A4731" s="597">
        <v>43192</v>
      </c>
      <c r="B4731" s="41" t="s">
        <v>1400</v>
      </c>
      <c r="C4731" s="63" t="s">
        <v>794</v>
      </c>
      <c r="D4731" s="108" t="s">
        <v>1858</v>
      </c>
      <c r="E4731" s="58">
        <v>33000</v>
      </c>
      <c r="F4731" s="58"/>
      <c r="G4731" s="58">
        <f t="shared" si="77"/>
        <v>-33000</v>
      </c>
      <c r="H4731" s="121" t="s">
        <v>3314</v>
      </c>
    </row>
    <row r="4732" spans="1:8" ht="15" x14ac:dyDescent="0.2">
      <c r="A4732" s="597">
        <v>43192</v>
      </c>
      <c r="B4732" s="41" t="s">
        <v>2933</v>
      </c>
      <c r="C4732" s="63" t="s">
        <v>794</v>
      </c>
      <c r="D4732" s="108" t="s">
        <v>3236</v>
      </c>
      <c r="E4732" s="58">
        <v>23387.096774193549</v>
      </c>
      <c r="F4732" s="58"/>
      <c r="G4732" s="58">
        <f t="shared" si="77"/>
        <v>-23387.096774193549</v>
      </c>
      <c r="H4732" s="121" t="s">
        <v>3314</v>
      </c>
    </row>
    <row r="4733" spans="1:8" ht="15" x14ac:dyDescent="0.2">
      <c r="A4733" s="597">
        <v>43192</v>
      </c>
      <c r="B4733" s="41" t="s">
        <v>25</v>
      </c>
      <c r="C4733" s="63" t="s">
        <v>2978</v>
      </c>
      <c r="D4733" s="108" t="s">
        <v>3355</v>
      </c>
      <c r="E4733" s="58">
        <v>12450</v>
      </c>
      <c r="F4733" s="58"/>
      <c r="G4733" s="58">
        <f t="shared" si="77"/>
        <v>-12450</v>
      </c>
      <c r="H4733" s="121" t="s">
        <v>3314</v>
      </c>
    </row>
    <row r="4734" spans="1:8" ht="15" x14ac:dyDescent="0.2">
      <c r="A4734" s="597">
        <v>43192</v>
      </c>
      <c r="B4734" s="41" t="s">
        <v>1400</v>
      </c>
      <c r="C4734" s="63" t="s">
        <v>3145</v>
      </c>
      <c r="D4734" s="108" t="s">
        <v>3356</v>
      </c>
      <c r="E4734" s="58">
        <v>34170</v>
      </c>
      <c r="F4734" s="58"/>
      <c r="G4734" s="58">
        <f t="shared" si="77"/>
        <v>-34170</v>
      </c>
      <c r="H4734" s="121" t="s">
        <v>3314</v>
      </c>
    </row>
    <row r="4735" spans="1:8" ht="24" x14ac:dyDescent="0.2">
      <c r="A4735" s="597">
        <v>43194</v>
      </c>
      <c r="B4735" s="41" t="s">
        <v>2787</v>
      </c>
      <c r="C4735" s="63" t="s">
        <v>3145</v>
      </c>
      <c r="D4735" s="129" t="s">
        <v>3357</v>
      </c>
      <c r="E4735" s="58">
        <v>28580</v>
      </c>
      <c r="F4735" s="58"/>
      <c r="G4735" s="58">
        <f t="shared" si="77"/>
        <v>-28580</v>
      </c>
      <c r="H4735" s="121" t="s">
        <v>3314</v>
      </c>
    </row>
    <row r="4736" spans="1:8" ht="15" x14ac:dyDescent="0.2">
      <c r="A4736" s="597">
        <v>43196</v>
      </c>
      <c r="B4736" s="41" t="s">
        <v>2787</v>
      </c>
      <c r="C4736" s="63" t="s">
        <v>3145</v>
      </c>
      <c r="D4736" s="108" t="s">
        <v>3358</v>
      </c>
      <c r="E4736" s="58">
        <v>4000</v>
      </c>
      <c r="F4736" s="58"/>
      <c r="G4736" s="58">
        <f t="shared" si="77"/>
        <v>-4000</v>
      </c>
      <c r="H4736" s="121" t="s">
        <v>3314</v>
      </c>
    </row>
    <row r="4737" spans="1:8" ht="15" x14ac:dyDescent="0.2">
      <c r="A4737" s="597">
        <v>43196</v>
      </c>
      <c r="B4737" s="41" t="s">
        <v>40</v>
      </c>
      <c r="C4737" s="63" t="s">
        <v>286</v>
      </c>
      <c r="D4737" s="108" t="s">
        <v>3359</v>
      </c>
      <c r="E4737" s="58">
        <v>140</v>
      </c>
      <c r="F4737" s="58"/>
      <c r="G4737" s="58">
        <f t="shared" si="77"/>
        <v>-140</v>
      </c>
      <c r="H4737" s="121" t="s">
        <v>3314</v>
      </c>
    </row>
    <row r="4738" spans="1:8" ht="15" x14ac:dyDescent="0.2">
      <c r="A4738" s="597">
        <v>43196</v>
      </c>
      <c r="B4738" s="41" t="s">
        <v>1400</v>
      </c>
      <c r="C4738" s="63" t="s">
        <v>3145</v>
      </c>
      <c r="D4738" s="108" t="s">
        <v>3341</v>
      </c>
      <c r="E4738" s="58">
        <v>36538</v>
      </c>
      <c r="F4738" s="58"/>
      <c r="G4738" s="58">
        <f t="shared" si="77"/>
        <v>-36538</v>
      </c>
      <c r="H4738" s="121" t="s">
        <v>3314</v>
      </c>
    </row>
    <row r="4739" spans="1:8" ht="15" x14ac:dyDescent="0.2">
      <c r="A4739" s="597">
        <v>43196</v>
      </c>
      <c r="B4739" s="41" t="s">
        <v>2787</v>
      </c>
      <c r="C4739" s="63" t="s">
        <v>3145</v>
      </c>
      <c r="D4739" s="108" t="s">
        <v>3341</v>
      </c>
      <c r="E4739" s="58">
        <v>36560</v>
      </c>
      <c r="F4739" s="58"/>
      <c r="G4739" s="58">
        <f t="shared" si="77"/>
        <v>-36560</v>
      </c>
      <c r="H4739" s="121" t="s">
        <v>3314</v>
      </c>
    </row>
    <row r="4740" spans="1:8" ht="15" x14ac:dyDescent="0.2">
      <c r="A4740" s="597">
        <v>43196</v>
      </c>
      <c r="B4740" s="41" t="s">
        <v>2787</v>
      </c>
      <c r="C4740" s="63" t="s">
        <v>3149</v>
      </c>
      <c r="D4740" s="108" t="s">
        <v>3360</v>
      </c>
      <c r="E4740" s="58">
        <f>765+85</f>
        <v>850</v>
      </c>
      <c r="F4740" s="58"/>
      <c r="G4740" s="58">
        <f t="shared" si="77"/>
        <v>-850</v>
      </c>
      <c r="H4740" s="121" t="s">
        <v>3314</v>
      </c>
    </row>
    <row r="4741" spans="1:8" ht="15" x14ac:dyDescent="0.2">
      <c r="A4741" s="597">
        <v>43196</v>
      </c>
      <c r="B4741" s="41" t="s">
        <v>1400</v>
      </c>
      <c r="C4741" s="63" t="s">
        <v>3149</v>
      </c>
      <c r="D4741" s="108" t="s">
        <v>3360</v>
      </c>
      <c r="E4741" s="58">
        <v>620</v>
      </c>
      <c r="F4741" s="58"/>
      <c r="G4741" s="58">
        <f t="shared" si="77"/>
        <v>-620</v>
      </c>
      <c r="H4741" s="121" t="s">
        <v>3314</v>
      </c>
    </row>
    <row r="4742" spans="1:8" ht="15" x14ac:dyDescent="0.2">
      <c r="A4742" s="597">
        <v>43199</v>
      </c>
      <c r="B4742" s="41" t="s">
        <v>18</v>
      </c>
      <c r="C4742" s="63" t="s">
        <v>2160</v>
      </c>
      <c r="D4742" s="108" t="s">
        <v>3361</v>
      </c>
      <c r="E4742" s="58">
        <v>10000</v>
      </c>
      <c r="F4742" s="58"/>
      <c r="G4742" s="58">
        <f t="shared" si="77"/>
        <v>-10000</v>
      </c>
      <c r="H4742" s="121" t="s">
        <v>3314</v>
      </c>
    </row>
    <row r="4743" spans="1:8" ht="15" x14ac:dyDescent="0.2">
      <c r="A4743" s="597">
        <v>43200</v>
      </c>
      <c r="B4743" s="41" t="s">
        <v>2657</v>
      </c>
      <c r="C4743" s="63" t="s">
        <v>3145</v>
      </c>
      <c r="D4743" s="108" t="s">
        <v>3362</v>
      </c>
      <c r="E4743" s="58">
        <v>55950</v>
      </c>
      <c r="F4743" s="58"/>
      <c r="G4743" s="58">
        <f t="shared" si="77"/>
        <v>-55950</v>
      </c>
      <c r="H4743" s="121" t="s">
        <v>3314</v>
      </c>
    </row>
    <row r="4744" spans="1:8" ht="15" x14ac:dyDescent="0.2">
      <c r="A4744" s="597">
        <v>43200</v>
      </c>
      <c r="B4744" s="41" t="s">
        <v>1400</v>
      </c>
      <c r="C4744" s="63" t="s">
        <v>64</v>
      </c>
      <c r="D4744" s="108" t="s">
        <v>3363</v>
      </c>
      <c r="E4744" s="58">
        <v>3080</v>
      </c>
      <c r="F4744" s="58"/>
      <c r="G4744" s="58">
        <f t="shared" si="77"/>
        <v>-3080</v>
      </c>
      <c r="H4744" s="121" t="s">
        <v>3314</v>
      </c>
    </row>
    <row r="4745" spans="1:8" ht="15" x14ac:dyDescent="0.2">
      <c r="A4745" s="597">
        <v>43200</v>
      </c>
      <c r="B4745" s="41" t="s">
        <v>16</v>
      </c>
      <c r="C4745" s="63" t="s">
        <v>3364</v>
      </c>
      <c r="D4745" s="108" t="s">
        <v>3365</v>
      </c>
      <c r="E4745" s="58">
        <v>4800</v>
      </c>
      <c r="F4745" s="58"/>
      <c r="G4745" s="58">
        <f t="shared" ref="G4745:G4808" si="78">F4745-E4745</f>
        <v>-4800</v>
      </c>
      <c r="H4745" s="121" t="s">
        <v>3314</v>
      </c>
    </row>
    <row r="4746" spans="1:8" ht="15" x14ac:dyDescent="0.2">
      <c r="A4746" s="597">
        <v>43200</v>
      </c>
      <c r="B4746" s="41" t="s">
        <v>2787</v>
      </c>
      <c r="C4746" s="63" t="s">
        <v>3145</v>
      </c>
      <c r="D4746" s="108" t="s">
        <v>3366</v>
      </c>
      <c r="E4746" s="58">
        <v>11732</v>
      </c>
      <c r="F4746" s="58"/>
      <c r="G4746" s="58">
        <f t="shared" si="78"/>
        <v>-11732</v>
      </c>
      <c r="H4746" s="121" t="s">
        <v>3314</v>
      </c>
    </row>
    <row r="4747" spans="1:8" ht="15" x14ac:dyDescent="0.2">
      <c r="A4747" s="597">
        <v>43200</v>
      </c>
      <c r="B4747" s="41" t="s">
        <v>2787</v>
      </c>
      <c r="C4747" s="63" t="s">
        <v>3145</v>
      </c>
      <c r="D4747" s="108" t="s">
        <v>3367</v>
      </c>
      <c r="E4747" s="58">
        <v>14400</v>
      </c>
      <c r="F4747" s="58"/>
      <c r="G4747" s="58">
        <f t="shared" si="78"/>
        <v>-14400</v>
      </c>
      <c r="H4747" s="121" t="s">
        <v>3314</v>
      </c>
    </row>
    <row r="4748" spans="1:8" ht="15" x14ac:dyDescent="0.2">
      <c r="A4748" s="597">
        <v>43200</v>
      </c>
      <c r="B4748" s="41" t="s">
        <v>16</v>
      </c>
      <c r="C4748" s="63" t="s">
        <v>3145</v>
      </c>
      <c r="D4748" s="108" t="s">
        <v>3368</v>
      </c>
      <c r="E4748" s="58">
        <v>300</v>
      </c>
      <c r="F4748" s="58"/>
      <c r="G4748" s="58">
        <f t="shared" si="78"/>
        <v>-300</v>
      </c>
      <c r="H4748" s="121" t="s">
        <v>3314</v>
      </c>
    </row>
    <row r="4749" spans="1:8" ht="15" x14ac:dyDescent="0.2">
      <c r="A4749" s="597">
        <v>43200</v>
      </c>
      <c r="B4749" s="41" t="s">
        <v>2787</v>
      </c>
      <c r="C4749" s="63" t="s">
        <v>3145</v>
      </c>
      <c r="D4749" s="108" t="s">
        <v>3370</v>
      </c>
      <c r="E4749" s="58">
        <v>62350</v>
      </c>
      <c r="F4749" s="58"/>
      <c r="G4749" s="58">
        <f t="shared" si="78"/>
        <v>-62350</v>
      </c>
      <c r="H4749" s="121" t="s">
        <v>3314</v>
      </c>
    </row>
    <row r="4750" spans="1:8" ht="24" x14ac:dyDescent="0.2">
      <c r="A4750" s="597">
        <v>43200</v>
      </c>
      <c r="B4750" s="63" t="s">
        <v>1400</v>
      </c>
      <c r="C4750" s="63" t="s">
        <v>3145</v>
      </c>
      <c r="D4750" s="183" t="s">
        <v>3371</v>
      </c>
      <c r="E4750" s="126">
        <v>61447</v>
      </c>
      <c r="F4750" s="126"/>
      <c r="G4750" s="126">
        <f t="shared" si="78"/>
        <v>-61447</v>
      </c>
      <c r="H4750" s="121" t="s">
        <v>3314</v>
      </c>
    </row>
    <row r="4751" spans="1:8" ht="15" x14ac:dyDescent="0.2">
      <c r="A4751" s="597">
        <v>43204</v>
      </c>
      <c r="B4751" s="41" t="s">
        <v>2787</v>
      </c>
      <c r="C4751" s="63" t="s">
        <v>3145</v>
      </c>
      <c r="D4751" s="108" t="s">
        <v>3372</v>
      </c>
      <c r="E4751" s="58">
        <v>5100</v>
      </c>
      <c r="F4751" s="58"/>
      <c r="G4751" s="58">
        <f t="shared" si="78"/>
        <v>-5100</v>
      </c>
      <c r="H4751" s="121" t="s">
        <v>3314</v>
      </c>
    </row>
    <row r="4752" spans="1:8" ht="15" customHeight="1" x14ac:dyDescent="0.2">
      <c r="A4752" s="597">
        <v>43204</v>
      </c>
      <c r="B4752" s="41" t="s">
        <v>2787</v>
      </c>
      <c r="C4752" s="63" t="s">
        <v>3145</v>
      </c>
      <c r="D4752" s="108" t="s">
        <v>3373</v>
      </c>
      <c r="E4752" s="58">
        <v>9639</v>
      </c>
      <c r="F4752" s="58"/>
      <c r="G4752" s="58">
        <f t="shared" si="78"/>
        <v>-9639</v>
      </c>
      <c r="H4752" s="121" t="s">
        <v>3314</v>
      </c>
    </row>
    <row r="4753" spans="1:8" ht="15" customHeight="1" x14ac:dyDescent="0.2">
      <c r="A4753" s="597">
        <v>43204</v>
      </c>
      <c r="B4753" s="41" t="s">
        <v>1400</v>
      </c>
      <c r="C4753" s="63" t="s">
        <v>3145</v>
      </c>
      <c r="D4753" s="108" t="s">
        <v>3374</v>
      </c>
      <c r="E4753" s="58">
        <v>18000</v>
      </c>
      <c r="F4753" s="58"/>
      <c r="G4753" s="58">
        <f t="shared" si="78"/>
        <v>-18000</v>
      </c>
      <c r="H4753" s="121" t="s">
        <v>3314</v>
      </c>
    </row>
    <row r="4754" spans="1:8" ht="15" customHeight="1" x14ac:dyDescent="0.2">
      <c r="A4754" s="597">
        <v>43207</v>
      </c>
      <c r="B4754" s="41" t="s">
        <v>2787</v>
      </c>
      <c r="C4754" s="63" t="s">
        <v>3145</v>
      </c>
      <c r="D4754" s="108" t="s">
        <v>3431</v>
      </c>
      <c r="E4754" s="58">
        <v>37200</v>
      </c>
      <c r="F4754" s="58"/>
      <c r="G4754" s="58">
        <f t="shared" si="78"/>
        <v>-37200</v>
      </c>
      <c r="H4754" s="121" t="s">
        <v>3314</v>
      </c>
    </row>
    <row r="4755" spans="1:8" ht="15" x14ac:dyDescent="0.2">
      <c r="A4755" s="597">
        <v>43207</v>
      </c>
      <c r="B4755" s="41" t="s">
        <v>2787</v>
      </c>
      <c r="C4755" s="63" t="s">
        <v>3145</v>
      </c>
      <c r="D4755" s="108" t="s">
        <v>3431</v>
      </c>
      <c r="E4755" s="58">
        <v>86370</v>
      </c>
      <c r="F4755" s="58"/>
      <c r="G4755" s="58">
        <f t="shared" si="78"/>
        <v>-86370</v>
      </c>
      <c r="H4755" s="121" t="s">
        <v>3314</v>
      </c>
    </row>
    <row r="4756" spans="1:8" ht="15" x14ac:dyDescent="0.2">
      <c r="A4756" s="597">
        <v>43207</v>
      </c>
      <c r="B4756" s="41" t="s">
        <v>40</v>
      </c>
      <c r="C4756" s="63" t="s">
        <v>286</v>
      </c>
      <c r="D4756" s="108" t="s">
        <v>3432</v>
      </c>
      <c r="E4756" s="58">
        <v>300</v>
      </c>
      <c r="F4756" s="58"/>
      <c r="G4756" s="58">
        <f t="shared" si="78"/>
        <v>-300</v>
      </c>
      <c r="H4756" s="121" t="s">
        <v>3314</v>
      </c>
    </row>
    <row r="4757" spans="1:8" ht="15" x14ac:dyDescent="0.2">
      <c r="A4757" s="597">
        <v>43207</v>
      </c>
      <c r="B4757" s="41" t="s">
        <v>2933</v>
      </c>
      <c r="C4757" s="63" t="s">
        <v>3145</v>
      </c>
      <c r="D4757" s="108" t="s">
        <v>3433</v>
      </c>
      <c r="E4757" s="58">
        <v>22090</v>
      </c>
      <c r="F4757" s="58"/>
      <c r="G4757" s="58">
        <f t="shared" si="78"/>
        <v>-22090</v>
      </c>
      <c r="H4757" s="121" t="s">
        <v>3314</v>
      </c>
    </row>
    <row r="4758" spans="1:8" ht="15" x14ac:dyDescent="0.2">
      <c r="A4758" s="597">
        <v>43207</v>
      </c>
      <c r="B4758" s="41" t="s">
        <v>1400</v>
      </c>
      <c r="C4758" s="63" t="s">
        <v>3145</v>
      </c>
      <c r="D4758" s="108" t="s">
        <v>3434</v>
      </c>
      <c r="E4758" s="58">
        <v>15400</v>
      </c>
      <c r="F4758" s="58"/>
      <c r="G4758" s="58">
        <f t="shared" si="78"/>
        <v>-15400</v>
      </c>
      <c r="H4758" s="121" t="s">
        <v>3314</v>
      </c>
    </row>
    <row r="4759" spans="1:8" ht="15" x14ac:dyDescent="0.2">
      <c r="A4759" s="597">
        <v>43207</v>
      </c>
      <c r="B4759" s="41" t="s">
        <v>2787</v>
      </c>
      <c r="C4759" s="63" t="s">
        <v>3145</v>
      </c>
      <c r="D4759" s="108" t="s">
        <v>3435</v>
      </c>
      <c r="E4759" s="58">
        <v>17900</v>
      </c>
      <c r="F4759" s="58"/>
      <c r="G4759" s="58">
        <f t="shared" si="78"/>
        <v>-17900</v>
      </c>
      <c r="H4759" s="121" t="s">
        <v>3314</v>
      </c>
    </row>
    <row r="4760" spans="1:8" ht="15" x14ac:dyDescent="0.2">
      <c r="A4760" s="597">
        <v>43208</v>
      </c>
      <c r="B4760" s="41" t="s">
        <v>16</v>
      </c>
      <c r="C4760" s="63" t="s">
        <v>3145</v>
      </c>
      <c r="D4760" s="108" t="s">
        <v>3436</v>
      </c>
      <c r="E4760" s="58">
        <v>350</v>
      </c>
      <c r="F4760" s="58"/>
      <c r="G4760" s="58">
        <f t="shared" si="78"/>
        <v>-350</v>
      </c>
      <c r="H4760" s="121" t="s">
        <v>3314</v>
      </c>
    </row>
    <row r="4761" spans="1:8" ht="15" customHeight="1" x14ac:dyDescent="0.2">
      <c r="A4761" s="597">
        <v>43208</v>
      </c>
      <c r="B4761" s="41" t="s">
        <v>18</v>
      </c>
      <c r="C4761" s="63" t="s">
        <v>3437</v>
      </c>
      <c r="D4761" s="108" t="s">
        <v>3361</v>
      </c>
      <c r="E4761" s="58">
        <v>5000</v>
      </c>
      <c r="F4761" s="58"/>
      <c r="G4761" s="58">
        <f t="shared" si="78"/>
        <v>-5000</v>
      </c>
      <c r="H4761" s="121" t="s">
        <v>3314</v>
      </c>
    </row>
    <row r="4762" spans="1:8" ht="24" x14ac:dyDescent="0.2">
      <c r="A4762" s="597">
        <v>43208</v>
      </c>
      <c r="B4762" s="41" t="s">
        <v>1400</v>
      </c>
      <c r="C4762" s="63" t="s">
        <v>3145</v>
      </c>
      <c r="D4762" s="129" t="s">
        <v>3438</v>
      </c>
      <c r="E4762" s="58">
        <v>39301</v>
      </c>
      <c r="F4762" s="58"/>
      <c r="G4762" s="58">
        <f t="shared" si="78"/>
        <v>-39301</v>
      </c>
      <c r="H4762" s="121" t="s">
        <v>3314</v>
      </c>
    </row>
    <row r="4763" spans="1:8" ht="15" x14ac:dyDescent="0.2">
      <c r="A4763" s="597">
        <v>43208</v>
      </c>
      <c r="B4763" s="41" t="s">
        <v>1400</v>
      </c>
      <c r="C4763" s="63" t="s">
        <v>3033</v>
      </c>
      <c r="D4763" s="108" t="s">
        <v>370</v>
      </c>
      <c r="E4763" s="58">
        <v>2000</v>
      </c>
      <c r="F4763" s="58"/>
      <c r="G4763" s="58">
        <f t="shared" si="78"/>
        <v>-2000</v>
      </c>
      <c r="H4763" s="121" t="s">
        <v>3314</v>
      </c>
    </row>
    <row r="4764" spans="1:8" ht="15" x14ac:dyDescent="0.2">
      <c r="A4764" s="597">
        <v>43208</v>
      </c>
      <c r="B4764" s="41" t="s">
        <v>18</v>
      </c>
      <c r="C4764" s="63" t="s">
        <v>3033</v>
      </c>
      <c r="D4764" s="108" t="s">
        <v>370</v>
      </c>
      <c r="E4764" s="58">
        <v>2500</v>
      </c>
      <c r="F4764" s="58"/>
      <c r="G4764" s="58">
        <f t="shared" si="78"/>
        <v>-2500</v>
      </c>
      <c r="H4764" s="121" t="s">
        <v>3314</v>
      </c>
    </row>
    <row r="4765" spans="1:8" ht="15" x14ac:dyDescent="0.2">
      <c r="A4765" s="597">
        <v>43211</v>
      </c>
      <c r="B4765" s="41" t="s">
        <v>2787</v>
      </c>
      <c r="C4765" s="63" t="s">
        <v>3145</v>
      </c>
      <c r="D4765" s="108" t="s">
        <v>3439</v>
      </c>
      <c r="E4765" s="58">
        <v>23100</v>
      </c>
      <c r="F4765" s="58"/>
      <c r="G4765" s="58">
        <f t="shared" si="78"/>
        <v>-23100</v>
      </c>
      <c r="H4765" s="121" t="s">
        <v>3314</v>
      </c>
    </row>
    <row r="4766" spans="1:8" ht="15" x14ac:dyDescent="0.2">
      <c r="A4766" s="597">
        <v>43211</v>
      </c>
      <c r="B4766" s="41" t="s">
        <v>2787</v>
      </c>
      <c r="C4766" s="63" t="s">
        <v>3145</v>
      </c>
      <c r="D4766" s="108" t="s">
        <v>3440</v>
      </c>
      <c r="E4766" s="58">
        <v>6065</v>
      </c>
      <c r="F4766" s="58"/>
      <c r="G4766" s="58">
        <f t="shared" si="78"/>
        <v>-6065</v>
      </c>
      <c r="H4766" s="121" t="s">
        <v>3314</v>
      </c>
    </row>
    <row r="4767" spans="1:8" ht="15" x14ac:dyDescent="0.2">
      <c r="A4767" s="597">
        <v>43211</v>
      </c>
      <c r="B4767" s="41" t="s">
        <v>2787</v>
      </c>
      <c r="C4767" s="63" t="s">
        <v>3145</v>
      </c>
      <c r="D4767" s="108" t="s">
        <v>3441</v>
      </c>
      <c r="E4767" s="58">
        <v>35850</v>
      </c>
      <c r="F4767" s="58"/>
      <c r="G4767" s="58">
        <f t="shared" si="78"/>
        <v>-35850</v>
      </c>
      <c r="H4767" s="121" t="s">
        <v>3314</v>
      </c>
    </row>
    <row r="4768" spans="1:8" ht="15" x14ac:dyDescent="0.2">
      <c r="A4768" s="597">
        <v>43211</v>
      </c>
      <c r="B4768" s="41" t="s">
        <v>1400</v>
      </c>
      <c r="C4768" s="63" t="s">
        <v>3145</v>
      </c>
      <c r="D4768" s="108" t="s">
        <v>3442</v>
      </c>
      <c r="E4768" s="58">
        <v>17700</v>
      </c>
      <c r="F4768" s="58"/>
      <c r="G4768" s="58">
        <f t="shared" si="78"/>
        <v>-17700</v>
      </c>
      <c r="H4768" s="121" t="s">
        <v>3314</v>
      </c>
    </row>
    <row r="4769" spans="1:8" ht="15" x14ac:dyDescent="0.2">
      <c r="A4769" s="597">
        <v>43211</v>
      </c>
      <c r="B4769" s="41" t="s">
        <v>2787</v>
      </c>
      <c r="C4769" s="63" t="s">
        <v>3145</v>
      </c>
      <c r="D4769" s="108" t="s">
        <v>3443</v>
      </c>
      <c r="E4769" s="58">
        <v>31510</v>
      </c>
      <c r="F4769" s="58"/>
      <c r="G4769" s="58">
        <f t="shared" si="78"/>
        <v>-31510</v>
      </c>
      <c r="H4769" s="121" t="s">
        <v>3314</v>
      </c>
    </row>
    <row r="4770" spans="1:8" ht="15" x14ac:dyDescent="0.2">
      <c r="A4770" s="597">
        <v>43211</v>
      </c>
      <c r="B4770" s="41" t="s">
        <v>1400</v>
      </c>
      <c r="C4770" s="63" t="s">
        <v>3145</v>
      </c>
      <c r="D4770" s="108" t="s">
        <v>3444</v>
      </c>
      <c r="E4770" s="58">
        <v>20196</v>
      </c>
      <c r="F4770" s="58"/>
      <c r="G4770" s="58">
        <f t="shared" si="78"/>
        <v>-20196</v>
      </c>
      <c r="H4770" s="121" t="s">
        <v>3314</v>
      </c>
    </row>
    <row r="4771" spans="1:8" ht="15" x14ac:dyDescent="0.2">
      <c r="A4771" s="597">
        <v>43211</v>
      </c>
      <c r="B4771" s="41" t="s">
        <v>25</v>
      </c>
      <c r="C4771" s="63"/>
      <c r="D4771" s="108" t="s">
        <v>3445</v>
      </c>
      <c r="E4771" s="58">
        <v>500</v>
      </c>
      <c r="F4771" s="58"/>
      <c r="G4771" s="58">
        <f t="shared" si="78"/>
        <v>-500</v>
      </c>
      <c r="H4771" s="121" t="s">
        <v>3314</v>
      </c>
    </row>
    <row r="4772" spans="1:8" ht="15" x14ac:dyDescent="0.2">
      <c r="A4772" s="597">
        <v>43211</v>
      </c>
      <c r="B4772" s="41" t="s">
        <v>2787</v>
      </c>
      <c r="C4772" s="63" t="s">
        <v>3149</v>
      </c>
      <c r="D4772" s="108" t="s">
        <v>3369</v>
      </c>
      <c r="E4772" s="58">
        <v>1820</v>
      </c>
      <c r="F4772" s="58"/>
      <c r="G4772" s="58">
        <f t="shared" si="78"/>
        <v>-1820</v>
      </c>
      <c r="H4772" s="121" t="s">
        <v>3314</v>
      </c>
    </row>
    <row r="4773" spans="1:8" ht="15" x14ac:dyDescent="0.2">
      <c r="A4773" s="597">
        <v>43211</v>
      </c>
      <c r="B4773" s="41" t="s">
        <v>2787</v>
      </c>
      <c r="C4773" s="63" t="s">
        <v>3149</v>
      </c>
      <c r="D4773" s="108" t="s">
        <v>3369</v>
      </c>
      <c r="E4773" s="58">
        <v>1800</v>
      </c>
      <c r="F4773" s="58"/>
      <c r="G4773" s="58">
        <f t="shared" si="78"/>
        <v>-1800</v>
      </c>
      <c r="H4773" s="121" t="s">
        <v>3314</v>
      </c>
    </row>
    <row r="4774" spans="1:8" ht="15" x14ac:dyDescent="0.2">
      <c r="A4774" s="597">
        <v>43211</v>
      </c>
      <c r="B4774" s="41" t="s">
        <v>2933</v>
      </c>
      <c r="C4774" s="63" t="s">
        <v>3149</v>
      </c>
      <c r="D4774" s="108" t="s">
        <v>3369</v>
      </c>
      <c r="E4774" s="58">
        <v>300</v>
      </c>
      <c r="F4774" s="58"/>
      <c r="G4774" s="58">
        <f t="shared" si="78"/>
        <v>-300</v>
      </c>
      <c r="H4774" s="121" t="s">
        <v>3314</v>
      </c>
    </row>
    <row r="4775" spans="1:8" ht="15" x14ac:dyDescent="0.2">
      <c r="A4775" s="597">
        <v>43213</v>
      </c>
      <c r="B4775" s="41" t="s">
        <v>1400</v>
      </c>
      <c r="C4775" s="63" t="s">
        <v>3145</v>
      </c>
      <c r="D4775" s="108" t="s">
        <v>3460</v>
      </c>
      <c r="E4775" s="58">
        <v>19200</v>
      </c>
      <c r="F4775" s="58"/>
      <c r="G4775" s="58">
        <f t="shared" si="78"/>
        <v>-19200</v>
      </c>
      <c r="H4775" s="121" t="s">
        <v>3314</v>
      </c>
    </row>
    <row r="4776" spans="1:8" ht="15" x14ac:dyDescent="0.2">
      <c r="A4776" s="597">
        <v>43213</v>
      </c>
      <c r="B4776" s="41" t="s">
        <v>16</v>
      </c>
      <c r="C4776" s="63" t="s">
        <v>3145</v>
      </c>
      <c r="D4776" s="108" t="s">
        <v>3457</v>
      </c>
      <c r="E4776" s="58">
        <v>1200</v>
      </c>
      <c r="F4776" s="58"/>
      <c r="G4776" s="58">
        <f t="shared" si="78"/>
        <v>-1200</v>
      </c>
      <c r="H4776" s="121" t="s">
        <v>3314</v>
      </c>
    </row>
    <row r="4777" spans="1:8" ht="15" x14ac:dyDescent="0.2">
      <c r="A4777" s="597">
        <v>43213</v>
      </c>
      <c r="B4777" s="41" t="s">
        <v>2787</v>
      </c>
      <c r="C4777" s="63" t="s">
        <v>3145</v>
      </c>
      <c r="D4777" s="108" t="s">
        <v>3460</v>
      </c>
      <c r="E4777" s="58">
        <v>14690</v>
      </c>
      <c r="F4777" s="58"/>
      <c r="G4777" s="58">
        <f t="shared" si="78"/>
        <v>-14690</v>
      </c>
      <c r="H4777" s="121" t="s">
        <v>3314</v>
      </c>
    </row>
    <row r="4778" spans="1:8" ht="15" x14ac:dyDescent="0.2">
      <c r="A4778" s="597">
        <v>43214</v>
      </c>
      <c r="B4778" s="41" t="s">
        <v>37</v>
      </c>
      <c r="C4778" s="63" t="s">
        <v>3145</v>
      </c>
      <c r="D4778" s="108" t="s">
        <v>3458</v>
      </c>
      <c r="E4778" s="58">
        <v>950</v>
      </c>
      <c r="F4778" s="58"/>
      <c r="G4778" s="58">
        <f t="shared" si="78"/>
        <v>-950</v>
      </c>
      <c r="H4778" s="121" t="s">
        <v>3314</v>
      </c>
    </row>
    <row r="4779" spans="1:8" ht="15" x14ac:dyDescent="0.2">
      <c r="A4779" s="597">
        <v>43214</v>
      </c>
      <c r="B4779" s="41" t="s">
        <v>16</v>
      </c>
      <c r="C4779" s="63" t="s">
        <v>3145</v>
      </c>
      <c r="D4779" s="108" t="s">
        <v>3459</v>
      </c>
      <c r="E4779" s="58">
        <v>7000</v>
      </c>
      <c r="F4779" s="58"/>
      <c r="G4779" s="58">
        <f t="shared" si="78"/>
        <v>-7000</v>
      </c>
      <c r="H4779" s="121" t="s">
        <v>3314</v>
      </c>
    </row>
    <row r="4780" spans="1:8" ht="15" x14ac:dyDescent="0.2">
      <c r="A4780" s="597">
        <v>43215</v>
      </c>
      <c r="B4780" s="41" t="s">
        <v>25</v>
      </c>
      <c r="C4780" s="63" t="s">
        <v>2978</v>
      </c>
      <c r="D4780" s="108" t="s">
        <v>3461</v>
      </c>
      <c r="E4780" s="58">
        <v>15000</v>
      </c>
      <c r="F4780" s="58"/>
      <c r="G4780" s="58">
        <f t="shared" si="78"/>
        <v>-15000</v>
      </c>
      <c r="H4780" s="121" t="s">
        <v>3314</v>
      </c>
    </row>
    <row r="4781" spans="1:8" ht="15" x14ac:dyDescent="0.2">
      <c r="A4781" s="597">
        <v>43215</v>
      </c>
      <c r="B4781" s="41" t="s">
        <v>2933</v>
      </c>
      <c r="C4781" s="63" t="s">
        <v>3145</v>
      </c>
      <c r="D4781" s="108" t="s">
        <v>3462</v>
      </c>
      <c r="E4781" s="58">
        <v>8900</v>
      </c>
      <c r="F4781" s="58"/>
      <c r="G4781" s="58">
        <f t="shared" si="78"/>
        <v>-8900</v>
      </c>
      <c r="H4781" s="121" t="s">
        <v>3314</v>
      </c>
    </row>
    <row r="4782" spans="1:8" ht="15" x14ac:dyDescent="0.2">
      <c r="A4782" s="597">
        <v>43215</v>
      </c>
      <c r="B4782" s="41" t="s">
        <v>2787</v>
      </c>
      <c r="C4782" s="63" t="s">
        <v>3145</v>
      </c>
      <c r="D4782" s="108" t="s">
        <v>3463</v>
      </c>
      <c r="E4782" s="58">
        <v>17132</v>
      </c>
      <c r="F4782" s="58"/>
      <c r="G4782" s="58">
        <f t="shared" si="78"/>
        <v>-17132</v>
      </c>
      <c r="H4782" s="121" t="s">
        <v>3314</v>
      </c>
    </row>
    <row r="4783" spans="1:8" ht="15" x14ac:dyDescent="0.2">
      <c r="A4783" s="597">
        <v>43216</v>
      </c>
      <c r="B4783" s="41" t="s">
        <v>2787</v>
      </c>
      <c r="C4783" s="63" t="s">
        <v>3145</v>
      </c>
      <c r="D4783" s="108" t="s">
        <v>3465</v>
      </c>
      <c r="E4783" s="58">
        <v>2150</v>
      </c>
      <c r="F4783" s="58"/>
      <c r="G4783" s="58">
        <f t="shared" si="78"/>
        <v>-2150</v>
      </c>
      <c r="H4783" s="121" t="s">
        <v>3314</v>
      </c>
    </row>
    <row r="4784" spans="1:8" ht="15" x14ac:dyDescent="0.2">
      <c r="A4784" s="597">
        <v>43216</v>
      </c>
      <c r="B4784" s="41" t="s">
        <v>1400</v>
      </c>
      <c r="C4784" s="63" t="s">
        <v>3145</v>
      </c>
      <c r="D4784" s="108" t="s">
        <v>3464</v>
      </c>
      <c r="E4784" s="58">
        <v>11520</v>
      </c>
      <c r="F4784" s="58"/>
      <c r="G4784" s="58">
        <f t="shared" si="78"/>
        <v>-11520</v>
      </c>
      <c r="H4784" s="121" t="s">
        <v>3314</v>
      </c>
    </row>
    <row r="4785" spans="1:8" ht="15" x14ac:dyDescent="0.2">
      <c r="A4785" s="597">
        <v>43217</v>
      </c>
      <c r="B4785" s="41" t="s">
        <v>1400</v>
      </c>
      <c r="C4785" s="63" t="s">
        <v>2160</v>
      </c>
      <c r="D4785" s="108" t="s">
        <v>3466</v>
      </c>
      <c r="E4785" s="58">
        <v>20000</v>
      </c>
      <c r="F4785" s="58"/>
      <c r="G4785" s="58">
        <f t="shared" si="78"/>
        <v>-20000</v>
      </c>
      <c r="H4785" s="121" t="s">
        <v>3314</v>
      </c>
    </row>
    <row r="4786" spans="1:8" ht="15" x14ac:dyDescent="0.2">
      <c r="A4786" s="597">
        <v>43220</v>
      </c>
      <c r="B4786" s="41" t="s">
        <v>25</v>
      </c>
      <c r="C4786" s="63" t="s">
        <v>1894</v>
      </c>
      <c r="D4786" s="108" t="s">
        <v>72</v>
      </c>
      <c r="E4786" s="58">
        <v>3540</v>
      </c>
      <c r="F4786" s="58"/>
      <c r="G4786" s="58">
        <f t="shared" si="78"/>
        <v>-3540</v>
      </c>
      <c r="H4786" s="121" t="s">
        <v>3314</v>
      </c>
    </row>
    <row r="4787" spans="1:8" ht="15" x14ac:dyDescent="0.2">
      <c r="A4787" s="597">
        <v>43220</v>
      </c>
      <c r="B4787" s="41" t="s">
        <v>2933</v>
      </c>
      <c r="C4787" s="63" t="s">
        <v>3145</v>
      </c>
      <c r="D4787" s="108" t="s">
        <v>3467</v>
      </c>
      <c r="E4787" s="58">
        <v>450</v>
      </c>
      <c r="F4787" s="58"/>
      <c r="G4787" s="58">
        <f t="shared" si="78"/>
        <v>-450</v>
      </c>
      <c r="H4787" s="121" t="s">
        <v>3314</v>
      </c>
    </row>
    <row r="4788" spans="1:8" ht="15" x14ac:dyDescent="0.2">
      <c r="A4788" s="597">
        <v>43220</v>
      </c>
      <c r="B4788" s="41" t="s">
        <v>16</v>
      </c>
      <c r="C4788" s="63" t="s">
        <v>3145</v>
      </c>
      <c r="D4788" s="108" t="s">
        <v>3468</v>
      </c>
      <c r="E4788" s="58">
        <v>28000</v>
      </c>
      <c r="F4788" s="58"/>
      <c r="G4788" s="58">
        <f t="shared" si="78"/>
        <v>-28000</v>
      </c>
      <c r="H4788" s="121" t="s">
        <v>3314</v>
      </c>
    </row>
    <row r="4789" spans="1:8" ht="15" x14ac:dyDescent="0.2">
      <c r="A4789" s="597">
        <v>43220</v>
      </c>
      <c r="B4789" s="41" t="s">
        <v>25</v>
      </c>
      <c r="C4789" s="63" t="s">
        <v>1894</v>
      </c>
      <c r="D4789" s="108" t="s">
        <v>3469</v>
      </c>
      <c r="E4789" s="58">
        <v>12930</v>
      </c>
      <c r="F4789" s="58"/>
      <c r="G4789" s="58">
        <f t="shared" si="78"/>
        <v>-12930</v>
      </c>
      <c r="H4789" s="121" t="s">
        <v>3314</v>
      </c>
    </row>
    <row r="4790" spans="1:8" ht="15" x14ac:dyDescent="0.2">
      <c r="A4790" s="597">
        <v>43220</v>
      </c>
      <c r="B4790" s="41" t="s">
        <v>14</v>
      </c>
      <c r="C4790" s="63" t="s">
        <v>3470</v>
      </c>
      <c r="D4790" s="108" t="s">
        <v>3471</v>
      </c>
      <c r="E4790" s="58">
        <v>15000</v>
      </c>
      <c r="F4790" s="58"/>
      <c r="G4790" s="58">
        <f t="shared" si="78"/>
        <v>-15000</v>
      </c>
      <c r="H4790" s="121" t="s">
        <v>3314</v>
      </c>
    </row>
    <row r="4791" spans="1:8" ht="15" x14ac:dyDescent="0.2">
      <c r="A4791" s="597">
        <v>43220</v>
      </c>
      <c r="B4791" s="41" t="s">
        <v>16</v>
      </c>
      <c r="C4791" s="41" t="s">
        <v>16</v>
      </c>
      <c r="D4791" s="108" t="s">
        <v>3472</v>
      </c>
      <c r="E4791" s="58">
        <v>30</v>
      </c>
      <c r="F4791" s="58"/>
      <c r="G4791" s="58">
        <f t="shared" si="78"/>
        <v>-30</v>
      </c>
      <c r="H4791" s="121" t="s">
        <v>3314</v>
      </c>
    </row>
    <row r="4792" spans="1:8" ht="15" customHeight="1" x14ac:dyDescent="0.2">
      <c r="A4792" s="597">
        <v>43220</v>
      </c>
      <c r="B4792" s="41" t="s">
        <v>16</v>
      </c>
      <c r="C4792" s="41" t="s">
        <v>16</v>
      </c>
      <c r="D4792" s="108" t="s">
        <v>984</v>
      </c>
      <c r="E4792" s="58">
        <v>160</v>
      </c>
      <c r="F4792" s="58"/>
      <c r="G4792" s="58">
        <f t="shared" si="78"/>
        <v>-160</v>
      </c>
      <c r="H4792" s="121" t="s">
        <v>3314</v>
      </c>
    </row>
    <row r="4793" spans="1:8" ht="15" customHeight="1" x14ac:dyDescent="0.2">
      <c r="A4793" s="597">
        <v>43220</v>
      </c>
      <c r="B4793" s="41" t="s">
        <v>16</v>
      </c>
      <c r="C4793" s="41" t="s">
        <v>16</v>
      </c>
      <c r="D4793" s="108" t="s">
        <v>3473</v>
      </c>
      <c r="E4793" s="58">
        <v>165</v>
      </c>
      <c r="F4793" s="58"/>
      <c r="G4793" s="58">
        <f t="shared" si="78"/>
        <v>-165</v>
      </c>
      <c r="H4793" s="121" t="s">
        <v>3314</v>
      </c>
    </row>
    <row r="4794" spans="1:8" ht="15" customHeight="1" x14ac:dyDescent="0.2">
      <c r="A4794" s="597">
        <v>43220</v>
      </c>
      <c r="B4794" s="41" t="s">
        <v>16</v>
      </c>
      <c r="C4794" s="41" t="s">
        <v>16</v>
      </c>
      <c r="D4794" s="108" t="s">
        <v>3474</v>
      </c>
      <c r="E4794" s="58">
        <v>235</v>
      </c>
      <c r="F4794" s="58"/>
      <c r="G4794" s="58">
        <f t="shared" si="78"/>
        <v>-235</v>
      </c>
      <c r="H4794" s="121" t="s">
        <v>3314</v>
      </c>
    </row>
    <row r="4795" spans="1:8" ht="15" x14ac:dyDescent="0.2">
      <c r="A4795" s="597">
        <v>43220</v>
      </c>
      <c r="B4795" s="41" t="s">
        <v>16</v>
      </c>
      <c r="C4795" s="41" t="s">
        <v>16</v>
      </c>
      <c r="D4795" s="108" t="s">
        <v>3475</v>
      </c>
      <c r="E4795" s="58">
        <v>360</v>
      </c>
      <c r="F4795" s="58"/>
      <c r="G4795" s="58">
        <f t="shared" si="78"/>
        <v>-360</v>
      </c>
      <c r="H4795" s="121" t="s">
        <v>3314</v>
      </c>
    </row>
    <row r="4796" spans="1:8" ht="15" x14ac:dyDescent="0.2">
      <c r="A4796" s="597">
        <v>43220</v>
      </c>
      <c r="B4796" s="41" t="s">
        <v>16</v>
      </c>
      <c r="C4796" s="41" t="s">
        <v>16</v>
      </c>
      <c r="D4796" s="108" t="s">
        <v>3476</v>
      </c>
      <c r="E4796" s="58">
        <v>60</v>
      </c>
      <c r="F4796" s="58"/>
      <c r="G4796" s="58">
        <f t="shared" si="78"/>
        <v>-60</v>
      </c>
      <c r="H4796" s="121" t="s">
        <v>3314</v>
      </c>
    </row>
    <row r="4797" spans="1:8" ht="15" x14ac:dyDescent="0.2">
      <c r="A4797" s="597">
        <v>43220</v>
      </c>
      <c r="B4797" s="41" t="s">
        <v>16</v>
      </c>
      <c r="C4797" s="41" t="s">
        <v>16</v>
      </c>
      <c r="D4797" s="108" t="s">
        <v>3477</v>
      </c>
      <c r="E4797" s="58">
        <v>450</v>
      </c>
      <c r="F4797" s="58"/>
      <c r="G4797" s="58">
        <f t="shared" si="78"/>
        <v>-450</v>
      </c>
      <c r="H4797" s="121" t="s">
        <v>3314</v>
      </c>
    </row>
    <row r="4798" spans="1:8" ht="15" x14ac:dyDescent="0.2">
      <c r="A4798" s="597">
        <v>43220</v>
      </c>
      <c r="B4798" s="41" t="s">
        <v>16</v>
      </c>
      <c r="C4798" s="41" t="s">
        <v>16</v>
      </c>
      <c r="D4798" s="108" t="s">
        <v>3478</v>
      </c>
      <c r="E4798" s="58">
        <v>300</v>
      </c>
      <c r="F4798" s="58"/>
      <c r="G4798" s="58">
        <f t="shared" si="78"/>
        <v>-300</v>
      </c>
      <c r="H4798" s="121" t="s">
        <v>3314</v>
      </c>
    </row>
    <row r="4799" spans="1:8" ht="15" customHeight="1" x14ac:dyDescent="0.2">
      <c r="A4799" s="597">
        <v>43220</v>
      </c>
      <c r="B4799" s="41" t="s">
        <v>16</v>
      </c>
      <c r="C4799" s="41" t="s">
        <v>16</v>
      </c>
      <c r="D4799" s="108" t="s">
        <v>3479</v>
      </c>
      <c r="E4799" s="58">
        <v>110</v>
      </c>
      <c r="F4799" s="58"/>
      <c r="G4799" s="58">
        <f t="shared" si="78"/>
        <v>-110</v>
      </c>
      <c r="H4799" s="121" t="s">
        <v>3314</v>
      </c>
    </row>
    <row r="4800" spans="1:8" ht="15" customHeight="1" x14ac:dyDescent="0.2">
      <c r="A4800" s="597">
        <v>43220</v>
      </c>
      <c r="B4800" s="41" t="s">
        <v>16</v>
      </c>
      <c r="C4800" s="41" t="s">
        <v>16</v>
      </c>
      <c r="D4800" s="108" t="s">
        <v>3480</v>
      </c>
      <c r="E4800" s="58">
        <v>120</v>
      </c>
      <c r="F4800" s="58"/>
      <c r="G4800" s="58">
        <f t="shared" si="78"/>
        <v>-120</v>
      </c>
      <c r="H4800" s="121" t="s">
        <v>3314</v>
      </c>
    </row>
    <row r="4801" spans="1:8" ht="15" customHeight="1" x14ac:dyDescent="0.2">
      <c r="A4801" s="597">
        <v>43220</v>
      </c>
      <c r="B4801" s="41" t="s">
        <v>16</v>
      </c>
      <c r="C4801" s="41" t="s">
        <v>16</v>
      </c>
      <c r="D4801" s="108" t="s">
        <v>3151</v>
      </c>
      <c r="E4801" s="58">
        <v>130</v>
      </c>
      <c r="F4801" s="58"/>
      <c r="G4801" s="58">
        <f t="shared" si="78"/>
        <v>-130</v>
      </c>
      <c r="H4801" s="121" t="s">
        <v>3314</v>
      </c>
    </row>
    <row r="4802" spans="1:8" ht="15" customHeight="1" x14ac:dyDescent="0.2">
      <c r="A4802" s="597">
        <v>43220</v>
      </c>
      <c r="B4802" s="41" t="s">
        <v>16</v>
      </c>
      <c r="C4802" s="41" t="s">
        <v>16</v>
      </c>
      <c r="D4802" s="108" t="s">
        <v>3481</v>
      </c>
      <c r="E4802" s="58">
        <v>400</v>
      </c>
      <c r="F4802" s="58"/>
      <c r="G4802" s="58">
        <f t="shared" si="78"/>
        <v>-400</v>
      </c>
      <c r="H4802" s="121" t="s">
        <v>3314</v>
      </c>
    </row>
    <row r="4803" spans="1:8" ht="15" customHeight="1" x14ac:dyDescent="0.2">
      <c r="A4803" s="597">
        <v>43220</v>
      </c>
      <c r="B4803" s="41" t="s">
        <v>16</v>
      </c>
      <c r="C4803" s="41" t="s">
        <v>16</v>
      </c>
      <c r="D4803" s="108" t="s">
        <v>3482</v>
      </c>
      <c r="E4803" s="58">
        <v>1200</v>
      </c>
      <c r="F4803" s="58"/>
      <c r="G4803" s="58">
        <f t="shared" si="78"/>
        <v>-1200</v>
      </c>
      <c r="H4803" s="121" t="s">
        <v>3314</v>
      </c>
    </row>
    <row r="4804" spans="1:8" ht="15" customHeight="1" x14ac:dyDescent="0.2">
      <c r="A4804" s="597">
        <v>43220</v>
      </c>
      <c r="B4804" s="41" t="s">
        <v>16</v>
      </c>
      <c r="C4804" s="41" t="s">
        <v>16</v>
      </c>
      <c r="D4804" s="108" t="s">
        <v>3483</v>
      </c>
      <c r="E4804" s="58">
        <v>100</v>
      </c>
      <c r="F4804" s="58"/>
      <c r="G4804" s="58">
        <f t="shared" si="78"/>
        <v>-100</v>
      </c>
      <c r="H4804" s="121" t="s">
        <v>3314</v>
      </c>
    </row>
    <row r="4805" spans="1:8" ht="15" customHeight="1" x14ac:dyDescent="0.2">
      <c r="A4805" s="597">
        <v>43220</v>
      </c>
      <c r="B4805" s="41" t="s">
        <v>16</v>
      </c>
      <c r="C4805" s="41" t="s">
        <v>16</v>
      </c>
      <c r="D4805" s="108" t="s">
        <v>3484</v>
      </c>
      <c r="E4805" s="58">
        <v>1680</v>
      </c>
      <c r="F4805" s="58"/>
      <c r="G4805" s="58">
        <f t="shared" si="78"/>
        <v>-1680</v>
      </c>
      <c r="H4805" s="121" t="s">
        <v>3314</v>
      </c>
    </row>
    <row r="4806" spans="1:8" ht="15" customHeight="1" x14ac:dyDescent="0.2">
      <c r="A4806" s="597">
        <v>43220</v>
      </c>
      <c r="B4806" s="41" t="s">
        <v>16</v>
      </c>
      <c r="C4806" s="41" t="s">
        <v>16</v>
      </c>
      <c r="D4806" s="108" t="s">
        <v>3485</v>
      </c>
      <c r="E4806" s="58">
        <v>120</v>
      </c>
      <c r="F4806" s="58"/>
      <c r="G4806" s="58">
        <f t="shared" si="78"/>
        <v>-120</v>
      </c>
      <c r="H4806" s="121" t="s">
        <v>3314</v>
      </c>
    </row>
    <row r="4807" spans="1:8" ht="15" customHeight="1" x14ac:dyDescent="0.2">
      <c r="A4807" s="597">
        <v>43220</v>
      </c>
      <c r="B4807" s="41" t="s">
        <v>16</v>
      </c>
      <c r="C4807" s="41" t="s">
        <v>16</v>
      </c>
      <c r="D4807" s="108" t="s">
        <v>3486</v>
      </c>
      <c r="E4807" s="58">
        <v>1000</v>
      </c>
      <c r="F4807" s="58"/>
      <c r="G4807" s="58">
        <f t="shared" si="78"/>
        <v>-1000</v>
      </c>
      <c r="H4807" s="121" t="s">
        <v>3314</v>
      </c>
    </row>
    <row r="4808" spans="1:8" ht="15" customHeight="1" x14ac:dyDescent="0.2">
      <c r="A4808" s="597">
        <v>43220</v>
      </c>
      <c r="B4808" s="41" t="s">
        <v>16</v>
      </c>
      <c r="C4808" s="41" t="s">
        <v>16</v>
      </c>
      <c r="D4808" s="108" t="s">
        <v>3487</v>
      </c>
      <c r="E4808" s="58">
        <v>500</v>
      </c>
      <c r="F4808" s="58"/>
      <c r="G4808" s="58">
        <f t="shared" si="78"/>
        <v>-500</v>
      </c>
      <c r="H4808" s="121" t="s">
        <v>3314</v>
      </c>
    </row>
    <row r="4809" spans="1:8" ht="15" customHeight="1" x14ac:dyDescent="0.2">
      <c r="A4809" s="597">
        <v>43220</v>
      </c>
      <c r="B4809" s="41" t="s">
        <v>16</v>
      </c>
      <c r="C4809" s="41" t="s">
        <v>16</v>
      </c>
      <c r="D4809" s="108" t="s">
        <v>3488</v>
      </c>
      <c r="E4809" s="58">
        <v>600</v>
      </c>
      <c r="F4809" s="58"/>
      <c r="G4809" s="58">
        <f t="shared" ref="G4809:G4872" si="79">F4809-E4809</f>
        <v>-600</v>
      </c>
      <c r="H4809" s="121" t="s">
        <v>3314</v>
      </c>
    </row>
    <row r="4810" spans="1:8" ht="15" x14ac:dyDescent="0.2">
      <c r="A4810" s="597">
        <v>43220</v>
      </c>
      <c r="B4810" s="41" t="s">
        <v>16</v>
      </c>
      <c r="C4810" s="41" t="s">
        <v>16</v>
      </c>
      <c r="D4810" s="108" t="s">
        <v>3489</v>
      </c>
      <c r="E4810" s="58">
        <v>460</v>
      </c>
      <c r="F4810" s="58"/>
      <c r="G4810" s="58">
        <f t="shared" si="79"/>
        <v>-460</v>
      </c>
      <c r="H4810" s="121" t="s">
        <v>3314</v>
      </c>
    </row>
    <row r="4811" spans="1:8" ht="15" x14ac:dyDescent="0.2">
      <c r="A4811" s="604">
        <v>43192</v>
      </c>
      <c r="B4811" s="174" t="s">
        <v>2787</v>
      </c>
      <c r="C4811" s="174" t="s">
        <v>3275</v>
      </c>
      <c r="D4811" s="118" t="s">
        <v>3307</v>
      </c>
      <c r="E4811" s="236">
        <v>92000</v>
      </c>
      <c r="F4811" s="236"/>
      <c r="G4811" s="236">
        <f t="shared" si="79"/>
        <v>-92000</v>
      </c>
      <c r="H4811" s="260" t="s">
        <v>3314</v>
      </c>
    </row>
    <row r="4812" spans="1:8" ht="15" x14ac:dyDescent="0.2">
      <c r="A4812" s="604">
        <v>43192</v>
      </c>
      <c r="B4812" s="174" t="s">
        <v>1400</v>
      </c>
      <c r="C4812" s="174" t="s">
        <v>2160</v>
      </c>
      <c r="D4812" s="118" t="s">
        <v>3308</v>
      </c>
      <c r="E4812" s="236">
        <v>20000</v>
      </c>
      <c r="F4812" s="236"/>
      <c r="G4812" s="236">
        <f t="shared" si="79"/>
        <v>-20000</v>
      </c>
      <c r="H4812" s="260" t="s">
        <v>3314</v>
      </c>
    </row>
    <row r="4813" spans="1:8" ht="15" x14ac:dyDescent="0.2">
      <c r="A4813" s="604">
        <v>43192</v>
      </c>
      <c r="B4813" s="174" t="s">
        <v>2787</v>
      </c>
      <c r="C4813" s="174" t="s">
        <v>2196</v>
      </c>
      <c r="D4813" s="118" t="s">
        <v>3309</v>
      </c>
      <c r="E4813" s="236">
        <v>300000</v>
      </c>
      <c r="F4813" s="236"/>
      <c r="G4813" s="236">
        <f t="shared" si="79"/>
        <v>-300000</v>
      </c>
      <c r="H4813" s="260" t="s">
        <v>3314</v>
      </c>
    </row>
    <row r="4814" spans="1:8" ht="15" x14ac:dyDescent="0.2">
      <c r="A4814" s="604">
        <v>43192</v>
      </c>
      <c r="B4814" s="174" t="s">
        <v>2657</v>
      </c>
      <c r="C4814" s="174" t="s">
        <v>164</v>
      </c>
      <c r="D4814" s="118" t="s">
        <v>3311</v>
      </c>
      <c r="E4814" s="236">
        <v>173058</v>
      </c>
      <c r="F4814" s="236"/>
      <c r="G4814" s="236">
        <f t="shared" si="79"/>
        <v>-173058</v>
      </c>
      <c r="H4814" s="260" t="s">
        <v>3314</v>
      </c>
    </row>
    <row r="4815" spans="1:8" ht="15" x14ac:dyDescent="0.2">
      <c r="A4815" s="604">
        <v>43192</v>
      </c>
      <c r="B4815" s="174" t="s">
        <v>11</v>
      </c>
      <c r="C4815" s="174" t="s">
        <v>164</v>
      </c>
      <c r="D4815" s="118" t="s">
        <v>3311</v>
      </c>
      <c r="E4815" s="236">
        <v>20900</v>
      </c>
      <c r="F4815" s="236"/>
      <c r="G4815" s="236">
        <f t="shared" si="79"/>
        <v>-20900</v>
      </c>
      <c r="H4815" s="260" t="s">
        <v>3314</v>
      </c>
    </row>
    <row r="4816" spans="1:8" ht="15" x14ac:dyDescent="0.2">
      <c r="A4816" s="604">
        <v>43192</v>
      </c>
      <c r="B4816" s="174" t="s">
        <v>2657</v>
      </c>
      <c r="C4816" s="174" t="s">
        <v>2601</v>
      </c>
      <c r="D4816" s="118" t="s">
        <v>3312</v>
      </c>
      <c r="E4816" s="236">
        <v>76000</v>
      </c>
      <c r="F4816" s="236"/>
      <c r="G4816" s="236">
        <f t="shared" si="79"/>
        <v>-76000</v>
      </c>
      <c r="H4816" s="260" t="s">
        <v>3314</v>
      </c>
    </row>
    <row r="4817" spans="1:8" ht="15" x14ac:dyDescent="0.2">
      <c r="A4817" s="604">
        <v>43193</v>
      </c>
      <c r="B4817" s="174" t="s">
        <v>2787</v>
      </c>
      <c r="C4817" s="174" t="s">
        <v>2816</v>
      </c>
      <c r="D4817" s="118" t="s">
        <v>3318</v>
      </c>
      <c r="E4817" s="236">
        <v>10000</v>
      </c>
      <c r="F4817" s="236"/>
      <c r="G4817" s="236">
        <f t="shared" si="79"/>
        <v>-10000</v>
      </c>
      <c r="H4817" s="260" t="s">
        <v>3314</v>
      </c>
    </row>
    <row r="4818" spans="1:8" ht="15" x14ac:dyDescent="0.2">
      <c r="A4818" s="604">
        <v>43193</v>
      </c>
      <c r="B4818" s="174" t="s">
        <v>2787</v>
      </c>
      <c r="C4818" s="174" t="s">
        <v>2338</v>
      </c>
      <c r="D4818" s="118" t="s">
        <v>2655</v>
      </c>
      <c r="E4818" s="236">
        <v>50000</v>
      </c>
      <c r="F4818" s="236"/>
      <c r="G4818" s="236">
        <f t="shared" si="79"/>
        <v>-50000</v>
      </c>
      <c r="H4818" s="260" t="s">
        <v>3314</v>
      </c>
    </row>
    <row r="4819" spans="1:8" ht="15" x14ac:dyDescent="0.2">
      <c r="A4819" s="604">
        <v>43193</v>
      </c>
      <c r="B4819" s="174" t="s">
        <v>2787</v>
      </c>
      <c r="C4819" s="174" t="s">
        <v>266</v>
      </c>
      <c r="D4819" s="118" t="s">
        <v>2655</v>
      </c>
      <c r="E4819" s="236">
        <v>300000</v>
      </c>
      <c r="F4819" s="236"/>
      <c r="G4819" s="236">
        <f t="shared" si="79"/>
        <v>-300000</v>
      </c>
      <c r="H4819" s="260" t="s">
        <v>3314</v>
      </c>
    </row>
    <row r="4820" spans="1:8" ht="15" x14ac:dyDescent="0.2">
      <c r="A4820" s="604">
        <v>43193</v>
      </c>
      <c r="B4820" s="174" t="s">
        <v>2787</v>
      </c>
      <c r="C4820" s="174" t="s">
        <v>359</v>
      </c>
      <c r="D4820" s="118" t="s">
        <v>3313</v>
      </c>
      <c r="E4820" s="236">
        <v>300000</v>
      </c>
      <c r="F4820" s="236"/>
      <c r="G4820" s="236">
        <f t="shared" si="79"/>
        <v>-300000</v>
      </c>
      <c r="H4820" s="260" t="s">
        <v>3314</v>
      </c>
    </row>
    <row r="4821" spans="1:8" ht="15" x14ac:dyDescent="0.2">
      <c r="A4821" s="604">
        <v>43193</v>
      </c>
      <c r="B4821" s="174" t="s">
        <v>2787</v>
      </c>
      <c r="C4821" s="174" t="s">
        <v>251</v>
      </c>
      <c r="D4821" s="118" t="s">
        <v>3319</v>
      </c>
      <c r="E4821" s="236">
        <v>140000</v>
      </c>
      <c r="F4821" s="236"/>
      <c r="G4821" s="236">
        <f t="shared" si="79"/>
        <v>-140000</v>
      </c>
      <c r="H4821" s="260" t="s">
        <v>3314</v>
      </c>
    </row>
    <row r="4822" spans="1:8" ht="15" x14ac:dyDescent="0.2">
      <c r="A4822" s="604">
        <v>43194</v>
      </c>
      <c r="B4822" s="174" t="s">
        <v>2933</v>
      </c>
      <c r="C4822" s="174" t="s">
        <v>3112</v>
      </c>
      <c r="D4822" s="118" t="s">
        <v>3320</v>
      </c>
      <c r="E4822" s="236">
        <v>100000</v>
      </c>
      <c r="F4822" s="236"/>
      <c r="G4822" s="236">
        <f t="shared" si="79"/>
        <v>-100000</v>
      </c>
      <c r="H4822" s="260" t="s">
        <v>3314</v>
      </c>
    </row>
    <row r="4823" spans="1:8" ht="15" x14ac:dyDescent="0.2">
      <c r="A4823" s="604">
        <v>43194</v>
      </c>
      <c r="B4823" s="174" t="s">
        <v>2787</v>
      </c>
      <c r="C4823" s="174" t="s">
        <v>3112</v>
      </c>
      <c r="D4823" s="118" t="s">
        <v>3321</v>
      </c>
      <c r="E4823" s="236">
        <v>30000</v>
      </c>
      <c r="F4823" s="236"/>
      <c r="G4823" s="236">
        <f t="shared" si="79"/>
        <v>-30000</v>
      </c>
      <c r="H4823" s="260" t="s">
        <v>3314</v>
      </c>
    </row>
    <row r="4824" spans="1:8" ht="15" x14ac:dyDescent="0.2">
      <c r="A4824" s="604">
        <v>43194</v>
      </c>
      <c r="B4824" s="174" t="s">
        <v>2787</v>
      </c>
      <c r="C4824" s="174" t="s">
        <v>3145</v>
      </c>
      <c r="D4824" s="118" t="s">
        <v>3322</v>
      </c>
      <c r="E4824" s="236">
        <v>14000</v>
      </c>
      <c r="F4824" s="236"/>
      <c r="G4824" s="236">
        <f t="shared" si="79"/>
        <v>-14000</v>
      </c>
      <c r="H4824" s="260" t="s">
        <v>3314</v>
      </c>
    </row>
    <row r="4825" spans="1:8" ht="15" x14ac:dyDescent="0.2">
      <c r="A4825" s="604">
        <v>43194</v>
      </c>
      <c r="B4825" s="174" t="s">
        <v>2787</v>
      </c>
      <c r="C4825" s="174" t="s">
        <v>3323</v>
      </c>
      <c r="D4825" s="118" t="s">
        <v>2893</v>
      </c>
      <c r="E4825" s="236">
        <v>10000</v>
      </c>
      <c r="F4825" s="236"/>
      <c r="G4825" s="236">
        <f t="shared" si="79"/>
        <v>-10000</v>
      </c>
      <c r="H4825" s="260" t="s">
        <v>3314</v>
      </c>
    </row>
    <row r="4826" spans="1:8" ht="15" customHeight="1" x14ac:dyDescent="0.2">
      <c r="A4826" s="604">
        <v>43194</v>
      </c>
      <c r="B4826" s="174" t="s">
        <v>2787</v>
      </c>
      <c r="C4826" s="174" t="s">
        <v>251</v>
      </c>
      <c r="D4826" s="118" t="s">
        <v>3324</v>
      </c>
      <c r="E4826" s="236">
        <v>10000</v>
      </c>
      <c r="F4826" s="236"/>
      <c r="G4826" s="236">
        <f t="shared" si="79"/>
        <v>-10000</v>
      </c>
      <c r="H4826" s="260" t="s">
        <v>3314</v>
      </c>
    </row>
    <row r="4827" spans="1:8" ht="15" x14ac:dyDescent="0.2">
      <c r="A4827" s="604">
        <v>43195</v>
      </c>
      <c r="B4827" s="174" t="s">
        <v>18</v>
      </c>
      <c r="C4827" s="174" t="s">
        <v>2160</v>
      </c>
      <c r="D4827" s="118" t="s">
        <v>3325</v>
      </c>
      <c r="E4827" s="236">
        <v>20000</v>
      </c>
      <c r="F4827" s="236"/>
      <c r="G4827" s="236">
        <f t="shared" si="79"/>
        <v>-20000</v>
      </c>
      <c r="H4827" s="260" t="s">
        <v>3314</v>
      </c>
    </row>
    <row r="4828" spans="1:8" ht="15" x14ac:dyDescent="0.2">
      <c r="A4828" s="604">
        <v>43196</v>
      </c>
      <c r="B4828" s="174" t="s">
        <v>2787</v>
      </c>
      <c r="C4828" s="174" t="s">
        <v>929</v>
      </c>
      <c r="D4828" s="118" t="s">
        <v>3326</v>
      </c>
      <c r="E4828" s="236">
        <v>74500</v>
      </c>
      <c r="F4828" s="236"/>
      <c r="G4828" s="236">
        <f t="shared" si="79"/>
        <v>-74500</v>
      </c>
      <c r="H4828" s="260" t="s">
        <v>3314</v>
      </c>
    </row>
    <row r="4829" spans="1:8" ht="15" customHeight="1" x14ac:dyDescent="0.2">
      <c r="A4829" s="604">
        <v>43197</v>
      </c>
      <c r="B4829" s="174" t="s">
        <v>2787</v>
      </c>
      <c r="C4829" s="174" t="s">
        <v>3328</v>
      </c>
      <c r="D4829" s="118" t="s">
        <v>3327</v>
      </c>
      <c r="E4829" s="236">
        <v>189166</v>
      </c>
      <c r="F4829" s="236"/>
      <c r="G4829" s="236">
        <f t="shared" si="79"/>
        <v>-189166</v>
      </c>
      <c r="H4829" s="260" t="s">
        <v>3314</v>
      </c>
    </row>
    <row r="4830" spans="1:8" ht="15" customHeight="1" x14ac:dyDescent="0.2">
      <c r="A4830" s="604">
        <v>43198</v>
      </c>
      <c r="B4830" s="174" t="s">
        <v>1400</v>
      </c>
      <c r="C4830" s="174" t="s">
        <v>2515</v>
      </c>
      <c r="D4830" s="118" t="s">
        <v>3329</v>
      </c>
      <c r="E4830" s="236">
        <v>46000</v>
      </c>
      <c r="F4830" s="236"/>
      <c r="G4830" s="236">
        <f t="shared" si="79"/>
        <v>-46000</v>
      </c>
      <c r="H4830" s="260" t="s">
        <v>3314</v>
      </c>
    </row>
    <row r="4831" spans="1:8" ht="15" x14ac:dyDescent="0.2">
      <c r="A4831" s="604">
        <v>43198</v>
      </c>
      <c r="B4831" s="174" t="s">
        <v>2933</v>
      </c>
      <c r="C4831" s="174" t="s">
        <v>794</v>
      </c>
      <c r="D4831" s="118" t="s">
        <v>3330</v>
      </c>
      <c r="E4831" s="236">
        <v>50000</v>
      </c>
      <c r="F4831" s="236"/>
      <c r="G4831" s="236">
        <f t="shared" si="79"/>
        <v>-50000</v>
      </c>
      <c r="H4831" s="260" t="s">
        <v>3314</v>
      </c>
    </row>
    <row r="4832" spans="1:8" ht="15" x14ac:dyDescent="0.2">
      <c r="A4832" s="604">
        <v>43198</v>
      </c>
      <c r="B4832" s="174" t="s">
        <v>2652</v>
      </c>
      <c r="C4832" s="174" t="s">
        <v>794</v>
      </c>
      <c r="D4832" s="118" t="s">
        <v>3331</v>
      </c>
      <c r="E4832" s="236">
        <v>50000</v>
      </c>
      <c r="F4832" s="236"/>
      <c r="G4832" s="236">
        <f t="shared" si="79"/>
        <v>-50000</v>
      </c>
      <c r="H4832" s="260" t="s">
        <v>3314</v>
      </c>
    </row>
    <row r="4833" spans="1:8" ht="24" x14ac:dyDescent="0.2">
      <c r="A4833" s="604">
        <v>43199</v>
      </c>
      <c r="B4833" s="174" t="s">
        <v>1400</v>
      </c>
      <c r="C4833" s="174" t="s">
        <v>1815</v>
      </c>
      <c r="D4833" s="118" t="s">
        <v>3332</v>
      </c>
      <c r="E4833" s="236">
        <v>949145</v>
      </c>
      <c r="F4833" s="236"/>
      <c r="G4833" s="236">
        <f t="shared" si="79"/>
        <v>-949145</v>
      </c>
      <c r="H4833" s="260" t="s">
        <v>3314</v>
      </c>
    </row>
    <row r="4834" spans="1:8" ht="15" x14ac:dyDescent="0.2">
      <c r="A4834" s="604">
        <v>43199</v>
      </c>
      <c r="B4834" s="174" t="s">
        <v>2787</v>
      </c>
      <c r="C4834" s="174" t="s">
        <v>573</v>
      </c>
      <c r="D4834" s="118" t="s">
        <v>3333</v>
      </c>
      <c r="E4834" s="236">
        <v>1000000</v>
      </c>
      <c r="F4834" s="236"/>
      <c r="G4834" s="236">
        <f t="shared" si="79"/>
        <v>-1000000</v>
      </c>
      <c r="H4834" s="260" t="s">
        <v>3314</v>
      </c>
    </row>
    <row r="4835" spans="1:8" ht="15" x14ac:dyDescent="0.2">
      <c r="A4835" s="604">
        <v>43201</v>
      </c>
      <c r="B4835" s="174" t="s">
        <v>2787</v>
      </c>
      <c r="C4835" s="174" t="s">
        <v>929</v>
      </c>
      <c r="D4835" s="118" t="s">
        <v>3337</v>
      </c>
      <c r="E4835" s="236">
        <v>25000</v>
      </c>
      <c r="F4835" s="236"/>
      <c r="G4835" s="236">
        <f t="shared" si="79"/>
        <v>-25000</v>
      </c>
      <c r="H4835" s="260" t="s">
        <v>3314</v>
      </c>
    </row>
    <row r="4836" spans="1:8" ht="15" x14ac:dyDescent="0.2">
      <c r="A4836" s="604">
        <v>43201</v>
      </c>
      <c r="B4836" s="174" t="s">
        <v>2787</v>
      </c>
      <c r="C4836" s="174" t="s">
        <v>5187</v>
      </c>
      <c r="D4836" s="118" t="s">
        <v>3338</v>
      </c>
      <c r="E4836" s="236">
        <v>150000</v>
      </c>
      <c r="F4836" s="236"/>
      <c r="G4836" s="236">
        <f t="shared" si="79"/>
        <v>-150000</v>
      </c>
      <c r="H4836" s="260" t="s">
        <v>3314</v>
      </c>
    </row>
    <row r="4837" spans="1:8" ht="15" x14ac:dyDescent="0.2">
      <c r="A4837" s="604">
        <v>43201</v>
      </c>
      <c r="B4837" s="174" t="s">
        <v>2787</v>
      </c>
      <c r="C4837" s="174" t="s">
        <v>165</v>
      </c>
      <c r="D4837" s="118" t="s">
        <v>3339</v>
      </c>
      <c r="E4837" s="236">
        <v>32303</v>
      </c>
      <c r="F4837" s="236"/>
      <c r="G4837" s="236">
        <f t="shared" si="79"/>
        <v>-32303</v>
      </c>
      <c r="H4837" s="260" t="s">
        <v>3314</v>
      </c>
    </row>
    <row r="4838" spans="1:8" ht="15" x14ac:dyDescent="0.2">
      <c r="A4838" s="604">
        <v>43201</v>
      </c>
      <c r="B4838" s="174" t="s">
        <v>2933</v>
      </c>
      <c r="C4838" s="174" t="s">
        <v>165</v>
      </c>
      <c r="D4838" s="118" t="s">
        <v>3339</v>
      </c>
      <c r="E4838" s="236">
        <v>23397</v>
      </c>
      <c r="F4838" s="236"/>
      <c r="G4838" s="236">
        <f t="shared" si="79"/>
        <v>-23397</v>
      </c>
      <c r="H4838" s="260" t="s">
        <v>3314</v>
      </c>
    </row>
    <row r="4839" spans="1:8" ht="15" x14ac:dyDescent="0.2">
      <c r="A4839" s="604">
        <v>43201</v>
      </c>
      <c r="B4839" s="174" t="s">
        <v>1400</v>
      </c>
      <c r="C4839" s="174" t="s">
        <v>165</v>
      </c>
      <c r="D4839" s="118" t="s">
        <v>3339</v>
      </c>
      <c r="E4839" s="236">
        <v>42500</v>
      </c>
      <c r="F4839" s="236"/>
      <c r="G4839" s="236">
        <f t="shared" si="79"/>
        <v>-42500</v>
      </c>
      <c r="H4839" s="260" t="s">
        <v>3314</v>
      </c>
    </row>
    <row r="4840" spans="1:8" ht="15" x14ac:dyDescent="0.2">
      <c r="A4840" s="604">
        <v>43206</v>
      </c>
      <c r="B4840" s="174" t="s">
        <v>1400</v>
      </c>
      <c r="C4840" s="174" t="s">
        <v>3375</v>
      </c>
      <c r="D4840" s="118" t="s">
        <v>3376</v>
      </c>
      <c r="E4840" s="236">
        <v>163026</v>
      </c>
      <c r="F4840" s="236"/>
      <c r="G4840" s="236">
        <f t="shared" si="79"/>
        <v>-163026</v>
      </c>
      <c r="H4840" s="260" t="s">
        <v>3314</v>
      </c>
    </row>
    <row r="4841" spans="1:8" ht="15" x14ac:dyDescent="0.2">
      <c r="A4841" s="604">
        <v>43206</v>
      </c>
      <c r="B4841" s="174" t="s">
        <v>2787</v>
      </c>
      <c r="C4841" s="174" t="s">
        <v>2586</v>
      </c>
      <c r="D4841" s="118" t="s">
        <v>5981</v>
      </c>
      <c r="E4841" s="236">
        <v>277405</v>
      </c>
      <c r="F4841" s="236"/>
      <c r="G4841" s="236">
        <f t="shared" si="79"/>
        <v>-277405</v>
      </c>
      <c r="H4841" s="260" t="s">
        <v>3314</v>
      </c>
    </row>
    <row r="4842" spans="1:8" ht="15" x14ac:dyDescent="0.2">
      <c r="A4842" s="604">
        <v>43206</v>
      </c>
      <c r="B4842" s="174" t="s">
        <v>1400</v>
      </c>
      <c r="C4842" s="174" t="s">
        <v>2515</v>
      </c>
      <c r="D4842" s="118" t="s">
        <v>3377</v>
      </c>
      <c r="E4842" s="236">
        <v>122000</v>
      </c>
      <c r="F4842" s="236"/>
      <c r="G4842" s="236">
        <f t="shared" si="79"/>
        <v>-122000</v>
      </c>
      <c r="H4842" s="260" t="s">
        <v>3314</v>
      </c>
    </row>
    <row r="4843" spans="1:8" ht="15" x14ac:dyDescent="0.2">
      <c r="A4843" s="604">
        <v>43206</v>
      </c>
      <c r="B4843" s="174" t="s">
        <v>2933</v>
      </c>
      <c r="C4843" s="174" t="s">
        <v>1875</v>
      </c>
      <c r="D4843" s="118" t="s">
        <v>3378</v>
      </c>
      <c r="E4843" s="236">
        <v>30000</v>
      </c>
      <c r="F4843" s="236"/>
      <c r="G4843" s="236">
        <f t="shared" si="79"/>
        <v>-30000</v>
      </c>
      <c r="H4843" s="260" t="s">
        <v>3314</v>
      </c>
    </row>
    <row r="4844" spans="1:8" ht="15" x14ac:dyDescent="0.2">
      <c r="A4844" s="604">
        <v>43206</v>
      </c>
      <c r="B4844" s="174" t="s">
        <v>2787</v>
      </c>
      <c r="C4844" s="174" t="s">
        <v>3275</v>
      </c>
      <c r="D4844" s="118" t="s">
        <v>3379</v>
      </c>
      <c r="E4844" s="236">
        <v>65500</v>
      </c>
      <c r="F4844" s="236"/>
      <c r="G4844" s="236">
        <f t="shared" si="79"/>
        <v>-65500</v>
      </c>
      <c r="H4844" s="260" t="s">
        <v>3314</v>
      </c>
    </row>
    <row r="4845" spans="1:8" ht="15" x14ac:dyDescent="0.2">
      <c r="A4845" s="604">
        <v>43206</v>
      </c>
      <c r="B4845" s="174" t="s">
        <v>2787</v>
      </c>
      <c r="C4845" s="174" t="s">
        <v>2289</v>
      </c>
      <c r="D4845" s="118" t="s">
        <v>3380</v>
      </c>
      <c r="E4845" s="236">
        <v>300000</v>
      </c>
      <c r="F4845" s="236"/>
      <c r="G4845" s="236">
        <f t="shared" si="79"/>
        <v>-300000</v>
      </c>
      <c r="H4845" s="260" t="s">
        <v>3314</v>
      </c>
    </row>
    <row r="4846" spans="1:8" ht="15" customHeight="1" x14ac:dyDescent="0.2">
      <c r="A4846" s="604">
        <v>43206</v>
      </c>
      <c r="B4846" s="174" t="s">
        <v>2787</v>
      </c>
      <c r="C4846" s="174" t="s">
        <v>2338</v>
      </c>
      <c r="D4846" s="118" t="s">
        <v>3381</v>
      </c>
      <c r="E4846" s="236">
        <v>157362</v>
      </c>
      <c r="F4846" s="236"/>
      <c r="G4846" s="236">
        <f t="shared" si="79"/>
        <v>-157362</v>
      </c>
      <c r="H4846" s="260" t="s">
        <v>3314</v>
      </c>
    </row>
    <row r="4847" spans="1:8" ht="15" customHeight="1" x14ac:dyDescent="0.2">
      <c r="A4847" s="604">
        <v>43208</v>
      </c>
      <c r="B4847" s="174" t="s">
        <v>2787</v>
      </c>
      <c r="C4847" s="174" t="s">
        <v>3323</v>
      </c>
      <c r="D4847" s="118" t="s">
        <v>3385</v>
      </c>
      <c r="E4847" s="236">
        <v>37181</v>
      </c>
      <c r="F4847" s="236"/>
      <c r="G4847" s="236">
        <f t="shared" si="79"/>
        <v>-37181</v>
      </c>
      <c r="H4847" s="260" t="s">
        <v>3314</v>
      </c>
    </row>
    <row r="4848" spans="1:8" ht="15" customHeight="1" x14ac:dyDescent="0.2">
      <c r="A4848" s="604">
        <v>43209</v>
      </c>
      <c r="B4848" s="174" t="s">
        <v>2787</v>
      </c>
      <c r="C4848" s="174" t="s">
        <v>3145</v>
      </c>
      <c r="D4848" s="228" t="s">
        <v>3386</v>
      </c>
      <c r="E4848" s="236">
        <f>2540+9320+5500+2000</f>
        <v>19360</v>
      </c>
      <c r="F4848" s="236"/>
      <c r="G4848" s="236">
        <f t="shared" si="79"/>
        <v>-19360</v>
      </c>
      <c r="H4848" s="260" t="s">
        <v>3314</v>
      </c>
    </row>
    <row r="4849" spans="1:8" ht="15" customHeight="1" x14ac:dyDescent="0.2">
      <c r="A4849" s="604">
        <v>43209</v>
      </c>
      <c r="B4849" s="174" t="s">
        <v>37</v>
      </c>
      <c r="C4849" s="174" t="s">
        <v>3145</v>
      </c>
      <c r="D4849" s="228" t="s">
        <v>3386</v>
      </c>
      <c r="E4849" s="236">
        <v>4000</v>
      </c>
      <c r="F4849" s="236"/>
      <c r="G4849" s="236">
        <f t="shared" si="79"/>
        <v>-4000</v>
      </c>
      <c r="H4849" s="260" t="s">
        <v>3314</v>
      </c>
    </row>
    <row r="4850" spans="1:8" ht="15" x14ac:dyDescent="0.2">
      <c r="A4850" s="604">
        <v>43210</v>
      </c>
      <c r="B4850" s="174" t="s">
        <v>3144</v>
      </c>
      <c r="C4850" s="174" t="s">
        <v>3112</v>
      </c>
      <c r="D4850" s="118" t="s">
        <v>3387</v>
      </c>
      <c r="E4850" s="236">
        <v>50000</v>
      </c>
      <c r="F4850" s="236"/>
      <c r="G4850" s="236">
        <f t="shared" si="79"/>
        <v>-50000</v>
      </c>
      <c r="H4850" s="260" t="s">
        <v>3314</v>
      </c>
    </row>
    <row r="4851" spans="1:8" ht="15" x14ac:dyDescent="0.2">
      <c r="A4851" s="604">
        <v>43210</v>
      </c>
      <c r="B4851" s="174" t="s">
        <v>2787</v>
      </c>
      <c r="C4851" s="174" t="s">
        <v>3285</v>
      </c>
      <c r="D4851" s="118" t="s">
        <v>3388</v>
      </c>
      <c r="E4851" s="236">
        <v>181400</v>
      </c>
      <c r="F4851" s="236"/>
      <c r="G4851" s="236">
        <f t="shared" si="79"/>
        <v>-181400</v>
      </c>
      <c r="H4851" s="260" t="s">
        <v>3314</v>
      </c>
    </row>
    <row r="4852" spans="1:8" ht="15" x14ac:dyDescent="0.2">
      <c r="A4852" s="604">
        <v>43210</v>
      </c>
      <c r="B4852" s="174" t="s">
        <v>2933</v>
      </c>
      <c r="C4852" s="174" t="s">
        <v>3285</v>
      </c>
      <c r="D4852" s="118" t="s">
        <v>3389</v>
      </c>
      <c r="E4852" s="236">
        <v>305707</v>
      </c>
      <c r="F4852" s="236"/>
      <c r="G4852" s="236">
        <f t="shared" si="79"/>
        <v>-305707</v>
      </c>
      <c r="H4852" s="260" t="s">
        <v>3314</v>
      </c>
    </row>
    <row r="4853" spans="1:8" ht="15" x14ac:dyDescent="0.2">
      <c r="A4853" s="604">
        <v>43210</v>
      </c>
      <c r="B4853" s="174" t="s">
        <v>2787</v>
      </c>
      <c r="C4853" s="174" t="s">
        <v>3275</v>
      </c>
      <c r="D4853" s="118" t="s">
        <v>3390</v>
      </c>
      <c r="E4853" s="236">
        <v>110000</v>
      </c>
      <c r="F4853" s="236"/>
      <c r="G4853" s="236">
        <f t="shared" si="79"/>
        <v>-110000</v>
      </c>
      <c r="H4853" s="260" t="s">
        <v>3314</v>
      </c>
    </row>
    <row r="4854" spans="1:8" ht="15" x14ac:dyDescent="0.2">
      <c r="A4854" s="604">
        <v>43210</v>
      </c>
      <c r="B4854" s="174" t="s">
        <v>37</v>
      </c>
      <c r="C4854" s="174" t="s">
        <v>10884</v>
      </c>
      <c r="D4854" s="118" t="s">
        <v>3391</v>
      </c>
      <c r="E4854" s="236">
        <v>250000</v>
      </c>
      <c r="F4854" s="236"/>
      <c r="G4854" s="236">
        <f t="shared" si="79"/>
        <v>-250000</v>
      </c>
      <c r="H4854" s="260" t="s">
        <v>3314</v>
      </c>
    </row>
    <row r="4855" spans="1:8" ht="15" x14ac:dyDescent="0.2">
      <c r="A4855" s="604">
        <v>43216</v>
      </c>
      <c r="B4855" s="174" t="s">
        <v>2933</v>
      </c>
      <c r="C4855" s="174" t="s">
        <v>2128</v>
      </c>
      <c r="D4855" s="118" t="s">
        <v>3393</v>
      </c>
      <c r="E4855" s="236">
        <v>1000000</v>
      </c>
      <c r="F4855" s="236"/>
      <c r="G4855" s="236">
        <f t="shared" si="79"/>
        <v>-1000000</v>
      </c>
      <c r="H4855" s="260" t="s">
        <v>3314</v>
      </c>
    </row>
    <row r="4856" spans="1:8" ht="15" x14ac:dyDescent="0.2">
      <c r="A4856" s="604">
        <v>43216</v>
      </c>
      <c r="B4856" s="174" t="s">
        <v>2933</v>
      </c>
      <c r="C4856" s="174" t="s">
        <v>2128</v>
      </c>
      <c r="D4856" s="118" t="s">
        <v>3393</v>
      </c>
      <c r="E4856" s="236">
        <v>1000000</v>
      </c>
      <c r="F4856" s="236"/>
      <c r="G4856" s="236">
        <f t="shared" si="79"/>
        <v>-1000000</v>
      </c>
      <c r="H4856" s="260" t="s">
        <v>3314</v>
      </c>
    </row>
    <row r="4857" spans="1:8" ht="15" x14ac:dyDescent="0.2">
      <c r="A4857" s="604">
        <v>43216</v>
      </c>
      <c r="B4857" s="174" t="s">
        <v>2933</v>
      </c>
      <c r="C4857" s="174" t="s">
        <v>2128</v>
      </c>
      <c r="D4857" s="118" t="s">
        <v>3393</v>
      </c>
      <c r="E4857" s="236">
        <v>502827</v>
      </c>
      <c r="F4857" s="236"/>
      <c r="G4857" s="236">
        <f t="shared" si="79"/>
        <v>-502827</v>
      </c>
      <c r="H4857" s="260" t="s">
        <v>3314</v>
      </c>
    </row>
    <row r="4858" spans="1:8" ht="15" x14ac:dyDescent="0.2">
      <c r="A4858" s="604">
        <v>43216</v>
      </c>
      <c r="B4858" s="174" t="s">
        <v>25</v>
      </c>
      <c r="C4858" s="174" t="s">
        <v>1894</v>
      </c>
      <c r="D4858" s="118" t="s">
        <v>3396</v>
      </c>
      <c r="E4858" s="236">
        <v>36000</v>
      </c>
      <c r="F4858" s="236"/>
      <c r="G4858" s="236">
        <f t="shared" si="79"/>
        <v>-36000</v>
      </c>
      <c r="H4858" s="260" t="s">
        <v>3314</v>
      </c>
    </row>
    <row r="4859" spans="1:8" ht="15" x14ac:dyDescent="0.2">
      <c r="A4859" s="604">
        <v>43217</v>
      </c>
      <c r="B4859" s="174" t="s">
        <v>2787</v>
      </c>
      <c r="C4859" s="174" t="s">
        <v>895</v>
      </c>
      <c r="D4859" s="118" t="s">
        <v>5982</v>
      </c>
      <c r="E4859" s="236">
        <v>241000</v>
      </c>
      <c r="F4859" s="236"/>
      <c r="G4859" s="236">
        <f t="shared" si="79"/>
        <v>-241000</v>
      </c>
      <c r="H4859" s="260" t="s">
        <v>3314</v>
      </c>
    </row>
    <row r="4860" spans="1:8" ht="15" x14ac:dyDescent="0.2">
      <c r="A4860" s="604">
        <v>43217</v>
      </c>
      <c r="B4860" s="174" t="s">
        <v>2933</v>
      </c>
      <c r="C4860" s="174" t="s">
        <v>895</v>
      </c>
      <c r="D4860" s="118" t="s">
        <v>3397</v>
      </c>
      <c r="E4860" s="236">
        <v>206000</v>
      </c>
      <c r="F4860" s="236"/>
      <c r="G4860" s="236">
        <f t="shared" si="79"/>
        <v>-206000</v>
      </c>
      <c r="H4860" s="260" t="s">
        <v>3314</v>
      </c>
    </row>
    <row r="4861" spans="1:8" ht="15" x14ac:dyDescent="0.2">
      <c r="A4861" s="599">
        <v>43197</v>
      </c>
      <c r="B4861" s="91" t="s">
        <v>37</v>
      </c>
      <c r="C4861" s="94" t="s">
        <v>559</v>
      </c>
      <c r="D4861" s="801" t="s">
        <v>3315</v>
      </c>
      <c r="E4861" s="92"/>
      <c r="F4861" s="92">
        <v>471420</v>
      </c>
      <c r="G4861" s="92">
        <f t="shared" si="79"/>
        <v>471420</v>
      </c>
      <c r="H4861" s="261" t="s">
        <v>3314</v>
      </c>
    </row>
    <row r="4862" spans="1:8" ht="15" x14ac:dyDescent="0.2">
      <c r="A4862" s="599">
        <v>43197</v>
      </c>
      <c r="B4862" s="91" t="s">
        <v>37</v>
      </c>
      <c r="C4862" s="94" t="s">
        <v>559</v>
      </c>
      <c r="D4862" s="801" t="s">
        <v>3316</v>
      </c>
      <c r="E4862" s="92"/>
      <c r="F4862" s="92">
        <v>157140</v>
      </c>
      <c r="G4862" s="92">
        <f t="shared" si="79"/>
        <v>157140</v>
      </c>
      <c r="H4862" s="261" t="s">
        <v>3314</v>
      </c>
    </row>
    <row r="4863" spans="1:8" ht="15" x14ac:dyDescent="0.2">
      <c r="A4863" s="599">
        <v>43199</v>
      </c>
      <c r="B4863" s="91" t="s">
        <v>1400</v>
      </c>
      <c r="C4863" s="94" t="s">
        <v>559</v>
      </c>
      <c r="D4863" s="801" t="s">
        <v>3317</v>
      </c>
      <c r="E4863" s="92"/>
      <c r="F4863" s="92">
        <v>949145</v>
      </c>
      <c r="G4863" s="92">
        <f t="shared" si="79"/>
        <v>949145</v>
      </c>
      <c r="H4863" s="261" t="s">
        <v>3314</v>
      </c>
    </row>
    <row r="4864" spans="1:8" ht="15" customHeight="1" x14ac:dyDescent="0.2">
      <c r="A4864" s="599">
        <v>43203</v>
      </c>
      <c r="B4864" s="91" t="s">
        <v>37</v>
      </c>
      <c r="C4864" s="94" t="s">
        <v>559</v>
      </c>
      <c r="D4864" s="801" t="s">
        <v>3336</v>
      </c>
      <c r="E4864" s="92"/>
      <c r="F4864" s="92">
        <v>157140</v>
      </c>
      <c r="G4864" s="92">
        <f t="shared" si="79"/>
        <v>157140</v>
      </c>
      <c r="H4864" s="261" t="s">
        <v>3314</v>
      </c>
    </row>
    <row r="4865" spans="1:8" ht="15" customHeight="1" x14ac:dyDescent="0.2">
      <c r="A4865" s="599">
        <v>43208</v>
      </c>
      <c r="B4865" s="91" t="s">
        <v>82</v>
      </c>
      <c r="C4865" s="94" t="s">
        <v>559</v>
      </c>
      <c r="D4865" s="801" t="s">
        <v>3382</v>
      </c>
      <c r="E4865" s="92"/>
      <c r="F4865" s="92">
        <v>325167</v>
      </c>
      <c r="G4865" s="92">
        <f t="shared" si="79"/>
        <v>325167</v>
      </c>
      <c r="H4865" s="261" t="s">
        <v>3314</v>
      </c>
    </row>
    <row r="4866" spans="1:8" ht="15" customHeight="1" x14ac:dyDescent="0.2">
      <c r="A4866" s="599">
        <v>43208</v>
      </c>
      <c r="B4866" s="91" t="s">
        <v>37</v>
      </c>
      <c r="C4866" s="94" t="s">
        <v>559</v>
      </c>
      <c r="D4866" s="801" t="s">
        <v>3383</v>
      </c>
      <c r="E4866" s="92"/>
      <c r="F4866" s="92">
        <v>157140</v>
      </c>
      <c r="G4866" s="92">
        <f t="shared" si="79"/>
        <v>157140</v>
      </c>
      <c r="H4866" s="261" t="s">
        <v>3314</v>
      </c>
    </row>
    <row r="4867" spans="1:8" ht="24" customHeight="1" x14ac:dyDescent="0.2">
      <c r="A4867" s="599">
        <v>43214</v>
      </c>
      <c r="B4867" s="91" t="s">
        <v>1400</v>
      </c>
      <c r="C4867" s="94" t="s">
        <v>559</v>
      </c>
      <c r="D4867" s="798" t="s">
        <v>3503</v>
      </c>
      <c r="E4867" s="92"/>
      <c r="F4867" s="92">
        <v>1000000</v>
      </c>
      <c r="G4867" s="92">
        <f t="shared" si="79"/>
        <v>1000000</v>
      </c>
      <c r="H4867" s="261" t="s">
        <v>3314</v>
      </c>
    </row>
    <row r="4868" spans="1:8" ht="24" customHeight="1" x14ac:dyDescent="0.2">
      <c r="A4868" s="599">
        <v>43214</v>
      </c>
      <c r="B4868" s="91" t="s">
        <v>1400</v>
      </c>
      <c r="C4868" s="94" t="s">
        <v>559</v>
      </c>
      <c r="D4868" s="798" t="s">
        <v>3503</v>
      </c>
      <c r="E4868" s="92"/>
      <c r="F4868" s="92">
        <v>1000000</v>
      </c>
      <c r="G4868" s="92">
        <f t="shared" si="79"/>
        <v>1000000</v>
      </c>
      <c r="H4868" s="261" t="s">
        <v>3314</v>
      </c>
    </row>
    <row r="4869" spans="1:8" ht="24" x14ac:dyDescent="0.2">
      <c r="A4869" s="599">
        <v>43214</v>
      </c>
      <c r="B4869" s="91" t="s">
        <v>1400</v>
      </c>
      <c r="C4869" s="94" t="s">
        <v>559</v>
      </c>
      <c r="D4869" s="798" t="s">
        <v>3503</v>
      </c>
      <c r="E4869" s="92"/>
      <c r="F4869" s="92">
        <v>502827</v>
      </c>
      <c r="G4869" s="92">
        <f t="shared" si="79"/>
        <v>502827</v>
      </c>
      <c r="H4869" s="261" t="s">
        <v>3314</v>
      </c>
    </row>
    <row r="4870" spans="1:8" ht="15" x14ac:dyDescent="0.2">
      <c r="A4870" s="597">
        <v>43221</v>
      </c>
      <c r="B4870" s="41" t="s">
        <v>2787</v>
      </c>
      <c r="C4870" s="63" t="s">
        <v>794</v>
      </c>
      <c r="D4870" s="129" t="s">
        <v>1836</v>
      </c>
      <c r="E4870" s="58">
        <v>25000</v>
      </c>
      <c r="F4870" s="58"/>
      <c r="G4870" s="58">
        <f t="shared" si="79"/>
        <v>-25000</v>
      </c>
      <c r="H4870" s="121" t="s">
        <v>3394</v>
      </c>
    </row>
    <row r="4871" spans="1:8" ht="15" x14ac:dyDescent="0.2">
      <c r="A4871" s="597">
        <v>43221</v>
      </c>
      <c r="B4871" s="41" t="s">
        <v>2787</v>
      </c>
      <c r="C4871" s="63" t="s">
        <v>794</v>
      </c>
      <c r="D4871" s="129" t="s">
        <v>1836</v>
      </c>
      <c r="E4871" s="58">
        <v>25000</v>
      </c>
      <c r="F4871" s="58"/>
      <c r="G4871" s="58">
        <f t="shared" si="79"/>
        <v>-25000</v>
      </c>
      <c r="H4871" s="121" t="s">
        <v>3394</v>
      </c>
    </row>
    <row r="4872" spans="1:8" ht="15" x14ac:dyDescent="0.2">
      <c r="A4872" s="597">
        <v>43221</v>
      </c>
      <c r="B4872" s="41" t="s">
        <v>2933</v>
      </c>
      <c r="C4872" s="63" t="s">
        <v>794</v>
      </c>
      <c r="D4872" s="129" t="s">
        <v>1837</v>
      </c>
      <c r="E4872" s="58">
        <v>25000</v>
      </c>
      <c r="F4872" s="58"/>
      <c r="G4872" s="58">
        <f t="shared" si="79"/>
        <v>-25000</v>
      </c>
      <c r="H4872" s="121" t="s">
        <v>3394</v>
      </c>
    </row>
    <row r="4873" spans="1:8" ht="15" x14ac:dyDescent="0.2">
      <c r="A4873" s="597">
        <v>43221</v>
      </c>
      <c r="B4873" s="41" t="s">
        <v>2787</v>
      </c>
      <c r="C4873" s="63" t="s">
        <v>794</v>
      </c>
      <c r="D4873" s="129" t="s">
        <v>1837</v>
      </c>
      <c r="E4873" s="58">
        <v>25000</v>
      </c>
      <c r="F4873" s="58"/>
      <c r="G4873" s="58">
        <f t="shared" ref="G4873:G4936" si="80">F4873-E4873</f>
        <v>-25000</v>
      </c>
      <c r="H4873" s="121" t="s">
        <v>3394</v>
      </c>
    </row>
    <row r="4874" spans="1:8" ht="15" x14ac:dyDescent="0.2">
      <c r="A4874" s="597">
        <v>43221</v>
      </c>
      <c r="B4874" s="41" t="s">
        <v>25</v>
      </c>
      <c r="C4874" s="63" t="s">
        <v>794</v>
      </c>
      <c r="D4874" s="129" t="s">
        <v>1839</v>
      </c>
      <c r="E4874" s="58">
        <v>10000</v>
      </c>
      <c r="F4874" s="58"/>
      <c r="G4874" s="58">
        <f t="shared" si="80"/>
        <v>-10000</v>
      </c>
      <c r="H4874" s="121" t="s">
        <v>3394</v>
      </c>
    </row>
    <row r="4875" spans="1:8" ht="15" x14ac:dyDescent="0.2">
      <c r="A4875" s="597">
        <v>43221</v>
      </c>
      <c r="B4875" s="41" t="s">
        <v>25</v>
      </c>
      <c r="C4875" s="63" t="s">
        <v>794</v>
      </c>
      <c r="D4875" s="129" t="s">
        <v>2183</v>
      </c>
      <c r="E4875" s="58">
        <v>18000</v>
      </c>
      <c r="F4875" s="58"/>
      <c r="G4875" s="58">
        <f t="shared" si="80"/>
        <v>-18000</v>
      </c>
      <c r="H4875" s="121" t="s">
        <v>3394</v>
      </c>
    </row>
    <row r="4876" spans="1:8" ht="15" x14ac:dyDescent="0.2">
      <c r="A4876" s="597">
        <v>43221</v>
      </c>
      <c r="B4876" s="41" t="s">
        <v>25</v>
      </c>
      <c r="C4876" s="63" t="s">
        <v>794</v>
      </c>
      <c r="D4876" s="129" t="s">
        <v>1840</v>
      </c>
      <c r="E4876" s="58">
        <v>10000</v>
      </c>
      <c r="F4876" s="58"/>
      <c r="G4876" s="58">
        <f t="shared" si="80"/>
        <v>-10000</v>
      </c>
      <c r="H4876" s="121" t="s">
        <v>3394</v>
      </c>
    </row>
    <row r="4877" spans="1:8" ht="15" x14ac:dyDescent="0.2">
      <c r="A4877" s="597">
        <v>43221</v>
      </c>
      <c r="B4877" s="41" t="s">
        <v>25</v>
      </c>
      <c r="C4877" s="63" t="s">
        <v>794</v>
      </c>
      <c r="D4877" s="129" t="s">
        <v>1547</v>
      </c>
      <c r="E4877" s="58">
        <v>10000</v>
      </c>
      <c r="F4877" s="58"/>
      <c r="G4877" s="58">
        <f t="shared" si="80"/>
        <v>-10000</v>
      </c>
      <c r="H4877" s="121" t="s">
        <v>3394</v>
      </c>
    </row>
    <row r="4878" spans="1:8" ht="15" x14ac:dyDescent="0.2">
      <c r="A4878" s="597">
        <v>43221</v>
      </c>
      <c r="B4878" s="41" t="s">
        <v>16</v>
      </c>
      <c r="C4878" s="63" t="s">
        <v>794</v>
      </c>
      <c r="D4878" s="129" t="s">
        <v>1844</v>
      </c>
      <c r="E4878" s="58">
        <v>26049.625</v>
      </c>
      <c r="F4878" s="58"/>
      <c r="G4878" s="58">
        <f t="shared" si="80"/>
        <v>-26049.625</v>
      </c>
      <c r="H4878" s="121" t="s">
        <v>3394</v>
      </c>
    </row>
    <row r="4879" spans="1:8" ht="15" x14ac:dyDescent="0.2">
      <c r="A4879" s="597">
        <v>43221</v>
      </c>
      <c r="B4879" s="41" t="s">
        <v>16</v>
      </c>
      <c r="C4879" s="63" t="s">
        <v>794</v>
      </c>
      <c r="D4879" s="129" t="s">
        <v>1842</v>
      </c>
      <c r="E4879" s="58">
        <v>30000</v>
      </c>
      <c r="F4879" s="58"/>
      <c r="G4879" s="58">
        <f t="shared" si="80"/>
        <v>-30000</v>
      </c>
      <c r="H4879" s="121" t="s">
        <v>3394</v>
      </c>
    </row>
    <row r="4880" spans="1:8" ht="15" x14ac:dyDescent="0.2">
      <c r="A4880" s="597">
        <v>43221</v>
      </c>
      <c r="B4880" s="41" t="s">
        <v>16</v>
      </c>
      <c r="C4880" s="63" t="s">
        <v>794</v>
      </c>
      <c r="D4880" s="129" t="s">
        <v>1843</v>
      </c>
      <c r="E4880" s="58">
        <v>10000</v>
      </c>
      <c r="F4880" s="58"/>
      <c r="G4880" s="58">
        <f t="shared" si="80"/>
        <v>-10000</v>
      </c>
      <c r="H4880" s="121" t="s">
        <v>3394</v>
      </c>
    </row>
    <row r="4881" spans="1:8" ht="15" x14ac:dyDescent="0.2">
      <c r="A4881" s="597">
        <v>43221</v>
      </c>
      <c r="B4881" s="41" t="s">
        <v>2787</v>
      </c>
      <c r="C4881" s="63" t="s">
        <v>794</v>
      </c>
      <c r="D4881" s="129" t="s">
        <v>3065</v>
      </c>
      <c r="E4881" s="58">
        <v>20000</v>
      </c>
      <c r="F4881" s="58"/>
      <c r="G4881" s="58">
        <f t="shared" si="80"/>
        <v>-20000</v>
      </c>
      <c r="H4881" s="121" t="s">
        <v>3394</v>
      </c>
    </row>
    <row r="4882" spans="1:8" ht="15" x14ac:dyDescent="0.2">
      <c r="A4882" s="597">
        <v>43221</v>
      </c>
      <c r="B4882" s="41" t="s">
        <v>16</v>
      </c>
      <c r="C4882" s="63" t="s">
        <v>794</v>
      </c>
      <c r="D4882" s="129" t="s">
        <v>2283</v>
      </c>
      <c r="E4882" s="58">
        <v>18831.25</v>
      </c>
      <c r="F4882" s="58"/>
      <c r="G4882" s="58">
        <f t="shared" si="80"/>
        <v>-18831.25</v>
      </c>
      <c r="H4882" s="121" t="s">
        <v>3394</v>
      </c>
    </row>
    <row r="4883" spans="1:8" ht="15" x14ac:dyDescent="0.2">
      <c r="A4883" s="597">
        <v>43221</v>
      </c>
      <c r="B4883" s="41" t="s">
        <v>16</v>
      </c>
      <c r="C4883" s="63" t="s">
        <v>794</v>
      </c>
      <c r="D4883" s="129" t="s">
        <v>3230</v>
      </c>
      <c r="E4883" s="58">
        <v>13000</v>
      </c>
      <c r="F4883" s="58"/>
      <c r="G4883" s="58">
        <f t="shared" si="80"/>
        <v>-13000</v>
      </c>
      <c r="H4883" s="121" t="s">
        <v>3394</v>
      </c>
    </row>
    <row r="4884" spans="1:8" ht="15" x14ac:dyDescent="0.2">
      <c r="A4884" s="597">
        <v>43221</v>
      </c>
      <c r="B4884" s="41" t="s">
        <v>16</v>
      </c>
      <c r="C4884" s="63" t="s">
        <v>794</v>
      </c>
      <c r="D4884" s="129" t="s">
        <v>2916</v>
      </c>
      <c r="E4884" s="58">
        <v>4000</v>
      </c>
      <c r="F4884" s="58"/>
      <c r="G4884" s="58">
        <f t="shared" si="80"/>
        <v>-4000</v>
      </c>
      <c r="H4884" s="121" t="s">
        <v>3394</v>
      </c>
    </row>
    <row r="4885" spans="1:8" ht="15" x14ac:dyDescent="0.2">
      <c r="A4885" s="597">
        <v>43221</v>
      </c>
      <c r="B4885" s="41" t="s">
        <v>2787</v>
      </c>
      <c r="C4885" s="63" t="s">
        <v>794</v>
      </c>
      <c r="D4885" s="129" t="s">
        <v>1863</v>
      </c>
      <c r="E4885" s="58">
        <v>22781.25</v>
      </c>
      <c r="F4885" s="58"/>
      <c r="G4885" s="58">
        <f t="shared" si="80"/>
        <v>-22781.25</v>
      </c>
      <c r="H4885" s="121" t="s">
        <v>3394</v>
      </c>
    </row>
    <row r="4886" spans="1:8" ht="15" x14ac:dyDescent="0.2">
      <c r="A4886" s="597">
        <v>43221</v>
      </c>
      <c r="B4886" s="41" t="s">
        <v>2787</v>
      </c>
      <c r="C4886" s="63" t="s">
        <v>794</v>
      </c>
      <c r="D4886" s="129" t="s">
        <v>1864</v>
      </c>
      <c r="E4886" s="58">
        <v>44249.833333333328</v>
      </c>
      <c r="F4886" s="58"/>
      <c r="G4886" s="58">
        <f t="shared" si="80"/>
        <v>-44249.833333333328</v>
      </c>
      <c r="H4886" s="121" t="s">
        <v>3394</v>
      </c>
    </row>
    <row r="4887" spans="1:8" ht="15" x14ac:dyDescent="0.2">
      <c r="A4887" s="597">
        <v>43221</v>
      </c>
      <c r="B4887" s="41" t="s">
        <v>2787</v>
      </c>
      <c r="C4887" s="63" t="s">
        <v>794</v>
      </c>
      <c r="D4887" s="129" t="s">
        <v>1852</v>
      </c>
      <c r="E4887" s="58">
        <v>42189.583333333336</v>
      </c>
      <c r="F4887" s="58"/>
      <c r="G4887" s="58">
        <f t="shared" si="80"/>
        <v>-42189.583333333336</v>
      </c>
      <c r="H4887" s="121" t="s">
        <v>3394</v>
      </c>
    </row>
    <row r="4888" spans="1:8" ht="15" x14ac:dyDescent="0.2">
      <c r="A4888" s="597">
        <v>43221</v>
      </c>
      <c r="B4888" s="41" t="s">
        <v>2787</v>
      </c>
      <c r="C4888" s="63" t="s">
        <v>794</v>
      </c>
      <c r="D4888" s="129" t="s">
        <v>2922</v>
      </c>
      <c r="E4888" s="58">
        <v>35059.5</v>
      </c>
      <c r="F4888" s="58"/>
      <c r="G4888" s="58">
        <f t="shared" si="80"/>
        <v>-35059.5</v>
      </c>
      <c r="H4888" s="121" t="s">
        <v>3394</v>
      </c>
    </row>
    <row r="4889" spans="1:8" ht="15" x14ac:dyDescent="0.2">
      <c r="A4889" s="597">
        <v>43221</v>
      </c>
      <c r="B4889" s="41" t="s">
        <v>2787</v>
      </c>
      <c r="C4889" s="63" t="s">
        <v>794</v>
      </c>
      <c r="D4889" s="129" t="s">
        <v>668</v>
      </c>
      <c r="E4889" s="58">
        <v>9750</v>
      </c>
      <c r="F4889" s="58"/>
      <c r="G4889" s="58">
        <f t="shared" si="80"/>
        <v>-9750</v>
      </c>
      <c r="H4889" s="121" t="s">
        <v>3394</v>
      </c>
    </row>
    <row r="4890" spans="1:8" ht="15" x14ac:dyDescent="0.2">
      <c r="A4890" s="597">
        <v>43221</v>
      </c>
      <c r="B4890" s="41" t="s">
        <v>2787</v>
      </c>
      <c r="C4890" s="63" t="s">
        <v>794</v>
      </c>
      <c r="D4890" s="129" t="s">
        <v>3231</v>
      </c>
      <c r="E4890" s="58">
        <v>40260</v>
      </c>
      <c r="F4890" s="58"/>
      <c r="G4890" s="58">
        <f t="shared" si="80"/>
        <v>-40260</v>
      </c>
      <c r="H4890" s="121" t="s">
        <v>3394</v>
      </c>
    </row>
    <row r="4891" spans="1:8" ht="15" x14ac:dyDescent="0.2">
      <c r="A4891" s="597">
        <v>43221</v>
      </c>
      <c r="B4891" s="41" t="s">
        <v>2787</v>
      </c>
      <c r="C4891" s="63" t="s">
        <v>794</v>
      </c>
      <c r="D4891" s="129" t="s">
        <v>3490</v>
      </c>
      <c r="E4891" s="58">
        <v>14409.500000000002</v>
      </c>
      <c r="F4891" s="58"/>
      <c r="G4891" s="58">
        <f t="shared" si="80"/>
        <v>-14409.500000000002</v>
      </c>
      <c r="H4891" s="121" t="s">
        <v>3394</v>
      </c>
    </row>
    <row r="4892" spans="1:8" ht="15" x14ac:dyDescent="0.2">
      <c r="A4892" s="597">
        <v>43221</v>
      </c>
      <c r="B4892" s="41" t="s">
        <v>2787</v>
      </c>
      <c r="C4892" s="63" t="s">
        <v>794</v>
      </c>
      <c r="D4892" s="129" t="s">
        <v>3072</v>
      </c>
      <c r="E4892" s="58">
        <v>23000</v>
      </c>
      <c r="F4892" s="58"/>
      <c r="G4892" s="58">
        <f t="shared" si="80"/>
        <v>-23000</v>
      </c>
      <c r="H4892" s="121" t="s">
        <v>3394</v>
      </c>
    </row>
    <row r="4893" spans="1:8" ht="15" x14ac:dyDescent="0.2">
      <c r="A4893" s="597">
        <v>43221</v>
      </c>
      <c r="B4893" s="41" t="s">
        <v>2787</v>
      </c>
      <c r="C4893" s="63" t="s">
        <v>794</v>
      </c>
      <c r="D4893" s="129" t="s">
        <v>3234</v>
      </c>
      <c r="E4893" s="58">
        <v>25850.083333333332</v>
      </c>
      <c r="F4893" s="58"/>
      <c r="G4893" s="58">
        <f t="shared" si="80"/>
        <v>-25850.083333333332</v>
      </c>
      <c r="H4893" s="121" t="s">
        <v>3394</v>
      </c>
    </row>
    <row r="4894" spans="1:8" ht="15" x14ac:dyDescent="0.2">
      <c r="A4894" s="597">
        <v>43221</v>
      </c>
      <c r="B4894" s="41" t="s">
        <v>2787</v>
      </c>
      <c r="C4894" s="63" t="s">
        <v>794</v>
      </c>
      <c r="D4894" s="129" t="s">
        <v>1872</v>
      </c>
      <c r="E4894" s="58">
        <v>27980</v>
      </c>
      <c r="F4894" s="58"/>
      <c r="G4894" s="58">
        <f t="shared" si="80"/>
        <v>-27980</v>
      </c>
      <c r="H4894" s="121" t="s">
        <v>3394</v>
      </c>
    </row>
    <row r="4895" spans="1:8" ht="15" x14ac:dyDescent="0.2">
      <c r="A4895" s="597">
        <v>43221</v>
      </c>
      <c r="B4895" s="41" t="s">
        <v>2787</v>
      </c>
      <c r="C4895" s="63" t="s">
        <v>794</v>
      </c>
      <c r="D4895" s="129" t="s">
        <v>1862</v>
      </c>
      <c r="E4895" s="58">
        <v>28369.791666666664</v>
      </c>
      <c r="F4895" s="58"/>
      <c r="G4895" s="58">
        <f t="shared" si="80"/>
        <v>-28369.791666666664</v>
      </c>
      <c r="H4895" s="121" t="s">
        <v>3394</v>
      </c>
    </row>
    <row r="4896" spans="1:8" ht="15" x14ac:dyDescent="0.2">
      <c r="A4896" s="597">
        <v>43221</v>
      </c>
      <c r="B4896" s="41" t="s">
        <v>2787</v>
      </c>
      <c r="C4896" s="63" t="s">
        <v>794</v>
      </c>
      <c r="D4896" s="129" t="s">
        <v>3070</v>
      </c>
      <c r="E4896" s="58">
        <v>9000</v>
      </c>
      <c r="F4896" s="58"/>
      <c r="G4896" s="58">
        <f t="shared" si="80"/>
        <v>-9000</v>
      </c>
      <c r="H4896" s="121" t="s">
        <v>3394</v>
      </c>
    </row>
    <row r="4897" spans="1:8" ht="15" x14ac:dyDescent="0.2">
      <c r="A4897" s="597">
        <v>43221</v>
      </c>
      <c r="B4897" s="41" t="s">
        <v>2787</v>
      </c>
      <c r="C4897" s="63" t="s">
        <v>794</v>
      </c>
      <c r="D4897" s="129" t="s">
        <v>1561</v>
      </c>
      <c r="E4897" s="58">
        <v>22320</v>
      </c>
      <c r="F4897" s="58"/>
      <c r="G4897" s="58">
        <f t="shared" si="80"/>
        <v>-22320</v>
      </c>
      <c r="H4897" s="121" t="s">
        <v>3394</v>
      </c>
    </row>
    <row r="4898" spans="1:8" ht="15" x14ac:dyDescent="0.2">
      <c r="A4898" s="597">
        <v>43221</v>
      </c>
      <c r="B4898" s="41" t="s">
        <v>2787</v>
      </c>
      <c r="C4898" s="63" t="s">
        <v>794</v>
      </c>
      <c r="D4898" s="129" t="s">
        <v>3074</v>
      </c>
      <c r="E4898" s="58">
        <v>10209.5</v>
      </c>
      <c r="F4898" s="58"/>
      <c r="G4898" s="58">
        <f t="shared" si="80"/>
        <v>-10209.5</v>
      </c>
      <c r="H4898" s="121" t="s">
        <v>3394</v>
      </c>
    </row>
    <row r="4899" spans="1:8" ht="15" x14ac:dyDescent="0.2">
      <c r="A4899" s="597">
        <v>43221</v>
      </c>
      <c r="B4899" s="41" t="s">
        <v>1400</v>
      </c>
      <c r="C4899" s="63" t="s">
        <v>794</v>
      </c>
      <c r="D4899" s="129" t="s">
        <v>1684</v>
      </c>
      <c r="E4899" s="58">
        <v>30000</v>
      </c>
      <c r="F4899" s="58"/>
      <c r="G4899" s="58">
        <f t="shared" si="80"/>
        <v>-30000</v>
      </c>
      <c r="H4899" s="121" t="s">
        <v>3394</v>
      </c>
    </row>
    <row r="4900" spans="1:8" ht="15" x14ac:dyDescent="0.2">
      <c r="A4900" s="597">
        <v>43221</v>
      </c>
      <c r="B4900" s="41" t="s">
        <v>1400</v>
      </c>
      <c r="C4900" s="63" t="s">
        <v>794</v>
      </c>
      <c r="D4900" s="129" t="s">
        <v>2482</v>
      </c>
      <c r="E4900" s="58">
        <v>15400</v>
      </c>
      <c r="F4900" s="58"/>
      <c r="G4900" s="58">
        <f t="shared" si="80"/>
        <v>-15400</v>
      </c>
      <c r="H4900" s="121" t="s">
        <v>3394</v>
      </c>
    </row>
    <row r="4901" spans="1:8" ht="15" x14ac:dyDescent="0.2">
      <c r="A4901" s="597">
        <v>43221</v>
      </c>
      <c r="B4901" s="41" t="s">
        <v>1400</v>
      </c>
      <c r="C4901" s="63" t="s">
        <v>794</v>
      </c>
      <c r="D4901" s="129" t="s">
        <v>1550</v>
      </c>
      <c r="E4901" s="58">
        <v>24020.333333333336</v>
      </c>
      <c r="F4901" s="58"/>
      <c r="G4901" s="58">
        <f t="shared" si="80"/>
        <v>-24020.333333333336</v>
      </c>
      <c r="H4901" s="121" t="s">
        <v>3394</v>
      </c>
    </row>
    <row r="4902" spans="1:8" ht="15" x14ac:dyDescent="0.2">
      <c r="A4902" s="597">
        <v>43221</v>
      </c>
      <c r="B4902" s="41" t="s">
        <v>1400</v>
      </c>
      <c r="C4902" s="63" t="s">
        <v>794</v>
      </c>
      <c r="D4902" s="129" t="s">
        <v>1871</v>
      </c>
      <c r="E4902" s="58">
        <v>37490</v>
      </c>
      <c r="F4902" s="58"/>
      <c r="G4902" s="58">
        <f t="shared" si="80"/>
        <v>-37490</v>
      </c>
      <c r="H4902" s="121" t="s">
        <v>3394</v>
      </c>
    </row>
    <row r="4903" spans="1:8" ht="15" x14ac:dyDescent="0.2">
      <c r="A4903" s="597">
        <v>43221</v>
      </c>
      <c r="B4903" s="41" t="s">
        <v>1400</v>
      </c>
      <c r="C4903" s="63" t="s">
        <v>794</v>
      </c>
      <c r="D4903" s="129" t="s">
        <v>3491</v>
      </c>
      <c r="E4903" s="58">
        <v>23000</v>
      </c>
      <c r="F4903" s="58"/>
      <c r="G4903" s="58">
        <f t="shared" si="80"/>
        <v>-23000</v>
      </c>
      <c r="H4903" s="121" t="s">
        <v>3394</v>
      </c>
    </row>
    <row r="4904" spans="1:8" ht="15" x14ac:dyDescent="0.2">
      <c r="A4904" s="597">
        <v>43221</v>
      </c>
      <c r="B4904" s="41" t="s">
        <v>1400</v>
      </c>
      <c r="C4904" s="63" t="s">
        <v>794</v>
      </c>
      <c r="D4904" s="129" t="s">
        <v>1850</v>
      </c>
      <c r="E4904" s="58">
        <v>4659.8333333333339</v>
      </c>
      <c r="F4904" s="58"/>
      <c r="G4904" s="58">
        <f t="shared" si="80"/>
        <v>-4659.8333333333339</v>
      </c>
      <c r="H4904" s="121" t="s">
        <v>3394</v>
      </c>
    </row>
    <row r="4905" spans="1:8" ht="15" x14ac:dyDescent="0.2">
      <c r="A4905" s="597">
        <v>43221</v>
      </c>
      <c r="B4905" s="41" t="s">
        <v>1400</v>
      </c>
      <c r="C4905" s="63" t="s">
        <v>794</v>
      </c>
      <c r="D4905" s="129" t="s">
        <v>3492</v>
      </c>
      <c r="E4905" s="58">
        <v>10799.541666666666</v>
      </c>
      <c r="F4905" s="58"/>
      <c r="G4905" s="58">
        <f t="shared" si="80"/>
        <v>-10799.541666666666</v>
      </c>
      <c r="H4905" s="121" t="s">
        <v>3394</v>
      </c>
    </row>
    <row r="4906" spans="1:8" ht="15" x14ac:dyDescent="0.2">
      <c r="A4906" s="597">
        <v>43221</v>
      </c>
      <c r="B4906" s="41" t="s">
        <v>1400</v>
      </c>
      <c r="C4906" s="63" t="s">
        <v>794</v>
      </c>
      <c r="D4906" s="129" t="s">
        <v>2927</v>
      </c>
      <c r="E4906" s="58">
        <v>9966.6666666666661</v>
      </c>
      <c r="F4906" s="58"/>
      <c r="G4906" s="58">
        <f t="shared" si="80"/>
        <v>-9966.6666666666661</v>
      </c>
      <c r="H4906" s="121" t="s">
        <v>3394</v>
      </c>
    </row>
    <row r="4907" spans="1:8" ht="15" x14ac:dyDescent="0.2">
      <c r="A4907" s="597">
        <v>43221</v>
      </c>
      <c r="B4907" s="41" t="s">
        <v>1400</v>
      </c>
      <c r="C4907" s="63" t="s">
        <v>794</v>
      </c>
      <c r="D4907" s="129" t="s">
        <v>3068</v>
      </c>
      <c r="E4907" s="58">
        <v>12030</v>
      </c>
      <c r="F4907" s="58"/>
      <c r="G4907" s="58">
        <f t="shared" si="80"/>
        <v>-12030</v>
      </c>
      <c r="H4907" s="121" t="s">
        <v>3394</v>
      </c>
    </row>
    <row r="4908" spans="1:8" ht="15" x14ac:dyDescent="0.2">
      <c r="A4908" s="597">
        <v>43221</v>
      </c>
      <c r="B4908" s="41" t="s">
        <v>1400</v>
      </c>
      <c r="C4908" s="63" t="s">
        <v>794</v>
      </c>
      <c r="D4908" s="129" t="s">
        <v>2481</v>
      </c>
      <c r="E4908" s="58">
        <v>10220.166666666666</v>
      </c>
      <c r="F4908" s="58"/>
      <c r="G4908" s="58">
        <f t="shared" si="80"/>
        <v>-10220.166666666666</v>
      </c>
      <c r="H4908" s="121" t="s">
        <v>3394</v>
      </c>
    </row>
    <row r="4909" spans="1:8" ht="15" x14ac:dyDescent="0.2">
      <c r="A4909" s="597">
        <v>43221</v>
      </c>
      <c r="B4909" s="41" t="s">
        <v>2548</v>
      </c>
      <c r="C4909" s="63" t="s">
        <v>794</v>
      </c>
      <c r="D4909" s="129" t="s">
        <v>1847</v>
      </c>
      <c r="E4909" s="58">
        <v>23100</v>
      </c>
      <c r="F4909" s="58"/>
      <c r="G4909" s="58">
        <f t="shared" si="80"/>
        <v>-23100</v>
      </c>
      <c r="H4909" s="121" t="s">
        <v>3394</v>
      </c>
    </row>
    <row r="4910" spans="1:8" ht="15" x14ac:dyDescent="0.2">
      <c r="A4910" s="597">
        <v>43221</v>
      </c>
      <c r="B4910" s="41" t="s">
        <v>2548</v>
      </c>
      <c r="C4910" s="63" t="s">
        <v>794</v>
      </c>
      <c r="D4910" s="129" t="s">
        <v>2280</v>
      </c>
      <c r="E4910" s="58">
        <v>30250</v>
      </c>
      <c r="F4910" s="58"/>
      <c r="G4910" s="58">
        <f t="shared" si="80"/>
        <v>-30250</v>
      </c>
      <c r="H4910" s="121" t="s">
        <v>3394</v>
      </c>
    </row>
    <row r="4911" spans="1:8" ht="15" x14ac:dyDescent="0.2">
      <c r="A4911" s="597">
        <v>43221</v>
      </c>
      <c r="B4911" s="41" t="s">
        <v>40</v>
      </c>
      <c r="C4911" s="63" t="s">
        <v>794</v>
      </c>
      <c r="D4911" s="129" t="s">
        <v>2036</v>
      </c>
      <c r="E4911" s="58">
        <v>12139.75</v>
      </c>
      <c r="F4911" s="58"/>
      <c r="G4911" s="58">
        <f t="shared" si="80"/>
        <v>-12139.75</v>
      </c>
      <c r="H4911" s="121" t="s">
        <v>3394</v>
      </c>
    </row>
    <row r="4912" spans="1:8" ht="15" x14ac:dyDescent="0.2">
      <c r="A4912" s="597">
        <v>43221</v>
      </c>
      <c r="B4912" s="41" t="s">
        <v>40</v>
      </c>
      <c r="C4912" s="63" t="s">
        <v>794</v>
      </c>
      <c r="D4912" s="129" t="s">
        <v>1859</v>
      </c>
      <c r="E4912" s="58">
        <v>21559.5</v>
      </c>
      <c r="F4912" s="58"/>
      <c r="G4912" s="58">
        <f t="shared" si="80"/>
        <v>-21559.5</v>
      </c>
      <c r="H4912" s="121" t="s">
        <v>3394</v>
      </c>
    </row>
    <row r="4913" spans="1:8" ht="15" x14ac:dyDescent="0.2">
      <c r="A4913" s="597">
        <v>43221</v>
      </c>
      <c r="B4913" s="41" t="s">
        <v>37</v>
      </c>
      <c r="C4913" s="63" t="s">
        <v>794</v>
      </c>
      <c r="D4913" s="129" t="s">
        <v>3609</v>
      </c>
      <c r="E4913" s="58">
        <v>12919.666666666666</v>
      </c>
      <c r="F4913" s="58"/>
      <c r="G4913" s="58">
        <f t="shared" si="80"/>
        <v>-12919.666666666666</v>
      </c>
      <c r="H4913" s="121" t="s">
        <v>3394</v>
      </c>
    </row>
    <row r="4914" spans="1:8" ht="15" x14ac:dyDescent="0.2">
      <c r="A4914" s="597">
        <v>43221</v>
      </c>
      <c r="B4914" s="41" t="s">
        <v>2787</v>
      </c>
      <c r="C4914" s="63" t="s">
        <v>794</v>
      </c>
      <c r="D4914" s="129" t="s">
        <v>2282</v>
      </c>
      <c r="E4914" s="58">
        <v>37950</v>
      </c>
      <c r="F4914" s="58"/>
      <c r="G4914" s="58">
        <f t="shared" si="80"/>
        <v>-37950</v>
      </c>
      <c r="H4914" s="121" t="s">
        <v>3394</v>
      </c>
    </row>
    <row r="4915" spans="1:8" ht="15" x14ac:dyDescent="0.2">
      <c r="A4915" s="597">
        <v>43221</v>
      </c>
      <c r="B4915" s="41" t="s">
        <v>1400</v>
      </c>
      <c r="C4915" s="63" t="s">
        <v>794</v>
      </c>
      <c r="D4915" s="129" t="s">
        <v>1860</v>
      </c>
      <c r="E4915" s="58">
        <v>13470</v>
      </c>
      <c r="F4915" s="58"/>
      <c r="G4915" s="58">
        <f t="shared" si="80"/>
        <v>-13470</v>
      </c>
      <c r="H4915" s="121" t="s">
        <v>3394</v>
      </c>
    </row>
    <row r="4916" spans="1:8" ht="15" x14ac:dyDescent="0.2">
      <c r="A4916" s="597">
        <v>43221</v>
      </c>
      <c r="B4916" s="41" t="s">
        <v>2787</v>
      </c>
      <c r="C4916" s="63" t="s">
        <v>794</v>
      </c>
      <c r="D4916" s="129" t="s">
        <v>2758</v>
      </c>
      <c r="E4916" s="58">
        <v>19190</v>
      </c>
      <c r="F4916" s="58"/>
      <c r="G4916" s="58">
        <f t="shared" si="80"/>
        <v>-19190</v>
      </c>
      <c r="H4916" s="121" t="s">
        <v>3394</v>
      </c>
    </row>
    <row r="4917" spans="1:8" ht="15" x14ac:dyDescent="0.2">
      <c r="A4917" s="597">
        <v>43221</v>
      </c>
      <c r="B4917" s="41" t="s">
        <v>40</v>
      </c>
      <c r="C4917" s="63" t="s">
        <v>794</v>
      </c>
      <c r="D4917" s="129" t="s">
        <v>1855</v>
      </c>
      <c r="E4917" s="58">
        <v>24900</v>
      </c>
      <c r="F4917" s="58"/>
      <c r="G4917" s="58">
        <f t="shared" si="80"/>
        <v>-24900</v>
      </c>
      <c r="H4917" s="121" t="s">
        <v>3394</v>
      </c>
    </row>
    <row r="4918" spans="1:8" ht="15" x14ac:dyDescent="0.2">
      <c r="A4918" s="597">
        <v>43221</v>
      </c>
      <c r="B4918" s="41" t="s">
        <v>40</v>
      </c>
      <c r="C4918" s="63" t="s">
        <v>794</v>
      </c>
      <c r="D4918" s="129" t="s">
        <v>1849</v>
      </c>
      <c r="E4918" s="58">
        <v>21859.5</v>
      </c>
      <c r="F4918" s="58"/>
      <c r="G4918" s="58">
        <f t="shared" si="80"/>
        <v>-21859.5</v>
      </c>
      <c r="H4918" s="121" t="s">
        <v>3394</v>
      </c>
    </row>
    <row r="4919" spans="1:8" ht="15" x14ac:dyDescent="0.2">
      <c r="A4919" s="597">
        <v>43221</v>
      </c>
      <c r="B4919" s="41" t="s">
        <v>40</v>
      </c>
      <c r="C4919" s="63" t="s">
        <v>794</v>
      </c>
      <c r="D4919" s="129" t="s">
        <v>2036</v>
      </c>
      <c r="E4919" s="58">
        <v>14450</v>
      </c>
      <c r="F4919" s="58"/>
      <c r="G4919" s="58">
        <f t="shared" si="80"/>
        <v>-14450</v>
      </c>
      <c r="H4919" s="121" t="s">
        <v>3394</v>
      </c>
    </row>
    <row r="4920" spans="1:8" ht="15" x14ac:dyDescent="0.2">
      <c r="A4920" s="597">
        <v>43221</v>
      </c>
      <c r="B4920" s="41" t="s">
        <v>40</v>
      </c>
      <c r="C4920" s="63" t="s">
        <v>794</v>
      </c>
      <c r="D4920" s="129" t="s">
        <v>3354</v>
      </c>
      <c r="E4920" s="58">
        <v>8800</v>
      </c>
      <c r="F4920" s="58"/>
      <c r="G4920" s="58">
        <f t="shared" si="80"/>
        <v>-8800</v>
      </c>
      <c r="H4920" s="121" t="s">
        <v>3394</v>
      </c>
    </row>
    <row r="4921" spans="1:8" ht="15" x14ac:dyDescent="0.2">
      <c r="A4921" s="597">
        <v>43221</v>
      </c>
      <c r="B4921" s="41" t="s">
        <v>37</v>
      </c>
      <c r="C4921" s="63" t="s">
        <v>794</v>
      </c>
      <c r="D4921" s="129" t="s">
        <v>1866</v>
      </c>
      <c r="E4921" s="58">
        <v>13150</v>
      </c>
      <c r="F4921" s="58"/>
      <c r="G4921" s="58">
        <f t="shared" si="80"/>
        <v>-13150</v>
      </c>
      <c r="H4921" s="121" t="s">
        <v>3394</v>
      </c>
    </row>
    <row r="4922" spans="1:8" ht="15" x14ac:dyDescent="0.2">
      <c r="A4922" s="597">
        <v>43221</v>
      </c>
      <c r="B4922" s="41" t="s">
        <v>37</v>
      </c>
      <c r="C4922" s="63" t="s">
        <v>794</v>
      </c>
      <c r="D4922" s="129" t="s">
        <v>1867</v>
      </c>
      <c r="E4922" s="58">
        <v>14320.166666666666</v>
      </c>
      <c r="F4922" s="58"/>
      <c r="G4922" s="58">
        <f t="shared" si="80"/>
        <v>-14320.166666666666</v>
      </c>
      <c r="H4922" s="121" t="s">
        <v>3394</v>
      </c>
    </row>
    <row r="4923" spans="1:8" ht="15" x14ac:dyDescent="0.2">
      <c r="A4923" s="597">
        <v>43221</v>
      </c>
      <c r="B4923" s="41" t="s">
        <v>37</v>
      </c>
      <c r="C4923" s="63" t="s">
        <v>794</v>
      </c>
      <c r="D4923" s="129" t="s">
        <v>1868</v>
      </c>
      <c r="E4923" s="58">
        <v>19125.229166666668</v>
      </c>
      <c r="F4923" s="58"/>
      <c r="G4923" s="58">
        <f t="shared" si="80"/>
        <v>-19125.229166666668</v>
      </c>
      <c r="H4923" s="121" t="s">
        <v>3394</v>
      </c>
    </row>
    <row r="4924" spans="1:8" ht="15" x14ac:dyDescent="0.2">
      <c r="A4924" s="597">
        <v>43221</v>
      </c>
      <c r="B4924" s="41" t="s">
        <v>37</v>
      </c>
      <c r="C4924" s="63" t="s">
        <v>794</v>
      </c>
      <c r="D4924" s="129" t="s">
        <v>1240</v>
      </c>
      <c r="E4924" s="58">
        <v>20300</v>
      </c>
      <c r="F4924" s="58"/>
      <c r="G4924" s="58">
        <f t="shared" si="80"/>
        <v>-20300</v>
      </c>
      <c r="H4924" s="121" t="s">
        <v>3394</v>
      </c>
    </row>
    <row r="4925" spans="1:8" ht="15" x14ac:dyDescent="0.2">
      <c r="A4925" s="597">
        <v>43221</v>
      </c>
      <c r="B4925" s="41" t="s">
        <v>37</v>
      </c>
      <c r="C4925" s="63" t="s">
        <v>794</v>
      </c>
      <c r="D4925" s="129" t="s">
        <v>2919</v>
      </c>
      <c r="E4925" s="58">
        <v>2349.9999999999995</v>
      </c>
      <c r="F4925" s="58"/>
      <c r="G4925" s="58">
        <f t="shared" si="80"/>
        <v>-2349.9999999999995</v>
      </c>
      <c r="H4925" s="121" t="s">
        <v>3394</v>
      </c>
    </row>
    <row r="4926" spans="1:8" ht="15" x14ac:dyDescent="0.2">
      <c r="A4926" s="597">
        <v>43221</v>
      </c>
      <c r="B4926" s="41" t="s">
        <v>37</v>
      </c>
      <c r="C4926" s="63" t="s">
        <v>794</v>
      </c>
      <c r="D4926" s="129" t="s">
        <v>2720</v>
      </c>
      <c r="E4926" s="58">
        <v>15450</v>
      </c>
      <c r="F4926" s="58"/>
      <c r="G4926" s="58">
        <f t="shared" si="80"/>
        <v>-15450</v>
      </c>
      <c r="H4926" s="121" t="s">
        <v>3394</v>
      </c>
    </row>
    <row r="4927" spans="1:8" ht="15" x14ac:dyDescent="0.2">
      <c r="A4927" s="597">
        <v>43221</v>
      </c>
      <c r="B4927" s="41" t="s">
        <v>1400</v>
      </c>
      <c r="C4927" s="63" t="s">
        <v>794</v>
      </c>
      <c r="D4927" s="129" t="s">
        <v>1858</v>
      </c>
      <c r="E4927" s="58">
        <v>35000</v>
      </c>
      <c r="F4927" s="58"/>
      <c r="G4927" s="58">
        <f t="shared" si="80"/>
        <v>-35000</v>
      </c>
      <c r="H4927" s="121" t="s">
        <v>3394</v>
      </c>
    </row>
    <row r="4928" spans="1:8" ht="15" x14ac:dyDescent="0.2">
      <c r="A4928" s="597">
        <v>43221</v>
      </c>
      <c r="B4928" s="41" t="s">
        <v>2933</v>
      </c>
      <c r="C4928" s="63" t="s">
        <v>794</v>
      </c>
      <c r="D4928" s="129" t="s">
        <v>2925</v>
      </c>
      <c r="E4928" s="58">
        <v>50000</v>
      </c>
      <c r="F4928" s="58"/>
      <c r="G4928" s="58">
        <f t="shared" si="80"/>
        <v>-50000</v>
      </c>
      <c r="H4928" s="121" t="s">
        <v>3394</v>
      </c>
    </row>
    <row r="4929" spans="1:8" ht="15" x14ac:dyDescent="0.2">
      <c r="A4929" s="597">
        <v>43221</v>
      </c>
      <c r="B4929" s="41" t="s">
        <v>2933</v>
      </c>
      <c r="C4929" s="63" t="s">
        <v>794</v>
      </c>
      <c r="D4929" s="129" t="s">
        <v>3236</v>
      </c>
      <c r="E4929" s="58">
        <v>18333.333333333336</v>
      </c>
      <c r="F4929" s="58"/>
      <c r="G4929" s="58">
        <f t="shared" si="80"/>
        <v>-18333.333333333336</v>
      </c>
      <c r="H4929" s="121" t="s">
        <v>3394</v>
      </c>
    </row>
    <row r="4930" spans="1:8" ht="15" x14ac:dyDescent="0.2">
      <c r="A4930" s="597">
        <v>43222</v>
      </c>
      <c r="B4930" s="41" t="s">
        <v>2933</v>
      </c>
      <c r="C4930" s="63" t="s">
        <v>3149</v>
      </c>
      <c r="D4930" s="108" t="s">
        <v>3369</v>
      </c>
      <c r="E4930" s="58">
        <v>432</v>
      </c>
      <c r="F4930" s="58"/>
      <c r="G4930" s="58">
        <f t="shared" si="80"/>
        <v>-432</v>
      </c>
      <c r="H4930" s="121" t="s">
        <v>3394</v>
      </c>
    </row>
    <row r="4931" spans="1:8" ht="15" x14ac:dyDescent="0.2">
      <c r="A4931" s="597">
        <v>43222</v>
      </c>
      <c r="B4931" s="41" t="s">
        <v>40</v>
      </c>
      <c r="C4931" s="63" t="s">
        <v>3145</v>
      </c>
      <c r="D4931" s="108" t="s">
        <v>3493</v>
      </c>
      <c r="E4931" s="58">
        <v>2440</v>
      </c>
      <c r="F4931" s="58"/>
      <c r="G4931" s="58">
        <f t="shared" si="80"/>
        <v>-2440</v>
      </c>
      <c r="H4931" s="121" t="s">
        <v>3394</v>
      </c>
    </row>
    <row r="4932" spans="1:8" ht="24" x14ac:dyDescent="0.2">
      <c r="A4932" s="597">
        <v>43222</v>
      </c>
      <c r="B4932" s="41" t="s">
        <v>1400</v>
      </c>
      <c r="C4932" s="63" t="s">
        <v>3145</v>
      </c>
      <c r="D4932" s="129" t="s">
        <v>3494</v>
      </c>
      <c r="E4932" s="58">
        <v>71131</v>
      </c>
      <c r="F4932" s="58"/>
      <c r="G4932" s="58">
        <f t="shared" si="80"/>
        <v>-71131</v>
      </c>
      <c r="H4932" s="121" t="s">
        <v>3394</v>
      </c>
    </row>
    <row r="4933" spans="1:8" ht="15" x14ac:dyDescent="0.2">
      <c r="A4933" s="597">
        <v>43222</v>
      </c>
      <c r="B4933" s="41" t="s">
        <v>2787</v>
      </c>
      <c r="C4933" s="63" t="s">
        <v>3145</v>
      </c>
      <c r="D4933" s="108" t="s">
        <v>3495</v>
      </c>
      <c r="E4933" s="58">
        <v>10000</v>
      </c>
      <c r="F4933" s="58"/>
      <c r="G4933" s="58">
        <f t="shared" si="80"/>
        <v>-10000</v>
      </c>
      <c r="H4933" s="121" t="s">
        <v>3394</v>
      </c>
    </row>
    <row r="4934" spans="1:8" ht="15" customHeight="1" x14ac:dyDescent="0.2">
      <c r="A4934" s="597">
        <v>43222</v>
      </c>
      <c r="B4934" s="41" t="s">
        <v>2787</v>
      </c>
      <c r="C4934" s="63" t="s">
        <v>3145</v>
      </c>
      <c r="D4934" s="108" t="s">
        <v>3496</v>
      </c>
      <c r="E4934" s="58">
        <v>15350</v>
      </c>
      <c r="F4934" s="58"/>
      <c r="G4934" s="58">
        <f t="shared" si="80"/>
        <v>-15350</v>
      </c>
      <c r="H4934" s="121" t="s">
        <v>3394</v>
      </c>
    </row>
    <row r="4935" spans="1:8" ht="15" x14ac:dyDescent="0.2">
      <c r="A4935" s="597">
        <v>43222</v>
      </c>
      <c r="B4935" s="41" t="s">
        <v>2787</v>
      </c>
      <c r="C4935" s="63" t="s">
        <v>3145</v>
      </c>
      <c r="D4935" s="108" t="s">
        <v>3497</v>
      </c>
      <c r="E4935" s="58">
        <v>5140</v>
      </c>
      <c r="F4935" s="58"/>
      <c r="G4935" s="58">
        <f t="shared" si="80"/>
        <v>-5140</v>
      </c>
      <c r="H4935" s="121" t="s">
        <v>3394</v>
      </c>
    </row>
    <row r="4936" spans="1:8" ht="24" x14ac:dyDescent="0.2">
      <c r="A4936" s="597">
        <v>43222</v>
      </c>
      <c r="B4936" s="41" t="s">
        <v>2787</v>
      </c>
      <c r="C4936" s="63" t="s">
        <v>3145</v>
      </c>
      <c r="D4936" s="129" t="s">
        <v>3498</v>
      </c>
      <c r="E4936" s="58">
        <v>10005</v>
      </c>
      <c r="F4936" s="58"/>
      <c r="G4936" s="58">
        <f t="shared" si="80"/>
        <v>-10005</v>
      </c>
      <c r="H4936" s="121" t="s">
        <v>3394</v>
      </c>
    </row>
    <row r="4937" spans="1:8" ht="15" x14ac:dyDescent="0.2">
      <c r="A4937" s="597">
        <v>43222</v>
      </c>
      <c r="B4937" s="41" t="s">
        <v>1400</v>
      </c>
      <c r="C4937" s="63" t="s">
        <v>3145</v>
      </c>
      <c r="D4937" s="108" t="s">
        <v>3499</v>
      </c>
      <c r="E4937" s="58">
        <v>7400</v>
      </c>
      <c r="F4937" s="58"/>
      <c r="G4937" s="58">
        <f t="shared" ref="G4937:G5000" si="81">F4937-E4937</f>
        <v>-7400</v>
      </c>
      <c r="H4937" s="121" t="s">
        <v>3394</v>
      </c>
    </row>
    <row r="4938" spans="1:8" ht="15" x14ac:dyDescent="0.2">
      <c r="A4938" s="597">
        <v>43222</v>
      </c>
      <c r="B4938" s="41" t="s">
        <v>2787</v>
      </c>
      <c r="C4938" s="63" t="s">
        <v>3145</v>
      </c>
      <c r="D4938" s="108" t="s">
        <v>3501</v>
      </c>
      <c r="E4938" s="58">
        <v>15020</v>
      </c>
      <c r="F4938" s="58"/>
      <c r="G4938" s="58">
        <f t="shared" si="81"/>
        <v>-15020</v>
      </c>
      <c r="H4938" s="121" t="s">
        <v>3394</v>
      </c>
    </row>
    <row r="4939" spans="1:8" ht="15" x14ac:dyDescent="0.2">
      <c r="A4939" s="597">
        <v>43222</v>
      </c>
      <c r="B4939" s="41" t="s">
        <v>1400</v>
      </c>
      <c r="C4939" s="63" t="s">
        <v>3145</v>
      </c>
      <c r="D4939" s="108" t="s">
        <v>3496</v>
      </c>
      <c r="E4939" s="58">
        <v>11970</v>
      </c>
      <c r="F4939" s="58"/>
      <c r="G4939" s="58">
        <f t="shared" si="81"/>
        <v>-11970</v>
      </c>
      <c r="H4939" s="121" t="s">
        <v>3394</v>
      </c>
    </row>
    <row r="4940" spans="1:8" ht="15" x14ac:dyDescent="0.2">
      <c r="A4940" s="597">
        <v>43222</v>
      </c>
      <c r="B4940" s="41" t="s">
        <v>2933</v>
      </c>
      <c r="C4940" s="63" t="s">
        <v>3145</v>
      </c>
      <c r="D4940" s="108" t="s">
        <v>3500</v>
      </c>
      <c r="E4940" s="58">
        <v>3600</v>
      </c>
      <c r="F4940" s="58"/>
      <c r="G4940" s="58">
        <f t="shared" si="81"/>
        <v>-3600</v>
      </c>
      <c r="H4940" s="121" t="s">
        <v>3394</v>
      </c>
    </row>
    <row r="4941" spans="1:8" ht="15" x14ac:dyDescent="0.2">
      <c r="A4941" s="597">
        <v>43222</v>
      </c>
      <c r="B4941" s="41" t="s">
        <v>2933</v>
      </c>
      <c r="C4941" s="63" t="s">
        <v>286</v>
      </c>
      <c r="D4941" s="108" t="s">
        <v>3502</v>
      </c>
      <c r="E4941" s="58">
        <v>7000</v>
      </c>
      <c r="F4941" s="58"/>
      <c r="G4941" s="58">
        <f t="shared" si="81"/>
        <v>-7000</v>
      </c>
      <c r="H4941" s="121" t="s">
        <v>3394</v>
      </c>
    </row>
    <row r="4942" spans="1:8" ht="15" x14ac:dyDescent="0.2">
      <c r="A4942" s="597">
        <v>43222</v>
      </c>
      <c r="B4942" s="41" t="s">
        <v>2787</v>
      </c>
      <c r="C4942" s="63" t="s">
        <v>3145</v>
      </c>
      <c r="D4942" s="108" t="s">
        <v>2159</v>
      </c>
      <c r="E4942" s="58">
        <v>16000</v>
      </c>
      <c r="F4942" s="58"/>
      <c r="G4942" s="58">
        <f t="shared" si="81"/>
        <v>-16000</v>
      </c>
      <c r="H4942" s="121" t="s">
        <v>3394</v>
      </c>
    </row>
    <row r="4943" spans="1:8" ht="15" x14ac:dyDescent="0.2">
      <c r="A4943" s="597">
        <v>43222</v>
      </c>
      <c r="B4943" s="41" t="s">
        <v>25</v>
      </c>
      <c r="C4943" s="63" t="s">
        <v>2978</v>
      </c>
      <c r="E4943" s="58">
        <v>6600</v>
      </c>
      <c r="F4943" s="58"/>
      <c r="G4943" s="58">
        <f t="shared" si="81"/>
        <v>-6600</v>
      </c>
      <c r="H4943" s="121" t="s">
        <v>3394</v>
      </c>
    </row>
    <row r="4944" spans="1:8" ht="15" x14ac:dyDescent="0.2">
      <c r="A4944" s="597">
        <v>43222</v>
      </c>
      <c r="B4944" s="41" t="s">
        <v>25</v>
      </c>
      <c r="C4944" s="63" t="s">
        <v>2978</v>
      </c>
      <c r="E4944" s="58">
        <v>4704</v>
      </c>
      <c r="F4944" s="58"/>
      <c r="G4944" s="58">
        <f t="shared" si="81"/>
        <v>-4704</v>
      </c>
      <c r="H4944" s="121" t="s">
        <v>3394</v>
      </c>
    </row>
    <row r="4945" spans="1:8" ht="15" x14ac:dyDescent="0.2">
      <c r="A4945" s="597">
        <v>43222</v>
      </c>
      <c r="B4945" s="41" t="s">
        <v>2787</v>
      </c>
      <c r="C4945" s="63" t="s">
        <v>3145</v>
      </c>
      <c r="D4945" s="108" t="s">
        <v>3562</v>
      </c>
      <c r="E4945" s="58">
        <v>48600</v>
      </c>
      <c r="F4945" s="58"/>
      <c r="G4945" s="58">
        <f t="shared" si="81"/>
        <v>-48600</v>
      </c>
      <c r="H4945" s="121" t="s">
        <v>3394</v>
      </c>
    </row>
    <row r="4946" spans="1:8" ht="15" x14ac:dyDescent="0.2">
      <c r="A4946" s="597">
        <v>43222</v>
      </c>
      <c r="B4946" s="41" t="s">
        <v>2787</v>
      </c>
      <c r="C4946" s="63" t="s">
        <v>3145</v>
      </c>
      <c r="D4946" s="108" t="s">
        <v>3563</v>
      </c>
      <c r="E4946" s="58">
        <v>26946</v>
      </c>
      <c r="F4946" s="58"/>
      <c r="G4946" s="58">
        <f t="shared" si="81"/>
        <v>-26946</v>
      </c>
      <c r="H4946" s="121" t="s">
        <v>3394</v>
      </c>
    </row>
    <row r="4947" spans="1:8" ht="15" customHeight="1" x14ac:dyDescent="0.2">
      <c r="A4947" s="597">
        <v>43222</v>
      </c>
      <c r="B4947" s="41" t="s">
        <v>1400</v>
      </c>
      <c r="C4947" s="63" t="s">
        <v>3145</v>
      </c>
      <c r="D4947" s="108" t="s">
        <v>3564</v>
      </c>
      <c r="E4947" s="58">
        <v>3132</v>
      </c>
      <c r="F4947" s="58"/>
      <c r="G4947" s="58">
        <f t="shared" si="81"/>
        <v>-3132</v>
      </c>
      <c r="H4947" s="121" t="s">
        <v>3394</v>
      </c>
    </row>
    <row r="4948" spans="1:8" ht="15" customHeight="1" x14ac:dyDescent="0.2">
      <c r="A4948" s="597">
        <v>43225</v>
      </c>
      <c r="B4948" s="41" t="s">
        <v>25</v>
      </c>
      <c r="C4948" s="63" t="s">
        <v>2978</v>
      </c>
      <c r="D4948" s="108" t="s">
        <v>3565</v>
      </c>
      <c r="E4948" s="58">
        <v>3500</v>
      </c>
      <c r="F4948" s="58"/>
      <c r="G4948" s="58">
        <f t="shared" si="81"/>
        <v>-3500</v>
      </c>
      <c r="H4948" s="121" t="s">
        <v>3394</v>
      </c>
    </row>
    <row r="4949" spans="1:8" ht="15" customHeight="1" x14ac:dyDescent="0.2">
      <c r="A4949" s="597">
        <v>43225</v>
      </c>
      <c r="B4949" s="41" t="s">
        <v>2787</v>
      </c>
      <c r="C4949" s="63" t="s">
        <v>3145</v>
      </c>
      <c r="D4949" s="108" t="s">
        <v>3566</v>
      </c>
      <c r="E4949" s="58">
        <v>41350</v>
      </c>
      <c r="F4949" s="58"/>
      <c r="G4949" s="58">
        <f t="shared" si="81"/>
        <v>-41350</v>
      </c>
      <c r="H4949" s="121" t="s">
        <v>3394</v>
      </c>
    </row>
    <row r="4950" spans="1:8" ht="15" x14ac:dyDescent="0.2">
      <c r="A4950" s="597">
        <v>43225</v>
      </c>
      <c r="B4950" s="41" t="s">
        <v>25</v>
      </c>
      <c r="C4950" s="63" t="s">
        <v>286</v>
      </c>
      <c r="D4950" s="108" t="s">
        <v>3567</v>
      </c>
      <c r="E4950" s="58">
        <v>2000</v>
      </c>
      <c r="F4950" s="58"/>
      <c r="G4950" s="58">
        <f t="shared" si="81"/>
        <v>-2000</v>
      </c>
      <c r="H4950" s="121" t="s">
        <v>3394</v>
      </c>
    </row>
    <row r="4951" spans="1:8" ht="15" x14ac:dyDescent="0.2">
      <c r="A4951" s="597">
        <v>43229</v>
      </c>
      <c r="B4951" s="41" t="s">
        <v>1400</v>
      </c>
      <c r="C4951" s="63" t="s">
        <v>3145</v>
      </c>
      <c r="D4951" s="108" t="s">
        <v>3568</v>
      </c>
      <c r="E4951" s="58">
        <v>1710</v>
      </c>
      <c r="F4951" s="58"/>
      <c r="G4951" s="58">
        <f t="shared" si="81"/>
        <v>-1710</v>
      </c>
      <c r="H4951" s="121" t="s">
        <v>3394</v>
      </c>
    </row>
    <row r="4952" spans="1:8" ht="15" x14ac:dyDescent="0.2">
      <c r="A4952" s="597">
        <v>43229</v>
      </c>
      <c r="B4952" s="41" t="s">
        <v>2787</v>
      </c>
      <c r="C4952" s="63" t="s">
        <v>3145</v>
      </c>
      <c r="D4952" s="108" t="s">
        <v>3569</v>
      </c>
      <c r="E4952" s="58">
        <v>7550</v>
      </c>
      <c r="F4952" s="58"/>
      <c r="G4952" s="58">
        <f t="shared" si="81"/>
        <v>-7550</v>
      </c>
      <c r="H4952" s="121" t="s">
        <v>3394</v>
      </c>
    </row>
    <row r="4953" spans="1:8" ht="15" x14ac:dyDescent="0.2">
      <c r="A4953" s="597">
        <v>43229</v>
      </c>
      <c r="B4953" s="41" t="s">
        <v>2933</v>
      </c>
      <c r="C4953" s="63" t="s">
        <v>3145</v>
      </c>
      <c r="D4953" s="108" t="s">
        <v>3569</v>
      </c>
      <c r="E4953" s="58">
        <v>950</v>
      </c>
      <c r="F4953" s="58"/>
      <c r="G4953" s="58">
        <f t="shared" si="81"/>
        <v>-950</v>
      </c>
      <c r="H4953" s="121" t="s">
        <v>3394</v>
      </c>
    </row>
    <row r="4954" spans="1:8" ht="15" x14ac:dyDescent="0.2">
      <c r="A4954" s="597">
        <v>43229</v>
      </c>
      <c r="B4954" s="41" t="s">
        <v>2787</v>
      </c>
      <c r="C4954" s="63" t="s">
        <v>3145</v>
      </c>
      <c r="D4954" s="108" t="s">
        <v>3570</v>
      </c>
      <c r="E4954" s="58">
        <v>2850</v>
      </c>
      <c r="F4954" s="58"/>
      <c r="G4954" s="58">
        <f t="shared" si="81"/>
        <v>-2850</v>
      </c>
      <c r="H4954" s="121" t="s">
        <v>3394</v>
      </c>
    </row>
    <row r="4955" spans="1:8" ht="15" x14ac:dyDescent="0.2">
      <c r="A4955" s="597">
        <v>43229</v>
      </c>
      <c r="B4955" s="41" t="s">
        <v>2787</v>
      </c>
      <c r="C4955" s="63" t="s">
        <v>3145</v>
      </c>
      <c r="D4955" s="108" t="s">
        <v>3571</v>
      </c>
      <c r="E4955" s="58">
        <v>1000</v>
      </c>
      <c r="F4955" s="58"/>
      <c r="G4955" s="58">
        <f t="shared" si="81"/>
        <v>-1000</v>
      </c>
      <c r="H4955" s="121" t="s">
        <v>3394</v>
      </c>
    </row>
    <row r="4956" spans="1:8" ht="15" x14ac:dyDescent="0.2">
      <c r="A4956" s="597">
        <v>43229</v>
      </c>
      <c r="B4956" s="41" t="s">
        <v>2787</v>
      </c>
      <c r="C4956" s="63" t="s">
        <v>3145</v>
      </c>
      <c r="D4956" s="108" t="s">
        <v>3572</v>
      </c>
      <c r="E4956" s="58">
        <v>24490</v>
      </c>
      <c r="F4956" s="58"/>
      <c r="G4956" s="58">
        <f t="shared" si="81"/>
        <v>-24490</v>
      </c>
      <c r="H4956" s="121" t="s">
        <v>3394</v>
      </c>
    </row>
    <row r="4957" spans="1:8" ht="15" x14ac:dyDescent="0.2">
      <c r="A4957" s="597">
        <v>43229</v>
      </c>
      <c r="B4957" s="41" t="s">
        <v>2787</v>
      </c>
      <c r="C4957" s="63" t="s">
        <v>3145</v>
      </c>
      <c r="D4957" s="108" t="s">
        <v>3573</v>
      </c>
      <c r="E4957" s="58">
        <v>28300</v>
      </c>
      <c r="F4957" s="58"/>
      <c r="G4957" s="58">
        <f t="shared" si="81"/>
        <v>-28300</v>
      </c>
      <c r="H4957" s="121" t="s">
        <v>3394</v>
      </c>
    </row>
    <row r="4958" spans="1:8" ht="15" x14ac:dyDescent="0.2">
      <c r="A4958" s="597">
        <v>43231</v>
      </c>
      <c r="B4958" s="41" t="s">
        <v>25</v>
      </c>
      <c r="C4958" s="63" t="s">
        <v>1894</v>
      </c>
      <c r="D4958" s="108" t="s">
        <v>2349</v>
      </c>
      <c r="E4958" s="58">
        <v>64150</v>
      </c>
      <c r="F4958" s="58"/>
      <c r="G4958" s="58">
        <f t="shared" si="81"/>
        <v>-64150</v>
      </c>
      <c r="H4958" s="121" t="s">
        <v>3394</v>
      </c>
    </row>
    <row r="4959" spans="1:8" ht="15" x14ac:dyDescent="0.2">
      <c r="A4959" s="597">
        <v>43231</v>
      </c>
      <c r="B4959" s="41" t="s">
        <v>2787</v>
      </c>
      <c r="C4959" s="63" t="s">
        <v>3145</v>
      </c>
      <c r="D4959" s="108" t="s">
        <v>3574</v>
      </c>
      <c r="E4959" s="58">
        <v>2370</v>
      </c>
      <c r="F4959" s="58"/>
      <c r="G4959" s="58">
        <f t="shared" si="81"/>
        <v>-2370</v>
      </c>
      <c r="H4959" s="121" t="s">
        <v>3394</v>
      </c>
    </row>
    <row r="4960" spans="1:8" ht="15" x14ac:dyDescent="0.2">
      <c r="A4960" s="597">
        <v>43232</v>
      </c>
      <c r="B4960" s="41" t="s">
        <v>2787</v>
      </c>
      <c r="C4960" s="63" t="s">
        <v>3145</v>
      </c>
      <c r="D4960" s="108" t="s">
        <v>3575</v>
      </c>
      <c r="E4960" s="58">
        <v>21860</v>
      </c>
      <c r="F4960" s="58"/>
      <c r="G4960" s="58">
        <f t="shared" si="81"/>
        <v>-21860</v>
      </c>
      <c r="H4960" s="121" t="s">
        <v>3394</v>
      </c>
    </row>
    <row r="4961" spans="1:8" ht="15" x14ac:dyDescent="0.2">
      <c r="A4961" s="597">
        <v>43232</v>
      </c>
      <c r="B4961" s="41" t="s">
        <v>2933</v>
      </c>
      <c r="C4961" s="63" t="s">
        <v>3145</v>
      </c>
      <c r="D4961" s="108" t="s">
        <v>3576</v>
      </c>
      <c r="E4961" s="58">
        <v>3980</v>
      </c>
      <c r="F4961" s="58"/>
      <c r="G4961" s="58">
        <f t="shared" si="81"/>
        <v>-3980</v>
      </c>
      <c r="H4961" s="121" t="s">
        <v>3394</v>
      </c>
    </row>
    <row r="4962" spans="1:8" ht="15" x14ac:dyDescent="0.2">
      <c r="A4962" s="597">
        <v>43234</v>
      </c>
      <c r="B4962" s="41" t="s">
        <v>2787</v>
      </c>
      <c r="C4962" s="63" t="s">
        <v>3145</v>
      </c>
      <c r="D4962" s="108" t="s">
        <v>3577</v>
      </c>
      <c r="E4962" s="58">
        <v>3820</v>
      </c>
      <c r="F4962" s="58"/>
      <c r="G4962" s="58">
        <f t="shared" si="81"/>
        <v>-3820</v>
      </c>
      <c r="H4962" s="121" t="s">
        <v>3394</v>
      </c>
    </row>
    <row r="4963" spans="1:8" ht="15" x14ac:dyDescent="0.2">
      <c r="A4963" s="597">
        <v>43234</v>
      </c>
      <c r="B4963" s="41" t="s">
        <v>2933</v>
      </c>
      <c r="C4963" s="63" t="s">
        <v>3145</v>
      </c>
      <c r="D4963" s="108" t="s">
        <v>3577</v>
      </c>
      <c r="E4963" s="58">
        <v>5600</v>
      </c>
      <c r="F4963" s="58"/>
      <c r="G4963" s="58">
        <f t="shared" si="81"/>
        <v>-5600</v>
      </c>
      <c r="H4963" s="121" t="s">
        <v>3394</v>
      </c>
    </row>
    <row r="4964" spans="1:8" ht="15" x14ac:dyDescent="0.2">
      <c r="A4964" s="597">
        <v>43234</v>
      </c>
      <c r="B4964" s="41" t="s">
        <v>2787</v>
      </c>
      <c r="C4964" s="63" t="s">
        <v>3145</v>
      </c>
      <c r="D4964" s="108" t="s">
        <v>3578</v>
      </c>
      <c r="E4964" s="58">
        <v>16870</v>
      </c>
      <c r="F4964" s="58"/>
      <c r="G4964" s="58">
        <f t="shared" si="81"/>
        <v>-16870</v>
      </c>
      <c r="H4964" s="121" t="s">
        <v>3394</v>
      </c>
    </row>
    <row r="4965" spans="1:8" ht="15" x14ac:dyDescent="0.2">
      <c r="A4965" s="597">
        <v>43234</v>
      </c>
      <c r="B4965" s="41" t="s">
        <v>2787</v>
      </c>
      <c r="C4965" s="63" t="s">
        <v>3145</v>
      </c>
      <c r="D4965" s="108" t="s">
        <v>3579</v>
      </c>
      <c r="E4965" s="58">
        <v>4600</v>
      </c>
      <c r="F4965" s="58"/>
      <c r="G4965" s="58">
        <f t="shared" si="81"/>
        <v>-4600</v>
      </c>
      <c r="H4965" s="121" t="s">
        <v>3394</v>
      </c>
    </row>
    <row r="4966" spans="1:8" ht="15" x14ac:dyDescent="0.2">
      <c r="A4966" s="597">
        <v>43235</v>
      </c>
      <c r="B4966" s="41" t="s">
        <v>1400</v>
      </c>
      <c r="C4966" s="63" t="s">
        <v>3145</v>
      </c>
      <c r="D4966" s="108" t="s">
        <v>3580</v>
      </c>
      <c r="E4966" s="58">
        <v>34140</v>
      </c>
      <c r="F4966" s="58"/>
      <c r="G4966" s="58">
        <f t="shared" si="81"/>
        <v>-34140</v>
      </c>
      <c r="H4966" s="121" t="s">
        <v>3394</v>
      </c>
    </row>
    <row r="4967" spans="1:8" ht="15" x14ac:dyDescent="0.2">
      <c r="A4967" s="597">
        <v>43235</v>
      </c>
      <c r="B4967" s="41" t="s">
        <v>2787</v>
      </c>
      <c r="C4967" s="63" t="s">
        <v>3145</v>
      </c>
      <c r="D4967" s="108" t="s">
        <v>3581</v>
      </c>
      <c r="E4967" s="58">
        <v>1800</v>
      </c>
      <c r="F4967" s="58"/>
      <c r="G4967" s="58">
        <f t="shared" si="81"/>
        <v>-1800</v>
      </c>
      <c r="H4967" s="121" t="s">
        <v>3394</v>
      </c>
    </row>
    <row r="4968" spans="1:8" ht="15" x14ac:dyDescent="0.2">
      <c r="A4968" s="597">
        <v>43235</v>
      </c>
      <c r="B4968" s="41" t="s">
        <v>2787</v>
      </c>
      <c r="C4968" s="63" t="s">
        <v>3145</v>
      </c>
      <c r="D4968" s="108" t="s">
        <v>3582</v>
      </c>
      <c r="E4968" s="58">
        <v>12600</v>
      </c>
      <c r="F4968" s="58"/>
      <c r="G4968" s="58">
        <f t="shared" si="81"/>
        <v>-12600</v>
      </c>
      <c r="H4968" s="121" t="s">
        <v>3394</v>
      </c>
    </row>
    <row r="4969" spans="1:8" ht="15" x14ac:dyDescent="0.2">
      <c r="A4969" s="597">
        <v>43237</v>
      </c>
      <c r="B4969" s="41" t="s">
        <v>2787</v>
      </c>
      <c r="C4969" s="63" t="s">
        <v>3145</v>
      </c>
      <c r="D4969" s="108" t="s">
        <v>3583</v>
      </c>
      <c r="E4969" s="58">
        <v>11110</v>
      </c>
      <c r="F4969" s="58"/>
      <c r="G4969" s="58">
        <f t="shared" si="81"/>
        <v>-11110</v>
      </c>
      <c r="H4969" s="121" t="s">
        <v>3394</v>
      </c>
    </row>
    <row r="4970" spans="1:8" ht="15" x14ac:dyDescent="0.2">
      <c r="A4970" s="597">
        <v>43237</v>
      </c>
      <c r="B4970" s="41" t="s">
        <v>1400</v>
      </c>
      <c r="C4970" s="63" t="s">
        <v>3584</v>
      </c>
      <c r="D4970" s="108" t="s">
        <v>3585</v>
      </c>
      <c r="E4970" s="58">
        <v>1500</v>
      </c>
      <c r="F4970" s="58"/>
      <c r="G4970" s="58">
        <f t="shared" si="81"/>
        <v>-1500</v>
      </c>
      <c r="H4970" s="121" t="s">
        <v>3394</v>
      </c>
    </row>
    <row r="4971" spans="1:8" ht="15" x14ac:dyDescent="0.2">
      <c r="A4971" s="597">
        <v>43237</v>
      </c>
      <c r="B4971" s="41" t="s">
        <v>25</v>
      </c>
      <c r="C4971" s="63" t="s">
        <v>2978</v>
      </c>
      <c r="D4971" s="108" t="s">
        <v>3586</v>
      </c>
      <c r="E4971" s="58">
        <v>8000</v>
      </c>
      <c r="F4971" s="58"/>
      <c r="G4971" s="58">
        <f t="shared" si="81"/>
        <v>-8000</v>
      </c>
      <c r="H4971" s="121" t="s">
        <v>3394</v>
      </c>
    </row>
    <row r="4972" spans="1:8" ht="15" x14ac:dyDescent="0.2">
      <c r="A4972" s="597">
        <v>43242</v>
      </c>
      <c r="B4972" s="41" t="s">
        <v>2787</v>
      </c>
      <c r="C4972" s="63" t="s">
        <v>3145</v>
      </c>
      <c r="D4972" s="108" t="s">
        <v>3587</v>
      </c>
      <c r="E4972" s="58">
        <v>21785</v>
      </c>
      <c r="F4972" s="58"/>
      <c r="G4972" s="58">
        <f t="shared" si="81"/>
        <v>-21785</v>
      </c>
      <c r="H4972" s="121" t="s">
        <v>3394</v>
      </c>
    </row>
    <row r="4973" spans="1:8" ht="15" x14ac:dyDescent="0.2">
      <c r="A4973" s="597">
        <v>43242</v>
      </c>
      <c r="B4973" s="41" t="s">
        <v>25</v>
      </c>
      <c r="C4973" s="63" t="s">
        <v>2978</v>
      </c>
      <c r="D4973" s="108" t="s">
        <v>286</v>
      </c>
      <c r="E4973" s="58">
        <v>2630</v>
      </c>
      <c r="F4973" s="58"/>
      <c r="G4973" s="58">
        <f t="shared" si="81"/>
        <v>-2630</v>
      </c>
      <c r="H4973" s="121" t="s">
        <v>3394</v>
      </c>
    </row>
    <row r="4974" spans="1:8" ht="15" x14ac:dyDescent="0.2">
      <c r="A4974" s="597">
        <v>43242</v>
      </c>
      <c r="B4974" s="41" t="s">
        <v>25</v>
      </c>
      <c r="C4974" s="63" t="s">
        <v>2978</v>
      </c>
      <c r="D4974" s="108" t="s">
        <v>392</v>
      </c>
      <c r="E4974" s="58">
        <v>2000</v>
      </c>
      <c r="F4974" s="58"/>
      <c r="G4974" s="58">
        <f t="shared" si="81"/>
        <v>-2000</v>
      </c>
      <c r="H4974" s="121" t="s">
        <v>3394</v>
      </c>
    </row>
    <row r="4975" spans="1:8" ht="15" x14ac:dyDescent="0.2">
      <c r="A4975" s="597">
        <v>43243</v>
      </c>
      <c r="B4975" s="41" t="s">
        <v>2787</v>
      </c>
      <c r="C4975" s="63" t="s">
        <v>3145</v>
      </c>
      <c r="D4975" s="108" t="s">
        <v>3588</v>
      </c>
      <c r="E4975" s="58">
        <v>15090</v>
      </c>
      <c r="F4975" s="58"/>
      <c r="G4975" s="58">
        <f t="shared" si="81"/>
        <v>-15090</v>
      </c>
      <c r="H4975" s="121" t="s">
        <v>3394</v>
      </c>
    </row>
    <row r="4976" spans="1:8" ht="15" x14ac:dyDescent="0.2">
      <c r="A4976" s="597">
        <v>43243</v>
      </c>
      <c r="B4976" s="41" t="s">
        <v>2787</v>
      </c>
      <c r="C4976" s="63" t="s">
        <v>2816</v>
      </c>
      <c r="D4976" s="108" t="s">
        <v>370</v>
      </c>
      <c r="E4976" s="58">
        <v>10000</v>
      </c>
      <c r="F4976" s="58"/>
      <c r="G4976" s="58">
        <f t="shared" si="81"/>
        <v>-10000</v>
      </c>
      <c r="H4976" s="121" t="s">
        <v>3394</v>
      </c>
    </row>
    <row r="4977" spans="1:8" ht="15" x14ac:dyDescent="0.2">
      <c r="A4977" s="597">
        <v>43243</v>
      </c>
      <c r="B4977" s="41" t="s">
        <v>2787</v>
      </c>
      <c r="C4977" s="63" t="s">
        <v>3145</v>
      </c>
      <c r="D4977" s="108" t="s">
        <v>3589</v>
      </c>
      <c r="E4977" s="58">
        <v>4000</v>
      </c>
      <c r="F4977" s="58"/>
      <c r="G4977" s="58">
        <f t="shared" si="81"/>
        <v>-4000</v>
      </c>
      <c r="H4977" s="121" t="s">
        <v>3394</v>
      </c>
    </row>
    <row r="4978" spans="1:8" ht="15" x14ac:dyDescent="0.2">
      <c r="A4978" s="597">
        <v>43243</v>
      </c>
      <c r="B4978" s="41" t="s">
        <v>2787</v>
      </c>
      <c r="C4978" s="63" t="s">
        <v>3145</v>
      </c>
      <c r="D4978" s="108" t="s">
        <v>3590</v>
      </c>
      <c r="E4978" s="58">
        <v>19000</v>
      </c>
      <c r="F4978" s="58"/>
      <c r="G4978" s="58">
        <f t="shared" si="81"/>
        <v>-19000</v>
      </c>
      <c r="H4978" s="121" t="s">
        <v>3394</v>
      </c>
    </row>
    <row r="4979" spans="1:8" ht="15" x14ac:dyDescent="0.2">
      <c r="A4979" s="597">
        <v>43243</v>
      </c>
      <c r="B4979" s="41" t="s">
        <v>2787</v>
      </c>
      <c r="C4979" s="63" t="s">
        <v>3145</v>
      </c>
      <c r="D4979" s="108" t="s">
        <v>3591</v>
      </c>
      <c r="E4979" s="58">
        <v>9000</v>
      </c>
      <c r="F4979" s="58"/>
      <c r="G4979" s="58">
        <f t="shared" si="81"/>
        <v>-9000</v>
      </c>
      <c r="H4979" s="121" t="s">
        <v>3394</v>
      </c>
    </row>
    <row r="4980" spans="1:8" ht="15" x14ac:dyDescent="0.2">
      <c r="A4980" s="597">
        <v>43243</v>
      </c>
      <c r="B4980" s="41" t="s">
        <v>2933</v>
      </c>
      <c r="C4980" s="63" t="s">
        <v>3145</v>
      </c>
      <c r="D4980" s="108" t="s">
        <v>3591</v>
      </c>
      <c r="E4980" s="58">
        <v>9000</v>
      </c>
      <c r="F4980" s="58"/>
      <c r="G4980" s="58">
        <f t="shared" si="81"/>
        <v>-9000</v>
      </c>
      <c r="H4980" s="121" t="s">
        <v>3394</v>
      </c>
    </row>
    <row r="4981" spans="1:8" ht="15" x14ac:dyDescent="0.2">
      <c r="A4981" s="597">
        <v>43246</v>
      </c>
      <c r="B4981" s="41" t="s">
        <v>2787</v>
      </c>
      <c r="C4981" s="63" t="s">
        <v>3145</v>
      </c>
      <c r="D4981" s="108" t="s">
        <v>3592</v>
      </c>
      <c r="E4981" s="58">
        <v>14030</v>
      </c>
      <c r="F4981" s="58"/>
      <c r="G4981" s="58">
        <f t="shared" si="81"/>
        <v>-14030</v>
      </c>
      <c r="H4981" s="121" t="s">
        <v>3394</v>
      </c>
    </row>
    <row r="4982" spans="1:8" ht="15" x14ac:dyDescent="0.2">
      <c r="A4982" s="597">
        <v>43244</v>
      </c>
      <c r="B4982" s="41" t="s">
        <v>2787</v>
      </c>
      <c r="C4982" s="63" t="s">
        <v>3145</v>
      </c>
      <c r="D4982" s="108" t="s">
        <v>3593</v>
      </c>
      <c r="E4982" s="58">
        <v>32560</v>
      </c>
      <c r="F4982" s="58"/>
      <c r="G4982" s="58">
        <f t="shared" si="81"/>
        <v>-32560</v>
      </c>
      <c r="H4982" s="121" t="s">
        <v>3394</v>
      </c>
    </row>
    <row r="4983" spans="1:8" ht="15" x14ac:dyDescent="0.2">
      <c r="A4983" s="597">
        <v>43244</v>
      </c>
      <c r="B4983" s="41" t="s">
        <v>2787</v>
      </c>
      <c r="C4983" s="63" t="s">
        <v>3149</v>
      </c>
      <c r="D4983" s="108" t="s">
        <v>3369</v>
      </c>
      <c r="E4983" s="58">
        <v>450</v>
      </c>
      <c r="F4983" s="58"/>
      <c r="G4983" s="58">
        <f t="shared" si="81"/>
        <v>-450</v>
      </c>
      <c r="H4983" s="121" t="s">
        <v>3394</v>
      </c>
    </row>
    <row r="4984" spans="1:8" ht="15" x14ac:dyDescent="0.2">
      <c r="A4984" s="597">
        <v>43244</v>
      </c>
      <c r="B4984" s="41" t="s">
        <v>16</v>
      </c>
      <c r="C4984" s="63" t="s">
        <v>3145</v>
      </c>
      <c r="D4984" s="108" t="s">
        <v>3620</v>
      </c>
      <c r="E4984" s="58">
        <v>2230</v>
      </c>
      <c r="F4984" s="58"/>
      <c r="G4984" s="58">
        <f t="shared" si="81"/>
        <v>-2230</v>
      </c>
      <c r="H4984" s="121" t="s">
        <v>3394</v>
      </c>
    </row>
    <row r="4985" spans="1:8" ht="15" x14ac:dyDescent="0.2">
      <c r="A4985" s="597">
        <v>43244</v>
      </c>
      <c r="B4985" s="41" t="s">
        <v>2787</v>
      </c>
      <c r="C4985" s="63" t="s">
        <v>3145</v>
      </c>
      <c r="D4985" s="108" t="s">
        <v>3594</v>
      </c>
      <c r="E4985" s="58">
        <v>24500</v>
      </c>
      <c r="F4985" s="58"/>
      <c r="G4985" s="58">
        <f t="shared" si="81"/>
        <v>-24500</v>
      </c>
      <c r="H4985" s="121" t="s">
        <v>3394</v>
      </c>
    </row>
    <row r="4986" spans="1:8" ht="15" x14ac:dyDescent="0.2">
      <c r="A4986" s="597">
        <v>43244</v>
      </c>
      <c r="B4986" s="41" t="s">
        <v>40</v>
      </c>
      <c r="C4986" s="63" t="s">
        <v>3145</v>
      </c>
      <c r="D4986" s="108" t="s">
        <v>3595</v>
      </c>
      <c r="E4986" s="58">
        <v>18325</v>
      </c>
      <c r="F4986" s="58"/>
      <c r="G4986" s="58">
        <f t="shared" si="81"/>
        <v>-18325</v>
      </c>
      <c r="H4986" s="121" t="s">
        <v>3394</v>
      </c>
    </row>
    <row r="4987" spans="1:8" ht="15" x14ac:dyDescent="0.2">
      <c r="A4987" s="597">
        <v>43244</v>
      </c>
      <c r="B4987" s="41" t="s">
        <v>40</v>
      </c>
      <c r="C4987" s="63" t="s">
        <v>3145</v>
      </c>
      <c r="D4987" s="108" t="s">
        <v>3596</v>
      </c>
      <c r="E4987" s="58">
        <v>1755</v>
      </c>
      <c r="F4987" s="58"/>
      <c r="G4987" s="58">
        <f t="shared" si="81"/>
        <v>-1755</v>
      </c>
      <c r="H4987" s="121" t="s">
        <v>3394</v>
      </c>
    </row>
    <row r="4988" spans="1:8" ht="15" x14ac:dyDescent="0.2">
      <c r="A4988" s="597">
        <v>43251</v>
      </c>
      <c r="B4988" s="41" t="s">
        <v>2787</v>
      </c>
      <c r="C4988" s="63" t="s">
        <v>3145</v>
      </c>
      <c r="D4988" s="108" t="s">
        <v>3597</v>
      </c>
      <c r="E4988" s="58">
        <v>25390</v>
      </c>
      <c r="F4988" s="58"/>
      <c r="G4988" s="58">
        <f t="shared" si="81"/>
        <v>-25390</v>
      </c>
      <c r="H4988" s="121" t="s">
        <v>3394</v>
      </c>
    </row>
    <row r="4989" spans="1:8" ht="15" x14ac:dyDescent="0.2">
      <c r="A4989" s="597">
        <v>43251</v>
      </c>
      <c r="B4989" s="41" t="s">
        <v>2787</v>
      </c>
      <c r="C4989" s="63" t="s">
        <v>3145</v>
      </c>
      <c r="D4989" s="108" t="s">
        <v>3598</v>
      </c>
      <c r="E4989" s="58">
        <v>9980</v>
      </c>
      <c r="F4989" s="58"/>
      <c r="G4989" s="58">
        <f t="shared" si="81"/>
        <v>-9980</v>
      </c>
      <c r="H4989" s="121" t="s">
        <v>3394</v>
      </c>
    </row>
    <row r="4990" spans="1:8" ht="15" x14ac:dyDescent="0.2">
      <c r="A4990" s="597">
        <v>43251</v>
      </c>
      <c r="B4990" s="41" t="s">
        <v>1400</v>
      </c>
      <c r="C4990" s="63" t="s">
        <v>3145</v>
      </c>
      <c r="D4990" s="108" t="s">
        <v>2159</v>
      </c>
      <c r="E4990" s="58">
        <v>2520</v>
      </c>
      <c r="F4990" s="58"/>
      <c r="G4990" s="58">
        <f t="shared" si="81"/>
        <v>-2520</v>
      </c>
      <c r="H4990" s="121" t="s">
        <v>3394</v>
      </c>
    </row>
    <row r="4991" spans="1:8" ht="15" x14ac:dyDescent="0.2">
      <c r="A4991" s="597">
        <v>43251</v>
      </c>
      <c r="B4991" s="41" t="s">
        <v>3144</v>
      </c>
      <c r="C4991" s="63" t="s">
        <v>3145</v>
      </c>
      <c r="D4991" s="108" t="s">
        <v>3599</v>
      </c>
      <c r="E4991" s="58">
        <v>7350</v>
      </c>
      <c r="F4991" s="58"/>
      <c r="G4991" s="58">
        <f t="shared" si="81"/>
        <v>-7350</v>
      </c>
      <c r="H4991" s="121" t="s">
        <v>3394</v>
      </c>
    </row>
    <row r="4992" spans="1:8" ht="15" customHeight="1" x14ac:dyDescent="0.2">
      <c r="A4992" s="597">
        <v>43251</v>
      </c>
      <c r="B4992" s="41" t="s">
        <v>2787</v>
      </c>
      <c r="C4992" s="63" t="s">
        <v>392</v>
      </c>
      <c r="D4992" s="108" t="s">
        <v>3600</v>
      </c>
      <c r="E4992" s="58">
        <v>800</v>
      </c>
      <c r="F4992" s="58"/>
      <c r="G4992" s="58">
        <f t="shared" si="81"/>
        <v>-800</v>
      </c>
      <c r="H4992" s="121" t="s">
        <v>3394</v>
      </c>
    </row>
    <row r="4993" spans="1:8" ht="15" x14ac:dyDescent="0.2">
      <c r="A4993" s="597">
        <v>43251</v>
      </c>
      <c r="B4993" s="41" t="s">
        <v>2787</v>
      </c>
      <c r="C4993" s="63" t="s">
        <v>3145</v>
      </c>
      <c r="D4993" s="108" t="s">
        <v>3601</v>
      </c>
      <c r="E4993" s="58">
        <v>26941</v>
      </c>
      <c r="F4993" s="58"/>
      <c r="G4993" s="58">
        <f t="shared" si="81"/>
        <v>-26941</v>
      </c>
      <c r="H4993" s="121" t="s">
        <v>3394</v>
      </c>
    </row>
    <row r="4994" spans="1:8" ht="15" x14ac:dyDescent="0.2">
      <c r="A4994" s="597">
        <v>43251</v>
      </c>
      <c r="B4994" s="41" t="s">
        <v>2787</v>
      </c>
      <c r="C4994" s="63" t="s">
        <v>3145</v>
      </c>
      <c r="D4994" s="108" t="s">
        <v>3602</v>
      </c>
      <c r="E4994" s="58">
        <v>7480</v>
      </c>
      <c r="F4994" s="58"/>
      <c r="G4994" s="58">
        <f t="shared" si="81"/>
        <v>-7480</v>
      </c>
      <c r="H4994" s="121" t="s">
        <v>3394</v>
      </c>
    </row>
    <row r="4995" spans="1:8" ht="15" x14ac:dyDescent="0.2">
      <c r="A4995" s="604">
        <v>43223</v>
      </c>
      <c r="B4995" s="174" t="s">
        <v>1400</v>
      </c>
      <c r="C4995" s="174" t="s">
        <v>2515</v>
      </c>
      <c r="D4995" s="118" t="s">
        <v>3398</v>
      </c>
      <c r="E4995" s="236">
        <v>60000</v>
      </c>
      <c r="F4995" s="236"/>
      <c r="G4995" s="236">
        <f t="shared" si="81"/>
        <v>-60000</v>
      </c>
      <c r="H4995" s="260" t="s">
        <v>3394</v>
      </c>
    </row>
    <row r="4996" spans="1:8" ht="15" x14ac:dyDescent="0.2">
      <c r="A4996" s="604">
        <v>43223</v>
      </c>
      <c r="B4996" s="174" t="s">
        <v>2787</v>
      </c>
      <c r="C4996" s="174" t="s">
        <v>2515</v>
      </c>
      <c r="D4996" s="118" t="s">
        <v>3398</v>
      </c>
      <c r="E4996" s="236">
        <v>65000</v>
      </c>
      <c r="F4996" s="236"/>
      <c r="G4996" s="236">
        <f t="shared" si="81"/>
        <v>-65000</v>
      </c>
      <c r="H4996" s="260" t="s">
        <v>3394</v>
      </c>
    </row>
    <row r="4997" spans="1:8" ht="15" x14ac:dyDescent="0.2">
      <c r="A4997" s="604">
        <v>43223</v>
      </c>
      <c r="B4997" s="174" t="s">
        <v>2787</v>
      </c>
      <c r="C4997" s="174" t="s">
        <v>573</v>
      </c>
      <c r="D4997" s="118" t="s">
        <v>3399</v>
      </c>
      <c r="E4997" s="236">
        <v>1000000</v>
      </c>
      <c r="F4997" s="236"/>
      <c r="G4997" s="236">
        <f t="shared" si="81"/>
        <v>-1000000</v>
      </c>
      <c r="H4997" s="260" t="s">
        <v>3394</v>
      </c>
    </row>
    <row r="4998" spans="1:8" ht="24" x14ac:dyDescent="0.2">
      <c r="A4998" s="604">
        <v>43223</v>
      </c>
      <c r="B4998" s="174" t="s">
        <v>1400</v>
      </c>
      <c r="C4998" s="174" t="s">
        <v>3145</v>
      </c>
      <c r="D4998" s="118" t="s">
        <v>3400</v>
      </c>
      <c r="E4998" s="236">
        <v>36000</v>
      </c>
      <c r="F4998" s="236"/>
      <c r="G4998" s="236">
        <f t="shared" si="81"/>
        <v>-36000</v>
      </c>
      <c r="H4998" s="260" t="s">
        <v>3394</v>
      </c>
    </row>
    <row r="4999" spans="1:8" ht="15" x14ac:dyDescent="0.2">
      <c r="A4999" s="604">
        <v>43223</v>
      </c>
      <c r="B4999" s="174" t="s">
        <v>2933</v>
      </c>
      <c r="C4999" s="174" t="s">
        <v>3145</v>
      </c>
      <c r="D4999" s="118" t="s">
        <v>3402</v>
      </c>
      <c r="E4999" s="236">
        <v>39932</v>
      </c>
      <c r="F4999" s="236"/>
      <c r="G4999" s="236">
        <f t="shared" si="81"/>
        <v>-39932</v>
      </c>
      <c r="H4999" s="260" t="s">
        <v>3394</v>
      </c>
    </row>
    <row r="5000" spans="1:8" ht="15" x14ac:dyDescent="0.2">
      <c r="A5000" s="604">
        <v>43224</v>
      </c>
      <c r="B5000" s="174" t="s">
        <v>2933</v>
      </c>
      <c r="C5000" s="174" t="s">
        <v>3112</v>
      </c>
      <c r="D5000" s="118" t="s">
        <v>3408</v>
      </c>
      <c r="E5000" s="236">
        <v>200000</v>
      </c>
      <c r="F5000" s="236"/>
      <c r="G5000" s="236">
        <f t="shared" si="81"/>
        <v>-200000</v>
      </c>
      <c r="H5000" s="260" t="s">
        <v>3394</v>
      </c>
    </row>
    <row r="5001" spans="1:8" ht="15" x14ac:dyDescent="0.2">
      <c r="A5001" s="604">
        <v>43224</v>
      </c>
      <c r="B5001" s="174" t="s">
        <v>2787</v>
      </c>
      <c r="C5001" s="174" t="s">
        <v>1875</v>
      </c>
      <c r="D5001" s="118" t="s">
        <v>3409</v>
      </c>
      <c r="E5001" s="236">
        <v>13000</v>
      </c>
      <c r="F5001" s="236"/>
      <c r="G5001" s="236">
        <f t="shared" ref="G5001:G5064" si="82">F5001-E5001</f>
        <v>-13000</v>
      </c>
      <c r="H5001" s="260" t="s">
        <v>3394</v>
      </c>
    </row>
    <row r="5002" spans="1:8" ht="15" x14ac:dyDescent="0.2">
      <c r="A5002" s="604">
        <v>43224</v>
      </c>
      <c r="B5002" s="174" t="s">
        <v>2933</v>
      </c>
      <c r="C5002" s="174" t="s">
        <v>1875</v>
      </c>
      <c r="D5002" s="118" t="s">
        <v>3410</v>
      </c>
      <c r="E5002" s="236">
        <v>150000</v>
      </c>
      <c r="F5002" s="236"/>
      <c r="G5002" s="236">
        <f t="shared" si="82"/>
        <v>-150000</v>
      </c>
      <c r="H5002" s="260" t="s">
        <v>3394</v>
      </c>
    </row>
    <row r="5003" spans="1:8" ht="15" x14ac:dyDescent="0.2">
      <c r="A5003" s="604">
        <v>43224</v>
      </c>
      <c r="B5003" s="174" t="s">
        <v>18</v>
      </c>
      <c r="C5003" s="174" t="s">
        <v>1803</v>
      </c>
      <c r="D5003" s="118" t="s">
        <v>3403</v>
      </c>
      <c r="E5003" s="236">
        <v>6600</v>
      </c>
      <c r="F5003" s="236"/>
      <c r="G5003" s="236">
        <f t="shared" si="82"/>
        <v>-6600</v>
      </c>
      <c r="H5003" s="260" t="s">
        <v>3394</v>
      </c>
    </row>
    <row r="5004" spans="1:8" ht="15" x14ac:dyDescent="0.2">
      <c r="A5004" s="604">
        <v>43224</v>
      </c>
      <c r="B5004" s="174" t="s">
        <v>2548</v>
      </c>
      <c r="C5004" s="174" t="s">
        <v>1803</v>
      </c>
      <c r="D5004" s="118" t="s">
        <v>3403</v>
      </c>
      <c r="E5004" s="236">
        <v>25322</v>
      </c>
      <c r="F5004" s="236"/>
      <c r="G5004" s="236">
        <f t="shared" si="82"/>
        <v>-25322</v>
      </c>
      <c r="H5004" s="260" t="s">
        <v>3394</v>
      </c>
    </row>
    <row r="5005" spans="1:8" ht="15" x14ac:dyDescent="0.2">
      <c r="A5005" s="604">
        <v>43224</v>
      </c>
      <c r="B5005" s="174" t="s">
        <v>1400</v>
      </c>
      <c r="C5005" s="174" t="s">
        <v>1803</v>
      </c>
      <c r="D5005" s="118" t="s">
        <v>3403</v>
      </c>
      <c r="E5005" s="236">
        <v>39505</v>
      </c>
      <c r="F5005" s="236"/>
      <c r="G5005" s="236">
        <f t="shared" si="82"/>
        <v>-39505</v>
      </c>
      <c r="H5005" s="260" t="s">
        <v>3394</v>
      </c>
    </row>
    <row r="5006" spans="1:8" ht="15" x14ac:dyDescent="0.2">
      <c r="A5006" s="604">
        <v>43225</v>
      </c>
      <c r="B5006" s="174" t="s">
        <v>2933</v>
      </c>
      <c r="C5006" s="174" t="s">
        <v>2196</v>
      </c>
      <c r="D5006" s="118" t="s">
        <v>3406</v>
      </c>
      <c r="E5006" s="236">
        <v>99377</v>
      </c>
      <c r="F5006" s="236"/>
      <c r="G5006" s="236">
        <f t="shared" si="82"/>
        <v>-99377</v>
      </c>
      <c r="H5006" s="260" t="s">
        <v>3394</v>
      </c>
    </row>
    <row r="5007" spans="1:8" ht="15" x14ac:dyDescent="0.2">
      <c r="A5007" s="604">
        <v>43225</v>
      </c>
      <c r="B5007" s="174" t="s">
        <v>2548</v>
      </c>
      <c r="C5007" s="174" t="s">
        <v>2196</v>
      </c>
      <c r="D5007" s="118" t="s">
        <v>3406</v>
      </c>
      <c r="E5007" s="236">
        <v>2800</v>
      </c>
      <c r="F5007" s="236"/>
      <c r="G5007" s="236">
        <f t="shared" si="82"/>
        <v>-2800</v>
      </c>
      <c r="H5007" s="260" t="s">
        <v>3394</v>
      </c>
    </row>
    <row r="5008" spans="1:8" ht="15" x14ac:dyDescent="0.2">
      <c r="A5008" s="604">
        <v>43225</v>
      </c>
      <c r="B5008" s="174" t="s">
        <v>1400</v>
      </c>
      <c r="C5008" s="174" t="s">
        <v>2196</v>
      </c>
      <c r="D5008" s="118" t="s">
        <v>3406</v>
      </c>
      <c r="E5008" s="236">
        <v>42523</v>
      </c>
      <c r="F5008" s="236"/>
      <c r="G5008" s="236">
        <f t="shared" si="82"/>
        <v>-42523</v>
      </c>
      <c r="H5008" s="260" t="s">
        <v>3394</v>
      </c>
    </row>
    <row r="5009" spans="1:8" ht="15" x14ac:dyDescent="0.2">
      <c r="A5009" s="604">
        <v>43225</v>
      </c>
      <c r="B5009" s="174" t="s">
        <v>2787</v>
      </c>
      <c r="C5009" s="174" t="s">
        <v>705</v>
      </c>
      <c r="D5009" s="118" t="s">
        <v>3404</v>
      </c>
      <c r="E5009" s="236">
        <v>19050</v>
      </c>
      <c r="F5009" s="236"/>
      <c r="G5009" s="236">
        <f t="shared" si="82"/>
        <v>-19050</v>
      </c>
      <c r="H5009" s="260" t="s">
        <v>3394</v>
      </c>
    </row>
    <row r="5010" spans="1:8" ht="15" x14ac:dyDescent="0.2">
      <c r="A5010" s="604">
        <v>43225</v>
      </c>
      <c r="B5010" s="174" t="s">
        <v>40</v>
      </c>
      <c r="C5010" s="174" t="s">
        <v>705</v>
      </c>
      <c r="D5010" s="118" t="s">
        <v>3404</v>
      </c>
      <c r="E5010" s="236">
        <v>13321</v>
      </c>
      <c r="F5010" s="236"/>
      <c r="G5010" s="236">
        <f t="shared" si="82"/>
        <v>-13321</v>
      </c>
      <c r="H5010" s="260" t="s">
        <v>3394</v>
      </c>
    </row>
    <row r="5011" spans="1:8" ht="15" x14ac:dyDescent="0.2">
      <c r="A5011" s="604">
        <v>43225</v>
      </c>
      <c r="B5011" s="174" t="s">
        <v>14</v>
      </c>
      <c r="C5011" s="174" t="s">
        <v>705</v>
      </c>
      <c r="D5011" s="118" t="s">
        <v>3404</v>
      </c>
      <c r="E5011" s="236">
        <v>5408</v>
      </c>
      <c r="F5011" s="236"/>
      <c r="G5011" s="236">
        <f t="shared" si="82"/>
        <v>-5408</v>
      </c>
      <c r="H5011" s="260" t="s">
        <v>3394</v>
      </c>
    </row>
    <row r="5012" spans="1:8" ht="15" x14ac:dyDescent="0.2">
      <c r="A5012" s="604">
        <v>43225</v>
      </c>
      <c r="B5012" s="174" t="s">
        <v>1400</v>
      </c>
      <c r="C5012" s="174" t="s">
        <v>705</v>
      </c>
      <c r="D5012" s="118" t="s">
        <v>3404</v>
      </c>
      <c r="E5012" s="236">
        <v>105326</v>
      </c>
      <c r="F5012" s="236"/>
      <c r="G5012" s="236">
        <f t="shared" si="82"/>
        <v>-105326</v>
      </c>
      <c r="H5012" s="260" t="s">
        <v>3394</v>
      </c>
    </row>
    <row r="5013" spans="1:8" ht="15" x14ac:dyDescent="0.2">
      <c r="A5013" s="604">
        <v>43225</v>
      </c>
      <c r="B5013" s="174" t="s">
        <v>14</v>
      </c>
      <c r="C5013" s="174" t="s">
        <v>164</v>
      </c>
      <c r="D5013" s="118" t="s">
        <v>3405</v>
      </c>
      <c r="E5013" s="236">
        <v>3245</v>
      </c>
      <c r="F5013" s="236"/>
      <c r="G5013" s="236">
        <f t="shared" si="82"/>
        <v>-3245</v>
      </c>
      <c r="H5013" s="260" t="s">
        <v>3394</v>
      </c>
    </row>
    <row r="5014" spans="1:8" ht="15" x14ac:dyDescent="0.2">
      <c r="A5014" s="604">
        <v>43225</v>
      </c>
      <c r="B5014" s="174" t="s">
        <v>2787</v>
      </c>
      <c r="C5014" s="174" t="s">
        <v>164</v>
      </c>
      <c r="D5014" s="118" t="s">
        <v>3405</v>
      </c>
      <c r="E5014" s="236">
        <v>27172</v>
      </c>
      <c r="F5014" s="236"/>
      <c r="G5014" s="236">
        <f t="shared" si="82"/>
        <v>-27172</v>
      </c>
      <c r="H5014" s="260" t="s">
        <v>3394</v>
      </c>
    </row>
    <row r="5015" spans="1:8" ht="15" x14ac:dyDescent="0.2">
      <c r="A5015" s="604">
        <v>43225</v>
      </c>
      <c r="B5015" s="174" t="s">
        <v>1400</v>
      </c>
      <c r="C5015" s="174" t="s">
        <v>164</v>
      </c>
      <c r="D5015" s="118" t="s">
        <v>3405</v>
      </c>
      <c r="E5015" s="236">
        <v>107082</v>
      </c>
      <c r="F5015" s="236"/>
      <c r="G5015" s="236">
        <f t="shared" si="82"/>
        <v>-107082</v>
      </c>
      <c r="H5015" s="260" t="s">
        <v>3394</v>
      </c>
    </row>
    <row r="5016" spans="1:8" ht="15" x14ac:dyDescent="0.2">
      <c r="A5016" s="604">
        <v>43225</v>
      </c>
      <c r="B5016" s="174" t="s">
        <v>2787</v>
      </c>
      <c r="C5016" s="174" t="s">
        <v>2289</v>
      </c>
      <c r="D5016" s="118" t="s">
        <v>3412</v>
      </c>
      <c r="E5016" s="236">
        <v>200000</v>
      </c>
      <c r="F5016" s="236"/>
      <c r="G5016" s="236">
        <f t="shared" si="82"/>
        <v>-200000</v>
      </c>
      <c r="H5016" s="260" t="s">
        <v>3394</v>
      </c>
    </row>
    <row r="5017" spans="1:8" ht="15" customHeight="1" x14ac:dyDescent="0.2">
      <c r="A5017" s="604">
        <v>43225</v>
      </c>
      <c r="B5017" s="174" t="s">
        <v>1400</v>
      </c>
      <c r="C5017" s="174" t="s">
        <v>3145</v>
      </c>
      <c r="D5017" s="118" t="s">
        <v>3413</v>
      </c>
      <c r="E5017" s="236">
        <v>55000</v>
      </c>
      <c r="F5017" s="236"/>
      <c r="G5017" s="236">
        <f t="shared" si="82"/>
        <v>-55000</v>
      </c>
      <c r="H5017" s="260" t="s">
        <v>3394</v>
      </c>
    </row>
    <row r="5018" spans="1:8" ht="15" x14ac:dyDescent="0.2">
      <c r="A5018" s="604">
        <v>43226</v>
      </c>
      <c r="B5018" s="174" t="s">
        <v>2787</v>
      </c>
      <c r="C5018" s="174" t="s">
        <v>540</v>
      </c>
      <c r="D5018" s="118" t="s">
        <v>3414</v>
      </c>
      <c r="E5018" s="236">
        <v>50000</v>
      </c>
      <c r="F5018" s="236"/>
      <c r="G5018" s="236">
        <f t="shared" si="82"/>
        <v>-50000</v>
      </c>
      <c r="H5018" s="260" t="s">
        <v>3394</v>
      </c>
    </row>
    <row r="5019" spans="1:8" ht="15" x14ac:dyDescent="0.2">
      <c r="A5019" s="604">
        <v>43226</v>
      </c>
      <c r="B5019" s="174" t="s">
        <v>40</v>
      </c>
      <c r="C5019" s="174" t="s">
        <v>540</v>
      </c>
      <c r="D5019" s="118" t="s">
        <v>3414</v>
      </c>
      <c r="E5019" s="236">
        <v>15000</v>
      </c>
      <c r="F5019" s="236"/>
      <c r="G5019" s="236">
        <f t="shared" si="82"/>
        <v>-15000</v>
      </c>
      <c r="H5019" s="260" t="s">
        <v>3394</v>
      </c>
    </row>
    <row r="5020" spans="1:8" ht="15" x14ac:dyDescent="0.2">
      <c r="A5020" s="604">
        <v>43226</v>
      </c>
      <c r="B5020" s="174" t="s">
        <v>2933</v>
      </c>
      <c r="C5020" s="174" t="s">
        <v>3416</v>
      </c>
      <c r="D5020" s="118" t="s">
        <v>3415</v>
      </c>
      <c r="E5020" s="236">
        <v>1000000</v>
      </c>
      <c r="F5020" s="236"/>
      <c r="G5020" s="236">
        <f t="shared" si="82"/>
        <v>-1000000</v>
      </c>
      <c r="H5020" s="260" t="s">
        <v>3394</v>
      </c>
    </row>
    <row r="5021" spans="1:8" ht="15" x14ac:dyDescent="0.2">
      <c r="A5021" s="604">
        <v>43227</v>
      </c>
      <c r="B5021" s="174" t="s">
        <v>1400</v>
      </c>
      <c r="C5021" s="174" t="s">
        <v>2386</v>
      </c>
      <c r="D5021" s="118" t="s">
        <v>3417</v>
      </c>
      <c r="E5021" s="236">
        <v>50000</v>
      </c>
      <c r="F5021" s="236"/>
      <c r="G5021" s="236">
        <f t="shared" si="82"/>
        <v>-50000</v>
      </c>
      <c r="H5021" s="260" t="s">
        <v>3394</v>
      </c>
    </row>
    <row r="5022" spans="1:8" ht="15" x14ac:dyDescent="0.2">
      <c r="A5022" s="604">
        <v>43229</v>
      </c>
      <c r="B5022" s="174" t="s">
        <v>2787</v>
      </c>
      <c r="C5022" s="174" t="s">
        <v>3011</v>
      </c>
      <c r="D5022" s="118" t="s">
        <v>3418</v>
      </c>
      <c r="E5022" s="236">
        <v>300000</v>
      </c>
      <c r="F5022" s="236"/>
      <c r="G5022" s="236">
        <f t="shared" si="82"/>
        <v>-300000</v>
      </c>
      <c r="H5022" s="260" t="s">
        <v>3394</v>
      </c>
    </row>
    <row r="5023" spans="1:8" ht="15" x14ac:dyDescent="0.2">
      <c r="A5023" s="604">
        <v>43229</v>
      </c>
      <c r="B5023" s="174" t="s">
        <v>2787</v>
      </c>
      <c r="C5023" s="174" t="s">
        <v>251</v>
      </c>
      <c r="D5023" s="118" t="s">
        <v>3419</v>
      </c>
      <c r="E5023" s="236">
        <v>75000</v>
      </c>
      <c r="F5023" s="236"/>
      <c r="G5023" s="236">
        <f t="shared" si="82"/>
        <v>-75000</v>
      </c>
      <c r="H5023" s="260" t="s">
        <v>3394</v>
      </c>
    </row>
    <row r="5024" spans="1:8" ht="15" x14ac:dyDescent="0.2">
      <c r="A5024" s="604">
        <v>43229</v>
      </c>
      <c r="B5024" s="174" t="s">
        <v>1400</v>
      </c>
      <c r="C5024" s="174" t="s">
        <v>2601</v>
      </c>
      <c r="D5024" s="118" t="s">
        <v>3420</v>
      </c>
      <c r="E5024" s="236">
        <v>74800</v>
      </c>
      <c r="F5024" s="236"/>
      <c r="G5024" s="236">
        <f t="shared" si="82"/>
        <v>-74800</v>
      </c>
      <c r="H5024" s="260" t="s">
        <v>3394</v>
      </c>
    </row>
    <row r="5025" spans="1:8" ht="15" x14ac:dyDescent="0.2">
      <c r="A5025" s="604">
        <v>43229</v>
      </c>
      <c r="B5025" s="174" t="s">
        <v>1400</v>
      </c>
      <c r="C5025" s="174" t="s">
        <v>1687</v>
      </c>
      <c r="D5025" s="118" t="s">
        <v>3421</v>
      </c>
      <c r="E5025" s="236">
        <v>25000</v>
      </c>
      <c r="F5025" s="236"/>
      <c r="G5025" s="236">
        <f t="shared" si="82"/>
        <v>-25000</v>
      </c>
      <c r="H5025" s="260" t="s">
        <v>3394</v>
      </c>
    </row>
    <row r="5026" spans="1:8" ht="15" x14ac:dyDescent="0.2">
      <c r="A5026" s="604">
        <v>43229</v>
      </c>
      <c r="B5026" s="174" t="s">
        <v>2787</v>
      </c>
      <c r="C5026" s="174" t="s">
        <v>5187</v>
      </c>
      <c r="D5026" s="118" t="s">
        <v>3422</v>
      </c>
      <c r="E5026" s="236">
        <v>200000</v>
      </c>
      <c r="F5026" s="236"/>
      <c r="G5026" s="236">
        <f t="shared" si="82"/>
        <v>-200000</v>
      </c>
      <c r="H5026" s="260" t="s">
        <v>3394</v>
      </c>
    </row>
    <row r="5027" spans="1:8" ht="15" x14ac:dyDescent="0.2">
      <c r="A5027" s="604">
        <v>43229</v>
      </c>
      <c r="B5027" s="174" t="s">
        <v>1400</v>
      </c>
      <c r="C5027" s="174" t="s">
        <v>3423</v>
      </c>
      <c r="D5027" s="118" t="s">
        <v>3560</v>
      </c>
      <c r="E5027" s="236">
        <f>850000/2</f>
        <v>425000</v>
      </c>
      <c r="F5027" s="236"/>
      <c r="G5027" s="236">
        <f t="shared" si="82"/>
        <v>-425000</v>
      </c>
      <c r="H5027" s="260" t="s">
        <v>3394</v>
      </c>
    </row>
    <row r="5028" spans="1:8" ht="15" x14ac:dyDescent="0.2">
      <c r="A5028" s="604">
        <v>43229</v>
      </c>
      <c r="B5028" s="174" t="s">
        <v>2933</v>
      </c>
      <c r="C5028" s="174" t="s">
        <v>3423</v>
      </c>
      <c r="D5028" s="118" t="s">
        <v>3560</v>
      </c>
      <c r="E5028" s="236">
        <f>850000/2</f>
        <v>425000</v>
      </c>
      <c r="F5028" s="236"/>
      <c r="G5028" s="236">
        <f t="shared" si="82"/>
        <v>-425000</v>
      </c>
      <c r="H5028" s="260" t="s">
        <v>3394</v>
      </c>
    </row>
    <row r="5029" spans="1:8" ht="15" x14ac:dyDescent="0.2">
      <c r="A5029" s="604">
        <v>43229</v>
      </c>
      <c r="B5029" s="174" t="s">
        <v>2787</v>
      </c>
      <c r="C5029" s="174" t="s">
        <v>1875</v>
      </c>
      <c r="D5029" s="118" t="s">
        <v>3424</v>
      </c>
      <c r="E5029" s="236">
        <v>10000</v>
      </c>
      <c r="F5029" s="236"/>
      <c r="G5029" s="236">
        <f t="shared" si="82"/>
        <v>-10000</v>
      </c>
      <c r="H5029" s="260" t="s">
        <v>3394</v>
      </c>
    </row>
    <row r="5030" spans="1:8" ht="15" x14ac:dyDescent="0.2">
      <c r="A5030" s="604">
        <v>43229</v>
      </c>
      <c r="B5030" s="174" t="s">
        <v>1400</v>
      </c>
      <c r="C5030" s="174" t="s">
        <v>3275</v>
      </c>
      <c r="D5030" s="118" t="s">
        <v>3425</v>
      </c>
      <c r="E5030" s="236">
        <v>120000</v>
      </c>
      <c r="F5030" s="236"/>
      <c r="G5030" s="236">
        <f t="shared" si="82"/>
        <v>-120000</v>
      </c>
      <c r="H5030" s="260" t="s">
        <v>3394</v>
      </c>
    </row>
    <row r="5031" spans="1:8" ht="15" x14ac:dyDescent="0.2">
      <c r="A5031" s="604">
        <v>43229</v>
      </c>
      <c r="B5031" s="174" t="s">
        <v>2787</v>
      </c>
      <c r="C5031" s="174" t="s">
        <v>2515</v>
      </c>
      <c r="D5031" s="118" t="s">
        <v>3426</v>
      </c>
      <c r="E5031" s="236">
        <v>49000</v>
      </c>
      <c r="F5031" s="236"/>
      <c r="G5031" s="236">
        <f t="shared" si="82"/>
        <v>-49000</v>
      </c>
      <c r="H5031" s="260" t="s">
        <v>3394</v>
      </c>
    </row>
    <row r="5032" spans="1:8" ht="15" x14ac:dyDescent="0.2">
      <c r="A5032" s="604">
        <v>43229</v>
      </c>
      <c r="B5032" s="174" t="s">
        <v>2787</v>
      </c>
      <c r="C5032" s="174" t="s">
        <v>3285</v>
      </c>
      <c r="D5032" s="118" t="s">
        <v>3427</v>
      </c>
      <c r="E5032" s="236">
        <v>256800</v>
      </c>
      <c r="F5032" s="236"/>
      <c r="G5032" s="236">
        <f t="shared" si="82"/>
        <v>-256800</v>
      </c>
      <c r="H5032" s="260" t="s">
        <v>3394</v>
      </c>
    </row>
    <row r="5033" spans="1:8" ht="15" x14ac:dyDescent="0.2">
      <c r="A5033" s="604">
        <v>43229</v>
      </c>
      <c r="B5033" s="174" t="s">
        <v>2933</v>
      </c>
      <c r="C5033" s="174" t="s">
        <v>3428</v>
      </c>
      <c r="D5033" s="118" t="s">
        <v>3429</v>
      </c>
      <c r="E5033" s="236">
        <v>141450</v>
      </c>
      <c r="F5033" s="236"/>
      <c r="G5033" s="236">
        <f t="shared" si="82"/>
        <v>-141450</v>
      </c>
      <c r="H5033" s="260" t="s">
        <v>3394</v>
      </c>
    </row>
    <row r="5034" spans="1:8" ht="15" x14ac:dyDescent="0.2">
      <c r="A5034" s="604">
        <v>43231</v>
      </c>
      <c r="B5034" s="174" t="s">
        <v>40</v>
      </c>
      <c r="C5034" s="174" t="s">
        <v>307</v>
      </c>
      <c r="D5034" s="118" t="s">
        <v>3430</v>
      </c>
      <c r="E5034" s="236">
        <v>50000</v>
      </c>
      <c r="F5034" s="236"/>
      <c r="G5034" s="236">
        <f t="shared" si="82"/>
        <v>-50000</v>
      </c>
      <c r="H5034" s="260" t="s">
        <v>3394</v>
      </c>
    </row>
    <row r="5035" spans="1:8" ht="24" x14ac:dyDescent="0.2">
      <c r="A5035" s="604">
        <v>43236</v>
      </c>
      <c r="B5035" s="174" t="s">
        <v>2933</v>
      </c>
      <c r="C5035" s="174" t="s">
        <v>137</v>
      </c>
      <c r="D5035" s="118" t="s">
        <v>3951</v>
      </c>
      <c r="E5035" s="236">
        <v>500000</v>
      </c>
      <c r="F5035" s="236"/>
      <c r="G5035" s="236">
        <f t="shared" si="82"/>
        <v>-500000</v>
      </c>
      <c r="H5035" s="260" t="s">
        <v>3394</v>
      </c>
    </row>
    <row r="5036" spans="1:8" ht="15" x14ac:dyDescent="0.2">
      <c r="A5036" s="604">
        <v>43236</v>
      </c>
      <c r="B5036" s="174" t="s">
        <v>2787</v>
      </c>
      <c r="C5036" s="174" t="s">
        <v>3446</v>
      </c>
      <c r="D5036" s="118" t="s">
        <v>3447</v>
      </c>
      <c r="E5036" s="236">
        <v>100000</v>
      </c>
      <c r="F5036" s="236"/>
      <c r="G5036" s="236">
        <f t="shared" si="82"/>
        <v>-100000</v>
      </c>
      <c r="H5036" s="260" t="s">
        <v>3394</v>
      </c>
    </row>
    <row r="5037" spans="1:8" ht="15" x14ac:dyDescent="0.2">
      <c r="A5037" s="604">
        <v>43236</v>
      </c>
      <c r="B5037" s="174" t="s">
        <v>2933</v>
      </c>
      <c r="C5037" s="174" t="s">
        <v>794</v>
      </c>
      <c r="D5037" s="118" t="s">
        <v>3448</v>
      </c>
      <c r="E5037" s="236">
        <v>50000</v>
      </c>
      <c r="F5037" s="236"/>
      <c r="G5037" s="236">
        <f t="shared" si="82"/>
        <v>-50000</v>
      </c>
      <c r="H5037" s="260" t="s">
        <v>3394</v>
      </c>
    </row>
    <row r="5038" spans="1:8" ht="15" x14ac:dyDescent="0.2">
      <c r="A5038" s="604">
        <v>43236</v>
      </c>
      <c r="B5038" s="174" t="s">
        <v>2787</v>
      </c>
      <c r="C5038" s="174" t="s">
        <v>929</v>
      </c>
      <c r="D5038" s="118" t="s">
        <v>3449</v>
      </c>
      <c r="E5038" s="236">
        <v>50000</v>
      </c>
      <c r="F5038" s="236"/>
      <c r="G5038" s="236">
        <f t="shared" si="82"/>
        <v>-50000</v>
      </c>
      <c r="H5038" s="260" t="s">
        <v>3394</v>
      </c>
    </row>
    <row r="5039" spans="1:8" ht="15" customHeight="1" x14ac:dyDescent="0.2">
      <c r="A5039" s="604">
        <v>43238</v>
      </c>
      <c r="B5039" s="174" t="s">
        <v>40</v>
      </c>
      <c r="C5039" s="174" t="s">
        <v>895</v>
      </c>
      <c r="D5039" s="118" t="s">
        <v>5985</v>
      </c>
      <c r="E5039" s="236">
        <v>10948</v>
      </c>
      <c r="F5039" s="236"/>
      <c r="G5039" s="236">
        <f t="shared" si="82"/>
        <v>-10948</v>
      </c>
      <c r="H5039" s="260" t="s">
        <v>3394</v>
      </c>
    </row>
    <row r="5040" spans="1:8" ht="15" x14ac:dyDescent="0.2">
      <c r="A5040" s="604">
        <v>43238</v>
      </c>
      <c r="B5040" s="174" t="s">
        <v>2933</v>
      </c>
      <c r="C5040" s="174" t="s">
        <v>895</v>
      </c>
      <c r="D5040" s="118" t="s">
        <v>3450</v>
      </c>
      <c r="E5040" s="236">
        <v>18500</v>
      </c>
      <c r="F5040" s="236"/>
      <c r="G5040" s="236">
        <f t="shared" si="82"/>
        <v>-18500</v>
      </c>
      <c r="H5040" s="260" t="s">
        <v>3394</v>
      </c>
    </row>
    <row r="5041" spans="1:8" ht="15" x14ac:dyDescent="0.2">
      <c r="A5041" s="604">
        <v>43238</v>
      </c>
      <c r="B5041" s="174" t="s">
        <v>2787</v>
      </c>
      <c r="C5041" s="174" t="s">
        <v>895</v>
      </c>
      <c r="D5041" s="118" t="s">
        <v>3450</v>
      </c>
      <c r="E5041" s="236">
        <v>363552</v>
      </c>
      <c r="F5041" s="236"/>
      <c r="G5041" s="236">
        <f t="shared" si="82"/>
        <v>-363552</v>
      </c>
      <c r="H5041" s="260" t="s">
        <v>3394</v>
      </c>
    </row>
    <row r="5042" spans="1:8" ht="15" x14ac:dyDescent="0.2">
      <c r="A5042" s="604">
        <v>43238</v>
      </c>
      <c r="B5042" s="174" t="s">
        <v>2787</v>
      </c>
      <c r="C5042" s="174" t="s">
        <v>3285</v>
      </c>
      <c r="D5042" s="118" t="s">
        <v>3451</v>
      </c>
      <c r="E5042" s="236">
        <v>245000</v>
      </c>
      <c r="F5042" s="236"/>
      <c r="G5042" s="236">
        <f t="shared" si="82"/>
        <v>-245000</v>
      </c>
      <c r="H5042" s="260" t="s">
        <v>3394</v>
      </c>
    </row>
    <row r="5043" spans="1:8" ht="15" x14ac:dyDescent="0.2">
      <c r="A5043" s="604">
        <v>43238</v>
      </c>
      <c r="B5043" s="174" t="s">
        <v>25</v>
      </c>
      <c r="C5043" s="174" t="s">
        <v>1894</v>
      </c>
      <c r="D5043" s="118" t="s">
        <v>3452</v>
      </c>
      <c r="E5043" s="236">
        <v>14150</v>
      </c>
      <c r="F5043" s="236"/>
      <c r="G5043" s="236">
        <f t="shared" si="82"/>
        <v>-14150</v>
      </c>
      <c r="H5043" s="260" t="s">
        <v>3394</v>
      </c>
    </row>
    <row r="5044" spans="1:8" ht="15" x14ac:dyDescent="0.2">
      <c r="A5044" s="604">
        <v>43238</v>
      </c>
      <c r="B5044" s="174" t="s">
        <v>2787</v>
      </c>
      <c r="C5044" s="174" t="s">
        <v>3145</v>
      </c>
      <c r="D5044" s="118" t="s">
        <v>3453</v>
      </c>
      <c r="E5044" s="236">
        <v>25000</v>
      </c>
      <c r="F5044" s="236"/>
      <c r="G5044" s="236">
        <f t="shared" si="82"/>
        <v>-25000</v>
      </c>
      <c r="H5044" s="260" t="s">
        <v>3394</v>
      </c>
    </row>
    <row r="5045" spans="1:8" ht="15" x14ac:dyDescent="0.2">
      <c r="A5045" s="604">
        <v>43239</v>
      </c>
      <c r="B5045" s="174" t="s">
        <v>2787</v>
      </c>
      <c r="C5045" s="174" t="s">
        <v>2338</v>
      </c>
      <c r="D5045" s="118" t="s">
        <v>3454</v>
      </c>
      <c r="E5045" s="236">
        <v>34000</v>
      </c>
      <c r="F5045" s="236"/>
      <c r="G5045" s="236">
        <f t="shared" si="82"/>
        <v>-34000</v>
      </c>
      <c r="H5045" s="260" t="s">
        <v>3394</v>
      </c>
    </row>
    <row r="5046" spans="1:8" ht="24" x14ac:dyDescent="0.2">
      <c r="A5046" s="604">
        <v>43239</v>
      </c>
      <c r="B5046" s="174" t="s">
        <v>2787</v>
      </c>
      <c r="C5046" s="174" t="s">
        <v>2338</v>
      </c>
      <c r="D5046" s="118" t="s">
        <v>3455</v>
      </c>
      <c r="E5046" s="236">
        <v>91176</v>
      </c>
      <c r="F5046" s="236"/>
      <c r="G5046" s="236">
        <f t="shared" si="82"/>
        <v>-91176</v>
      </c>
      <c r="H5046" s="260" t="s">
        <v>3394</v>
      </c>
    </row>
    <row r="5047" spans="1:8" ht="15" x14ac:dyDescent="0.2">
      <c r="A5047" s="604">
        <v>43243</v>
      </c>
      <c r="B5047" s="174" t="s">
        <v>1400</v>
      </c>
      <c r="C5047" s="174" t="s">
        <v>4988</v>
      </c>
      <c r="D5047" s="118" t="s">
        <v>3509</v>
      </c>
      <c r="E5047" s="236">
        <v>194000</v>
      </c>
      <c r="F5047" s="236"/>
      <c r="G5047" s="236">
        <f t="shared" si="82"/>
        <v>-194000</v>
      </c>
      <c r="H5047" s="260" t="s">
        <v>3394</v>
      </c>
    </row>
    <row r="5048" spans="1:8" ht="15" x14ac:dyDescent="0.2">
      <c r="A5048" s="604">
        <v>43243</v>
      </c>
      <c r="B5048" s="174" t="s">
        <v>2787</v>
      </c>
      <c r="C5048" s="174" t="s">
        <v>1875</v>
      </c>
      <c r="D5048" s="118" t="s">
        <v>3510</v>
      </c>
      <c r="E5048" s="236">
        <v>18000</v>
      </c>
      <c r="F5048" s="236"/>
      <c r="G5048" s="236">
        <f t="shared" si="82"/>
        <v>-18000</v>
      </c>
      <c r="H5048" s="260" t="s">
        <v>3394</v>
      </c>
    </row>
    <row r="5049" spans="1:8" ht="15" x14ac:dyDescent="0.2">
      <c r="A5049" s="604">
        <v>43243</v>
      </c>
      <c r="B5049" s="174" t="s">
        <v>2787</v>
      </c>
      <c r="C5049" s="174" t="s">
        <v>3275</v>
      </c>
      <c r="D5049" s="118" t="s">
        <v>3511</v>
      </c>
      <c r="E5049" s="236">
        <v>36000</v>
      </c>
      <c r="F5049" s="236"/>
      <c r="G5049" s="236">
        <f t="shared" si="82"/>
        <v>-36000</v>
      </c>
      <c r="H5049" s="260" t="s">
        <v>3394</v>
      </c>
    </row>
    <row r="5050" spans="1:8" ht="24" x14ac:dyDescent="0.2">
      <c r="A5050" s="604">
        <v>43248</v>
      </c>
      <c r="B5050" s="174" t="s">
        <v>1400</v>
      </c>
      <c r="C5050" s="174" t="s">
        <v>170</v>
      </c>
      <c r="D5050" s="118" t="s">
        <v>3512</v>
      </c>
      <c r="E5050" s="236">
        <v>539782</v>
      </c>
      <c r="F5050" s="236"/>
      <c r="G5050" s="236">
        <f t="shared" si="82"/>
        <v>-539782</v>
      </c>
      <c r="H5050" s="260" t="s">
        <v>3394</v>
      </c>
    </row>
    <row r="5051" spans="1:8" ht="15" x14ac:dyDescent="0.2">
      <c r="A5051" s="604">
        <v>43248</v>
      </c>
      <c r="B5051" s="174" t="s">
        <v>2933</v>
      </c>
      <c r="C5051" s="174" t="s">
        <v>3302</v>
      </c>
      <c r="D5051" s="118" t="s">
        <v>370</v>
      </c>
      <c r="E5051" s="236">
        <v>200000</v>
      </c>
      <c r="F5051" s="236"/>
      <c r="G5051" s="236">
        <f t="shared" si="82"/>
        <v>-200000</v>
      </c>
      <c r="H5051" s="260" t="s">
        <v>3394</v>
      </c>
    </row>
    <row r="5052" spans="1:8" ht="15" x14ac:dyDescent="0.2">
      <c r="A5052" s="604">
        <v>43248</v>
      </c>
      <c r="B5052" s="174" t="s">
        <v>2787</v>
      </c>
      <c r="C5052" s="174" t="s">
        <v>3145</v>
      </c>
      <c r="D5052" s="118" t="s">
        <v>3513</v>
      </c>
      <c r="E5052" s="236">
        <v>240000</v>
      </c>
      <c r="F5052" s="236"/>
      <c r="G5052" s="236">
        <f t="shared" si="82"/>
        <v>-240000</v>
      </c>
      <c r="H5052" s="260" t="s">
        <v>3394</v>
      </c>
    </row>
    <row r="5053" spans="1:8" ht="24" x14ac:dyDescent="0.2">
      <c r="A5053" s="604">
        <v>43248</v>
      </c>
      <c r="B5053" s="174" t="s">
        <v>2787</v>
      </c>
      <c r="C5053" s="174" t="s">
        <v>166</v>
      </c>
      <c r="D5053" s="118" t="s">
        <v>3514</v>
      </c>
      <c r="E5053" s="236">
        <v>500000</v>
      </c>
      <c r="F5053" s="236"/>
      <c r="G5053" s="236">
        <f t="shared" si="82"/>
        <v>-500000</v>
      </c>
      <c r="H5053" s="260" t="s">
        <v>3394</v>
      </c>
    </row>
    <row r="5054" spans="1:8" ht="24" x14ac:dyDescent="0.2">
      <c r="A5054" s="604">
        <v>43248</v>
      </c>
      <c r="B5054" s="174" t="s">
        <v>1400</v>
      </c>
      <c r="C5054" s="174" t="s">
        <v>1815</v>
      </c>
      <c r="D5054" s="118" t="s">
        <v>3515</v>
      </c>
      <c r="E5054" s="236">
        <v>500000</v>
      </c>
      <c r="F5054" s="236"/>
      <c r="G5054" s="236">
        <f t="shared" si="82"/>
        <v>-500000</v>
      </c>
      <c r="H5054" s="260" t="s">
        <v>3394</v>
      </c>
    </row>
    <row r="5055" spans="1:8" ht="15" x14ac:dyDescent="0.2">
      <c r="A5055" s="604">
        <v>43249</v>
      </c>
      <c r="B5055" s="174" t="s">
        <v>2787</v>
      </c>
      <c r="C5055" s="174" t="s">
        <v>3516</v>
      </c>
      <c r="D5055" s="118" t="s">
        <v>3517</v>
      </c>
      <c r="E5055" s="236">
        <v>200000</v>
      </c>
      <c r="F5055" s="236"/>
      <c r="G5055" s="236">
        <f t="shared" si="82"/>
        <v>-200000</v>
      </c>
      <c r="H5055" s="260" t="s">
        <v>3394</v>
      </c>
    </row>
    <row r="5056" spans="1:8" ht="15" x14ac:dyDescent="0.2">
      <c r="A5056" s="604">
        <v>43249</v>
      </c>
      <c r="B5056" s="174" t="s">
        <v>2787</v>
      </c>
      <c r="C5056" s="174" t="s">
        <v>3518</v>
      </c>
      <c r="D5056" s="118" t="s">
        <v>3517</v>
      </c>
      <c r="E5056" s="236">
        <v>90000</v>
      </c>
      <c r="F5056" s="236"/>
      <c r="G5056" s="236">
        <f t="shared" si="82"/>
        <v>-90000</v>
      </c>
      <c r="H5056" s="260" t="s">
        <v>3394</v>
      </c>
    </row>
    <row r="5057" spans="1:8" ht="15" x14ac:dyDescent="0.2">
      <c r="A5057" s="604">
        <v>43250</v>
      </c>
      <c r="B5057" s="174" t="s">
        <v>2787</v>
      </c>
      <c r="C5057" s="174" t="s">
        <v>3522</v>
      </c>
      <c r="D5057" s="118" t="s">
        <v>3523</v>
      </c>
      <c r="E5057" s="236">
        <v>22000</v>
      </c>
      <c r="F5057" s="236"/>
      <c r="G5057" s="236">
        <f t="shared" si="82"/>
        <v>-22000</v>
      </c>
      <c r="H5057" s="260" t="s">
        <v>3394</v>
      </c>
    </row>
    <row r="5058" spans="1:8" ht="15" x14ac:dyDescent="0.2">
      <c r="A5058" s="604">
        <v>43250</v>
      </c>
      <c r="B5058" s="174" t="s">
        <v>2787</v>
      </c>
      <c r="C5058" s="174" t="s">
        <v>3524</v>
      </c>
      <c r="D5058" s="118" t="s">
        <v>3525</v>
      </c>
      <c r="E5058" s="236">
        <v>525000</v>
      </c>
      <c r="F5058" s="236"/>
      <c r="G5058" s="236">
        <f t="shared" si="82"/>
        <v>-525000</v>
      </c>
      <c r="H5058" s="260" t="s">
        <v>3394</v>
      </c>
    </row>
    <row r="5059" spans="1:8" ht="15" x14ac:dyDescent="0.2">
      <c r="A5059" s="604">
        <v>43250</v>
      </c>
      <c r="B5059" s="174" t="s">
        <v>2787</v>
      </c>
      <c r="C5059" s="174" t="s">
        <v>3106</v>
      </c>
      <c r="D5059" s="118" t="s">
        <v>2893</v>
      </c>
      <c r="E5059" s="236">
        <v>100000</v>
      </c>
      <c r="F5059" s="236"/>
      <c r="G5059" s="236">
        <f t="shared" si="82"/>
        <v>-100000</v>
      </c>
      <c r="H5059" s="260" t="s">
        <v>3394</v>
      </c>
    </row>
    <row r="5060" spans="1:8" ht="15" x14ac:dyDescent="0.2">
      <c r="A5060" s="604">
        <v>43250</v>
      </c>
      <c r="B5060" s="174" t="s">
        <v>2933</v>
      </c>
      <c r="C5060" s="174" t="s">
        <v>3112</v>
      </c>
      <c r="D5060" s="118" t="s">
        <v>2893</v>
      </c>
      <c r="E5060" s="236">
        <v>50000</v>
      </c>
      <c r="F5060" s="236"/>
      <c r="G5060" s="236">
        <f t="shared" si="82"/>
        <v>-50000</v>
      </c>
      <c r="H5060" s="260" t="s">
        <v>3394</v>
      </c>
    </row>
    <row r="5061" spans="1:8" ht="15" x14ac:dyDescent="0.2">
      <c r="A5061" s="604">
        <v>43250</v>
      </c>
      <c r="B5061" s="174" t="s">
        <v>1400</v>
      </c>
      <c r="C5061" s="174" t="s">
        <v>3145</v>
      </c>
      <c r="D5061" s="118" t="s">
        <v>3526</v>
      </c>
      <c r="E5061" s="236">
        <v>94460</v>
      </c>
      <c r="F5061" s="236"/>
      <c r="G5061" s="236">
        <f t="shared" si="82"/>
        <v>-94460</v>
      </c>
      <c r="H5061" s="260" t="s">
        <v>3394</v>
      </c>
    </row>
    <row r="5062" spans="1:8" ht="15" x14ac:dyDescent="0.2">
      <c r="A5062" s="604">
        <v>43250</v>
      </c>
      <c r="B5062" s="174" t="s">
        <v>1400</v>
      </c>
      <c r="C5062" s="174" t="s">
        <v>3375</v>
      </c>
      <c r="D5062" s="118" t="s">
        <v>3527</v>
      </c>
      <c r="E5062" s="236">
        <v>78000</v>
      </c>
      <c r="F5062" s="236"/>
      <c r="G5062" s="236">
        <f t="shared" si="82"/>
        <v>-78000</v>
      </c>
      <c r="H5062" s="260" t="s">
        <v>3394</v>
      </c>
    </row>
    <row r="5063" spans="1:8" ht="15" x14ac:dyDescent="0.2">
      <c r="A5063" s="604">
        <v>43250</v>
      </c>
      <c r="B5063" s="174" t="s">
        <v>1400</v>
      </c>
      <c r="C5063" s="174" t="s">
        <v>2728</v>
      </c>
      <c r="D5063" s="118" t="s">
        <v>3528</v>
      </c>
      <c r="E5063" s="236">
        <v>22750</v>
      </c>
      <c r="F5063" s="236"/>
      <c r="G5063" s="236">
        <f t="shared" si="82"/>
        <v>-22750</v>
      </c>
      <c r="H5063" s="260" t="s">
        <v>3394</v>
      </c>
    </row>
    <row r="5064" spans="1:8" ht="15" x14ac:dyDescent="0.2">
      <c r="A5064" s="604">
        <v>43250</v>
      </c>
      <c r="B5064" s="174" t="s">
        <v>2787</v>
      </c>
      <c r="C5064" s="174" t="s">
        <v>3285</v>
      </c>
      <c r="D5064" s="118" t="s">
        <v>3529</v>
      </c>
      <c r="E5064" s="236">
        <v>329000</v>
      </c>
      <c r="F5064" s="236"/>
      <c r="G5064" s="236">
        <f t="shared" si="82"/>
        <v>-329000</v>
      </c>
      <c r="H5064" s="260" t="s">
        <v>3394</v>
      </c>
    </row>
    <row r="5065" spans="1:8" ht="15" x14ac:dyDescent="0.2">
      <c r="A5065" s="599">
        <v>43223</v>
      </c>
      <c r="B5065" s="91" t="s">
        <v>2787</v>
      </c>
      <c r="C5065" s="94" t="s">
        <v>559</v>
      </c>
      <c r="D5065" s="801" t="s">
        <v>3395</v>
      </c>
      <c r="E5065" s="92"/>
      <c r="F5065" s="92">
        <v>8659879</v>
      </c>
      <c r="G5065" s="92">
        <f t="shared" ref="G5065:G5128" si="83">F5065-E5065</f>
        <v>8659879</v>
      </c>
      <c r="H5065" s="261" t="s">
        <v>3394</v>
      </c>
    </row>
    <row r="5066" spans="1:8" ht="15" x14ac:dyDescent="0.2">
      <c r="A5066" s="599">
        <v>43232</v>
      </c>
      <c r="B5066" s="91" t="s">
        <v>2787</v>
      </c>
      <c r="C5066" s="94" t="s">
        <v>559</v>
      </c>
      <c r="D5066" s="801" t="s">
        <v>3411</v>
      </c>
      <c r="E5066" s="92"/>
      <c r="F5066" s="92">
        <v>1970250</v>
      </c>
      <c r="G5066" s="92">
        <f t="shared" si="83"/>
        <v>1970250</v>
      </c>
      <c r="H5066" s="261" t="s">
        <v>3394</v>
      </c>
    </row>
    <row r="5067" spans="1:8" ht="15" x14ac:dyDescent="0.2">
      <c r="A5067" s="599">
        <v>43244</v>
      </c>
      <c r="B5067" s="91" t="s">
        <v>37</v>
      </c>
      <c r="C5067" s="94" t="s">
        <v>559</v>
      </c>
      <c r="D5067" s="801" t="s">
        <v>3456</v>
      </c>
      <c r="E5067" s="92"/>
      <c r="F5067" s="92">
        <v>157140</v>
      </c>
      <c r="G5067" s="92">
        <f t="shared" si="83"/>
        <v>157140</v>
      </c>
      <c r="H5067" s="261" t="s">
        <v>3394</v>
      </c>
    </row>
    <row r="5068" spans="1:8" ht="24" x14ac:dyDescent="0.2">
      <c r="A5068" s="599">
        <v>43248</v>
      </c>
      <c r="B5068" s="91" t="s">
        <v>1400</v>
      </c>
      <c r="C5068" s="94" t="s">
        <v>559</v>
      </c>
      <c r="D5068" s="798" t="s">
        <v>3504</v>
      </c>
      <c r="E5068" s="92"/>
      <c r="F5068" s="92">
        <v>500000</v>
      </c>
      <c r="G5068" s="92">
        <f t="shared" si="83"/>
        <v>500000</v>
      </c>
      <c r="H5068" s="261" t="s">
        <v>3394</v>
      </c>
    </row>
    <row r="5069" spans="1:8" ht="24" x14ac:dyDescent="0.2">
      <c r="A5069" s="599">
        <v>43248</v>
      </c>
      <c r="B5069" s="91" t="s">
        <v>1400</v>
      </c>
      <c r="C5069" s="94" t="s">
        <v>559</v>
      </c>
      <c r="D5069" s="798" t="s">
        <v>3505</v>
      </c>
      <c r="E5069" s="92"/>
      <c r="F5069" s="92">
        <v>500000</v>
      </c>
      <c r="G5069" s="92">
        <f t="shared" si="83"/>
        <v>500000</v>
      </c>
      <c r="H5069" s="261" t="s">
        <v>3394</v>
      </c>
    </row>
    <row r="5070" spans="1:8" ht="24" x14ac:dyDescent="0.2">
      <c r="A5070" s="599">
        <v>43248</v>
      </c>
      <c r="B5070" s="91" t="s">
        <v>1400</v>
      </c>
      <c r="C5070" s="94" t="s">
        <v>559</v>
      </c>
      <c r="D5070" s="798" t="s">
        <v>3505</v>
      </c>
      <c r="E5070" s="92"/>
      <c r="F5070" s="92">
        <v>539782</v>
      </c>
      <c r="G5070" s="92">
        <f t="shared" si="83"/>
        <v>539782</v>
      </c>
      <c r="H5070" s="261" t="s">
        <v>3394</v>
      </c>
    </row>
    <row r="5071" spans="1:8" ht="24" x14ac:dyDescent="0.2">
      <c r="A5071" s="599">
        <v>43248</v>
      </c>
      <c r="B5071" s="91" t="s">
        <v>1400</v>
      </c>
      <c r="C5071" s="94" t="s">
        <v>559</v>
      </c>
      <c r="D5071" s="798" t="s">
        <v>3506</v>
      </c>
      <c r="E5071" s="92"/>
      <c r="F5071" s="92">
        <v>661916</v>
      </c>
      <c r="G5071" s="92">
        <f t="shared" si="83"/>
        <v>661916</v>
      </c>
      <c r="H5071" s="261" t="s">
        <v>3394</v>
      </c>
    </row>
    <row r="5072" spans="1:8" ht="15" x14ac:dyDescent="0.2">
      <c r="A5072" s="599">
        <v>43250</v>
      </c>
      <c r="B5072" s="91" t="s">
        <v>2787</v>
      </c>
      <c r="C5072" s="94" t="s">
        <v>559</v>
      </c>
      <c r="D5072" s="801" t="s">
        <v>3519</v>
      </c>
      <c r="E5072" s="92"/>
      <c r="F5072" s="92">
        <v>832500</v>
      </c>
      <c r="G5072" s="92">
        <f t="shared" si="83"/>
        <v>832500</v>
      </c>
      <c r="H5072" s="261" t="s">
        <v>3394</v>
      </c>
    </row>
    <row r="5073" spans="1:8" ht="15" x14ac:dyDescent="0.2">
      <c r="A5073" s="599">
        <v>43250</v>
      </c>
      <c r="B5073" s="91" t="s">
        <v>2787</v>
      </c>
      <c r="C5073" s="94" t="s">
        <v>559</v>
      </c>
      <c r="D5073" s="801" t="s">
        <v>3520</v>
      </c>
      <c r="E5073" s="92"/>
      <c r="F5073" s="92">
        <v>2775000</v>
      </c>
      <c r="G5073" s="92">
        <f t="shared" si="83"/>
        <v>2775000</v>
      </c>
      <c r="H5073" s="261" t="s">
        <v>3394</v>
      </c>
    </row>
    <row r="5074" spans="1:8" ht="15" x14ac:dyDescent="0.2">
      <c r="A5074" s="597">
        <v>43252</v>
      </c>
      <c r="B5074" s="41" t="s">
        <v>2787</v>
      </c>
      <c r="C5074" s="63" t="s">
        <v>794</v>
      </c>
      <c r="D5074" s="108" t="s">
        <v>1836</v>
      </c>
      <c r="E5074" s="58">
        <v>50000</v>
      </c>
      <c r="F5074" s="58"/>
      <c r="G5074" s="58">
        <f t="shared" si="83"/>
        <v>-50000</v>
      </c>
      <c r="H5074" s="121" t="s">
        <v>3521</v>
      </c>
    </row>
    <row r="5075" spans="1:8" ht="15" x14ac:dyDescent="0.2">
      <c r="A5075" s="597">
        <v>43252</v>
      </c>
      <c r="B5075" s="41" t="s">
        <v>2787</v>
      </c>
      <c r="C5075" s="63" t="s">
        <v>794</v>
      </c>
      <c r="D5075" s="108" t="s">
        <v>1837</v>
      </c>
      <c r="E5075" s="58">
        <v>25000</v>
      </c>
      <c r="F5075" s="58"/>
      <c r="G5075" s="58">
        <f t="shared" si="83"/>
        <v>-25000</v>
      </c>
      <c r="H5075" s="121" t="s">
        <v>3521</v>
      </c>
    </row>
    <row r="5076" spans="1:8" ht="15" x14ac:dyDescent="0.2">
      <c r="A5076" s="597">
        <v>43252</v>
      </c>
      <c r="B5076" s="41" t="s">
        <v>2933</v>
      </c>
      <c r="C5076" s="63" t="s">
        <v>794</v>
      </c>
      <c r="D5076" s="108" t="s">
        <v>1837</v>
      </c>
      <c r="E5076" s="58">
        <v>25000</v>
      </c>
      <c r="F5076" s="58"/>
      <c r="G5076" s="58">
        <f t="shared" si="83"/>
        <v>-25000</v>
      </c>
      <c r="H5076" s="121" t="s">
        <v>3521</v>
      </c>
    </row>
    <row r="5077" spans="1:8" ht="15" x14ac:dyDescent="0.2">
      <c r="A5077" s="597">
        <v>43252</v>
      </c>
      <c r="B5077" s="41" t="s">
        <v>16</v>
      </c>
      <c r="C5077" s="63" t="s">
        <v>794</v>
      </c>
      <c r="D5077" s="108" t="s">
        <v>1839</v>
      </c>
      <c r="E5077" s="58">
        <v>10000</v>
      </c>
      <c r="F5077" s="58"/>
      <c r="G5077" s="58">
        <f t="shared" si="83"/>
        <v>-10000</v>
      </c>
      <c r="H5077" s="121" t="s">
        <v>3521</v>
      </c>
    </row>
    <row r="5078" spans="1:8" ht="15" x14ac:dyDescent="0.2">
      <c r="A5078" s="597">
        <v>43252</v>
      </c>
      <c r="B5078" s="41" t="s">
        <v>16</v>
      </c>
      <c r="C5078" s="63" t="s">
        <v>794</v>
      </c>
      <c r="D5078" s="108" t="s">
        <v>1840</v>
      </c>
      <c r="E5078" s="58">
        <v>10000</v>
      </c>
      <c r="F5078" s="58"/>
      <c r="G5078" s="58">
        <f t="shared" si="83"/>
        <v>-10000</v>
      </c>
      <c r="H5078" s="121" t="s">
        <v>3521</v>
      </c>
    </row>
    <row r="5079" spans="1:8" ht="15" x14ac:dyDescent="0.2">
      <c r="A5079" s="597">
        <v>43252</v>
      </c>
      <c r="B5079" s="41" t="s">
        <v>16</v>
      </c>
      <c r="C5079" s="63" t="s">
        <v>794</v>
      </c>
      <c r="D5079" s="108" t="s">
        <v>1547</v>
      </c>
      <c r="E5079" s="58">
        <v>10000</v>
      </c>
      <c r="F5079" s="58"/>
      <c r="G5079" s="58">
        <f t="shared" si="83"/>
        <v>-10000</v>
      </c>
      <c r="H5079" s="121" t="s">
        <v>3521</v>
      </c>
    </row>
    <row r="5080" spans="1:8" ht="15" x14ac:dyDescent="0.2">
      <c r="A5080" s="597">
        <v>43252</v>
      </c>
      <c r="B5080" s="41" t="s">
        <v>16</v>
      </c>
      <c r="C5080" s="63" t="s">
        <v>794</v>
      </c>
      <c r="D5080" s="108" t="s">
        <v>1844</v>
      </c>
      <c r="E5080" s="58">
        <v>26730.483870967742</v>
      </c>
      <c r="F5080" s="58"/>
      <c r="G5080" s="58">
        <f t="shared" si="83"/>
        <v>-26730.483870967742</v>
      </c>
      <c r="H5080" s="121" t="s">
        <v>3521</v>
      </c>
    </row>
    <row r="5081" spans="1:8" ht="15" x14ac:dyDescent="0.2">
      <c r="A5081" s="597">
        <v>43252</v>
      </c>
      <c r="B5081" s="41" t="s">
        <v>16</v>
      </c>
      <c r="C5081" s="63" t="s">
        <v>794</v>
      </c>
      <c r="D5081" s="108" t="s">
        <v>1842</v>
      </c>
      <c r="E5081" s="58">
        <v>30000</v>
      </c>
      <c r="F5081" s="58"/>
      <c r="G5081" s="58">
        <f t="shared" si="83"/>
        <v>-30000</v>
      </c>
      <c r="H5081" s="121" t="s">
        <v>3521</v>
      </c>
    </row>
    <row r="5082" spans="1:8" ht="15" x14ac:dyDescent="0.2">
      <c r="A5082" s="597">
        <v>43252</v>
      </c>
      <c r="B5082" s="41" t="s">
        <v>16</v>
      </c>
      <c r="C5082" s="63" t="s">
        <v>794</v>
      </c>
      <c r="D5082" s="108" t="s">
        <v>1843</v>
      </c>
      <c r="E5082" s="58">
        <v>18000</v>
      </c>
      <c r="F5082" s="58"/>
      <c r="G5082" s="58">
        <f t="shared" si="83"/>
        <v>-18000</v>
      </c>
      <c r="H5082" s="121" t="s">
        <v>3521</v>
      </c>
    </row>
    <row r="5083" spans="1:8" ht="15" x14ac:dyDescent="0.2">
      <c r="A5083" s="597">
        <v>43252</v>
      </c>
      <c r="B5083" s="41" t="s">
        <v>16</v>
      </c>
      <c r="C5083" s="63" t="s">
        <v>794</v>
      </c>
      <c r="D5083" s="108" t="s">
        <v>2283</v>
      </c>
      <c r="E5083" s="58">
        <v>14000.322580645161</v>
      </c>
      <c r="F5083" s="58"/>
      <c r="G5083" s="58">
        <f t="shared" si="83"/>
        <v>-14000.322580645161</v>
      </c>
      <c r="H5083" s="121" t="s">
        <v>3521</v>
      </c>
    </row>
    <row r="5084" spans="1:8" ht="15" x14ac:dyDescent="0.2">
      <c r="A5084" s="597">
        <v>43252</v>
      </c>
      <c r="B5084" s="41" t="s">
        <v>16</v>
      </c>
      <c r="C5084" s="63" t="s">
        <v>794</v>
      </c>
      <c r="D5084" s="108" t="s">
        <v>3230</v>
      </c>
      <c r="E5084" s="58">
        <v>12349.637096774193</v>
      </c>
      <c r="F5084" s="58"/>
      <c r="G5084" s="58">
        <f t="shared" si="83"/>
        <v>-12349.637096774193</v>
      </c>
      <c r="H5084" s="121" t="s">
        <v>3521</v>
      </c>
    </row>
    <row r="5085" spans="1:8" ht="15" x14ac:dyDescent="0.2">
      <c r="A5085" s="597">
        <v>43252</v>
      </c>
      <c r="B5085" s="41" t="s">
        <v>16</v>
      </c>
      <c r="C5085" s="63" t="s">
        <v>794</v>
      </c>
      <c r="D5085" s="108" t="s">
        <v>3611</v>
      </c>
      <c r="E5085" s="58">
        <v>6000</v>
      </c>
      <c r="F5085" s="58"/>
      <c r="G5085" s="58">
        <f t="shared" si="83"/>
        <v>-6000</v>
      </c>
      <c r="H5085" s="121" t="s">
        <v>3521</v>
      </c>
    </row>
    <row r="5086" spans="1:8" ht="15" x14ac:dyDescent="0.2">
      <c r="A5086" s="597">
        <v>43252</v>
      </c>
      <c r="B5086" s="41" t="s">
        <v>16</v>
      </c>
      <c r="C5086" s="63" t="s">
        <v>794</v>
      </c>
      <c r="D5086" s="108" t="s">
        <v>3612</v>
      </c>
      <c r="E5086" s="58">
        <v>5000</v>
      </c>
      <c r="F5086" s="58"/>
      <c r="G5086" s="58">
        <f t="shared" si="83"/>
        <v>-5000</v>
      </c>
      <c r="H5086" s="121" t="s">
        <v>3521</v>
      </c>
    </row>
    <row r="5087" spans="1:8" ht="15" x14ac:dyDescent="0.2">
      <c r="A5087" s="597">
        <v>43252</v>
      </c>
      <c r="B5087" s="41" t="s">
        <v>2787</v>
      </c>
      <c r="C5087" s="63" t="s">
        <v>794</v>
      </c>
      <c r="D5087" s="108" t="s">
        <v>1863</v>
      </c>
      <c r="E5087" s="58">
        <v>18625</v>
      </c>
      <c r="F5087" s="58"/>
      <c r="G5087" s="58">
        <f t="shared" si="83"/>
        <v>-18625</v>
      </c>
      <c r="H5087" s="121" t="s">
        <v>3521</v>
      </c>
    </row>
    <row r="5088" spans="1:8" ht="15" x14ac:dyDescent="0.2">
      <c r="A5088" s="597">
        <v>43252</v>
      </c>
      <c r="B5088" s="41" t="s">
        <v>2787</v>
      </c>
      <c r="C5088" s="63" t="s">
        <v>794</v>
      </c>
      <c r="D5088" s="108" t="s">
        <v>1864</v>
      </c>
      <c r="E5088" s="58">
        <v>43400.080645161288</v>
      </c>
      <c r="F5088" s="58"/>
      <c r="G5088" s="58">
        <f t="shared" si="83"/>
        <v>-43400.080645161288</v>
      </c>
      <c r="H5088" s="121" t="s">
        <v>3521</v>
      </c>
    </row>
    <row r="5089" spans="1:8" ht="15" x14ac:dyDescent="0.2">
      <c r="A5089" s="597">
        <v>43252</v>
      </c>
      <c r="B5089" s="41" t="s">
        <v>2787</v>
      </c>
      <c r="C5089" s="63" t="s">
        <v>794</v>
      </c>
      <c r="D5089" s="108" t="s">
        <v>1845</v>
      </c>
      <c r="E5089" s="58">
        <v>23899.677419354841</v>
      </c>
      <c r="F5089" s="58"/>
      <c r="G5089" s="58">
        <f t="shared" si="83"/>
        <v>-23899.677419354841</v>
      </c>
      <c r="H5089" s="121" t="s">
        <v>3521</v>
      </c>
    </row>
    <row r="5090" spans="1:8" ht="15" x14ac:dyDescent="0.2">
      <c r="A5090" s="597">
        <v>43252</v>
      </c>
      <c r="B5090" s="41" t="s">
        <v>2787</v>
      </c>
      <c r="C5090" s="63" t="s">
        <v>794</v>
      </c>
      <c r="D5090" s="108" t="s">
        <v>2922</v>
      </c>
      <c r="E5090" s="58">
        <v>27269.516129032261</v>
      </c>
      <c r="F5090" s="58"/>
      <c r="G5090" s="58">
        <f t="shared" si="83"/>
        <v>-27269.516129032261</v>
      </c>
      <c r="H5090" s="121" t="s">
        <v>3521</v>
      </c>
    </row>
    <row r="5091" spans="1:8" ht="15" x14ac:dyDescent="0.2">
      <c r="A5091" s="597">
        <v>43252</v>
      </c>
      <c r="B5091" s="41" t="s">
        <v>2787</v>
      </c>
      <c r="C5091" s="63" t="s">
        <v>794</v>
      </c>
      <c r="D5091" s="108" t="s">
        <v>3231</v>
      </c>
      <c r="E5091" s="58">
        <v>35390.322580645159</v>
      </c>
      <c r="F5091" s="58"/>
      <c r="G5091" s="58">
        <f t="shared" si="83"/>
        <v>-35390.322580645159</v>
      </c>
      <c r="H5091" s="121" t="s">
        <v>3521</v>
      </c>
    </row>
    <row r="5092" spans="1:8" ht="15" x14ac:dyDescent="0.2">
      <c r="A5092" s="597">
        <v>43252</v>
      </c>
      <c r="B5092" s="41" t="s">
        <v>2787</v>
      </c>
      <c r="C5092" s="63" t="s">
        <v>794</v>
      </c>
      <c r="D5092" s="108" t="s">
        <v>3490</v>
      </c>
      <c r="E5092" s="58">
        <v>12729.838709677419</v>
      </c>
      <c r="F5092" s="58"/>
      <c r="G5092" s="58">
        <f t="shared" si="83"/>
        <v>-12729.838709677419</v>
      </c>
      <c r="H5092" s="121" t="s">
        <v>3521</v>
      </c>
    </row>
    <row r="5093" spans="1:8" ht="15" x14ac:dyDescent="0.2">
      <c r="A5093" s="597">
        <v>43252</v>
      </c>
      <c r="B5093" s="41" t="s">
        <v>2787</v>
      </c>
      <c r="C5093" s="63" t="s">
        <v>794</v>
      </c>
      <c r="D5093" s="108" t="s">
        <v>3072</v>
      </c>
      <c r="E5093" s="58">
        <v>20199.999999999996</v>
      </c>
      <c r="F5093" s="58"/>
      <c r="G5093" s="58">
        <f t="shared" si="83"/>
        <v>-20199.999999999996</v>
      </c>
      <c r="H5093" s="121" t="s">
        <v>3521</v>
      </c>
    </row>
    <row r="5094" spans="1:8" ht="15" x14ac:dyDescent="0.2">
      <c r="A5094" s="597">
        <v>43252</v>
      </c>
      <c r="B5094" s="41" t="s">
        <v>2787</v>
      </c>
      <c r="C5094" s="63" t="s">
        <v>794</v>
      </c>
      <c r="D5094" s="108" t="s">
        <v>3234</v>
      </c>
      <c r="E5094" s="58">
        <v>29680.080645161288</v>
      </c>
      <c r="F5094" s="58"/>
      <c r="G5094" s="58">
        <f t="shared" si="83"/>
        <v>-29680.080645161288</v>
      </c>
      <c r="H5094" s="121" t="s">
        <v>3521</v>
      </c>
    </row>
    <row r="5095" spans="1:8" ht="15" x14ac:dyDescent="0.2">
      <c r="A5095" s="597">
        <v>43252</v>
      </c>
      <c r="B5095" s="41" t="s">
        <v>2787</v>
      </c>
      <c r="C5095" s="63" t="s">
        <v>794</v>
      </c>
      <c r="D5095" s="108" t="s">
        <v>2282</v>
      </c>
      <c r="E5095" s="58">
        <v>23064.516129032258</v>
      </c>
      <c r="F5095" s="58"/>
      <c r="G5095" s="58">
        <f t="shared" si="83"/>
        <v>-23064.516129032258</v>
      </c>
      <c r="H5095" s="121" t="s">
        <v>3521</v>
      </c>
    </row>
    <row r="5096" spans="1:8" ht="15" x14ac:dyDescent="0.2">
      <c r="A5096" s="597">
        <v>43252</v>
      </c>
      <c r="B5096" s="41" t="s">
        <v>2787</v>
      </c>
      <c r="C5096" s="63" t="s">
        <v>794</v>
      </c>
      <c r="D5096" s="108" t="s">
        <v>2758</v>
      </c>
      <c r="E5096" s="58">
        <v>17299.596774193549</v>
      </c>
      <c r="F5096" s="58"/>
      <c r="G5096" s="58">
        <f t="shared" si="83"/>
        <v>-17299.596774193549</v>
      </c>
      <c r="H5096" s="121" t="s">
        <v>3521</v>
      </c>
    </row>
    <row r="5097" spans="1:8" ht="15" x14ac:dyDescent="0.2">
      <c r="A5097" s="597">
        <v>43252</v>
      </c>
      <c r="B5097" s="41" t="s">
        <v>2787</v>
      </c>
      <c r="C5097" s="63" t="s">
        <v>794</v>
      </c>
      <c r="D5097" s="108" t="s">
        <v>1862</v>
      </c>
      <c r="E5097" s="58">
        <v>30000.302419354837</v>
      </c>
      <c r="F5097" s="58"/>
      <c r="G5097" s="58">
        <f t="shared" si="83"/>
        <v>-30000.302419354837</v>
      </c>
      <c r="H5097" s="121" t="s">
        <v>3521</v>
      </c>
    </row>
    <row r="5098" spans="1:8" ht="15" x14ac:dyDescent="0.2">
      <c r="A5098" s="597">
        <v>43252</v>
      </c>
      <c r="B5098" s="41" t="s">
        <v>2787</v>
      </c>
      <c r="C5098" s="63" t="s">
        <v>794</v>
      </c>
      <c r="D5098" s="108" t="s">
        <v>3070</v>
      </c>
      <c r="E5098" s="58">
        <v>9170.1612903225796</v>
      </c>
      <c r="F5098" s="58"/>
      <c r="G5098" s="58">
        <f t="shared" si="83"/>
        <v>-9170.1612903225796</v>
      </c>
      <c r="H5098" s="121" t="s">
        <v>3521</v>
      </c>
    </row>
    <row r="5099" spans="1:8" ht="15" x14ac:dyDescent="0.2">
      <c r="A5099" s="597">
        <v>43252</v>
      </c>
      <c r="B5099" s="41" t="s">
        <v>2787</v>
      </c>
      <c r="C5099" s="63" t="s">
        <v>794</v>
      </c>
      <c r="D5099" s="108" t="s">
        <v>1561</v>
      </c>
      <c r="E5099" s="58">
        <v>14770.16129032258</v>
      </c>
      <c r="F5099" s="58"/>
      <c r="G5099" s="58">
        <f t="shared" si="83"/>
        <v>-14770.16129032258</v>
      </c>
      <c r="H5099" s="121" t="s">
        <v>3521</v>
      </c>
    </row>
    <row r="5100" spans="1:8" ht="15" x14ac:dyDescent="0.2">
      <c r="A5100" s="597">
        <v>43252</v>
      </c>
      <c r="B5100" s="41" t="s">
        <v>2787</v>
      </c>
      <c r="C5100" s="63" t="s">
        <v>794</v>
      </c>
      <c r="D5100" s="108" t="s">
        <v>1569</v>
      </c>
      <c r="E5100" s="58">
        <v>14959.677419354839</v>
      </c>
      <c r="F5100" s="58"/>
      <c r="G5100" s="58">
        <f t="shared" si="83"/>
        <v>-14959.677419354839</v>
      </c>
      <c r="H5100" s="121" t="s">
        <v>3521</v>
      </c>
    </row>
    <row r="5101" spans="1:8" ht="15" x14ac:dyDescent="0.2">
      <c r="A5101" s="597">
        <v>43252</v>
      </c>
      <c r="B5101" s="41" t="s">
        <v>2787</v>
      </c>
      <c r="C5101" s="63" t="s">
        <v>794</v>
      </c>
      <c r="D5101" s="108" t="s">
        <v>3613</v>
      </c>
      <c r="E5101" s="58">
        <v>21450.483870967742</v>
      </c>
      <c r="F5101" s="58"/>
      <c r="G5101" s="58">
        <f t="shared" si="83"/>
        <v>-21450.483870967742</v>
      </c>
      <c r="H5101" s="121" t="s">
        <v>3521</v>
      </c>
    </row>
    <row r="5102" spans="1:8" ht="15" x14ac:dyDescent="0.2">
      <c r="A5102" s="597">
        <v>43252</v>
      </c>
      <c r="B5102" s="41" t="s">
        <v>2787</v>
      </c>
      <c r="C5102" s="63" t="s">
        <v>794</v>
      </c>
      <c r="D5102" s="108" t="s">
        <v>3614</v>
      </c>
      <c r="E5102" s="58">
        <v>9290.322580645161</v>
      </c>
      <c r="F5102" s="58"/>
      <c r="G5102" s="58">
        <f t="shared" si="83"/>
        <v>-9290.322580645161</v>
      </c>
      <c r="H5102" s="121" t="s">
        <v>3521</v>
      </c>
    </row>
    <row r="5103" spans="1:8" ht="15" x14ac:dyDescent="0.2">
      <c r="A5103" s="597">
        <v>43252</v>
      </c>
      <c r="B5103" s="41" t="s">
        <v>1400</v>
      </c>
      <c r="C5103" s="63" t="s">
        <v>794</v>
      </c>
      <c r="D5103" s="108" t="s">
        <v>1684</v>
      </c>
      <c r="E5103" s="58">
        <v>30000</v>
      </c>
      <c r="F5103" s="58"/>
      <c r="G5103" s="58">
        <f t="shared" si="83"/>
        <v>-30000</v>
      </c>
      <c r="H5103" s="121" t="s">
        <v>3521</v>
      </c>
    </row>
    <row r="5104" spans="1:8" ht="15" x14ac:dyDescent="0.2">
      <c r="A5104" s="597">
        <v>43252</v>
      </c>
      <c r="B5104" s="41" t="s">
        <v>1400</v>
      </c>
      <c r="C5104" s="63" t="s">
        <v>794</v>
      </c>
      <c r="D5104" s="108" t="s">
        <v>2482</v>
      </c>
      <c r="E5104" s="58">
        <v>26920.362903225807</v>
      </c>
      <c r="F5104" s="58"/>
      <c r="G5104" s="58">
        <f t="shared" si="83"/>
        <v>-26920.362903225807</v>
      </c>
      <c r="H5104" s="121" t="s">
        <v>3521</v>
      </c>
    </row>
    <row r="5105" spans="1:8" ht="15" x14ac:dyDescent="0.2">
      <c r="A5105" s="597">
        <v>43252</v>
      </c>
      <c r="B5105" s="41" t="s">
        <v>1400</v>
      </c>
      <c r="C5105" s="63" t="s">
        <v>794</v>
      </c>
      <c r="D5105" s="108" t="s">
        <v>1550</v>
      </c>
      <c r="E5105" s="58">
        <v>22709.677419354837</v>
      </c>
      <c r="F5105" s="58"/>
      <c r="G5105" s="58">
        <f t="shared" si="83"/>
        <v>-22709.677419354837</v>
      </c>
      <c r="H5105" s="121" t="s">
        <v>3521</v>
      </c>
    </row>
    <row r="5106" spans="1:8" ht="15" x14ac:dyDescent="0.2">
      <c r="A5106" s="597">
        <v>43252</v>
      </c>
      <c r="B5106" s="41" t="s">
        <v>1400</v>
      </c>
      <c r="C5106" s="63" t="s">
        <v>794</v>
      </c>
      <c r="D5106" s="108" t="s">
        <v>1871</v>
      </c>
      <c r="E5106" s="58">
        <v>43700.322580645159</v>
      </c>
      <c r="F5106" s="58"/>
      <c r="G5106" s="58">
        <f t="shared" si="83"/>
        <v>-43700.322580645159</v>
      </c>
      <c r="H5106" s="121" t="s">
        <v>3521</v>
      </c>
    </row>
    <row r="5107" spans="1:8" ht="15" x14ac:dyDescent="0.2">
      <c r="A5107" s="597">
        <v>43252</v>
      </c>
      <c r="B5107" s="41" t="s">
        <v>1400</v>
      </c>
      <c r="C5107" s="63" t="s">
        <v>794</v>
      </c>
      <c r="D5107" s="108" t="s">
        <v>1852</v>
      </c>
      <c r="E5107" s="58">
        <v>30645.161290322583</v>
      </c>
      <c r="F5107" s="58"/>
      <c r="G5107" s="58">
        <f t="shared" si="83"/>
        <v>-30645.161290322583</v>
      </c>
      <c r="H5107" s="121" t="s">
        <v>3521</v>
      </c>
    </row>
    <row r="5108" spans="1:8" ht="15" x14ac:dyDescent="0.2">
      <c r="A5108" s="597">
        <v>43252</v>
      </c>
      <c r="B5108" s="41" t="s">
        <v>1400</v>
      </c>
      <c r="C5108" s="63" t="s">
        <v>794</v>
      </c>
      <c r="D5108" s="108" t="s">
        <v>3491</v>
      </c>
      <c r="E5108" s="58">
        <v>22950.435483870966</v>
      </c>
      <c r="F5108" s="58"/>
      <c r="G5108" s="58">
        <f t="shared" si="83"/>
        <v>-22950.435483870966</v>
      </c>
      <c r="H5108" s="121" t="s">
        <v>3521</v>
      </c>
    </row>
    <row r="5109" spans="1:8" ht="15" x14ac:dyDescent="0.2">
      <c r="A5109" s="597">
        <v>43252</v>
      </c>
      <c r="B5109" s="41" t="s">
        <v>1400</v>
      </c>
      <c r="C5109" s="63" t="s">
        <v>794</v>
      </c>
      <c r="D5109" s="108" t="s">
        <v>1872</v>
      </c>
      <c r="E5109" s="58">
        <v>25070.322580645163</v>
      </c>
      <c r="F5109" s="58"/>
      <c r="G5109" s="58">
        <f t="shared" si="83"/>
        <v>-25070.322580645163</v>
      </c>
      <c r="H5109" s="121" t="s">
        <v>3521</v>
      </c>
    </row>
    <row r="5110" spans="1:8" ht="15" x14ac:dyDescent="0.2">
      <c r="A5110" s="597">
        <v>43252</v>
      </c>
      <c r="B5110" s="41" t="s">
        <v>1400</v>
      </c>
      <c r="C5110" s="63" t="s">
        <v>794</v>
      </c>
      <c r="D5110" s="108" t="s">
        <v>1850</v>
      </c>
      <c r="E5110" s="58">
        <v>7299.677419354839</v>
      </c>
      <c r="F5110" s="58"/>
      <c r="G5110" s="58">
        <f t="shared" si="83"/>
        <v>-7299.677419354839</v>
      </c>
      <c r="H5110" s="121" t="s">
        <v>3521</v>
      </c>
    </row>
    <row r="5111" spans="1:8" ht="15" x14ac:dyDescent="0.2">
      <c r="A5111" s="597">
        <v>43252</v>
      </c>
      <c r="B5111" s="41" t="s">
        <v>1400</v>
      </c>
      <c r="C5111" s="63" t="s">
        <v>794</v>
      </c>
      <c r="D5111" s="108" t="s">
        <v>3492</v>
      </c>
      <c r="E5111" s="58">
        <v>12690.201612903227</v>
      </c>
      <c r="F5111" s="58"/>
      <c r="G5111" s="58">
        <f t="shared" si="83"/>
        <v>-12690.201612903227</v>
      </c>
      <c r="H5111" s="121" t="s">
        <v>3521</v>
      </c>
    </row>
    <row r="5112" spans="1:8" ht="15" x14ac:dyDescent="0.2">
      <c r="A5112" s="597">
        <v>43252</v>
      </c>
      <c r="B5112" s="41" t="s">
        <v>1400</v>
      </c>
      <c r="C5112" s="63" t="s">
        <v>794</v>
      </c>
      <c r="D5112" s="108" t="s">
        <v>2927</v>
      </c>
      <c r="E5112" s="58">
        <v>13740.161290322581</v>
      </c>
      <c r="F5112" s="58"/>
      <c r="G5112" s="58">
        <f t="shared" si="83"/>
        <v>-13740.161290322581</v>
      </c>
      <c r="H5112" s="121" t="s">
        <v>3521</v>
      </c>
    </row>
    <row r="5113" spans="1:8" ht="15" x14ac:dyDescent="0.2">
      <c r="A5113" s="597">
        <v>43252</v>
      </c>
      <c r="B5113" s="41" t="s">
        <v>1400</v>
      </c>
      <c r="C5113" s="63" t="s">
        <v>794</v>
      </c>
      <c r="D5113" s="108" t="s">
        <v>3068</v>
      </c>
      <c r="E5113" s="58">
        <v>12080</v>
      </c>
      <c r="F5113" s="58"/>
      <c r="G5113" s="58">
        <f t="shared" si="83"/>
        <v>-12080</v>
      </c>
      <c r="H5113" s="121" t="s">
        <v>3521</v>
      </c>
    </row>
    <row r="5114" spans="1:8" ht="15" x14ac:dyDescent="0.2">
      <c r="A5114" s="597">
        <v>43252</v>
      </c>
      <c r="B5114" s="41" t="s">
        <v>1400</v>
      </c>
      <c r="C5114" s="63" t="s">
        <v>794</v>
      </c>
      <c r="D5114" s="108" t="s">
        <v>2481</v>
      </c>
      <c r="E5114" s="58">
        <v>15099.959677419354</v>
      </c>
      <c r="F5114" s="58"/>
      <c r="G5114" s="58">
        <f t="shared" si="83"/>
        <v>-15099.959677419354</v>
      </c>
      <c r="H5114" s="121" t="s">
        <v>3521</v>
      </c>
    </row>
    <row r="5115" spans="1:8" ht="15" x14ac:dyDescent="0.2">
      <c r="A5115" s="597">
        <v>43252</v>
      </c>
      <c r="B5115" s="41" t="s">
        <v>18</v>
      </c>
      <c r="C5115" s="63" t="s">
        <v>794</v>
      </c>
      <c r="D5115" s="108" t="s">
        <v>1847</v>
      </c>
      <c r="E5115" s="58">
        <v>27200.322580645163</v>
      </c>
      <c r="F5115" s="58"/>
      <c r="G5115" s="58">
        <f t="shared" si="83"/>
        <v>-27200.322580645163</v>
      </c>
      <c r="H5115" s="121" t="s">
        <v>3521</v>
      </c>
    </row>
    <row r="5116" spans="1:8" ht="15" x14ac:dyDescent="0.2">
      <c r="A5116" s="597">
        <v>43252</v>
      </c>
      <c r="B5116" s="41" t="s">
        <v>2657</v>
      </c>
      <c r="C5116" s="63" t="s">
        <v>794</v>
      </c>
      <c r="D5116" s="108" t="s">
        <v>2280</v>
      </c>
      <c r="E5116" s="58">
        <v>28209.677419354837</v>
      </c>
      <c r="F5116" s="58"/>
      <c r="G5116" s="58">
        <f t="shared" si="83"/>
        <v>-28209.677419354837</v>
      </c>
      <c r="H5116" s="121" t="s">
        <v>3521</v>
      </c>
    </row>
    <row r="5117" spans="1:8" ht="15" x14ac:dyDescent="0.2">
      <c r="A5117" s="597">
        <v>43252</v>
      </c>
      <c r="B5117" s="41" t="s">
        <v>1400</v>
      </c>
      <c r="C5117" s="63" t="s">
        <v>794</v>
      </c>
      <c r="D5117" s="108" t="s">
        <v>1859</v>
      </c>
      <c r="E5117" s="58">
        <v>21340.16129032258</v>
      </c>
      <c r="F5117" s="58"/>
      <c r="G5117" s="58">
        <f t="shared" si="83"/>
        <v>-21340.16129032258</v>
      </c>
      <c r="H5117" s="121" t="s">
        <v>3521</v>
      </c>
    </row>
    <row r="5118" spans="1:8" ht="15" x14ac:dyDescent="0.2">
      <c r="A5118" s="597">
        <v>43252</v>
      </c>
      <c r="B5118" s="41" t="s">
        <v>40</v>
      </c>
      <c r="C5118" s="63" t="s">
        <v>794</v>
      </c>
      <c r="D5118" s="108" t="s">
        <v>1855</v>
      </c>
      <c r="E5118" s="58">
        <v>24630.141129032258</v>
      </c>
      <c r="F5118" s="58"/>
      <c r="G5118" s="58">
        <f t="shared" si="83"/>
        <v>-24630.141129032258</v>
      </c>
      <c r="H5118" s="121" t="s">
        <v>3521</v>
      </c>
    </row>
    <row r="5119" spans="1:8" ht="15" x14ac:dyDescent="0.2">
      <c r="A5119" s="597">
        <v>43252</v>
      </c>
      <c r="B5119" s="41" t="s">
        <v>40</v>
      </c>
      <c r="C5119" s="63" t="s">
        <v>794</v>
      </c>
      <c r="D5119" s="108" t="s">
        <v>2281</v>
      </c>
      <c r="E5119" s="58">
        <v>26770.16129032258</v>
      </c>
      <c r="F5119" s="58"/>
      <c r="G5119" s="58">
        <f t="shared" si="83"/>
        <v>-26770.16129032258</v>
      </c>
      <c r="H5119" s="121" t="s">
        <v>3521</v>
      </c>
    </row>
    <row r="5120" spans="1:8" ht="15" x14ac:dyDescent="0.2">
      <c r="A5120" s="597">
        <v>43252</v>
      </c>
      <c r="B5120" s="41" t="s">
        <v>40</v>
      </c>
      <c r="C5120" s="63" t="s">
        <v>794</v>
      </c>
      <c r="D5120" s="108" t="s">
        <v>1861</v>
      </c>
      <c r="E5120" s="58">
        <v>19000.403225806451</v>
      </c>
      <c r="F5120" s="58"/>
      <c r="G5120" s="58">
        <f t="shared" si="83"/>
        <v>-19000.403225806451</v>
      </c>
      <c r="H5120" s="121" t="s">
        <v>3521</v>
      </c>
    </row>
    <row r="5121" spans="1:8" ht="15" x14ac:dyDescent="0.2">
      <c r="A5121" s="597">
        <v>43252</v>
      </c>
      <c r="B5121" s="41" t="s">
        <v>40</v>
      </c>
      <c r="C5121" s="63" t="s">
        <v>794</v>
      </c>
      <c r="D5121" s="108" t="s">
        <v>1849</v>
      </c>
      <c r="E5121" s="58">
        <v>18290.322580645159</v>
      </c>
      <c r="F5121" s="58"/>
      <c r="G5121" s="58">
        <f t="shared" si="83"/>
        <v>-18290.322580645159</v>
      </c>
      <c r="H5121" s="121" t="s">
        <v>3521</v>
      </c>
    </row>
    <row r="5122" spans="1:8" ht="15" x14ac:dyDescent="0.2">
      <c r="A5122" s="597">
        <v>43252</v>
      </c>
      <c r="B5122" s="41" t="s">
        <v>40</v>
      </c>
      <c r="C5122" s="63" t="s">
        <v>794</v>
      </c>
      <c r="D5122" s="108" t="s">
        <v>3615</v>
      </c>
      <c r="E5122" s="58">
        <v>14410.161290322581</v>
      </c>
      <c r="F5122" s="58"/>
      <c r="G5122" s="58">
        <f t="shared" si="83"/>
        <v>-14410.161290322581</v>
      </c>
      <c r="H5122" s="121" t="s">
        <v>3521</v>
      </c>
    </row>
    <row r="5123" spans="1:8" ht="15" x14ac:dyDescent="0.2">
      <c r="A5123" s="597">
        <v>43252</v>
      </c>
      <c r="B5123" s="41" t="s">
        <v>40</v>
      </c>
      <c r="C5123" s="63" t="s">
        <v>794</v>
      </c>
      <c r="D5123" s="108" t="s">
        <v>3354</v>
      </c>
      <c r="E5123" s="58">
        <v>11170.16129032258</v>
      </c>
      <c r="F5123" s="58"/>
      <c r="G5123" s="58">
        <f t="shared" si="83"/>
        <v>-11170.16129032258</v>
      </c>
      <c r="H5123" s="121" t="s">
        <v>3521</v>
      </c>
    </row>
    <row r="5124" spans="1:8" ht="15" x14ac:dyDescent="0.2">
      <c r="A5124" s="597">
        <v>43252</v>
      </c>
      <c r="B5124" s="41" t="s">
        <v>37</v>
      </c>
      <c r="C5124" s="63" t="s">
        <v>794</v>
      </c>
      <c r="D5124" s="108" t="s">
        <v>1866</v>
      </c>
      <c r="E5124" s="58">
        <v>18219.919354838708</v>
      </c>
      <c r="F5124" s="58"/>
      <c r="G5124" s="58">
        <f t="shared" si="83"/>
        <v>-18219.919354838708</v>
      </c>
      <c r="H5124" s="121" t="s">
        <v>3521</v>
      </c>
    </row>
    <row r="5125" spans="1:8" ht="15" x14ac:dyDescent="0.2">
      <c r="A5125" s="597">
        <v>43252</v>
      </c>
      <c r="B5125" s="41" t="s">
        <v>37</v>
      </c>
      <c r="C5125" s="63" t="s">
        <v>794</v>
      </c>
      <c r="D5125" s="108" t="s">
        <v>1867</v>
      </c>
      <c r="E5125" s="58">
        <v>15020.08064516129</v>
      </c>
      <c r="F5125" s="58"/>
      <c r="G5125" s="58">
        <f t="shared" si="83"/>
        <v>-15020.08064516129</v>
      </c>
      <c r="H5125" s="121" t="s">
        <v>3521</v>
      </c>
    </row>
    <row r="5126" spans="1:8" ht="15" x14ac:dyDescent="0.2">
      <c r="A5126" s="597">
        <v>43252</v>
      </c>
      <c r="B5126" s="41" t="s">
        <v>37</v>
      </c>
      <c r="C5126" s="63" t="s">
        <v>794</v>
      </c>
      <c r="D5126" s="108" t="s">
        <v>1868</v>
      </c>
      <c r="E5126" s="58">
        <v>20899.778225806451</v>
      </c>
      <c r="F5126" s="58"/>
      <c r="G5126" s="58">
        <f t="shared" si="83"/>
        <v>-20899.778225806451</v>
      </c>
      <c r="H5126" s="121" t="s">
        <v>3521</v>
      </c>
    </row>
    <row r="5127" spans="1:8" ht="15" x14ac:dyDescent="0.2">
      <c r="A5127" s="597">
        <v>43252</v>
      </c>
      <c r="B5127" s="41" t="s">
        <v>37</v>
      </c>
      <c r="C5127" s="63" t="s">
        <v>794</v>
      </c>
      <c r="D5127" s="108" t="s">
        <v>1240</v>
      </c>
      <c r="E5127" s="58">
        <v>25290.322580645159</v>
      </c>
      <c r="F5127" s="58"/>
      <c r="G5127" s="58">
        <f t="shared" si="83"/>
        <v>-25290.322580645159</v>
      </c>
      <c r="H5127" s="121" t="s">
        <v>3521</v>
      </c>
    </row>
    <row r="5128" spans="1:8" ht="15" x14ac:dyDescent="0.2">
      <c r="A5128" s="597">
        <v>43252</v>
      </c>
      <c r="B5128" s="41" t="s">
        <v>37</v>
      </c>
      <c r="C5128" s="63" t="s">
        <v>794</v>
      </c>
      <c r="D5128" s="108" t="s">
        <v>2919</v>
      </c>
      <c r="E5128" s="58">
        <v>8509.677419354839</v>
      </c>
      <c r="F5128" s="58"/>
      <c r="G5128" s="58">
        <f t="shared" si="83"/>
        <v>-8509.677419354839</v>
      </c>
      <c r="H5128" s="121" t="s">
        <v>3521</v>
      </c>
    </row>
    <row r="5129" spans="1:8" ht="15" x14ac:dyDescent="0.2">
      <c r="A5129" s="597">
        <v>43252</v>
      </c>
      <c r="B5129" s="41" t="s">
        <v>37</v>
      </c>
      <c r="C5129" s="63" t="s">
        <v>794</v>
      </c>
      <c r="D5129" s="108" t="s">
        <v>2720</v>
      </c>
      <c r="E5129" s="58">
        <v>15389.516129032258</v>
      </c>
      <c r="F5129" s="58"/>
      <c r="G5129" s="58">
        <f t="shared" ref="G5129:G5192" si="84">F5129-E5129</f>
        <v>-15389.516129032258</v>
      </c>
      <c r="H5129" s="121" t="s">
        <v>3521</v>
      </c>
    </row>
    <row r="5130" spans="1:8" ht="15" x14ac:dyDescent="0.2">
      <c r="A5130" s="597">
        <v>43252</v>
      </c>
      <c r="B5130" s="41" t="s">
        <v>1400</v>
      </c>
      <c r="C5130" s="63" t="s">
        <v>794</v>
      </c>
      <c r="D5130" s="108" t="s">
        <v>1858</v>
      </c>
      <c r="E5130" s="58">
        <v>36620.161290322583</v>
      </c>
      <c r="F5130" s="58"/>
      <c r="G5130" s="58">
        <f t="shared" si="84"/>
        <v>-36620.161290322583</v>
      </c>
      <c r="H5130" s="121" t="s">
        <v>3521</v>
      </c>
    </row>
    <row r="5131" spans="1:8" ht="15" x14ac:dyDescent="0.2">
      <c r="A5131" s="597">
        <v>43252</v>
      </c>
      <c r="B5131" s="41" t="s">
        <v>2933</v>
      </c>
      <c r="C5131" s="63" t="s">
        <v>794</v>
      </c>
      <c r="D5131" s="108" t="s">
        <v>2925</v>
      </c>
      <c r="E5131" s="58">
        <v>50000</v>
      </c>
      <c r="F5131" s="58"/>
      <c r="G5131" s="58">
        <f t="shared" si="84"/>
        <v>-50000</v>
      </c>
      <c r="H5131" s="121" t="s">
        <v>3521</v>
      </c>
    </row>
    <row r="5132" spans="1:8" ht="15" x14ac:dyDescent="0.2">
      <c r="A5132" s="597">
        <v>43252</v>
      </c>
      <c r="B5132" s="41" t="s">
        <v>2652</v>
      </c>
      <c r="C5132" s="63" t="s">
        <v>794</v>
      </c>
      <c r="D5132" s="108" t="s">
        <v>3616</v>
      </c>
      <c r="E5132" s="58">
        <v>25806.451612903224</v>
      </c>
      <c r="F5132" s="58"/>
      <c r="G5132" s="58">
        <f t="shared" si="84"/>
        <v>-25806.451612903224</v>
      </c>
      <c r="H5132" s="121" t="s">
        <v>3521</v>
      </c>
    </row>
    <row r="5133" spans="1:8" ht="15" x14ac:dyDescent="0.2">
      <c r="A5133" s="597">
        <v>43252</v>
      </c>
      <c r="B5133" s="41" t="s">
        <v>2787</v>
      </c>
      <c r="C5133" s="63" t="s">
        <v>794</v>
      </c>
      <c r="D5133" s="108" t="s">
        <v>668</v>
      </c>
      <c r="E5133" s="58">
        <v>18799.83870967742</v>
      </c>
      <c r="F5133" s="58"/>
      <c r="G5133" s="58">
        <f t="shared" si="84"/>
        <v>-18799.83870967742</v>
      </c>
      <c r="H5133" s="121" t="s">
        <v>3521</v>
      </c>
    </row>
    <row r="5134" spans="1:8" ht="15" x14ac:dyDescent="0.2">
      <c r="A5134" s="597">
        <v>43252</v>
      </c>
      <c r="B5134" s="41" t="s">
        <v>1400</v>
      </c>
      <c r="C5134" s="63" t="s">
        <v>794</v>
      </c>
      <c r="D5134" s="108" t="s">
        <v>1860</v>
      </c>
      <c r="E5134" s="58">
        <v>12130.322580645163</v>
      </c>
      <c r="F5134" s="58"/>
      <c r="G5134" s="58">
        <f t="shared" si="84"/>
        <v>-12130.322580645163</v>
      </c>
      <c r="H5134" s="121" t="s">
        <v>3521</v>
      </c>
    </row>
    <row r="5135" spans="1:8" ht="15" x14ac:dyDescent="0.2">
      <c r="A5135" s="597">
        <v>43253</v>
      </c>
      <c r="B5135" s="41" t="s">
        <v>1400</v>
      </c>
      <c r="C5135" s="63" t="s">
        <v>3145</v>
      </c>
      <c r="D5135" s="108" t="s">
        <v>3603</v>
      </c>
      <c r="E5135" s="58">
        <v>87510</v>
      </c>
      <c r="F5135" s="58"/>
      <c r="G5135" s="58">
        <f t="shared" si="84"/>
        <v>-87510</v>
      </c>
      <c r="H5135" s="121" t="s">
        <v>3521</v>
      </c>
    </row>
    <row r="5136" spans="1:8" ht="15" x14ac:dyDescent="0.2">
      <c r="A5136" s="597">
        <v>43253</v>
      </c>
      <c r="B5136" s="41" t="s">
        <v>25</v>
      </c>
      <c r="C5136" s="63" t="s">
        <v>1894</v>
      </c>
      <c r="D5136" s="108" t="s">
        <v>2521</v>
      </c>
      <c r="E5136" s="58">
        <v>3340</v>
      </c>
      <c r="F5136" s="58"/>
      <c r="G5136" s="58">
        <f t="shared" si="84"/>
        <v>-3340</v>
      </c>
      <c r="H5136" s="121" t="s">
        <v>3521</v>
      </c>
    </row>
    <row r="5137" spans="1:8" ht="15" x14ac:dyDescent="0.2">
      <c r="A5137" s="597">
        <v>43253</v>
      </c>
      <c r="B5137" s="41" t="s">
        <v>2652</v>
      </c>
      <c r="C5137" s="63" t="s">
        <v>3149</v>
      </c>
      <c r="D5137" s="108" t="s">
        <v>3369</v>
      </c>
      <c r="E5137" s="58">
        <v>420</v>
      </c>
      <c r="F5137" s="58"/>
      <c r="G5137" s="58">
        <f t="shared" si="84"/>
        <v>-420</v>
      </c>
      <c r="H5137" s="121" t="s">
        <v>3521</v>
      </c>
    </row>
    <row r="5138" spans="1:8" ht="15" x14ac:dyDescent="0.2">
      <c r="A5138" s="597">
        <v>43253</v>
      </c>
      <c r="B5138" s="41" t="s">
        <v>2652</v>
      </c>
      <c r="C5138" s="63" t="s">
        <v>3149</v>
      </c>
      <c r="D5138" s="108" t="s">
        <v>3369</v>
      </c>
      <c r="E5138" s="58">
        <v>50</v>
      </c>
      <c r="F5138" s="58"/>
      <c r="G5138" s="58">
        <f t="shared" si="84"/>
        <v>-50</v>
      </c>
      <c r="H5138" s="121" t="s">
        <v>3521</v>
      </c>
    </row>
    <row r="5139" spans="1:8" ht="15" x14ac:dyDescent="0.2">
      <c r="A5139" s="597">
        <v>43258</v>
      </c>
      <c r="B5139" s="41" t="s">
        <v>2652</v>
      </c>
      <c r="C5139" s="63" t="s">
        <v>3104</v>
      </c>
      <c r="D5139" s="108" t="s">
        <v>370</v>
      </c>
      <c r="E5139" s="58">
        <v>15000</v>
      </c>
      <c r="F5139" s="58"/>
      <c r="G5139" s="58">
        <f t="shared" si="84"/>
        <v>-15000</v>
      </c>
      <c r="H5139" s="121" t="s">
        <v>3521</v>
      </c>
    </row>
    <row r="5140" spans="1:8" ht="15" x14ac:dyDescent="0.2">
      <c r="A5140" s="597">
        <v>43258</v>
      </c>
      <c r="B5140" s="41" t="s">
        <v>2652</v>
      </c>
      <c r="C5140" s="63" t="s">
        <v>3149</v>
      </c>
      <c r="D5140" s="108" t="s">
        <v>3369</v>
      </c>
      <c r="E5140" s="58">
        <v>780</v>
      </c>
      <c r="F5140" s="58"/>
      <c r="G5140" s="58">
        <f t="shared" si="84"/>
        <v>-780</v>
      </c>
      <c r="H5140" s="121" t="s">
        <v>3521</v>
      </c>
    </row>
    <row r="5141" spans="1:8" ht="15" x14ac:dyDescent="0.2">
      <c r="A5141" s="597">
        <v>43258</v>
      </c>
      <c r="B5141" s="41" t="s">
        <v>37</v>
      </c>
      <c r="C5141" s="63" t="s">
        <v>3104</v>
      </c>
      <c r="D5141" s="108" t="s">
        <v>370</v>
      </c>
      <c r="E5141" s="58">
        <v>3000</v>
      </c>
      <c r="F5141" s="58"/>
      <c r="G5141" s="58">
        <f t="shared" si="84"/>
        <v>-3000</v>
      </c>
      <c r="H5141" s="121" t="s">
        <v>3521</v>
      </c>
    </row>
    <row r="5142" spans="1:8" ht="15" x14ac:dyDescent="0.2">
      <c r="A5142" s="597">
        <v>43258</v>
      </c>
      <c r="B5142" s="41" t="s">
        <v>40</v>
      </c>
      <c r="C5142" s="63" t="s">
        <v>392</v>
      </c>
      <c r="D5142" s="108" t="s">
        <v>3604</v>
      </c>
      <c r="E5142" s="58">
        <v>1580</v>
      </c>
      <c r="F5142" s="58"/>
      <c r="G5142" s="58">
        <f t="shared" si="84"/>
        <v>-1580</v>
      </c>
      <c r="H5142" s="121" t="s">
        <v>3521</v>
      </c>
    </row>
    <row r="5143" spans="1:8" ht="15" x14ac:dyDescent="0.2">
      <c r="A5143" s="597">
        <v>43258</v>
      </c>
      <c r="B5143" s="41" t="s">
        <v>2933</v>
      </c>
      <c r="C5143" s="63" t="s">
        <v>3145</v>
      </c>
      <c r="D5143" s="108" t="s">
        <v>3605</v>
      </c>
      <c r="E5143" s="58">
        <v>10750</v>
      </c>
      <c r="F5143" s="58"/>
      <c r="G5143" s="58">
        <f t="shared" si="84"/>
        <v>-10750</v>
      </c>
      <c r="H5143" s="121" t="s">
        <v>3521</v>
      </c>
    </row>
    <row r="5144" spans="1:8" ht="15" x14ac:dyDescent="0.2">
      <c r="A5144" s="597">
        <v>43258</v>
      </c>
      <c r="B5144" s="41" t="s">
        <v>2933</v>
      </c>
      <c r="C5144" s="63" t="s">
        <v>3149</v>
      </c>
      <c r="D5144" s="108" t="s">
        <v>3369</v>
      </c>
      <c r="E5144" s="58">
        <v>100</v>
      </c>
      <c r="F5144" s="58"/>
      <c r="G5144" s="58">
        <f t="shared" si="84"/>
        <v>-100</v>
      </c>
      <c r="H5144" s="121" t="s">
        <v>3521</v>
      </c>
    </row>
    <row r="5145" spans="1:8" ht="15" x14ac:dyDescent="0.2">
      <c r="A5145" s="597">
        <v>43258</v>
      </c>
      <c r="B5145" s="41" t="s">
        <v>25</v>
      </c>
      <c r="C5145" s="63" t="s">
        <v>1894</v>
      </c>
      <c r="D5145" s="108" t="s">
        <v>3606</v>
      </c>
      <c r="E5145" s="58">
        <v>10645</v>
      </c>
      <c r="F5145" s="58"/>
      <c r="G5145" s="58">
        <f t="shared" si="84"/>
        <v>-10645</v>
      </c>
      <c r="H5145" s="121" t="s">
        <v>3521</v>
      </c>
    </row>
    <row r="5146" spans="1:8" ht="15" x14ac:dyDescent="0.2">
      <c r="A5146" s="612">
        <v>43263</v>
      </c>
      <c r="B5146" s="63" t="s">
        <v>40</v>
      </c>
      <c r="C5146" s="47" t="s">
        <v>3608</v>
      </c>
      <c r="D5146" s="129" t="s">
        <v>3608</v>
      </c>
      <c r="E5146" s="126">
        <v>44250</v>
      </c>
      <c r="F5146" s="126"/>
      <c r="G5146" s="126">
        <f t="shared" si="84"/>
        <v>-44250</v>
      </c>
      <c r="H5146" s="263" t="s">
        <v>3521</v>
      </c>
    </row>
    <row r="5147" spans="1:8" ht="15" x14ac:dyDescent="0.2">
      <c r="A5147" s="612">
        <v>43263</v>
      </c>
      <c r="B5147" s="63" t="s">
        <v>2787</v>
      </c>
      <c r="C5147" s="47" t="s">
        <v>3608</v>
      </c>
      <c r="D5147" s="129" t="s">
        <v>3608</v>
      </c>
      <c r="E5147" s="126">
        <v>127250</v>
      </c>
      <c r="F5147" s="126"/>
      <c r="G5147" s="126">
        <f t="shared" si="84"/>
        <v>-127250</v>
      </c>
      <c r="H5147" s="263" t="s">
        <v>3521</v>
      </c>
    </row>
    <row r="5148" spans="1:8" ht="15" x14ac:dyDescent="0.2">
      <c r="A5148" s="612">
        <v>43263</v>
      </c>
      <c r="B5148" s="63" t="s">
        <v>1400</v>
      </c>
      <c r="C5148" s="47" t="s">
        <v>3608</v>
      </c>
      <c r="D5148" s="129" t="s">
        <v>3608</v>
      </c>
      <c r="E5148" s="126">
        <v>140000</v>
      </c>
      <c r="F5148" s="126"/>
      <c r="G5148" s="126">
        <f t="shared" si="84"/>
        <v>-140000</v>
      </c>
      <c r="H5148" s="263" t="s">
        <v>3521</v>
      </c>
    </row>
    <row r="5149" spans="1:8" ht="15" x14ac:dyDescent="0.2">
      <c r="A5149" s="612">
        <v>43263</v>
      </c>
      <c r="B5149" s="63" t="s">
        <v>37</v>
      </c>
      <c r="C5149" s="47" t="s">
        <v>3608</v>
      </c>
      <c r="D5149" s="129" t="s">
        <v>3608</v>
      </c>
      <c r="E5149" s="126">
        <v>28250</v>
      </c>
      <c r="F5149" s="126"/>
      <c r="G5149" s="126">
        <f t="shared" si="84"/>
        <v>-28250</v>
      </c>
      <c r="H5149" s="263" t="s">
        <v>3521</v>
      </c>
    </row>
    <row r="5150" spans="1:8" ht="15" x14ac:dyDescent="0.2">
      <c r="A5150" s="612">
        <v>43263</v>
      </c>
      <c r="B5150" s="63" t="s">
        <v>2933</v>
      </c>
      <c r="C5150" s="47" t="s">
        <v>3608</v>
      </c>
      <c r="D5150" s="129" t="s">
        <v>3608</v>
      </c>
      <c r="E5150" s="126">
        <v>46000</v>
      </c>
      <c r="F5150" s="126"/>
      <c r="G5150" s="126">
        <f t="shared" si="84"/>
        <v>-46000</v>
      </c>
      <c r="H5150" s="263" t="s">
        <v>3521</v>
      </c>
    </row>
    <row r="5151" spans="1:8" ht="15" x14ac:dyDescent="0.2">
      <c r="A5151" s="612">
        <v>43263</v>
      </c>
      <c r="B5151" s="63" t="s">
        <v>2548</v>
      </c>
      <c r="C5151" s="47" t="s">
        <v>3608</v>
      </c>
      <c r="D5151" s="129" t="s">
        <v>3608</v>
      </c>
      <c r="E5151" s="126">
        <v>19000</v>
      </c>
      <c r="F5151" s="126"/>
      <c r="G5151" s="126">
        <f t="shared" si="84"/>
        <v>-19000</v>
      </c>
      <c r="H5151" s="263" t="s">
        <v>3521</v>
      </c>
    </row>
    <row r="5152" spans="1:8" ht="15" x14ac:dyDescent="0.2">
      <c r="A5152" s="612">
        <v>43263</v>
      </c>
      <c r="B5152" s="63" t="s">
        <v>16</v>
      </c>
      <c r="C5152" s="47" t="s">
        <v>3608</v>
      </c>
      <c r="D5152" s="129" t="s">
        <v>3608</v>
      </c>
      <c r="E5152" s="126">
        <v>53500</v>
      </c>
      <c r="F5152" s="126"/>
      <c r="G5152" s="126">
        <f t="shared" si="84"/>
        <v>-53500</v>
      </c>
      <c r="H5152" s="263" t="s">
        <v>3521</v>
      </c>
    </row>
    <row r="5153" spans="1:8" ht="15" x14ac:dyDescent="0.2">
      <c r="A5153" s="612">
        <v>43263</v>
      </c>
      <c r="B5153" s="63" t="s">
        <v>18</v>
      </c>
      <c r="C5153" s="47" t="s">
        <v>3608</v>
      </c>
      <c r="D5153" s="129" t="s">
        <v>3608</v>
      </c>
      <c r="E5153" s="126">
        <v>11000</v>
      </c>
      <c r="F5153" s="126"/>
      <c r="G5153" s="126">
        <f t="shared" si="84"/>
        <v>-11000</v>
      </c>
      <c r="H5153" s="263" t="s">
        <v>3521</v>
      </c>
    </row>
    <row r="5154" spans="1:8" ht="15" x14ac:dyDescent="0.2">
      <c r="A5154" s="612">
        <v>43263</v>
      </c>
      <c r="B5154" s="63" t="s">
        <v>2787</v>
      </c>
      <c r="C5154" s="47" t="s">
        <v>1875</v>
      </c>
      <c r="D5154" s="129" t="s">
        <v>370</v>
      </c>
      <c r="E5154" s="126">
        <v>16000</v>
      </c>
      <c r="F5154" s="126"/>
      <c r="G5154" s="126">
        <f t="shared" si="84"/>
        <v>-16000</v>
      </c>
      <c r="H5154" s="263" t="s">
        <v>3521</v>
      </c>
    </row>
    <row r="5155" spans="1:8" ht="15" x14ac:dyDescent="0.2">
      <c r="A5155" s="612">
        <v>43264</v>
      </c>
      <c r="B5155" s="63" t="s">
        <v>2652</v>
      </c>
      <c r="C5155" s="47" t="s">
        <v>3104</v>
      </c>
      <c r="D5155" s="129" t="s">
        <v>370</v>
      </c>
      <c r="E5155" s="126">
        <v>24000</v>
      </c>
      <c r="F5155" s="126"/>
      <c r="G5155" s="126">
        <f t="shared" si="84"/>
        <v>-24000</v>
      </c>
      <c r="H5155" s="263" t="s">
        <v>3521</v>
      </c>
    </row>
    <row r="5156" spans="1:8" ht="15" x14ac:dyDescent="0.2">
      <c r="A5156" s="612">
        <v>43265</v>
      </c>
      <c r="B5156" s="63" t="s">
        <v>2652</v>
      </c>
      <c r="C5156" s="47" t="s">
        <v>3104</v>
      </c>
      <c r="D5156" s="129" t="s">
        <v>370</v>
      </c>
      <c r="E5156" s="126">
        <v>10000</v>
      </c>
      <c r="F5156" s="126"/>
      <c r="G5156" s="126">
        <f t="shared" si="84"/>
        <v>-10000</v>
      </c>
      <c r="H5156" s="263" t="s">
        <v>3521</v>
      </c>
    </row>
    <row r="5157" spans="1:8" ht="15" x14ac:dyDescent="0.2">
      <c r="A5157" s="612">
        <v>43265</v>
      </c>
      <c r="B5157" s="63" t="s">
        <v>3622</v>
      </c>
      <c r="C5157" s="47" t="s">
        <v>286</v>
      </c>
      <c r="D5157" s="129" t="s">
        <v>3623</v>
      </c>
      <c r="E5157" s="126">
        <v>500</v>
      </c>
      <c r="F5157" s="126"/>
      <c r="G5157" s="126">
        <f t="shared" si="84"/>
        <v>-500</v>
      </c>
      <c r="H5157" s="263" t="s">
        <v>3521</v>
      </c>
    </row>
    <row r="5158" spans="1:8" ht="15" x14ac:dyDescent="0.2">
      <c r="A5158" s="612">
        <v>43265</v>
      </c>
      <c r="B5158" s="63" t="s">
        <v>2933</v>
      </c>
      <c r="C5158" s="47" t="s">
        <v>3149</v>
      </c>
      <c r="D5158" s="129" t="s">
        <v>3369</v>
      </c>
      <c r="E5158" s="126">
        <v>363</v>
      </c>
      <c r="F5158" s="126"/>
      <c r="G5158" s="126">
        <f t="shared" si="84"/>
        <v>-363</v>
      </c>
      <c r="H5158" s="263" t="s">
        <v>3521</v>
      </c>
    </row>
    <row r="5159" spans="1:8" ht="15" x14ac:dyDescent="0.2">
      <c r="A5159" s="612">
        <v>43265</v>
      </c>
      <c r="B5159" s="63" t="s">
        <v>3622</v>
      </c>
      <c r="C5159" s="47" t="s">
        <v>3145</v>
      </c>
      <c r="D5159" s="129" t="s">
        <v>3624</v>
      </c>
      <c r="E5159" s="126">
        <v>2980</v>
      </c>
      <c r="F5159" s="126"/>
      <c r="G5159" s="126">
        <f t="shared" si="84"/>
        <v>-2980</v>
      </c>
      <c r="H5159" s="263" t="s">
        <v>3521</v>
      </c>
    </row>
    <row r="5160" spans="1:8" ht="15" x14ac:dyDescent="0.2">
      <c r="A5160" s="612">
        <v>43265</v>
      </c>
      <c r="B5160" s="63" t="s">
        <v>11</v>
      </c>
      <c r="C5160" s="47" t="s">
        <v>3145</v>
      </c>
      <c r="D5160" s="129" t="s">
        <v>2349</v>
      </c>
      <c r="E5160" s="126">
        <v>8000</v>
      </c>
      <c r="F5160" s="126"/>
      <c r="G5160" s="126">
        <f t="shared" si="84"/>
        <v>-8000</v>
      </c>
      <c r="H5160" s="263" t="s">
        <v>3521</v>
      </c>
    </row>
    <row r="5161" spans="1:8" ht="15" x14ac:dyDescent="0.2">
      <c r="A5161" s="612">
        <v>43265</v>
      </c>
      <c r="B5161" s="63" t="s">
        <v>2787</v>
      </c>
      <c r="C5161" s="47" t="s">
        <v>3145</v>
      </c>
      <c r="D5161" s="129" t="s">
        <v>3625</v>
      </c>
      <c r="E5161" s="126">
        <f>200578/2</f>
        <v>100289</v>
      </c>
      <c r="F5161" s="126"/>
      <c r="G5161" s="126">
        <f t="shared" si="84"/>
        <v>-100289</v>
      </c>
      <c r="H5161" s="263" t="s">
        <v>3521</v>
      </c>
    </row>
    <row r="5162" spans="1:8" ht="15" x14ac:dyDescent="0.2">
      <c r="A5162" s="612">
        <v>43265</v>
      </c>
      <c r="B5162" s="63" t="s">
        <v>2787</v>
      </c>
      <c r="C5162" s="47" t="s">
        <v>3145</v>
      </c>
      <c r="D5162" s="129" t="s">
        <v>3625</v>
      </c>
      <c r="E5162" s="126">
        <v>38590</v>
      </c>
      <c r="F5162" s="126"/>
      <c r="G5162" s="126">
        <f t="shared" si="84"/>
        <v>-38590</v>
      </c>
      <c r="H5162" s="263" t="s">
        <v>3521</v>
      </c>
    </row>
    <row r="5163" spans="1:8" ht="15" x14ac:dyDescent="0.2">
      <c r="A5163" s="612">
        <v>43265</v>
      </c>
      <c r="B5163" s="63" t="s">
        <v>3622</v>
      </c>
      <c r="C5163" s="47" t="s">
        <v>3145</v>
      </c>
      <c r="D5163" s="129" t="s">
        <v>3626</v>
      </c>
      <c r="E5163" s="126">
        <v>11760</v>
      </c>
      <c r="F5163" s="126"/>
      <c r="G5163" s="126">
        <f t="shared" si="84"/>
        <v>-11760</v>
      </c>
      <c r="H5163" s="263" t="s">
        <v>3521</v>
      </c>
    </row>
    <row r="5164" spans="1:8" ht="15" x14ac:dyDescent="0.2">
      <c r="A5164" s="612">
        <v>43270</v>
      </c>
      <c r="B5164" s="63" t="s">
        <v>37</v>
      </c>
      <c r="C5164" s="47" t="s">
        <v>3145</v>
      </c>
      <c r="D5164" s="129" t="s">
        <v>3627</v>
      </c>
      <c r="E5164" s="126">
        <v>18500</v>
      </c>
      <c r="F5164" s="126"/>
      <c r="G5164" s="126">
        <f t="shared" si="84"/>
        <v>-18500</v>
      </c>
      <c r="H5164" s="263" t="s">
        <v>3521</v>
      </c>
    </row>
    <row r="5165" spans="1:8" ht="15" x14ac:dyDescent="0.2">
      <c r="A5165" s="612">
        <v>43270</v>
      </c>
      <c r="B5165" s="63" t="s">
        <v>18</v>
      </c>
      <c r="C5165" s="47" t="s">
        <v>3145</v>
      </c>
      <c r="D5165" s="129" t="s">
        <v>3588</v>
      </c>
      <c r="E5165" s="126">
        <v>4950</v>
      </c>
      <c r="F5165" s="126"/>
      <c r="G5165" s="126">
        <f t="shared" si="84"/>
        <v>-4950</v>
      </c>
      <c r="H5165" s="263" t="s">
        <v>3521</v>
      </c>
    </row>
    <row r="5166" spans="1:8" ht="24" x14ac:dyDescent="0.2">
      <c r="A5166" s="612">
        <v>43273</v>
      </c>
      <c r="B5166" s="63" t="s">
        <v>1400</v>
      </c>
      <c r="C5166" s="47" t="s">
        <v>3145</v>
      </c>
      <c r="D5166" s="129" t="s">
        <v>3628</v>
      </c>
      <c r="E5166" s="126">
        <v>210235</v>
      </c>
      <c r="F5166" s="126"/>
      <c r="G5166" s="126">
        <f t="shared" si="84"/>
        <v>-210235</v>
      </c>
      <c r="H5166" s="263" t="s">
        <v>3521</v>
      </c>
    </row>
    <row r="5167" spans="1:8" ht="15" x14ac:dyDescent="0.2">
      <c r="A5167" s="612">
        <v>43273</v>
      </c>
      <c r="B5167" s="63" t="s">
        <v>3622</v>
      </c>
      <c r="C5167" s="47" t="s">
        <v>392</v>
      </c>
      <c r="D5167" s="129" t="s">
        <v>3630</v>
      </c>
      <c r="E5167" s="126">
        <v>560</v>
      </c>
      <c r="F5167" s="126"/>
      <c r="G5167" s="126">
        <f t="shared" si="84"/>
        <v>-560</v>
      </c>
      <c r="H5167" s="263" t="s">
        <v>3521</v>
      </c>
    </row>
    <row r="5168" spans="1:8" ht="15" customHeight="1" x14ac:dyDescent="0.2">
      <c r="A5168" s="612">
        <v>43273</v>
      </c>
      <c r="B5168" s="63" t="s">
        <v>3622</v>
      </c>
      <c r="C5168" s="47" t="s">
        <v>286</v>
      </c>
      <c r="D5168" s="129" t="s">
        <v>3629</v>
      </c>
      <c r="E5168" s="126">
        <v>1000</v>
      </c>
      <c r="F5168" s="126"/>
      <c r="G5168" s="126">
        <f t="shared" si="84"/>
        <v>-1000</v>
      </c>
      <c r="H5168" s="263" t="s">
        <v>3521</v>
      </c>
    </row>
    <row r="5169" spans="1:8" ht="15" x14ac:dyDescent="0.2">
      <c r="A5169" s="612">
        <v>43273</v>
      </c>
      <c r="B5169" s="63" t="s">
        <v>2787</v>
      </c>
      <c r="C5169" s="47" t="s">
        <v>3145</v>
      </c>
      <c r="D5169" s="129" t="s">
        <v>3631</v>
      </c>
      <c r="E5169" s="126">
        <v>6750</v>
      </c>
      <c r="F5169" s="126"/>
      <c r="G5169" s="126">
        <f t="shared" si="84"/>
        <v>-6750</v>
      </c>
      <c r="H5169" s="263" t="s">
        <v>3521</v>
      </c>
    </row>
    <row r="5170" spans="1:8" ht="15" x14ac:dyDescent="0.2">
      <c r="A5170" s="612">
        <v>43273</v>
      </c>
      <c r="B5170" s="63" t="s">
        <v>2787</v>
      </c>
      <c r="C5170" s="47" t="s">
        <v>3145</v>
      </c>
      <c r="D5170" s="129" t="s">
        <v>3632</v>
      </c>
      <c r="E5170" s="126">
        <f>8950-3100</f>
        <v>5850</v>
      </c>
      <c r="F5170" s="126"/>
      <c r="G5170" s="126">
        <f t="shared" si="84"/>
        <v>-5850</v>
      </c>
      <c r="H5170" s="263" t="s">
        <v>3521</v>
      </c>
    </row>
    <row r="5171" spans="1:8" ht="15" x14ac:dyDescent="0.2">
      <c r="A5171" s="612">
        <v>43273</v>
      </c>
      <c r="B5171" s="63" t="s">
        <v>2787</v>
      </c>
      <c r="C5171" s="47" t="s">
        <v>3145</v>
      </c>
      <c r="D5171" s="129" t="s">
        <v>3633</v>
      </c>
      <c r="E5171" s="126">
        <v>6700</v>
      </c>
      <c r="F5171" s="126"/>
      <c r="G5171" s="126">
        <f t="shared" si="84"/>
        <v>-6700</v>
      </c>
      <c r="H5171" s="263" t="s">
        <v>3521</v>
      </c>
    </row>
    <row r="5172" spans="1:8" ht="15" x14ac:dyDescent="0.2">
      <c r="A5172" s="612">
        <v>43273</v>
      </c>
      <c r="B5172" s="63" t="s">
        <v>3622</v>
      </c>
      <c r="C5172" s="47" t="s">
        <v>3149</v>
      </c>
      <c r="D5172" s="129" t="s">
        <v>3369</v>
      </c>
      <c r="E5172" s="126">
        <v>720</v>
      </c>
      <c r="F5172" s="126"/>
      <c r="G5172" s="126">
        <f t="shared" si="84"/>
        <v>-720</v>
      </c>
      <c r="H5172" s="263" t="s">
        <v>3521</v>
      </c>
    </row>
    <row r="5173" spans="1:8" ht="15" x14ac:dyDescent="0.2">
      <c r="A5173" s="612">
        <v>43273</v>
      </c>
      <c r="B5173" s="63" t="s">
        <v>2787</v>
      </c>
      <c r="C5173" s="47" t="s">
        <v>3145</v>
      </c>
      <c r="D5173" s="129" t="s">
        <v>3634</v>
      </c>
      <c r="E5173" s="126">
        <v>19000</v>
      </c>
      <c r="F5173" s="126"/>
      <c r="G5173" s="126">
        <f t="shared" si="84"/>
        <v>-19000</v>
      </c>
      <c r="H5173" s="263" t="s">
        <v>3521</v>
      </c>
    </row>
    <row r="5174" spans="1:8" ht="15" x14ac:dyDescent="0.2">
      <c r="A5174" s="612">
        <v>43273</v>
      </c>
      <c r="B5174" s="63" t="s">
        <v>2787</v>
      </c>
      <c r="C5174" s="47" t="s">
        <v>286</v>
      </c>
      <c r="D5174" s="129" t="s">
        <v>3635</v>
      </c>
      <c r="E5174" s="126">
        <v>19950</v>
      </c>
      <c r="F5174" s="126"/>
      <c r="G5174" s="126">
        <f t="shared" si="84"/>
        <v>-19950</v>
      </c>
      <c r="H5174" s="263" t="s">
        <v>3521</v>
      </c>
    </row>
    <row r="5175" spans="1:8" ht="15" x14ac:dyDescent="0.2">
      <c r="A5175" s="612">
        <v>43274</v>
      </c>
      <c r="B5175" s="63" t="s">
        <v>2787</v>
      </c>
      <c r="C5175" s="47" t="s">
        <v>3077</v>
      </c>
      <c r="D5175" s="129" t="s">
        <v>3636</v>
      </c>
      <c r="E5175" s="126">
        <v>20000</v>
      </c>
      <c r="F5175" s="126"/>
      <c r="G5175" s="126">
        <f t="shared" si="84"/>
        <v>-20000</v>
      </c>
      <c r="H5175" s="263" t="s">
        <v>3521</v>
      </c>
    </row>
    <row r="5176" spans="1:8" ht="15" x14ac:dyDescent="0.2">
      <c r="A5176" s="612">
        <v>43274</v>
      </c>
      <c r="B5176" s="63" t="s">
        <v>2787</v>
      </c>
      <c r="C5176" s="47" t="s">
        <v>2601</v>
      </c>
      <c r="D5176" s="129" t="s">
        <v>3637</v>
      </c>
      <c r="E5176" s="126">
        <v>4700</v>
      </c>
      <c r="F5176" s="126"/>
      <c r="G5176" s="126">
        <f t="shared" si="84"/>
        <v>-4700</v>
      </c>
      <c r="H5176" s="263" t="s">
        <v>3521</v>
      </c>
    </row>
    <row r="5177" spans="1:8" ht="15" x14ac:dyDescent="0.2">
      <c r="A5177" s="612">
        <v>43274</v>
      </c>
      <c r="B5177" s="63" t="s">
        <v>2787</v>
      </c>
      <c r="C5177" s="47" t="s">
        <v>3638</v>
      </c>
      <c r="D5177" s="129" t="s">
        <v>3639</v>
      </c>
      <c r="E5177" s="126">
        <v>50000</v>
      </c>
      <c r="F5177" s="126"/>
      <c r="G5177" s="126">
        <f t="shared" si="84"/>
        <v>-50000</v>
      </c>
      <c r="H5177" s="263" t="s">
        <v>3521</v>
      </c>
    </row>
    <row r="5178" spans="1:8" ht="15" x14ac:dyDescent="0.2">
      <c r="A5178" s="612">
        <v>43274</v>
      </c>
      <c r="B5178" s="63" t="s">
        <v>2787</v>
      </c>
      <c r="C5178" s="47" t="s">
        <v>3638</v>
      </c>
      <c r="D5178" s="129" t="s">
        <v>3640</v>
      </c>
      <c r="E5178" s="126">
        <v>250000</v>
      </c>
      <c r="F5178" s="126"/>
      <c r="G5178" s="126">
        <f t="shared" si="84"/>
        <v>-250000</v>
      </c>
      <c r="H5178" s="263" t="s">
        <v>3521</v>
      </c>
    </row>
    <row r="5179" spans="1:8" ht="15" x14ac:dyDescent="0.2">
      <c r="A5179" s="612">
        <v>43274</v>
      </c>
      <c r="B5179" s="63" t="s">
        <v>2933</v>
      </c>
      <c r="C5179" s="47" t="s">
        <v>3428</v>
      </c>
      <c r="D5179" s="129" t="s">
        <v>2893</v>
      </c>
      <c r="E5179" s="126">
        <v>90000</v>
      </c>
      <c r="F5179" s="126"/>
      <c r="G5179" s="126">
        <f t="shared" si="84"/>
        <v>-90000</v>
      </c>
      <c r="H5179" s="263" t="s">
        <v>3521</v>
      </c>
    </row>
    <row r="5180" spans="1:8" ht="15" x14ac:dyDescent="0.2">
      <c r="A5180" s="612">
        <v>43274</v>
      </c>
      <c r="B5180" s="63" t="s">
        <v>2787</v>
      </c>
      <c r="C5180" s="47" t="s">
        <v>3077</v>
      </c>
      <c r="D5180" s="129" t="s">
        <v>3641</v>
      </c>
      <c r="E5180" s="126">
        <v>25000</v>
      </c>
      <c r="F5180" s="126"/>
      <c r="G5180" s="126">
        <f t="shared" si="84"/>
        <v>-25000</v>
      </c>
      <c r="H5180" s="263" t="s">
        <v>3521</v>
      </c>
    </row>
    <row r="5181" spans="1:8" ht="15" x14ac:dyDescent="0.2">
      <c r="A5181" s="612">
        <v>43274</v>
      </c>
      <c r="B5181" s="63" t="s">
        <v>2787</v>
      </c>
      <c r="C5181" s="47" t="s">
        <v>3077</v>
      </c>
      <c r="D5181" s="129" t="s">
        <v>3636</v>
      </c>
      <c r="E5181" s="126">
        <v>16000</v>
      </c>
      <c r="F5181" s="126"/>
      <c r="G5181" s="126">
        <f t="shared" si="84"/>
        <v>-16000</v>
      </c>
      <c r="H5181" s="263" t="s">
        <v>3521</v>
      </c>
    </row>
    <row r="5182" spans="1:8" ht="15" x14ac:dyDescent="0.2">
      <c r="A5182" s="612">
        <v>43274</v>
      </c>
      <c r="B5182" s="63" t="s">
        <v>2787</v>
      </c>
      <c r="C5182" s="47" t="s">
        <v>3145</v>
      </c>
      <c r="D5182" s="129" t="s">
        <v>1225</v>
      </c>
      <c r="E5182" s="126">
        <v>11200</v>
      </c>
      <c r="F5182" s="126"/>
      <c r="G5182" s="126">
        <f t="shared" si="84"/>
        <v>-11200</v>
      </c>
      <c r="H5182" s="263" t="s">
        <v>3521</v>
      </c>
    </row>
    <row r="5183" spans="1:8" ht="15" x14ac:dyDescent="0.2">
      <c r="A5183" s="612">
        <v>43274</v>
      </c>
      <c r="B5183" s="63" t="s">
        <v>2787</v>
      </c>
      <c r="C5183" s="47" t="s">
        <v>3145</v>
      </c>
      <c r="D5183" s="129" t="s">
        <v>3646</v>
      </c>
      <c r="E5183" s="126">
        <v>6750</v>
      </c>
      <c r="F5183" s="126"/>
      <c r="G5183" s="126">
        <f t="shared" si="84"/>
        <v>-6750</v>
      </c>
      <c r="H5183" s="263" t="s">
        <v>3521</v>
      </c>
    </row>
    <row r="5184" spans="1:8" ht="24" x14ac:dyDescent="0.2">
      <c r="A5184" s="612">
        <v>43274</v>
      </c>
      <c r="B5184" s="63" t="s">
        <v>1400</v>
      </c>
      <c r="C5184" s="47" t="s">
        <v>3145</v>
      </c>
      <c r="D5184" s="129" t="s">
        <v>3647</v>
      </c>
      <c r="E5184" s="126">
        <v>87510</v>
      </c>
      <c r="F5184" s="126"/>
      <c r="G5184" s="126">
        <f t="shared" si="84"/>
        <v>-87510</v>
      </c>
      <c r="H5184" s="263" t="s">
        <v>3521</v>
      </c>
    </row>
    <row r="5185" spans="1:8" ht="24" x14ac:dyDescent="0.2">
      <c r="A5185" s="612">
        <v>43274</v>
      </c>
      <c r="B5185" s="63" t="s">
        <v>2787</v>
      </c>
      <c r="C5185" s="47" t="s">
        <v>3145</v>
      </c>
      <c r="D5185" s="129" t="s">
        <v>3649</v>
      </c>
      <c r="E5185" s="126">
        <v>14623</v>
      </c>
      <c r="F5185" s="126"/>
      <c r="G5185" s="126">
        <f t="shared" si="84"/>
        <v>-14623</v>
      </c>
      <c r="H5185" s="263" t="s">
        <v>3521</v>
      </c>
    </row>
    <row r="5186" spans="1:8" ht="15" x14ac:dyDescent="0.2">
      <c r="A5186" s="612">
        <v>43274</v>
      </c>
      <c r="B5186" s="63" t="s">
        <v>1400</v>
      </c>
      <c r="C5186" s="47" t="s">
        <v>3145</v>
      </c>
      <c r="D5186" s="129" t="s">
        <v>3648</v>
      </c>
      <c r="E5186" s="126">
        <v>3940</v>
      </c>
      <c r="F5186" s="126"/>
      <c r="G5186" s="126">
        <f t="shared" si="84"/>
        <v>-3940</v>
      </c>
      <c r="H5186" s="263" t="s">
        <v>3521</v>
      </c>
    </row>
    <row r="5187" spans="1:8" ht="15" x14ac:dyDescent="0.2">
      <c r="A5187" s="612">
        <v>43276</v>
      </c>
      <c r="B5187" s="63" t="s">
        <v>2652</v>
      </c>
      <c r="C5187" s="47" t="s">
        <v>3145</v>
      </c>
      <c r="D5187" s="129" t="s">
        <v>3650</v>
      </c>
      <c r="E5187" s="126">
        <v>1930</v>
      </c>
      <c r="F5187" s="126"/>
      <c r="G5187" s="126">
        <f t="shared" si="84"/>
        <v>-1930</v>
      </c>
      <c r="H5187" s="263" t="s">
        <v>3521</v>
      </c>
    </row>
    <row r="5188" spans="1:8" ht="15" x14ac:dyDescent="0.2">
      <c r="A5188" s="612">
        <v>43277</v>
      </c>
      <c r="B5188" s="63" t="s">
        <v>3622</v>
      </c>
      <c r="C5188" s="47" t="s">
        <v>3145</v>
      </c>
      <c r="D5188" s="129" t="s">
        <v>3651</v>
      </c>
      <c r="E5188" s="126">
        <f>2150-1000</f>
        <v>1150</v>
      </c>
      <c r="F5188" s="126"/>
      <c r="G5188" s="126">
        <f t="shared" si="84"/>
        <v>-1150</v>
      </c>
      <c r="H5188" s="263" t="s">
        <v>3521</v>
      </c>
    </row>
    <row r="5189" spans="1:8" ht="15" x14ac:dyDescent="0.2">
      <c r="A5189" s="612">
        <v>43277</v>
      </c>
      <c r="B5189" s="63" t="s">
        <v>3622</v>
      </c>
      <c r="C5189" s="47" t="s">
        <v>286</v>
      </c>
      <c r="D5189" s="129" t="s">
        <v>220</v>
      </c>
      <c r="E5189" s="126">
        <v>1000</v>
      </c>
      <c r="F5189" s="126"/>
      <c r="G5189" s="126">
        <f t="shared" si="84"/>
        <v>-1000</v>
      </c>
      <c r="H5189" s="263" t="s">
        <v>3521</v>
      </c>
    </row>
    <row r="5190" spans="1:8" ht="15" x14ac:dyDescent="0.2">
      <c r="A5190" s="612">
        <v>43277</v>
      </c>
      <c r="B5190" s="63" t="s">
        <v>25</v>
      </c>
      <c r="C5190" s="47" t="s">
        <v>1894</v>
      </c>
      <c r="D5190" s="129" t="s">
        <v>3652</v>
      </c>
      <c r="E5190" s="126">
        <v>9432</v>
      </c>
      <c r="F5190" s="126"/>
      <c r="G5190" s="126">
        <f t="shared" si="84"/>
        <v>-9432</v>
      </c>
      <c r="H5190" s="263" t="s">
        <v>3521</v>
      </c>
    </row>
    <row r="5191" spans="1:8" ht="15" x14ac:dyDescent="0.2">
      <c r="A5191" s="612">
        <v>43277</v>
      </c>
      <c r="B5191" s="63" t="s">
        <v>2787</v>
      </c>
      <c r="C5191" s="47" t="s">
        <v>3145</v>
      </c>
      <c r="D5191" s="129" t="s">
        <v>3653</v>
      </c>
      <c r="E5191" s="126">
        <v>2500</v>
      </c>
      <c r="F5191" s="126"/>
      <c r="G5191" s="126">
        <f t="shared" si="84"/>
        <v>-2500</v>
      </c>
      <c r="H5191" s="263" t="s">
        <v>3521</v>
      </c>
    </row>
    <row r="5192" spans="1:8" ht="24" x14ac:dyDescent="0.2">
      <c r="A5192" s="612">
        <v>43278</v>
      </c>
      <c r="B5192" s="63" t="s">
        <v>1400</v>
      </c>
      <c r="C5192" s="47" t="s">
        <v>3145</v>
      </c>
      <c r="D5192" s="129" t="s">
        <v>3654</v>
      </c>
      <c r="E5192" s="126">
        <v>19240</v>
      </c>
      <c r="F5192" s="126"/>
      <c r="G5192" s="126">
        <f t="shared" si="84"/>
        <v>-19240</v>
      </c>
      <c r="H5192" s="263" t="s">
        <v>3521</v>
      </c>
    </row>
    <row r="5193" spans="1:8" ht="15" customHeight="1" x14ac:dyDescent="0.2">
      <c r="A5193" s="612">
        <v>43278</v>
      </c>
      <c r="B5193" s="63" t="s">
        <v>3622</v>
      </c>
      <c r="C5193" s="47" t="s">
        <v>3149</v>
      </c>
      <c r="D5193" s="129" t="s">
        <v>3369</v>
      </c>
      <c r="E5193" s="126">
        <v>240</v>
      </c>
      <c r="F5193" s="126"/>
      <c r="G5193" s="126">
        <f t="shared" ref="G5193:G5256" si="85">F5193-E5193</f>
        <v>-240</v>
      </c>
      <c r="H5193" s="263" t="s">
        <v>3521</v>
      </c>
    </row>
    <row r="5194" spans="1:8" ht="15" x14ac:dyDescent="0.2">
      <c r="A5194" s="612">
        <v>43278</v>
      </c>
      <c r="B5194" s="63" t="s">
        <v>2933</v>
      </c>
      <c r="C5194" s="47" t="s">
        <v>3145</v>
      </c>
      <c r="D5194" s="129" t="s">
        <v>3655</v>
      </c>
      <c r="E5194" s="126">
        <v>35480</v>
      </c>
      <c r="F5194" s="126"/>
      <c r="G5194" s="126">
        <f t="shared" si="85"/>
        <v>-35480</v>
      </c>
      <c r="H5194" s="263" t="s">
        <v>3521</v>
      </c>
    </row>
    <row r="5195" spans="1:8" ht="15" x14ac:dyDescent="0.2">
      <c r="A5195" s="612">
        <v>43278</v>
      </c>
      <c r="B5195" s="63" t="s">
        <v>2787</v>
      </c>
      <c r="C5195" s="47" t="s">
        <v>392</v>
      </c>
      <c r="D5195" s="129" t="s">
        <v>2158</v>
      </c>
      <c r="E5195" s="126">
        <v>750</v>
      </c>
      <c r="F5195" s="126"/>
      <c r="G5195" s="126">
        <f t="shared" si="85"/>
        <v>-750</v>
      </c>
      <c r="H5195" s="263" t="s">
        <v>3521</v>
      </c>
    </row>
    <row r="5196" spans="1:8" ht="15" x14ac:dyDescent="0.2">
      <c r="A5196" s="612">
        <v>43278</v>
      </c>
      <c r="B5196" s="63" t="s">
        <v>3622</v>
      </c>
      <c r="C5196" s="47" t="s">
        <v>392</v>
      </c>
      <c r="D5196" s="129" t="s">
        <v>3656</v>
      </c>
      <c r="E5196" s="126">
        <v>800</v>
      </c>
      <c r="F5196" s="126"/>
      <c r="G5196" s="126">
        <f t="shared" si="85"/>
        <v>-800</v>
      </c>
      <c r="H5196" s="263" t="s">
        <v>3521</v>
      </c>
    </row>
    <row r="5197" spans="1:8" ht="15" x14ac:dyDescent="0.2">
      <c r="A5197" s="604">
        <v>43258</v>
      </c>
      <c r="B5197" s="174" t="s">
        <v>2787</v>
      </c>
      <c r="C5197" s="174" t="s">
        <v>895</v>
      </c>
      <c r="D5197" s="118" t="s">
        <v>3535</v>
      </c>
      <c r="E5197" s="236">
        <v>150000</v>
      </c>
      <c r="F5197" s="236"/>
      <c r="G5197" s="236">
        <f t="shared" si="85"/>
        <v>-150000</v>
      </c>
      <c r="H5197" s="260" t="s">
        <v>3521</v>
      </c>
    </row>
    <row r="5198" spans="1:8" ht="15" x14ac:dyDescent="0.2">
      <c r="A5198" s="604">
        <v>43258</v>
      </c>
      <c r="B5198" s="174" t="s">
        <v>2787</v>
      </c>
      <c r="C5198" s="174" t="s">
        <v>3011</v>
      </c>
      <c r="D5198" s="118" t="s">
        <v>3535</v>
      </c>
      <c r="E5198" s="236">
        <v>150000</v>
      </c>
      <c r="F5198" s="236"/>
      <c r="G5198" s="236">
        <f t="shared" si="85"/>
        <v>-150000</v>
      </c>
      <c r="H5198" s="260" t="s">
        <v>3521</v>
      </c>
    </row>
    <row r="5199" spans="1:8" ht="15" x14ac:dyDescent="0.2">
      <c r="A5199" s="604">
        <v>43258</v>
      </c>
      <c r="B5199" s="174" t="s">
        <v>1400</v>
      </c>
      <c r="C5199" s="174" t="s">
        <v>164</v>
      </c>
      <c r="D5199" s="118" t="s">
        <v>3535</v>
      </c>
      <c r="E5199" s="236">
        <v>100000</v>
      </c>
      <c r="F5199" s="236"/>
      <c r="G5199" s="236">
        <f t="shared" si="85"/>
        <v>-100000</v>
      </c>
      <c r="H5199" s="260" t="s">
        <v>3521</v>
      </c>
    </row>
    <row r="5200" spans="1:8" ht="15" x14ac:dyDescent="0.2">
      <c r="A5200" s="604">
        <v>43258</v>
      </c>
      <c r="B5200" s="174" t="s">
        <v>2787</v>
      </c>
      <c r="C5200" s="174" t="s">
        <v>2196</v>
      </c>
      <c r="D5200" s="118" t="s">
        <v>3536</v>
      </c>
      <c r="E5200" s="236">
        <v>200000</v>
      </c>
      <c r="F5200" s="236"/>
      <c r="G5200" s="236">
        <f t="shared" si="85"/>
        <v>-200000</v>
      </c>
      <c r="H5200" s="260" t="s">
        <v>3521</v>
      </c>
    </row>
    <row r="5201" spans="1:8" ht="15" x14ac:dyDescent="0.2">
      <c r="A5201" s="604">
        <v>43258</v>
      </c>
      <c r="B5201" s="174" t="s">
        <v>1400</v>
      </c>
      <c r="C5201" s="174" t="s">
        <v>705</v>
      </c>
      <c r="D5201" s="118" t="s">
        <v>3537</v>
      </c>
      <c r="E5201" s="236">
        <v>150000</v>
      </c>
      <c r="F5201" s="236"/>
      <c r="G5201" s="236">
        <f t="shared" si="85"/>
        <v>-150000</v>
      </c>
      <c r="H5201" s="260" t="s">
        <v>3521</v>
      </c>
    </row>
    <row r="5202" spans="1:8" ht="15" customHeight="1" x14ac:dyDescent="0.2">
      <c r="A5202" s="604">
        <v>43258</v>
      </c>
      <c r="B5202" s="122" t="s">
        <v>37</v>
      </c>
      <c r="C5202" s="174" t="s">
        <v>165</v>
      </c>
      <c r="D5202" s="118" t="s">
        <v>3538</v>
      </c>
      <c r="E5202" s="236">
        <v>159000</v>
      </c>
      <c r="F5202" s="236"/>
      <c r="G5202" s="236">
        <f t="shared" si="85"/>
        <v>-159000</v>
      </c>
      <c r="H5202" s="260" t="s">
        <v>3521</v>
      </c>
    </row>
    <row r="5203" spans="1:8" ht="15" customHeight="1" x14ac:dyDescent="0.2">
      <c r="A5203" s="604">
        <v>43258</v>
      </c>
      <c r="B5203" s="174" t="s">
        <v>1400</v>
      </c>
      <c r="C5203" s="174" t="s">
        <v>1803</v>
      </c>
      <c r="D5203" s="118" t="s">
        <v>3539</v>
      </c>
      <c r="E5203" s="236">
        <v>200000</v>
      </c>
      <c r="F5203" s="236"/>
      <c r="G5203" s="236">
        <f t="shared" si="85"/>
        <v>-200000</v>
      </c>
      <c r="H5203" s="260" t="s">
        <v>3521</v>
      </c>
    </row>
    <row r="5204" spans="1:8" ht="15" customHeight="1" x14ac:dyDescent="0.2">
      <c r="A5204" s="604">
        <v>43259</v>
      </c>
      <c r="B5204" s="174" t="s">
        <v>2787</v>
      </c>
      <c r="C5204" s="174" t="s">
        <v>929</v>
      </c>
      <c r="D5204" s="118" t="s">
        <v>2655</v>
      </c>
      <c r="E5204" s="236">
        <v>50000</v>
      </c>
      <c r="F5204" s="236"/>
      <c r="G5204" s="236">
        <f t="shared" si="85"/>
        <v>-50000</v>
      </c>
      <c r="H5204" s="260" t="s">
        <v>3521</v>
      </c>
    </row>
    <row r="5205" spans="1:8" ht="15" customHeight="1" x14ac:dyDescent="0.2">
      <c r="A5205" s="604">
        <v>43259</v>
      </c>
      <c r="B5205" s="174" t="s">
        <v>2787</v>
      </c>
      <c r="C5205" s="174" t="s">
        <v>3077</v>
      </c>
      <c r="D5205" s="118" t="s">
        <v>3540</v>
      </c>
      <c r="E5205" s="236">
        <v>20000</v>
      </c>
      <c r="F5205" s="236"/>
      <c r="G5205" s="236">
        <f t="shared" si="85"/>
        <v>-20000</v>
      </c>
      <c r="H5205" s="260" t="s">
        <v>3521</v>
      </c>
    </row>
    <row r="5206" spans="1:8" ht="15" customHeight="1" x14ac:dyDescent="0.2">
      <c r="A5206" s="604">
        <v>43259</v>
      </c>
      <c r="B5206" s="174" t="s">
        <v>2787</v>
      </c>
      <c r="C5206" s="174" t="s">
        <v>3446</v>
      </c>
      <c r="D5206" s="118" t="s">
        <v>3541</v>
      </c>
      <c r="E5206" s="236">
        <v>205000</v>
      </c>
      <c r="F5206" s="236"/>
      <c r="G5206" s="236">
        <f t="shared" si="85"/>
        <v>-205000</v>
      </c>
      <c r="H5206" s="260" t="s">
        <v>3521</v>
      </c>
    </row>
    <row r="5207" spans="1:8" ht="15" customHeight="1" x14ac:dyDescent="0.2">
      <c r="A5207" s="604">
        <v>43259</v>
      </c>
      <c r="B5207" s="174" t="s">
        <v>2787</v>
      </c>
      <c r="C5207" s="174" t="s">
        <v>3077</v>
      </c>
      <c r="D5207" s="118" t="s">
        <v>3542</v>
      </c>
      <c r="E5207" s="236">
        <v>39000</v>
      </c>
      <c r="F5207" s="236"/>
      <c r="G5207" s="236">
        <f t="shared" si="85"/>
        <v>-39000</v>
      </c>
      <c r="H5207" s="260" t="s">
        <v>3521</v>
      </c>
    </row>
    <row r="5208" spans="1:8" ht="15" customHeight="1" x14ac:dyDescent="0.2">
      <c r="A5208" s="604">
        <v>43260</v>
      </c>
      <c r="B5208" s="174" t="s">
        <v>2787</v>
      </c>
      <c r="C5208" s="174" t="s">
        <v>3275</v>
      </c>
      <c r="D5208" s="118" t="s">
        <v>3543</v>
      </c>
      <c r="E5208" s="236">
        <v>200000</v>
      </c>
      <c r="F5208" s="236"/>
      <c r="G5208" s="236">
        <f t="shared" si="85"/>
        <v>-200000</v>
      </c>
      <c r="H5208" s="260" t="s">
        <v>3521</v>
      </c>
    </row>
    <row r="5209" spans="1:8" ht="15" customHeight="1" x14ac:dyDescent="0.2">
      <c r="A5209" s="604">
        <v>43260</v>
      </c>
      <c r="B5209" s="174" t="s">
        <v>2933</v>
      </c>
      <c r="C5209" s="174" t="s">
        <v>3285</v>
      </c>
      <c r="D5209" s="118" t="s">
        <v>3544</v>
      </c>
      <c r="E5209" s="236">
        <v>257700</v>
      </c>
      <c r="F5209" s="236"/>
      <c r="G5209" s="236">
        <f t="shared" si="85"/>
        <v>-257700</v>
      </c>
      <c r="H5209" s="260" t="s">
        <v>3521</v>
      </c>
    </row>
    <row r="5210" spans="1:8" ht="15" customHeight="1" x14ac:dyDescent="0.2">
      <c r="A5210" s="604">
        <v>43260</v>
      </c>
      <c r="B5210" s="174" t="s">
        <v>2787</v>
      </c>
      <c r="C5210" s="174" t="s">
        <v>266</v>
      </c>
      <c r="D5210" s="118" t="s">
        <v>3545</v>
      </c>
      <c r="E5210" s="236">
        <v>363800</v>
      </c>
      <c r="F5210" s="236"/>
      <c r="G5210" s="236">
        <f t="shared" si="85"/>
        <v>-363800</v>
      </c>
      <c r="H5210" s="260" t="s">
        <v>3521</v>
      </c>
    </row>
    <row r="5211" spans="1:8" ht="15" customHeight="1" x14ac:dyDescent="0.2">
      <c r="A5211" s="604">
        <v>43260</v>
      </c>
      <c r="B5211" s="174" t="s">
        <v>1400</v>
      </c>
      <c r="C5211" s="174" t="s">
        <v>2386</v>
      </c>
      <c r="D5211" s="118" t="s">
        <v>3546</v>
      </c>
      <c r="E5211" s="236">
        <v>177000</v>
      </c>
      <c r="F5211" s="236"/>
      <c r="G5211" s="236">
        <f t="shared" si="85"/>
        <v>-177000</v>
      </c>
      <c r="H5211" s="260" t="s">
        <v>3521</v>
      </c>
    </row>
    <row r="5212" spans="1:8" ht="15" customHeight="1" x14ac:dyDescent="0.2">
      <c r="A5212" s="604">
        <v>43260</v>
      </c>
      <c r="B5212" s="174" t="s">
        <v>25</v>
      </c>
      <c r="C5212" s="174" t="s">
        <v>1894</v>
      </c>
      <c r="D5212" s="118" t="s">
        <v>3547</v>
      </c>
      <c r="E5212" s="236">
        <v>13100</v>
      </c>
      <c r="F5212" s="236"/>
      <c r="G5212" s="236">
        <f t="shared" si="85"/>
        <v>-13100</v>
      </c>
      <c r="H5212" s="260" t="s">
        <v>3521</v>
      </c>
    </row>
    <row r="5213" spans="1:8" ht="15" customHeight="1" x14ac:dyDescent="0.2">
      <c r="A5213" s="604">
        <v>43260</v>
      </c>
      <c r="B5213" s="174" t="s">
        <v>2787</v>
      </c>
      <c r="C5213" s="174" t="s">
        <v>5187</v>
      </c>
      <c r="D5213" s="118" t="s">
        <v>3548</v>
      </c>
      <c r="E5213" s="236">
        <f>13500+150000</f>
        <v>163500</v>
      </c>
      <c r="F5213" s="236"/>
      <c r="G5213" s="236">
        <f t="shared" si="85"/>
        <v>-163500</v>
      </c>
      <c r="H5213" s="260" t="s">
        <v>3521</v>
      </c>
    </row>
    <row r="5214" spans="1:8" ht="15" customHeight="1" x14ac:dyDescent="0.2">
      <c r="A5214" s="604">
        <v>43260</v>
      </c>
      <c r="B5214" s="174" t="s">
        <v>2787</v>
      </c>
      <c r="C5214" s="174" t="s">
        <v>3106</v>
      </c>
      <c r="D5214" s="118" t="s">
        <v>3549</v>
      </c>
      <c r="E5214" s="236">
        <v>38000</v>
      </c>
      <c r="F5214" s="236"/>
      <c r="G5214" s="236">
        <f t="shared" si="85"/>
        <v>-38000</v>
      </c>
      <c r="H5214" s="260" t="s">
        <v>3521</v>
      </c>
    </row>
    <row r="5215" spans="1:8" ht="24" customHeight="1" x14ac:dyDescent="0.2">
      <c r="A5215" s="604">
        <v>43260</v>
      </c>
      <c r="B5215" s="174" t="s">
        <v>2787</v>
      </c>
      <c r="C5215" s="174" t="s">
        <v>3106</v>
      </c>
      <c r="D5215" s="118" t="s">
        <v>3550</v>
      </c>
      <c r="E5215" s="236">
        <v>112000</v>
      </c>
      <c r="F5215" s="236"/>
      <c r="G5215" s="236">
        <f t="shared" si="85"/>
        <v>-112000</v>
      </c>
      <c r="H5215" s="260" t="s">
        <v>3521</v>
      </c>
    </row>
    <row r="5216" spans="1:8" ht="15" customHeight="1" x14ac:dyDescent="0.2">
      <c r="A5216" s="604">
        <v>43260</v>
      </c>
      <c r="B5216" s="174" t="s">
        <v>2787</v>
      </c>
      <c r="C5216" s="174" t="s">
        <v>256</v>
      </c>
      <c r="D5216" s="118" t="s">
        <v>3551</v>
      </c>
      <c r="E5216" s="236">
        <v>250000</v>
      </c>
      <c r="F5216" s="236"/>
      <c r="G5216" s="236">
        <f t="shared" si="85"/>
        <v>-250000</v>
      </c>
      <c r="H5216" s="260" t="s">
        <v>3521</v>
      </c>
    </row>
    <row r="5217" spans="1:8" ht="15" customHeight="1" x14ac:dyDescent="0.2">
      <c r="A5217" s="604">
        <v>43262</v>
      </c>
      <c r="B5217" s="174" t="s">
        <v>2787</v>
      </c>
      <c r="C5217" s="174" t="s">
        <v>251</v>
      </c>
      <c r="D5217" s="118" t="s">
        <v>3552</v>
      </c>
      <c r="E5217" s="236">
        <v>119000</v>
      </c>
      <c r="F5217" s="236"/>
      <c r="G5217" s="236">
        <f t="shared" si="85"/>
        <v>-119000</v>
      </c>
      <c r="H5217" s="260" t="s">
        <v>3521</v>
      </c>
    </row>
    <row r="5218" spans="1:8" ht="15" customHeight="1" x14ac:dyDescent="0.2">
      <c r="A5218" s="604">
        <v>43262</v>
      </c>
      <c r="B5218" s="174" t="s">
        <v>2787</v>
      </c>
      <c r="C5218" s="174" t="s">
        <v>3275</v>
      </c>
      <c r="D5218" s="118" t="s">
        <v>3549</v>
      </c>
      <c r="E5218" s="236">
        <v>20000</v>
      </c>
      <c r="F5218" s="236"/>
      <c r="G5218" s="236">
        <f t="shared" si="85"/>
        <v>-20000</v>
      </c>
      <c r="H5218" s="260" t="s">
        <v>3521</v>
      </c>
    </row>
    <row r="5219" spans="1:8" ht="24" customHeight="1" x14ac:dyDescent="0.2">
      <c r="A5219" s="604">
        <v>43262</v>
      </c>
      <c r="B5219" s="174" t="s">
        <v>1400</v>
      </c>
      <c r="C5219" s="174" t="s">
        <v>2515</v>
      </c>
      <c r="D5219" s="118" t="s">
        <v>3553</v>
      </c>
      <c r="E5219" s="236">
        <v>28000</v>
      </c>
      <c r="F5219" s="236"/>
      <c r="G5219" s="236">
        <f t="shared" si="85"/>
        <v>-28000</v>
      </c>
      <c r="H5219" s="260" t="s">
        <v>3521</v>
      </c>
    </row>
    <row r="5220" spans="1:8" ht="15" customHeight="1" x14ac:dyDescent="0.2">
      <c r="A5220" s="604">
        <v>43262</v>
      </c>
      <c r="B5220" s="174" t="s">
        <v>1400</v>
      </c>
      <c r="C5220" s="174" t="s">
        <v>2515</v>
      </c>
      <c r="D5220" s="118" t="s">
        <v>3554</v>
      </c>
      <c r="E5220" s="236">
        <v>167000</v>
      </c>
      <c r="F5220" s="236"/>
      <c r="G5220" s="236">
        <f t="shared" si="85"/>
        <v>-167000</v>
      </c>
      <c r="H5220" s="260" t="s">
        <v>3521</v>
      </c>
    </row>
    <row r="5221" spans="1:8" ht="24" customHeight="1" x14ac:dyDescent="0.2">
      <c r="A5221" s="604">
        <v>43262</v>
      </c>
      <c r="B5221" s="174" t="s">
        <v>2787</v>
      </c>
      <c r="C5221" s="174" t="s">
        <v>2338</v>
      </c>
      <c r="D5221" s="118" t="s">
        <v>3553</v>
      </c>
      <c r="E5221" s="236">
        <v>100000</v>
      </c>
      <c r="F5221" s="236"/>
      <c r="G5221" s="236">
        <f t="shared" si="85"/>
        <v>-100000</v>
      </c>
      <c r="H5221" s="260" t="s">
        <v>3521</v>
      </c>
    </row>
    <row r="5222" spans="1:8" ht="15" x14ac:dyDescent="0.2">
      <c r="A5222" s="604">
        <v>43262</v>
      </c>
      <c r="B5222" s="174" t="s">
        <v>2933</v>
      </c>
      <c r="C5222" s="174" t="s">
        <v>3931</v>
      </c>
      <c r="D5222" s="118" t="s">
        <v>3555</v>
      </c>
      <c r="E5222" s="236">
        <v>200000</v>
      </c>
      <c r="F5222" s="236"/>
      <c r="G5222" s="236">
        <f t="shared" si="85"/>
        <v>-200000</v>
      </c>
      <c r="H5222" s="260" t="s">
        <v>3521</v>
      </c>
    </row>
    <row r="5223" spans="1:8" ht="15" x14ac:dyDescent="0.2">
      <c r="A5223" s="604">
        <v>43262</v>
      </c>
      <c r="B5223" s="174" t="s">
        <v>2933</v>
      </c>
      <c r="C5223" s="174" t="s">
        <v>3112</v>
      </c>
      <c r="D5223" s="118" t="s">
        <v>3556</v>
      </c>
      <c r="E5223" s="236">
        <v>200000</v>
      </c>
      <c r="F5223" s="236"/>
      <c r="G5223" s="236">
        <f t="shared" si="85"/>
        <v>-200000</v>
      </c>
      <c r="H5223" s="260" t="s">
        <v>3521</v>
      </c>
    </row>
    <row r="5224" spans="1:8" ht="15" x14ac:dyDescent="0.2">
      <c r="A5224" s="604">
        <v>43262</v>
      </c>
      <c r="B5224" s="174" t="s">
        <v>2933</v>
      </c>
      <c r="C5224" s="174" t="s">
        <v>3112</v>
      </c>
      <c r="D5224" s="118" t="s">
        <v>3557</v>
      </c>
      <c r="E5224" s="236">
        <v>300000</v>
      </c>
      <c r="F5224" s="236"/>
      <c r="G5224" s="236">
        <f t="shared" si="85"/>
        <v>-300000</v>
      </c>
      <c r="H5224" s="260" t="s">
        <v>3521</v>
      </c>
    </row>
    <row r="5225" spans="1:8" ht="15" x14ac:dyDescent="0.2">
      <c r="A5225" s="604">
        <v>43262</v>
      </c>
      <c r="B5225" s="174" t="s">
        <v>2787</v>
      </c>
      <c r="C5225" s="174" t="s">
        <v>3275</v>
      </c>
      <c r="D5225" s="118" t="s">
        <v>3617</v>
      </c>
      <c r="E5225" s="236">
        <v>100000</v>
      </c>
      <c r="F5225" s="236"/>
      <c r="G5225" s="236">
        <f t="shared" si="85"/>
        <v>-100000</v>
      </c>
      <c r="H5225" s="260" t="s">
        <v>3521</v>
      </c>
    </row>
    <row r="5226" spans="1:8" ht="15" x14ac:dyDescent="0.2">
      <c r="A5226" s="604">
        <v>43263</v>
      </c>
      <c r="B5226" s="174" t="s">
        <v>2933</v>
      </c>
      <c r="C5226" s="174" t="s">
        <v>2854</v>
      </c>
      <c r="D5226" s="118" t="s">
        <v>3558</v>
      </c>
      <c r="E5226" s="236">
        <v>20000</v>
      </c>
      <c r="F5226" s="236"/>
      <c r="G5226" s="236">
        <f t="shared" si="85"/>
        <v>-20000</v>
      </c>
      <c r="H5226" s="260" t="s">
        <v>3521</v>
      </c>
    </row>
    <row r="5227" spans="1:8" ht="15" x14ac:dyDescent="0.2">
      <c r="A5227" s="604">
        <v>43263</v>
      </c>
      <c r="B5227" s="174" t="s">
        <v>2787</v>
      </c>
      <c r="C5227" s="174" t="s">
        <v>3285</v>
      </c>
      <c r="D5227" s="118" t="s">
        <v>3556</v>
      </c>
      <c r="E5227" s="236">
        <v>305000</v>
      </c>
      <c r="F5227" s="236"/>
      <c r="G5227" s="236">
        <f t="shared" si="85"/>
        <v>-305000</v>
      </c>
      <c r="H5227" s="260" t="s">
        <v>3521</v>
      </c>
    </row>
    <row r="5228" spans="1:8" ht="15" x14ac:dyDescent="0.2">
      <c r="A5228" s="604">
        <v>43263</v>
      </c>
      <c r="B5228" s="174" t="s">
        <v>2787</v>
      </c>
      <c r="C5228" s="174" t="s">
        <v>3285</v>
      </c>
      <c r="D5228" s="118" t="s">
        <v>3561</v>
      </c>
      <c r="E5228" s="236">
        <v>-40000</v>
      </c>
      <c r="F5228" s="236"/>
      <c r="G5228" s="236">
        <f t="shared" si="85"/>
        <v>40000</v>
      </c>
      <c r="H5228" s="260" t="s">
        <v>3521</v>
      </c>
    </row>
    <row r="5229" spans="1:8" ht="15" x14ac:dyDescent="0.2">
      <c r="A5229" s="604">
        <v>43263</v>
      </c>
      <c r="B5229" s="174" t="s">
        <v>2787</v>
      </c>
      <c r="C5229" s="174" t="s">
        <v>166</v>
      </c>
      <c r="D5229" s="118" t="s">
        <v>3561</v>
      </c>
      <c r="E5229" s="236">
        <v>-10000</v>
      </c>
      <c r="F5229" s="236"/>
      <c r="G5229" s="236">
        <f t="shared" si="85"/>
        <v>10000</v>
      </c>
      <c r="H5229" s="260" t="s">
        <v>3521</v>
      </c>
    </row>
    <row r="5230" spans="1:8" ht="15" x14ac:dyDescent="0.2">
      <c r="A5230" s="604">
        <v>43263</v>
      </c>
      <c r="B5230" s="174" t="s">
        <v>2787</v>
      </c>
      <c r="C5230" s="174" t="s">
        <v>256</v>
      </c>
      <c r="D5230" s="118" t="s">
        <v>3561</v>
      </c>
      <c r="E5230" s="236">
        <v>-25000</v>
      </c>
      <c r="F5230" s="236"/>
      <c r="G5230" s="236">
        <f t="shared" si="85"/>
        <v>25000</v>
      </c>
      <c r="H5230" s="260" t="s">
        <v>3521</v>
      </c>
    </row>
    <row r="5231" spans="1:8" ht="15" x14ac:dyDescent="0.2">
      <c r="A5231" s="604">
        <v>43263</v>
      </c>
      <c r="B5231" s="174" t="s">
        <v>2787</v>
      </c>
      <c r="C5231" s="174" t="s">
        <v>251</v>
      </c>
      <c r="D5231" s="118" t="s">
        <v>3561</v>
      </c>
      <c r="E5231" s="236">
        <v>-20000</v>
      </c>
      <c r="F5231" s="236"/>
      <c r="G5231" s="236">
        <f t="shared" si="85"/>
        <v>20000</v>
      </c>
      <c r="H5231" s="260" t="s">
        <v>3521</v>
      </c>
    </row>
    <row r="5232" spans="1:8" ht="15" x14ac:dyDescent="0.2">
      <c r="A5232" s="604">
        <v>43263</v>
      </c>
      <c r="B5232" s="174" t="s">
        <v>2787</v>
      </c>
      <c r="C5232" s="174" t="s">
        <v>3285</v>
      </c>
      <c r="D5232" s="118" t="s">
        <v>3561</v>
      </c>
      <c r="E5232" s="236">
        <v>-25000</v>
      </c>
      <c r="F5232" s="236"/>
      <c r="G5232" s="236">
        <f t="shared" si="85"/>
        <v>25000</v>
      </c>
      <c r="H5232" s="260" t="s">
        <v>3521</v>
      </c>
    </row>
    <row r="5233" spans="1:8" ht="15" x14ac:dyDescent="0.2">
      <c r="A5233" s="604">
        <v>43263</v>
      </c>
      <c r="B5233" s="174" t="s">
        <v>2787</v>
      </c>
      <c r="C5233" s="174" t="s">
        <v>266</v>
      </c>
      <c r="D5233" s="118" t="s">
        <v>3561</v>
      </c>
      <c r="E5233" s="236">
        <v>-25000</v>
      </c>
      <c r="F5233" s="236"/>
      <c r="G5233" s="236">
        <f t="shared" si="85"/>
        <v>25000</v>
      </c>
      <c r="H5233" s="260" t="s">
        <v>3521</v>
      </c>
    </row>
    <row r="5234" spans="1:8" ht="15" x14ac:dyDescent="0.2">
      <c r="A5234" s="604">
        <v>43263</v>
      </c>
      <c r="B5234" s="174" t="s">
        <v>2787</v>
      </c>
      <c r="C5234" s="174" t="s">
        <v>166</v>
      </c>
      <c r="D5234" s="118" t="s">
        <v>3561</v>
      </c>
      <c r="E5234" s="236">
        <v>-10000</v>
      </c>
      <c r="F5234" s="236"/>
      <c r="G5234" s="236">
        <f t="shared" si="85"/>
        <v>10000</v>
      </c>
      <c r="H5234" s="260" t="s">
        <v>3521</v>
      </c>
    </row>
    <row r="5235" spans="1:8" ht="15" x14ac:dyDescent="0.2">
      <c r="A5235" s="604">
        <v>43264</v>
      </c>
      <c r="B5235" s="174" t="s">
        <v>2933</v>
      </c>
      <c r="C5235" s="174" t="s">
        <v>3428</v>
      </c>
      <c r="D5235" s="118" t="s">
        <v>3618</v>
      </c>
      <c r="E5235" s="236">
        <v>100000</v>
      </c>
      <c r="F5235" s="236"/>
      <c r="G5235" s="236">
        <f t="shared" si="85"/>
        <v>-100000</v>
      </c>
      <c r="H5235" s="260" t="s">
        <v>3521</v>
      </c>
    </row>
    <row r="5236" spans="1:8" ht="15" x14ac:dyDescent="0.2">
      <c r="A5236" s="604">
        <v>43264</v>
      </c>
      <c r="B5236" s="174" t="s">
        <v>18</v>
      </c>
      <c r="C5236" s="174" t="s">
        <v>2601</v>
      </c>
      <c r="D5236" s="118" t="s">
        <v>3619</v>
      </c>
      <c r="E5236" s="236">
        <v>22000</v>
      </c>
      <c r="F5236" s="236"/>
      <c r="G5236" s="236">
        <f t="shared" si="85"/>
        <v>-22000</v>
      </c>
      <c r="H5236" s="260" t="s">
        <v>3521</v>
      </c>
    </row>
    <row r="5237" spans="1:8" ht="24" x14ac:dyDescent="0.2">
      <c r="A5237" s="604">
        <v>43273</v>
      </c>
      <c r="B5237" s="174" t="s">
        <v>2787</v>
      </c>
      <c r="C5237" s="174" t="s">
        <v>3145</v>
      </c>
      <c r="D5237" s="118" t="s">
        <v>3868</v>
      </c>
      <c r="E5237" s="236">
        <v>20000</v>
      </c>
      <c r="F5237" s="236"/>
      <c r="G5237" s="236">
        <f t="shared" si="85"/>
        <v>-20000</v>
      </c>
      <c r="H5237" s="260" t="s">
        <v>3521</v>
      </c>
    </row>
    <row r="5238" spans="1:8" ht="15" x14ac:dyDescent="0.2">
      <c r="A5238" s="604">
        <v>43274</v>
      </c>
      <c r="B5238" s="174" t="s">
        <v>2933</v>
      </c>
      <c r="C5238" s="174" t="s">
        <v>3621</v>
      </c>
      <c r="D5238" s="118" t="s">
        <v>3762</v>
      </c>
      <c r="E5238" s="236">
        <v>100000</v>
      </c>
      <c r="F5238" s="236"/>
      <c r="G5238" s="236">
        <f t="shared" si="85"/>
        <v>-100000</v>
      </c>
      <c r="H5238" s="260" t="s">
        <v>3521</v>
      </c>
    </row>
    <row r="5239" spans="1:8" ht="15" x14ac:dyDescent="0.2">
      <c r="A5239" s="604">
        <v>43274</v>
      </c>
      <c r="B5239" s="174" t="s">
        <v>2933</v>
      </c>
      <c r="C5239" s="174" t="s">
        <v>716</v>
      </c>
      <c r="D5239" s="118" t="s">
        <v>3642</v>
      </c>
      <c r="E5239" s="236">
        <v>500000</v>
      </c>
      <c r="F5239" s="236"/>
      <c r="G5239" s="236">
        <f t="shared" si="85"/>
        <v>-500000</v>
      </c>
      <c r="H5239" s="260" t="s">
        <v>3521</v>
      </c>
    </row>
    <row r="5240" spans="1:8" ht="15" x14ac:dyDescent="0.2">
      <c r="A5240" s="604">
        <v>43277</v>
      </c>
      <c r="B5240" s="174" t="s">
        <v>2933</v>
      </c>
      <c r="C5240" s="174" t="s">
        <v>716</v>
      </c>
      <c r="D5240" s="118" t="s">
        <v>3643</v>
      </c>
      <c r="E5240" s="236">
        <v>1250000</v>
      </c>
      <c r="F5240" s="236"/>
      <c r="G5240" s="236">
        <f t="shared" si="85"/>
        <v>-1250000</v>
      </c>
      <c r="H5240" s="260" t="s">
        <v>3521</v>
      </c>
    </row>
    <row r="5241" spans="1:8" ht="15" x14ac:dyDescent="0.2">
      <c r="A5241" s="604">
        <v>43277</v>
      </c>
      <c r="B5241" s="174" t="s">
        <v>2933</v>
      </c>
      <c r="C5241" s="174" t="s">
        <v>716</v>
      </c>
      <c r="D5241" s="118" t="s">
        <v>3644</v>
      </c>
      <c r="E5241" s="236">
        <v>1250000</v>
      </c>
      <c r="F5241" s="236"/>
      <c r="G5241" s="236">
        <f t="shared" si="85"/>
        <v>-1250000</v>
      </c>
      <c r="H5241" s="260" t="s">
        <v>3521</v>
      </c>
    </row>
    <row r="5242" spans="1:8" ht="15" x14ac:dyDescent="0.2">
      <c r="A5242" s="604">
        <v>43277</v>
      </c>
      <c r="B5242" s="174" t="s">
        <v>2787</v>
      </c>
      <c r="C5242" s="174" t="s">
        <v>392</v>
      </c>
      <c r="D5242" s="118" t="s">
        <v>3645</v>
      </c>
      <c r="E5242" s="236">
        <v>40000</v>
      </c>
      <c r="F5242" s="236"/>
      <c r="G5242" s="236">
        <f t="shared" si="85"/>
        <v>-40000</v>
      </c>
      <c r="H5242" s="260" t="s">
        <v>3521</v>
      </c>
    </row>
    <row r="5243" spans="1:8" ht="15" x14ac:dyDescent="0.2">
      <c r="A5243" s="604">
        <v>43280</v>
      </c>
      <c r="B5243" s="174" t="s">
        <v>2933</v>
      </c>
      <c r="C5243" s="174" t="s">
        <v>3285</v>
      </c>
      <c r="D5243" s="118" t="s">
        <v>3658</v>
      </c>
      <c r="E5243" s="236">
        <v>500000</v>
      </c>
      <c r="F5243" s="236"/>
      <c r="G5243" s="236">
        <f t="shared" si="85"/>
        <v>-500000</v>
      </c>
      <c r="H5243" s="260" t="s">
        <v>3521</v>
      </c>
    </row>
    <row r="5244" spans="1:8" ht="15" x14ac:dyDescent="0.2">
      <c r="A5244" s="604">
        <v>43280</v>
      </c>
      <c r="B5244" s="174" t="s">
        <v>2933</v>
      </c>
      <c r="C5244" s="174" t="s">
        <v>3285</v>
      </c>
      <c r="D5244" s="118" t="s">
        <v>3659</v>
      </c>
      <c r="E5244" s="236">
        <v>255000</v>
      </c>
      <c r="F5244" s="236"/>
      <c r="G5244" s="236">
        <f t="shared" si="85"/>
        <v>-255000</v>
      </c>
      <c r="H5244" s="260" t="s">
        <v>3521</v>
      </c>
    </row>
    <row r="5245" spans="1:8" ht="15" x14ac:dyDescent="0.2">
      <c r="A5245" s="604">
        <v>43280</v>
      </c>
      <c r="B5245" s="174" t="s">
        <v>2787</v>
      </c>
      <c r="C5245" s="174" t="s">
        <v>359</v>
      </c>
      <c r="D5245" s="118" t="s">
        <v>3660</v>
      </c>
      <c r="E5245" s="236">
        <v>300000</v>
      </c>
      <c r="F5245" s="236"/>
      <c r="G5245" s="236">
        <f t="shared" si="85"/>
        <v>-300000</v>
      </c>
      <c r="H5245" s="260" t="s">
        <v>3521</v>
      </c>
    </row>
    <row r="5246" spans="1:8" ht="15" x14ac:dyDescent="0.2">
      <c r="A5246" s="604">
        <v>43280</v>
      </c>
      <c r="B5246" s="174" t="s">
        <v>2787</v>
      </c>
      <c r="C5246" s="174" t="s">
        <v>2289</v>
      </c>
      <c r="D5246" s="118" t="s">
        <v>3661</v>
      </c>
      <c r="E5246" s="236">
        <v>71500</v>
      </c>
      <c r="F5246" s="236"/>
      <c r="G5246" s="236">
        <f t="shared" si="85"/>
        <v>-71500</v>
      </c>
      <c r="H5246" s="260" t="s">
        <v>3521</v>
      </c>
    </row>
    <row r="5247" spans="1:8" ht="15" x14ac:dyDescent="0.2">
      <c r="A5247" s="599">
        <v>43259</v>
      </c>
      <c r="B5247" s="91" t="s">
        <v>2787</v>
      </c>
      <c r="C5247" s="91" t="s">
        <v>559</v>
      </c>
      <c r="D5247" s="801" t="s">
        <v>3530</v>
      </c>
      <c r="E5247" s="92"/>
      <c r="F5247" s="92">
        <v>1850000</v>
      </c>
      <c r="G5247" s="92">
        <f t="shared" si="85"/>
        <v>1850000</v>
      </c>
      <c r="H5247" s="261" t="s">
        <v>3521</v>
      </c>
    </row>
    <row r="5248" spans="1:8" ht="15" x14ac:dyDescent="0.2">
      <c r="A5248" s="599">
        <v>43262</v>
      </c>
      <c r="B5248" s="91" t="s">
        <v>2933</v>
      </c>
      <c r="C5248" s="91" t="s">
        <v>559</v>
      </c>
      <c r="D5248" s="801" t="s">
        <v>3534</v>
      </c>
      <c r="E5248" s="92"/>
      <c r="F5248" s="92">
        <v>29654217</v>
      </c>
      <c r="G5248" s="92">
        <f t="shared" si="85"/>
        <v>29654217</v>
      </c>
      <c r="H5248" s="261" t="s">
        <v>3521</v>
      </c>
    </row>
    <row r="5249" spans="1:8" ht="15" x14ac:dyDescent="0.2">
      <c r="A5249" s="599">
        <v>43263</v>
      </c>
      <c r="B5249" s="91" t="s">
        <v>2548</v>
      </c>
      <c r="C5249" s="91" t="s">
        <v>559</v>
      </c>
      <c r="D5249" s="801" t="s">
        <v>2126</v>
      </c>
      <c r="E5249" s="92"/>
      <c r="F5249" s="92">
        <v>700204</v>
      </c>
      <c r="G5249" s="92">
        <f t="shared" si="85"/>
        <v>700204</v>
      </c>
      <c r="H5249" s="261" t="s">
        <v>3521</v>
      </c>
    </row>
    <row r="5250" spans="1:8" ht="15" x14ac:dyDescent="0.2">
      <c r="A5250" s="599">
        <v>43263</v>
      </c>
      <c r="B5250" s="91" t="s">
        <v>1400</v>
      </c>
      <c r="C5250" s="91" t="s">
        <v>559</v>
      </c>
      <c r="D5250" s="801" t="s">
        <v>3713</v>
      </c>
      <c r="E5250" s="92"/>
      <c r="F5250" s="92">
        <v>3800000</v>
      </c>
      <c r="G5250" s="92">
        <f t="shared" si="85"/>
        <v>3800000</v>
      </c>
      <c r="H5250" s="261" t="s">
        <v>3521</v>
      </c>
    </row>
    <row r="5251" spans="1:8" ht="15" x14ac:dyDescent="0.2">
      <c r="A5251" s="599">
        <v>43263</v>
      </c>
      <c r="B5251" s="91" t="s">
        <v>1400</v>
      </c>
      <c r="C5251" s="91" t="s">
        <v>559</v>
      </c>
      <c r="D5251" s="801" t="s">
        <v>3714</v>
      </c>
      <c r="E5251" s="92"/>
      <c r="F5251" s="92">
        <v>584397</v>
      </c>
      <c r="G5251" s="92">
        <f t="shared" si="85"/>
        <v>584397</v>
      </c>
      <c r="H5251" s="261" t="s">
        <v>3521</v>
      </c>
    </row>
    <row r="5252" spans="1:8" ht="24" x14ac:dyDescent="0.2">
      <c r="A5252" s="599">
        <v>43265</v>
      </c>
      <c r="B5252" s="94" t="s">
        <v>18</v>
      </c>
      <c r="C5252" s="94" t="s">
        <v>559</v>
      </c>
      <c r="D5252" s="802" t="s">
        <v>3607</v>
      </c>
      <c r="E5252" s="176"/>
      <c r="F5252" s="176">
        <v>300000</v>
      </c>
      <c r="G5252" s="176">
        <f t="shared" si="85"/>
        <v>300000</v>
      </c>
      <c r="H5252" s="261" t="s">
        <v>3521</v>
      </c>
    </row>
    <row r="5253" spans="1:8" ht="15" x14ac:dyDescent="0.2">
      <c r="A5253" s="597">
        <v>43286</v>
      </c>
      <c r="B5253" s="41" t="s">
        <v>2787</v>
      </c>
      <c r="C5253" s="63" t="s">
        <v>794</v>
      </c>
      <c r="D5253" s="129" t="s">
        <v>1836</v>
      </c>
      <c r="E5253" s="58">
        <v>25000</v>
      </c>
      <c r="F5253" s="58"/>
      <c r="G5253" s="58">
        <f t="shared" si="85"/>
        <v>-25000</v>
      </c>
      <c r="H5253" s="121" t="s">
        <v>3662</v>
      </c>
    </row>
    <row r="5254" spans="1:8" ht="15" x14ac:dyDescent="0.2">
      <c r="A5254" s="597">
        <v>43286</v>
      </c>
      <c r="B5254" s="41" t="s">
        <v>2652</v>
      </c>
      <c r="C5254" s="63" t="s">
        <v>794</v>
      </c>
      <c r="D5254" s="129" t="s">
        <v>1837</v>
      </c>
      <c r="E5254" s="58">
        <v>25000</v>
      </c>
      <c r="F5254" s="58"/>
      <c r="G5254" s="58">
        <f t="shared" si="85"/>
        <v>-25000</v>
      </c>
      <c r="H5254" s="121" t="s">
        <v>3662</v>
      </c>
    </row>
    <row r="5255" spans="1:8" ht="15" x14ac:dyDescent="0.2">
      <c r="A5255" s="597">
        <v>43286</v>
      </c>
      <c r="B5255" s="41" t="s">
        <v>1400</v>
      </c>
      <c r="C5255" s="63" t="s">
        <v>794</v>
      </c>
      <c r="D5255" s="129" t="s">
        <v>1837</v>
      </c>
      <c r="E5255" s="58">
        <v>25000</v>
      </c>
      <c r="F5255" s="58"/>
      <c r="G5255" s="58">
        <f t="shared" si="85"/>
        <v>-25000</v>
      </c>
      <c r="H5255" s="121" t="s">
        <v>3662</v>
      </c>
    </row>
    <row r="5256" spans="1:8" ht="15" x14ac:dyDescent="0.2">
      <c r="A5256" s="597">
        <v>43286</v>
      </c>
      <c r="B5256" s="41" t="s">
        <v>16</v>
      </c>
      <c r="C5256" s="63" t="s">
        <v>794</v>
      </c>
      <c r="D5256" s="129" t="s">
        <v>3611</v>
      </c>
      <c r="E5256" s="58">
        <v>6000</v>
      </c>
      <c r="F5256" s="58"/>
      <c r="G5256" s="58">
        <f t="shared" si="85"/>
        <v>-6000</v>
      </c>
      <c r="H5256" s="121" t="s">
        <v>3662</v>
      </c>
    </row>
    <row r="5257" spans="1:8" ht="15" x14ac:dyDescent="0.2">
      <c r="A5257" s="597">
        <v>43286</v>
      </c>
      <c r="B5257" s="41" t="s">
        <v>25</v>
      </c>
      <c r="C5257" s="63" t="s">
        <v>794</v>
      </c>
      <c r="D5257" s="129" t="s">
        <v>1547</v>
      </c>
      <c r="E5257" s="58">
        <v>10000</v>
      </c>
      <c r="F5257" s="58"/>
      <c r="G5257" s="58">
        <f t="shared" ref="G5257:G5320" si="86">F5257-E5257</f>
        <v>-10000</v>
      </c>
      <c r="H5257" s="121" t="s">
        <v>3662</v>
      </c>
    </row>
    <row r="5258" spans="1:8" ht="15" x14ac:dyDescent="0.2">
      <c r="A5258" s="597">
        <v>43286</v>
      </c>
      <c r="B5258" s="41" t="s">
        <v>2933</v>
      </c>
      <c r="C5258" s="63" t="s">
        <v>794</v>
      </c>
      <c r="D5258" s="129" t="s">
        <v>1837</v>
      </c>
      <c r="E5258" s="58">
        <v>25000</v>
      </c>
      <c r="F5258" s="58"/>
      <c r="G5258" s="58">
        <f t="shared" si="86"/>
        <v>-25000</v>
      </c>
      <c r="H5258" s="121" t="s">
        <v>3662</v>
      </c>
    </row>
    <row r="5259" spans="1:8" ht="15" x14ac:dyDescent="0.2">
      <c r="A5259" s="597">
        <v>43286</v>
      </c>
      <c r="B5259" s="41" t="s">
        <v>25</v>
      </c>
      <c r="C5259" s="63" t="s">
        <v>794</v>
      </c>
      <c r="D5259" s="129" t="s">
        <v>1839</v>
      </c>
      <c r="E5259" s="58">
        <v>10000</v>
      </c>
      <c r="F5259" s="58"/>
      <c r="G5259" s="58">
        <f t="shared" si="86"/>
        <v>-10000</v>
      </c>
      <c r="H5259" s="121" t="s">
        <v>3662</v>
      </c>
    </row>
    <row r="5260" spans="1:8" ht="15" x14ac:dyDescent="0.2">
      <c r="A5260" s="597">
        <v>43286</v>
      </c>
      <c r="B5260" s="41" t="s">
        <v>25</v>
      </c>
      <c r="C5260" s="63" t="s">
        <v>794</v>
      </c>
      <c r="D5260" s="129" t="s">
        <v>1840</v>
      </c>
      <c r="E5260" s="58">
        <v>10000</v>
      </c>
      <c r="F5260" s="58"/>
      <c r="G5260" s="58">
        <f t="shared" si="86"/>
        <v>-10000</v>
      </c>
      <c r="H5260" s="121" t="s">
        <v>3662</v>
      </c>
    </row>
    <row r="5261" spans="1:8" ht="15" x14ac:dyDescent="0.2">
      <c r="A5261" s="597">
        <v>43286</v>
      </c>
      <c r="B5261" s="41" t="s">
        <v>16</v>
      </c>
      <c r="C5261" s="63" t="s">
        <v>794</v>
      </c>
      <c r="D5261" s="129" t="s">
        <v>1844</v>
      </c>
      <c r="E5261" s="58">
        <v>26000</v>
      </c>
      <c r="F5261" s="58"/>
      <c r="G5261" s="58">
        <f t="shared" si="86"/>
        <v>-26000</v>
      </c>
      <c r="H5261" s="121" t="s">
        <v>3662</v>
      </c>
    </row>
    <row r="5262" spans="1:8" ht="15" x14ac:dyDescent="0.2">
      <c r="A5262" s="597">
        <v>43286</v>
      </c>
      <c r="B5262" s="41" t="s">
        <v>16</v>
      </c>
      <c r="C5262" s="63" t="s">
        <v>794</v>
      </c>
      <c r="D5262" s="129" t="s">
        <v>1842</v>
      </c>
      <c r="E5262" s="58">
        <v>30000</v>
      </c>
      <c r="F5262" s="58"/>
      <c r="G5262" s="58">
        <f t="shared" si="86"/>
        <v>-30000</v>
      </c>
      <c r="H5262" s="121" t="s">
        <v>3662</v>
      </c>
    </row>
    <row r="5263" spans="1:8" ht="15" x14ac:dyDescent="0.2">
      <c r="A5263" s="597">
        <v>43286</v>
      </c>
      <c r="B5263" s="41" t="s">
        <v>16</v>
      </c>
      <c r="C5263" s="63" t="s">
        <v>794</v>
      </c>
      <c r="D5263" s="129" t="s">
        <v>1843</v>
      </c>
      <c r="E5263" s="58">
        <v>16400</v>
      </c>
      <c r="F5263" s="58"/>
      <c r="G5263" s="58">
        <f t="shared" si="86"/>
        <v>-16400</v>
      </c>
      <c r="H5263" s="121" t="s">
        <v>3662</v>
      </c>
    </row>
    <row r="5264" spans="1:8" ht="15" x14ac:dyDescent="0.2">
      <c r="A5264" s="597">
        <v>43286</v>
      </c>
      <c r="B5264" s="41" t="s">
        <v>16</v>
      </c>
      <c r="C5264" s="63" t="s">
        <v>794</v>
      </c>
      <c r="D5264" s="129" t="s">
        <v>3065</v>
      </c>
      <c r="E5264" s="58">
        <v>12544.666666666664</v>
      </c>
      <c r="F5264" s="58"/>
      <c r="G5264" s="58">
        <f t="shared" si="86"/>
        <v>-12544.666666666664</v>
      </c>
      <c r="H5264" s="121" t="s">
        <v>3662</v>
      </c>
    </row>
    <row r="5265" spans="1:8" ht="15" x14ac:dyDescent="0.2">
      <c r="A5265" s="597">
        <v>43286</v>
      </c>
      <c r="B5265" s="41" t="s">
        <v>16</v>
      </c>
      <c r="C5265" s="63" t="s">
        <v>794</v>
      </c>
      <c r="D5265" s="129" t="s">
        <v>2283</v>
      </c>
      <c r="E5265" s="58">
        <v>18120.166666666664</v>
      </c>
      <c r="F5265" s="58"/>
      <c r="G5265" s="58">
        <f t="shared" si="86"/>
        <v>-18120.166666666664</v>
      </c>
      <c r="H5265" s="121" t="s">
        <v>3662</v>
      </c>
    </row>
    <row r="5266" spans="1:8" ht="15" x14ac:dyDescent="0.2">
      <c r="A5266" s="597">
        <v>43286</v>
      </c>
      <c r="B5266" s="41" t="s">
        <v>16</v>
      </c>
      <c r="C5266" s="63" t="s">
        <v>794</v>
      </c>
      <c r="D5266" s="129" t="s">
        <v>3230</v>
      </c>
      <c r="E5266" s="58">
        <v>12000</v>
      </c>
      <c r="F5266" s="58"/>
      <c r="G5266" s="58">
        <f t="shared" si="86"/>
        <v>-12000</v>
      </c>
      <c r="H5266" s="121" t="s">
        <v>3662</v>
      </c>
    </row>
    <row r="5267" spans="1:8" ht="15" x14ac:dyDescent="0.2">
      <c r="A5267" s="597">
        <v>43286</v>
      </c>
      <c r="B5267" s="41" t="s">
        <v>16</v>
      </c>
      <c r="C5267" s="63" t="s">
        <v>794</v>
      </c>
      <c r="D5267" s="129" t="s">
        <v>3612</v>
      </c>
      <c r="E5267" s="58">
        <v>12000</v>
      </c>
      <c r="F5267" s="58"/>
      <c r="G5267" s="58">
        <f t="shared" si="86"/>
        <v>-12000</v>
      </c>
      <c r="H5267" s="121" t="s">
        <v>3662</v>
      </c>
    </row>
    <row r="5268" spans="1:8" ht="15" x14ac:dyDescent="0.2">
      <c r="A5268" s="597">
        <v>43286</v>
      </c>
      <c r="B5268" s="41" t="s">
        <v>2787</v>
      </c>
      <c r="C5268" s="63" t="s">
        <v>794</v>
      </c>
      <c r="D5268" s="129" t="s">
        <v>1864</v>
      </c>
      <c r="E5268" s="58">
        <v>48650</v>
      </c>
      <c r="F5268" s="58"/>
      <c r="G5268" s="58">
        <f t="shared" si="86"/>
        <v>-48650</v>
      </c>
      <c r="H5268" s="121" t="s">
        <v>3662</v>
      </c>
    </row>
    <row r="5269" spans="1:8" ht="15" x14ac:dyDescent="0.2">
      <c r="A5269" s="597">
        <v>43286</v>
      </c>
      <c r="B5269" s="41" t="s">
        <v>2787</v>
      </c>
      <c r="C5269" s="63" t="s">
        <v>794</v>
      </c>
      <c r="D5269" s="129" t="s">
        <v>3236</v>
      </c>
      <c r="E5269" s="58">
        <v>15625</v>
      </c>
      <c r="F5269" s="58"/>
      <c r="G5269" s="58">
        <f t="shared" si="86"/>
        <v>-15625</v>
      </c>
      <c r="H5269" s="121" t="s">
        <v>3662</v>
      </c>
    </row>
    <row r="5270" spans="1:8" ht="15" x14ac:dyDescent="0.2">
      <c r="A5270" s="597">
        <v>43286</v>
      </c>
      <c r="B5270" s="41" t="s">
        <v>2787</v>
      </c>
      <c r="C5270" s="63" t="s">
        <v>794</v>
      </c>
      <c r="D5270" s="129" t="s">
        <v>3840</v>
      </c>
      <c r="E5270" s="58">
        <v>4000</v>
      </c>
      <c r="F5270" s="58"/>
      <c r="G5270" s="58">
        <f t="shared" si="86"/>
        <v>-4000</v>
      </c>
      <c r="H5270" s="121" t="s">
        <v>3662</v>
      </c>
    </row>
    <row r="5271" spans="1:8" ht="15" x14ac:dyDescent="0.2">
      <c r="A5271" s="597">
        <v>43286</v>
      </c>
      <c r="B5271" s="41" t="s">
        <v>2787</v>
      </c>
      <c r="C5271" s="63" t="s">
        <v>794</v>
      </c>
      <c r="D5271" s="129" t="s">
        <v>3072</v>
      </c>
      <c r="E5271" s="58">
        <v>1333.3333333333333</v>
      </c>
      <c r="F5271" s="58"/>
      <c r="G5271" s="58">
        <f t="shared" si="86"/>
        <v>-1333.3333333333333</v>
      </c>
      <c r="H5271" s="121" t="s">
        <v>3662</v>
      </c>
    </row>
    <row r="5272" spans="1:8" ht="15" x14ac:dyDescent="0.2">
      <c r="A5272" s="597">
        <v>43286</v>
      </c>
      <c r="B5272" s="41" t="s">
        <v>2787</v>
      </c>
      <c r="C5272" s="63" t="s">
        <v>794</v>
      </c>
      <c r="D5272" s="129" t="s">
        <v>3234</v>
      </c>
      <c r="E5272" s="58">
        <v>30516.666666666664</v>
      </c>
      <c r="F5272" s="58"/>
      <c r="G5272" s="58">
        <f t="shared" si="86"/>
        <v>-30516.666666666664</v>
      </c>
      <c r="H5272" s="121" t="s">
        <v>3662</v>
      </c>
    </row>
    <row r="5273" spans="1:8" ht="15" x14ac:dyDescent="0.2">
      <c r="A5273" s="597">
        <v>43286</v>
      </c>
      <c r="B5273" s="41" t="s">
        <v>2787</v>
      </c>
      <c r="C5273" s="63" t="s">
        <v>794</v>
      </c>
      <c r="D5273" s="129" t="s">
        <v>2282</v>
      </c>
      <c r="E5273" s="58">
        <v>91875</v>
      </c>
      <c r="F5273" s="58"/>
      <c r="G5273" s="58">
        <f t="shared" si="86"/>
        <v>-91875</v>
      </c>
      <c r="H5273" s="121" t="s">
        <v>3662</v>
      </c>
    </row>
    <row r="5274" spans="1:8" ht="15" x14ac:dyDescent="0.2">
      <c r="A5274" s="597">
        <v>43286</v>
      </c>
      <c r="B5274" s="41" t="s">
        <v>2787</v>
      </c>
      <c r="C5274" s="63" t="s">
        <v>794</v>
      </c>
      <c r="D5274" s="129" t="s">
        <v>2758</v>
      </c>
      <c r="E5274" s="58">
        <v>26000</v>
      </c>
      <c r="F5274" s="58"/>
      <c r="G5274" s="58">
        <f t="shared" si="86"/>
        <v>-26000</v>
      </c>
      <c r="H5274" s="121" t="s">
        <v>3662</v>
      </c>
    </row>
    <row r="5275" spans="1:8" ht="15" x14ac:dyDescent="0.2">
      <c r="A5275" s="597">
        <v>43286</v>
      </c>
      <c r="B5275" s="41" t="s">
        <v>2787</v>
      </c>
      <c r="C5275" s="63" t="s">
        <v>794</v>
      </c>
      <c r="D5275" s="129" t="s">
        <v>3841</v>
      </c>
      <c r="E5275" s="58">
        <v>22200</v>
      </c>
      <c r="F5275" s="58"/>
      <c r="G5275" s="58">
        <f t="shared" si="86"/>
        <v>-22200</v>
      </c>
      <c r="H5275" s="121" t="s">
        <v>3662</v>
      </c>
    </row>
    <row r="5276" spans="1:8" ht="15" x14ac:dyDescent="0.2">
      <c r="A5276" s="597">
        <v>43286</v>
      </c>
      <c r="B5276" s="41" t="s">
        <v>2787</v>
      </c>
      <c r="C5276" s="63" t="s">
        <v>794</v>
      </c>
      <c r="D5276" s="129" t="s">
        <v>3842</v>
      </c>
      <c r="E5276" s="58">
        <v>15300.000000000002</v>
      </c>
      <c r="F5276" s="58"/>
      <c r="G5276" s="58">
        <f t="shared" si="86"/>
        <v>-15300.000000000002</v>
      </c>
      <c r="H5276" s="121" t="s">
        <v>3662</v>
      </c>
    </row>
    <row r="5277" spans="1:8" ht="15" x14ac:dyDescent="0.2">
      <c r="A5277" s="597">
        <v>43286</v>
      </c>
      <c r="B5277" s="41" t="s">
        <v>2787</v>
      </c>
      <c r="C5277" s="63" t="s">
        <v>794</v>
      </c>
      <c r="D5277" s="129" t="s">
        <v>1858</v>
      </c>
      <c r="E5277" s="58">
        <v>43375</v>
      </c>
      <c r="F5277" s="58"/>
      <c r="G5277" s="58">
        <f t="shared" si="86"/>
        <v>-43375</v>
      </c>
      <c r="H5277" s="121" t="s">
        <v>3662</v>
      </c>
    </row>
    <row r="5278" spans="1:8" ht="15" x14ac:dyDescent="0.2">
      <c r="A5278" s="597">
        <v>43286</v>
      </c>
      <c r="B5278" s="41" t="s">
        <v>1400</v>
      </c>
      <c r="C5278" s="63" t="s">
        <v>794</v>
      </c>
      <c r="D5278" s="129" t="s">
        <v>1684</v>
      </c>
      <c r="E5278" s="58">
        <v>30000</v>
      </c>
      <c r="F5278" s="58"/>
      <c r="G5278" s="58">
        <f t="shared" si="86"/>
        <v>-30000</v>
      </c>
      <c r="H5278" s="121" t="s">
        <v>3662</v>
      </c>
    </row>
    <row r="5279" spans="1:8" ht="15" x14ac:dyDescent="0.2">
      <c r="A5279" s="597">
        <v>43286</v>
      </c>
      <c r="B5279" s="41" t="s">
        <v>1400</v>
      </c>
      <c r="C5279" s="63" t="s">
        <v>794</v>
      </c>
      <c r="D5279" s="129" t="s">
        <v>2482</v>
      </c>
      <c r="E5279" s="58">
        <v>19166.666666666668</v>
      </c>
      <c r="F5279" s="58"/>
      <c r="G5279" s="58">
        <f t="shared" si="86"/>
        <v>-19166.666666666668</v>
      </c>
      <c r="H5279" s="121" t="s">
        <v>3662</v>
      </c>
    </row>
    <row r="5280" spans="1:8" ht="15" x14ac:dyDescent="0.2">
      <c r="A5280" s="597">
        <v>43286</v>
      </c>
      <c r="B5280" s="41" t="s">
        <v>1400</v>
      </c>
      <c r="C5280" s="63" t="s">
        <v>794</v>
      </c>
      <c r="D5280" s="129" t="s">
        <v>1550</v>
      </c>
      <c r="E5280" s="58">
        <v>22000</v>
      </c>
      <c r="F5280" s="58"/>
      <c r="G5280" s="58">
        <f t="shared" si="86"/>
        <v>-22000</v>
      </c>
      <c r="H5280" s="121" t="s">
        <v>3662</v>
      </c>
    </row>
    <row r="5281" spans="1:8" ht="15" x14ac:dyDescent="0.2">
      <c r="A5281" s="597">
        <v>43286</v>
      </c>
      <c r="B5281" s="41" t="s">
        <v>1400</v>
      </c>
      <c r="C5281" s="63" t="s">
        <v>794</v>
      </c>
      <c r="D5281" s="129" t="s">
        <v>1871</v>
      </c>
      <c r="E5281" s="58">
        <v>40000</v>
      </c>
      <c r="F5281" s="58"/>
      <c r="G5281" s="58">
        <f t="shared" si="86"/>
        <v>-40000</v>
      </c>
      <c r="H5281" s="121" t="s">
        <v>3662</v>
      </c>
    </row>
    <row r="5282" spans="1:8" ht="15" x14ac:dyDescent="0.2">
      <c r="A5282" s="597">
        <v>43286</v>
      </c>
      <c r="B5282" s="41" t="s">
        <v>1400</v>
      </c>
      <c r="C5282" s="63" t="s">
        <v>794</v>
      </c>
      <c r="D5282" s="129" t="s">
        <v>1859</v>
      </c>
      <c r="E5282" s="58">
        <v>16700</v>
      </c>
      <c r="F5282" s="58"/>
      <c r="G5282" s="58">
        <f t="shared" si="86"/>
        <v>-16700</v>
      </c>
      <c r="H5282" s="121" t="s">
        <v>3662</v>
      </c>
    </row>
    <row r="5283" spans="1:8" ht="15" x14ac:dyDescent="0.2">
      <c r="A5283" s="597">
        <v>43286</v>
      </c>
      <c r="B5283" s="41" t="s">
        <v>1400</v>
      </c>
      <c r="C5283" s="63" t="s">
        <v>794</v>
      </c>
      <c r="D5283" s="129" t="s">
        <v>1862</v>
      </c>
      <c r="E5283" s="58">
        <v>30189.583333333332</v>
      </c>
      <c r="F5283" s="58"/>
      <c r="G5283" s="58">
        <f t="shared" si="86"/>
        <v>-30189.583333333332</v>
      </c>
      <c r="H5283" s="121" t="s">
        <v>3662</v>
      </c>
    </row>
    <row r="5284" spans="1:8" ht="15" x14ac:dyDescent="0.2">
      <c r="A5284" s="597">
        <v>43286</v>
      </c>
      <c r="B5284" s="41" t="s">
        <v>1400</v>
      </c>
      <c r="C5284" s="63" t="s">
        <v>794</v>
      </c>
      <c r="D5284" s="129" t="s">
        <v>3491</v>
      </c>
      <c r="E5284" s="58">
        <v>20350</v>
      </c>
      <c r="F5284" s="58"/>
      <c r="G5284" s="58">
        <f t="shared" si="86"/>
        <v>-20350</v>
      </c>
      <c r="H5284" s="121" t="s">
        <v>3662</v>
      </c>
    </row>
    <row r="5285" spans="1:8" ht="15" x14ac:dyDescent="0.2">
      <c r="A5285" s="597">
        <v>43286</v>
      </c>
      <c r="B5285" s="41" t="s">
        <v>1400</v>
      </c>
      <c r="C5285" s="63" t="s">
        <v>794</v>
      </c>
      <c r="D5285" s="129" t="s">
        <v>1872</v>
      </c>
      <c r="E5285" s="58">
        <v>23100</v>
      </c>
      <c r="F5285" s="58"/>
      <c r="G5285" s="58">
        <f t="shared" si="86"/>
        <v>-23100</v>
      </c>
      <c r="H5285" s="121" t="s">
        <v>3662</v>
      </c>
    </row>
    <row r="5286" spans="1:8" ht="15" x14ac:dyDescent="0.2">
      <c r="A5286" s="597">
        <v>43286</v>
      </c>
      <c r="B5286" s="41" t="s">
        <v>1400</v>
      </c>
      <c r="C5286" s="63" t="s">
        <v>794</v>
      </c>
      <c r="D5286" s="129" t="s">
        <v>1850</v>
      </c>
      <c r="E5286" s="58">
        <v>10040.000000000002</v>
      </c>
      <c r="F5286" s="58"/>
      <c r="G5286" s="58">
        <f t="shared" si="86"/>
        <v>-10040.000000000002</v>
      </c>
      <c r="H5286" s="121" t="s">
        <v>3662</v>
      </c>
    </row>
    <row r="5287" spans="1:8" ht="15" x14ac:dyDescent="0.2">
      <c r="A5287" s="597">
        <v>43286</v>
      </c>
      <c r="B5287" s="41" t="s">
        <v>1400</v>
      </c>
      <c r="C5287" s="63" t="s">
        <v>794</v>
      </c>
      <c r="D5287" s="129" t="s">
        <v>3492</v>
      </c>
      <c r="E5287" s="58">
        <v>5860.4166666666661</v>
      </c>
      <c r="F5287" s="58"/>
      <c r="G5287" s="58">
        <f t="shared" si="86"/>
        <v>-5860.4166666666661</v>
      </c>
      <c r="H5287" s="121" t="s">
        <v>3662</v>
      </c>
    </row>
    <row r="5288" spans="1:8" ht="15" x14ac:dyDescent="0.2">
      <c r="A5288" s="597">
        <v>43286</v>
      </c>
      <c r="B5288" s="41" t="s">
        <v>1400</v>
      </c>
      <c r="C5288" s="63" t="s">
        <v>794</v>
      </c>
      <c r="D5288" s="129" t="s">
        <v>2927</v>
      </c>
      <c r="E5288" s="58">
        <v>5700</v>
      </c>
      <c r="F5288" s="58"/>
      <c r="G5288" s="58">
        <f t="shared" si="86"/>
        <v>-5700</v>
      </c>
      <c r="H5288" s="121" t="s">
        <v>3662</v>
      </c>
    </row>
    <row r="5289" spans="1:8" ht="15" x14ac:dyDescent="0.2">
      <c r="A5289" s="597">
        <v>43286</v>
      </c>
      <c r="B5289" s="41" t="s">
        <v>1400</v>
      </c>
      <c r="C5289" s="63" t="s">
        <v>794</v>
      </c>
      <c r="D5289" s="129" t="s">
        <v>3068</v>
      </c>
      <c r="E5289" s="58">
        <v>9800.0000000000018</v>
      </c>
      <c r="F5289" s="58"/>
      <c r="G5289" s="58">
        <f t="shared" si="86"/>
        <v>-9800.0000000000018</v>
      </c>
      <c r="H5289" s="121" t="s">
        <v>3662</v>
      </c>
    </row>
    <row r="5290" spans="1:8" ht="15" x14ac:dyDescent="0.2">
      <c r="A5290" s="597">
        <v>43286</v>
      </c>
      <c r="B5290" s="41" t="s">
        <v>1400</v>
      </c>
      <c r="C5290" s="63" t="s">
        <v>794</v>
      </c>
      <c r="D5290" s="129" t="s">
        <v>2481</v>
      </c>
      <c r="E5290" s="58">
        <v>9500.3333333333321</v>
      </c>
      <c r="F5290" s="58"/>
      <c r="G5290" s="58">
        <f t="shared" si="86"/>
        <v>-9500.3333333333321</v>
      </c>
      <c r="H5290" s="121" t="s">
        <v>3662</v>
      </c>
    </row>
    <row r="5291" spans="1:8" ht="15" x14ac:dyDescent="0.2">
      <c r="A5291" s="597">
        <v>43286</v>
      </c>
      <c r="B5291" s="41" t="s">
        <v>6516</v>
      </c>
      <c r="C5291" s="63" t="s">
        <v>794</v>
      </c>
      <c r="D5291" s="129" t="s">
        <v>1855</v>
      </c>
      <c r="E5291" s="58">
        <v>31200.3125</v>
      </c>
      <c r="F5291" s="58"/>
      <c r="G5291" s="58">
        <f t="shared" si="86"/>
        <v>-31200.3125</v>
      </c>
      <c r="H5291" s="121" t="s">
        <v>3662</v>
      </c>
    </row>
    <row r="5292" spans="1:8" ht="15" x14ac:dyDescent="0.2">
      <c r="A5292" s="597">
        <v>43286</v>
      </c>
      <c r="B5292" s="41" t="s">
        <v>6516</v>
      </c>
      <c r="C5292" s="63" t="s">
        <v>794</v>
      </c>
      <c r="D5292" s="129" t="s">
        <v>2281</v>
      </c>
      <c r="E5292" s="58">
        <v>25522.916666666668</v>
      </c>
      <c r="F5292" s="58"/>
      <c r="G5292" s="58">
        <f t="shared" si="86"/>
        <v>-25522.916666666668</v>
      </c>
      <c r="H5292" s="121" t="s">
        <v>3662</v>
      </c>
    </row>
    <row r="5293" spans="1:8" ht="15" x14ac:dyDescent="0.2">
      <c r="A5293" s="597">
        <v>43286</v>
      </c>
      <c r="B5293" s="41" t="s">
        <v>6516</v>
      </c>
      <c r="C5293" s="63" t="s">
        <v>794</v>
      </c>
      <c r="D5293" s="129" t="s">
        <v>1861</v>
      </c>
      <c r="E5293" s="58">
        <v>20440</v>
      </c>
      <c r="F5293" s="58"/>
      <c r="G5293" s="58">
        <f t="shared" si="86"/>
        <v>-20440</v>
      </c>
      <c r="H5293" s="121" t="s">
        <v>3662</v>
      </c>
    </row>
    <row r="5294" spans="1:8" ht="15" x14ac:dyDescent="0.2">
      <c r="A5294" s="597">
        <v>43286</v>
      </c>
      <c r="B5294" s="41" t="s">
        <v>6516</v>
      </c>
      <c r="C5294" s="63" t="s">
        <v>794</v>
      </c>
      <c r="D5294" s="129" t="s">
        <v>1849</v>
      </c>
      <c r="E5294" s="58">
        <v>14625</v>
      </c>
      <c r="F5294" s="58"/>
      <c r="G5294" s="58">
        <f t="shared" si="86"/>
        <v>-14625</v>
      </c>
      <c r="H5294" s="121" t="s">
        <v>3662</v>
      </c>
    </row>
    <row r="5295" spans="1:8" ht="15" x14ac:dyDescent="0.2">
      <c r="A5295" s="597">
        <v>43286</v>
      </c>
      <c r="B5295" s="41" t="s">
        <v>6516</v>
      </c>
      <c r="C5295" s="63" t="s">
        <v>794</v>
      </c>
      <c r="D5295" s="129" t="s">
        <v>3615</v>
      </c>
      <c r="E5295" s="58">
        <v>13750.000000000002</v>
      </c>
      <c r="F5295" s="58"/>
      <c r="G5295" s="58">
        <f t="shared" si="86"/>
        <v>-13750.000000000002</v>
      </c>
      <c r="H5295" s="121" t="s">
        <v>3662</v>
      </c>
    </row>
    <row r="5296" spans="1:8" ht="15" x14ac:dyDescent="0.2">
      <c r="A5296" s="597">
        <v>43286</v>
      </c>
      <c r="B5296" s="41" t="s">
        <v>37</v>
      </c>
      <c r="C5296" s="63" t="s">
        <v>794</v>
      </c>
      <c r="D5296" s="129" t="s">
        <v>1866</v>
      </c>
      <c r="E5296" s="58">
        <v>18150</v>
      </c>
      <c r="F5296" s="58"/>
      <c r="G5296" s="58">
        <f t="shared" si="86"/>
        <v>-18150</v>
      </c>
      <c r="H5296" s="121" t="s">
        <v>3662</v>
      </c>
    </row>
    <row r="5297" spans="1:8" ht="15" x14ac:dyDescent="0.2">
      <c r="A5297" s="597">
        <v>43286</v>
      </c>
      <c r="B5297" s="41" t="s">
        <v>37</v>
      </c>
      <c r="C5297" s="63" t="s">
        <v>794</v>
      </c>
      <c r="D5297" s="129" t="s">
        <v>1867</v>
      </c>
      <c r="E5297" s="58">
        <v>14409.5</v>
      </c>
      <c r="F5297" s="58"/>
      <c r="G5297" s="58">
        <f t="shared" si="86"/>
        <v>-14409.5</v>
      </c>
      <c r="H5297" s="121" t="s">
        <v>3662</v>
      </c>
    </row>
    <row r="5298" spans="1:8" ht="15" x14ac:dyDescent="0.2">
      <c r="A5298" s="597">
        <v>43286</v>
      </c>
      <c r="B5298" s="41" t="s">
        <v>37</v>
      </c>
      <c r="C5298" s="63" t="s">
        <v>794</v>
      </c>
      <c r="D5298" s="129" t="s">
        <v>1868</v>
      </c>
      <c r="E5298" s="58">
        <v>19229.979166666668</v>
      </c>
      <c r="F5298" s="58"/>
      <c r="G5298" s="58">
        <f t="shared" si="86"/>
        <v>-19229.979166666668</v>
      </c>
      <c r="H5298" s="121" t="s">
        <v>3662</v>
      </c>
    </row>
    <row r="5299" spans="1:8" ht="15" x14ac:dyDescent="0.2">
      <c r="A5299" s="597">
        <v>43286</v>
      </c>
      <c r="B5299" s="41" t="s">
        <v>37</v>
      </c>
      <c r="C5299" s="63" t="s">
        <v>794</v>
      </c>
      <c r="D5299" s="129" t="s">
        <v>1240</v>
      </c>
      <c r="E5299" s="58">
        <v>24325</v>
      </c>
      <c r="F5299" s="58"/>
      <c r="G5299" s="58">
        <f t="shared" si="86"/>
        <v>-24325</v>
      </c>
      <c r="H5299" s="121" t="s">
        <v>3662</v>
      </c>
    </row>
    <row r="5300" spans="1:8" ht="15" x14ac:dyDescent="0.2">
      <c r="A5300" s="597">
        <v>43286</v>
      </c>
      <c r="B5300" s="41" t="s">
        <v>37</v>
      </c>
      <c r="C5300" s="63" t="s">
        <v>794</v>
      </c>
      <c r="D5300" s="129" t="s">
        <v>3610</v>
      </c>
      <c r="E5300" s="58">
        <v>12400</v>
      </c>
      <c r="F5300" s="58"/>
      <c r="G5300" s="58">
        <f t="shared" si="86"/>
        <v>-12400</v>
      </c>
      <c r="H5300" s="121" t="s">
        <v>3662</v>
      </c>
    </row>
    <row r="5301" spans="1:8" ht="15" x14ac:dyDescent="0.2">
      <c r="A5301" s="597">
        <v>43286</v>
      </c>
      <c r="B5301" s="41" t="s">
        <v>37</v>
      </c>
      <c r="C5301" s="63" t="s">
        <v>794</v>
      </c>
      <c r="D5301" s="129" t="s">
        <v>2181</v>
      </c>
      <c r="E5301" s="58">
        <v>16599.916666666664</v>
      </c>
      <c r="F5301" s="58"/>
      <c r="G5301" s="58">
        <f t="shared" si="86"/>
        <v>-16599.916666666664</v>
      </c>
      <c r="H5301" s="121" t="s">
        <v>3662</v>
      </c>
    </row>
    <row r="5302" spans="1:8" ht="15" x14ac:dyDescent="0.2">
      <c r="A5302" s="597">
        <v>43286</v>
      </c>
      <c r="B5302" s="41" t="s">
        <v>2933</v>
      </c>
      <c r="C5302" s="63" t="s">
        <v>794</v>
      </c>
      <c r="D5302" s="129" t="s">
        <v>1845</v>
      </c>
      <c r="E5302" s="58">
        <v>22100</v>
      </c>
      <c r="F5302" s="58"/>
      <c r="G5302" s="58">
        <f t="shared" si="86"/>
        <v>-22100</v>
      </c>
      <c r="H5302" s="121" t="s">
        <v>3662</v>
      </c>
    </row>
    <row r="5303" spans="1:8" ht="15" x14ac:dyDescent="0.2">
      <c r="A5303" s="597">
        <v>43286</v>
      </c>
      <c r="B5303" s="41" t="s">
        <v>2933</v>
      </c>
      <c r="C5303" s="63" t="s">
        <v>794</v>
      </c>
      <c r="D5303" s="129" t="s">
        <v>2925</v>
      </c>
      <c r="E5303" s="58">
        <v>50000</v>
      </c>
      <c r="F5303" s="58"/>
      <c r="G5303" s="58">
        <f t="shared" si="86"/>
        <v>-50000</v>
      </c>
      <c r="H5303" s="121" t="s">
        <v>3662</v>
      </c>
    </row>
    <row r="5304" spans="1:8" ht="15" x14ac:dyDescent="0.2">
      <c r="A5304" s="597">
        <v>43286</v>
      </c>
      <c r="B5304" s="41" t="s">
        <v>2652</v>
      </c>
      <c r="C5304" s="63" t="s">
        <v>794</v>
      </c>
      <c r="D5304" s="129" t="s">
        <v>3616</v>
      </c>
      <c r="E5304" s="58">
        <v>38666.666666666664</v>
      </c>
      <c r="F5304" s="58"/>
      <c r="G5304" s="58">
        <f t="shared" si="86"/>
        <v>-38666.666666666664</v>
      </c>
      <c r="H5304" s="121" t="s">
        <v>3662</v>
      </c>
    </row>
    <row r="5305" spans="1:8" ht="15" x14ac:dyDescent="0.2">
      <c r="A5305" s="597">
        <v>43286</v>
      </c>
      <c r="B5305" s="41" t="s">
        <v>2652</v>
      </c>
      <c r="C5305" s="63" t="s">
        <v>794</v>
      </c>
      <c r="D5305" s="129" t="s">
        <v>1852</v>
      </c>
      <c r="E5305" s="58">
        <v>24000.000000000004</v>
      </c>
      <c r="F5305" s="58"/>
      <c r="G5305" s="58">
        <f t="shared" si="86"/>
        <v>-24000.000000000004</v>
      </c>
      <c r="H5305" s="121" t="s">
        <v>3662</v>
      </c>
    </row>
    <row r="5306" spans="1:8" ht="15" x14ac:dyDescent="0.2">
      <c r="A5306" s="597">
        <v>43286</v>
      </c>
      <c r="B5306" s="41" t="s">
        <v>2652</v>
      </c>
      <c r="C5306" s="63" t="s">
        <v>794</v>
      </c>
      <c r="D5306" s="129" t="s">
        <v>1847</v>
      </c>
      <c r="E5306" s="58">
        <v>12500</v>
      </c>
      <c r="F5306" s="58"/>
      <c r="G5306" s="58">
        <f t="shared" si="86"/>
        <v>-12500</v>
      </c>
      <c r="H5306" s="121" t="s">
        <v>3662</v>
      </c>
    </row>
    <row r="5307" spans="1:8" ht="15" x14ac:dyDescent="0.2">
      <c r="A5307" s="597">
        <v>43286</v>
      </c>
      <c r="B5307" s="41" t="s">
        <v>2652</v>
      </c>
      <c r="C5307" s="63" t="s">
        <v>794</v>
      </c>
      <c r="D5307" s="129" t="s">
        <v>3613</v>
      </c>
      <c r="E5307" s="58">
        <v>19425</v>
      </c>
      <c r="F5307" s="58"/>
      <c r="G5307" s="58">
        <f t="shared" si="86"/>
        <v>-19425</v>
      </c>
      <c r="H5307" s="121" t="s">
        <v>3662</v>
      </c>
    </row>
    <row r="5308" spans="1:8" ht="15" x14ac:dyDescent="0.2">
      <c r="A5308" s="597">
        <v>43286</v>
      </c>
      <c r="B5308" s="41" t="s">
        <v>2652</v>
      </c>
      <c r="C5308" s="63" t="s">
        <v>794</v>
      </c>
      <c r="D5308" s="129" t="s">
        <v>2280</v>
      </c>
      <c r="E5308" s="58">
        <v>26500</v>
      </c>
      <c r="F5308" s="58"/>
      <c r="G5308" s="58">
        <f t="shared" si="86"/>
        <v>-26500</v>
      </c>
      <c r="H5308" s="121" t="s">
        <v>3662</v>
      </c>
    </row>
    <row r="5309" spans="1:8" ht="15" x14ac:dyDescent="0.2">
      <c r="A5309" s="597">
        <v>43286</v>
      </c>
      <c r="B5309" s="41" t="s">
        <v>2652</v>
      </c>
      <c r="C5309" s="63" t="s">
        <v>794</v>
      </c>
      <c r="D5309" s="129" t="s">
        <v>668</v>
      </c>
      <c r="E5309" s="58">
        <v>18350.25</v>
      </c>
      <c r="F5309" s="58"/>
      <c r="G5309" s="58">
        <f t="shared" si="86"/>
        <v>-18350.25</v>
      </c>
      <c r="H5309" s="121" t="s">
        <v>3662</v>
      </c>
    </row>
    <row r="5310" spans="1:8" ht="15" x14ac:dyDescent="0.2">
      <c r="A5310" s="597">
        <v>43286</v>
      </c>
      <c r="B5310" s="41" t="s">
        <v>2652</v>
      </c>
      <c r="C5310" s="63" t="s">
        <v>794</v>
      </c>
      <c r="D5310" s="129" t="s">
        <v>3231</v>
      </c>
      <c r="E5310" s="58">
        <v>32375</v>
      </c>
      <c r="F5310" s="58"/>
      <c r="G5310" s="58">
        <f t="shared" si="86"/>
        <v>-32375</v>
      </c>
      <c r="H5310" s="121" t="s">
        <v>3662</v>
      </c>
    </row>
    <row r="5311" spans="1:8" ht="15" x14ac:dyDescent="0.2">
      <c r="A5311" s="597">
        <v>43286</v>
      </c>
      <c r="B5311" s="41" t="s">
        <v>11</v>
      </c>
      <c r="C5311" s="63" t="s">
        <v>794</v>
      </c>
      <c r="D5311" s="129" t="s">
        <v>6131</v>
      </c>
      <c r="E5311" s="58">
        <v>3000</v>
      </c>
      <c r="F5311" s="58"/>
      <c r="G5311" s="58">
        <f t="shared" si="86"/>
        <v>-3000</v>
      </c>
      <c r="H5311" s="121"/>
    </row>
    <row r="5312" spans="1:8" ht="15" x14ac:dyDescent="0.2">
      <c r="A5312" s="597">
        <v>43286</v>
      </c>
      <c r="B5312" s="41" t="s">
        <v>2652</v>
      </c>
      <c r="C5312" s="41" t="s">
        <v>3145</v>
      </c>
      <c r="D5312" s="108" t="s">
        <v>392</v>
      </c>
      <c r="E5312" s="58">
        <v>1140</v>
      </c>
      <c r="F5312" s="58"/>
      <c r="G5312" s="58">
        <f t="shared" si="86"/>
        <v>-1140</v>
      </c>
      <c r="H5312" s="121" t="s">
        <v>3662</v>
      </c>
    </row>
    <row r="5313" spans="1:8" ht="15" x14ac:dyDescent="0.2">
      <c r="A5313" s="597">
        <v>43286</v>
      </c>
      <c r="B5313" s="41" t="s">
        <v>1400</v>
      </c>
      <c r="C5313" s="41" t="s">
        <v>3145</v>
      </c>
      <c r="D5313" s="108" t="s">
        <v>3763</v>
      </c>
      <c r="E5313" s="42">
        <v>1570</v>
      </c>
      <c r="G5313" s="58">
        <f t="shared" si="86"/>
        <v>-1570</v>
      </c>
      <c r="H5313" s="121" t="s">
        <v>3662</v>
      </c>
    </row>
    <row r="5314" spans="1:8" ht="15" x14ac:dyDescent="0.2">
      <c r="A5314" s="597">
        <v>43286</v>
      </c>
      <c r="B5314" s="41" t="s">
        <v>2787</v>
      </c>
      <c r="C5314" s="41" t="s">
        <v>3145</v>
      </c>
      <c r="D5314" s="108" t="s">
        <v>3764</v>
      </c>
      <c r="E5314" s="42">
        <v>3320</v>
      </c>
      <c r="G5314" s="58">
        <f t="shared" si="86"/>
        <v>-3320</v>
      </c>
      <c r="H5314" s="121" t="s">
        <v>3662</v>
      </c>
    </row>
    <row r="5315" spans="1:8" ht="15" x14ac:dyDescent="0.2">
      <c r="A5315" s="597">
        <v>43286</v>
      </c>
      <c r="B5315" s="41" t="s">
        <v>2933</v>
      </c>
      <c r="C5315" s="41" t="s">
        <v>3145</v>
      </c>
      <c r="D5315" s="108" t="s">
        <v>3764</v>
      </c>
      <c r="E5315" s="42">
        <v>8200</v>
      </c>
      <c r="G5315" s="58">
        <f t="shared" si="86"/>
        <v>-8200</v>
      </c>
      <c r="H5315" s="121" t="s">
        <v>3662</v>
      </c>
    </row>
    <row r="5316" spans="1:8" ht="15" x14ac:dyDescent="0.2">
      <c r="A5316" s="597">
        <v>43286</v>
      </c>
      <c r="B5316" s="41" t="s">
        <v>25</v>
      </c>
      <c r="C5316" s="41" t="s">
        <v>1894</v>
      </c>
      <c r="D5316" s="108" t="s">
        <v>2967</v>
      </c>
      <c r="E5316" s="42">
        <v>7257</v>
      </c>
      <c r="G5316" s="42">
        <f t="shared" si="86"/>
        <v>-7257</v>
      </c>
      <c r="H5316" s="121" t="s">
        <v>3662</v>
      </c>
    </row>
    <row r="5317" spans="1:8" ht="15" x14ac:dyDescent="0.2">
      <c r="A5317" s="597">
        <v>43286</v>
      </c>
      <c r="B5317" s="41" t="s">
        <v>2652</v>
      </c>
      <c r="C5317" s="41" t="s">
        <v>3149</v>
      </c>
      <c r="D5317" s="108" t="s">
        <v>3369</v>
      </c>
      <c r="E5317" s="42">
        <v>300</v>
      </c>
      <c r="G5317" s="42">
        <f t="shared" si="86"/>
        <v>-300</v>
      </c>
      <c r="H5317" s="121" t="s">
        <v>3662</v>
      </c>
    </row>
    <row r="5318" spans="1:8" ht="15" x14ac:dyDescent="0.2">
      <c r="A5318" s="597">
        <v>43286</v>
      </c>
      <c r="B5318" s="41" t="s">
        <v>16</v>
      </c>
      <c r="C5318" s="41" t="s">
        <v>3145</v>
      </c>
      <c r="D5318" s="108" t="s">
        <v>3765</v>
      </c>
      <c r="E5318" s="42">
        <v>710</v>
      </c>
      <c r="G5318" s="42">
        <f t="shared" si="86"/>
        <v>-710</v>
      </c>
      <c r="H5318" s="121" t="s">
        <v>3662</v>
      </c>
    </row>
    <row r="5319" spans="1:8" ht="15" x14ac:dyDescent="0.2">
      <c r="A5319" s="597">
        <v>43286</v>
      </c>
      <c r="B5319" s="41" t="s">
        <v>25</v>
      </c>
      <c r="C5319" s="41" t="s">
        <v>1894</v>
      </c>
      <c r="D5319" s="108" t="s">
        <v>3766</v>
      </c>
      <c r="E5319" s="42">
        <v>26656</v>
      </c>
      <c r="G5319" s="42">
        <f t="shared" si="86"/>
        <v>-26656</v>
      </c>
      <c r="H5319" s="121" t="s">
        <v>3662</v>
      </c>
    </row>
    <row r="5320" spans="1:8" ht="15" x14ac:dyDescent="0.2">
      <c r="A5320" s="597">
        <v>43286</v>
      </c>
      <c r="B5320" s="41" t="s">
        <v>25</v>
      </c>
      <c r="C5320" s="41" t="s">
        <v>1894</v>
      </c>
      <c r="D5320" s="108" t="s">
        <v>392</v>
      </c>
      <c r="E5320" s="42">
        <v>1900</v>
      </c>
      <c r="G5320" s="42">
        <f t="shared" si="86"/>
        <v>-1900</v>
      </c>
      <c r="H5320" s="121" t="s">
        <v>3662</v>
      </c>
    </row>
    <row r="5321" spans="1:8" ht="15" x14ac:dyDescent="0.2">
      <c r="A5321" s="597">
        <v>43286</v>
      </c>
      <c r="B5321" s="41" t="s">
        <v>3622</v>
      </c>
      <c r="C5321" s="41" t="s">
        <v>3145</v>
      </c>
      <c r="D5321" s="108" t="s">
        <v>392</v>
      </c>
      <c r="E5321" s="42">
        <v>2430</v>
      </c>
      <c r="G5321" s="42">
        <f t="shared" ref="G5321:G5384" si="87">F5321-E5321</f>
        <v>-2430</v>
      </c>
      <c r="H5321" s="121" t="s">
        <v>3662</v>
      </c>
    </row>
    <row r="5322" spans="1:8" ht="15" x14ac:dyDescent="0.2">
      <c r="A5322" s="597">
        <v>43286</v>
      </c>
      <c r="B5322" s="41" t="s">
        <v>2933</v>
      </c>
      <c r="C5322" s="41" t="s">
        <v>3145</v>
      </c>
      <c r="D5322" s="108" t="s">
        <v>3767</v>
      </c>
      <c r="E5322" s="42">
        <v>7500</v>
      </c>
      <c r="G5322" s="42">
        <f t="shared" si="87"/>
        <v>-7500</v>
      </c>
      <c r="H5322" s="121" t="s">
        <v>3662</v>
      </c>
    </row>
    <row r="5323" spans="1:8" ht="15" x14ac:dyDescent="0.2">
      <c r="A5323" s="597">
        <v>43286</v>
      </c>
      <c r="B5323" s="41" t="s">
        <v>2933</v>
      </c>
      <c r="C5323" s="41" t="s">
        <v>3149</v>
      </c>
      <c r="D5323" s="108" t="s">
        <v>3369</v>
      </c>
      <c r="E5323" s="42">
        <v>150</v>
      </c>
      <c r="G5323" s="42">
        <f t="shared" si="87"/>
        <v>-150</v>
      </c>
      <c r="H5323" s="121" t="s">
        <v>3662</v>
      </c>
    </row>
    <row r="5324" spans="1:8" ht="24" x14ac:dyDescent="0.2">
      <c r="A5324" s="597">
        <v>43286</v>
      </c>
      <c r="B5324" s="41" t="s">
        <v>1400</v>
      </c>
      <c r="C5324" s="41" t="s">
        <v>3145</v>
      </c>
      <c r="D5324" s="129" t="s">
        <v>3768</v>
      </c>
      <c r="E5324" s="42">
        <v>68377</v>
      </c>
      <c r="G5324" s="42">
        <f t="shared" si="87"/>
        <v>-68377</v>
      </c>
      <c r="H5324" s="121" t="s">
        <v>3662</v>
      </c>
    </row>
    <row r="5325" spans="1:8" ht="15" x14ac:dyDescent="0.2">
      <c r="A5325" s="597">
        <v>43286</v>
      </c>
      <c r="B5325" s="41" t="s">
        <v>2652</v>
      </c>
      <c r="C5325" s="41" t="s">
        <v>3149</v>
      </c>
      <c r="D5325" s="108" t="s">
        <v>3369</v>
      </c>
      <c r="E5325" s="42">
        <v>300</v>
      </c>
      <c r="G5325" s="42">
        <f t="shared" si="87"/>
        <v>-300</v>
      </c>
      <c r="H5325" s="121" t="s">
        <v>3662</v>
      </c>
    </row>
    <row r="5326" spans="1:8" ht="15" x14ac:dyDescent="0.2">
      <c r="A5326" s="597">
        <v>43286</v>
      </c>
      <c r="B5326" s="41" t="s">
        <v>2933</v>
      </c>
      <c r="C5326" s="41" t="s">
        <v>3149</v>
      </c>
      <c r="D5326" s="108" t="s">
        <v>3369</v>
      </c>
      <c r="E5326" s="42">
        <v>90</v>
      </c>
      <c r="G5326" s="42">
        <f t="shared" si="87"/>
        <v>-90</v>
      </c>
      <c r="H5326" s="121" t="s">
        <v>3662</v>
      </c>
    </row>
    <row r="5327" spans="1:8" ht="15" x14ac:dyDescent="0.2">
      <c r="A5327" s="597">
        <v>43286</v>
      </c>
      <c r="B5327" s="41" t="s">
        <v>37</v>
      </c>
      <c r="C5327" s="41" t="s">
        <v>3145</v>
      </c>
      <c r="D5327" s="108" t="s">
        <v>3781</v>
      </c>
      <c r="E5327" s="42">
        <v>850</v>
      </c>
      <c r="G5327" s="42">
        <f t="shared" si="87"/>
        <v>-850</v>
      </c>
      <c r="H5327" s="121" t="s">
        <v>3662</v>
      </c>
    </row>
    <row r="5328" spans="1:8" ht="15" x14ac:dyDescent="0.2">
      <c r="A5328" s="597">
        <v>43286</v>
      </c>
      <c r="B5328" s="41" t="s">
        <v>2652</v>
      </c>
      <c r="C5328" s="41" t="s">
        <v>3149</v>
      </c>
      <c r="D5328" s="108" t="s">
        <v>3369</v>
      </c>
      <c r="E5328" s="42">
        <v>680</v>
      </c>
      <c r="G5328" s="42">
        <f t="shared" si="87"/>
        <v>-680</v>
      </c>
      <c r="H5328" s="121" t="s">
        <v>3662</v>
      </c>
    </row>
    <row r="5329" spans="1:8" ht="15" x14ac:dyDescent="0.2">
      <c r="A5329" s="597">
        <v>43286</v>
      </c>
      <c r="B5329" s="41" t="s">
        <v>3622</v>
      </c>
      <c r="C5329" s="41" t="s">
        <v>3149</v>
      </c>
      <c r="D5329" s="108" t="s">
        <v>3369</v>
      </c>
      <c r="E5329" s="42">
        <v>330</v>
      </c>
      <c r="G5329" s="42">
        <f t="shared" si="87"/>
        <v>-330</v>
      </c>
      <c r="H5329" s="121" t="s">
        <v>3662</v>
      </c>
    </row>
    <row r="5330" spans="1:8" ht="15" x14ac:dyDescent="0.2">
      <c r="A5330" s="597">
        <v>43286</v>
      </c>
      <c r="B5330" s="41" t="s">
        <v>2787</v>
      </c>
      <c r="C5330" s="41" t="s">
        <v>3145</v>
      </c>
      <c r="D5330" s="108" t="s">
        <v>3782</v>
      </c>
      <c r="E5330" s="42">
        <v>21763</v>
      </c>
      <c r="G5330" s="42">
        <f t="shared" si="87"/>
        <v>-21763</v>
      </c>
      <c r="H5330" s="121" t="s">
        <v>3662</v>
      </c>
    </row>
    <row r="5331" spans="1:8" ht="15" x14ac:dyDescent="0.2">
      <c r="A5331" s="597">
        <v>43286</v>
      </c>
      <c r="B5331" s="41" t="s">
        <v>2787</v>
      </c>
      <c r="C5331" s="41" t="s">
        <v>3145</v>
      </c>
      <c r="D5331" s="108" t="s">
        <v>3783</v>
      </c>
      <c r="E5331" s="42">
        <v>5500</v>
      </c>
      <c r="G5331" s="42">
        <f t="shared" si="87"/>
        <v>-5500</v>
      </c>
      <c r="H5331" s="121" t="s">
        <v>3662</v>
      </c>
    </row>
    <row r="5332" spans="1:8" ht="15" x14ac:dyDescent="0.2">
      <c r="A5332" s="597">
        <v>43291</v>
      </c>
      <c r="B5332" s="41" t="s">
        <v>18</v>
      </c>
      <c r="C5332" s="41" t="s">
        <v>3145</v>
      </c>
      <c r="D5332" s="108" t="s">
        <v>3784</v>
      </c>
      <c r="E5332" s="42">
        <v>3150</v>
      </c>
      <c r="G5332" s="42">
        <f t="shared" si="87"/>
        <v>-3150</v>
      </c>
      <c r="H5332" s="121" t="s">
        <v>3662</v>
      </c>
    </row>
    <row r="5333" spans="1:8" ht="15" x14ac:dyDescent="0.2">
      <c r="A5333" s="597">
        <v>43291</v>
      </c>
      <c r="B5333" s="41" t="s">
        <v>2933</v>
      </c>
      <c r="C5333" s="41" t="s">
        <v>3785</v>
      </c>
      <c r="D5333" s="108" t="s">
        <v>3786</v>
      </c>
      <c r="E5333" s="42">
        <v>4000</v>
      </c>
      <c r="G5333" s="42">
        <f t="shared" si="87"/>
        <v>-4000</v>
      </c>
      <c r="H5333" s="121" t="s">
        <v>3662</v>
      </c>
    </row>
    <row r="5334" spans="1:8" ht="15" x14ac:dyDescent="0.2">
      <c r="A5334" s="597">
        <v>43291</v>
      </c>
      <c r="B5334" s="41" t="s">
        <v>2787</v>
      </c>
      <c r="C5334" s="41" t="s">
        <v>3275</v>
      </c>
      <c r="D5334" s="108" t="s">
        <v>3787</v>
      </c>
      <c r="E5334" s="42">
        <v>20000</v>
      </c>
      <c r="G5334" s="42">
        <f t="shared" si="87"/>
        <v>-20000</v>
      </c>
      <c r="H5334" s="121" t="s">
        <v>3662</v>
      </c>
    </row>
    <row r="5335" spans="1:8" ht="15" x14ac:dyDescent="0.2">
      <c r="A5335" s="597">
        <v>43292</v>
      </c>
      <c r="B5335" s="41" t="s">
        <v>1400</v>
      </c>
      <c r="C5335" s="41" t="s">
        <v>3145</v>
      </c>
      <c r="D5335" s="108" t="s">
        <v>3813</v>
      </c>
      <c r="E5335" s="42">
        <v>2700</v>
      </c>
      <c r="G5335" s="42">
        <f t="shared" si="87"/>
        <v>-2700</v>
      </c>
      <c r="H5335" s="121" t="s">
        <v>3662</v>
      </c>
    </row>
    <row r="5336" spans="1:8" ht="15" x14ac:dyDescent="0.2">
      <c r="A5336" s="597">
        <v>43292</v>
      </c>
      <c r="B5336" s="41" t="s">
        <v>2652</v>
      </c>
      <c r="C5336" s="41" t="s">
        <v>3145</v>
      </c>
      <c r="D5336" s="108" t="s">
        <v>3813</v>
      </c>
      <c r="E5336" s="42">
        <v>930</v>
      </c>
      <c r="G5336" s="42">
        <f t="shared" si="87"/>
        <v>-930</v>
      </c>
      <c r="H5336" s="121" t="s">
        <v>3662</v>
      </c>
    </row>
    <row r="5337" spans="1:8" ht="15" x14ac:dyDescent="0.2">
      <c r="A5337" s="597">
        <v>43292</v>
      </c>
      <c r="B5337" s="41" t="s">
        <v>2787</v>
      </c>
      <c r="C5337" s="41" t="s">
        <v>3145</v>
      </c>
      <c r="D5337" s="108" t="s">
        <v>3813</v>
      </c>
      <c r="E5337" s="42">
        <v>3000</v>
      </c>
      <c r="G5337" s="42">
        <f t="shared" si="87"/>
        <v>-3000</v>
      </c>
      <c r="H5337" s="121" t="s">
        <v>3662</v>
      </c>
    </row>
    <row r="5338" spans="1:8" ht="15" x14ac:dyDescent="0.2">
      <c r="A5338" s="597">
        <v>43292</v>
      </c>
      <c r="B5338" s="41" t="s">
        <v>2933</v>
      </c>
      <c r="C5338" s="41" t="s">
        <v>3145</v>
      </c>
      <c r="D5338" s="108" t="s">
        <v>3814</v>
      </c>
      <c r="E5338" s="42">
        <v>42800</v>
      </c>
      <c r="G5338" s="42">
        <f t="shared" si="87"/>
        <v>-42800</v>
      </c>
      <c r="H5338" s="121" t="s">
        <v>3662</v>
      </c>
    </row>
    <row r="5339" spans="1:8" ht="15" x14ac:dyDescent="0.2">
      <c r="A5339" s="597">
        <v>43291</v>
      </c>
      <c r="B5339" s="41" t="s">
        <v>1400</v>
      </c>
      <c r="C5339" s="41" t="s">
        <v>2515</v>
      </c>
      <c r="D5339" s="108" t="s">
        <v>370</v>
      </c>
      <c r="E5339" s="42">
        <v>10000</v>
      </c>
      <c r="G5339" s="42">
        <f t="shared" si="87"/>
        <v>-10000</v>
      </c>
      <c r="H5339" s="121" t="s">
        <v>3662</v>
      </c>
    </row>
    <row r="5340" spans="1:8" ht="15" x14ac:dyDescent="0.2">
      <c r="A5340" s="597">
        <v>43291</v>
      </c>
      <c r="B5340" s="41" t="s">
        <v>2652</v>
      </c>
      <c r="C5340" s="41" t="s">
        <v>3149</v>
      </c>
      <c r="D5340" s="108" t="s">
        <v>3369</v>
      </c>
      <c r="E5340" s="42">
        <v>300</v>
      </c>
      <c r="G5340" s="42">
        <f t="shared" si="87"/>
        <v>-300</v>
      </c>
      <c r="H5340" s="121" t="s">
        <v>3662</v>
      </c>
    </row>
    <row r="5341" spans="1:8" ht="15" x14ac:dyDescent="0.2">
      <c r="A5341" s="597">
        <v>43291</v>
      </c>
      <c r="B5341" s="41" t="s">
        <v>2652</v>
      </c>
      <c r="C5341" s="41" t="s">
        <v>3149</v>
      </c>
      <c r="D5341" s="108" t="s">
        <v>3369</v>
      </c>
      <c r="E5341" s="42">
        <v>140</v>
      </c>
      <c r="G5341" s="42">
        <f t="shared" si="87"/>
        <v>-140</v>
      </c>
      <c r="H5341" s="121" t="s">
        <v>3662</v>
      </c>
    </row>
    <row r="5342" spans="1:8" ht="15" x14ac:dyDescent="0.2">
      <c r="A5342" s="597">
        <v>43294</v>
      </c>
      <c r="B5342" s="41" t="s">
        <v>1400</v>
      </c>
      <c r="C5342" s="41" t="s">
        <v>3145</v>
      </c>
      <c r="D5342" s="108" t="s">
        <v>3817</v>
      </c>
      <c r="E5342" s="42">
        <v>10250</v>
      </c>
      <c r="G5342" s="42">
        <f t="shared" si="87"/>
        <v>-10250</v>
      </c>
      <c r="H5342" s="121" t="s">
        <v>3662</v>
      </c>
    </row>
    <row r="5343" spans="1:8" ht="15" x14ac:dyDescent="0.2">
      <c r="A5343" s="597">
        <v>43294</v>
      </c>
      <c r="B5343" s="41" t="s">
        <v>2787</v>
      </c>
      <c r="C5343" s="41" t="s">
        <v>3145</v>
      </c>
      <c r="D5343" s="108" t="s">
        <v>3818</v>
      </c>
      <c r="E5343" s="42">
        <v>16569</v>
      </c>
      <c r="G5343" s="42">
        <f t="shared" si="87"/>
        <v>-16569</v>
      </c>
      <c r="H5343" s="121" t="s">
        <v>3662</v>
      </c>
    </row>
    <row r="5344" spans="1:8" ht="15" x14ac:dyDescent="0.2">
      <c r="A5344" s="597">
        <v>43291</v>
      </c>
      <c r="B5344" s="41" t="s">
        <v>2652</v>
      </c>
      <c r="C5344" s="41" t="s">
        <v>3145</v>
      </c>
      <c r="D5344" s="108" t="s">
        <v>3788</v>
      </c>
      <c r="E5344" s="42">
        <v>3900</v>
      </c>
      <c r="G5344" s="42">
        <f t="shared" si="87"/>
        <v>-3900</v>
      </c>
      <c r="H5344" s="121" t="s">
        <v>3662</v>
      </c>
    </row>
    <row r="5345" spans="1:8" ht="15" x14ac:dyDescent="0.2">
      <c r="A5345" s="597">
        <v>43296</v>
      </c>
      <c r="B5345" s="41" t="s">
        <v>1400</v>
      </c>
      <c r="C5345" s="41" t="s">
        <v>3145</v>
      </c>
      <c r="D5345" s="108" t="s">
        <v>3789</v>
      </c>
      <c r="E5345" s="42">
        <v>15240</v>
      </c>
      <c r="G5345" s="42">
        <f t="shared" si="87"/>
        <v>-15240</v>
      </c>
      <c r="H5345" s="121" t="s">
        <v>3662</v>
      </c>
    </row>
    <row r="5346" spans="1:8" ht="15" x14ac:dyDescent="0.2">
      <c r="A5346" s="597">
        <v>43297</v>
      </c>
      <c r="B5346" s="41" t="s">
        <v>1400</v>
      </c>
      <c r="C5346" s="41" t="s">
        <v>3145</v>
      </c>
      <c r="D5346" s="108" t="s">
        <v>3789</v>
      </c>
      <c r="E5346" s="42">
        <v>36107</v>
      </c>
      <c r="G5346" s="42">
        <f t="shared" si="87"/>
        <v>-36107</v>
      </c>
      <c r="H5346" s="121" t="s">
        <v>3662</v>
      </c>
    </row>
    <row r="5347" spans="1:8" ht="15" x14ac:dyDescent="0.2">
      <c r="A5347" s="597">
        <v>43297</v>
      </c>
      <c r="B5347" s="41" t="s">
        <v>25</v>
      </c>
      <c r="C5347" s="41" t="s">
        <v>3790</v>
      </c>
      <c r="D5347" s="108" t="s">
        <v>370</v>
      </c>
      <c r="E5347" s="42">
        <v>500</v>
      </c>
      <c r="G5347" s="42">
        <f t="shared" si="87"/>
        <v>-500</v>
      </c>
      <c r="H5347" s="121" t="s">
        <v>3662</v>
      </c>
    </row>
    <row r="5348" spans="1:8" ht="15" x14ac:dyDescent="0.2">
      <c r="A5348" s="597">
        <v>43297</v>
      </c>
      <c r="B5348" s="41" t="s">
        <v>16</v>
      </c>
      <c r="C5348" s="41" t="s">
        <v>3791</v>
      </c>
      <c r="D5348" s="108" t="s">
        <v>370</v>
      </c>
      <c r="E5348" s="42">
        <v>4122</v>
      </c>
      <c r="G5348" s="42">
        <f t="shared" si="87"/>
        <v>-4122</v>
      </c>
      <c r="H5348" s="121" t="s">
        <v>3662</v>
      </c>
    </row>
    <row r="5349" spans="1:8" ht="15" x14ac:dyDescent="0.2">
      <c r="A5349" s="597">
        <v>43297</v>
      </c>
      <c r="B5349" s="41" t="s">
        <v>2933</v>
      </c>
      <c r="C5349" s="41" t="s">
        <v>3145</v>
      </c>
      <c r="D5349" s="108" t="s">
        <v>1495</v>
      </c>
      <c r="E5349" s="42">
        <v>2160</v>
      </c>
      <c r="G5349" s="42">
        <f t="shared" si="87"/>
        <v>-2160</v>
      </c>
      <c r="H5349" s="121" t="s">
        <v>3662</v>
      </c>
    </row>
    <row r="5350" spans="1:8" ht="15" x14ac:dyDescent="0.2">
      <c r="A5350" s="597">
        <v>43297</v>
      </c>
      <c r="B5350" s="41" t="s">
        <v>2787</v>
      </c>
      <c r="C5350" s="41" t="s">
        <v>3145</v>
      </c>
      <c r="D5350" s="108" t="s">
        <v>3792</v>
      </c>
      <c r="E5350" s="42">
        <v>3600</v>
      </c>
      <c r="G5350" s="42">
        <f t="shared" si="87"/>
        <v>-3600</v>
      </c>
      <c r="H5350" s="121" t="s">
        <v>3662</v>
      </c>
    </row>
    <row r="5351" spans="1:8" ht="15" x14ac:dyDescent="0.2">
      <c r="A5351" s="597">
        <v>43297</v>
      </c>
      <c r="B5351" s="41" t="s">
        <v>1691</v>
      </c>
      <c r="C5351" s="41" t="s">
        <v>3145</v>
      </c>
      <c r="D5351" s="108" t="s">
        <v>3793</v>
      </c>
      <c r="E5351" s="42">
        <v>170315</v>
      </c>
      <c r="G5351" s="42">
        <f t="shared" si="87"/>
        <v>-170315</v>
      </c>
      <c r="H5351" s="121" t="s">
        <v>3662</v>
      </c>
    </row>
    <row r="5352" spans="1:8" ht="15" x14ac:dyDescent="0.2">
      <c r="A5352" s="597">
        <v>43297</v>
      </c>
      <c r="B5352" s="41" t="s">
        <v>18</v>
      </c>
      <c r="C5352" s="41" t="s">
        <v>3145</v>
      </c>
      <c r="D5352" s="108" t="s">
        <v>3793</v>
      </c>
      <c r="E5352" s="42">
        <v>19160</v>
      </c>
      <c r="G5352" s="42">
        <f t="shared" si="87"/>
        <v>-19160</v>
      </c>
      <c r="H5352" s="121" t="s">
        <v>3662</v>
      </c>
    </row>
    <row r="5353" spans="1:8" ht="15" x14ac:dyDescent="0.2">
      <c r="A5353" s="597">
        <v>43297</v>
      </c>
      <c r="B5353" s="41" t="s">
        <v>37</v>
      </c>
      <c r="C5353" s="41" t="s">
        <v>3145</v>
      </c>
      <c r="D5353" s="108" t="s">
        <v>3794</v>
      </c>
      <c r="E5353" s="42">
        <v>9060</v>
      </c>
      <c r="G5353" s="42">
        <f t="shared" si="87"/>
        <v>-9060</v>
      </c>
      <c r="H5353" s="121" t="s">
        <v>3662</v>
      </c>
    </row>
    <row r="5354" spans="1:8" ht="15" x14ac:dyDescent="0.2">
      <c r="A5354" s="597">
        <v>43297</v>
      </c>
      <c r="B5354" s="41" t="s">
        <v>11</v>
      </c>
      <c r="C5354" s="41" t="s">
        <v>3145</v>
      </c>
      <c r="D5354" s="108" t="s">
        <v>3794</v>
      </c>
      <c r="E5354" s="42">
        <v>8600</v>
      </c>
      <c r="G5354" s="42">
        <f t="shared" si="87"/>
        <v>-8600</v>
      </c>
      <c r="H5354" s="121" t="s">
        <v>3662</v>
      </c>
    </row>
    <row r="5355" spans="1:8" ht="15" x14ac:dyDescent="0.2">
      <c r="A5355" s="597">
        <v>43297</v>
      </c>
      <c r="B5355" s="41" t="s">
        <v>2787</v>
      </c>
      <c r="C5355" s="41" t="s">
        <v>3145</v>
      </c>
      <c r="D5355" s="108" t="s">
        <v>3794</v>
      </c>
      <c r="E5355" s="42">
        <v>8800</v>
      </c>
      <c r="G5355" s="42">
        <f t="shared" si="87"/>
        <v>-8800</v>
      </c>
      <c r="H5355" s="121" t="s">
        <v>3662</v>
      </c>
    </row>
    <row r="5356" spans="1:8" ht="15" x14ac:dyDescent="0.2">
      <c r="A5356" s="597">
        <v>43297</v>
      </c>
      <c r="B5356" s="41" t="s">
        <v>6516</v>
      </c>
      <c r="C5356" s="41" t="s">
        <v>3145</v>
      </c>
      <c r="D5356" s="108" t="s">
        <v>3794</v>
      </c>
      <c r="E5356" s="42">
        <v>5005</v>
      </c>
      <c r="G5356" s="42">
        <f t="shared" si="87"/>
        <v>-5005</v>
      </c>
      <c r="H5356" s="121" t="s">
        <v>3662</v>
      </c>
    </row>
    <row r="5357" spans="1:8" ht="15" x14ac:dyDescent="0.2">
      <c r="A5357" s="597">
        <v>43297</v>
      </c>
      <c r="B5357" s="41" t="s">
        <v>6516</v>
      </c>
      <c r="C5357" s="41" t="s">
        <v>3145</v>
      </c>
      <c r="D5357" s="108" t="s">
        <v>3795</v>
      </c>
      <c r="E5357" s="42">
        <v>3565</v>
      </c>
      <c r="G5357" s="42">
        <f t="shared" si="87"/>
        <v>-3565</v>
      </c>
      <c r="H5357" s="121" t="s">
        <v>3662</v>
      </c>
    </row>
    <row r="5358" spans="1:8" ht="15" x14ac:dyDescent="0.2">
      <c r="A5358" s="597">
        <v>43297</v>
      </c>
      <c r="B5358" s="41" t="s">
        <v>6516</v>
      </c>
      <c r="C5358" s="41" t="s">
        <v>3145</v>
      </c>
      <c r="D5358" s="108" t="s">
        <v>3796</v>
      </c>
      <c r="E5358" s="42">
        <v>2240</v>
      </c>
      <c r="G5358" s="42">
        <f t="shared" si="87"/>
        <v>-2240</v>
      </c>
      <c r="H5358" s="121" t="s">
        <v>3662</v>
      </c>
    </row>
    <row r="5359" spans="1:8" ht="15" x14ac:dyDescent="0.2">
      <c r="A5359" s="597">
        <v>43298</v>
      </c>
      <c r="B5359" s="41" t="s">
        <v>1400</v>
      </c>
      <c r="C5359" s="41" t="s">
        <v>3145</v>
      </c>
      <c r="D5359" s="108" t="s">
        <v>3815</v>
      </c>
      <c r="E5359" s="42">
        <v>11700</v>
      </c>
      <c r="G5359" s="42">
        <f t="shared" si="87"/>
        <v>-11700</v>
      </c>
      <c r="H5359" s="121" t="s">
        <v>3662</v>
      </c>
    </row>
    <row r="5360" spans="1:8" ht="15" x14ac:dyDescent="0.2">
      <c r="A5360" s="597">
        <v>43298</v>
      </c>
      <c r="B5360" s="41" t="s">
        <v>2787</v>
      </c>
      <c r="C5360" s="41" t="s">
        <v>3145</v>
      </c>
      <c r="D5360" s="108" t="s">
        <v>3816</v>
      </c>
      <c r="E5360" s="42">
        <v>7300</v>
      </c>
      <c r="G5360" s="42">
        <f t="shared" si="87"/>
        <v>-7300</v>
      </c>
      <c r="H5360" s="121" t="s">
        <v>3662</v>
      </c>
    </row>
    <row r="5361" spans="1:8" ht="15" x14ac:dyDescent="0.2">
      <c r="A5361" s="597">
        <v>43298</v>
      </c>
      <c r="B5361" s="41" t="s">
        <v>2652</v>
      </c>
      <c r="C5361" s="41" t="s">
        <v>3145</v>
      </c>
      <c r="D5361" s="108" t="s">
        <v>3797</v>
      </c>
      <c r="E5361" s="42">
        <v>2836</v>
      </c>
      <c r="G5361" s="42">
        <f t="shared" si="87"/>
        <v>-2836</v>
      </c>
      <c r="H5361" s="121" t="s">
        <v>3662</v>
      </c>
    </row>
    <row r="5362" spans="1:8" ht="15" x14ac:dyDescent="0.2">
      <c r="A5362" s="597">
        <v>43298</v>
      </c>
      <c r="B5362" s="41" t="s">
        <v>3622</v>
      </c>
      <c r="C5362" s="41" t="s">
        <v>3149</v>
      </c>
      <c r="D5362" s="108" t="s">
        <v>3369</v>
      </c>
      <c r="E5362" s="42">
        <v>840</v>
      </c>
      <c r="G5362" s="42">
        <f t="shared" si="87"/>
        <v>-840</v>
      </c>
      <c r="H5362" s="121" t="s">
        <v>3662</v>
      </c>
    </row>
    <row r="5363" spans="1:8" ht="15" x14ac:dyDescent="0.2">
      <c r="A5363" s="597">
        <v>43298</v>
      </c>
      <c r="B5363" s="41" t="s">
        <v>2652</v>
      </c>
      <c r="C5363" s="41" t="s">
        <v>3145</v>
      </c>
      <c r="D5363" s="108" t="s">
        <v>3798</v>
      </c>
      <c r="E5363" s="42">
        <v>4430</v>
      </c>
      <c r="G5363" s="42">
        <f t="shared" si="87"/>
        <v>-4430</v>
      </c>
      <c r="H5363" s="121" t="s">
        <v>3662</v>
      </c>
    </row>
    <row r="5364" spans="1:8" ht="15" x14ac:dyDescent="0.2">
      <c r="A5364" s="597">
        <v>43298</v>
      </c>
      <c r="B5364" s="41" t="s">
        <v>2652</v>
      </c>
      <c r="C5364" s="41" t="s">
        <v>1743</v>
      </c>
      <c r="D5364" s="108" t="s">
        <v>370</v>
      </c>
      <c r="E5364" s="42">
        <v>14000</v>
      </c>
      <c r="G5364" s="42">
        <f t="shared" si="87"/>
        <v>-14000</v>
      </c>
      <c r="H5364" s="121" t="s">
        <v>3662</v>
      </c>
    </row>
    <row r="5365" spans="1:8" ht="15" x14ac:dyDescent="0.2">
      <c r="A5365" s="597">
        <v>43298</v>
      </c>
      <c r="B5365" s="41" t="s">
        <v>2787</v>
      </c>
      <c r="C5365" s="41" t="s">
        <v>3149</v>
      </c>
      <c r="D5365" s="108" t="s">
        <v>3369</v>
      </c>
      <c r="E5365" s="42">
        <v>5700</v>
      </c>
      <c r="G5365" s="42">
        <f t="shared" si="87"/>
        <v>-5700</v>
      </c>
      <c r="H5365" s="121" t="s">
        <v>3662</v>
      </c>
    </row>
    <row r="5366" spans="1:8" ht="15" x14ac:dyDescent="0.2">
      <c r="A5366" s="597">
        <v>43298</v>
      </c>
      <c r="B5366" s="41" t="s">
        <v>2652</v>
      </c>
      <c r="C5366" s="41" t="s">
        <v>3149</v>
      </c>
      <c r="D5366" s="108" t="s">
        <v>3369</v>
      </c>
      <c r="E5366" s="42">
        <v>390</v>
      </c>
      <c r="G5366" s="42">
        <f t="shared" si="87"/>
        <v>-390</v>
      </c>
      <c r="H5366" s="121" t="s">
        <v>3662</v>
      </c>
    </row>
    <row r="5367" spans="1:8" ht="15" x14ac:dyDescent="0.2">
      <c r="A5367" s="597">
        <v>43307</v>
      </c>
      <c r="B5367" s="41" t="s">
        <v>1400</v>
      </c>
      <c r="C5367" s="41" t="s">
        <v>3145</v>
      </c>
      <c r="D5367" s="108" t="s">
        <v>1623</v>
      </c>
      <c r="E5367" s="42">
        <v>5940</v>
      </c>
      <c r="G5367" s="42">
        <f t="shared" si="87"/>
        <v>-5940</v>
      </c>
      <c r="H5367" s="121" t="s">
        <v>3662</v>
      </c>
    </row>
    <row r="5368" spans="1:8" ht="15" x14ac:dyDescent="0.2">
      <c r="A5368" s="597">
        <v>43307</v>
      </c>
      <c r="B5368" s="41" t="s">
        <v>16</v>
      </c>
      <c r="C5368" s="41" t="s">
        <v>3145</v>
      </c>
      <c r="D5368" s="108" t="s">
        <v>3799</v>
      </c>
      <c r="E5368" s="42">
        <v>9900</v>
      </c>
      <c r="G5368" s="42">
        <f t="shared" si="87"/>
        <v>-9900</v>
      </c>
      <c r="H5368" s="121" t="s">
        <v>3662</v>
      </c>
    </row>
    <row r="5369" spans="1:8" ht="15" x14ac:dyDescent="0.2">
      <c r="A5369" s="597">
        <v>43307</v>
      </c>
      <c r="B5369" s="41" t="s">
        <v>6516</v>
      </c>
      <c r="C5369" s="41" t="s">
        <v>3145</v>
      </c>
      <c r="D5369" s="108" t="s">
        <v>3800</v>
      </c>
      <c r="E5369" s="42">
        <v>1500</v>
      </c>
      <c r="G5369" s="42">
        <f t="shared" si="87"/>
        <v>-1500</v>
      </c>
      <c r="H5369" s="121" t="s">
        <v>3662</v>
      </c>
    </row>
    <row r="5370" spans="1:8" ht="15" x14ac:dyDescent="0.2">
      <c r="A5370" s="597">
        <v>43307</v>
      </c>
      <c r="B5370" s="41" t="s">
        <v>2933</v>
      </c>
      <c r="C5370" s="41" t="s">
        <v>3145</v>
      </c>
      <c r="D5370" s="108" t="s">
        <v>3801</v>
      </c>
      <c r="E5370" s="42">
        <v>26167</v>
      </c>
      <c r="G5370" s="42">
        <f t="shared" si="87"/>
        <v>-26167</v>
      </c>
      <c r="H5370" s="121" t="s">
        <v>3662</v>
      </c>
    </row>
    <row r="5371" spans="1:8" ht="15" x14ac:dyDescent="0.2">
      <c r="A5371" s="597">
        <v>43308</v>
      </c>
      <c r="B5371" s="41" t="s">
        <v>16</v>
      </c>
      <c r="C5371" s="41" t="s">
        <v>3145</v>
      </c>
      <c r="D5371" s="108" t="s">
        <v>3802</v>
      </c>
      <c r="E5371" s="42">
        <v>550</v>
      </c>
      <c r="G5371" s="42">
        <f t="shared" si="87"/>
        <v>-550</v>
      </c>
      <c r="H5371" s="121" t="s">
        <v>3662</v>
      </c>
    </row>
    <row r="5372" spans="1:8" ht="15" x14ac:dyDescent="0.2">
      <c r="A5372" s="597">
        <v>43308</v>
      </c>
      <c r="B5372" s="41" t="s">
        <v>1400</v>
      </c>
      <c r="C5372" s="41" t="s">
        <v>2515</v>
      </c>
      <c r="D5372" s="108" t="s">
        <v>3804</v>
      </c>
      <c r="E5372" s="42">
        <v>15000</v>
      </c>
      <c r="G5372" s="42">
        <f t="shared" si="87"/>
        <v>-15000</v>
      </c>
      <c r="H5372" s="121" t="s">
        <v>3662</v>
      </c>
    </row>
    <row r="5373" spans="1:8" ht="15" x14ac:dyDescent="0.2">
      <c r="A5373" s="597">
        <v>43308</v>
      </c>
      <c r="B5373" s="41" t="s">
        <v>1400</v>
      </c>
      <c r="C5373" s="41" t="s">
        <v>2515</v>
      </c>
      <c r="D5373" s="108" t="s">
        <v>3805</v>
      </c>
      <c r="E5373" s="42">
        <v>10000</v>
      </c>
      <c r="G5373" s="42">
        <f t="shared" si="87"/>
        <v>-10000</v>
      </c>
      <c r="H5373" s="121" t="s">
        <v>3662</v>
      </c>
    </row>
    <row r="5374" spans="1:8" ht="15" x14ac:dyDescent="0.2">
      <c r="A5374" s="597">
        <v>43308</v>
      </c>
      <c r="B5374" s="41" t="s">
        <v>1400</v>
      </c>
      <c r="C5374" s="41" t="s">
        <v>3145</v>
      </c>
      <c r="D5374" s="108" t="s">
        <v>3603</v>
      </c>
      <c r="E5374" s="42">
        <v>12200</v>
      </c>
      <c r="G5374" s="42">
        <f t="shared" si="87"/>
        <v>-12200</v>
      </c>
      <c r="H5374" s="121" t="s">
        <v>3662</v>
      </c>
    </row>
    <row r="5375" spans="1:8" ht="15" x14ac:dyDescent="0.2">
      <c r="A5375" s="597">
        <v>43308</v>
      </c>
      <c r="B5375" s="41" t="s">
        <v>2652</v>
      </c>
      <c r="C5375" s="41" t="s">
        <v>3145</v>
      </c>
      <c r="D5375" s="108" t="s">
        <v>3806</v>
      </c>
      <c r="E5375" s="42">
        <v>3850</v>
      </c>
      <c r="G5375" s="42">
        <f t="shared" si="87"/>
        <v>-3850</v>
      </c>
      <c r="H5375" s="121" t="s">
        <v>3662</v>
      </c>
    </row>
    <row r="5376" spans="1:8" ht="15" x14ac:dyDescent="0.2">
      <c r="A5376" s="597">
        <v>43308</v>
      </c>
      <c r="B5376" s="41" t="s">
        <v>1400</v>
      </c>
      <c r="C5376" s="41" t="s">
        <v>3145</v>
      </c>
      <c r="D5376" s="108" t="s">
        <v>3807</v>
      </c>
      <c r="E5376" s="42">
        <v>42070</v>
      </c>
      <c r="G5376" s="42">
        <f t="shared" si="87"/>
        <v>-42070</v>
      </c>
      <c r="H5376" s="121" t="s">
        <v>3662</v>
      </c>
    </row>
    <row r="5377" spans="1:8" ht="15" x14ac:dyDescent="0.2">
      <c r="A5377" s="597">
        <v>43308</v>
      </c>
      <c r="B5377" s="41" t="s">
        <v>2652</v>
      </c>
      <c r="C5377" s="41" t="s">
        <v>3145</v>
      </c>
      <c r="D5377" s="108" t="s">
        <v>3797</v>
      </c>
      <c r="E5377" s="42">
        <v>9200</v>
      </c>
      <c r="G5377" s="42">
        <f t="shared" si="87"/>
        <v>-9200</v>
      </c>
      <c r="H5377" s="121" t="s">
        <v>3662</v>
      </c>
    </row>
    <row r="5378" spans="1:8" ht="15" x14ac:dyDescent="0.2">
      <c r="A5378" s="597">
        <v>43308</v>
      </c>
      <c r="B5378" s="41" t="s">
        <v>2652</v>
      </c>
      <c r="C5378" s="41" t="s">
        <v>3145</v>
      </c>
      <c r="D5378" s="108" t="s">
        <v>3797</v>
      </c>
      <c r="E5378" s="42">
        <v>2750</v>
      </c>
      <c r="G5378" s="42">
        <f t="shared" si="87"/>
        <v>-2750</v>
      </c>
      <c r="H5378" s="121" t="s">
        <v>3662</v>
      </c>
    </row>
    <row r="5379" spans="1:8" ht="15" x14ac:dyDescent="0.2">
      <c r="A5379" s="597">
        <v>43309</v>
      </c>
      <c r="B5379" s="41" t="s">
        <v>2933</v>
      </c>
      <c r="C5379" s="41" t="s">
        <v>3145</v>
      </c>
      <c r="D5379" s="108" t="s">
        <v>3808</v>
      </c>
      <c r="E5379" s="42">
        <v>15810</v>
      </c>
      <c r="G5379" s="42">
        <f t="shared" si="87"/>
        <v>-15810</v>
      </c>
      <c r="H5379" s="121" t="s">
        <v>3662</v>
      </c>
    </row>
    <row r="5380" spans="1:8" ht="15" x14ac:dyDescent="0.2">
      <c r="A5380" s="597">
        <v>43309</v>
      </c>
      <c r="B5380" s="41" t="s">
        <v>1400</v>
      </c>
      <c r="C5380" s="41" t="s">
        <v>3145</v>
      </c>
      <c r="D5380" s="108" t="s">
        <v>3809</v>
      </c>
      <c r="E5380" s="42">
        <v>5475</v>
      </c>
      <c r="G5380" s="42">
        <f t="shared" si="87"/>
        <v>-5475</v>
      </c>
      <c r="H5380" s="121" t="s">
        <v>3662</v>
      </c>
    </row>
    <row r="5381" spans="1:8" ht="15" x14ac:dyDescent="0.2">
      <c r="A5381" s="597">
        <v>43309</v>
      </c>
      <c r="B5381" s="41" t="s">
        <v>2787</v>
      </c>
      <c r="C5381" s="41" t="s">
        <v>3145</v>
      </c>
      <c r="D5381" s="108" t="s">
        <v>3810</v>
      </c>
      <c r="E5381" s="42">
        <v>1615</v>
      </c>
      <c r="G5381" s="42">
        <f t="shared" si="87"/>
        <v>-1615</v>
      </c>
      <c r="H5381" s="121" t="s">
        <v>3662</v>
      </c>
    </row>
    <row r="5382" spans="1:8" ht="24" x14ac:dyDescent="0.2">
      <c r="A5382" s="597">
        <v>43309</v>
      </c>
      <c r="B5382" s="41" t="s">
        <v>1400</v>
      </c>
      <c r="C5382" s="41" t="s">
        <v>3145</v>
      </c>
      <c r="D5382" s="129" t="s">
        <v>3811</v>
      </c>
      <c r="E5382" s="42">
        <v>33458</v>
      </c>
      <c r="G5382" s="42">
        <f t="shared" si="87"/>
        <v>-33458</v>
      </c>
      <c r="H5382" s="121" t="s">
        <v>3662</v>
      </c>
    </row>
    <row r="5383" spans="1:8" ht="15" x14ac:dyDescent="0.2">
      <c r="A5383" s="597">
        <v>43309</v>
      </c>
      <c r="B5383" s="41" t="s">
        <v>2652</v>
      </c>
      <c r="C5383" s="41" t="s">
        <v>3145</v>
      </c>
      <c r="D5383" s="108" t="s">
        <v>3812</v>
      </c>
      <c r="E5383" s="42">
        <v>7171</v>
      </c>
      <c r="G5383" s="42">
        <f t="shared" si="87"/>
        <v>-7171</v>
      </c>
      <c r="H5383" s="121" t="s">
        <v>3662</v>
      </c>
    </row>
    <row r="5384" spans="1:8" ht="15" x14ac:dyDescent="0.2">
      <c r="A5384" s="597">
        <v>43309</v>
      </c>
      <c r="B5384" s="41" t="s">
        <v>1400</v>
      </c>
      <c r="C5384" s="41" t="s">
        <v>3145</v>
      </c>
      <c r="D5384" s="108" t="s">
        <v>3819</v>
      </c>
      <c r="E5384" s="42">
        <v>12780</v>
      </c>
      <c r="G5384" s="42">
        <f t="shared" si="87"/>
        <v>-12780</v>
      </c>
      <c r="H5384" s="121" t="s">
        <v>3662</v>
      </c>
    </row>
    <row r="5385" spans="1:8" ht="15" x14ac:dyDescent="0.2">
      <c r="A5385" s="597">
        <v>43309</v>
      </c>
      <c r="B5385" s="41" t="s">
        <v>2933</v>
      </c>
      <c r="C5385" s="41" t="s">
        <v>3145</v>
      </c>
      <c r="D5385" s="108" t="s">
        <v>3821</v>
      </c>
      <c r="E5385" s="42">
        <v>11850</v>
      </c>
      <c r="G5385" s="42">
        <f t="shared" ref="G5385:G5448" si="88">F5385-E5385</f>
        <v>-11850</v>
      </c>
      <c r="H5385" s="121" t="s">
        <v>3662</v>
      </c>
    </row>
    <row r="5386" spans="1:8" ht="15" x14ac:dyDescent="0.2">
      <c r="A5386" s="597">
        <v>43309</v>
      </c>
      <c r="B5386" s="41" t="s">
        <v>2787</v>
      </c>
      <c r="C5386" s="41" t="s">
        <v>3145</v>
      </c>
      <c r="D5386" s="108" t="s">
        <v>3820</v>
      </c>
      <c r="E5386" s="42">
        <v>16196</v>
      </c>
      <c r="G5386" s="42">
        <f t="shared" si="88"/>
        <v>-16196</v>
      </c>
      <c r="H5386" s="121" t="s">
        <v>3662</v>
      </c>
    </row>
    <row r="5387" spans="1:8" ht="15" x14ac:dyDescent="0.2">
      <c r="A5387" s="597">
        <v>43309</v>
      </c>
      <c r="B5387" s="41" t="s">
        <v>2787</v>
      </c>
      <c r="C5387" s="41" t="s">
        <v>3145</v>
      </c>
      <c r="D5387" s="108" t="s">
        <v>3822</v>
      </c>
      <c r="E5387" s="42">
        <v>8550</v>
      </c>
      <c r="G5387" s="42">
        <f t="shared" si="88"/>
        <v>-8550</v>
      </c>
      <c r="H5387" s="121" t="s">
        <v>3662</v>
      </c>
    </row>
    <row r="5388" spans="1:8" ht="15" x14ac:dyDescent="0.2">
      <c r="A5388" s="597">
        <v>43309</v>
      </c>
      <c r="B5388" s="41" t="s">
        <v>2933</v>
      </c>
      <c r="C5388" s="41" t="s">
        <v>3145</v>
      </c>
      <c r="D5388" s="108" t="s">
        <v>3823</v>
      </c>
      <c r="E5388" s="42">
        <v>10200</v>
      </c>
      <c r="G5388" s="42">
        <f t="shared" si="88"/>
        <v>-10200</v>
      </c>
      <c r="H5388" s="121" t="s">
        <v>3662</v>
      </c>
    </row>
    <row r="5389" spans="1:8" ht="15" x14ac:dyDescent="0.2">
      <c r="A5389" s="597">
        <v>43310</v>
      </c>
      <c r="B5389" s="41" t="s">
        <v>3622</v>
      </c>
      <c r="C5389" s="41" t="s">
        <v>3145</v>
      </c>
      <c r="D5389" s="108" t="s">
        <v>3824</v>
      </c>
      <c r="E5389" s="42">
        <v>10140</v>
      </c>
      <c r="G5389" s="42">
        <f t="shared" si="88"/>
        <v>-10140</v>
      </c>
      <c r="H5389" s="121" t="s">
        <v>3662</v>
      </c>
    </row>
    <row r="5390" spans="1:8" ht="15" x14ac:dyDescent="0.2">
      <c r="A5390" s="597">
        <v>43310</v>
      </c>
      <c r="B5390" s="41" t="s">
        <v>2787</v>
      </c>
      <c r="C5390" s="41" t="s">
        <v>3145</v>
      </c>
      <c r="D5390" s="108" t="s">
        <v>3801</v>
      </c>
      <c r="E5390" s="42">
        <v>6451</v>
      </c>
      <c r="G5390" s="42">
        <f t="shared" si="88"/>
        <v>-6451</v>
      </c>
      <c r="H5390" s="121" t="s">
        <v>3662</v>
      </c>
    </row>
    <row r="5391" spans="1:8" ht="15" x14ac:dyDescent="0.2">
      <c r="A5391" s="597">
        <v>43310</v>
      </c>
      <c r="B5391" s="41" t="s">
        <v>2787</v>
      </c>
      <c r="C5391" s="41" t="s">
        <v>3145</v>
      </c>
      <c r="D5391" s="108" t="s">
        <v>3825</v>
      </c>
      <c r="E5391" s="42">
        <v>3620</v>
      </c>
      <c r="G5391" s="42">
        <f t="shared" si="88"/>
        <v>-3620</v>
      </c>
      <c r="H5391" s="121" t="s">
        <v>3662</v>
      </c>
    </row>
    <row r="5392" spans="1:8" ht="15" x14ac:dyDescent="0.2">
      <c r="A5392" s="597">
        <v>43310</v>
      </c>
      <c r="B5392" s="41" t="s">
        <v>3622</v>
      </c>
      <c r="C5392" s="41" t="s">
        <v>3149</v>
      </c>
      <c r="D5392" s="108" t="s">
        <v>3369</v>
      </c>
      <c r="E5392" s="42">
        <v>560</v>
      </c>
      <c r="G5392" s="42">
        <f t="shared" si="88"/>
        <v>-560</v>
      </c>
      <c r="H5392" s="121" t="s">
        <v>3662</v>
      </c>
    </row>
    <row r="5393" spans="1:8" ht="15" x14ac:dyDescent="0.2">
      <c r="A5393" s="597">
        <v>43310</v>
      </c>
      <c r="B5393" s="41" t="s">
        <v>2652</v>
      </c>
      <c r="C5393" s="41" t="s">
        <v>3145</v>
      </c>
      <c r="D5393" s="108" t="s">
        <v>3794</v>
      </c>
      <c r="E5393" s="42">
        <v>1000</v>
      </c>
      <c r="G5393" s="42">
        <f t="shared" si="88"/>
        <v>-1000</v>
      </c>
      <c r="H5393" s="121" t="s">
        <v>3662</v>
      </c>
    </row>
    <row r="5394" spans="1:8" ht="15" x14ac:dyDescent="0.2">
      <c r="A5394" s="597">
        <v>43310</v>
      </c>
      <c r="B5394" s="41" t="s">
        <v>1400</v>
      </c>
      <c r="C5394" s="41" t="s">
        <v>3145</v>
      </c>
      <c r="D5394" s="108" t="s">
        <v>3603</v>
      </c>
      <c r="E5394" s="42">
        <v>13516</v>
      </c>
      <c r="G5394" s="42">
        <f t="shared" si="88"/>
        <v>-13516</v>
      </c>
      <c r="H5394" s="121" t="s">
        <v>3662</v>
      </c>
    </row>
    <row r="5395" spans="1:8" ht="15" x14ac:dyDescent="0.2">
      <c r="A5395" s="597">
        <v>43310</v>
      </c>
      <c r="B5395" s="41" t="s">
        <v>2652</v>
      </c>
      <c r="C5395" s="41" t="s">
        <v>3145</v>
      </c>
      <c r="D5395" s="108" t="s">
        <v>3826</v>
      </c>
      <c r="E5395" s="42">
        <v>1500</v>
      </c>
      <c r="G5395" s="42">
        <f t="shared" si="88"/>
        <v>-1500</v>
      </c>
      <c r="H5395" s="121" t="s">
        <v>3662</v>
      </c>
    </row>
    <row r="5396" spans="1:8" ht="15" x14ac:dyDescent="0.2">
      <c r="A5396" s="597">
        <v>43310</v>
      </c>
      <c r="B5396" s="41" t="s">
        <v>2933</v>
      </c>
      <c r="C5396" s="41" t="s">
        <v>3145</v>
      </c>
      <c r="D5396" s="108" t="s">
        <v>3827</v>
      </c>
      <c r="E5396" s="42">
        <v>6050</v>
      </c>
      <c r="G5396" s="42">
        <f t="shared" si="88"/>
        <v>-6050</v>
      </c>
      <c r="H5396" s="121" t="s">
        <v>3662</v>
      </c>
    </row>
    <row r="5397" spans="1:8" ht="15" x14ac:dyDescent="0.2">
      <c r="A5397" s="597">
        <v>43310</v>
      </c>
      <c r="B5397" s="41" t="s">
        <v>1691</v>
      </c>
      <c r="C5397" s="41" t="s">
        <v>3828</v>
      </c>
      <c r="D5397" s="108" t="s">
        <v>3829</v>
      </c>
      <c r="E5397" s="42">
        <v>5000</v>
      </c>
      <c r="G5397" s="42">
        <f t="shared" si="88"/>
        <v>-5000</v>
      </c>
      <c r="H5397" s="121" t="s">
        <v>3662</v>
      </c>
    </row>
    <row r="5398" spans="1:8" ht="15" x14ac:dyDescent="0.2">
      <c r="A5398" s="597">
        <v>43310</v>
      </c>
      <c r="B5398" s="41" t="s">
        <v>2787</v>
      </c>
      <c r="C5398" s="41" t="s">
        <v>3830</v>
      </c>
      <c r="D5398" s="108" t="s">
        <v>3831</v>
      </c>
      <c r="E5398" s="42">
        <v>5000</v>
      </c>
      <c r="G5398" s="42">
        <f t="shared" si="88"/>
        <v>-5000</v>
      </c>
      <c r="H5398" s="121" t="s">
        <v>3662</v>
      </c>
    </row>
    <row r="5399" spans="1:8" ht="15" x14ac:dyDescent="0.2">
      <c r="A5399" s="597">
        <v>43310</v>
      </c>
      <c r="B5399" s="41" t="s">
        <v>2652</v>
      </c>
      <c r="C5399" s="41" t="s">
        <v>3145</v>
      </c>
      <c r="D5399" s="108" t="s">
        <v>3832</v>
      </c>
      <c r="E5399" s="42">
        <v>1500</v>
      </c>
      <c r="G5399" s="42">
        <f t="shared" si="88"/>
        <v>-1500</v>
      </c>
      <c r="H5399" s="121" t="s">
        <v>3662</v>
      </c>
    </row>
    <row r="5400" spans="1:8" ht="15" x14ac:dyDescent="0.2">
      <c r="A5400" s="597">
        <v>43310</v>
      </c>
      <c r="B5400" s="41" t="s">
        <v>2652</v>
      </c>
      <c r="C5400" s="41" t="s">
        <v>286</v>
      </c>
      <c r="D5400" s="108" t="s">
        <v>3794</v>
      </c>
      <c r="E5400" s="42">
        <v>2000</v>
      </c>
      <c r="G5400" s="42">
        <f t="shared" si="88"/>
        <v>-2000</v>
      </c>
      <c r="H5400" s="121" t="s">
        <v>3662</v>
      </c>
    </row>
    <row r="5401" spans="1:8" ht="15" x14ac:dyDescent="0.2">
      <c r="A5401" s="597">
        <v>43310</v>
      </c>
      <c r="B5401" s="41" t="s">
        <v>1400</v>
      </c>
      <c r="C5401" s="41" t="s">
        <v>3145</v>
      </c>
      <c r="D5401" s="108" t="s">
        <v>3603</v>
      </c>
      <c r="E5401" s="42">
        <v>19350</v>
      </c>
      <c r="G5401" s="42">
        <f t="shared" si="88"/>
        <v>-19350</v>
      </c>
      <c r="H5401" s="121" t="s">
        <v>3662</v>
      </c>
    </row>
    <row r="5402" spans="1:8" ht="15" x14ac:dyDescent="0.2">
      <c r="A5402" s="597">
        <v>43310</v>
      </c>
      <c r="B5402" s="41" t="s">
        <v>25</v>
      </c>
      <c r="C5402" s="41" t="s">
        <v>1894</v>
      </c>
      <c r="D5402" s="108" t="s">
        <v>392</v>
      </c>
      <c r="E5402" s="42">
        <v>2870</v>
      </c>
      <c r="G5402" s="42">
        <f t="shared" si="88"/>
        <v>-2870</v>
      </c>
      <c r="H5402" s="121" t="s">
        <v>3662</v>
      </c>
    </row>
    <row r="5403" spans="1:8" ht="15" x14ac:dyDescent="0.2">
      <c r="A5403" s="597">
        <v>43310</v>
      </c>
      <c r="B5403" s="41" t="s">
        <v>1400</v>
      </c>
      <c r="C5403" s="41" t="s">
        <v>3145</v>
      </c>
      <c r="D5403" s="108" t="s">
        <v>3833</v>
      </c>
      <c r="E5403" s="42">
        <v>18500</v>
      </c>
      <c r="G5403" s="42">
        <f t="shared" si="88"/>
        <v>-18500</v>
      </c>
      <c r="H5403" s="121" t="s">
        <v>3662</v>
      </c>
    </row>
    <row r="5404" spans="1:8" ht="15" x14ac:dyDescent="0.2">
      <c r="A5404" s="597">
        <v>43310</v>
      </c>
      <c r="B5404" s="41" t="s">
        <v>1400</v>
      </c>
      <c r="C5404" s="41" t="s">
        <v>3145</v>
      </c>
      <c r="D5404" s="108" t="s">
        <v>3834</v>
      </c>
      <c r="E5404" s="42">
        <v>2680</v>
      </c>
      <c r="G5404" s="42">
        <f t="shared" si="88"/>
        <v>-2680</v>
      </c>
      <c r="H5404" s="121" t="s">
        <v>3662</v>
      </c>
    </row>
    <row r="5405" spans="1:8" ht="15" x14ac:dyDescent="0.2">
      <c r="A5405" s="597">
        <v>43311</v>
      </c>
      <c r="B5405" s="41" t="s">
        <v>2652</v>
      </c>
      <c r="C5405" s="41" t="s">
        <v>3145</v>
      </c>
      <c r="D5405" s="108" t="s">
        <v>3835</v>
      </c>
      <c r="E5405" s="42">
        <v>3800</v>
      </c>
      <c r="G5405" s="42">
        <f t="shared" si="88"/>
        <v>-3800</v>
      </c>
      <c r="H5405" s="121" t="s">
        <v>3662</v>
      </c>
    </row>
    <row r="5406" spans="1:8" ht="15" x14ac:dyDescent="0.2">
      <c r="A5406" s="597">
        <v>43311</v>
      </c>
      <c r="B5406" s="41" t="s">
        <v>3622</v>
      </c>
      <c r="C5406" s="41" t="s">
        <v>3145</v>
      </c>
      <c r="D5406" s="108" t="s">
        <v>3836</v>
      </c>
      <c r="E5406" s="42">
        <v>29710</v>
      </c>
      <c r="G5406" s="42">
        <f t="shared" si="88"/>
        <v>-29710</v>
      </c>
      <c r="H5406" s="121" t="s">
        <v>3662</v>
      </c>
    </row>
    <row r="5407" spans="1:8" ht="15" x14ac:dyDescent="0.2">
      <c r="A5407" s="597">
        <v>43312</v>
      </c>
      <c r="B5407" s="41" t="s">
        <v>3733</v>
      </c>
      <c r="C5407" s="41" t="s">
        <v>3145</v>
      </c>
      <c r="D5407" s="108" t="s">
        <v>3837</v>
      </c>
      <c r="E5407" s="42">
        <v>15000</v>
      </c>
      <c r="G5407" s="42">
        <f t="shared" si="88"/>
        <v>-15000</v>
      </c>
      <c r="H5407" s="121" t="s">
        <v>3662</v>
      </c>
    </row>
    <row r="5408" spans="1:8" ht="15" x14ac:dyDescent="0.2">
      <c r="A5408" s="597">
        <v>43312</v>
      </c>
      <c r="B5408" s="41" t="s">
        <v>1400</v>
      </c>
      <c r="C5408" s="41" t="s">
        <v>2840</v>
      </c>
      <c r="D5408" s="108" t="s">
        <v>3838</v>
      </c>
      <c r="E5408" s="42">
        <v>50000</v>
      </c>
      <c r="G5408" s="42">
        <f t="shared" si="88"/>
        <v>-50000</v>
      </c>
      <c r="H5408" s="121" t="s">
        <v>3662</v>
      </c>
    </row>
    <row r="5409" spans="1:8" ht="15" x14ac:dyDescent="0.2">
      <c r="A5409" s="597">
        <v>43312</v>
      </c>
      <c r="B5409" s="41" t="s">
        <v>1400</v>
      </c>
      <c r="C5409" s="41" t="s">
        <v>2728</v>
      </c>
      <c r="D5409" s="108" t="s">
        <v>3838</v>
      </c>
      <c r="E5409" s="42">
        <v>5000</v>
      </c>
      <c r="G5409" s="42">
        <f t="shared" si="88"/>
        <v>-5000</v>
      </c>
      <c r="H5409" s="121" t="s">
        <v>3662</v>
      </c>
    </row>
    <row r="5410" spans="1:8" ht="15" x14ac:dyDescent="0.2">
      <c r="A5410" s="597">
        <v>43312</v>
      </c>
      <c r="B5410" s="41" t="s">
        <v>3622</v>
      </c>
      <c r="C5410" s="41" t="s">
        <v>794</v>
      </c>
      <c r="D5410" s="108" t="s">
        <v>3839</v>
      </c>
      <c r="E5410" s="42">
        <v>30000</v>
      </c>
      <c r="G5410" s="42">
        <f t="shared" si="88"/>
        <v>-30000</v>
      </c>
      <c r="H5410" s="121" t="s">
        <v>3662</v>
      </c>
    </row>
    <row r="5411" spans="1:8" ht="15" x14ac:dyDescent="0.2">
      <c r="A5411" s="614">
        <v>43291</v>
      </c>
      <c r="B5411" s="41" t="s">
        <v>16</v>
      </c>
      <c r="C5411" s="41" t="s">
        <v>3843</v>
      </c>
      <c r="D5411" s="108" t="s">
        <v>3844</v>
      </c>
      <c r="E5411" s="42">
        <v>970</v>
      </c>
      <c r="G5411" s="42">
        <f t="shared" si="88"/>
        <v>-970</v>
      </c>
      <c r="H5411" s="121" t="s">
        <v>3662</v>
      </c>
    </row>
    <row r="5412" spans="1:8" ht="15" x14ac:dyDescent="0.2">
      <c r="A5412" s="614">
        <v>43291</v>
      </c>
      <c r="B5412" s="41" t="s">
        <v>16</v>
      </c>
      <c r="C5412" s="41" t="s">
        <v>3843</v>
      </c>
      <c r="D5412" s="108" t="s">
        <v>3845</v>
      </c>
      <c r="E5412" s="42">
        <v>380</v>
      </c>
      <c r="G5412" s="42">
        <f t="shared" si="88"/>
        <v>-380</v>
      </c>
      <c r="H5412" s="121" t="s">
        <v>3662</v>
      </c>
    </row>
    <row r="5413" spans="1:8" ht="15" x14ac:dyDescent="0.2">
      <c r="A5413" s="614">
        <v>43297</v>
      </c>
      <c r="B5413" s="41" t="s">
        <v>16</v>
      </c>
      <c r="C5413" s="41" t="s">
        <v>3843</v>
      </c>
      <c r="D5413" s="108" t="s">
        <v>3846</v>
      </c>
      <c r="E5413" s="42">
        <v>135</v>
      </c>
      <c r="G5413" s="42">
        <f t="shared" si="88"/>
        <v>-135</v>
      </c>
      <c r="H5413" s="121" t="s">
        <v>3662</v>
      </c>
    </row>
    <row r="5414" spans="1:8" ht="15" x14ac:dyDescent="0.2">
      <c r="A5414" s="614">
        <v>43306</v>
      </c>
      <c r="B5414" s="41" t="s">
        <v>16</v>
      </c>
      <c r="C5414" s="41" t="s">
        <v>3843</v>
      </c>
      <c r="D5414" s="108" t="s">
        <v>3848</v>
      </c>
      <c r="E5414" s="42">
        <v>1340</v>
      </c>
      <c r="G5414" s="42">
        <f t="shared" si="88"/>
        <v>-1340</v>
      </c>
      <c r="H5414" s="121" t="s">
        <v>3662</v>
      </c>
    </row>
    <row r="5415" spans="1:8" ht="15" x14ac:dyDescent="0.2">
      <c r="A5415" s="614">
        <v>43306</v>
      </c>
      <c r="B5415" s="41" t="s">
        <v>16</v>
      </c>
      <c r="C5415" s="41" t="s">
        <v>3843</v>
      </c>
      <c r="D5415" s="108" t="s">
        <v>3849</v>
      </c>
      <c r="E5415" s="42">
        <v>120</v>
      </c>
      <c r="G5415" s="42">
        <f t="shared" si="88"/>
        <v>-120</v>
      </c>
      <c r="H5415" s="121" t="s">
        <v>3662</v>
      </c>
    </row>
    <row r="5416" spans="1:8" ht="15" x14ac:dyDescent="0.2">
      <c r="A5416" s="614">
        <v>43307</v>
      </c>
      <c r="B5416" s="41" t="s">
        <v>16</v>
      </c>
      <c r="C5416" s="41" t="s">
        <v>3843</v>
      </c>
      <c r="D5416" s="108" t="s">
        <v>3850</v>
      </c>
      <c r="E5416" s="42">
        <v>80</v>
      </c>
      <c r="G5416" s="42">
        <f t="shared" si="88"/>
        <v>-80</v>
      </c>
      <c r="H5416" s="121" t="s">
        <v>3662</v>
      </c>
    </row>
    <row r="5417" spans="1:8" ht="15" x14ac:dyDescent="0.2">
      <c r="A5417" s="614">
        <v>43308</v>
      </c>
      <c r="B5417" s="41" t="s">
        <v>16</v>
      </c>
      <c r="C5417" s="41" t="s">
        <v>3843</v>
      </c>
      <c r="D5417" s="108" t="s">
        <v>3851</v>
      </c>
      <c r="E5417" s="42">
        <v>718</v>
      </c>
      <c r="G5417" s="42">
        <f t="shared" si="88"/>
        <v>-718</v>
      </c>
      <c r="H5417" s="121" t="s">
        <v>3662</v>
      </c>
    </row>
    <row r="5418" spans="1:8" ht="15" x14ac:dyDescent="0.2">
      <c r="A5418" s="614">
        <v>43308</v>
      </c>
      <c r="B5418" s="41" t="s">
        <v>16</v>
      </c>
      <c r="C5418" s="41" t="s">
        <v>3843</v>
      </c>
      <c r="D5418" s="108" t="s">
        <v>3852</v>
      </c>
      <c r="E5418" s="42">
        <v>238</v>
      </c>
      <c r="G5418" s="42">
        <f t="shared" si="88"/>
        <v>-238</v>
      </c>
      <c r="H5418" s="121" t="s">
        <v>3662</v>
      </c>
    </row>
    <row r="5419" spans="1:8" ht="24" x14ac:dyDescent="0.2">
      <c r="A5419" s="604">
        <v>43282</v>
      </c>
      <c r="B5419" s="174" t="s">
        <v>2787</v>
      </c>
      <c r="C5419" s="174" t="s">
        <v>3145</v>
      </c>
      <c r="D5419" s="118" t="s">
        <v>3673</v>
      </c>
      <c r="E5419" s="236">
        <v>38000</v>
      </c>
      <c r="F5419" s="236"/>
      <c r="G5419" s="236">
        <f t="shared" si="88"/>
        <v>-38000</v>
      </c>
      <c r="H5419" s="260" t="s">
        <v>3662</v>
      </c>
    </row>
    <row r="5420" spans="1:8" ht="24" x14ac:dyDescent="0.2">
      <c r="A5420" s="604">
        <v>43282</v>
      </c>
      <c r="B5420" s="174" t="s">
        <v>2787</v>
      </c>
      <c r="C5420" s="174" t="s">
        <v>3145</v>
      </c>
      <c r="D5420" s="118" t="s">
        <v>3674</v>
      </c>
      <c r="E5420" s="236">
        <f>68150/4</f>
        <v>17037.5</v>
      </c>
      <c r="F5420" s="236"/>
      <c r="G5420" s="236">
        <f t="shared" si="88"/>
        <v>-17037.5</v>
      </c>
      <c r="H5420" s="260" t="s">
        <v>3662</v>
      </c>
    </row>
    <row r="5421" spans="1:8" ht="24" x14ac:dyDescent="0.2">
      <c r="A5421" s="604">
        <v>43282</v>
      </c>
      <c r="B5421" s="174" t="s">
        <v>2933</v>
      </c>
      <c r="C5421" s="174" t="s">
        <v>3145</v>
      </c>
      <c r="D5421" s="118" t="s">
        <v>3674</v>
      </c>
      <c r="E5421" s="236">
        <f>68150/4</f>
        <v>17037.5</v>
      </c>
      <c r="F5421" s="236"/>
      <c r="G5421" s="236">
        <f t="shared" si="88"/>
        <v>-17037.5</v>
      </c>
      <c r="H5421" s="260" t="s">
        <v>3662</v>
      </c>
    </row>
    <row r="5422" spans="1:8" ht="24" x14ac:dyDescent="0.2">
      <c r="A5422" s="604">
        <v>43282</v>
      </c>
      <c r="B5422" s="174" t="s">
        <v>2652</v>
      </c>
      <c r="C5422" s="174" t="s">
        <v>3145</v>
      </c>
      <c r="D5422" s="118" t="s">
        <v>3674</v>
      </c>
      <c r="E5422" s="236">
        <f>68150/4</f>
        <v>17037.5</v>
      </c>
      <c r="F5422" s="236"/>
      <c r="G5422" s="236">
        <f t="shared" si="88"/>
        <v>-17037.5</v>
      </c>
      <c r="H5422" s="260" t="s">
        <v>3662</v>
      </c>
    </row>
    <row r="5423" spans="1:8" ht="24" x14ac:dyDescent="0.2">
      <c r="A5423" s="604">
        <v>43282</v>
      </c>
      <c r="B5423" s="174" t="s">
        <v>1400</v>
      </c>
      <c r="C5423" s="174" t="s">
        <v>3145</v>
      </c>
      <c r="D5423" s="118" t="s">
        <v>3674</v>
      </c>
      <c r="E5423" s="236">
        <f>68150/4</f>
        <v>17037.5</v>
      </c>
      <c r="F5423" s="236"/>
      <c r="G5423" s="236">
        <f t="shared" si="88"/>
        <v>-17037.5</v>
      </c>
      <c r="H5423" s="260" t="s">
        <v>3662</v>
      </c>
    </row>
    <row r="5424" spans="1:8" ht="15" x14ac:dyDescent="0.2">
      <c r="A5424" s="604">
        <v>43284</v>
      </c>
      <c r="B5424" s="174" t="s">
        <v>1400</v>
      </c>
      <c r="C5424" s="174" t="s">
        <v>3145</v>
      </c>
      <c r="D5424" s="118" t="s">
        <v>3675</v>
      </c>
      <c r="E5424" s="236">
        <v>31500</v>
      </c>
      <c r="F5424" s="236"/>
      <c r="G5424" s="236">
        <f t="shared" si="88"/>
        <v>-31500</v>
      </c>
      <c r="H5424" s="260" t="s">
        <v>3662</v>
      </c>
    </row>
    <row r="5425" spans="1:8" ht="15" x14ac:dyDescent="0.2">
      <c r="A5425" s="604">
        <v>43284</v>
      </c>
      <c r="B5425" s="174" t="s">
        <v>2787</v>
      </c>
      <c r="C5425" s="174" t="s">
        <v>3077</v>
      </c>
      <c r="D5425" s="118" t="s">
        <v>3678</v>
      </c>
      <c r="E5425" s="236">
        <v>11000</v>
      </c>
      <c r="F5425" s="236"/>
      <c r="G5425" s="236">
        <f t="shared" si="88"/>
        <v>-11000</v>
      </c>
      <c r="H5425" s="260" t="s">
        <v>3662</v>
      </c>
    </row>
    <row r="5426" spans="1:8" ht="15" x14ac:dyDescent="0.2">
      <c r="A5426" s="604">
        <v>43284</v>
      </c>
      <c r="B5426" s="174" t="s">
        <v>2787</v>
      </c>
      <c r="C5426" s="174" t="s">
        <v>1687</v>
      </c>
      <c r="D5426" s="118" t="s">
        <v>3677</v>
      </c>
      <c r="E5426" s="236">
        <v>14000</v>
      </c>
      <c r="F5426" s="236"/>
      <c r="G5426" s="236">
        <f t="shared" si="88"/>
        <v>-14000</v>
      </c>
      <c r="H5426" s="260" t="s">
        <v>3662</v>
      </c>
    </row>
    <row r="5427" spans="1:8" ht="15" x14ac:dyDescent="0.2">
      <c r="A5427" s="604">
        <v>43286</v>
      </c>
      <c r="B5427" s="174" t="s">
        <v>1400</v>
      </c>
      <c r="C5427" s="174" t="s">
        <v>2819</v>
      </c>
      <c r="D5427" s="118" t="s">
        <v>3679</v>
      </c>
      <c r="E5427" s="236">
        <v>600000</v>
      </c>
      <c r="F5427" s="236"/>
      <c r="G5427" s="236">
        <f t="shared" si="88"/>
        <v>-600000</v>
      </c>
      <c r="H5427" s="260" t="s">
        <v>3662</v>
      </c>
    </row>
    <row r="5428" spans="1:8" ht="24" x14ac:dyDescent="0.2">
      <c r="A5428" s="604">
        <v>43286</v>
      </c>
      <c r="B5428" s="174" t="s">
        <v>2787</v>
      </c>
      <c r="C5428" s="174" t="s">
        <v>3145</v>
      </c>
      <c r="D5428" s="118" t="s">
        <v>3680</v>
      </c>
      <c r="E5428" s="236">
        <v>78500</v>
      </c>
      <c r="F5428" s="236"/>
      <c r="G5428" s="236">
        <f t="shared" si="88"/>
        <v>-78500</v>
      </c>
      <c r="H5428" s="260" t="s">
        <v>3662</v>
      </c>
    </row>
    <row r="5429" spans="1:8" ht="15" x14ac:dyDescent="0.2">
      <c r="A5429" s="604">
        <v>43286</v>
      </c>
      <c r="B5429" s="174" t="s">
        <v>2787</v>
      </c>
      <c r="C5429" s="174" t="s">
        <v>3681</v>
      </c>
      <c r="D5429" s="118" t="s">
        <v>3682</v>
      </c>
      <c r="E5429" s="236">
        <v>125000</v>
      </c>
      <c r="F5429" s="236"/>
      <c r="G5429" s="236">
        <f t="shared" si="88"/>
        <v>-125000</v>
      </c>
      <c r="H5429" s="260" t="s">
        <v>3662</v>
      </c>
    </row>
    <row r="5430" spans="1:8" ht="24" x14ac:dyDescent="0.2">
      <c r="A5430" s="604">
        <v>43287</v>
      </c>
      <c r="B5430" s="174" t="s">
        <v>2933</v>
      </c>
      <c r="C5430" s="174" t="s">
        <v>137</v>
      </c>
      <c r="D5430" s="118" t="s">
        <v>3684</v>
      </c>
      <c r="E5430" s="236">
        <v>700000</v>
      </c>
      <c r="F5430" s="236"/>
      <c r="G5430" s="236">
        <f t="shared" si="88"/>
        <v>-700000</v>
      </c>
      <c r="H5430" s="260" t="s">
        <v>3662</v>
      </c>
    </row>
    <row r="5431" spans="1:8" ht="15" x14ac:dyDescent="0.2">
      <c r="A5431" s="604">
        <v>43287</v>
      </c>
      <c r="B5431" s="174" t="s">
        <v>2787</v>
      </c>
      <c r="C5431" s="174" t="s">
        <v>2338</v>
      </c>
      <c r="D5431" s="118" t="s">
        <v>3683</v>
      </c>
      <c r="E5431" s="236">
        <v>60000</v>
      </c>
      <c r="F5431" s="236"/>
      <c r="G5431" s="236">
        <f t="shared" si="88"/>
        <v>-60000</v>
      </c>
      <c r="H5431" s="260" t="s">
        <v>3662</v>
      </c>
    </row>
    <row r="5432" spans="1:8" ht="24" x14ac:dyDescent="0.2">
      <c r="A5432" s="604">
        <v>43287</v>
      </c>
      <c r="B5432" s="174" t="s">
        <v>2787</v>
      </c>
      <c r="C5432" s="174" t="s">
        <v>137</v>
      </c>
      <c r="D5432" s="118" t="s">
        <v>3685</v>
      </c>
      <c r="E5432" s="236">
        <v>267879</v>
      </c>
      <c r="F5432" s="236"/>
      <c r="G5432" s="236">
        <f t="shared" si="88"/>
        <v>-267879</v>
      </c>
      <c r="H5432" s="260" t="s">
        <v>3662</v>
      </c>
    </row>
    <row r="5433" spans="1:8" ht="15" x14ac:dyDescent="0.2">
      <c r="A5433" s="604">
        <v>43288</v>
      </c>
      <c r="B5433" s="174" t="s">
        <v>2787</v>
      </c>
      <c r="C5433" s="174" t="s">
        <v>166</v>
      </c>
      <c r="D5433" s="118" t="s">
        <v>3689</v>
      </c>
      <c r="E5433" s="236">
        <v>350000</v>
      </c>
      <c r="F5433" s="236"/>
      <c r="G5433" s="236">
        <f t="shared" si="88"/>
        <v>-350000</v>
      </c>
      <c r="H5433" s="260" t="s">
        <v>3662</v>
      </c>
    </row>
    <row r="5434" spans="1:8" ht="15" x14ac:dyDescent="0.2">
      <c r="A5434" s="604">
        <v>43288</v>
      </c>
      <c r="B5434" s="174" t="s">
        <v>1400</v>
      </c>
      <c r="C5434" s="174" t="s">
        <v>166</v>
      </c>
      <c r="D5434" s="118" t="s">
        <v>3689</v>
      </c>
      <c r="E5434" s="236">
        <v>350000</v>
      </c>
      <c r="F5434" s="236"/>
      <c r="G5434" s="236">
        <f t="shared" si="88"/>
        <v>-350000</v>
      </c>
      <c r="H5434" s="260" t="s">
        <v>3662</v>
      </c>
    </row>
    <row r="5435" spans="1:8" ht="15" x14ac:dyDescent="0.2">
      <c r="A5435" s="604">
        <v>43291</v>
      </c>
      <c r="B5435" s="174" t="s">
        <v>25</v>
      </c>
      <c r="C5435" s="174" t="s">
        <v>1894</v>
      </c>
      <c r="D5435" s="118" t="s">
        <v>3690</v>
      </c>
      <c r="E5435" s="236">
        <v>95000</v>
      </c>
      <c r="F5435" s="236"/>
      <c r="G5435" s="236">
        <f t="shared" si="88"/>
        <v>-95000</v>
      </c>
      <c r="H5435" s="260" t="s">
        <v>3662</v>
      </c>
    </row>
    <row r="5436" spans="1:8" ht="15" x14ac:dyDescent="0.2">
      <c r="A5436" s="604">
        <v>43292</v>
      </c>
      <c r="B5436" s="174" t="s">
        <v>1400</v>
      </c>
      <c r="C5436" s="174" t="s">
        <v>2087</v>
      </c>
      <c r="D5436" s="118" t="s">
        <v>3691</v>
      </c>
      <c r="E5436" s="236">
        <v>67000</v>
      </c>
      <c r="F5436" s="236"/>
      <c r="G5436" s="236">
        <f t="shared" si="88"/>
        <v>-67000</v>
      </c>
      <c r="H5436" s="260" t="s">
        <v>3662</v>
      </c>
    </row>
    <row r="5437" spans="1:8" ht="24" x14ac:dyDescent="0.2">
      <c r="A5437" s="604">
        <v>43294</v>
      </c>
      <c r="B5437" s="174" t="s">
        <v>1400</v>
      </c>
      <c r="C5437" s="174" t="s">
        <v>166</v>
      </c>
      <c r="D5437" s="118" t="s">
        <v>3687</v>
      </c>
      <c r="E5437" s="236">
        <v>1000000</v>
      </c>
      <c r="F5437" s="236"/>
      <c r="G5437" s="236">
        <f t="shared" si="88"/>
        <v>-1000000</v>
      </c>
      <c r="H5437" s="260" t="s">
        <v>3662</v>
      </c>
    </row>
    <row r="5438" spans="1:8" ht="24" x14ac:dyDescent="0.2">
      <c r="A5438" s="604">
        <v>43297</v>
      </c>
      <c r="B5438" s="174" t="s">
        <v>1400</v>
      </c>
      <c r="C5438" s="174" t="s">
        <v>2840</v>
      </c>
      <c r="D5438" s="118" t="s">
        <v>3692</v>
      </c>
      <c r="E5438" s="236">
        <v>50000</v>
      </c>
      <c r="F5438" s="236"/>
      <c r="G5438" s="236">
        <f t="shared" si="88"/>
        <v>-50000</v>
      </c>
      <c r="H5438" s="260" t="s">
        <v>3662</v>
      </c>
    </row>
    <row r="5439" spans="1:8" ht="15" x14ac:dyDescent="0.2">
      <c r="A5439" s="604">
        <v>43299</v>
      </c>
      <c r="B5439" s="174" t="s">
        <v>1400</v>
      </c>
      <c r="C5439" s="174" t="s">
        <v>3693</v>
      </c>
      <c r="D5439" s="118" t="s">
        <v>3694</v>
      </c>
      <c r="E5439" s="236">
        <v>102000</v>
      </c>
      <c r="F5439" s="236"/>
      <c r="G5439" s="236">
        <f t="shared" si="88"/>
        <v>-102000</v>
      </c>
      <c r="H5439" s="260" t="s">
        <v>3662</v>
      </c>
    </row>
    <row r="5440" spans="1:8" ht="15" x14ac:dyDescent="0.2">
      <c r="A5440" s="604">
        <v>43299</v>
      </c>
      <c r="B5440" s="174" t="s">
        <v>1400</v>
      </c>
      <c r="C5440" s="174" t="s">
        <v>170</v>
      </c>
      <c r="D5440" s="118" t="s">
        <v>3695</v>
      </c>
      <c r="E5440" s="236">
        <v>30000</v>
      </c>
      <c r="F5440" s="236"/>
      <c r="G5440" s="236">
        <f t="shared" si="88"/>
        <v>-30000</v>
      </c>
      <c r="H5440" s="260" t="s">
        <v>3662</v>
      </c>
    </row>
    <row r="5441" spans="1:8" ht="24" x14ac:dyDescent="0.2">
      <c r="A5441" s="604">
        <v>43299</v>
      </c>
      <c r="B5441" s="174" t="s">
        <v>1400</v>
      </c>
      <c r="C5441" s="174" t="s">
        <v>1815</v>
      </c>
      <c r="D5441" s="118" t="s">
        <v>3696</v>
      </c>
      <c r="E5441" s="236">
        <v>500000</v>
      </c>
      <c r="F5441" s="236"/>
      <c r="G5441" s="236">
        <f t="shared" si="88"/>
        <v>-500000</v>
      </c>
      <c r="H5441" s="260" t="s">
        <v>3662</v>
      </c>
    </row>
    <row r="5442" spans="1:8" ht="15" x14ac:dyDescent="0.2">
      <c r="A5442" s="604">
        <v>43300</v>
      </c>
      <c r="B5442" s="174" t="s">
        <v>1400</v>
      </c>
      <c r="C5442" s="174" t="s">
        <v>2330</v>
      </c>
      <c r="D5442" s="118" t="s">
        <v>3697</v>
      </c>
      <c r="E5442" s="236">
        <v>86911</v>
      </c>
      <c r="F5442" s="236"/>
      <c r="G5442" s="236">
        <f t="shared" si="88"/>
        <v>-86911</v>
      </c>
      <c r="H5442" s="260" t="s">
        <v>3662</v>
      </c>
    </row>
    <row r="5443" spans="1:8" ht="24" x14ac:dyDescent="0.2">
      <c r="A5443" s="604">
        <v>43301</v>
      </c>
      <c r="B5443" s="174" t="s">
        <v>2933</v>
      </c>
      <c r="C5443" s="174" t="s">
        <v>137</v>
      </c>
      <c r="D5443" s="118" t="s">
        <v>3698</v>
      </c>
      <c r="E5443" s="236">
        <v>530000</v>
      </c>
      <c r="F5443" s="236"/>
      <c r="G5443" s="236">
        <f t="shared" si="88"/>
        <v>-530000</v>
      </c>
      <c r="H5443" s="260" t="s">
        <v>3662</v>
      </c>
    </row>
    <row r="5444" spans="1:8" ht="15" x14ac:dyDescent="0.2">
      <c r="A5444" s="604">
        <v>43305</v>
      </c>
      <c r="B5444" s="174" t="s">
        <v>1400</v>
      </c>
      <c r="C5444" s="174" t="s">
        <v>3077</v>
      </c>
      <c r="D5444" s="118" t="s">
        <v>3699</v>
      </c>
      <c r="E5444" s="236">
        <v>12000</v>
      </c>
      <c r="F5444" s="236"/>
      <c r="G5444" s="236">
        <f t="shared" si="88"/>
        <v>-12000</v>
      </c>
      <c r="H5444" s="260" t="s">
        <v>3662</v>
      </c>
    </row>
    <row r="5445" spans="1:8" ht="15" x14ac:dyDescent="0.2">
      <c r="A5445" s="604">
        <v>43305</v>
      </c>
      <c r="B5445" s="174" t="s">
        <v>1400</v>
      </c>
      <c r="C5445" s="174" t="s">
        <v>1687</v>
      </c>
      <c r="D5445" s="118" t="s">
        <v>3700</v>
      </c>
      <c r="E5445" s="236">
        <v>20000</v>
      </c>
      <c r="F5445" s="236"/>
      <c r="G5445" s="236">
        <f t="shared" si="88"/>
        <v>-20000</v>
      </c>
      <c r="H5445" s="260" t="s">
        <v>3662</v>
      </c>
    </row>
    <row r="5446" spans="1:8" ht="36" x14ac:dyDescent="0.2">
      <c r="A5446" s="604">
        <v>43305</v>
      </c>
      <c r="B5446" s="174" t="s">
        <v>1400</v>
      </c>
      <c r="C5446" s="174" t="s">
        <v>3285</v>
      </c>
      <c r="D5446" s="118" t="s">
        <v>3701</v>
      </c>
      <c r="E5446" s="236">
        <v>10722</v>
      </c>
      <c r="F5446" s="236"/>
      <c r="G5446" s="236">
        <f t="shared" si="88"/>
        <v>-10722</v>
      </c>
      <c r="H5446" s="260" t="s">
        <v>3662</v>
      </c>
    </row>
    <row r="5447" spans="1:8" ht="36" x14ac:dyDescent="0.2">
      <c r="A5447" s="604">
        <v>43305</v>
      </c>
      <c r="B5447" s="174" t="s">
        <v>2652</v>
      </c>
      <c r="C5447" s="174" t="s">
        <v>3285</v>
      </c>
      <c r="D5447" s="118" t="s">
        <v>3701</v>
      </c>
      <c r="E5447" s="236">
        <v>98270</v>
      </c>
      <c r="F5447" s="236"/>
      <c r="G5447" s="236">
        <f t="shared" si="88"/>
        <v>-98270</v>
      </c>
      <c r="H5447" s="260" t="s">
        <v>3662</v>
      </c>
    </row>
    <row r="5448" spans="1:8" ht="36" x14ac:dyDescent="0.2">
      <c r="A5448" s="604">
        <v>43305</v>
      </c>
      <c r="B5448" s="174" t="s">
        <v>2787</v>
      </c>
      <c r="C5448" s="174" t="s">
        <v>3285</v>
      </c>
      <c r="D5448" s="118" t="s">
        <v>3701</v>
      </c>
      <c r="E5448" s="236">
        <v>110000</v>
      </c>
      <c r="F5448" s="236"/>
      <c r="G5448" s="236">
        <f t="shared" si="88"/>
        <v>-110000</v>
      </c>
      <c r="H5448" s="260" t="s">
        <v>3662</v>
      </c>
    </row>
    <row r="5449" spans="1:8" ht="36" x14ac:dyDescent="0.2">
      <c r="A5449" s="604">
        <v>43305</v>
      </c>
      <c r="B5449" s="174" t="s">
        <v>2933</v>
      </c>
      <c r="C5449" s="174" t="s">
        <v>3285</v>
      </c>
      <c r="D5449" s="118" t="s">
        <v>3701</v>
      </c>
      <c r="E5449" s="236">
        <v>259935</v>
      </c>
      <c r="F5449" s="236"/>
      <c r="G5449" s="236">
        <f t="shared" ref="G5449:G5512" si="89">F5449-E5449</f>
        <v>-259935</v>
      </c>
      <c r="H5449" s="260" t="s">
        <v>3662</v>
      </c>
    </row>
    <row r="5450" spans="1:8" ht="15" x14ac:dyDescent="0.2">
      <c r="A5450" s="604">
        <v>43305</v>
      </c>
      <c r="B5450" s="174" t="s">
        <v>82</v>
      </c>
      <c r="C5450" s="174" t="s">
        <v>3702</v>
      </c>
      <c r="D5450" s="118" t="s">
        <v>3703</v>
      </c>
      <c r="E5450" s="236">
        <v>110000</v>
      </c>
      <c r="F5450" s="236"/>
      <c r="G5450" s="236">
        <f t="shared" si="89"/>
        <v>-110000</v>
      </c>
      <c r="H5450" s="260" t="s">
        <v>3662</v>
      </c>
    </row>
    <row r="5451" spans="1:8" ht="15" x14ac:dyDescent="0.2">
      <c r="A5451" s="604">
        <v>43305</v>
      </c>
      <c r="B5451" s="174" t="s">
        <v>2933</v>
      </c>
      <c r="C5451" s="174" t="s">
        <v>3428</v>
      </c>
      <c r="D5451" s="118" t="s">
        <v>3704</v>
      </c>
      <c r="E5451" s="236">
        <v>40000</v>
      </c>
      <c r="F5451" s="236"/>
      <c r="G5451" s="236">
        <f t="shared" si="89"/>
        <v>-40000</v>
      </c>
      <c r="H5451" s="260" t="s">
        <v>3662</v>
      </c>
    </row>
    <row r="5452" spans="1:8" ht="15" x14ac:dyDescent="0.2">
      <c r="A5452" s="604">
        <v>43305</v>
      </c>
      <c r="B5452" s="174" t="s">
        <v>1400</v>
      </c>
      <c r="C5452" s="174" t="s">
        <v>2515</v>
      </c>
      <c r="D5452" s="118" t="s">
        <v>3705</v>
      </c>
      <c r="E5452" s="236">
        <v>182000</v>
      </c>
      <c r="F5452" s="236"/>
      <c r="G5452" s="236">
        <f t="shared" si="89"/>
        <v>-182000</v>
      </c>
      <c r="H5452" s="260" t="s">
        <v>3662</v>
      </c>
    </row>
    <row r="5453" spans="1:8" ht="15" x14ac:dyDescent="0.2">
      <c r="A5453" s="604">
        <v>43308</v>
      </c>
      <c r="B5453" s="174" t="s">
        <v>2933</v>
      </c>
      <c r="C5453" s="174" t="s">
        <v>3112</v>
      </c>
      <c r="D5453" s="118" t="s">
        <v>3706</v>
      </c>
      <c r="E5453" s="236">
        <v>200000</v>
      </c>
      <c r="F5453" s="236"/>
      <c r="G5453" s="236">
        <f t="shared" si="89"/>
        <v>-200000</v>
      </c>
      <c r="H5453" s="260" t="s">
        <v>3662</v>
      </c>
    </row>
    <row r="5454" spans="1:8" ht="15" x14ac:dyDescent="0.2">
      <c r="A5454" s="604">
        <v>43308</v>
      </c>
      <c r="B5454" s="174" t="s">
        <v>2933</v>
      </c>
      <c r="C5454" s="174" t="s">
        <v>3707</v>
      </c>
      <c r="D5454" s="118" t="s">
        <v>3709</v>
      </c>
      <c r="E5454" s="236">
        <v>300000</v>
      </c>
      <c r="F5454" s="236"/>
      <c r="G5454" s="236">
        <f t="shared" si="89"/>
        <v>-300000</v>
      </c>
      <c r="H5454" s="260" t="s">
        <v>3662</v>
      </c>
    </row>
    <row r="5455" spans="1:8" ht="15" x14ac:dyDescent="0.2">
      <c r="A5455" s="604">
        <v>43308</v>
      </c>
      <c r="B5455" s="174" t="s">
        <v>2933</v>
      </c>
      <c r="C5455" s="174" t="s">
        <v>3707</v>
      </c>
      <c r="D5455" s="118" t="s">
        <v>3708</v>
      </c>
      <c r="E5455" s="236">
        <v>300000</v>
      </c>
      <c r="F5455" s="236"/>
      <c r="G5455" s="236">
        <f t="shared" si="89"/>
        <v>-300000</v>
      </c>
      <c r="H5455" s="260" t="s">
        <v>3662</v>
      </c>
    </row>
    <row r="5456" spans="1:8" ht="15" x14ac:dyDescent="0.2">
      <c r="A5456" s="604">
        <v>43308</v>
      </c>
      <c r="B5456" s="174" t="s">
        <v>2652</v>
      </c>
      <c r="C5456" s="174" t="s">
        <v>3335</v>
      </c>
      <c r="D5456" s="118" t="s">
        <v>3710</v>
      </c>
      <c r="E5456" s="236">
        <v>75000</v>
      </c>
      <c r="F5456" s="236"/>
      <c r="G5456" s="236">
        <f t="shared" si="89"/>
        <v>-75000</v>
      </c>
      <c r="H5456" s="260" t="s">
        <v>3662</v>
      </c>
    </row>
    <row r="5457" spans="1:8" ht="15" x14ac:dyDescent="0.2">
      <c r="A5457" s="604">
        <v>43308</v>
      </c>
      <c r="B5457" s="174" t="s">
        <v>2933</v>
      </c>
      <c r="C5457" s="174" t="s">
        <v>3335</v>
      </c>
      <c r="D5457" s="118" t="s">
        <v>3710</v>
      </c>
      <c r="E5457" s="236">
        <v>16600</v>
      </c>
      <c r="F5457" s="236"/>
      <c r="G5457" s="236">
        <f t="shared" si="89"/>
        <v>-16600</v>
      </c>
      <c r="H5457" s="260" t="s">
        <v>3662</v>
      </c>
    </row>
    <row r="5458" spans="1:8" ht="15" x14ac:dyDescent="0.2">
      <c r="A5458" s="604">
        <v>43308</v>
      </c>
      <c r="B5458" s="174" t="s">
        <v>2787</v>
      </c>
      <c r="C5458" s="174" t="s">
        <v>3335</v>
      </c>
      <c r="D5458" s="118" t="s">
        <v>3710</v>
      </c>
      <c r="E5458" s="236">
        <v>12400</v>
      </c>
      <c r="F5458" s="236"/>
      <c r="G5458" s="236">
        <f t="shared" si="89"/>
        <v>-12400</v>
      </c>
      <c r="H5458" s="260" t="s">
        <v>3662</v>
      </c>
    </row>
    <row r="5459" spans="1:8" ht="15" x14ac:dyDescent="0.2">
      <c r="A5459" s="604">
        <v>43308</v>
      </c>
      <c r="B5459" s="174" t="s">
        <v>25</v>
      </c>
      <c r="C5459" s="174" t="s">
        <v>1894</v>
      </c>
      <c r="D5459" s="118" t="s">
        <v>3711</v>
      </c>
      <c r="E5459" s="236">
        <v>46500</v>
      </c>
      <c r="F5459" s="236"/>
      <c r="G5459" s="236">
        <f t="shared" si="89"/>
        <v>-46500</v>
      </c>
      <c r="H5459" s="260" t="s">
        <v>3662</v>
      </c>
    </row>
    <row r="5460" spans="1:8" ht="24" x14ac:dyDescent="0.2">
      <c r="A5460" s="604">
        <v>43311</v>
      </c>
      <c r="B5460" s="174" t="s">
        <v>25</v>
      </c>
      <c r="C5460" s="174" t="s">
        <v>1894</v>
      </c>
      <c r="D5460" s="118" t="s">
        <v>3725</v>
      </c>
      <c r="E5460" s="236">
        <v>20679</v>
      </c>
      <c r="F5460" s="236"/>
      <c r="G5460" s="236">
        <f t="shared" si="89"/>
        <v>-20679</v>
      </c>
      <c r="H5460" s="260" t="s">
        <v>3662</v>
      </c>
    </row>
    <row r="5461" spans="1:8" ht="24" x14ac:dyDescent="0.2">
      <c r="A5461" s="604">
        <v>43311</v>
      </c>
      <c r="B5461" s="174" t="s">
        <v>3622</v>
      </c>
      <c r="C5461" s="174" t="s">
        <v>266</v>
      </c>
      <c r="D5461" s="118" t="s">
        <v>3726</v>
      </c>
      <c r="E5461" s="236">
        <v>219000</v>
      </c>
      <c r="F5461" s="236"/>
      <c r="G5461" s="236">
        <f t="shared" si="89"/>
        <v>-219000</v>
      </c>
      <c r="H5461" s="260" t="s">
        <v>3662</v>
      </c>
    </row>
    <row r="5462" spans="1:8" ht="24" x14ac:dyDescent="0.2">
      <c r="A5462" s="604">
        <v>43311</v>
      </c>
      <c r="B5462" s="174" t="s">
        <v>2652</v>
      </c>
      <c r="C5462" s="174" t="s">
        <v>266</v>
      </c>
      <c r="D5462" s="118" t="s">
        <v>3726</v>
      </c>
      <c r="E5462" s="236">
        <v>37000</v>
      </c>
      <c r="F5462" s="236"/>
      <c r="G5462" s="236">
        <f t="shared" si="89"/>
        <v>-37000</v>
      </c>
      <c r="H5462" s="260" t="s">
        <v>3662</v>
      </c>
    </row>
    <row r="5463" spans="1:8" ht="15" x14ac:dyDescent="0.2">
      <c r="A5463" s="604">
        <v>43312</v>
      </c>
      <c r="B5463" s="174" t="s">
        <v>1400</v>
      </c>
      <c r="C5463" s="174" t="s">
        <v>3145</v>
      </c>
      <c r="D5463" s="118" t="s">
        <v>3728</v>
      </c>
      <c r="E5463" s="236">
        <v>630000</v>
      </c>
      <c r="F5463" s="236"/>
      <c r="G5463" s="236">
        <f t="shared" si="89"/>
        <v>-630000</v>
      </c>
      <c r="H5463" s="260" t="s">
        <v>3662</v>
      </c>
    </row>
    <row r="5464" spans="1:8" ht="24" x14ac:dyDescent="0.2">
      <c r="A5464" s="599">
        <v>43282</v>
      </c>
      <c r="B5464" s="91" t="s">
        <v>37</v>
      </c>
      <c r="C5464" s="94" t="s">
        <v>559</v>
      </c>
      <c r="D5464" s="798" t="s">
        <v>3667</v>
      </c>
      <c r="E5464" s="92"/>
      <c r="F5464" s="92">
        <v>359737</v>
      </c>
      <c r="G5464" s="92">
        <f t="shared" si="89"/>
        <v>359737</v>
      </c>
      <c r="H5464" s="261" t="s">
        <v>3662</v>
      </c>
    </row>
    <row r="5465" spans="1:8" ht="15" x14ac:dyDescent="0.2">
      <c r="A5465" s="599">
        <v>43282</v>
      </c>
      <c r="B5465" s="91" t="s">
        <v>37</v>
      </c>
      <c r="C5465" s="94" t="s">
        <v>559</v>
      </c>
      <c r="D5465" s="801" t="s">
        <v>3668</v>
      </c>
      <c r="E5465" s="92"/>
      <c r="F5465" s="92">
        <v>166500</v>
      </c>
      <c r="G5465" s="92">
        <f t="shared" si="89"/>
        <v>166500</v>
      </c>
      <c r="H5465" s="261" t="s">
        <v>3662</v>
      </c>
    </row>
    <row r="5466" spans="1:8" ht="15" x14ac:dyDescent="0.2">
      <c r="A5466" s="599">
        <v>43282</v>
      </c>
      <c r="B5466" s="91" t="s">
        <v>37</v>
      </c>
      <c r="C5466" s="94" t="s">
        <v>559</v>
      </c>
      <c r="D5466" s="801" t="s">
        <v>3669</v>
      </c>
      <c r="E5466" s="92"/>
      <c r="F5466" s="92">
        <v>397304</v>
      </c>
      <c r="G5466" s="92">
        <f t="shared" si="89"/>
        <v>397304</v>
      </c>
      <c r="H5466" s="261" t="s">
        <v>3662</v>
      </c>
    </row>
    <row r="5467" spans="1:8" ht="15" x14ac:dyDescent="0.2">
      <c r="A5467" s="599">
        <v>43285</v>
      </c>
      <c r="B5467" s="91" t="s">
        <v>154</v>
      </c>
      <c r="C5467" s="94" t="s">
        <v>559</v>
      </c>
      <c r="D5467" s="801" t="s">
        <v>2423</v>
      </c>
      <c r="E5467" s="92"/>
      <c r="F5467" s="92">
        <v>525000</v>
      </c>
      <c r="G5467" s="92">
        <f t="shared" si="89"/>
        <v>525000</v>
      </c>
      <c r="H5467" s="261" t="s">
        <v>3662</v>
      </c>
    </row>
    <row r="5468" spans="1:8" ht="15" x14ac:dyDescent="0.2">
      <c r="A5468" s="599">
        <v>43287</v>
      </c>
      <c r="B5468" s="91" t="s">
        <v>2094</v>
      </c>
      <c r="C5468" s="94" t="s">
        <v>559</v>
      </c>
      <c r="D5468" s="801" t="s">
        <v>3664</v>
      </c>
      <c r="E5468" s="92"/>
      <c r="F5468" s="92">
        <v>72000</v>
      </c>
      <c r="G5468" s="92">
        <f t="shared" si="89"/>
        <v>72000</v>
      </c>
      <c r="H5468" s="261" t="s">
        <v>3662</v>
      </c>
    </row>
    <row r="5469" spans="1:8" ht="24" x14ac:dyDescent="0.2">
      <c r="A5469" s="599">
        <v>43287</v>
      </c>
      <c r="B5469" s="91" t="s">
        <v>1400</v>
      </c>
      <c r="C5469" s="94" t="s">
        <v>559</v>
      </c>
      <c r="D5469" s="798" t="s">
        <v>3671</v>
      </c>
      <c r="E5469" s="92"/>
      <c r="F5469" s="92">
        <v>700000</v>
      </c>
      <c r="G5469" s="92">
        <f t="shared" si="89"/>
        <v>700000</v>
      </c>
      <c r="H5469" s="261" t="s">
        <v>3662</v>
      </c>
    </row>
    <row r="5470" spans="1:8" ht="15" x14ac:dyDescent="0.2">
      <c r="A5470" s="599">
        <v>43287</v>
      </c>
      <c r="B5470" s="91" t="s">
        <v>1400</v>
      </c>
      <c r="C5470" s="94" t="s">
        <v>559</v>
      </c>
      <c r="D5470" s="801" t="s">
        <v>3715</v>
      </c>
      <c r="E5470" s="92"/>
      <c r="F5470" s="92">
        <v>700000</v>
      </c>
      <c r="G5470" s="92">
        <f t="shared" si="89"/>
        <v>700000</v>
      </c>
      <c r="H5470" s="261" t="s">
        <v>3662</v>
      </c>
    </row>
    <row r="5471" spans="1:8" ht="24" x14ac:dyDescent="0.2">
      <c r="A5471" s="599">
        <v>43287</v>
      </c>
      <c r="B5471" s="91" t="s">
        <v>1400</v>
      </c>
      <c r="C5471" s="94" t="s">
        <v>559</v>
      </c>
      <c r="D5471" s="798" t="s">
        <v>3716</v>
      </c>
      <c r="E5471" s="92"/>
      <c r="F5471" s="92">
        <v>267879</v>
      </c>
      <c r="G5471" s="92">
        <f t="shared" si="89"/>
        <v>267879</v>
      </c>
      <c r="H5471" s="261" t="s">
        <v>3662</v>
      </c>
    </row>
    <row r="5472" spans="1:8" ht="24" x14ac:dyDescent="0.2">
      <c r="A5472" s="599">
        <v>43292</v>
      </c>
      <c r="B5472" s="91" t="s">
        <v>3622</v>
      </c>
      <c r="C5472" s="94" t="s">
        <v>559</v>
      </c>
      <c r="D5472" s="798" t="s">
        <v>3687</v>
      </c>
      <c r="E5472" s="92"/>
      <c r="F5472" s="92">
        <v>1000000</v>
      </c>
      <c r="G5472" s="92">
        <f t="shared" si="89"/>
        <v>1000000</v>
      </c>
      <c r="H5472" s="261" t="s">
        <v>3662</v>
      </c>
    </row>
    <row r="5473" spans="1:8" ht="15" x14ac:dyDescent="0.2">
      <c r="A5473" s="599">
        <v>43293</v>
      </c>
      <c r="B5473" s="91" t="s">
        <v>2787</v>
      </c>
      <c r="C5473" s="94" t="s">
        <v>559</v>
      </c>
      <c r="D5473" s="801" t="s">
        <v>1394</v>
      </c>
      <c r="E5473" s="92"/>
      <c r="F5473" s="92">
        <v>378000</v>
      </c>
      <c r="G5473" s="92">
        <f t="shared" si="89"/>
        <v>378000</v>
      </c>
      <c r="H5473" s="261" t="s">
        <v>3662</v>
      </c>
    </row>
    <row r="5474" spans="1:8" ht="24" x14ac:dyDescent="0.2">
      <c r="A5474" s="599">
        <v>43293</v>
      </c>
      <c r="B5474" s="91" t="s">
        <v>2787</v>
      </c>
      <c r="C5474" s="94" t="s">
        <v>559</v>
      </c>
      <c r="D5474" s="798" t="s">
        <v>3672</v>
      </c>
      <c r="E5474" s="92"/>
      <c r="F5474" s="92">
        <v>1372500</v>
      </c>
      <c r="G5474" s="92">
        <f t="shared" si="89"/>
        <v>1372500</v>
      </c>
      <c r="H5474" s="261" t="s">
        <v>3662</v>
      </c>
    </row>
    <row r="5475" spans="1:8" ht="24" x14ac:dyDescent="0.2">
      <c r="A5475" s="599">
        <v>43298</v>
      </c>
      <c r="B5475" s="91" t="s">
        <v>3622</v>
      </c>
      <c r="C5475" s="94" t="s">
        <v>559</v>
      </c>
      <c r="D5475" s="798" t="s">
        <v>3712</v>
      </c>
      <c r="E5475" s="92"/>
      <c r="F5475" s="92">
        <v>500000</v>
      </c>
      <c r="G5475" s="92">
        <f t="shared" si="89"/>
        <v>500000</v>
      </c>
      <c r="H5475" s="261" t="s">
        <v>3662</v>
      </c>
    </row>
    <row r="5476" spans="1:8" ht="15" x14ac:dyDescent="0.2">
      <c r="A5476" s="599">
        <v>43299</v>
      </c>
      <c r="B5476" s="91" t="s">
        <v>82</v>
      </c>
      <c r="C5476" s="94" t="s">
        <v>559</v>
      </c>
      <c r="D5476" s="801" t="s">
        <v>3686</v>
      </c>
      <c r="E5476" s="92"/>
      <c r="F5476" s="92">
        <v>171252</v>
      </c>
      <c r="G5476" s="92">
        <f t="shared" si="89"/>
        <v>171252</v>
      </c>
      <c r="H5476" s="261" t="s">
        <v>3662</v>
      </c>
    </row>
    <row r="5477" spans="1:8" ht="15" x14ac:dyDescent="0.2">
      <c r="A5477" s="599">
        <v>43304</v>
      </c>
      <c r="B5477" s="91" t="s">
        <v>2657</v>
      </c>
      <c r="C5477" s="94" t="s">
        <v>559</v>
      </c>
      <c r="D5477" s="801" t="s">
        <v>3688</v>
      </c>
      <c r="E5477" s="92"/>
      <c r="F5477" s="92">
        <v>200000</v>
      </c>
      <c r="G5477" s="92">
        <f t="shared" si="89"/>
        <v>200000</v>
      </c>
      <c r="H5477" s="261" t="s">
        <v>3662</v>
      </c>
    </row>
    <row r="5478" spans="1:8" ht="15" x14ac:dyDescent="0.2">
      <c r="A5478" s="597">
        <v>43313</v>
      </c>
      <c r="B5478" s="41" t="s">
        <v>3733</v>
      </c>
      <c r="C5478" s="63" t="s">
        <v>794</v>
      </c>
      <c r="D5478" s="108" t="s">
        <v>1836</v>
      </c>
      <c r="E5478" s="58">
        <v>50000</v>
      </c>
      <c r="F5478" s="58"/>
      <c r="G5478" s="58">
        <f t="shared" si="89"/>
        <v>-50000</v>
      </c>
      <c r="H5478" s="121" t="s">
        <v>3718</v>
      </c>
    </row>
    <row r="5479" spans="1:8" ht="15" x14ac:dyDescent="0.2">
      <c r="A5479" s="597">
        <v>43313</v>
      </c>
      <c r="B5479" s="41" t="s">
        <v>2652</v>
      </c>
      <c r="C5479" s="63" t="s">
        <v>794</v>
      </c>
      <c r="D5479" s="108" t="s">
        <v>1837</v>
      </c>
      <c r="E5479" s="58">
        <v>25000</v>
      </c>
      <c r="F5479" s="58"/>
      <c r="G5479" s="58">
        <f t="shared" si="89"/>
        <v>-25000</v>
      </c>
      <c r="H5479" s="121" t="s">
        <v>3718</v>
      </c>
    </row>
    <row r="5480" spans="1:8" ht="15" x14ac:dyDescent="0.2">
      <c r="A5480" s="597">
        <v>43313</v>
      </c>
      <c r="B5480" s="41" t="s">
        <v>2933</v>
      </c>
      <c r="C5480" s="63" t="s">
        <v>794</v>
      </c>
      <c r="D5480" s="108" t="s">
        <v>1837</v>
      </c>
      <c r="E5480" s="58">
        <v>25000</v>
      </c>
      <c r="F5480" s="58"/>
      <c r="G5480" s="58">
        <f t="shared" si="89"/>
        <v>-25000</v>
      </c>
      <c r="H5480" s="121" t="s">
        <v>3718</v>
      </c>
    </row>
    <row r="5481" spans="1:8" ht="15" x14ac:dyDescent="0.2">
      <c r="A5481" s="597">
        <v>43313</v>
      </c>
      <c r="B5481" s="41" t="s">
        <v>25</v>
      </c>
      <c r="C5481" s="63" t="s">
        <v>794</v>
      </c>
      <c r="D5481" s="108" t="s">
        <v>1839</v>
      </c>
      <c r="E5481" s="58">
        <v>10000</v>
      </c>
      <c r="F5481" s="58"/>
      <c r="G5481" s="58">
        <f t="shared" si="89"/>
        <v>-10000</v>
      </c>
      <c r="H5481" s="121" t="s">
        <v>3718</v>
      </c>
    </row>
    <row r="5482" spans="1:8" ht="15" x14ac:dyDescent="0.2">
      <c r="A5482" s="597">
        <v>43313</v>
      </c>
      <c r="B5482" s="41" t="s">
        <v>25</v>
      </c>
      <c r="C5482" s="63" t="s">
        <v>794</v>
      </c>
      <c r="D5482" s="108" t="s">
        <v>1840</v>
      </c>
      <c r="E5482" s="58">
        <v>10000</v>
      </c>
      <c r="F5482" s="58"/>
      <c r="G5482" s="58">
        <f t="shared" si="89"/>
        <v>-10000</v>
      </c>
      <c r="H5482" s="121" t="s">
        <v>3718</v>
      </c>
    </row>
    <row r="5483" spans="1:8" ht="15" x14ac:dyDescent="0.2">
      <c r="A5483" s="597">
        <v>43313</v>
      </c>
      <c r="B5483" s="41" t="s">
        <v>25</v>
      </c>
      <c r="C5483" s="63" t="s">
        <v>794</v>
      </c>
      <c r="D5483" s="108" t="s">
        <v>1547</v>
      </c>
      <c r="E5483" s="58">
        <v>10000</v>
      </c>
      <c r="F5483" s="58"/>
      <c r="G5483" s="58">
        <f t="shared" si="89"/>
        <v>-10000</v>
      </c>
      <c r="H5483" s="121" t="s">
        <v>3718</v>
      </c>
    </row>
    <row r="5484" spans="1:8" ht="15" x14ac:dyDescent="0.2">
      <c r="A5484" s="597">
        <v>43313</v>
      </c>
      <c r="B5484" s="41" t="s">
        <v>16</v>
      </c>
      <c r="C5484" s="63" t="s">
        <v>794</v>
      </c>
      <c r="D5484" s="108" t="s">
        <v>1844</v>
      </c>
      <c r="E5484" s="58">
        <v>25911.290322580644</v>
      </c>
      <c r="F5484" s="58"/>
      <c r="G5484" s="58">
        <f t="shared" si="89"/>
        <v>-25911.290322580644</v>
      </c>
      <c r="H5484" s="121" t="s">
        <v>3718</v>
      </c>
    </row>
    <row r="5485" spans="1:8" ht="15" x14ac:dyDescent="0.2">
      <c r="A5485" s="597">
        <v>43313</v>
      </c>
      <c r="B5485" s="41" t="s">
        <v>16</v>
      </c>
      <c r="C5485" s="63" t="s">
        <v>794</v>
      </c>
      <c r="D5485" s="108" t="s">
        <v>1842</v>
      </c>
      <c r="E5485" s="58">
        <v>30000</v>
      </c>
      <c r="F5485" s="58"/>
      <c r="G5485" s="58">
        <f t="shared" si="89"/>
        <v>-30000</v>
      </c>
      <c r="H5485" s="121" t="s">
        <v>3718</v>
      </c>
    </row>
    <row r="5486" spans="1:8" ht="15" x14ac:dyDescent="0.2">
      <c r="A5486" s="597">
        <v>43313</v>
      </c>
      <c r="B5486" s="41" t="s">
        <v>16</v>
      </c>
      <c r="C5486" s="63" t="s">
        <v>794</v>
      </c>
      <c r="D5486" s="108" t="s">
        <v>1843</v>
      </c>
      <c r="E5486" s="58">
        <v>15258.064516129032</v>
      </c>
      <c r="F5486" s="58"/>
      <c r="G5486" s="58">
        <f t="shared" si="89"/>
        <v>-15258.064516129032</v>
      </c>
      <c r="H5486" s="121" t="s">
        <v>3718</v>
      </c>
    </row>
    <row r="5487" spans="1:8" ht="15" x14ac:dyDescent="0.2">
      <c r="A5487" s="597">
        <v>43313</v>
      </c>
      <c r="B5487" s="41" t="s">
        <v>16</v>
      </c>
      <c r="C5487" s="63" t="s">
        <v>794</v>
      </c>
      <c r="D5487" s="108" t="s">
        <v>3065</v>
      </c>
      <c r="E5487" s="58">
        <v>11806.451612903227</v>
      </c>
      <c r="F5487" s="58"/>
      <c r="G5487" s="58">
        <f t="shared" si="89"/>
        <v>-11806.451612903227</v>
      </c>
      <c r="H5487" s="121" t="s">
        <v>3718</v>
      </c>
    </row>
    <row r="5488" spans="1:8" ht="15" x14ac:dyDescent="0.2">
      <c r="A5488" s="597">
        <v>43313</v>
      </c>
      <c r="B5488" s="41" t="s">
        <v>16</v>
      </c>
      <c r="C5488" s="63" t="s">
        <v>794</v>
      </c>
      <c r="D5488" s="108" t="s">
        <v>2283</v>
      </c>
      <c r="E5488" s="58">
        <v>15403.225806451614</v>
      </c>
      <c r="F5488" s="58"/>
      <c r="G5488" s="58">
        <f t="shared" si="89"/>
        <v>-15403.225806451614</v>
      </c>
      <c r="H5488" s="121" t="s">
        <v>3718</v>
      </c>
    </row>
    <row r="5489" spans="1:8" ht="15" x14ac:dyDescent="0.2">
      <c r="A5489" s="597">
        <v>43313</v>
      </c>
      <c r="B5489" s="41" t="s">
        <v>16</v>
      </c>
      <c r="C5489" s="63" t="s">
        <v>794</v>
      </c>
      <c r="D5489" s="108" t="s">
        <v>3230</v>
      </c>
      <c r="E5489" s="58">
        <v>13000</v>
      </c>
      <c r="F5489" s="58"/>
      <c r="G5489" s="58">
        <f t="shared" si="89"/>
        <v>-13000</v>
      </c>
      <c r="H5489" s="121" t="s">
        <v>3718</v>
      </c>
    </row>
    <row r="5490" spans="1:8" ht="15" x14ac:dyDescent="0.2">
      <c r="A5490" s="597">
        <v>43313</v>
      </c>
      <c r="B5490" s="41" t="s">
        <v>16</v>
      </c>
      <c r="C5490" s="63" t="s">
        <v>794</v>
      </c>
      <c r="D5490" s="108" t="s">
        <v>3611</v>
      </c>
      <c r="E5490" s="58">
        <v>5000</v>
      </c>
      <c r="F5490" s="58"/>
      <c r="G5490" s="58">
        <f t="shared" si="89"/>
        <v>-5000</v>
      </c>
      <c r="H5490" s="121" t="s">
        <v>3718</v>
      </c>
    </row>
    <row r="5491" spans="1:8" ht="15" x14ac:dyDescent="0.2">
      <c r="A5491" s="597">
        <v>43313</v>
      </c>
      <c r="B5491" s="41" t="s">
        <v>16</v>
      </c>
      <c r="C5491" s="63" t="s">
        <v>794</v>
      </c>
      <c r="D5491" s="108" t="s">
        <v>3612</v>
      </c>
      <c r="E5491" s="58">
        <v>12500</v>
      </c>
      <c r="F5491" s="58"/>
      <c r="G5491" s="58">
        <f t="shared" si="89"/>
        <v>-12500</v>
      </c>
      <c r="H5491" s="121" t="s">
        <v>3718</v>
      </c>
    </row>
    <row r="5492" spans="1:8" ht="15" x14ac:dyDescent="0.2">
      <c r="A5492" s="597">
        <v>43313</v>
      </c>
      <c r="B5492" s="41" t="s">
        <v>3733</v>
      </c>
      <c r="C5492" s="63" t="s">
        <v>794</v>
      </c>
      <c r="D5492" s="108" t="s">
        <v>1864</v>
      </c>
      <c r="E5492" s="58">
        <v>43969.959677419356</v>
      </c>
      <c r="F5492" s="58"/>
      <c r="G5492" s="58">
        <f t="shared" si="89"/>
        <v>-43969.959677419356</v>
      </c>
      <c r="H5492" s="121" t="s">
        <v>3718</v>
      </c>
    </row>
    <row r="5493" spans="1:8" ht="15" x14ac:dyDescent="0.2">
      <c r="A5493" s="597">
        <v>43313</v>
      </c>
      <c r="B5493" s="41" t="s">
        <v>3945</v>
      </c>
      <c r="C5493" s="63" t="s">
        <v>794</v>
      </c>
      <c r="D5493" s="108" t="s">
        <v>3236</v>
      </c>
      <c r="E5493" s="58">
        <v>18399.798387096773</v>
      </c>
      <c r="F5493" s="58"/>
      <c r="G5493" s="58">
        <f t="shared" si="89"/>
        <v>-18399.798387096773</v>
      </c>
      <c r="H5493" s="121" t="s">
        <v>3718</v>
      </c>
    </row>
    <row r="5494" spans="1:8" ht="15" x14ac:dyDescent="0.2">
      <c r="A5494" s="597">
        <v>43313</v>
      </c>
      <c r="B5494" s="41" t="s">
        <v>3945</v>
      </c>
      <c r="C5494" s="63" t="s">
        <v>794</v>
      </c>
      <c r="D5494" s="108" t="s">
        <v>4005</v>
      </c>
      <c r="E5494" s="58">
        <v>19000.403225806451</v>
      </c>
      <c r="F5494" s="58"/>
      <c r="G5494" s="58">
        <f t="shared" si="89"/>
        <v>-19000.403225806451</v>
      </c>
      <c r="H5494" s="121" t="s">
        <v>3718</v>
      </c>
    </row>
    <row r="5495" spans="1:8" ht="15" x14ac:dyDescent="0.2">
      <c r="A5495" s="597">
        <v>43313</v>
      </c>
      <c r="B5495" s="41" t="s">
        <v>1400</v>
      </c>
      <c r="C5495" s="63" t="s">
        <v>794</v>
      </c>
      <c r="D5495" s="108" t="s">
        <v>3234</v>
      </c>
      <c r="E5495" s="58">
        <v>18569.53629032258</v>
      </c>
      <c r="F5495" s="58"/>
      <c r="G5495" s="58">
        <f t="shared" si="89"/>
        <v>-18569.53629032258</v>
      </c>
      <c r="H5495" s="121" t="s">
        <v>3718</v>
      </c>
    </row>
    <row r="5496" spans="1:8" ht="15" x14ac:dyDescent="0.2">
      <c r="A5496" s="597">
        <v>43313</v>
      </c>
      <c r="B5496" s="41" t="s">
        <v>3945</v>
      </c>
      <c r="C5496" s="63" t="s">
        <v>794</v>
      </c>
      <c r="D5496" s="108" t="s">
        <v>2282</v>
      </c>
      <c r="E5496" s="58">
        <v>48400.201612903227</v>
      </c>
      <c r="F5496" s="58"/>
      <c r="G5496" s="58">
        <f t="shared" si="89"/>
        <v>-48400.201612903227</v>
      </c>
      <c r="H5496" s="121" t="s">
        <v>3718</v>
      </c>
    </row>
    <row r="5497" spans="1:8" ht="15" x14ac:dyDescent="0.2">
      <c r="A5497" s="597">
        <v>43313</v>
      </c>
      <c r="B5497" s="41" t="s">
        <v>3945</v>
      </c>
      <c r="C5497" s="63" t="s">
        <v>794</v>
      </c>
      <c r="D5497" s="108" t="s">
        <v>2758</v>
      </c>
      <c r="E5497" s="58">
        <v>24630.120967741936</v>
      </c>
      <c r="F5497" s="58"/>
      <c r="G5497" s="58">
        <f t="shared" si="89"/>
        <v>-24630.120967741936</v>
      </c>
      <c r="H5497" s="121" t="s">
        <v>3718</v>
      </c>
    </row>
    <row r="5498" spans="1:8" ht="15" x14ac:dyDescent="0.2">
      <c r="A5498" s="597">
        <v>43313</v>
      </c>
      <c r="B5498" s="41" t="s">
        <v>1400</v>
      </c>
      <c r="C5498" s="63" t="s">
        <v>794</v>
      </c>
      <c r="D5498" s="108" t="s">
        <v>1862</v>
      </c>
      <c r="E5498" s="58">
        <v>19710.262096774193</v>
      </c>
      <c r="F5498" s="58"/>
      <c r="G5498" s="58">
        <f t="shared" si="89"/>
        <v>-19710.262096774193</v>
      </c>
      <c r="H5498" s="121" t="s">
        <v>3718</v>
      </c>
    </row>
    <row r="5499" spans="1:8" ht="15" x14ac:dyDescent="0.2">
      <c r="A5499" s="597">
        <v>43313</v>
      </c>
      <c r="B5499" s="41" t="s">
        <v>3945</v>
      </c>
      <c r="C5499" s="63" t="s">
        <v>794</v>
      </c>
      <c r="D5499" s="108" t="s">
        <v>3841</v>
      </c>
      <c r="E5499" s="58">
        <v>24520.725806451614</v>
      </c>
      <c r="F5499" s="58"/>
      <c r="G5499" s="58">
        <f t="shared" si="89"/>
        <v>-24520.725806451614</v>
      </c>
      <c r="H5499" s="121" t="s">
        <v>3718</v>
      </c>
    </row>
    <row r="5500" spans="1:8" ht="15" x14ac:dyDescent="0.2">
      <c r="A5500" s="597">
        <v>43313</v>
      </c>
      <c r="B5500" s="41" t="s">
        <v>3945</v>
      </c>
      <c r="C5500" s="63" t="s">
        <v>794</v>
      </c>
      <c r="D5500" s="108" t="s">
        <v>1564</v>
      </c>
      <c r="E5500" s="58">
        <v>3750</v>
      </c>
      <c r="F5500" s="58"/>
      <c r="G5500" s="58">
        <f t="shared" si="89"/>
        <v>-3750</v>
      </c>
      <c r="H5500" s="121" t="s">
        <v>3718</v>
      </c>
    </row>
    <row r="5501" spans="1:8" ht="15" x14ac:dyDescent="0.2">
      <c r="A5501" s="597">
        <v>43313</v>
      </c>
      <c r="B5501" s="41" t="s">
        <v>3945</v>
      </c>
      <c r="C5501" s="63" t="s">
        <v>794</v>
      </c>
      <c r="D5501" s="108" t="s">
        <v>3842</v>
      </c>
      <c r="E5501" s="58">
        <v>18370.322580645163</v>
      </c>
      <c r="F5501" s="58"/>
      <c r="G5501" s="58">
        <f t="shared" si="89"/>
        <v>-18370.322580645163</v>
      </c>
      <c r="H5501" s="121" t="s">
        <v>3718</v>
      </c>
    </row>
    <row r="5502" spans="1:8" ht="15" x14ac:dyDescent="0.2">
      <c r="A5502" s="597">
        <v>43313</v>
      </c>
      <c r="B5502" s="41" t="s">
        <v>1400</v>
      </c>
      <c r="C5502" s="63" t="s">
        <v>794</v>
      </c>
      <c r="D5502" s="108" t="s">
        <v>1858</v>
      </c>
      <c r="E5502" s="58">
        <v>40600.806451612902</v>
      </c>
      <c r="F5502" s="58"/>
      <c r="G5502" s="58">
        <f t="shared" si="89"/>
        <v>-40600.806451612902</v>
      </c>
      <c r="H5502" s="121" t="s">
        <v>3718</v>
      </c>
    </row>
    <row r="5503" spans="1:8" ht="15" x14ac:dyDescent="0.2">
      <c r="A5503" s="597">
        <v>43313</v>
      </c>
      <c r="B5503" s="41" t="s">
        <v>1400</v>
      </c>
      <c r="C5503" s="63" t="s">
        <v>794</v>
      </c>
      <c r="D5503" s="108" t="s">
        <v>1684</v>
      </c>
      <c r="E5503" s="58">
        <v>30000</v>
      </c>
      <c r="F5503" s="58"/>
      <c r="G5503" s="58">
        <f t="shared" si="89"/>
        <v>-30000</v>
      </c>
      <c r="H5503" s="121" t="s">
        <v>3718</v>
      </c>
    </row>
    <row r="5504" spans="1:8" ht="15" x14ac:dyDescent="0.2">
      <c r="A5504" s="597">
        <v>43313</v>
      </c>
      <c r="B5504" s="41" t="s">
        <v>1400</v>
      </c>
      <c r="C5504" s="63" t="s">
        <v>794</v>
      </c>
      <c r="D5504" s="108" t="s">
        <v>2482</v>
      </c>
      <c r="E5504" s="58">
        <v>24416.330645161292</v>
      </c>
      <c r="F5504" s="58"/>
      <c r="G5504" s="58">
        <f t="shared" si="89"/>
        <v>-24416.330645161292</v>
      </c>
      <c r="H5504" s="121" t="s">
        <v>3718</v>
      </c>
    </row>
    <row r="5505" spans="1:8" ht="15" x14ac:dyDescent="0.2">
      <c r="A5505" s="597">
        <v>43313</v>
      </c>
      <c r="B5505" s="41" t="s">
        <v>1400</v>
      </c>
      <c r="C5505" s="63" t="s">
        <v>794</v>
      </c>
      <c r="D5505" s="108" t="s">
        <v>1550</v>
      </c>
      <c r="E5505" s="58">
        <v>22000</v>
      </c>
      <c r="F5505" s="58"/>
      <c r="G5505" s="58">
        <f t="shared" si="89"/>
        <v>-22000</v>
      </c>
      <c r="H5505" s="121" t="s">
        <v>3718</v>
      </c>
    </row>
    <row r="5506" spans="1:8" ht="15" x14ac:dyDescent="0.2">
      <c r="A5506" s="597">
        <v>43313</v>
      </c>
      <c r="B5506" s="41" t="s">
        <v>1400</v>
      </c>
      <c r="C5506" s="63" t="s">
        <v>794</v>
      </c>
      <c r="D5506" s="108" t="s">
        <v>1871</v>
      </c>
      <c r="E5506" s="58">
        <v>42000</v>
      </c>
      <c r="F5506" s="58"/>
      <c r="G5506" s="58">
        <f t="shared" si="89"/>
        <v>-42000</v>
      </c>
      <c r="H5506" s="121" t="s">
        <v>3718</v>
      </c>
    </row>
    <row r="5507" spans="1:8" ht="15" x14ac:dyDescent="0.2">
      <c r="A5507" s="597">
        <v>43313</v>
      </c>
      <c r="B5507" s="41" t="s">
        <v>1400</v>
      </c>
      <c r="C5507" s="63" t="s">
        <v>794</v>
      </c>
      <c r="D5507" s="108" t="s">
        <v>1859</v>
      </c>
      <c r="E5507" s="58">
        <v>22809.677419354837</v>
      </c>
      <c r="F5507" s="58"/>
      <c r="G5507" s="58">
        <f t="shared" si="89"/>
        <v>-22809.677419354837</v>
      </c>
      <c r="H5507" s="121" t="s">
        <v>3718</v>
      </c>
    </row>
    <row r="5508" spans="1:8" ht="15" x14ac:dyDescent="0.2">
      <c r="A5508" s="597">
        <v>43313</v>
      </c>
      <c r="B5508" s="41" t="s">
        <v>1400</v>
      </c>
      <c r="C5508" s="63" t="s">
        <v>794</v>
      </c>
      <c r="D5508" s="108" t="s">
        <v>3491</v>
      </c>
      <c r="E5508" s="58">
        <v>21096.774193548386</v>
      </c>
      <c r="F5508" s="58"/>
      <c r="G5508" s="58">
        <f t="shared" si="89"/>
        <v>-21096.774193548386</v>
      </c>
      <c r="H5508" s="121" t="s">
        <v>3718</v>
      </c>
    </row>
    <row r="5509" spans="1:8" ht="15" x14ac:dyDescent="0.2">
      <c r="A5509" s="597">
        <v>43313</v>
      </c>
      <c r="B5509" s="41" t="s">
        <v>1400</v>
      </c>
      <c r="C5509" s="63" t="s">
        <v>794</v>
      </c>
      <c r="D5509" s="108" t="s">
        <v>1872</v>
      </c>
      <c r="E5509" s="58">
        <v>22839.677419354841</v>
      </c>
      <c r="F5509" s="58"/>
      <c r="G5509" s="58">
        <f t="shared" si="89"/>
        <v>-22839.677419354841</v>
      </c>
      <c r="H5509" s="121" t="s">
        <v>3718</v>
      </c>
    </row>
    <row r="5510" spans="1:8" ht="15" x14ac:dyDescent="0.2">
      <c r="A5510" s="597">
        <v>43313</v>
      </c>
      <c r="B5510" s="41" t="s">
        <v>1400</v>
      </c>
      <c r="C5510" s="63" t="s">
        <v>794</v>
      </c>
      <c r="D5510" s="108" t="s">
        <v>1850</v>
      </c>
      <c r="E5510" s="58">
        <v>6869.6774193548372</v>
      </c>
      <c r="F5510" s="58"/>
      <c r="G5510" s="58">
        <f t="shared" si="89"/>
        <v>-6869.6774193548372</v>
      </c>
      <c r="H5510" s="121" t="s">
        <v>3718</v>
      </c>
    </row>
    <row r="5511" spans="1:8" ht="15" x14ac:dyDescent="0.2">
      <c r="A5511" s="597">
        <v>43313</v>
      </c>
      <c r="B5511" s="41" t="s">
        <v>1400</v>
      </c>
      <c r="C5511" s="63" t="s">
        <v>794</v>
      </c>
      <c r="D5511" s="108" t="s">
        <v>3492</v>
      </c>
      <c r="E5511" s="58">
        <v>7000</v>
      </c>
      <c r="F5511" s="58"/>
      <c r="G5511" s="58">
        <f t="shared" si="89"/>
        <v>-7000</v>
      </c>
      <c r="H5511" s="121" t="s">
        <v>3718</v>
      </c>
    </row>
    <row r="5512" spans="1:8" ht="15" x14ac:dyDescent="0.2">
      <c r="A5512" s="597">
        <v>43313</v>
      </c>
      <c r="B5512" s="41" t="s">
        <v>1400</v>
      </c>
      <c r="C5512" s="63" t="s">
        <v>794</v>
      </c>
      <c r="D5512" s="108" t="s">
        <v>2927</v>
      </c>
      <c r="E5512" s="58">
        <v>12921.370967741936</v>
      </c>
      <c r="F5512" s="58"/>
      <c r="G5512" s="58">
        <f t="shared" si="89"/>
        <v>-12921.370967741936</v>
      </c>
      <c r="H5512" s="121" t="s">
        <v>3718</v>
      </c>
    </row>
    <row r="5513" spans="1:8" ht="15" x14ac:dyDescent="0.2">
      <c r="A5513" s="597">
        <v>43313</v>
      </c>
      <c r="B5513" s="41" t="s">
        <v>1400</v>
      </c>
      <c r="C5513" s="63" t="s">
        <v>794</v>
      </c>
      <c r="D5513" s="108" t="s">
        <v>3068</v>
      </c>
      <c r="E5513" s="58">
        <v>14451.612903225807</v>
      </c>
      <c r="F5513" s="58"/>
      <c r="G5513" s="58">
        <f t="shared" ref="G5513:G5576" si="90">F5513-E5513</f>
        <v>-14451.612903225807</v>
      </c>
      <c r="H5513" s="121" t="s">
        <v>3718</v>
      </c>
    </row>
    <row r="5514" spans="1:8" ht="15" x14ac:dyDescent="0.2">
      <c r="A5514" s="597">
        <v>43313</v>
      </c>
      <c r="B5514" s="41" t="s">
        <v>1400</v>
      </c>
      <c r="C5514" s="63" t="s">
        <v>794</v>
      </c>
      <c r="D5514" s="108" t="s">
        <v>4006</v>
      </c>
      <c r="E5514" s="58">
        <v>11762.096774193549</v>
      </c>
      <c r="F5514" s="58"/>
      <c r="G5514" s="58">
        <f t="shared" si="90"/>
        <v>-11762.096774193549</v>
      </c>
      <c r="H5514" s="121" t="s">
        <v>3718</v>
      </c>
    </row>
    <row r="5515" spans="1:8" ht="15" x14ac:dyDescent="0.2">
      <c r="A5515" s="597">
        <v>43313</v>
      </c>
      <c r="B5515" s="41" t="s">
        <v>1400</v>
      </c>
      <c r="C5515" s="63" t="s">
        <v>794</v>
      </c>
      <c r="D5515" s="108" t="s">
        <v>2481</v>
      </c>
      <c r="E5515" s="58">
        <v>20459.758064516129</v>
      </c>
      <c r="F5515" s="58"/>
      <c r="G5515" s="58">
        <f t="shared" si="90"/>
        <v>-20459.758064516129</v>
      </c>
      <c r="H5515" s="121" t="s">
        <v>3718</v>
      </c>
    </row>
    <row r="5516" spans="1:8" ht="15" x14ac:dyDescent="0.2">
      <c r="A5516" s="597">
        <v>43313</v>
      </c>
      <c r="B5516" s="41" t="s">
        <v>6516</v>
      </c>
      <c r="C5516" s="63" t="s">
        <v>794</v>
      </c>
      <c r="D5516" s="108" t="s">
        <v>1855</v>
      </c>
      <c r="E5516" s="58">
        <v>24719.758064516129</v>
      </c>
      <c r="F5516" s="58"/>
      <c r="G5516" s="58">
        <f t="shared" si="90"/>
        <v>-24719.758064516129</v>
      </c>
      <c r="H5516" s="121" t="s">
        <v>3718</v>
      </c>
    </row>
    <row r="5517" spans="1:8" ht="15" x14ac:dyDescent="0.2">
      <c r="A5517" s="597">
        <v>43313</v>
      </c>
      <c r="B5517" s="41" t="s">
        <v>6516</v>
      </c>
      <c r="C5517" s="63" t="s">
        <v>794</v>
      </c>
      <c r="D5517" s="108" t="s">
        <v>1861</v>
      </c>
      <c r="E5517" s="58">
        <v>16900</v>
      </c>
      <c r="F5517" s="58"/>
      <c r="G5517" s="58">
        <f t="shared" si="90"/>
        <v>-16900</v>
      </c>
      <c r="H5517" s="121" t="s">
        <v>3718</v>
      </c>
    </row>
    <row r="5518" spans="1:8" ht="15" x14ac:dyDescent="0.2">
      <c r="A5518" s="597">
        <v>43313</v>
      </c>
      <c r="B5518" s="41" t="s">
        <v>6516</v>
      </c>
      <c r="C5518" s="63" t="s">
        <v>794</v>
      </c>
      <c r="D5518" s="108" t="s">
        <v>1849</v>
      </c>
      <c r="E5518" s="58">
        <v>11661.290322580646</v>
      </c>
      <c r="F5518" s="58"/>
      <c r="G5518" s="58">
        <f t="shared" si="90"/>
        <v>-11661.290322580646</v>
      </c>
      <c r="H5518" s="121" t="s">
        <v>3718</v>
      </c>
    </row>
    <row r="5519" spans="1:8" ht="15" x14ac:dyDescent="0.2">
      <c r="A5519" s="597">
        <v>43313</v>
      </c>
      <c r="B5519" s="41" t="s">
        <v>6516</v>
      </c>
      <c r="C5519" s="63" t="s">
        <v>794</v>
      </c>
      <c r="D5519" s="108" t="s">
        <v>3615</v>
      </c>
      <c r="E5519" s="58">
        <v>14599.596774193549</v>
      </c>
      <c r="F5519" s="58"/>
      <c r="G5519" s="58">
        <f t="shared" si="90"/>
        <v>-14599.596774193549</v>
      </c>
      <c r="H5519" s="121" t="s">
        <v>3718</v>
      </c>
    </row>
    <row r="5520" spans="1:8" ht="15" x14ac:dyDescent="0.2">
      <c r="A5520" s="597">
        <v>43313</v>
      </c>
      <c r="B5520" s="41" t="s">
        <v>6516</v>
      </c>
      <c r="C5520" s="63" t="s">
        <v>794</v>
      </c>
      <c r="D5520" s="108" t="s">
        <v>4007</v>
      </c>
      <c r="E5520" s="58">
        <v>6814.5161290322576</v>
      </c>
      <c r="F5520" s="58"/>
      <c r="G5520" s="58">
        <f t="shared" si="90"/>
        <v>-6814.5161290322576</v>
      </c>
      <c r="H5520" s="121" t="s">
        <v>3718</v>
      </c>
    </row>
    <row r="5521" spans="1:8" ht="15" x14ac:dyDescent="0.2">
      <c r="A5521" s="597">
        <v>43313</v>
      </c>
      <c r="B5521" s="41" t="s">
        <v>37</v>
      </c>
      <c r="C5521" s="63" t="s">
        <v>794</v>
      </c>
      <c r="D5521" s="108" t="s">
        <v>1866</v>
      </c>
      <c r="E5521" s="58">
        <v>17439.83870967742</v>
      </c>
      <c r="F5521" s="58"/>
      <c r="G5521" s="58">
        <f t="shared" si="90"/>
        <v>-17439.83870967742</v>
      </c>
      <c r="H5521" s="121" t="s">
        <v>3718</v>
      </c>
    </row>
    <row r="5522" spans="1:8" ht="15" x14ac:dyDescent="0.2">
      <c r="A5522" s="597">
        <v>43313</v>
      </c>
      <c r="B5522" s="41" t="s">
        <v>37</v>
      </c>
      <c r="C5522" s="63" t="s">
        <v>794</v>
      </c>
      <c r="D5522" s="108" t="s">
        <v>1867</v>
      </c>
      <c r="E5522" s="58">
        <v>13510.322580645161</v>
      </c>
      <c r="F5522" s="58"/>
      <c r="G5522" s="58">
        <f t="shared" si="90"/>
        <v>-13510.322580645161</v>
      </c>
      <c r="H5522" s="121" t="s">
        <v>3718</v>
      </c>
    </row>
    <row r="5523" spans="1:8" ht="15" x14ac:dyDescent="0.2">
      <c r="A5523" s="597">
        <v>43313</v>
      </c>
      <c r="B5523" s="41" t="s">
        <v>37</v>
      </c>
      <c r="C5523" s="63" t="s">
        <v>794</v>
      </c>
      <c r="D5523" s="108" t="s">
        <v>1868</v>
      </c>
      <c r="E5523" s="58">
        <v>17500</v>
      </c>
      <c r="F5523" s="58"/>
      <c r="G5523" s="58">
        <f t="shared" si="90"/>
        <v>-17500</v>
      </c>
      <c r="H5523" s="121" t="s">
        <v>3718</v>
      </c>
    </row>
    <row r="5524" spans="1:8" ht="15" x14ac:dyDescent="0.2">
      <c r="A5524" s="597">
        <v>43313</v>
      </c>
      <c r="B5524" s="41" t="s">
        <v>37</v>
      </c>
      <c r="C5524" s="63" t="s">
        <v>794</v>
      </c>
      <c r="D5524" s="108" t="s">
        <v>2181</v>
      </c>
      <c r="E5524" s="58">
        <v>11741.935483870968</v>
      </c>
      <c r="F5524" s="58"/>
      <c r="G5524" s="58">
        <f t="shared" si="90"/>
        <v>-11741.935483870968</v>
      </c>
      <c r="H5524" s="121" t="s">
        <v>3718</v>
      </c>
    </row>
    <row r="5525" spans="1:8" ht="15" x14ac:dyDescent="0.2">
      <c r="A5525" s="597">
        <v>43313</v>
      </c>
      <c r="B5525" s="41" t="s">
        <v>37</v>
      </c>
      <c r="C5525" s="63" t="s">
        <v>794</v>
      </c>
      <c r="D5525" s="108" t="s">
        <v>3610</v>
      </c>
      <c r="E5525" s="58">
        <v>12579.677419354839</v>
      </c>
      <c r="F5525" s="58"/>
      <c r="G5525" s="58">
        <f t="shared" si="90"/>
        <v>-12579.677419354839</v>
      </c>
      <c r="H5525" s="121" t="s">
        <v>3718</v>
      </c>
    </row>
    <row r="5526" spans="1:8" ht="15" x14ac:dyDescent="0.2">
      <c r="A5526" s="597">
        <v>43313</v>
      </c>
      <c r="B5526" s="41" t="s">
        <v>37</v>
      </c>
      <c r="C5526" s="63" t="s">
        <v>794</v>
      </c>
      <c r="D5526" s="108" t="s">
        <v>1240</v>
      </c>
      <c r="E5526" s="58">
        <v>22500.483870967742</v>
      </c>
      <c r="F5526" s="58"/>
      <c r="G5526" s="58">
        <f t="shared" si="90"/>
        <v>-22500.483870967742</v>
      </c>
      <c r="H5526" s="121" t="s">
        <v>3718</v>
      </c>
    </row>
    <row r="5527" spans="1:8" ht="15" x14ac:dyDescent="0.2">
      <c r="A5527" s="597">
        <v>43313</v>
      </c>
      <c r="B5527" s="41" t="s">
        <v>2933</v>
      </c>
      <c r="C5527" s="63" t="s">
        <v>794</v>
      </c>
      <c r="D5527" s="108" t="s">
        <v>1845</v>
      </c>
      <c r="E5527" s="58">
        <v>23201.612903225807</v>
      </c>
      <c r="F5527" s="58"/>
      <c r="G5527" s="58">
        <f t="shared" si="90"/>
        <v>-23201.612903225807</v>
      </c>
      <c r="H5527" s="121" t="s">
        <v>3718</v>
      </c>
    </row>
    <row r="5528" spans="1:8" ht="15" x14ac:dyDescent="0.2">
      <c r="A5528" s="597">
        <v>43313</v>
      </c>
      <c r="B5528" s="41" t="s">
        <v>2933</v>
      </c>
      <c r="C5528" s="63" t="s">
        <v>794</v>
      </c>
      <c r="D5528" s="108" t="s">
        <v>2925</v>
      </c>
      <c r="E5528" s="58">
        <v>50000</v>
      </c>
      <c r="F5528" s="58"/>
      <c r="G5528" s="58">
        <f t="shared" si="90"/>
        <v>-50000</v>
      </c>
      <c r="H5528" s="121" t="s">
        <v>3718</v>
      </c>
    </row>
    <row r="5529" spans="1:8" ht="15" customHeight="1" x14ac:dyDescent="0.2">
      <c r="A5529" s="597">
        <v>43313</v>
      </c>
      <c r="B5529" s="41" t="s">
        <v>2652</v>
      </c>
      <c r="C5529" s="63" t="s">
        <v>794</v>
      </c>
      <c r="D5529" s="108" t="s">
        <v>3616</v>
      </c>
      <c r="E5529" s="58">
        <v>41290.322580645159</v>
      </c>
      <c r="F5529" s="58"/>
      <c r="G5529" s="58">
        <f t="shared" si="90"/>
        <v>-41290.322580645159</v>
      </c>
      <c r="H5529" s="121" t="s">
        <v>3718</v>
      </c>
    </row>
    <row r="5530" spans="1:8" ht="15" x14ac:dyDescent="0.2">
      <c r="A5530" s="597">
        <v>43313</v>
      </c>
      <c r="B5530" s="41" t="s">
        <v>2652</v>
      </c>
      <c r="C5530" s="63" t="s">
        <v>794</v>
      </c>
      <c r="D5530" s="108" t="s">
        <v>1852</v>
      </c>
      <c r="E5530" s="58">
        <v>32459.677419354841</v>
      </c>
      <c r="F5530" s="58"/>
      <c r="G5530" s="58">
        <f t="shared" si="90"/>
        <v>-32459.677419354841</v>
      </c>
      <c r="H5530" s="121" t="s">
        <v>3718</v>
      </c>
    </row>
    <row r="5531" spans="1:8" ht="15" x14ac:dyDescent="0.2">
      <c r="A5531" s="597">
        <v>43313</v>
      </c>
      <c r="B5531" s="41" t="s">
        <v>2652</v>
      </c>
      <c r="C5531" s="63" t="s">
        <v>794</v>
      </c>
      <c r="D5531" s="108" t="s">
        <v>1847</v>
      </c>
      <c r="E5531" s="58">
        <v>8580.6451612903256</v>
      </c>
      <c r="F5531" s="58"/>
      <c r="G5531" s="58">
        <f t="shared" si="90"/>
        <v>-8580.6451612903256</v>
      </c>
      <c r="H5531" s="121" t="s">
        <v>3718</v>
      </c>
    </row>
    <row r="5532" spans="1:8" ht="15" x14ac:dyDescent="0.2">
      <c r="A5532" s="597">
        <v>43313</v>
      </c>
      <c r="B5532" s="41" t="s">
        <v>2652</v>
      </c>
      <c r="C5532" s="63" t="s">
        <v>794</v>
      </c>
      <c r="D5532" s="108" t="s">
        <v>4008</v>
      </c>
      <c r="E5532" s="58">
        <v>19890</v>
      </c>
      <c r="F5532" s="58"/>
      <c r="G5532" s="58">
        <f t="shared" si="90"/>
        <v>-19890</v>
      </c>
      <c r="H5532" s="121" t="s">
        <v>3718</v>
      </c>
    </row>
    <row r="5533" spans="1:8" ht="15" x14ac:dyDescent="0.2">
      <c r="A5533" s="597">
        <v>43313</v>
      </c>
      <c r="B5533" s="41" t="s">
        <v>2652</v>
      </c>
      <c r="C5533" s="63" t="s">
        <v>794</v>
      </c>
      <c r="D5533" s="108" t="s">
        <v>2280</v>
      </c>
      <c r="E5533" s="58">
        <v>29709.677419354841</v>
      </c>
      <c r="F5533" s="58"/>
      <c r="G5533" s="58">
        <f t="shared" si="90"/>
        <v>-29709.677419354841</v>
      </c>
      <c r="H5533" s="121" t="s">
        <v>3718</v>
      </c>
    </row>
    <row r="5534" spans="1:8" ht="15" x14ac:dyDescent="0.2">
      <c r="A5534" s="597">
        <v>43313</v>
      </c>
      <c r="B5534" s="41" t="s">
        <v>2652</v>
      </c>
      <c r="C5534" s="63" t="s">
        <v>794</v>
      </c>
      <c r="D5534" s="108" t="s">
        <v>668</v>
      </c>
      <c r="E5534" s="58">
        <v>19090.16129032258</v>
      </c>
      <c r="F5534" s="58"/>
      <c r="G5534" s="58">
        <f t="shared" si="90"/>
        <v>-19090.16129032258</v>
      </c>
      <c r="H5534" s="121" t="s">
        <v>3718</v>
      </c>
    </row>
    <row r="5535" spans="1:8" ht="15" x14ac:dyDescent="0.2">
      <c r="A5535" s="597">
        <v>43313</v>
      </c>
      <c r="B5535" s="41" t="s">
        <v>2652</v>
      </c>
      <c r="C5535" s="63" t="s">
        <v>794</v>
      </c>
      <c r="D5535" s="108" t="s">
        <v>3231</v>
      </c>
      <c r="E5535" s="58">
        <v>29516.129032258064</v>
      </c>
      <c r="F5535" s="58"/>
      <c r="G5535" s="58">
        <f t="shared" si="90"/>
        <v>-29516.129032258064</v>
      </c>
      <c r="H5535" s="121" t="s">
        <v>3718</v>
      </c>
    </row>
    <row r="5536" spans="1:8" ht="15" x14ac:dyDescent="0.2">
      <c r="A5536" s="597">
        <v>43313</v>
      </c>
      <c r="B5536" s="41" t="s">
        <v>2652</v>
      </c>
      <c r="C5536" s="63" t="s">
        <v>794</v>
      </c>
      <c r="D5536" s="108" t="s">
        <v>1561</v>
      </c>
      <c r="E5536" s="58">
        <v>13879.677419354841</v>
      </c>
      <c r="F5536" s="58"/>
      <c r="G5536" s="58">
        <f t="shared" si="90"/>
        <v>-13879.677419354841</v>
      </c>
      <c r="H5536" s="121" t="s">
        <v>3718</v>
      </c>
    </row>
    <row r="5537" spans="1:8" ht="15" x14ac:dyDescent="0.2">
      <c r="A5537" s="597">
        <v>43313</v>
      </c>
      <c r="B5537" s="41" t="s">
        <v>2652</v>
      </c>
      <c r="C5537" s="63" t="s">
        <v>794</v>
      </c>
      <c r="D5537" s="108" t="s">
        <v>3490</v>
      </c>
      <c r="E5537" s="58">
        <v>14599.516129032258</v>
      </c>
      <c r="F5537" s="58"/>
      <c r="G5537" s="58">
        <f t="shared" si="90"/>
        <v>-14599.516129032258</v>
      </c>
      <c r="H5537" s="121" t="s">
        <v>3718</v>
      </c>
    </row>
    <row r="5538" spans="1:8" ht="15" x14ac:dyDescent="0.2">
      <c r="A5538" s="597">
        <v>43313</v>
      </c>
      <c r="B5538" s="41" t="s">
        <v>2652</v>
      </c>
      <c r="C5538" s="63" t="s">
        <v>794</v>
      </c>
      <c r="D5538" s="108" t="s">
        <v>4009</v>
      </c>
      <c r="E5538" s="58">
        <v>8080.645161290322</v>
      </c>
      <c r="F5538" s="58"/>
      <c r="G5538" s="58">
        <f t="shared" si="90"/>
        <v>-8080.645161290322</v>
      </c>
      <c r="H5538" s="121" t="s">
        <v>3718</v>
      </c>
    </row>
    <row r="5539" spans="1:8" ht="15" x14ac:dyDescent="0.2">
      <c r="A5539" s="597">
        <v>43313</v>
      </c>
      <c r="B5539" s="41" t="s">
        <v>2652</v>
      </c>
      <c r="C5539" s="63" t="s">
        <v>794</v>
      </c>
      <c r="D5539" s="108" t="s">
        <v>4010</v>
      </c>
      <c r="E5539" s="58">
        <v>11260.483870967742</v>
      </c>
      <c r="F5539" s="58"/>
      <c r="G5539" s="58">
        <f t="shared" si="90"/>
        <v>-11260.483870967742</v>
      </c>
      <c r="H5539" s="121" t="s">
        <v>3718</v>
      </c>
    </row>
    <row r="5540" spans="1:8" ht="15" x14ac:dyDescent="0.2">
      <c r="A5540" s="597">
        <v>43313</v>
      </c>
      <c r="B5540" s="41" t="s">
        <v>2652</v>
      </c>
      <c r="C5540" s="63" t="s">
        <v>794</v>
      </c>
      <c r="D5540" s="108" t="s">
        <v>4011</v>
      </c>
      <c r="E5540" s="58">
        <v>6899.677419354839</v>
      </c>
      <c r="F5540" s="58"/>
      <c r="G5540" s="58">
        <f t="shared" si="90"/>
        <v>-6899.677419354839</v>
      </c>
      <c r="H5540" s="121" t="s">
        <v>3718</v>
      </c>
    </row>
    <row r="5541" spans="1:8" ht="15" x14ac:dyDescent="0.2">
      <c r="A5541" s="597">
        <v>43313</v>
      </c>
      <c r="B5541" s="41" t="s">
        <v>11</v>
      </c>
      <c r="C5541" s="63" t="s">
        <v>794</v>
      </c>
      <c r="D5541" s="108" t="s">
        <v>3770</v>
      </c>
      <c r="E5541" s="58">
        <v>5000</v>
      </c>
      <c r="F5541" s="58"/>
      <c r="G5541" s="58">
        <f t="shared" si="90"/>
        <v>-5000</v>
      </c>
      <c r="H5541" s="121" t="s">
        <v>3718</v>
      </c>
    </row>
    <row r="5542" spans="1:8" ht="15" x14ac:dyDescent="0.2">
      <c r="A5542" s="597">
        <v>43313</v>
      </c>
      <c r="B5542" s="41" t="s">
        <v>16</v>
      </c>
      <c r="C5542" s="63" t="s">
        <v>773</v>
      </c>
      <c r="D5542" s="108" t="s">
        <v>3964</v>
      </c>
      <c r="E5542" s="58">
        <v>800</v>
      </c>
      <c r="F5542" s="58"/>
      <c r="G5542" s="58">
        <f t="shared" si="90"/>
        <v>-800</v>
      </c>
      <c r="H5542" s="121" t="s">
        <v>3718</v>
      </c>
    </row>
    <row r="5543" spans="1:8" ht="15" x14ac:dyDescent="0.2">
      <c r="A5543" s="597">
        <v>43318</v>
      </c>
      <c r="B5543" s="41" t="s">
        <v>16</v>
      </c>
      <c r="C5543" s="63" t="s">
        <v>773</v>
      </c>
      <c r="D5543" s="108" t="s">
        <v>285</v>
      </c>
      <c r="E5543" s="58">
        <v>200</v>
      </c>
      <c r="F5543" s="58"/>
      <c r="G5543" s="58">
        <f t="shared" si="90"/>
        <v>-200</v>
      </c>
      <c r="H5543" s="121" t="s">
        <v>3718</v>
      </c>
    </row>
    <row r="5544" spans="1:8" ht="15" x14ac:dyDescent="0.2">
      <c r="A5544" s="597">
        <v>43318</v>
      </c>
      <c r="B5544" s="41" t="s">
        <v>2933</v>
      </c>
      <c r="C5544" s="63" t="s">
        <v>3145</v>
      </c>
      <c r="D5544" s="108" t="s">
        <v>3965</v>
      </c>
      <c r="E5544" s="58">
        <v>2850</v>
      </c>
      <c r="F5544" s="58"/>
      <c r="G5544" s="58">
        <f t="shared" si="90"/>
        <v>-2850</v>
      </c>
      <c r="H5544" s="121" t="s">
        <v>3718</v>
      </c>
    </row>
    <row r="5545" spans="1:8" ht="15" x14ac:dyDescent="0.2">
      <c r="A5545" s="597">
        <v>43318</v>
      </c>
      <c r="B5545" s="41" t="s">
        <v>25</v>
      </c>
      <c r="C5545" s="63" t="s">
        <v>1894</v>
      </c>
      <c r="D5545" s="108" t="s">
        <v>3966</v>
      </c>
      <c r="E5545" s="58">
        <v>10034</v>
      </c>
      <c r="F5545" s="58"/>
      <c r="G5545" s="58">
        <f t="shared" si="90"/>
        <v>-10034</v>
      </c>
      <c r="H5545" s="121" t="s">
        <v>3718</v>
      </c>
    </row>
    <row r="5546" spans="1:8" ht="15" x14ac:dyDescent="0.2">
      <c r="A5546" s="597">
        <v>43318</v>
      </c>
      <c r="B5546" s="41" t="s">
        <v>2933</v>
      </c>
      <c r="C5546" s="63" t="s">
        <v>3145</v>
      </c>
      <c r="D5546" s="108" t="s">
        <v>3967</v>
      </c>
      <c r="E5546" s="58">
        <v>10750</v>
      </c>
      <c r="F5546" s="58"/>
      <c r="G5546" s="58">
        <f t="shared" si="90"/>
        <v>-10750</v>
      </c>
      <c r="H5546" s="121" t="s">
        <v>3718</v>
      </c>
    </row>
    <row r="5547" spans="1:8" ht="15" x14ac:dyDescent="0.2">
      <c r="A5547" s="597">
        <v>43320</v>
      </c>
      <c r="B5547" s="41" t="s">
        <v>3733</v>
      </c>
      <c r="C5547" s="63" t="s">
        <v>3145</v>
      </c>
      <c r="D5547" s="108" t="s">
        <v>3968</v>
      </c>
      <c r="E5547" s="58">
        <v>2805</v>
      </c>
      <c r="F5547" s="58"/>
      <c r="G5547" s="58">
        <f t="shared" si="90"/>
        <v>-2805</v>
      </c>
      <c r="H5547" s="121" t="s">
        <v>3718</v>
      </c>
    </row>
    <row r="5548" spans="1:8" ht="15" x14ac:dyDescent="0.2">
      <c r="A5548" s="597">
        <v>43320</v>
      </c>
      <c r="B5548" s="41" t="s">
        <v>3622</v>
      </c>
      <c r="C5548" s="63" t="s">
        <v>3145</v>
      </c>
      <c r="D5548" s="108" t="s">
        <v>3970</v>
      </c>
      <c r="E5548" s="58">
        <v>2180</v>
      </c>
      <c r="F5548" s="58"/>
      <c r="G5548" s="58">
        <f t="shared" si="90"/>
        <v>-2180</v>
      </c>
      <c r="H5548" s="121" t="s">
        <v>3718</v>
      </c>
    </row>
    <row r="5549" spans="1:8" ht="15" x14ac:dyDescent="0.2">
      <c r="A5549" s="597">
        <v>43320</v>
      </c>
      <c r="B5549" s="41" t="s">
        <v>1400</v>
      </c>
      <c r="C5549" s="63" t="s">
        <v>3145</v>
      </c>
      <c r="D5549" s="108" t="s">
        <v>3969</v>
      </c>
      <c r="E5549" s="58">
        <v>14800</v>
      </c>
      <c r="F5549" s="58"/>
      <c r="G5549" s="58">
        <f t="shared" si="90"/>
        <v>-14800</v>
      </c>
      <c r="H5549" s="121" t="s">
        <v>3718</v>
      </c>
    </row>
    <row r="5550" spans="1:8" ht="15" x14ac:dyDescent="0.2">
      <c r="A5550" s="597">
        <v>43320</v>
      </c>
      <c r="B5550" s="41" t="s">
        <v>2933</v>
      </c>
      <c r="C5550" s="63" t="s">
        <v>3145</v>
      </c>
      <c r="D5550" s="108" t="s">
        <v>3971</v>
      </c>
      <c r="E5550" s="58">
        <v>4560</v>
      </c>
      <c r="F5550" s="58"/>
      <c r="G5550" s="58">
        <f t="shared" si="90"/>
        <v>-4560</v>
      </c>
      <c r="H5550" s="121" t="s">
        <v>3718</v>
      </c>
    </row>
    <row r="5551" spans="1:8" ht="15" x14ac:dyDescent="0.2">
      <c r="A5551" s="597">
        <v>43320</v>
      </c>
      <c r="B5551" s="41" t="s">
        <v>3622</v>
      </c>
      <c r="C5551" s="63" t="s">
        <v>3145</v>
      </c>
      <c r="D5551" s="108" t="s">
        <v>3972</v>
      </c>
      <c r="E5551" s="58">
        <v>3410</v>
      </c>
      <c r="F5551" s="58"/>
      <c r="G5551" s="58">
        <f t="shared" si="90"/>
        <v>-3410</v>
      </c>
      <c r="H5551" s="121" t="s">
        <v>3718</v>
      </c>
    </row>
    <row r="5552" spans="1:8" ht="15" x14ac:dyDescent="0.2">
      <c r="A5552" s="597">
        <v>43320</v>
      </c>
      <c r="B5552" s="41" t="s">
        <v>2652</v>
      </c>
      <c r="C5552" s="63" t="s">
        <v>3145</v>
      </c>
      <c r="D5552" s="108" t="s">
        <v>3973</v>
      </c>
      <c r="E5552" s="58">
        <v>850</v>
      </c>
      <c r="F5552" s="58"/>
      <c r="G5552" s="58">
        <f t="shared" si="90"/>
        <v>-850</v>
      </c>
      <c r="H5552" s="121" t="s">
        <v>3718</v>
      </c>
    </row>
    <row r="5553" spans="1:8" ht="15" x14ac:dyDescent="0.2">
      <c r="A5553" s="597">
        <v>43320</v>
      </c>
      <c r="B5553" s="41" t="s">
        <v>6516</v>
      </c>
      <c r="C5553" s="63" t="s">
        <v>3145</v>
      </c>
      <c r="D5553" s="108" t="s">
        <v>3800</v>
      </c>
      <c r="E5553" s="58">
        <v>4703</v>
      </c>
      <c r="F5553" s="58"/>
      <c r="G5553" s="58">
        <f t="shared" si="90"/>
        <v>-4703</v>
      </c>
      <c r="H5553" s="121" t="s">
        <v>3718</v>
      </c>
    </row>
    <row r="5554" spans="1:8" ht="15" x14ac:dyDescent="0.2">
      <c r="A5554" s="597">
        <v>43320</v>
      </c>
      <c r="B5554" s="41" t="s">
        <v>2933</v>
      </c>
      <c r="C5554" s="63" t="s">
        <v>3145</v>
      </c>
      <c r="D5554" s="108" t="s">
        <v>3974</v>
      </c>
      <c r="E5554" s="58">
        <v>1320</v>
      </c>
      <c r="F5554" s="58"/>
      <c r="G5554" s="58">
        <f t="shared" si="90"/>
        <v>-1320</v>
      </c>
      <c r="H5554" s="121" t="s">
        <v>3718</v>
      </c>
    </row>
    <row r="5555" spans="1:8" ht="15" x14ac:dyDescent="0.2">
      <c r="A5555" s="597">
        <v>43320</v>
      </c>
      <c r="B5555" s="41" t="s">
        <v>2652</v>
      </c>
      <c r="C5555" s="63" t="s">
        <v>3145</v>
      </c>
      <c r="D5555" s="108" t="s">
        <v>3974</v>
      </c>
      <c r="E5555" s="58">
        <v>6590</v>
      </c>
      <c r="F5555" s="58"/>
      <c r="G5555" s="58">
        <f t="shared" si="90"/>
        <v>-6590</v>
      </c>
      <c r="H5555" s="121" t="s">
        <v>3718</v>
      </c>
    </row>
    <row r="5556" spans="1:8" ht="15" x14ac:dyDescent="0.2">
      <c r="A5556" s="597">
        <v>43320</v>
      </c>
      <c r="B5556" s="41" t="s">
        <v>3622</v>
      </c>
      <c r="C5556" s="63" t="s">
        <v>3145</v>
      </c>
      <c r="D5556" s="108" t="s">
        <v>3974</v>
      </c>
      <c r="E5556" s="58">
        <v>6160</v>
      </c>
      <c r="F5556" s="58"/>
      <c r="G5556" s="58">
        <f t="shared" si="90"/>
        <v>-6160</v>
      </c>
      <c r="H5556" s="121" t="s">
        <v>3718</v>
      </c>
    </row>
    <row r="5557" spans="1:8" ht="15" x14ac:dyDescent="0.2">
      <c r="A5557" s="597">
        <v>43320</v>
      </c>
      <c r="B5557" s="41" t="s">
        <v>1400</v>
      </c>
      <c r="C5557" s="63" t="s">
        <v>3145</v>
      </c>
      <c r="D5557" s="108" t="s">
        <v>3974</v>
      </c>
      <c r="E5557" s="58">
        <v>10800</v>
      </c>
      <c r="F5557" s="58"/>
      <c r="G5557" s="58">
        <f t="shared" si="90"/>
        <v>-10800</v>
      </c>
      <c r="H5557" s="121" t="s">
        <v>3718</v>
      </c>
    </row>
    <row r="5558" spans="1:8" ht="15" x14ac:dyDescent="0.2">
      <c r="A5558" s="597">
        <v>43320</v>
      </c>
      <c r="B5558" s="41" t="s">
        <v>3622</v>
      </c>
      <c r="C5558" s="63" t="s">
        <v>3145</v>
      </c>
      <c r="D5558" s="108" t="s">
        <v>3976</v>
      </c>
      <c r="E5558" s="58">
        <f>1600+1600</f>
        <v>3200</v>
      </c>
      <c r="F5558" s="58"/>
      <c r="G5558" s="58">
        <f t="shared" si="90"/>
        <v>-3200</v>
      </c>
      <c r="H5558" s="121" t="s">
        <v>3718</v>
      </c>
    </row>
    <row r="5559" spans="1:8" ht="15" x14ac:dyDescent="0.2">
      <c r="A5559" s="597">
        <v>43320</v>
      </c>
      <c r="B5559" s="41" t="s">
        <v>2787</v>
      </c>
      <c r="C5559" s="63" t="s">
        <v>3145</v>
      </c>
      <c r="D5559" s="108" t="s">
        <v>3975</v>
      </c>
      <c r="E5559" s="58">
        <f>620+2535+3800</f>
        <v>6955</v>
      </c>
      <c r="F5559" s="58"/>
      <c r="G5559" s="58">
        <f t="shared" si="90"/>
        <v>-6955</v>
      </c>
      <c r="H5559" s="121" t="s">
        <v>3718</v>
      </c>
    </row>
    <row r="5560" spans="1:8" ht="15" customHeight="1" x14ac:dyDescent="0.2">
      <c r="A5560" s="597">
        <v>43320</v>
      </c>
      <c r="B5560" s="41" t="s">
        <v>1400</v>
      </c>
      <c r="C5560" s="63" t="s">
        <v>3145</v>
      </c>
      <c r="D5560" s="108" t="s">
        <v>3977</v>
      </c>
      <c r="E5560" s="58">
        <v>60060</v>
      </c>
      <c r="F5560" s="58"/>
      <c r="G5560" s="58">
        <f t="shared" si="90"/>
        <v>-60060</v>
      </c>
      <c r="H5560" s="121" t="s">
        <v>3718</v>
      </c>
    </row>
    <row r="5561" spans="1:8" ht="15" customHeight="1" x14ac:dyDescent="0.2">
      <c r="A5561" s="597">
        <v>43320</v>
      </c>
      <c r="B5561" s="41" t="s">
        <v>3622</v>
      </c>
      <c r="C5561" s="63" t="s">
        <v>3149</v>
      </c>
      <c r="D5561" s="108" t="s">
        <v>3369</v>
      </c>
      <c r="E5561" s="58">
        <v>280</v>
      </c>
      <c r="F5561" s="58"/>
      <c r="G5561" s="58">
        <f t="shared" si="90"/>
        <v>-280</v>
      </c>
      <c r="H5561" s="121" t="s">
        <v>3718</v>
      </c>
    </row>
    <row r="5562" spans="1:8" ht="15" x14ac:dyDescent="0.2">
      <c r="A5562" s="597">
        <v>43320</v>
      </c>
      <c r="B5562" s="41" t="s">
        <v>16</v>
      </c>
      <c r="C5562" s="63" t="s">
        <v>3791</v>
      </c>
      <c r="D5562" s="108" t="s">
        <v>370</v>
      </c>
      <c r="E5562" s="58">
        <v>4150</v>
      </c>
      <c r="F5562" s="58"/>
      <c r="G5562" s="58">
        <f t="shared" si="90"/>
        <v>-4150</v>
      </c>
      <c r="H5562" s="121" t="s">
        <v>3718</v>
      </c>
    </row>
    <row r="5563" spans="1:8" ht="15" x14ac:dyDescent="0.2">
      <c r="A5563" s="597">
        <v>43320</v>
      </c>
      <c r="B5563" s="41" t="s">
        <v>2933</v>
      </c>
      <c r="C5563" s="63" t="s">
        <v>3149</v>
      </c>
      <c r="D5563" s="108" t="s">
        <v>3369</v>
      </c>
      <c r="E5563" s="58">
        <v>420</v>
      </c>
      <c r="F5563" s="58"/>
      <c r="G5563" s="58">
        <f t="shared" si="90"/>
        <v>-420</v>
      </c>
      <c r="H5563" s="121" t="s">
        <v>3718</v>
      </c>
    </row>
    <row r="5564" spans="1:8" ht="15" x14ac:dyDescent="0.2">
      <c r="A5564" s="597">
        <v>43325</v>
      </c>
      <c r="B5564" s="41" t="s">
        <v>3733</v>
      </c>
      <c r="C5564" s="63" t="s">
        <v>3145</v>
      </c>
      <c r="D5564" s="108" t="s">
        <v>3787</v>
      </c>
      <c r="E5564" s="58">
        <v>6570</v>
      </c>
      <c r="F5564" s="58"/>
      <c r="G5564" s="58">
        <f t="shared" si="90"/>
        <v>-6570</v>
      </c>
      <c r="H5564" s="121" t="s">
        <v>3718</v>
      </c>
    </row>
    <row r="5565" spans="1:8" ht="15" x14ac:dyDescent="0.2">
      <c r="A5565" s="597">
        <v>43325</v>
      </c>
      <c r="B5565" s="41" t="s">
        <v>2933</v>
      </c>
      <c r="C5565" s="63" t="s">
        <v>3145</v>
      </c>
      <c r="D5565" s="108" t="s">
        <v>3978</v>
      </c>
      <c r="E5565" s="58">
        <v>16530</v>
      </c>
      <c r="F5565" s="58"/>
      <c r="G5565" s="58">
        <f t="shared" si="90"/>
        <v>-16530</v>
      </c>
      <c r="H5565" s="121" t="s">
        <v>3718</v>
      </c>
    </row>
    <row r="5566" spans="1:8" ht="15" x14ac:dyDescent="0.2">
      <c r="A5566" s="597">
        <v>43325</v>
      </c>
      <c r="B5566" s="41" t="s">
        <v>2933</v>
      </c>
      <c r="C5566" s="63" t="s">
        <v>3149</v>
      </c>
      <c r="D5566" s="108" t="s">
        <v>3369</v>
      </c>
      <c r="E5566" s="58">
        <f>840+85</f>
        <v>925</v>
      </c>
      <c r="F5566" s="58"/>
      <c r="G5566" s="58">
        <f t="shared" si="90"/>
        <v>-925</v>
      </c>
      <c r="H5566" s="121" t="s">
        <v>3718</v>
      </c>
    </row>
    <row r="5567" spans="1:8" ht="15" x14ac:dyDescent="0.2">
      <c r="A5567" s="597">
        <v>43325</v>
      </c>
      <c r="B5567" s="41" t="s">
        <v>18</v>
      </c>
      <c r="C5567" s="63" t="s">
        <v>3145</v>
      </c>
      <c r="D5567" s="108" t="s">
        <v>3979</v>
      </c>
      <c r="E5567" s="58">
        <v>2040</v>
      </c>
      <c r="F5567" s="58"/>
      <c r="G5567" s="58">
        <f t="shared" si="90"/>
        <v>-2040</v>
      </c>
      <c r="H5567" s="121" t="s">
        <v>3718</v>
      </c>
    </row>
    <row r="5568" spans="1:8" ht="15" x14ac:dyDescent="0.2">
      <c r="A5568" s="597">
        <v>43325</v>
      </c>
      <c r="B5568" s="41" t="s">
        <v>1400</v>
      </c>
      <c r="C5568" s="63" t="s">
        <v>3145</v>
      </c>
      <c r="D5568" s="108" t="s">
        <v>3979</v>
      </c>
      <c r="E5568" s="58">
        <v>7200</v>
      </c>
      <c r="F5568" s="58"/>
      <c r="G5568" s="58">
        <f t="shared" si="90"/>
        <v>-7200</v>
      </c>
      <c r="H5568" s="121" t="s">
        <v>3718</v>
      </c>
    </row>
    <row r="5569" spans="1:8" ht="15" x14ac:dyDescent="0.2">
      <c r="A5569" s="597">
        <v>43325</v>
      </c>
      <c r="B5569" s="41" t="s">
        <v>2787</v>
      </c>
      <c r="C5569" s="63" t="s">
        <v>3145</v>
      </c>
      <c r="D5569" s="108" t="s">
        <v>3980</v>
      </c>
      <c r="E5569" s="58">
        <v>9680</v>
      </c>
      <c r="F5569" s="58"/>
      <c r="G5569" s="58">
        <f t="shared" si="90"/>
        <v>-9680</v>
      </c>
      <c r="H5569" s="121" t="s">
        <v>3718</v>
      </c>
    </row>
    <row r="5570" spans="1:8" ht="15" x14ac:dyDescent="0.2">
      <c r="A5570" s="597">
        <v>43325</v>
      </c>
      <c r="B5570" s="41" t="s">
        <v>37</v>
      </c>
      <c r="C5570" s="63" t="s">
        <v>3145</v>
      </c>
      <c r="D5570" s="108" t="s">
        <v>3981</v>
      </c>
      <c r="E5570" s="58">
        <v>3780</v>
      </c>
      <c r="F5570" s="58"/>
      <c r="G5570" s="58">
        <f t="shared" si="90"/>
        <v>-3780</v>
      </c>
      <c r="H5570" s="121" t="s">
        <v>3718</v>
      </c>
    </row>
    <row r="5571" spans="1:8" ht="15" x14ac:dyDescent="0.2">
      <c r="A5571" s="597">
        <v>43325</v>
      </c>
      <c r="B5571" s="41" t="s">
        <v>16</v>
      </c>
      <c r="C5571" s="63" t="s">
        <v>3145</v>
      </c>
      <c r="D5571" s="108" t="s">
        <v>392</v>
      </c>
      <c r="E5571" s="58">
        <v>3150</v>
      </c>
      <c r="F5571" s="58"/>
      <c r="G5571" s="58">
        <f t="shared" si="90"/>
        <v>-3150</v>
      </c>
      <c r="H5571" s="121" t="s">
        <v>3718</v>
      </c>
    </row>
    <row r="5572" spans="1:8" ht="15" x14ac:dyDescent="0.2">
      <c r="A5572" s="597">
        <v>43325</v>
      </c>
      <c r="B5572" s="41" t="s">
        <v>3622</v>
      </c>
      <c r="C5572" s="63" t="s">
        <v>3145</v>
      </c>
      <c r="D5572" s="108" t="s">
        <v>3984</v>
      </c>
      <c r="E5572" s="58">
        <v>2250</v>
      </c>
      <c r="F5572" s="58"/>
      <c r="G5572" s="58">
        <f t="shared" si="90"/>
        <v>-2250</v>
      </c>
      <c r="H5572" s="121" t="s">
        <v>3718</v>
      </c>
    </row>
    <row r="5573" spans="1:8" ht="15" customHeight="1" x14ac:dyDescent="0.2">
      <c r="A5573" s="597">
        <v>43325</v>
      </c>
      <c r="B5573" s="41" t="s">
        <v>2933</v>
      </c>
      <c r="C5573" s="63" t="s">
        <v>3145</v>
      </c>
      <c r="D5573" s="108" t="s">
        <v>3984</v>
      </c>
      <c r="E5573" s="58">
        <v>1700</v>
      </c>
      <c r="F5573" s="58"/>
      <c r="G5573" s="58">
        <f t="shared" si="90"/>
        <v>-1700</v>
      </c>
      <c r="H5573" s="121" t="s">
        <v>3718</v>
      </c>
    </row>
    <row r="5574" spans="1:8" ht="15" customHeight="1" x14ac:dyDescent="0.2">
      <c r="A5574" s="597">
        <v>43325</v>
      </c>
      <c r="B5574" s="41" t="s">
        <v>2652</v>
      </c>
      <c r="C5574" s="63" t="s">
        <v>3145</v>
      </c>
      <c r="D5574" s="108" t="s">
        <v>3982</v>
      </c>
      <c r="E5574" s="58">
        <v>3325</v>
      </c>
      <c r="F5574" s="58"/>
      <c r="G5574" s="58">
        <f t="shared" si="90"/>
        <v>-3325</v>
      </c>
      <c r="H5574" s="121" t="s">
        <v>3718</v>
      </c>
    </row>
    <row r="5575" spans="1:8" ht="15" customHeight="1" x14ac:dyDescent="0.2">
      <c r="A5575" s="597">
        <v>43325</v>
      </c>
      <c r="B5575" s="41" t="s">
        <v>3733</v>
      </c>
      <c r="C5575" s="63" t="s">
        <v>3145</v>
      </c>
      <c r="D5575" s="108" t="s">
        <v>3983</v>
      </c>
      <c r="E5575" s="58">
        <v>800</v>
      </c>
      <c r="F5575" s="58"/>
      <c r="G5575" s="58">
        <f t="shared" si="90"/>
        <v>-800</v>
      </c>
      <c r="H5575" s="121" t="s">
        <v>3718</v>
      </c>
    </row>
    <row r="5576" spans="1:8" ht="15" customHeight="1" x14ac:dyDescent="0.2">
      <c r="A5576" s="597">
        <v>43328</v>
      </c>
      <c r="B5576" s="41" t="s">
        <v>3733</v>
      </c>
      <c r="C5576" s="63" t="s">
        <v>3145</v>
      </c>
      <c r="D5576" s="108" t="s">
        <v>3985</v>
      </c>
      <c r="E5576" s="58">
        <v>5000</v>
      </c>
      <c r="F5576" s="58"/>
      <c r="G5576" s="58">
        <f t="shared" si="90"/>
        <v>-5000</v>
      </c>
      <c r="H5576" s="121" t="s">
        <v>3718</v>
      </c>
    </row>
    <row r="5577" spans="1:8" ht="15" customHeight="1" x14ac:dyDescent="0.2">
      <c r="A5577" s="597">
        <v>43328</v>
      </c>
      <c r="B5577" s="41" t="s">
        <v>3733</v>
      </c>
      <c r="C5577" s="63" t="s">
        <v>3145</v>
      </c>
      <c r="D5577" s="108" t="s">
        <v>3986</v>
      </c>
      <c r="E5577" s="58">
        <v>3975</v>
      </c>
      <c r="F5577" s="58"/>
      <c r="G5577" s="58">
        <f t="shared" ref="G5577:G5640" si="91">F5577-E5577</f>
        <v>-3975</v>
      </c>
      <c r="H5577" s="121" t="s">
        <v>3718</v>
      </c>
    </row>
    <row r="5578" spans="1:8" ht="15" customHeight="1" x14ac:dyDescent="0.2">
      <c r="A5578" s="597">
        <v>43329</v>
      </c>
      <c r="B5578" s="41" t="s">
        <v>3733</v>
      </c>
      <c r="C5578" s="63" t="s">
        <v>3145</v>
      </c>
      <c r="D5578" s="108" t="s">
        <v>3987</v>
      </c>
      <c r="E5578" s="58">
        <v>4535</v>
      </c>
      <c r="F5578" s="58"/>
      <c r="G5578" s="58">
        <f t="shared" si="91"/>
        <v>-4535</v>
      </c>
      <c r="H5578" s="121" t="s">
        <v>3718</v>
      </c>
    </row>
    <row r="5579" spans="1:8" ht="15" customHeight="1" x14ac:dyDescent="0.2">
      <c r="A5579" s="597">
        <v>43329</v>
      </c>
      <c r="B5579" s="41" t="s">
        <v>3622</v>
      </c>
      <c r="C5579" s="63" t="s">
        <v>794</v>
      </c>
      <c r="D5579" s="108" t="s">
        <v>3988</v>
      </c>
      <c r="E5579" s="58">
        <v>28000</v>
      </c>
      <c r="F5579" s="58"/>
      <c r="G5579" s="58">
        <f t="shared" si="91"/>
        <v>-28000</v>
      </c>
      <c r="H5579" s="121" t="s">
        <v>3718</v>
      </c>
    </row>
    <row r="5580" spans="1:8" ht="15" customHeight="1" x14ac:dyDescent="0.2">
      <c r="A5580" s="597">
        <v>43329</v>
      </c>
      <c r="B5580" s="41" t="s">
        <v>2652</v>
      </c>
      <c r="C5580" s="63" t="s">
        <v>3989</v>
      </c>
      <c r="D5580" s="108" t="s">
        <v>370</v>
      </c>
      <c r="E5580" s="58">
        <v>2500</v>
      </c>
      <c r="F5580" s="58"/>
      <c r="G5580" s="58">
        <f t="shared" si="91"/>
        <v>-2500</v>
      </c>
      <c r="H5580" s="121" t="s">
        <v>3718</v>
      </c>
    </row>
    <row r="5581" spans="1:8" ht="15" customHeight="1" x14ac:dyDescent="0.2">
      <c r="A5581" s="597">
        <v>43329</v>
      </c>
      <c r="B5581" s="41" t="s">
        <v>18</v>
      </c>
      <c r="C5581" s="63" t="s">
        <v>3145</v>
      </c>
      <c r="D5581" s="108" t="s">
        <v>3990</v>
      </c>
      <c r="E5581" s="58">
        <v>21700</v>
      </c>
      <c r="F5581" s="58"/>
      <c r="G5581" s="58">
        <f t="shared" si="91"/>
        <v>-21700</v>
      </c>
      <c r="H5581" s="121" t="s">
        <v>3718</v>
      </c>
    </row>
    <row r="5582" spans="1:8" ht="15" customHeight="1" x14ac:dyDescent="0.2">
      <c r="A5582" s="597">
        <v>43329</v>
      </c>
      <c r="B5582" s="41" t="s">
        <v>3733</v>
      </c>
      <c r="C5582" s="63" t="s">
        <v>3145</v>
      </c>
      <c r="D5582" s="108" t="s">
        <v>1228</v>
      </c>
      <c r="E5582" s="58">
        <v>450</v>
      </c>
      <c r="F5582" s="58"/>
      <c r="G5582" s="58">
        <f t="shared" si="91"/>
        <v>-450</v>
      </c>
      <c r="H5582" s="121" t="s">
        <v>3718</v>
      </c>
    </row>
    <row r="5583" spans="1:8" ht="15" customHeight="1" x14ac:dyDescent="0.2">
      <c r="A5583" s="597">
        <v>43329</v>
      </c>
      <c r="B5583" s="41" t="s">
        <v>2933</v>
      </c>
      <c r="C5583" s="63" t="s">
        <v>3145</v>
      </c>
      <c r="D5583" s="108" t="s">
        <v>3253</v>
      </c>
      <c r="E5583" s="58">
        <v>3100</v>
      </c>
      <c r="F5583" s="58"/>
      <c r="G5583" s="58">
        <f t="shared" si="91"/>
        <v>-3100</v>
      </c>
      <c r="H5583" s="121" t="s">
        <v>3718</v>
      </c>
    </row>
    <row r="5584" spans="1:8" ht="15" customHeight="1" x14ac:dyDescent="0.2">
      <c r="A5584" s="597">
        <v>43332</v>
      </c>
      <c r="B5584" s="41" t="s">
        <v>2652</v>
      </c>
      <c r="C5584" s="63" t="s">
        <v>3145</v>
      </c>
      <c r="D5584" s="108" t="s">
        <v>3797</v>
      </c>
      <c r="E5584" s="58">
        <v>2800</v>
      </c>
      <c r="F5584" s="58"/>
      <c r="G5584" s="58">
        <f t="shared" si="91"/>
        <v>-2800</v>
      </c>
      <c r="H5584" s="121" t="s">
        <v>3718</v>
      </c>
    </row>
    <row r="5585" spans="1:8" ht="15" customHeight="1" x14ac:dyDescent="0.2">
      <c r="A5585" s="597">
        <v>43337</v>
      </c>
      <c r="B5585" s="41" t="s">
        <v>1400</v>
      </c>
      <c r="C5585" s="63" t="s">
        <v>3145</v>
      </c>
      <c r="D5585" s="108" t="s">
        <v>3977</v>
      </c>
      <c r="E5585" s="58">
        <v>11400</v>
      </c>
      <c r="F5585" s="58"/>
      <c r="G5585" s="58">
        <f t="shared" si="91"/>
        <v>-11400</v>
      </c>
      <c r="H5585" s="121" t="s">
        <v>3718</v>
      </c>
    </row>
    <row r="5586" spans="1:8" ht="15" customHeight="1" x14ac:dyDescent="0.2">
      <c r="A5586" s="597">
        <v>43337</v>
      </c>
      <c r="B5586" s="41" t="s">
        <v>25</v>
      </c>
      <c r="C5586" s="63" t="s">
        <v>1894</v>
      </c>
      <c r="D5586" s="108" t="s">
        <v>3992</v>
      </c>
      <c r="E5586" s="58">
        <v>13998</v>
      </c>
      <c r="F5586" s="58"/>
      <c r="G5586" s="58">
        <f t="shared" si="91"/>
        <v>-13998</v>
      </c>
      <c r="H5586" s="121" t="s">
        <v>3718</v>
      </c>
    </row>
    <row r="5587" spans="1:8" ht="15" customHeight="1" x14ac:dyDescent="0.2">
      <c r="A5587" s="597">
        <v>43337</v>
      </c>
      <c r="B5587" s="41" t="s">
        <v>1400</v>
      </c>
      <c r="C5587" s="63" t="s">
        <v>3145</v>
      </c>
      <c r="D5587" s="108" t="s">
        <v>3993</v>
      </c>
      <c r="E5587" s="58">
        <v>108680</v>
      </c>
      <c r="F5587" s="58"/>
      <c r="G5587" s="58">
        <f t="shared" si="91"/>
        <v>-108680</v>
      </c>
      <c r="H5587" s="121" t="s">
        <v>3718</v>
      </c>
    </row>
    <row r="5588" spans="1:8" ht="15" customHeight="1" x14ac:dyDescent="0.2">
      <c r="A5588" s="597">
        <v>43339</v>
      </c>
      <c r="B5588" s="41" t="s">
        <v>2933</v>
      </c>
      <c r="C5588" s="63" t="s">
        <v>3145</v>
      </c>
      <c r="D5588" s="108" t="s">
        <v>3994</v>
      </c>
      <c r="E5588" s="58">
        <v>24990</v>
      </c>
      <c r="F5588" s="58"/>
      <c r="G5588" s="58">
        <f t="shared" si="91"/>
        <v>-24990</v>
      </c>
      <c r="H5588" s="121" t="s">
        <v>3718</v>
      </c>
    </row>
    <row r="5589" spans="1:8" ht="15" customHeight="1" x14ac:dyDescent="0.2">
      <c r="A5589" s="597">
        <v>43339</v>
      </c>
      <c r="B5589" s="41" t="s">
        <v>2652</v>
      </c>
      <c r="C5589" s="63" t="s">
        <v>3145</v>
      </c>
      <c r="D5589" s="108" t="s">
        <v>3994</v>
      </c>
      <c r="E5589" s="58">
        <v>3040</v>
      </c>
      <c r="F5589" s="58"/>
      <c r="G5589" s="58">
        <f t="shared" si="91"/>
        <v>-3040</v>
      </c>
      <c r="H5589" s="121" t="s">
        <v>3718</v>
      </c>
    </row>
    <row r="5590" spans="1:8" ht="15" customHeight="1" x14ac:dyDescent="0.2">
      <c r="A5590" s="597">
        <v>43340</v>
      </c>
      <c r="B5590" s="41" t="s">
        <v>2933</v>
      </c>
      <c r="C5590" s="63" t="s">
        <v>3149</v>
      </c>
      <c r="D5590" s="108" t="s">
        <v>3369</v>
      </c>
      <c r="E5590" s="58">
        <v>420</v>
      </c>
      <c r="F5590" s="58"/>
      <c r="G5590" s="58">
        <f t="shared" si="91"/>
        <v>-420</v>
      </c>
      <c r="H5590" s="121" t="s">
        <v>3718</v>
      </c>
    </row>
    <row r="5591" spans="1:8" ht="15" customHeight="1" x14ac:dyDescent="0.2">
      <c r="A5591" s="597">
        <v>43340</v>
      </c>
      <c r="B5591" s="41" t="s">
        <v>2933</v>
      </c>
      <c r="C5591" s="63" t="s">
        <v>3149</v>
      </c>
      <c r="D5591" s="108" t="s">
        <v>3369</v>
      </c>
      <c r="E5591" s="58">
        <v>470</v>
      </c>
      <c r="F5591" s="58"/>
      <c r="G5591" s="58">
        <f t="shared" si="91"/>
        <v>-470</v>
      </c>
      <c r="H5591" s="121" t="s">
        <v>3718</v>
      </c>
    </row>
    <row r="5592" spans="1:8" ht="15" customHeight="1" x14ac:dyDescent="0.2">
      <c r="A5592" s="597">
        <v>43340</v>
      </c>
      <c r="B5592" s="41" t="s">
        <v>2933</v>
      </c>
      <c r="C5592" s="63" t="s">
        <v>3149</v>
      </c>
      <c r="D5592" s="108" t="s">
        <v>3369</v>
      </c>
      <c r="E5592" s="58">
        <v>980</v>
      </c>
      <c r="F5592" s="58"/>
      <c r="G5592" s="58">
        <f t="shared" si="91"/>
        <v>-980</v>
      </c>
      <c r="H5592" s="121" t="s">
        <v>3718</v>
      </c>
    </row>
    <row r="5593" spans="1:8" ht="15" customHeight="1" x14ac:dyDescent="0.2">
      <c r="A5593" s="597">
        <v>43341</v>
      </c>
      <c r="B5593" s="41" t="s">
        <v>2652</v>
      </c>
      <c r="C5593" s="63" t="s">
        <v>3145</v>
      </c>
      <c r="D5593" s="108" t="s">
        <v>3995</v>
      </c>
      <c r="E5593" s="58">
        <v>5000</v>
      </c>
      <c r="F5593" s="58"/>
      <c r="G5593" s="58">
        <f t="shared" si="91"/>
        <v>-5000</v>
      </c>
      <c r="H5593" s="121" t="s">
        <v>3718</v>
      </c>
    </row>
    <row r="5594" spans="1:8" ht="15" customHeight="1" x14ac:dyDescent="0.2">
      <c r="A5594" s="597">
        <v>43341</v>
      </c>
      <c r="B5594" s="41" t="s">
        <v>3733</v>
      </c>
      <c r="C5594" s="63" t="s">
        <v>3145</v>
      </c>
      <c r="D5594" s="108" t="s">
        <v>3787</v>
      </c>
      <c r="E5594" s="58">
        <v>2300</v>
      </c>
      <c r="F5594" s="58"/>
      <c r="G5594" s="58">
        <f t="shared" si="91"/>
        <v>-2300</v>
      </c>
      <c r="H5594" s="121" t="s">
        <v>3718</v>
      </c>
    </row>
    <row r="5595" spans="1:8" ht="15" customHeight="1" x14ac:dyDescent="0.2">
      <c r="A5595" s="597">
        <v>43341</v>
      </c>
      <c r="B5595" s="41" t="s">
        <v>1400</v>
      </c>
      <c r="C5595" s="63" t="s">
        <v>3145</v>
      </c>
      <c r="D5595" s="108" t="s">
        <v>3996</v>
      </c>
      <c r="E5595" s="58">
        <v>10470</v>
      </c>
      <c r="F5595" s="58"/>
      <c r="G5595" s="58">
        <f t="shared" si="91"/>
        <v>-10470</v>
      </c>
      <c r="H5595" s="121" t="s">
        <v>3718</v>
      </c>
    </row>
    <row r="5596" spans="1:8" ht="15" customHeight="1" x14ac:dyDescent="0.2">
      <c r="A5596" s="597">
        <v>43341</v>
      </c>
      <c r="B5596" s="41" t="s">
        <v>2652</v>
      </c>
      <c r="C5596" s="63" t="s">
        <v>3145</v>
      </c>
      <c r="D5596" s="108" t="s">
        <v>3997</v>
      </c>
      <c r="E5596" s="58">
        <v>3400</v>
      </c>
      <c r="F5596" s="58"/>
      <c r="G5596" s="58">
        <f t="shared" si="91"/>
        <v>-3400</v>
      </c>
      <c r="H5596" s="121" t="s">
        <v>3718</v>
      </c>
    </row>
    <row r="5597" spans="1:8" ht="15" customHeight="1" x14ac:dyDescent="0.2">
      <c r="A5597" s="597">
        <v>43341</v>
      </c>
      <c r="B5597" s="41" t="s">
        <v>3622</v>
      </c>
      <c r="C5597" s="63" t="s">
        <v>3145</v>
      </c>
      <c r="D5597" s="108" t="s">
        <v>3997</v>
      </c>
      <c r="E5597" s="58">
        <v>3400</v>
      </c>
      <c r="F5597" s="58"/>
      <c r="G5597" s="58">
        <f t="shared" si="91"/>
        <v>-3400</v>
      </c>
      <c r="H5597" s="121" t="s">
        <v>3718</v>
      </c>
    </row>
    <row r="5598" spans="1:8" ht="15" customHeight="1" x14ac:dyDescent="0.2">
      <c r="A5598" s="597">
        <v>43343</v>
      </c>
      <c r="B5598" s="41" t="s">
        <v>2652</v>
      </c>
      <c r="C5598" s="63" t="s">
        <v>392</v>
      </c>
      <c r="D5598" s="108" t="s">
        <v>3998</v>
      </c>
      <c r="E5598" s="58">
        <v>2400</v>
      </c>
      <c r="F5598" s="58"/>
      <c r="G5598" s="58">
        <f t="shared" si="91"/>
        <v>-2400</v>
      </c>
      <c r="H5598" s="121" t="s">
        <v>3718</v>
      </c>
    </row>
    <row r="5599" spans="1:8" ht="15" customHeight="1" x14ac:dyDescent="0.2">
      <c r="A5599" s="597">
        <v>43343</v>
      </c>
      <c r="B5599" s="41" t="s">
        <v>3733</v>
      </c>
      <c r="C5599" s="63" t="s">
        <v>3145</v>
      </c>
      <c r="D5599" s="108" t="s">
        <v>3999</v>
      </c>
      <c r="E5599" s="58">
        <v>19800</v>
      </c>
      <c r="F5599" s="58"/>
      <c r="G5599" s="58">
        <f t="shared" si="91"/>
        <v>-19800</v>
      </c>
      <c r="H5599" s="121" t="s">
        <v>3718</v>
      </c>
    </row>
    <row r="5600" spans="1:8" ht="15" customHeight="1" x14ac:dyDescent="0.2">
      <c r="A5600" s="597">
        <v>43343</v>
      </c>
      <c r="B5600" s="41" t="s">
        <v>3733</v>
      </c>
      <c r="C5600" s="63" t="s">
        <v>3145</v>
      </c>
      <c r="D5600" s="108" t="s">
        <v>3787</v>
      </c>
      <c r="E5600" s="58">
        <v>13020</v>
      </c>
      <c r="F5600" s="58"/>
      <c r="G5600" s="58">
        <f t="shared" si="91"/>
        <v>-13020</v>
      </c>
      <c r="H5600" s="121" t="s">
        <v>3718</v>
      </c>
    </row>
    <row r="5601" spans="1:8" ht="15" customHeight="1" x14ac:dyDescent="0.2">
      <c r="A5601" s="597">
        <v>43343</v>
      </c>
      <c r="B5601" s="41" t="s">
        <v>2652</v>
      </c>
      <c r="C5601" s="63" t="s">
        <v>3145</v>
      </c>
      <c r="D5601" s="108" t="s">
        <v>4000</v>
      </c>
      <c r="E5601" s="58">
        <v>10000</v>
      </c>
      <c r="F5601" s="58"/>
      <c r="G5601" s="58">
        <f t="shared" si="91"/>
        <v>-10000</v>
      </c>
      <c r="H5601" s="121" t="s">
        <v>3718</v>
      </c>
    </row>
    <row r="5602" spans="1:8" ht="15" customHeight="1" x14ac:dyDescent="0.2">
      <c r="A5602" s="597">
        <v>43343</v>
      </c>
      <c r="B5602" s="41" t="s">
        <v>1400</v>
      </c>
      <c r="C5602" s="63" t="s">
        <v>3145</v>
      </c>
      <c r="D5602" s="108" t="s">
        <v>4001</v>
      </c>
      <c r="E5602" s="58">
        <v>6300</v>
      </c>
      <c r="F5602" s="58"/>
      <c r="G5602" s="58">
        <f t="shared" si="91"/>
        <v>-6300</v>
      </c>
      <c r="H5602" s="121" t="s">
        <v>3718</v>
      </c>
    </row>
    <row r="5603" spans="1:8" ht="15" customHeight="1" x14ac:dyDescent="0.2">
      <c r="A5603" s="597">
        <v>43343</v>
      </c>
      <c r="B5603" s="41" t="s">
        <v>3622</v>
      </c>
      <c r="C5603" s="63" t="s">
        <v>3145</v>
      </c>
      <c r="D5603" s="108" t="s">
        <v>4002</v>
      </c>
      <c r="E5603" s="58">
        <v>24990</v>
      </c>
      <c r="F5603" s="58"/>
      <c r="G5603" s="58">
        <f t="shared" si="91"/>
        <v>-24990</v>
      </c>
      <c r="H5603" s="121" t="s">
        <v>3718</v>
      </c>
    </row>
    <row r="5604" spans="1:8" ht="15" customHeight="1" x14ac:dyDescent="0.2">
      <c r="A5604" s="597">
        <v>43343</v>
      </c>
      <c r="B5604" s="41" t="s">
        <v>2652</v>
      </c>
      <c r="C5604" s="63" t="s">
        <v>3145</v>
      </c>
      <c r="D5604" s="108" t="s">
        <v>4003</v>
      </c>
      <c r="E5604" s="58">
        <v>5810</v>
      </c>
      <c r="F5604" s="58"/>
      <c r="G5604" s="58">
        <f t="shared" si="91"/>
        <v>-5810</v>
      </c>
      <c r="H5604" s="121" t="s">
        <v>3718</v>
      </c>
    </row>
    <row r="5605" spans="1:8" ht="15" customHeight="1" x14ac:dyDescent="0.2">
      <c r="A5605" s="597">
        <v>43343</v>
      </c>
      <c r="B5605" s="41" t="s">
        <v>16</v>
      </c>
      <c r="C5605" s="63" t="s">
        <v>3145</v>
      </c>
      <c r="D5605" s="108" t="s">
        <v>4004</v>
      </c>
      <c r="E5605" s="58">
        <v>3954</v>
      </c>
      <c r="F5605" s="58"/>
      <c r="G5605" s="58">
        <f t="shared" si="91"/>
        <v>-3954</v>
      </c>
      <c r="H5605" s="121" t="s">
        <v>3718</v>
      </c>
    </row>
    <row r="5606" spans="1:8" ht="15" customHeight="1" x14ac:dyDescent="0.2">
      <c r="A5606" s="604">
        <v>43314</v>
      </c>
      <c r="B5606" s="174" t="s">
        <v>2787</v>
      </c>
      <c r="C5606" s="174" t="s">
        <v>3676</v>
      </c>
      <c r="D5606" s="118" t="s">
        <v>3727</v>
      </c>
      <c r="E5606" s="236">
        <v>25000</v>
      </c>
      <c r="F5606" s="236"/>
      <c r="G5606" s="236">
        <f t="shared" si="91"/>
        <v>-25000</v>
      </c>
      <c r="H5606" s="260" t="s">
        <v>3718</v>
      </c>
    </row>
    <row r="5607" spans="1:8" ht="15" customHeight="1" x14ac:dyDescent="0.2">
      <c r="A5607" s="604">
        <v>43316</v>
      </c>
      <c r="B5607" s="174" t="s">
        <v>3622</v>
      </c>
      <c r="C5607" s="174" t="s">
        <v>3772</v>
      </c>
      <c r="D5607" s="118" t="s">
        <v>3730</v>
      </c>
      <c r="E5607" s="236">
        <v>100000</v>
      </c>
      <c r="F5607" s="236"/>
      <c r="G5607" s="236">
        <f t="shared" si="91"/>
        <v>-100000</v>
      </c>
      <c r="H5607" s="260" t="s">
        <v>3718</v>
      </c>
    </row>
    <row r="5608" spans="1:8" ht="15" customHeight="1" x14ac:dyDescent="0.2">
      <c r="A5608" s="604">
        <v>43314</v>
      </c>
      <c r="B5608" s="174" t="s">
        <v>2787</v>
      </c>
      <c r="C5608" s="174" t="s">
        <v>3011</v>
      </c>
      <c r="D5608" s="118" t="s">
        <v>3731</v>
      </c>
      <c r="E5608" s="236">
        <v>90000</v>
      </c>
      <c r="F5608" s="236"/>
      <c r="G5608" s="236">
        <f t="shared" si="91"/>
        <v>-90000</v>
      </c>
      <c r="H5608" s="260" t="s">
        <v>3718</v>
      </c>
    </row>
    <row r="5609" spans="1:8" ht="24" customHeight="1" x14ac:dyDescent="0.2">
      <c r="A5609" s="604">
        <v>43314</v>
      </c>
      <c r="B5609" s="174" t="s">
        <v>2652</v>
      </c>
      <c r="C5609" s="174" t="s">
        <v>1803</v>
      </c>
      <c r="D5609" s="118" t="s">
        <v>3719</v>
      </c>
      <c r="E5609" s="236">
        <v>1470000</v>
      </c>
      <c r="F5609" s="236"/>
      <c r="G5609" s="236">
        <f t="shared" si="91"/>
        <v>-1470000</v>
      </c>
      <c r="H5609" s="260" t="s">
        <v>3718</v>
      </c>
    </row>
    <row r="5610" spans="1:8" ht="15" customHeight="1" x14ac:dyDescent="0.2">
      <c r="A5610" s="604">
        <v>43317</v>
      </c>
      <c r="B5610" s="174" t="s">
        <v>2787</v>
      </c>
      <c r="C5610" s="174" t="s">
        <v>251</v>
      </c>
      <c r="D5610" s="118" t="s">
        <v>3732</v>
      </c>
      <c r="E5610" s="236">
        <v>35000</v>
      </c>
      <c r="F5610" s="236"/>
      <c r="G5610" s="236">
        <f t="shared" si="91"/>
        <v>-35000</v>
      </c>
      <c r="H5610" s="260" t="s">
        <v>3718</v>
      </c>
    </row>
    <row r="5611" spans="1:8" ht="15" x14ac:dyDescent="0.2">
      <c r="A5611" s="604">
        <v>43318</v>
      </c>
      <c r="B5611" s="174" t="s">
        <v>2787</v>
      </c>
      <c r="C5611" s="174" t="s">
        <v>3446</v>
      </c>
      <c r="D5611" s="118" t="s">
        <v>3734</v>
      </c>
      <c r="E5611" s="236">
        <v>20000</v>
      </c>
      <c r="F5611" s="236"/>
      <c r="G5611" s="236">
        <f t="shared" si="91"/>
        <v>-20000</v>
      </c>
      <c r="H5611" s="260" t="s">
        <v>3718</v>
      </c>
    </row>
    <row r="5612" spans="1:8" ht="24" x14ac:dyDescent="0.2">
      <c r="A5612" s="604">
        <v>43319</v>
      </c>
      <c r="B5612" s="174" t="s">
        <v>3733</v>
      </c>
      <c r="C5612" s="174" t="s">
        <v>3735</v>
      </c>
      <c r="D5612" s="118" t="s">
        <v>3736</v>
      </c>
      <c r="E5612" s="236">
        <v>80000</v>
      </c>
      <c r="F5612" s="236"/>
      <c r="G5612" s="236">
        <f t="shared" si="91"/>
        <v>-80000</v>
      </c>
      <c r="H5612" s="260" t="s">
        <v>3718</v>
      </c>
    </row>
    <row r="5613" spans="1:8" ht="15" x14ac:dyDescent="0.2">
      <c r="A5613" s="604">
        <v>43319</v>
      </c>
      <c r="B5613" s="174" t="s">
        <v>2787</v>
      </c>
      <c r="C5613" s="174" t="s">
        <v>2586</v>
      </c>
      <c r="D5613" s="118" t="s">
        <v>3737</v>
      </c>
      <c r="E5613" s="236">
        <v>250000</v>
      </c>
      <c r="F5613" s="236"/>
      <c r="G5613" s="236">
        <f t="shared" si="91"/>
        <v>-250000</v>
      </c>
      <c r="H5613" s="260" t="s">
        <v>3718</v>
      </c>
    </row>
    <row r="5614" spans="1:8" ht="15" x14ac:dyDescent="0.2">
      <c r="A5614" s="604">
        <v>43319</v>
      </c>
      <c r="B5614" s="174" t="s">
        <v>3733</v>
      </c>
      <c r="C5614" s="174" t="s">
        <v>1543</v>
      </c>
      <c r="D5614" s="118" t="s">
        <v>3738</v>
      </c>
      <c r="E5614" s="236">
        <v>100000</v>
      </c>
      <c r="F5614" s="236"/>
      <c r="G5614" s="236">
        <f t="shared" si="91"/>
        <v>-100000</v>
      </c>
      <c r="H5614" s="260" t="s">
        <v>3718</v>
      </c>
    </row>
    <row r="5615" spans="1:8" ht="36" x14ac:dyDescent="0.2">
      <c r="A5615" s="604">
        <v>43320</v>
      </c>
      <c r="B5615" s="174" t="s">
        <v>2548</v>
      </c>
      <c r="C5615" s="174" t="s">
        <v>2819</v>
      </c>
      <c r="D5615" s="118" t="s">
        <v>3744</v>
      </c>
      <c r="E5615" s="236">
        <v>35380</v>
      </c>
      <c r="F5615" s="236"/>
      <c r="G5615" s="236">
        <f t="shared" si="91"/>
        <v>-35380</v>
      </c>
      <c r="H5615" s="260" t="s">
        <v>3718</v>
      </c>
    </row>
    <row r="5616" spans="1:8" ht="15" x14ac:dyDescent="0.2">
      <c r="A5616" s="604">
        <v>43320</v>
      </c>
      <c r="B5616" s="174" t="s">
        <v>2933</v>
      </c>
      <c r="C5616" s="174" t="s">
        <v>2196</v>
      </c>
      <c r="D5616" s="118" t="s">
        <v>3721</v>
      </c>
      <c r="E5616" s="236">
        <v>300000</v>
      </c>
      <c r="F5616" s="236"/>
      <c r="G5616" s="236">
        <f t="shared" si="91"/>
        <v>-300000</v>
      </c>
      <c r="H5616" s="260" t="s">
        <v>3718</v>
      </c>
    </row>
    <row r="5617" spans="1:9" ht="15" x14ac:dyDescent="0.2">
      <c r="A5617" s="604">
        <v>43320</v>
      </c>
      <c r="B5617" s="174" t="s">
        <v>2787</v>
      </c>
      <c r="C5617" s="174" t="s">
        <v>2196</v>
      </c>
      <c r="D5617" s="118" t="s">
        <v>3722</v>
      </c>
      <c r="E5617" s="236">
        <v>100000</v>
      </c>
      <c r="F5617" s="236"/>
      <c r="G5617" s="236">
        <f t="shared" si="91"/>
        <v>-100000</v>
      </c>
      <c r="H5617" s="260" t="s">
        <v>3718</v>
      </c>
    </row>
    <row r="5618" spans="1:9" ht="24" x14ac:dyDescent="0.2">
      <c r="A5618" s="604">
        <v>43320</v>
      </c>
      <c r="B5618" s="174" t="s">
        <v>2933</v>
      </c>
      <c r="C5618" s="174" t="s">
        <v>2238</v>
      </c>
      <c r="D5618" s="118" t="s">
        <v>3739</v>
      </c>
      <c r="E5618" s="236">
        <v>15000</v>
      </c>
      <c r="F5618" s="236"/>
      <c r="G5618" s="236">
        <f t="shared" si="91"/>
        <v>-15000</v>
      </c>
      <c r="H5618" s="260" t="s">
        <v>3718</v>
      </c>
    </row>
    <row r="5619" spans="1:9" ht="15" x14ac:dyDescent="0.2">
      <c r="A5619" s="604">
        <v>43320</v>
      </c>
      <c r="B5619" s="174" t="s">
        <v>2933</v>
      </c>
      <c r="C5619" s="174" t="s">
        <v>3085</v>
      </c>
      <c r="D5619" s="118" t="s">
        <v>3740</v>
      </c>
      <c r="E5619" s="236">
        <v>120000</v>
      </c>
      <c r="F5619" s="236"/>
      <c r="G5619" s="236">
        <f t="shared" si="91"/>
        <v>-120000</v>
      </c>
      <c r="H5619" s="260" t="s">
        <v>3718</v>
      </c>
    </row>
    <row r="5620" spans="1:9" ht="15" x14ac:dyDescent="0.2">
      <c r="A5620" s="604">
        <v>43320</v>
      </c>
      <c r="B5620" s="174" t="s">
        <v>2787</v>
      </c>
      <c r="C5620" s="174" t="s">
        <v>3275</v>
      </c>
      <c r="D5620" s="118" t="s">
        <v>3741</v>
      </c>
      <c r="E5620" s="236">
        <v>16000</v>
      </c>
      <c r="F5620" s="236"/>
      <c r="G5620" s="236">
        <f t="shared" si="91"/>
        <v>-16000</v>
      </c>
      <c r="H5620" s="260" t="s">
        <v>3718</v>
      </c>
    </row>
    <row r="5621" spans="1:9" ht="15" x14ac:dyDescent="0.2">
      <c r="A5621" s="604">
        <v>43320</v>
      </c>
      <c r="B5621" s="174" t="s">
        <v>1400</v>
      </c>
      <c r="C5621" s="174" t="s">
        <v>3145</v>
      </c>
      <c r="D5621" s="118" t="s">
        <v>3742</v>
      </c>
      <c r="E5621" s="236">
        <v>37500</v>
      </c>
      <c r="F5621" s="236"/>
      <c r="G5621" s="236">
        <f t="shared" si="91"/>
        <v>-37500</v>
      </c>
      <c r="H5621" s="260" t="s">
        <v>3718</v>
      </c>
    </row>
    <row r="5622" spans="1:9" ht="24" x14ac:dyDescent="0.2">
      <c r="A5622" s="604">
        <v>43323</v>
      </c>
      <c r="B5622" s="174" t="s">
        <v>2933</v>
      </c>
      <c r="C5622" s="174" t="s">
        <v>3285</v>
      </c>
      <c r="D5622" s="118" t="s">
        <v>3743</v>
      </c>
      <c r="E5622" s="236">
        <v>713941</v>
      </c>
      <c r="F5622" s="236"/>
      <c r="G5622" s="236">
        <f t="shared" si="91"/>
        <v>-713941</v>
      </c>
      <c r="H5622" s="260" t="s">
        <v>3718</v>
      </c>
    </row>
    <row r="5623" spans="1:9" ht="24" x14ac:dyDescent="0.2">
      <c r="A5623" s="604">
        <v>43323</v>
      </c>
      <c r="B5623" s="174" t="s">
        <v>3622</v>
      </c>
      <c r="C5623" s="174" t="s">
        <v>3285</v>
      </c>
      <c r="D5623" s="118" t="s">
        <v>3743</v>
      </c>
      <c r="E5623" s="236">
        <v>62386</v>
      </c>
      <c r="F5623" s="236"/>
      <c r="G5623" s="236">
        <f t="shared" si="91"/>
        <v>-62386</v>
      </c>
      <c r="H5623" s="260" t="s">
        <v>3718</v>
      </c>
    </row>
    <row r="5624" spans="1:9" ht="15" x14ac:dyDescent="0.2">
      <c r="A5624" s="604">
        <v>43323</v>
      </c>
      <c r="B5624" s="174" t="s">
        <v>1400</v>
      </c>
      <c r="C5624" s="174" t="s">
        <v>166</v>
      </c>
      <c r="D5624" s="118" t="s">
        <v>3745</v>
      </c>
      <c r="E5624" s="236">
        <v>212538</v>
      </c>
      <c r="F5624" s="236"/>
      <c r="G5624" s="236">
        <f t="shared" si="91"/>
        <v>-212538</v>
      </c>
      <c r="H5624" s="260" t="s">
        <v>3718</v>
      </c>
    </row>
    <row r="5625" spans="1:9" ht="15" x14ac:dyDescent="0.2">
      <c r="A5625" s="604">
        <v>43320</v>
      </c>
      <c r="B5625" s="174" t="s">
        <v>2933</v>
      </c>
      <c r="C5625" s="174" t="s">
        <v>3707</v>
      </c>
      <c r="D5625" s="118" t="s">
        <v>3723</v>
      </c>
      <c r="E5625" s="236">
        <v>300000</v>
      </c>
      <c r="F5625" s="236"/>
      <c r="G5625" s="236">
        <f t="shared" si="91"/>
        <v>-300000</v>
      </c>
      <c r="H5625" s="260" t="s">
        <v>3718</v>
      </c>
    </row>
    <row r="5626" spans="1:9" ht="24" x14ac:dyDescent="0.2">
      <c r="A5626" s="615">
        <v>43320</v>
      </c>
      <c r="B5626" s="271" t="s">
        <v>2787</v>
      </c>
      <c r="C5626" s="271" t="s">
        <v>165</v>
      </c>
      <c r="D5626" s="811" t="s">
        <v>3724</v>
      </c>
      <c r="E5626" s="272">
        <v>-32303</v>
      </c>
      <c r="F5626" s="272"/>
      <c r="G5626" s="272">
        <f t="shared" si="91"/>
        <v>32303</v>
      </c>
      <c r="H5626" s="273" t="s">
        <v>3718</v>
      </c>
    </row>
    <row r="5627" spans="1:9" ht="24" x14ac:dyDescent="0.2">
      <c r="A5627" s="615">
        <v>43320</v>
      </c>
      <c r="B5627" s="271" t="s">
        <v>2933</v>
      </c>
      <c r="C5627" s="271" t="s">
        <v>165</v>
      </c>
      <c r="D5627" s="811" t="s">
        <v>3724</v>
      </c>
      <c r="E5627" s="272">
        <v>-23397</v>
      </c>
      <c r="F5627" s="272"/>
      <c r="G5627" s="272">
        <f t="shared" si="91"/>
        <v>23397</v>
      </c>
      <c r="H5627" s="273" t="s">
        <v>3718</v>
      </c>
    </row>
    <row r="5628" spans="1:9" ht="24" x14ac:dyDescent="0.2">
      <c r="A5628" s="615">
        <v>43320</v>
      </c>
      <c r="B5628" s="271" t="s">
        <v>1400</v>
      </c>
      <c r="C5628" s="271" t="s">
        <v>165</v>
      </c>
      <c r="D5628" s="811" t="s">
        <v>3724</v>
      </c>
      <c r="E5628" s="272">
        <v>-42500</v>
      </c>
      <c r="F5628" s="272"/>
      <c r="G5628" s="272">
        <f t="shared" si="91"/>
        <v>42500</v>
      </c>
      <c r="H5628" s="273" t="s">
        <v>3718</v>
      </c>
    </row>
    <row r="5629" spans="1:9" ht="24" x14ac:dyDescent="0.2">
      <c r="A5629" s="604">
        <v>43320</v>
      </c>
      <c r="B5629" s="174" t="s">
        <v>2787</v>
      </c>
      <c r="C5629" s="174" t="s">
        <v>165</v>
      </c>
      <c r="D5629" s="118" t="s">
        <v>3749</v>
      </c>
      <c r="E5629" s="236">
        <v>46055</v>
      </c>
      <c r="F5629" s="236"/>
      <c r="G5629" s="236">
        <f t="shared" si="91"/>
        <v>-46055</v>
      </c>
      <c r="H5629" s="260" t="s">
        <v>3718</v>
      </c>
    </row>
    <row r="5630" spans="1:9" ht="24" x14ac:dyDescent="0.2">
      <c r="A5630" s="604">
        <v>43320</v>
      </c>
      <c r="B5630" s="174" t="s">
        <v>1400</v>
      </c>
      <c r="C5630" s="174" t="s">
        <v>165</v>
      </c>
      <c r="D5630" s="118" t="s">
        <v>3749</v>
      </c>
      <c r="E5630" s="236">
        <v>102000</v>
      </c>
      <c r="F5630" s="236"/>
      <c r="G5630" s="236">
        <f t="shared" si="91"/>
        <v>-102000</v>
      </c>
      <c r="H5630" s="260" t="s">
        <v>3718</v>
      </c>
    </row>
    <row r="5631" spans="1:9" ht="24" x14ac:dyDescent="0.2">
      <c r="A5631" s="604">
        <v>43323</v>
      </c>
      <c r="B5631" s="174" t="s">
        <v>1400</v>
      </c>
      <c r="C5631" s="174" t="s">
        <v>3145</v>
      </c>
      <c r="D5631" s="118" t="s">
        <v>3746</v>
      </c>
      <c r="E5631" s="236">
        <v>19100</v>
      </c>
      <c r="F5631" s="236"/>
      <c r="G5631" s="236">
        <f t="shared" si="91"/>
        <v>-19100</v>
      </c>
      <c r="H5631" s="260" t="s">
        <v>3718</v>
      </c>
      <c r="I5631" s="40"/>
    </row>
    <row r="5632" spans="1:9" ht="15" x14ac:dyDescent="0.2">
      <c r="A5632" s="604">
        <v>43325</v>
      </c>
      <c r="B5632" s="174" t="s">
        <v>3733</v>
      </c>
      <c r="C5632" s="174" t="s">
        <v>3747</v>
      </c>
      <c r="D5632" s="118" t="s">
        <v>3748</v>
      </c>
      <c r="E5632" s="236">
        <v>90000</v>
      </c>
      <c r="F5632" s="236"/>
      <c r="G5632" s="236">
        <f t="shared" si="91"/>
        <v>-90000</v>
      </c>
      <c r="H5632" s="260" t="s">
        <v>3718</v>
      </c>
      <c r="I5632" s="40"/>
    </row>
    <row r="5633" spans="1:9" ht="15" x14ac:dyDescent="0.2">
      <c r="A5633" s="604">
        <v>43325</v>
      </c>
      <c r="B5633" s="174" t="s">
        <v>2933</v>
      </c>
      <c r="C5633" s="174" t="s">
        <v>165</v>
      </c>
      <c r="D5633" s="118" t="s">
        <v>3750</v>
      </c>
      <c r="E5633" s="236">
        <v>112800</v>
      </c>
      <c r="F5633" s="236"/>
      <c r="G5633" s="236">
        <f t="shared" si="91"/>
        <v>-112800</v>
      </c>
      <c r="H5633" s="260" t="s">
        <v>3718</v>
      </c>
      <c r="I5633" s="40"/>
    </row>
    <row r="5634" spans="1:9" ht="15" x14ac:dyDescent="0.2">
      <c r="A5634" s="604">
        <v>43325</v>
      </c>
      <c r="B5634" s="174" t="s">
        <v>3622</v>
      </c>
      <c r="C5634" s="174" t="s">
        <v>165</v>
      </c>
      <c r="D5634" s="118" t="s">
        <v>3750</v>
      </c>
      <c r="E5634" s="236">
        <v>12200</v>
      </c>
      <c r="F5634" s="236"/>
      <c r="G5634" s="236">
        <f t="shared" si="91"/>
        <v>-12200</v>
      </c>
      <c r="H5634" s="260" t="s">
        <v>3718</v>
      </c>
      <c r="I5634" s="40"/>
    </row>
    <row r="5635" spans="1:9" ht="15" x14ac:dyDescent="0.2">
      <c r="A5635" s="604">
        <v>43325</v>
      </c>
      <c r="B5635" s="174" t="s">
        <v>2787</v>
      </c>
      <c r="C5635" s="174" t="s">
        <v>2586</v>
      </c>
      <c r="D5635" s="118" t="s">
        <v>3751</v>
      </c>
      <c r="E5635" s="236">
        <v>50000</v>
      </c>
      <c r="F5635" s="236"/>
      <c r="G5635" s="236">
        <f t="shared" si="91"/>
        <v>-50000</v>
      </c>
      <c r="H5635" s="260" t="s">
        <v>3718</v>
      </c>
      <c r="I5635" s="40"/>
    </row>
    <row r="5636" spans="1:9" ht="15" x14ac:dyDescent="0.2">
      <c r="A5636" s="604">
        <v>43325</v>
      </c>
      <c r="B5636" s="174" t="s">
        <v>1400</v>
      </c>
      <c r="C5636" s="174" t="s">
        <v>2819</v>
      </c>
      <c r="D5636" s="118" t="s">
        <v>3752</v>
      </c>
      <c r="E5636" s="236">
        <v>500000</v>
      </c>
      <c r="F5636" s="236"/>
      <c r="G5636" s="236">
        <f t="shared" si="91"/>
        <v>-500000</v>
      </c>
      <c r="H5636" s="260" t="s">
        <v>3718</v>
      </c>
      <c r="I5636" s="40"/>
    </row>
    <row r="5637" spans="1:9" ht="15" x14ac:dyDescent="0.2">
      <c r="A5637" s="604">
        <v>43325</v>
      </c>
      <c r="B5637" s="174" t="s">
        <v>3733</v>
      </c>
      <c r="C5637" s="174" t="s">
        <v>1543</v>
      </c>
      <c r="D5637" s="118" t="s">
        <v>3753</v>
      </c>
      <c r="E5637" s="236">
        <v>50000</v>
      </c>
      <c r="F5637" s="236"/>
      <c r="G5637" s="236">
        <f t="shared" si="91"/>
        <v>-50000</v>
      </c>
      <c r="H5637" s="260" t="s">
        <v>3718</v>
      </c>
      <c r="I5637" s="40"/>
    </row>
    <row r="5638" spans="1:9" ht="15" x14ac:dyDescent="0.2">
      <c r="A5638" s="604">
        <v>43325</v>
      </c>
      <c r="B5638" s="174" t="s">
        <v>2933</v>
      </c>
      <c r="C5638" s="174" t="s">
        <v>3112</v>
      </c>
      <c r="D5638" s="118" t="s">
        <v>3754</v>
      </c>
      <c r="E5638" s="236">
        <v>200000</v>
      </c>
      <c r="F5638" s="236"/>
      <c r="G5638" s="236">
        <f t="shared" si="91"/>
        <v>-200000</v>
      </c>
      <c r="H5638" s="260" t="s">
        <v>3718</v>
      </c>
      <c r="I5638" s="40"/>
    </row>
    <row r="5639" spans="1:9" ht="15" x14ac:dyDescent="0.2">
      <c r="A5639" s="604">
        <v>43325</v>
      </c>
      <c r="B5639" s="174" t="s">
        <v>3733</v>
      </c>
      <c r="C5639" s="174" t="s">
        <v>3755</v>
      </c>
      <c r="D5639" s="118" t="s">
        <v>3756</v>
      </c>
      <c r="E5639" s="236">
        <v>43600</v>
      </c>
      <c r="F5639" s="236"/>
      <c r="G5639" s="236">
        <f t="shared" si="91"/>
        <v>-43600</v>
      </c>
      <c r="H5639" s="260" t="s">
        <v>3718</v>
      </c>
      <c r="I5639" s="40"/>
    </row>
    <row r="5640" spans="1:9" ht="15" x14ac:dyDescent="0.2">
      <c r="A5640" s="604">
        <v>43327</v>
      </c>
      <c r="B5640" s="174" t="s">
        <v>3733</v>
      </c>
      <c r="C5640" s="174" t="s">
        <v>3747</v>
      </c>
      <c r="D5640" s="118" t="s">
        <v>3757</v>
      </c>
      <c r="E5640" s="236">
        <v>90000</v>
      </c>
      <c r="F5640" s="236"/>
      <c r="G5640" s="236">
        <f t="shared" si="91"/>
        <v>-90000</v>
      </c>
      <c r="H5640" s="260" t="s">
        <v>3718</v>
      </c>
      <c r="I5640" s="40"/>
    </row>
    <row r="5641" spans="1:9" ht="15" x14ac:dyDescent="0.2">
      <c r="A5641" s="604">
        <v>43329</v>
      </c>
      <c r="B5641" s="174" t="s">
        <v>3733</v>
      </c>
      <c r="C5641" s="174" t="s">
        <v>3033</v>
      </c>
      <c r="D5641" s="118" t="s">
        <v>3758</v>
      </c>
      <c r="E5641" s="236">
        <v>15000</v>
      </c>
      <c r="F5641" s="236"/>
      <c r="G5641" s="236">
        <f t="shared" ref="G5641:G5704" si="92">F5641-E5641</f>
        <v>-15000</v>
      </c>
      <c r="H5641" s="260" t="s">
        <v>3718</v>
      </c>
      <c r="I5641" s="40"/>
    </row>
    <row r="5642" spans="1:9" ht="15" x14ac:dyDescent="0.2">
      <c r="A5642" s="604">
        <v>43329</v>
      </c>
      <c r="B5642" s="174" t="s">
        <v>2933</v>
      </c>
      <c r="C5642" s="174" t="s">
        <v>3428</v>
      </c>
      <c r="D5642" s="118" t="s">
        <v>3759</v>
      </c>
      <c r="E5642" s="236">
        <v>75000</v>
      </c>
      <c r="F5642" s="236"/>
      <c r="G5642" s="236">
        <f t="shared" si="92"/>
        <v>-75000</v>
      </c>
      <c r="H5642" s="260" t="s">
        <v>3718</v>
      </c>
      <c r="I5642" s="40"/>
    </row>
    <row r="5643" spans="1:9" ht="15" x14ac:dyDescent="0.2">
      <c r="A5643" s="604">
        <v>43329</v>
      </c>
      <c r="B5643" s="174" t="s">
        <v>3733</v>
      </c>
      <c r="C5643" s="174" t="s">
        <v>2338</v>
      </c>
      <c r="D5643" s="118" t="s">
        <v>3760</v>
      </c>
      <c r="E5643" s="236">
        <v>45000</v>
      </c>
      <c r="F5643" s="236"/>
      <c r="G5643" s="236">
        <f t="shared" si="92"/>
        <v>-45000</v>
      </c>
      <c r="H5643" s="260" t="s">
        <v>3718</v>
      </c>
      <c r="I5643" s="40"/>
    </row>
    <row r="5644" spans="1:9" ht="15" x14ac:dyDescent="0.2">
      <c r="A5644" s="604">
        <v>43329</v>
      </c>
      <c r="B5644" s="174" t="s">
        <v>2787</v>
      </c>
      <c r="C5644" s="174" t="s">
        <v>2338</v>
      </c>
      <c r="D5644" s="118" t="s">
        <v>3760</v>
      </c>
      <c r="E5644" s="236">
        <v>55000</v>
      </c>
      <c r="F5644" s="236"/>
      <c r="G5644" s="236">
        <f t="shared" si="92"/>
        <v>-55000</v>
      </c>
      <c r="H5644" s="260" t="s">
        <v>3718</v>
      </c>
      <c r="I5644" s="40"/>
    </row>
    <row r="5645" spans="1:9" ht="24" x14ac:dyDescent="0.2">
      <c r="A5645" s="604">
        <v>43329</v>
      </c>
      <c r="B5645" s="174" t="s">
        <v>1400</v>
      </c>
      <c r="C5645" s="174" t="s">
        <v>3145</v>
      </c>
      <c r="D5645" s="118" t="s">
        <v>3761</v>
      </c>
      <c r="E5645" s="236">
        <v>30670</v>
      </c>
      <c r="F5645" s="236"/>
      <c r="G5645" s="236">
        <f t="shared" si="92"/>
        <v>-30670</v>
      </c>
      <c r="H5645" s="260" t="s">
        <v>3718</v>
      </c>
      <c r="I5645" s="40"/>
    </row>
    <row r="5646" spans="1:9" ht="15" x14ac:dyDescent="0.2">
      <c r="A5646" s="604">
        <v>43332</v>
      </c>
      <c r="B5646" s="174" t="s">
        <v>1400</v>
      </c>
      <c r="C5646" s="174" t="s">
        <v>2515</v>
      </c>
      <c r="D5646" s="118" t="s">
        <v>3769</v>
      </c>
      <c r="E5646" s="236">
        <v>110000</v>
      </c>
      <c r="F5646" s="236"/>
      <c r="G5646" s="236">
        <f t="shared" si="92"/>
        <v>-110000</v>
      </c>
      <c r="H5646" s="260" t="s">
        <v>3718</v>
      </c>
      <c r="I5646" s="40"/>
    </row>
    <row r="5647" spans="1:9" ht="15" x14ac:dyDescent="0.2">
      <c r="A5647" s="604">
        <v>43332</v>
      </c>
      <c r="B5647" s="174" t="s">
        <v>2657</v>
      </c>
      <c r="C5647" s="174" t="s">
        <v>794</v>
      </c>
      <c r="D5647" s="118" t="s">
        <v>3770</v>
      </c>
      <c r="E5647" s="236">
        <v>5000</v>
      </c>
      <c r="F5647" s="236"/>
      <c r="G5647" s="236">
        <f t="shared" si="92"/>
        <v>-5000</v>
      </c>
      <c r="H5647" s="260" t="s">
        <v>3718</v>
      </c>
      <c r="I5647" s="40"/>
    </row>
    <row r="5648" spans="1:9" ht="15" x14ac:dyDescent="0.2">
      <c r="A5648" s="604">
        <v>43332</v>
      </c>
      <c r="B5648" s="174" t="s">
        <v>2933</v>
      </c>
      <c r="C5648" s="174" t="s">
        <v>3428</v>
      </c>
      <c r="D5648" s="118" t="s">
        <v>3769</v>
      </c>
      <c r="E5648" s="236">
        <v>25000</v>
      </c>
      <c r="F5648" s="236"/>
      <c r="G5648" s="236">
        <f t="shared" si="92"/>
        <v>-25000</v>
      </c>
      <c r="H5648" s="260" t="s">
        <v>3718</v>
      </c>
      <c r="I5648" s="40"/>
    </row>
    <row r="5649" spans="1:9" ht="15" x14ac:dyDescent="0.2">
      <c r="A5649" s="604">
        <v>43332</v>
      </c>
      <c r="B5649" s="174" t="s">
        <v>2652</v>
      </c>
      <c r="C5649" s="174" t="s">
        <v>3729</v>
      </c>
      <c r="D5649" s="118" t="s">
        <v>3769</v>
      </c>
      <c r="E5649" s="236">
        <v>400000</v>
      </c>
      <c r="F5649" s="236"/>
      <c r="G5649" s="236">
        <f t="shared" si="92"/>
        <v>-400000</v>
      </c>
      <c r="H5649" s="260" t="s">
        <v>3718</v>
      </c>
      <c r="I5649" s="40"/>
    </row>
    <row r="5650" spans="1:9" ht="15" x14ac:dyDescent="0.2">
      <c r="A5650" s="604">
        <v>43332</v>
      </c>
      <c r="B5650" s="174" t="s">
        <v>3733</v>
      </c>
      <c r="C5650" s="174" t="s">
        <v>1543</v>
      </c>
      <c r="D5650" s="118" t="s">
        <v>3769</v>
      </c>
      <c r="E5650" s="236">
        <v>25000</v>
      </c>
      <c r="F5650" s="236"/>
      <c r="G5650" s="236">
        <f t="shared" si="92"/>
        <v>-25000</v>
      </c>
      <c r="H5650" s="260" t="s">
        <v>3718</v>
      </c>
      <c r="I5650" s="40"/>
    </row>
    <row r="5651" spans="1:9" ht="15" x14ac:dyDescent="0.2">
      <c r="A5651" s="604">
        <v>43332</v>
      </c>
      <c r="B5651" s="174" t="s">
        <v>1400</v>
      </c>
      <c r="C5651" s="174" t="s">
        <v>1687</v>
      </c>
      <c r="D5651" s="118" t="s">
        <v>3769</v>
      </c>
      <c r="E5651" s="236">
        <v>20000</v>
      </c>
      <c r="F5651" s="236"/>
      <c r="G5651" s="236">
        <f t="shared" si="92"/>
        <v>-20000</v>
      </c>
      <c r="H5651" s="260" t="s">
        <v>3718</v>
      </c>
      <c r="I5651" s="40"/>
    </row>
    <row r="5652" spans="1:9" ht="15" x14ac:dyDescent="0.2">
      <c r="A5652" s="604">
        <v>43332</v>
      </c>
      <c r="B5652" s="174" t="s">
        <v>2787</v>
      </c>
      <c r="C5652" s="174" t="s">
        <v>3771</v>
      </c>
      <c r="D5652" s="118" t="s">
        <v>3769</v>
      </c>
      <c r="E5652" s="236">
        <v>30000</v>
      </c>
      <c r="F5652" s="236"/>
      <c r="G5652" s="236">
        <f t="shared" si="92"/>
        <v>-30000</v>
      </c>
      <c r="H5652" s="260" t="s">
        <v>3718</v>
      </c>
      <c r="I5652" s="40"/>
    </row>
    <row r="5653" spans="1:9" ht="15" x14ac:dyDescent="0.2">
      <c r="A5653" s="604">
        <v>43332</v>
      </c>
      <c r="B5653" s="174" t="s">
        <v>25</v>
      </c>
      <c r="C5653" s="174" t="s">
        <v>1894</v>
      </c>
      <c r="D5653" s="118" t="s">
        <v>3773</v>
      </c>
      <c r="E5653" s="236">
        <v>63668</v>
      </c>
      <c r="F5653" s="236"/>
      <c r="G5653" s="236">
        <f t="shared" si="92"/>
        <v>-63668</v>
      </c>
      <c r="H5653" s="260" t="s">
        <v>3718</v>
      </c>
      <c r="I5653" s="40"/>
    </row>
    <row r="5654" spans="1:9" ht="24" x14ac:dyDescent="0.2">
      <c r="A5654" s="604">
        <v>43339</v>
      </c>
      <c r="B5654" s="174" t="s">
        <v>2652</v>
      </c>
      <c r="C5654" s="174" t="s">
        <v>3145</v>
      </c>
      <c r="D5654" s="118" t="s">
        <v>3774</v>
      </c>
      <c r="E5654" s="236">
        <v>8900</v>
      </c>
      <c r="F5654" s="236"/>
      <c r="G5654" s="236">
        <f t="shared" si="92"/>
        <v>-8900</v>
      </c>
      <c r="H5654" s="260" t="s">
        <v>3718</v>
      </c>
      <c r="I5654" s="40"/>
    </row>
    <row r="5655" spans="1:9" ht="15" x14ac:dyDescent="0.2">
      <c r="A5655" s="604">
        <v>43339</v>
      </c>
      <c r="B5655" s="174" t="s">
        <v>2787</v>
      </c>
      <c r="C5655" s="174" t="s">
        <v>3145</v>
      </c>
      <c r="D5655" s="118" t="s">
        <v>3775</v>
      </c>
      <c r="E5655" s="236">
        <v>2850</v>
      </c>
      <c r="F5655" s="236"/>
      <c r="G5655" s="236">
        <f t="shared" si="92"/>
        <v>-2850</v>
      </c>
      <c r="H5655" s="260" t="s">
        <v>3718</v>
      </c>
      <c r="I5655" s="40"/>
    </row>
    <row r="5656" spans="1:9" ht="15" x14ac:dyDescent="0.2">
      <c r="A5656" s="604">
        <v>43339</v>
      </c>
      <c r="B5656" s="174" t="s">
        <v>2933</v>
      </c>
      <c r="C5656" s="174" t="s">
        <v>3145</v>
      </c>
      <c r="D5656" s="118" t="s">
        <v>3776</v>
      </c>
      <c r="E5656" s="236">
        <v>9600</v>
      </c>
      <c r="F5656" s="236"/>
      <c r="G5656" s="236">
        <f t="shared" si="92"/>
        <v>-9600</v>
      </c>
      <c r="H5656" s="260" t="s">
        <v>3718</v>
      </c>
      <c r="I5656" s="40"/>
    </row>
    <row r="5657" spans="1:9" ht="15" x14ac:dyDescent="0.2">
      <c r="A5657" s="604">
        <v>43339</v>
      </c>
      <c r="B5657" s="174" t="s">
        <v>2787</v>
      </c>
      <c r="C5657" s="174" t="s">
        <v>3145</v>
      </c>
      <c r="D5657" s="118" t="s">
        <v>3777</v>
      </c>
      <c r="E5657" s="236">
        <f>20840/2</f>
        <v>10420</v>
      </c>
      <c r="F5657" s="236"/>
      <c r="G5657" s="236">
        <f t="shared" si="92"/>
        <v>-10420</v>
      </c>
      <c r="H5657" s="260" t="s">
        <v>3718</v>
      </c>
      <c r="I5657" s="40"/>
    </row>
    <row r="5658" spans="1:9" ht="15" x14ac:dyDescent="0.2">
      <c r="A5658" s="604">
        <v>43339</v>
      </c>
      <c r="B5658" s="174" t="s">
        <v>1400</v>
      </c>
      <c r="C5658" s="174" t="s">
        <v>3145</v>
      </c>
      <c r="D5658" s="118" t="s">
        <v>3777</v>
      </c>
      <c r="E5658" s="236">
        <f>20840/2</f>
        <v>10420</v>
      </c>
      <c r="F5658" s="236"/>
      <c r="G5658" s="236">
        <f t="shared" si="92"/>
        <v>-10420</v>
      </c>
      <c r="H5658" s="260" t="s">
        <v>3718</v>
      </c>
      <c r="I5658" s="40"/>
    </row>
    <row r="5659" spans="1:9" ht="15" x14ac:dyDescent="0.2">
      <c r="A5659" s="604">
        <v>43339</v>
      </c>
      <c r="B5659" s="174" t="s">
        <v>2933</v>
      </c>
      <c r="C5659" s="174" t="s">
        <v>716</v>
      </c>
      <c r="D5659" s="118" t="s">
        <v>3778</v>
      </c>
      <c r="E5659" s="236">
        <v>639000</v>
      </c>
      <c r="F5659" s="236"/>
      <c r="G5659" s="236">
        <f t="shared" si="92"/>
        <v>-639000</v>
      </c>
      <c r="H5659" s="260" t="s">
        <v>3718</v>
      </c>
      <c r="I5659" s="40"/>
    </row>
    <row r="5660" spans="1:9" ht="15" x14ac:dyDescent="0.2">
      <c r="A5660" s="604">
        <v>43339</v>
      </c>
      <c r="B5660" s="174" t="s">
        <v>3733</v>
      </c>
      <c r="C5660" s="174" t="s">
        <v>251</v>
      </c>
      <c r="D5660" s="118" t="s">
        <v>3517</v>
      </c>
      <c r="E5660" s="236">
        <v>15000</v>
      </c>
      <c r="F5660" s="236"/>
      <c r="G5660" s="236">
        <f t="shared" si="92"/>
        <v>-15000</v>
      </c>
      <c r="H5660" s="260" t="s">
        <v>3718</v>
      </c>
      <c r="I5660" s="40"/>
    </row>
    <row r="5661" spans="1:9" ht="15" x14ac:dyDescent="0.2">
      <c r="A5661" s="604">
        <v>43339</v>
      </c>
      <c r="B5661" s="174" t="s">
        <v>1400</v>
      </c>
      <c r="C5661" s="174" t="s">
        <v>392</v>
      </c>
      <c r="D5661" s="118" t="s">
        <v>3858</v>
      </c>
      <c r="E5661" s="236">
        <v>10000</v>
      </c>
      <c r="F5661" s="236"/>
      <c r="G5661" s="236">
        <f t="shared" si="92"/>
        <v>-10000</v>
      </c>
      <c r="H5661" s="260" t="s">
        <v>3718</v>
      </c>
      <c r="I5661" s="40"/>
    </row>
    <row r="5662" spans="1:9" ht="15" x14ac:dyDescent="0.2">
      <c r="A5662" s="604">
        <v>43340</v>
      </c>
      <c r="B5662" s="174" t="s">
        <v>2787</v>
      </c>
      <c r="C5662" s="174" t="s">
        <v>3681</v>
      </c>
      <c r="D5662" s="118" t="s">
        <v>3859</v>
      </c>
      <c r="E5662" s="236">
        <v>97000</v>
      </c>
      <c r="F5662" s="236"/>
      <c r="G5662" s="236">
        <f t="shared" si="92"/>
        <v>-97000</v>
      </c>
      <c r="H5662" s="260" t="s">
        <v>3718</v>
      </c>
      <c r="I5662" s="40"/>
    </row>
    <row r="5663" spans="1:9" ht="15" x14ac:dyDescent="0.2">
      <c r="A5663" s="604">
        <v>43342</v>
      </c>
      <c r="B5663" s="174" t="s">
        <v>2787</v>
      </c>
      <c r="C5663" s="174" t="s">
        <v>3104</v>
      </c>
      <c r="D5663" s="118" t="s">
        <v>3860</v>
      </c>
      <c r="E5663" s="236">
        <v>70000</v>
      </c>
      <c r="F5663" s="236"/>
      <c r="G5663" s="236">
        <f t="shared" si="92"/>
        <v>-70000</v>
      </c>
      <c r="H5663" s="260" t="s">
        <v>3718</v>
      </c>
      <c r="I5663" s="40"/>
    </row>
    <row r="5664" spans="1:9" ht="24" x14ac:dyDescent="0.2">
      <c r="A5664" s="604">
        <v>43342</v>
      </c>
      <c r="B5664" s="174" t="s">
        <v>2933</v>
      </c>
      <c r="C5664" s="174" t="s">
        <v>3145</v>
      </c>
      <c r="D5664" s="118" t="s">
        <v>3861</v>
      </c>
      <c r="E5664" s="236">
        <v>50365</v>
      </c>
      <c r="F5664" s="236"/>
      <c r="G5664" s="236">
        <f t="shared" si="92"/>
        <v>-50365</v>
      </c>
      <c r="H5664" s="260" t="s">
        <v>3718</v>
      </c>
      <c r="I5664" s="40"/>
    </row>
    <row r="5665" spans="1:9" ht="15" x14ac:dyDescent="0.2">
      <c r="A5665" s="604">
        <v>43342</v>
      </c>
      <c r="B5665" s="174" t="s">
        <v>1400</v>
      </c>
      <c r="C5665" s="174" t="s">
        <v>3145</v>
      </c>
      <c r="D5665" s="118" t="s">
        <v>3853</v>
      </c>
      <c r="E5665" s="236">
        <v>26000</v>
      </c>
      <c r="F5665" s="236"/>
      <c r="G5665" s="236">
        <f t="shared" si="92"/>
        <v>-26000</v>
      </c>
      <c r="H5665" s="260" t="s">
        <v>3718</v>
      </c>
      <c r="I5665" s="40"/>
    </row>
    <row r="5666" spans="1:9" ht="15" x14ac:dyDescent="0.2">
      <c r="A5666" s="604">
        <v>43342</v>
      </c>
      <c r="B5666" s="174" t="s">
        <v>3622</v>
      </c>
      <c r="C5666" s="174" t="s">
        <v>3145</v>
      </c>
      <c r="D5666" s="118" t="s">
        <v>3854</v>
      </c>
      <c r="E5666" s="236">
        <v>4800</v>
      </c>
      <c r="F5666" s="236"/>
      <c r="G5666" s="236">
        <f t="shared" si="92"/>
        <v>-4800</v>
      </c>
      <c r="H5666" s="260" t="s">
        <v>3718</v>
      </c>
      <c r="I5666" s="40"/>
    </row>
    <row r="5667" spans="1:9" ht="15" x14ac:dyDescent="0.2">
      <c r="A5667" s="604">
        <v>43343</v>
      </c>
      <c r="B5667" s="174" t="s">
        <v>2933</v>
      </c>
      <c r="C5667" s="174" t="s">
        <v>2819</v>
      </c>
      <c r="D5667" s="118" t="s">
        <v>3862</v>
      </c>
      <c r="E5667" s="236">
        <v>118000</v>
      </c>
      <c r="F5667" s="236"/>
      <c r="G5667" s="236">
        <f t="shared" si="92"/>
        <v>-118000</v>
      </c>
      <c r="H5667" s="260" t="s">
        <v>3718</v>
      </c>
      <c r="I5667" s="40"/>
    </row>
    <row r="5668" spans="1:9" ht="15" x14ac:dyDescent="0.2">
      <c r="A5668" s="604">
        <v>43343</v>
      </c>
      <c r="B5668" s="174" t="s">
        <v>1400</v>
      </c>
      <c r="C5668" s="174" t="s">
        <v>3864</v>
      </c>
      <c r="D5668" s="118" t="s">
        <v>3863</v>
      </c>
      <c r="E5668" s="236">
        <v>23800</v>
      </c>
      <c r="F5668" s="236"/>
      <c r="G5668" s="236">
        <f t="shared" si="92"/>
        <v>-23800</v>
      </c>
      <c r="H5668" s="260" t="s">
        <v>3718</v>
      </c>
      <c r="I5668" s="40"/>
    </row>
    <row r="5669" spans="1:9" ht="24" x14ac:dyDescent="0.2">
      <c r="A5669" s="599">
        <v>43315</v>
      </c>
      <c r="B5669" s="94" t="s">
        <v>1400</v>
      </c>
      <c r="C5669" s="94" t="s">
        <v>559</v>
      </c>
      <c r="D5669" s="798" t="s">
        <v>3717</v>
      </c>
      <c r="E5669" s="92"/>
      <c r="F5669" s="176">
        <v>1500000</v>
      </c>
      <c r="G5669" s="92">
        <f t="shared" si="92"/>
        <v>1500000</v>
      </c>
      <c r="H5669" s="261" t="s">
        <v>3718</v>
      </c>
    </row>
    <row r="5670" spans="1:9" ht="15" x14ac:dyDescent="0.2">
      <c r="A5670" s="599">
        <v>43332</v>
      </c>
      <c r="B5670" s="91" t="s">
        <v>18</v>
      </c>
      <c r="C5670" s="94" t="s">
        <v>559</v>
      </c>
      <c r="D5670" s="801" t="s">
        <v>1221</v>
      </c>
      <c r="E5670" s="92"/>
      <c r="F5670" s="92">
        <v>200000</v>
      </c>
      <c r="G5670" s="92">
        <f t="shared" si="92"/>
        <v>200000</v>
      </c>
      <c r="H5670" s="261" t="s">
        <v>3718</v>
      </c>
    </row>
    <row r="5671" spans="1:9" ht="24" x14ac:dyDescent="0.2">
      <c r="A5671" s="599">
        <v>43339</v>
      </c>
      <c r="B5671" s="91" t="s">
        <v>3945</v>
      </c>
      <c r="C5671" s="94" t="s">
        <v>559</v>
      </c>
      <c r="D5671" s="798" t="s">
        <v>3779</v>
      </c>
      <c r="E5671" s="92"/>
      <c r="F5671" s="92">
        <v>305250</v>
      </c>
      <c r="G5671" s="92">
        <f t="shared" si="92"/>
        <v>305250</v>
      </c>
      <c r="H5671" s="261" t="s">
        <v>3718</v>
      </c>
    </row>
    <row r="5672" spans="1:9" ht="24" x14ac:dyDescent="0.2">
      <c r="A5672" s="599">
        <v>43339</v>
      </c>
      <c r="B5672" s="91" t="s">
        <v>3733</v>
      </c>
      <c r="C5672" s="94" t="s">
        <v>559</v>
      </c>
      <c r="D5672" s="798" t="s">
        <v>3856</v>
      </c>
      <c r="E5672" s="92"/>
      <c r="F5672" s="92">
        <v>558000</v>
      </c>
      <c r="G5672" s="92">
        <f t="shared" si="92"/>
        <v>558000</v>
      </c>
      <c r="H5672" s="261" t="s">
        <v>3718</v>
      </c>
    </row>
    <row r="5673" spans="1:9" ht="24" x14ac:dyDescent="0.2">
      <c r="A5673" s="599">
        <v>43339</v>
      </c>
      <c r="B5673" s="91" t="s">
        <v>3733</v>
      </c>
      <c r="C5673" s="94" t="s">
        <v>559</v>
      </c>
      <c r="D5673" s="798" t="s">
        <v>3855</v>
      </c>
      <c r="E5673" s="92"/>
      <c r="F5673" s="92">
        <v>451000</v>
      </c>
      <c r="G5673" s="92">
        <f t="shared" si="92"/>
        <v>451000</v>
      </c>
      <c r="H5673" s="261" t="s">
        <v>3718</v>
      </c>
    </row>
    <row r="5674" spans="1:9" ht="24" x14ac:dyDescent="0.2">
      <c r="A5674" s="599">
        <v>43339</v>
      </c>
      <c r="B5674" s="91" t="s">
        <v>2787</v>
      </c>
      <c r="C5674" s="94" t="s">
        <v>559</v>
      </c>
      <c r="D5674" s="798" t="s">
        <v>3857</v>
      </c>
      <c r="E5674" s="92"/>
      <c r="F5674" s="92">
        <v>925000</v>
      </c>
      <c r="G5674" s="92">
        <f t="shared" si="92"/>
        <v>925000</v>
      </c>
      <c r="H5674" s="261" t="s">
        <v>3718</v>
      </c>
    </row>
    <row r="5675" spans="1:9" ht="36" x14ac:dyDescent="0.2">
      <c r="A5675" s="599">
        <v>43340</v>
      </c>
      <c r="B5675" s="91" t="s">
        <v>6516</v>
      </c>
      <c r="C5675" s="94" t="s">
        <v>559</v>
      </c>
      <c r="D5675" s="798" t="s">
        <v>3780</v>
      </c>
      <c r="E5675" s="92"/>
      <c r="F5675" s="92">
        <v>578814</v>
      </c>
      <c r="G5675" s="92">
        <f t="shared" si="92"/>
        <v>578814</v>
      </c>
      <c r="H5675" s="261" t="s">
        <v>3718</v>
      </c>
    </row>
    <row r="5676" spans="1:9" ht="15" x14ac:dyDescent="0.2">
      <c r="A5676" s="597">
        <v>43346</v>
      </c>
      <c r="B5676" s="41" t="s">
        <v>3733</v>
      </c>
      <c r="C5676" s="63" t="s">
        <v>794</v>
      </c>
      <c r="D5676" s="129" t="s">
        <v>1836</v>
      </c>
      <c r="E5676" s="58">
        <v>50000</v>
      </c>
      <c r="F5676" s="58"/>
      <c r="G5676" s="58">
        <f t="shared" si="92"/>
        <v>-50000</v>
      </c>
      <c r="H5676" s="121" t="s">
        <v>3874</v>
      </c>
    </row>
    <row r="5677" spans="1:9" ht="15" x14ac:dyDescent="0.2">
      <c r="A5677" s="597">
        <v>43346</v>
      </c>
      <c r="B5677" s="41" t="s">
        <v>2933</v>
      </c>
      <c r="C5677" s="63" t="s">
        <v>794</v>
      </c>
      <c r="D5677" s="129" t="s">
        <v>1836</v>
      </c>
      <c r="E5677" s="58">
        <v>50000</v>
      </c>
      <c r="F5677" s="58"/>
      <c r="G5677" s="58">
        <f t="shared" si="92"/>
        <v>-50000</v>
      </c>
      <c r="H5677" s="121" t="s">
        <v>3874</v>
      </c>
    </row>
    <row r="5678" spans="1:9" ht="15" x14ac:dyDescent="0.2">
      <c r="A5678" s="597">
        <v>43346</v>
      </c>
      <c r="B5678" s="41" t="s">
        <v>2933</v>
      </c>
      <c r="C5678" s="63" t="s">
        <v>794</v>
      </c>
      <c r="D5678" s="129" t="s">
        <v>1837</v>
      </c>
      <c r="E5678" s="58">
        <v>10000</v>
      </c>
      <c r="F5678" s="58"/>
      <c r="G5678" s="58">
        <f t="shared" si="92"/>
        <v>-10000</v>
      </c>
      <c r="H5678" s="121" t="s">
        <v>3874</v>
      </c>
    </row>
    <row r="5679" spans="1:9" ht="15" x14ac:dyDescent="0.2">
      <c r="A5679" s="597">
        <v>43346</v>
      </c>
      <c r="B5679" s="41" t="s">
        <v>2652</v>
      </c>
      <c r="C5679" s="63" t="s">
        <v>794</v>
      </c>
      <c r="D5679" s="129" t="s">
        <v>1837</v>
      </c>
      <c r="E5679" s="58">
        <v>20000</v>
      </c>
      <c r="F5679" s="58"/>
      <c r="G5679" s="58">
        <f t="shared" si="92"/>
        <v>-20000</v>
      </c>
      <c r="H5679" s="121" t="s">
        <v>3874</v>
      </c>
    </row>
    <row r="5680" spans="1:9" ht="15" x14ac:dyDescent="0.2">
      <c r="A5680" s="597">
        <v>43346</v>
      </c>
      <c r="B5680" s="41" t="s">
        <v>25</v>
      </c>
      <c r="C5680" s="63" t="s">
        <v>794</v>
      </c>
      <c r="D5680" s="129" t="s">
        <v>1839</v>
      </c>
      <c r="E5680" s="58">
        <v>10000</v>
      </c>
      <c r="F5680" s="58"/>
      <c r="G5680" s="58">
        <f t="shared" si="92"/>
        <v>-10000</v>
      </c>
      <c r="H5680" s="121" t="s">
        <v>3874</v>
      </c>
    </row>
    <row r="5681" spans="1:8" ht="15" x14ac:dyDescent="0.2">
      <c r="A5681" s="597">
        <v>43346</v>
      </c>
      <c r="B5681" s="41" t="s">
        <v>25</v>
      </c>
      <c r="C5681" s="63" t="s">
        <v>794</v>
      </c>
      <c r="D5681" s="129" t="s">
        <v>2183</v>
      </c>
      <c r="E5681" s="58">
        <v>10000</v>
      </c>
      <c r="F5681" s="58"/>
      <c r="G5681" s="58">
        <f t="shared" si="92"/>
        <v>-10000</v>
      </c>
      <c r="H5681" s="121" t="s">
        <v>3874</v>
      </c>
    </row>
    <row r="5682" spans="1:8" ht="15" x14ac:dyDescent="0.2">
      <c r="A5682" s="597">
        <v>43346</v>
      </c>
      <c r="B5682" s="41" t="s">
        <v>25</v>
      </c>
      <c r="C5682" s="63" t="s">
        <v>794</v>
      </c>
      <c r="D5682" s="129" t="s">
        <v>1840</v>
      </c>
      <c r="E5682" s="58">
        <v>23985.887096774193</v>
      </c>
      <c r="F5682" s="58"/>
      <c r="G5682" s="58">
        <f t="shared" si="92"/>
        <v>-23985.887096774193</v>
      </c>
      <c r="H5682" s="121" t="s">
        <v>3874</v>
      </c>
    </row>
    <row r="5683" spans="1:8" ht="15" x14ac:dyDescent="0.2">
      <c r="A5683" s="597">
        <v>43346</v>
      </c>
      <c r="B5683" s="41" t="s">
        <v>25</v>
      </c>
      <c r="C5683" s="63" t="s">
        <v>794</v>
      </c>
      <c r="D5683" s="129" t="s">
        <v>1547</v>
      </c>
      <c r="E5683" s="58">
        <v>30000</v>
      </c>
      <c r="F5683" s="58"/>
      <c r="G5683" s="58">
        <f t="shared" si="92"/>
        <v>-30000</v>
      </c>
      <c r="H5683" s="121" t="s">
        <v>3874</v>
      </c>
    </row>
    <row r="5684" spans="1:8" ht="15" x14ac:dyDescent="0.2">
      <c r="A5684" s="597">
        <v>43346</v>
      </c>
      <c r="B5684" s="41" t="s">
        <v>16</v>
      </c>
      <c r="C5684" s="63" t="s">
        <v>794</v>
      </c>
      <c r="D5684" s="129" t="s">
        <v>1844</v>
      </c>
      <c r="E5684" s="58">
        <v>16419.354838709678</v>
      </c>
      <c r="F5684" s="58"/>
      <c r="G5684" s="58">
        <f t="shared" si="92"/>
        <v>-16419.354838709678</v>
      </c>
      <c r="H5684" s="121" t="s">
        <v>3874</v>
      </c>
    </row>
    <row r="5685" spans="1:8" ht="15" x14ac:dyDescent="0.2">
      <c r="A5685" s="597">
        <v>43346</v>
      </c>
      <c r="B5685" s="41" t="s">
        <v>16</v>
      </c>
      <c r="C5685" s="63" t="s">
        <v>794</v>
      </c>
      <c r="D5685" s="129" t="s">
        <v>1842</v>
      </c>
      <c r="E5685" s="58">
        <v>20000</v>
      </c>
      <c r="F5685" s="58"/>
      <c r="G5685" s="58">
        <f t="shared" si="92"/>
        <v>-20000</v>
      </c>
      <c r="H5685" s="121" t="s">
        <v>3874</v>
      </c>
    </row>
    <row r="5686" spans="1:8" ht="15" x14ac:dyDescent="0.2">
      <c r="A5686" s="597">
        <v>43346</v>
      </c>
      <c r="B5686" s="41" t="s">
        <v>16</v>
      </c>
      <c r="C5686" s="63" t="s">
        <v>794</v>
      </c>
      <c r="D5686" s="129" t="s">
        <v>1843</v>
      </c>
      <c r="E5686" s="58">
        <v>23417.016129032261</v>
      </c>
      <c r="F5686" s="58"/>
      <c r="G5686" s="58">
        <f t="shared" si="92"/>
        <v>-23417.016129032261</v>
      </c>
      <c r="H5686" s="121" t="s">
        <v>3874</v>
      </c>
    </row>
    <row r="5687" spans="1:8" ht="15" x14ac:dyDescent="0.2">
      <c r="A5687" s="597">
        <v>43346</v>
      </c>
      <c r="B5687" s="41" t="s">
        <v>16</v>
      </c>
      <c r="C5687" s="63" t="s">
        <v>794</v>
      </c>
      <c r="D5687" s="129" t="s">
        <v>3065</v>
      </c>
      <c r="E5687" s="58">
        <v>26193.548387096776</v>
      </c>
      <c r="F5687" s="58"/>
      <c r="G5687" s="58">
        <f t="shared" si="92"/>
        <v>-26193.548387096776</v>
      </c>
      <c r="H5687" s="121" t="s">
        <v>3874</v>
      </c>
    </row>
    <row r="5688" spans="1:8" ht="15" x14ac:dyDescent="0.2">
      <c r="A5688" s="597">
        <v>43346</v>
      </c>
      <c r="B5688" s="41" t="s">
        <v>16</v>
      </c>
      <c r="C5688" s="63" t="s">
        <v>794</v>
      </c>
      <c r="D5688" s="129" t="s">
        <v>2283</v>
      </c>
      <c r="E5688" s="58">
        <v>11290.322580645161</v>
      </c>
      <c r="F5688" s="58"/>
      <c r="G5688" s="58">
        <f t="shared" si="92"/>
        <v>-11290.322580645161</v>
      </c>
      <c r="H5688" s="121" t="s">
        <v>3874</v>
      </c>
    </row>
    <row r="5689" spans="1:8" ht="15" x14ac:dyDescent="0.2">
      <c r="A5689" s="597">
        <v>43346</v>
      </c>
      <c r="B5689" s="41" t="s">
        <v>16</v>
      </c>
      <c r="C5689" s="63" t="s">
        <v>794</v>
      </c>
      <c r="D5689" s="129" t="s">
        <v>4074</v>
      </c>
      <c r="E5689" s="58">
        <v>5000</v>
      </c>
      <c r="F5689" s="58"/>
      <c r="G5689" s="58">
        <f t="shared" si="92"/>
        <v>-5000</v>
      </c>
      <c r="H5689" s="121" t="s">
        <v>3874</v>
      </c>
    </row>
    <row r="5690" spans="1:8" ht="15" x14ac:dyDescent="0.2">
      <c r="A5690" s="597">
        <v>43346</v>
      </c>
      <c r="B5690" s="41" t="s">
        <v>16</v>
      </c>
      <c r="C5690" s="63" t="s">
        <v>794</v>
      </c>
      <c r="D5690" s="129" t="s">
        <v>3230</v>
      </c>
      <c r="E5690" s="58">
        <v>14500</v>
      </c>
      <c r="F5690" s="58"/>
      <c r="G5690" s="58">
        <f t="shared" si="92"/>
        <v>-14500</v>
      </c>
      <c r="H5690" s="121" t="s">
        <v>3874</v>
      </c>
    </row>
    <row r="5691" spans="1:8" ht="15" x14ac:dyDescent="0.2">
      <c r="A5691" s="597">
        <v>43346</v>
      </c>
      <c r="B5691" s="41" t="s">
        <v>16</v>
      </c>
      <c r="C5691" s="63" t="s">
        <v>794</v>
      </c>
      <c r="D5691" s="129" t="s">
        <v>3611</v>
      </c>
      <c r="E5691" s="58">
        <v>51653.225806451614</v>
      </c>
      <c r="F5691" s="58"/>
      <c r="G5691" s="58">
        <f t="shared" si="92"/>
        <v>-51653.225806451614</v>
      </c>
      <c r="H5691" s="121" t="s">
        <v>3874</v>
      </c>
    </row>
    <row r="5692" spans="1:8" ht="15" x14ac:dyDescent="0.2">
      <c r="A5692" s="597">
        <v>43346</v>
      </c>
      <c r="B5692" s="41" t="s">
        <v>16</v>
      </c>
      <c r="C5692" s="63" t="s">
        <v>794</v>
      </c>
      <c r="D5692" s="129" t="s">
        <v>3612</v>
      </c>
      <c r="E5692" s="58">
        <v>25850.282258064515</v>
      </c>
      <c r="F5692" s="58"/>
      <c r="G5692" s="58">
        <f t="shared" si="92"/>
        <v>-25850.282258064515</v>
      </c>
      <c r="H5692" s="121" t="s">
        <v>3874</v>
      </c>
    </row>
    <row r="5693" spans="1:8" ht="15" x14ac:dyDescent="0.2">
      <c r="A5693" s="597">
        <v>43346</v>
      </c>
      <c r="B5693" s="41" t="s">
        <v>3945</v>
      </c>
      <c r="C5693" s="63" t="s">
        <v>794</v>
      </c>
      <c r="D5693" s="129" t="s">
        <v>2282</v>
      </c>
      <c r="E5693" s="58">
        <v>22139.516129032258</v>
      </c>
      <c r="F5693" s="58"/>
      <c r="G5693" s="58">
        <f t="shared" si="92"/>
        <v>-22139.516129032258</v>
      </c>
      <c r="H5693" s="121" t="s">
        <v>3874</v>
      </c>
    </row>
    <row r="5694" spans="1:8" ht="15" x14ac:dyDescent="0.2">
      <c r="A5694" s="597">
        <v>43346</v>
      </c>
      <c r="B5694" s="41" t="s">
        <v>3945</v>
      </c>
      <c r="C5694" s="63" t="s">
        <v>794</v>
      </c>
      <c r="D5694" s="129" t="s">
        <v>2758</v>
      </c>
      <c r="E5694" s="58">
        <v>21600</v>
      </c>
      <c r="F5694" s="58"/>
      <c r="G5694" s="58">
        <f t="shared" si="92"/>
        <v>-21600</v>
      </c>
      <c r="H5694" s="121" t="s">
        <v>3874</v>
      </c>
    </row>
    <row r="5695" spans="1:8" ht="15" x14ac:dyDescent="0.2">
      <c r="A5695" s="597">
        <v>43346</v>
      </c>
      <c r="B5695" s="41" t="s">
        <v>3945</v>
      </c>
      <c r="C5695" s="63" t="s">
        <v>794</v>
      </c>
      <c r="D5695" s="129" t="s">
        <v>3236</v>
      </c>
      <c r="E5695" s="58">
        <v>30564.516129032258</v>
      </c>
      <c r="F5695" s="58"/>
      <c r="G5695" s="58">
        <f t="shared" si="92"/>
        <v>-30564.516129032258</v>
      </c>
      <c r="H5695" s="121" t="s">
        <v>3874</v>
      </c>
    </row>
    <row r="5696" spans="1:8" ht="15" x14ac:dyDescent="0.2">
      <c r="A5696" s="597">
        <v>43346</v>
      </c>
      <c r="B5696" s="41" t="s">
        <v>3945</v>
      </c>
      <c r="C5696" s="63" t="s">
        <v>794</v>
      </c>
      <c r="D5696" s="129" t="s">
        <v>4005</v>
      </c>
      <c r="E5696" s="58">
        <v>40200</v>
      </c>
      <c r="F5696" s="58"/>
      <c r="G5696" s="58">
        <f t="shared" si="92"/>
        <v>-40200</v>
      </c>
      <c r="H5696" s="121" t="s">
        <v>3874</v>
      </c>
    </row>
    <row r="5697" spans="1:8" ht="15" x14ac:dyDescent="0.2">
      <c r="A5697" s="597">
        <v>43346</v>
      </c>
      <c r="B5697" s="41" t="s">
        <v>3945</v>
      </c>
      <c r="C5697" s="63" t="s">
        <v>794</v>
      </c>
      <c r="D5697" s="129" t="s">
        <v>3841</v>
      </c>
      <c r="E5697" s="58">
        <v>19141.93548387097</v>
      </c>
      <c r="F5697" s="58"/>
      <c r="G5697" s="58">
        <f t="shared" si="92"/>
        <v>-19141.93548387097</v>
      </c>
      <c r="H5697" s="121" t="s">
        <v>3874</v>
      </c>
    </row>
    <row r="5698" spans="1:8" ht="15" x14ac:dyDescent="0.2">
      <c r="A5698" s="597">
        <v>43346</v>
      </c>
      <c r="B5698" s="41" t="s">
        <v>2652</v>
      </c>
      <c r="C5698" s="63" t="s">
        <v>794</v>
      </c>
      <c r="D5698" s="129" t="s">
        <v>1864</v>
      </c>
      <c r="E5698" s="58">
        <v>9860.0806451612898</v>
      </c>
      <c r="F5698" s="58"/>
      <c r="G5698" s="58">
        <f t="shared" si="92"/>
        <v>-9860.0806451612898</v>
      </c>
      <c r="H5698" s="121" t="s">
        <v>3874</v>
      </c>
    </row>
    <row r="5699" spans="1:8" ht="15" x14ac:dyDescent="0.2">
      <c r="A5699" s="597">
        <v>43346</v>
      </c>
      <c r="B5699" s="41" t="s">
        <v>1400</v>
      </c>
      <c r="C5699" s="63" t="s">
        <v>794</v>
      </c>
      <c r="D5699" s="129" t="s">
        <v>3234</v>
      </c>
      <c r="E5699" s="58">
        <v>11467.741935483871</v>
      </c>
      <c r="F5699" s="58"/>
      <c r="G5699" s="58">
        <f t="shared" si="92"/>
        <v>-11467.741935483871</v>
      </c>
      <c r="H5699" s="121" t="s">
        <v>3874</v>
      </c>
    </row>
    <row r="5700" spans="1:8" ht="15" x14ac:dyDescent="0.2">
      <c r="A5700" s="597">
        <v>43346</v>
      </c>
      <c r="B5700" s="41" t="s">
        <v>3945</v>
      </c>
      <c r="C5700" s="63" t="s">
        <v>794</v>
      </c>
      <c r="D5700" s="129" t="s">
        <v>4075</v>
      </c>
      <c r="E5700" s="58">
        <v>4709.677419354839</v>
      </c>
      <c r="F5700" s="58"/>
      <c r="G5700" s="58">
        <f t="shared" si="92"/>
        <v>-4709.677419354839</v>
      </c>
      <c r="H5700" s="121" t="s">
        <v>3874</v>
      </c>
    </row>
    <row r="5701" spans="1:8" ht="15" x14ac:dyDescent="0.2">
      <c r="A5701" s="597">
        <v>43346</v>
      </c>
      <c r="B5701" s="41" t="s">
        <v>3945</v>
      </c>
      <c r="C5701" s="63" t="s">
        <v>794</v>
      </c>
      <c r="D5701" s="129" t="s">
        <v>4076</v>
      </c>
      <c r="E5701" s="58">
        <v>31350.806451612909</v>
      </c>
      <c r="F5701" s="58"/>
      <c r="G5701" s="58">
        <f t="shared" si="92"/>
        <v>-31350.806451612909</v>
      </c>
      <c r="H5701" s="121" t="s">
        <v>3874</v>
      </c>
    </row>
    <row r="5702" spans="1:8" ht="15" x14ac:dyDescent="0.2">
      <c r="A5702" s="597">
        <v>43346</v>
      </c>
      <c r="B5702" s="41" t="s">
        <v>3945</v>
      </c>
      <c r="C5702" s="63" t="s">
        <v>794</v>
      </c>
      <c r="D5702" s="129" t="s">
        <v>3842</v>
      </c>
      <c r="E5702" s="58">
        <v>22379.032258064515</v>
      </c>
      <c r="F5702" s="58"/>
      <c r="G5702" s="58">
        <f t="shared" si="92"/>
        <v>-22379.032258064515</v>
      </c>
      <c r="H5702" s="121" t="s">
        <v>3874</v>
      </c>
    </row>
    <row r="5703" spans="1:8" ht="15" x14ac:dyDescent="0.2">
      <c r="A5703" s="597">
        <v>43346</v>
      </c>
      <c r="B5703" s="41" t="s">
        <v>3946</v>
      </c>
      <c r="C5703" s="63" t="s">
        <v>794</v>
      </c>
      <c r="D5703" s="129" t="s">
        <v>4077</v>
      </c>
      <c r="E5703" s="58">
        <v>20570.403225806451</v>
      </c>
      <c r="F5703" s="58"/>
      <c r="G5703" s="58">
        <f t="shared" si="92"/>
        <v>-20570.403225806451</v>
      </c>
      <c r="H5703" s="121" t="s">
        <v>3874</v>
      </c>
    </row>
    <row r="5704" spans="1:8" ht="15" x14ac:dyDescent="0.2">
      <c r="A5704" s="597">
        <v>43346</v>
      </c>
      <c r="B5704" s="41" t="s">
        <v>3946</v>
      </c>
      <c r="C5704" s="63" t="s">
        <v>794</v>
      </c>
      <c r="D5704" s="129" t="s">
        <v>4078</v>
      </c>
      <c r="E5704" s="58">
        <v>22589.596774193546</v>
      </c>
      <c r="F5704" s="58"/>
      <c r="G5704" s="58">
        <f t="shared" si="92"/>
        <v>-22589.596774193546</v>
      </c>
      <c r="H5704" s="121" t="s">
        <v>3874</v>
      </c>
    </row>
    <row r="5705" spans="1:8" ht="15" x14ac:dyDescent="0.2">
      <c r="A5705" s="597">
        <v>43346</v>
      </c>
      <c r="B5705" s="41" t="s">
        <v>3946</v>
      </c>
      <c r="C5705" s="63" t="s">
        <v>794</v>
      </c>
      <c r="D5705" s="129" t="s">
        <v>4079</v>
      </c>
      <c r="E5705" s="58">
        <v>15649.677419354837</v>
      </c>
      <c r="F5705" s="58"/>
      <c r="G5705" s="58">
        <f t="shared" ref="G5705:G5739" si="93">F5705-E5705</f>
        <v>-15649.677419354837</v>
      </c>
      <c r="H5705" s="121" t="s">
        <v>3874</v>
      </c>
    </row>
    <row r="5706" spans="1:8" ht="15" x14ac:dyDescent="0.2">
      <c r="A5706" s="597">
        <v>43346</v>
      </c>
      <c r="B5706" s="41" t="s">
        <v>3946</v>
      </c>
      <c r="C5706" s="63" t="s">
        <v>794</v>
      </c>
      <c r="D5706" s="129" t="s">
        <v>4080</v>
      </c>
      <c r="E5706" s="58">
        <v>19669.959677419356</v>
      </c>
      <c r="F5706" s="58"/>
      <c r="G5706" s="58">
        <f t="shared" si="93"/>
        <v>-19669.959677419356</v>
      </c>
      <c r="H5706" s="121" t="s">
        <v>3874</v>
      </c>
    </row>
    <row r="5707" spans="1:8" ht="15" x14ac:dyDescent="0.2">
      <c r="A5707" s="597">
        <v>43346</v>
      </c>
      <c r="B5707" s="41" t="s">
        <v>3946</v>
      </c>
      <c r="C5707" s="63" t="s">
        <v>794</v>
      </c>
      <c r="D5707" s="129" t="s">
        <v>4081</v>
      </c>
      <c r="E5707" s="58">
        <v>39300.403225806454</v>
      </c>
      <c r="F5707" s="58"/>
      <c r="G5707" s="58">
        <f t="shared" si="93"/>
        <v>-39300.403225806454</v>
      </c>
      <c r="H5707" s="121" t="s">
        <v>3874</v>
      </c>
    </row>
    <row r="5708" spans="1:8" ht="15" x14ac:dyDescent="0.2">
      <c r="A5708" s="597">
        <v>43346</v>
      </c>
      <c r="B5708" s="41" t="s">
        <v>3946</v>
      </c>
      <c r="C5708" s="63" t="s">
        <v>794</v>
      </c>
      <c r="D5708" s="129" t="s">
        <v>4082</v>
      </c>
      <c r="E5708" s="58">
        <v>30000</v>
      </c>
      <c r="F5708" s="58"/>
      <c r="G5708" s="58">
        <f t="shared" si="93"/>
        <v>-30000</v>
      </c>
      <c r="H5708" s="121" t="s">
        <v>3874</v>
      </c>
    </row>
    <row r="5709" spans="1:8" ht="15" x14ac:dyDescent="0.2">
      <c r="A5709" s="597">
        <v>43346</v>
      </c>
      <c r="B5709" s="41" t="s">
        <v>1400</v>
      </c>
      <c r="C5709" s="63" t="s">
        <v>794</v>
      </c>
      <c r="D5709" s="129" t="s">
        <v>1858</v>
      </c>
      <c r="E5709" s="58">
        <v>18020.161290322583</v>
      </c>
      <c r="F5709" s="58"/>
      <c r="G5709" s="58">
        <f t="shared" si="93"/>
        <v>-18020.161290322583</v>
      </c>
      <c r="H5709" s="121" t="s">
        <v>3874</v>
      </c>
    </row>
    <row r="5710" spans="1:8" ht="15" x14ac:dyDescent="0.2">
      <c r="A5710" s="597">
        <v>43346</v>
      </c>
      <c r="B5710" s="41" t="s">
        <v>1400</v>
      </c>
      <c r="C5710" s="63" t="s">
        <v>794</v>
      </c>
      <c r="D5710" s="129" t="s">
        <v>1684</v>
      </c>
      <c r="E5710" s="58">
        <v>19870.967741935481</v>
      </c>
      <c r="F5710" s="58"/>
      <c r="G5710" s="58">
        <f t="shared" si="93"/>
        <v>-19870.967741935481</v>
      </c>
      <c r="H5710" s="121" t="s">
        <v>3874</v>
      </c>
    </row>
    <row r="5711" spans="1:8" ht="15" x14ac:dyDescent="0.2">
      <c r="A5711" s="597">
        <v>43346</v>
      </c>
      <c r="B5711" s="41" t="s">
        <v>1400</v>
      </c>
      <c r="C5711" s="63" t="s">
        <v>794</v>
      </c>
      <c r="D5711" s="129" t="s">
        <v>2482</v>
      </c>
      <c r="E5711" s="58">
        <v>30141.129032258064</v>
      </c>
      <c r="F5711" s="58"/>
      <c r="G5711" s="58">
        <f t="shared" si="93"/>
        <v>-30141.129032258064</v>
      </c>
      <c r="H5711" s="121" t="s">
        <v>3874</v>
      </c>
    </row>
    <row r="5712" spans="1:8" ht="15" x14ac:dyDescent="0.2">
      <c r="A5712" s="597">
        <v>43346</v>
      </c>
      <c r="B5712" s="41" t="s">
        <v>1400</v>
      </c>
      <c r="C5712" s="63" t="s">
        <v>794</v>
      </c>
      <c r="D5712" s="129" t="s">
        <v>1550</v>
      </c>
      <c r="E5712" s="58">
        <v>37850.161290322583</v>
      </c>
      <c r="F5712" s="58"/>
      <c r="G5712" s="58">
        <f t="shared" si="93"/>
        <v>-37850.161290322583</v>
      </c>
      <c r="H5712" s="121" t="s">
        <v>3874</v>
      </c>
    </row>
    <row r="5713" spans="1:8" ht="15" x14ac:dyDescent="0.2">
      <c r="A5713" s="597">
        <v>43346</v>
      </c>
      <c r="B5713" s="41" t="s">
        <v>1400</v>
      </c>
      <c r="C5713" s="63" t="s">
        <v>794</v>
      </c>
      <c r="D5713" s="129" t="s">
        <v>1852</v>
      </c>
      <c r="E5713" s="58">
        <v>11430.16129032258</v>
      </c>
      <c r="F5713" s="58"/>
      <c r="G5713" s="58">
        <f t="shared" si="93"/>
        <v>-11430.16129032258</v>
      </c>
      <c r="H5713" s="121" t="s">
        <v>3874</v>
      </c>
    </row>
    <row r="5714" spans="1:8" ht="15" x14ac:dyDescent="0.2">
      <c r="A5714" s="597">
        <v>43346</v>
      </c>
      <c r="B5714" s="41" t="s">
        <v>1400</v>
      </c>
      <c r="C5714" s="63" t="s">
        <v>794</v>
      </c>
      <c r="D5714" s="129" t="s">
        <v>1871</v>
      </c>
      <c r="E5714" s="58">
        <v>18000</v>
      </c>
      <c r="F5714" s="58"/>
      <c r="G5714" s="58">
        <f t="shared" si="93"/>
        <v>-18000</v>
      </c>
      <c r="H5714" s="121" t="s">
        <v>3874</v>
      </c>
    </row>
    <row r="5715" spans="1:8" ht="15" x14ac:dyDescent="0.2">
      <c r="A5715" s="597">
        <v>43346</v>
      </c>
      <c r="B5715" s="41" t="s">
        <v>1400</v>
      </c>
      <c r="C5715" s="63" t="s">
        <v>794</v>
      </c>
      <c r="D5715" s="129" t="s">
        <v>1859</v>
      </c>
      <c r="E5715" s="58">
        <v>26699.879032258064</v>
      </c>
      <c r="F5715" s="58"/>
      <c r="G5715" s="58">
        <f t="shared" si="93"/>
        <v>-26699.879032258064</v>
      </c>
      <c r="H5715" s="121" t="s">
        <v>3874</v>
      </c>
    </row>
    <row r="5716" spans="1:8" ht="15" x14ac:dyDescent="0.2">
      <c r="A5716" s="597">
        <v>43346</v>
      </c>
      <c r="B5716" s="41" t="s">
        <v>1400</v>
      </c>
      <c r="C5716" s="63" t="s">
        <v>794</v>
      </c>
      <c r="D5716" s="129" t="s">
        <v>3491</v>
      </c>
      <c r="E5716" s="58">
        <v>18919.354838709678</v>
      </c>
      <c r="F5716" s="58"/>
      <c r="G5716" s="58">
        <f t="shared" si="93"/>
        <v>-18919.354838709678</v>
      </c>
      <c r="H5716" s="121" t="s">
        <v>3874</v>
      </c>
    </row>
    <row r="5717" spans="1:8" ht="15" x14ac:dyDescent="0.2">
      <c r="A5717" s="597">
        <v>43346</v>
      </c>
      <c r="B5717" s="41" t="s">
        <v>1400</v>
      </c>
      <c r="C5717" s="63" t="s">
        <v>794</v>
      </c>
      <c r="D5717" s="129" t="s">
        <v>1862</v>
      </c>
      <c r="E5717" s="58">
        <v>7350.322580645161</v>
      </c>
      <c r="F5717" s="58"/>
      <c r="G5717" s="58">
        <f t="shared" si="93"/>
        <v>-7350.322580645161</v>
      </c>
      <c r="H5717" s="121" t="s">
        <v>3874</v>
      </c>
    </row>
    <row r="5718" spans="1:8" ht="15" x14ac:dyDescent="0.2">
      <c r="A5718" s="597">
        <v>43346</v>
      </c>
      <c r="B5718" s="41" t="s">
        <v>1400</v>
      </c>
      <c r="C5718" s="63" t="s">
        <v>794</v>
      </c>
      <c r="D5718" s="129" t="s">
        <v>1872</v>
      </c>
      <c r="E5718" s="58">
        <v>1741.9354838709678</v>
      </c>
      <c r="F5718" s="58"/>
      <c r="G5718" s="58">
        <f t="shared" si="93"/>
        <v>-1741.9354838709678</v>
      </c>
      <c r="H5718" s="121" t="s">
        <v>3874</v>
      </c>
    </row>
    <row r="5719" spans="1:8" ht="15" x14ac:dyDescent="0.2">
      <c r="A5719" s="597">
        <v>43346</v>
      </c>
      <c r="B5719" s="41" t="s">
        <v>1400</v>
      </c>
      <c r="C5719" s="63" t="s">
        <v>794</v>
      </c>
      <c r="D5719" s="129" t="s">
        <v>1850</v>
      </c>
      <c r="E5719" s="58">
        <v>13467.741935483871</v>
      </c>
      <c r="F5719" s="58"/>
      <c r="G5719" s="58">
        <f t="shared" si="93"/>
        <v>-13467.741935483871</v>
      </c>
      <c r="H5719" s="121" t="s">
        <v>3874</v>
      </c>
    </row>
    <row r="5720" spans="1:8" ht="15" x14ac:dyDescent="0.2">
      <c r="A5720" s="597">
        <v>43346</v>
      </c>
      <c r="B5720" s="41" t="s">
        <v>1400</v>
      </c>
      <c r="C5720" s="63" t="s">
        <v>794</v>
      </c>
      <c r="D5720" s="129" t="s">
        <v>3492</v>
      </c>
      <c r="E5720" s="58">
        <v>9219.7580645161288</v>
      </c>
      <c r="F5720" s="58"/>
      <c r="G5720" s="58">
        <f t="shared" si="93"/>
        <v>-9219.7580645161288</v>
      </c>
      <c r="H5720" s="121" t="s">
        <v>3874</v>
      </c>
    </row>
    <row r="5721" spans="1:8" ht="15" x14ac:dyDescent="0.2">
      <c r="A5721" s="597">
        <v>43346</v>
      </c>
      <c r="B5721" s="41" t="s">
        <v>1400</v>
      </c>
      <c r="C5721" s="63" t="s">
        <v>794</v>
      </c>
      <c r="D5721" s="129" t="s">
        <v>3068</v>
      </c>
      <c r="E5721" s="58">
        <v>9399.9596774193542</v>
      </c>
      <c r="F5721" s="58"/>
      <c r="G5721" s="58">
        <f t="shared" si="93"/>
        <v>-9399.9596774193542</v>
      </c>
      <c r="H5721" s="121" t="s">
        <v>3874</v>
      </c>
    </row>
    <row r="5722" spans="1:8" ht="15" x14ac:dyDescent="0.2">
      <c r="A5722" s="597">
        <v>43346</v>
      </c>
      <c r="B5722" s="41" t="s">
        <v>1400</v>
      </c>
      <c r="C5722" s="63" t="s">
        <v>794</v>
      </c>
      <c r="D5722" s="129" t="s">
        <v>4006</v>
      </c>
      <c r="E5722" s="58">
        <v>20302.419354838708</v>
      </c>
      <c r="F5722" s="58"/>
      <c r="G5722" s="58">
        <f t="shared" si="93"/>
        <v>-20302.419354838708</v>
      </c>
      <c r="H5722" s="121" t="s">
        <v>3874</v>
      </c>
    </row>
    <row r="5723" spans="1:8" ht="15" x14ac:dyDescent="0.2">
      <c r="A5723" s="597">
        <v>43346</v>
      </c>
      <c r="B5723" s="41" t="s">
        <v>1400</v>
      </c>
      <c r="C5723" s="63" t="s">
        <v>794</v>
      </c>
      <c r="D5723" s="129" t="s">
        <v>2481</v>
      </c>
      <c r="E5723" s="58">
        <v>16354.838709677419</v>
      </c>
      <c r="F5723" s="58"/>
      <c r="G5723" s="58">
        <f t="shared" si="93"/>
        <v>-16354.838709677419</v>
      </c>
      <c r="H5723" s="121" t="s">
        <v>3874</v>
      </c>
    </row>
    <row r="5724" spans="1:8" ht="15" x14ac:dyDescent="0.2">
      <c r="A5724" s="597">
        <v>43346</v>
      </c>
      <c r="B5724" s="41" t="s">
        <v>6516</v>
      </c>
      <c r="C5724" s="63" t="s">
        <v>794</v>
      </c>
      <c r="D5724" s="129" t="s">
        <v>1855</v>
      </c>
      <c r="E5724" s="58">
        <v>16114.193548387097</v>
      </c>
      <c r="F5724" s="58"/>
      <c r="G5724" s="58">
        <f t="shared" si="93"/>
        <v>-16114.193548387097</v>
      </c>
      <c r="H5724" s="121" t="s">
        <v>3874</v>
      </c>
    </row>
    <row r="5725" spans="1:8" ht="15" x14ac:dyDescent="0.2">
      <c r="A5725" s="597">
        <v>43346</v>
      </c>
      <c r="B5725" s="41" t="s">
        <v>6516</v>
      </c>
      <c r="C5725" s="63" t="s">
        <v>794</v>
      </c>
      <c r="D5725" s="129" t="s">
        <v>1861</v>
      </c>
      <c r="E5725" s="58">
        <v>10529.838709677419</v>
      </c>
      <c r="F5725" s="58"/>
      <c r="G5725" s="58">
        <f t="shared" si="93"/>
        <v>-10529.838709677419</v>
      </c>
      <c r="H5725" s="121" t="s">
        <v>3874</v>
      </c>
    </row>
    <row r="5726" spans="1:8" ht="15" x14ac:dyDescent="0.2">
      <c r="A5726" s="597">
        <v>43346</v>
      </c>
      <c r="B5726" s="41" t="s">
        <v>6516</v>
      </c>
      <c r="C5726" s="63" t="s">
        <v>794</v>
      </c>
      <c r="D5726" s="129" t="s">
        <v>1849</v>
      </c>
      <c r="E5726" s="58">
        <v>5451.6129032258068</v>
      </c>
      <c r="F5726" s="58"/>
      <c r="G5726" s="58">
        <f t="shared" si="93"/>
        <v>-5451.6129032258068</v>
      </c>
      <c r="H5726" s="121" t="s">
        <v>3874</v>
      </c>
    </row>
    <row r="5727" spans="1:8" ht="15" x14ac:dyDescent="0.2">
      <c r="A5727" s="597">
        <v>43346</v>
      </c>
      <c r="B5727" s="41" t="s">
        <v>6516</v>
      </c>
      <c r="C5727" s="63" t="s">
        <v>794</v>
      </c>
      <c r="D5727" s="129" t="s">
        <v>3615</v>
      </c>
      <c r="E5727" s="58">
        <v>11519.758064516129</v>
      </c>
      <c r="F5727" s="58"/>
      <c r="G5727" s="58">
        <f t="shared" si="93"/>
        <v>-11519.758064516129</v>
      </c>
      <c r="H5727" s="121" t="s">
        <v>3874</v>
      </c>
    </row>
    <row r="5728" spans="1:8" ht="15" x14ac:dyDescent="0.2">
      <c r="A5728" s="597">
        <v>43346</v>
      </c>
      <c r="B5728" s="41" t="s">
        <v>6516</v>
      </c>
      <c r="C5728" s="63" t="s">
        <v>794</v>
      </c>
      <c r="D5728" s="129" t="s">
        <v>4083</v>
      </c>
      <c r="E5728" s="58">
        <v>27032.258064516129</v>
      </c>
      <c r="F5728" s="58"/>
      <c r="G5728" s="58">
        <f t="shared" si="93"/>
        <v>-27032.258064516129</v>
      </c>
      <c r="H5728" s="121" t="s">
        <v>3874</v>
      </c>
    </row>
    <row r="5729" spans="1:8" ht="15" x14ac:dyDescent="0.2">
      <c r="A5729" s="597">
        <v>43346</v>
      </c>
      <c r="B5729" s="41" t="s">
        <v>6516</v>
      </c>
      <c r="C5729" s="63" t="s">
        <v>794</v>
      </c>
      <c r="D5729" s="129" t="s">
        <v>4007</v>
      </c>
      <c r="E5729" s="58">
        <v>15729.677419354839</v>
      </c>
      <c r="F5729" s="58"/>
      <c r="G5729" s="58">
        <f t="shared" si="93"/>
        <v>-15729.677419354839</v>
      </c>
      <c r="H5729" s="121" t="s">
        <v>3874</v>
      </c>
    </row>
    <row r="5730" spans="1:8" ht="15" x14ac:dyDescent="0.2">
      <c r="A5730" s="597">
        <v>43346</v>
      </c>
      <c r="B5730" s="41" t="s">
        <v>37</v>
      </c>
      <c r="C5730" s="63" t="s">
        <v>794</v>
      </c>
      <c r="D5730" s="129" t="s">
        <v>1866</v>
      </c>
      <c r="E5730" s="58">
        <v>16761.08870967742</v>
      </c>
      <c r="F5730" s="58"/>
      <c r="G5730" s="58">
        <f t="shared" si="93"/>
        <v>-16761.08870967742</v>
      </c>
      <c r="H5730" s="121" t="s">
        <v>3874</v>
      </c>
    </row>
    <row r="5731" spans="1:8" ht="15" x14ac:dyDescent="0.2">
      <c r="A5731" s="597">
        <v>43346</v>
      </c>
      <c r="B5731" s="41" t="s">
        <v>37</v>
      </c>
      <c r="C5731" s="63" t="s">
        <v>794</v>
      </c>
      <c r="D5731" s="129" t="s">
        <v>1867</v>
      </c>
      <c r="E5731" s="58">
        <v>7548.3870967741941</v>
      </c>
      <c r="F5731" s="58"/>
      <c r="G5731" s="58">
        <f t="shared" si="93"/>
        <v>-7548.3870967741941</v>
      </c>
      <c r="H5731" s="121" t="s">
        <v>3874</v>
      </c>
    </row>
    <row r="5732" spans="1:8" ht="15" x14ac:dyDescent="0.2">
      <c r="A5732" s="597">
        <v>43346</v>
      </c>
      <c r="B5732" s="41" t="s">
        <v>37</v>
      </c>
      <c r="C5732" s="63" t="s">
        <v>794</v>
      </c>
      <c r="D5732" s="129" t="s">
        <v>1868</v>
      </c>
      <c r="E5732" s="58">
        <v>10838.709677419356</v>
      </c>
      <c r="F5732" s="58"/>
      <c r="G5732" s="58">
        <f t="shared" si="93"/>
        <v>-10838.709677419356</v>
      </c>
      <c r="H5732" s="121" t="s">
        <v>3874</v>
      </c>
    </row>
    <row r="5733" spans="1:8" ht="15" x14ac:dyDescent="0.2">
      <c r="A5733" s="597">
        <v>43346</v>
      </c>
      <c r="B5733" s="41" t="s">
        <v>37</v>
      </c>
      <c r="C5733" s="63" t="s">
        <v>794</v>
      </c>
      <c r="D5733" s="129" t="s">
        <v>2181</v>
      </c>
      <c r="E5733" s="58">
        <v>21679.677419354837</v>
      </c>
      <c r="F5733" s="58"/>
      <c r="G5733" s="58">
        <f t="shared" si="93"/>
        <v>-21679.677419354837</v>
      </c>
      <c r="H5733" s="121" t="s">
        <v>3874</v>
      </c>
    </row>
    <row r="5734" spans="1:8" ht="15" x14ac:dyDescent="0.2">
      <c r="A5734" s="597">
        <v>43346</v>
      </c>
      <c r="B5734" s="41" t="s">
        <v>37</v>
      </c>
      <c r="C5734" s="63" t="s">
        <v>794</v>
      </c>
      <c r="D5734" s="129" t="s">
        <v>3610</v>
      </c>
      <c r="E5734" s="58">
        <v>22050.483870967742</v>
      </c>
      <c r="F5734" s="58"/>
      <c r="G5734" s="58">
        <f t="shared" si="93"/>
        <v>-22050.483870967742</v>
      </c>
      <c r="H5734" s="121" t="s">
        <v>3874</v>
      </c>
    </row>
    <row r="5735" spans="1:8" ht="15" x14ac:dyDescent="0.2">
      <c r="A5735" s="597">
        <v>43346</v>
      </c>
      <c r="B5735" s="41" t="s">
        <v>37</v>
      </c>
      <c r="C5735" s="63" t="s">
        <v>794</v>
      </c>
      <c r="D5735" s="129" t="s">
        <v>1240</v>
      </c>
      <c r="E5735" s="58">
        <v>15800.16129032258</v>
      </c>
      <c r="F5735" s="58"/>
      <c r="G5735" s="58">
        <f t="shared" si="93"/>
        <v>-15800.16129032258</v>
      </c>
      <c r="H5735" s="121" t="s">
        <v>3874</v>
      </c>
    </row>
    <row r="5736" spans="1:8" ht="15" x14ac:dyDescent="0.2">
      <c r="A5736" s="597">
        <v>43346</v>
      </c>
      <c r="B5736" s="41" t="s">
        <v>2933</v>
      </c>
      <c r="C5736" s="63" t="s">
        <v>794</v>
      </c>
      <c r="D5736" s="129" t="s">
        <v>1845</v>
      </c>
      <c r="E5736" s="58">
        <v>8320</v>
      </c>
      <c r="F5736" s="58"/>
      <c r="G5736" s="58">
        <f t="shared" si="93"/>
        <v>-8320</v>
      </c>
      <c r="H5736" s="121" t="s">
        <v>3874</v>
      </c>
    </row>
    <row r="5737" spans="1:8" ht="15" x14ac:dyDescent="0.2">
      <c r="A5737" s="597">
        <v>43346</v>
      </c>
      <c r="B5737" s="41" t="s">
        <v>2933</v>
      </c>
      <c r="C5737" s="63" t="s">
        <v>794</v>
      </c>
      <c r="D5737" s="129" t="s">
        <v>668</v>
      </c>
      <c r="E5737" s="58">
        <v>9819.6774193548408</v>
      </c>
      <c r="F5737" s="58"/>
      <c r="G5737" s="58">
        <f t="shared" si="93"/>
        <v>-9819.6774193548408</v>
      </c>
      <c r="H5737" s="121" t="s">
        <v>3874</v>
      </c>
    </row>
    <row r="5738" spans="1:8" ht="15" x14ac:dyDescent="0.2">
      <c r="A5738" s="597">
        <v>43346</v>
      </c>
      <c r="B5738" s="41" t="s">
        <v>2933</v>
      </c>
      <c r="C5738" s="63" t="s">
        <v>794</v>
      </c>
      <c r="D5738" s="129" t="s">
        <v>1561</v>
      </c>
      <c r="E5738" s="58">
        <v>15530.403225806451</v>
      </c>
      <c r="F5738" s="58"/>
      <c r="G5738" s="58">
        <f t="shared" si="93"/>
        <v>-15530.403225806451</v>
      </c>
      <c r="H5738" s="121" t="s">
        <v>3874</v>
      </c>
    </row>
    <row r="5739" spans="1:8" ht="15" x14ac:dyDescent="0.2">
      <c r="A5739" s="597">
        <v>43346</v>
      </c>
      <c r="B5739" s="41" t="s">
        <v>2933</v>
      </c>
      <c r="C5739" s="63" t="s">
        <v>794</v>
      </c>
      <c r="D5739" s="129" t="s">
        <v>3490</v>
      </c>
      <c r="E5739" s="58">
        <v>50000</v>
      </c>
      <c r="F5739" s="58"/>
      <c r="G5739" s="58">
        <f t="shared" si="93"/>
        <v>-50000</v>
      </c>
      <c r="H5739" s="121" t="s">
        <v>3874</v>
      </c>
    </row>
    <row r="5740" spans="1:8" ht="15" x14ac:dyDescent="0.2">
      <c r="A5740" s="597">
        <v>43346</v>
      </c>
      <c r="B5740" s="41" t="s">
        <v>2652</v>
      </c>
      <c r="C5740" s="63" t="s">
        <v>794</v>
      </c>
      <c r="D5740" s="129" t="s">
        <v>3616</v>
      </c>
      <c r="E5740" s="58">
        <v>40000</v>
      </c>
      <c r="F5740" s="58"/>
      <c r="G5740" s="58">
        <f t="shared" ref="G5740:G5745" si="94">F5740-E5742</f>
        <v>-12960</v>
      </c>
      <c r="H5740" s="121" t="s">
        <v>3874</v>
      </c>
    </row>
    <row r="5741" spans="1:8" ht="15" x14ac:dyDescent="0.2">
      <c r="A5741" s="597">
        <v>43346</v>
      </c>
      <c r="B5741" s="41" t="s">
        <v>2652</v>
      </c>
      <c r="C5741" s="63" t="s">
        <v>794</v>
      </c>
      <c r="D5741" s="129" t="s">
        <v>1847</v>
      </c>
      <c r="E5741" s="41">
        <v>7097</v>
      </c>
      <c r="F5741" s="58"/>
      <c r="G5741" s="58">
        <f t="shared" si="94"/>
        <v>-25258.064516129034</v>
      </c>
      <c r="H5741" s="121" t="s">
        <v>3874</v>
      </c>
    </row>
    <row r="5742" spans="1:8" ht="15" x14ac:dyDescent="0.2">
      <c r="A5742" s="597">
        <v>43346</v>
      </c>
      <c r="B5742" s="41" t="s">
        <v>2652</v>
      </c>
      <c r="C5742" s="63" t="s">
        <v>794</v>
      </c>
      <c r="D5742" s="129" t="s">
        <v>4008</v>
      </c>
      <c r="E5742" s="58">
        <v>12960</v>
      </c>
      <c r="F5742" s="58"/>
      <c r="G5742" s="58">
        <f t="shared" si="94"/>
        <v>-4249.5967741935483</v>
      </c>
      <c r="H5742" s="121" t="s">
        <v>3874</v>
      </c>
    </row>
    <row r="5743" spans="1:8" ht="15" x14ac:dyDescent="0.2">
      <c r="A5743" s="597">
        <v>43346</v>
      </c>
      <c r="B5743" s="41" t="s">
        <v>2652</v>
      </c>
      <c r="C5743" s="63" t="s">
        <v>794</v>
      </c>
      <c r="D5743" s="129" t="s">
        <v>3231</v>
      </c>
      <c r="E5743" s="58">
        <v>25258.064516129034</v>
      </c>
      <c r="F5743" s="58"/>
      <c r="G5743" s="58">
        <f t="shared" si="94"/>
        <v>-17529.596774193549</v>
      </c>
      <c r="H5743" s="121" t="s">
        <v>3874</v>
      </c>
    </row>
    <row r="5744" spans="1:8" ht="15" x14ac:dyDescent="0.2">
      <c r="A5744" s="597">
        <v>43346</v>
      </c>
      <c r="B5744" s="41" t="s">
        <v>2652</v>
      </c>
      <c r="C5744" s="63" t="s">
        <v>794</v>
      </c>
      <c r="D5744" s="129" t="s">
        <v>1860</v>
      </c>
      <c r="E5744" s="58">
        <v>4249.5967741935483</v>
      </c>
      <c r="F5744" s="58"/>
      <c r="G5744" s="58">
        <f t="shared" si="94"/>
        <v>-20000.403225806451</v>
      </c>
      <c r="H5744" s="121" t="s">
        <v>3874</v>
      </c>
    </row>
    <row r="5745" spans="1:8" ht="15" x14ac:dyDescent="0.2">
      <c r="A5745" s="597">
        <v>43346</v>
      </c>
      <c r="B5745" s="41" t="s">
        <v>2652</v>
      </c>
      <c r="C5745" s="63" t="s">
        <v>794</v>
      </c>
      <c r="D5745" s="129" t="s">
        <v>4009</v>
      </c>
      <c r="E5745" s="58">
        <v>17529.596774193549</v>
      </c>
      <c r="F5745" s="58"/>
      <c r="G5745" s="58">
        <f t="shared" si="94"/>
        <v>-18200.241935483868</v>
      </c>
      <c r="H5745" s="121" t="s">
        <v>3874</v>
      </c>
    </row>
    <row r="5746" spans="1:8" ht="15" x14ac:dyDescent="0.2">
      <c r="A5746" s="597">
        <v>43346</v>
      </c>
      <c r="B5746" s="41" t="s">
        <v>2652</v>
      </c>
      <c r="C5746" s="63" t="s">
        <v>794</v>
      </c>
      <c r="D5746" s="129" t="s">
        <v>4084</v>
      </c>
      <c r="E5746" s="58">
        <v>20000.403225806451</v>
      </c>
      <c r="F5746" s="58"/>
      <c r="G5746" s="58">
        <f>F5746-E5749</f>
        <v>-2250</v>
      </c>
      <c r="H5746" s="121" t="s">
        <v>3874</v>
      </c>
    </row>
    <row r="5747" spans="1:8" ht="15" x14ac:dyDescent="0.2">
      <c r="A5747" s="597">
        <v>43346</v>
      </c>
      <c r="B5747" s="41" t="s">
        <v>2652</v>
      </c>
      <c r="C5747" s="63" t="s">
        <v>794</v>
      </c>
      <c r="D5747" s="129" t="s">
        <v>4085</v>
      </c>
      <c r="E5747" s="58">
        <v>18200.241935483868</v>
      </c>
      <c r="F5747" s="58"/>
      <c r="G5747" s="58">
        <f>F5747-E5750</f>
        <v>-19514</v>
      </c>
      <c r="H5747" s="121" t="s">
        <v>3874</v>
      </c>
    </row>
    <row r="5748" spans="1:8" ht="15" x14ac:dyDescent="0.2">
      <c r="A5748" s="597">
        <v>43346</v>
      </c>
      <c r="B5748" s="41" t="s">
        <v>11</v>
      </c>
      <c r="C5748" s="63" t="s">
        <v>794</v>
      </c>
      <c r="D5748" s="129" t="s">
        <v>3770</v>
      </c>
      <c r="E5748" s="58">
        <v>5000</v>
      </c>
      <c r="F5748" s="58"/>
      <c r="G5748" s="58">
        <f>F5748-E5751</f>
        <v>-10000</v>
      </c>
      <c r="H5748" s="121" t="s">
        <v>3874</v>
      </c>
    </row>
    <row r="5749" spans="1:8" ht="15" x14ac:dyDescent="0.2">
      <c r="A5749" s="597">
        <v>43346</v>
      </c>
      <c r="B5749" s="41" t="s">
        <v>2652</v>
      </c>
      <c r="C5749" s="63" t="s">
        <v>3145</v>
      </c>
      <c r="D5749" s="129" t="s">
        <v>4012</v>
      </c>
      <c r="E5749" s="58">
        <v>2250</v>
      </c>
      <c r="F5749" s="58"/>
      <c r="G5749" s="58">
        <f t="shared" ref="G5749:G5812" si="95">F5749-E5749</f>
        <v>-2250</v>
      </c>
      <c r="H5749" s="121" t="s">
        <v>3874</v>
      </c>
    </row>
    <row r="5750" spans="1:8" ht="15" x14ac:dyDescent="0.2">
      <c r="A5750" s="597">
        <v>43346</v>
      </c>
      <c r="B5750" s="41" t="s">
        <v>2933</v>
      </c>
      <c r="C5750" s="63" t="s">
        <v>3145</v>
      </c>
      <c r="D5750" s="129" t="s">
        <v>4013</v>
      </c>
      <c r="E5750" s="58">
        <v>19514</v>
      </c>
      <c r="F5750" s="58"/>
      <c r="G5750" s="58">
        <f t="shared" si="95"/>
        <v>-19514</v>
      </c>
      <c r="H5750" s="121" t="s">
        <v>3874</v>
      </c>
    </row>
    <row r="5751" spans="1:8" ht="15" x14ac:dyDescent="0.2">
      <c r="A5751" s="597">
        <v>43346</v>
      </c>
      <c r="B5751" s="41" t="s">
        <v>3622</v>
      </c>
      <c r="C5751" s="63" t="s">
        <v>3145</v>
      </c>
      <c r="D5751" s="129" t="s">
        <v>4013</v>
      </c>
      <c r="E5751" s="58">
        <v>10000</v>
      </c>
      <c r="F5751" s="58"/>
      <c r="G5751" s="58">
        <f t="shared" si="95"/>
        <v>-10000</v>
      </c>
      <c r="H5751" s="121" t="s">
        <v>3874</v>
      </c>
    </row>
    <row r="5752" spans="1:8" ht="15" x14ac:dyDescent="0.2">
      <c r="A5752" s="597">
        <v>43346</v>
      </c>
      <c r="B5752" s="41" t="s">
        <v>1400</v>
      </c>
      <c r="C5752" s="63" t="s">
        <v>3145</v>
      </c>
      <c r="D5752" s="129" t="s">
        <v>4013</v>
      </c>
      <c r="E5752" s="58">
        <v>6816</v>
      </c>
      <c r="F5752" s="58"/>
      <c r="G5752" s="58">
        <f t="shared" si="95"/>
        <v>-6816</v>
      </c>
      <c r="H5752" s="121" t="s">
        <v>3874</v>
      </c>
    </row>
    <row r="5753" spans="1:8" ht="15" x14ac:dyDescent="0.2">
      <c r="A5753" s="597">
        <v>43346</v>
      </c>
      <c r="B5753" s="41" t="s">
        <v>2933</v>
      </c>
      <c r="C5753" s="63" t="s">
        <v>3149</v>
      </c>
      <c r="D5753" s="129" t="s">
        <v>3369</v>
      </c>
      <c r="E5753" s="58">
        <v>255</v>
      </c>
      <c r="F5753" s="58"/>
      <c r="G5753" s="58">
        <f t="shared" si="95"/>
        <v>-255</v>
      </c>
      <c r="H5753" s="121" t="s">
        <v>3874</v>
      </c>
    </row>
    <row r="5754" spans="1:8" ht="15" x14ac:dyDescent="0.2">
      <c r="A5754" s="597">
        <v>43346</v>
      </c>
      <c r="B5754" s="41" t="s">
        <v>2933</v>
      </c>
      <c r="C5754" s="63" t="s">
        <v>3149</v>
      </c>
      <c r="D5754" s="129" t="s">
        <v>3369</v>
      </c>
      <c r="E5754" s="58">
        <v>255</v>
      </c>
      <c r="F5754" s="58"/>
      <c r="G5754" s="58">
        <f t="shared" si="95"/>
        <v>-255</v>
      </c>
      <c r="H5754" s="121" t="s">
        <v>3874</v>
      </c>
    </row>
    <row r="5755" spans="1:8" ht="15" x14ac:dyDescent="0.2">
      <c r="A5755" s="597">
        <v>43346</v>
      </c>
      <c r="B5755" s="41" t="s">
        <v>1400</v>
      </c>
      <c r="C5755" s="63" t="s">
        <v>3149</v>
      </c>
      <c r="D5755" s="129" t="s">
        <v>3369</v>
      </c>
      <c r="E5755" s="58">
        <v>100</v>
      </c>
      <c r="F5755" s="58"/>
      <c r="G5755" s="58">
        <f t="shared" si="95"/>
        <v>-100</v>
      </c>
      <c r="H5755" s="121" t="s">
        <v>3874</v>
      </c>
    </row>
    <row r="5756" spans="1:8" ht="15" x14ac:dyDescent="0.2">
      <c r="A5756" s="597">
        <v>43347</v>
      </c>
      <c r="B5756" s="41" t="s">
        <v>2652</v>
      </c>
      <c r="C5756" s="63" t="s">
        <v>3145</v>
      </c>
      <c r="D5756" s="129" t="s">
        <v>3797</v>
      </c>
      <c r="E5756" s="58">
        <v>4800</v>
      </c>
      <c r="F5756" s="58"/>
      <c r="G5756" s="58">
        <f t="shared" si="95"/>
        <v>-4800</v>
      </c>
      <c r="H5756" s="121" t="s">
        <v>3874</v>
      </c>
    </row>
    <row r="5757" spans="1:8" ht="15" x14ac:dyDescent="0.2">
      <c r="A5757" s="597">
        <v>43347</v>
      </c>
      <c r="B5757" s="41" t="s">
        <v>2652</v>
      </c>
      <c r="C5757" s="63" t="s">
        <v>3145</v>
      </c>
      <c r="D5757" s="129" t="s">
        <v>4014</v>
      </c>
      <c r="E5757" s="58">
        <v>2200</v>
      </c>
      <c r="F5757" s="58"/>
      <c r="G5757" s="58">
        <f t="shared" si="95"/>
        <v>-2200</v>
      </c>
      <c r="H5757" s="121" t="s">
        <v>3874</v>
      </c>
    </row>
    <row r="5758" spans="1:8" ht="15" x14ac:dyDescent="0.2">
      <c r="A5758" s="597">
        <v>43347</v>
      </c>
      <c r="B5758" s="41" t="s">
        <v>16</v>
      </c>
      <c r="C5758" s="63" t="s">
        <v>3791</v>
      </c>
      <c r="D5758" s="129" t="s">
        <v>370</v>
      </c>
      <c r="E5758" s="58">
        <v>4150</v>
      </c>
      <c r="F5758" s="58"/>
      <c r="G5758" s="58">
        <f t="shared" si="95"/>
        <v>-4150</v>
      </c>
      <c r="H5758" s="121" t="s">
        <v>3874</v>
      </c>
    </row>
    <row r="5759" spans="1:8" ht="15" x14ac:dyDescent="0.2">
      <c r="A5759" s="597">
        <v>43347</v>
      </c>
      <c r="B5759" s="41" t="s">
        <v>2652</v>
      </c>
      <c r="C5759" s="63" t="s">
        <v>3145</v>
      </c>
      <c r="D5759" s="129" t="s">
        <v>4015</v>
      </c>
      <c r="E5759" s="58">
        <v>11500</v>
      </c>
      <c r="F5759" s="58"/>
      <c r="G5759" s="58">
        <f t="shared" si="95"/>
        <v>-11500</v>
      </c>
      <c r="H5759" s="121" t="s">
        <v>3874</v>
      </c>
    </row>
    <row r="5760" spans="1:8" ht="15" x14ac:dyDescent="0.2">
      <c r="A5760" s="597">
        <v>43347</v>
      </c>
      <c r="B5760" s="41" t="s">
        <v>1400</v>
      </c>
      <c r="C5760" s="63" t="s">
        <v>3145</v>
      </c>
      <c r="D5760" s="129" t="s">
        <v>4016</v>
      </c>
      <c r="E5760" s="58">
        <v>2000</v>
      </c>
      <c r="F5760" s="58"/>
      <c r="G5760" s="58">
        <f t="shared" si="95"/>
        <v>-2000</v>
      </c>
      <c r="H5760" s="121" t="s">
        <v>3874</v>
      </c>
    </row>
    <row r="5761" spans="1:8" ht="15" x14ac:dyDescent="0.2">
      <c r="A5761" s="597">
        <v>43347</v>
      </c>
      <c r="B5761" s="41" t="s">
        <v>3622</v>
      </c>
      <c r="C5761" s="63" t="s">
        <v>3145</v>
      </c>
      <c r="D5761" s="129" t="s">
        <v>4017</v>
      </c>
      <c r="E5761" s="58">
        <f>1350+4500</f>
        <v>5850</v>
      </c>
      <c r="F5761" s="58"/>
      <c r="G5761" s="58">
        <f t="shared" si="95"/>
        <v>-5850</v>
      </c>
      <c r="H5761" s="121" t="s">
        <v>3874</v>
      </c>
    </row>
    <row r="5762" spans="1:8" ht="15" x14ac:dyDescent="0.2">
      <c r="A5762" s="597">
        <v>43347</v>
      </c>
      <c r="B5762" s="41" t="s">
        <v>2933</v>
      </c>
      <c r="C5762" s="63" t="s">
        <v>3145</v>
      </c>
      <c r="D5762" s="129" t="s">
        <v>4018</v>
      </c>
      <c r="E5762" s="58">
        <f>14300+3000</f>
        <v>17300</v>
      </c>
      <c r="F5762" s="58"/>
      <c r="G5762" s="58">
        <f t="shared" si="95"/>
        <v>-17300</v>
      </c>
      <c r="H5762" s="121" t="s">
        <v>3874</v>
      </c>
    </row>
    <row r="5763" spans="1:8" ht="15" x14ac:dyDescent="0.2">
      <c r="A5763" s="597">
        <v>43349</v>
      </c>
      <c r="B5763" s="41" t="s">
        <v>16</v>
      </c>
      <c r="C5763" s="63" t="s">
        <v>6167</v>
      </c>
      <c r="D5763" s="129" t="s">
        <v>370</v>
      </c>
      <c r="E5763" s="58">
        <v>89314</v>
      </c>
      <c r="F5763" s="58"/>
      <c r="G5763" s="58">
        <f t="shared" si="95"/>
        <v>-89314</v>
      </c>
      <c r="H5763" s="121" t="s">
        <v>3874</v>
      </c>
    </row>
    <row r="5764" spans="1:8" ht="15" x14ac:dyDescent="0.2">
      <c r="A5764" s="597">
        <v>43349</v>
      </c>
      <c r="B5764" s="41" t="s">
        <v>25</v>
      </c>
      <c r="C5764" s="63" t="s">
        <v>6167</v>
      </c>
      <c r="D5764" s="129" t="s">
        <v>370</v>
      </c>
      <c r="E5764" s="58">
        <v>19607</v>
      </c>
      <c r="F5764" s="58"/>
      <c r="G5764" s="58">
        <f t="shared" si="95"/>
        <v>-19607</v>
      </c>
      <c r="H5764" s="121" t="s">
        <v>3874</v>
      </c>
    </row>
    <row r="5765" spans="1:8" ht="15" x14ac:dyDescent="0.2">
      <c r="A5765" s="597">
        <v>43353</v>
      </c>
      <c r="B5765" s="41" t="s">
        <v>16</v>
      </c>
      <c r="C5765" s="63" t="s">
        <v>3145</v>
      </c>
      <c r="D5765" s="129" t="s">
        <v>4022</v>
      </c>
      <c r="E5765" s="58">
        <v>1500</v>
      </c>
      <c r="F5765" s="58"/>
      <c r="G5765" s="58">
        <f t="shared" si="95"/>
        <v>-1500</v>
      </c>
      <c r="H5765" s="121" t="s">
        <v>3874</v>
      </c>
    </row>
    <row r="5766" spans="1:8" ht="15" x14ac:dyDescent="0.2">
      <c r="A5766" s="597">
        <v>43353</v>
      </c>
      <c r="B5766" s="41" t="s">
        <v>2933</v>
      </c>
      <c r="C5766" s="63" t="s">
        <v>3145</v>
      </c>
      <c r="D5766" s="129" t="s">
        <v>4023</v>
      </c>
      <c r="E5766" s="58">
        <v>2900</v>
      </c>
      <c r="F5766" s="58"/>
      <c r="G5766" s="58">
        <f t="shared" si="95"/>
        <v>-2900</v>
      </c>
      <c r="H5766" s="121" t="s">
        <v>3874</v>
      </c>
    </row>
    <row r="5767" spans="1:8" ht="15" x14ac:dyDescent="0.2">
      <c r="A5767" s="597">
        <v>43353</v>
      </c>
      <c r="B5767" s="41" t="s">
        <v>1400</v>
      </c>
      <c r="C5767" s="63" t="s">
        <v>3145</v>
      </c>
      <c r="D5767" s="129" t="s">
        <v>3977</v>
      </c>
      <c r="E5767" s="58">
        <v>27180</v>
      </c>
      <c r="F5767" s="58"/>
      <c r="G5767" s="58">
        <f t="shared" si="95"/>
        <v>-27180</v>
      </c>
      <c r="H5767" s="121" t="s">
        <v>3874</v>
      </c>
    </row>
    <row r="5768" spans="1:8" ht="15" x14ac:dyDescent="0.2">
      <c r="A5768" s="597">
        <v>43353</v>
      </c>
      <c r="B5768" s="41" t="s">
        <v>2933</v>
      </c>
      <c r="C5768" s="63" t="s">
        <v>3145</v>
      </c>
      <c r="D5768" s="129" t="s">
        <v>3971</v>
      </c>
      <c r="E5768" s="58">
        <v>3680</v>
      </c>
      <c r="F5768" s="58"/>
      <c r="G5768" s="58">
        <f t="shared" si="95"/>
        <v>-3680</v>
      </c>
      <c r="H5768" s="121" t="s">
        <v>3874</v>
      </c>
    </row>
    <row r="5769" spans="1:8" ht="15" x14ac:dyDescent="0.2">
      <c r="A5769" s="597">
        <v>43353</v>
      </c>
      <c r="B5769" s="41" t="s">
        <v>2652</v>
      </c>
      <c r="C5769" s="63" t="s">
        <v>3149</v>
      </c>
      <c r="D5769" s="129" t="s">
        <v>3369</v>
      </c>
      <c r="E5769" s="58">
        <v>130</v>
      </c>
      <c r="F5769" s="58"/>
      <c r="G5769" s="58">
        <f t="shared" si="95"/>
        <v>-130</v>
      </c>
      <c r="H5769" s="121" t="s">
        <v>3874</v>
      </c>
    </row>
    <row r="5770" spans="1:8" ht="15" x14ac:dyDescent="0.2">
      <c r="A5770" s="597">
        <v>43347</v>
      </c>
      <c r="B5770" s="41" t="s">
        <v>18</v>
      </c>
      <c r="C5770" s="63" t="s">
        <v>3145</v>
      </c>
      <c r="D5770" s="129" t="s">
        <v>392</v>
      </c>
      <c r="E5770" s="58">
        <f>950+190</f>
        <v>1140</v>
      </c>
      <c r="F5770" s="58"/>
      <c r="G5770" s="58">
        <f t="shared" si="95"/>
        <v>-1140</v>
      </c>
      <c r="H5770" s="121" t="s">
        <v>3874</v>
      </c>
    </row>
    <row r="5771" spans="1:8" ht="15" x14ac:dyDescent="0.2">
      <c r="A5771" s="597">
        <v>43354</v>
      </c>
      <c r="B5771" s="41" t="s">
        <v>3622</v>
      </c>
      <c r="C5771" s="63" t="s">
        <v>3145</v>
      </c>
      <c r="D5771" s="129" t="s">
        <v>4024</v>
      </c>
      <c r="E5771" s="58">
        <v>26540</v>
      </c>
      <c r="F5771" s="58"/>
      <c r="G5771" s="58">
        <f t="shared" si="95"/>
        <v>-26540</v>
      </c>
      <c r="H5771" s="121" t="s">
        <v>3874</v>
      </c>
    </row>
    <row r="5772" spans="1:8" ht="15" x14ac:dyDescent="0.2">
      <c r="A5772" s="597">
        <v>43354</v>
      </c>
      <c r="B5772" s="41" t="s">
        <v>1400</v>
      </c>
      <c r="C5772" s="63" t="s">
        <v>3145</v>
      </c>
      <c r="D5772" s="129" t="s">
        <v>4025</v>
      </c>
      <c r="E5772" s="58">
        <v>10224</v>
      </c>
      <c r="F5772" s="58"/>
      <c r="G5772" s="58">
        <f t="shared" si="95"/>
        <v>-10224</v>
      </c>
      <c r="H5772" s="121" t="s">
        <v>3874</v>
      </c>
    </row>
    <row r="5773" spans="1:8" ht="15" x14ac:dyDescent="0.2">
      <c r="A5773" s="597">
        <v>43354</v>
      </c>
      <c r="B5773" s="41" t="s">
        <v>2933</v>
      </c>
      <c r="C5773" s="63" t="s">
        <v>3145</v>
      </c>
      <c r="D5773" s="129" t="s">
        <v>4025</v>
      </c>
      <c r="E5773" s="58">
        <v>6816</v>
      </c>
      <c r="F5773" s="58"/>
      <c r="G5773" s="58">
        <f t="shared" si="95"/>
        <v>-6816</v>
      </c>
      <c r="H5773" s="121" t="s">
        <v>3874</v>
      </c>
    </row>
    <row r="5774" spans="1:8" ht="15" x14ac:dyDescent="0.2">
      <c r="A5774" s="597">
        <v>43354</v>
      </c>
      <c r="B5774" s="41" t="s">
        <v>1400</v>
      </c>
      <c r="C5774" s="63" t="s">
        <v>3145</v>
      </c>
      <c r="D5774" s="129" t="s">
        <v>4026</v>
      </c>
      <c r="E5774" s="58">
        <v>9820</v>
      </c>
      <c r="F5774" s="58"/>
      <c r="G5774" s="58">
        <f t="shared" si="95"/>
        <v>-9820</v>
      </c>
      <c r="H5774" s="121" t="s">
        <v>3874</v>
      </c>
    </row>
    <row r="5775" spans="1:8" ht="15" x14ac:dyDescent="0.2">
      <c r="A5775" s="597">
        <v>43354</v>
      </c>
      <c r="B5775" s="41" t="s">
        <v>3622</v>
      </c>
      <c r="C5775" s="63" t="s">
        <v>3145</v>
      </c>
      <c r="D5775" s="129" t="s">
        <v>4027</v>
      </c>
      <c r="E5775" s="58">
        <v>12620</v>
      </c>
      <c r="F5775" s="58"/>
      <c r="G5775" s="58">
        <f t="shared" si="95"/>
        <v>-12620</v>
      </c>
      <c r="H5775" s="121" t="s">
        <v>3874</v>
      </c>
    </row>
    <row r="5776" spans="1:8" ht="15" x14ac:dyDescent="0.2">
      <c r="A5776" s="597">
        <v>43354</v>
      </c>
      <c r="B5776" s="41" t="s">
        <v>2652</v>
      </c>
      <c r="C5776" s="63" t="s">
        <v>3145</v>
      </c>
      <c r="D5776" s="129" t="s">
        <v>4028</v>
      </c>
      <c r="E5776" s="58">
        <v>2120</v>
      </c>
      <c r="F5776" s="58"/>
      <c r="G5776" s="58">
        <f t="shared" si="95"/>
        <v>-2120</v>
      </c>
      <c r="H5776" s="121" t="s">
        <v>3874</v>
      </c>
    </row>
    <row r="5777" spans="1:8" ht="15" x14ac:dyDescent="0.2">
      <c r="A5777" s="597">
        <v>43354</v>
      </c>
      <c r="B5777" s="41" t="s">
        <v>2933</v>
      </c>
      <c r="C5777" s="63" t="s">
        <v>3145</v>
      </c>
      <c r="D5777" s="129" t="s">
        <v>4029</v>
      </c>
      <c r="E5777" s="58">
        <v>15150</v>
      </c>
      <c r="F5777" s="58"/>
      <c r="G5777" s="58">
        <f t="shared" si="95"/>
        <v>-15150</v>
      </c>
      <c r="H5777" s="121" t="s">
        <v>3874</v>
      </c>
    </row>
    <row r="5778" spans="1:8" ht="15" x14ac:dyDescent="0.2">
      <c r="A5778" s="597">
        <v>43354</v>
      </c>
      <c r="B5778" s="41" t="s">
        <v>3733</v>
      </c>
      <c r="C5778" s="63" t="s">
        <v>3145</v>
      </c>
      <c r="D5778" s="129" t="s">
        <v>4030</v>
      </c>
      <c r="E5778" s="58">
        <v>10000</v>
      </c>
      <c r="F5778" s="58"/>
      <c r="G5778" s="58">
        <f t="shared" si="95"/>
        <v>-10000</v>
      </c>
      <c r="H5778" s="121" t="s">
        <v>3874</v>
      </c>
    </row>
    <row r="5779" spans="1:8" ht="15" x14ac:dyDescent="0.2">
      <c r="A5779" s="597">
        <v>43354</v>
      </c>
      <c r="B5779" s="41" t="s">
        <v>25</v>
      </c>
      <c r="C5779" s="63" t="s">
        <v>1894</v>
      </c>
      <c r="D5779" s="129" t="s">
        <v>392</v>
      </c>
      <c r="E5779" s="58">
        <v>9120</v>
      </c>
      <c r="F5779" s="58"/>
      <c r="G5779" s="58">
        <f t="shared" si="95"/>
        <v>-9120</v>
      </c>
      <c r="H5779" s="121" t="s">
        <v>3874</v>
      </c>
    </row>
    <row r="5780" spans="1:8" ht="15" x14ac:dyDescent="0.2">
      <c r="A5780" s="597">
        <v>43354</v>
      </c>
      <c r="B5780" s="41" t="s">
        <v>25</v>
      </c>
      <c r="C5780" s="63" t="s">
        <v>1894</v>
      </c>
      <c r="D5780" s="129" t="s">
        <v>392</v>
      </c>
      <c r="E5780" s="58">
        <v>7410</v>
      </c>
      <c r="F5780" s="58"/>
      <c r="G5780" s="58">
        <f t="shared" si="95"/>
        <v>-7410</v>
      </c>
      <c r="H5780" s="121" t="s">
        <v>3874</v>
      </c>
    </row>
    <row r="5781" spans="1:8" ht="15" x14ac:dyDescent="0.2">
      <c r="A5781" s="597">
        <v>43354</v>
      </c>
      <c r="B5781" s="41" t="s">
        <v>3622</v>
      </c>
      <c r="C5781" s="63" t="s">
        <v>3149</v>
      </c>
      <c r="D5781" s="129" t="s">
        <v>3369</v>
      </c>
      <c r="E5781" s="58">
        <v>100</v>
      </c>
      <c r="F5781" s="58"/>
      <c r="G5781" s="58">
        <f t="shared" si="95"/>
        <v>-100</v>
      </c>
      <c r="H5781" s="121" t="s">
        <v>3874</v>
      </c>
    </row>
    <row r="5782" spans="1:8" ht="15" x14ac:dyDescent="0.2">
      <c r="A5782" s="597">
        <v>43354</v>
      </c>
      <c r="B5782" s="41" t="s">
        <v>2933</v>
      </c>
      <c r="C5782" s="63" t="s">
        <v>3149</v>
      </c>
      <c r="D5782" s="129" t="s">
        <v>3369</v>
      </c>
      <c r="E5782" s="58">
        <v>280</v>
      </c>
      <c r="F5782" s="58"/>
      <c r="G5782" s="58">
        <f t="shared" si="95"/>
        <v>-280</v>
      </c>
      <c r="H5782" s="121" t="s">
        <v>3874</v>
      </c>
    </row>
    <row r="5783" spans="1:8" ht="15" x14ac:dyDescent="0.2">
      <c r="A5783" s="597">
        <v>43357</v>
      </c>
      <c r="B5783" s="41" t="s">
        <v>3622</v>
      </c>
      <c r="C5783" s="63" t="s">
        <v>3145</v>
      </c>
      <c r="D5783" s="129" t="s">
        <v>4031</v>
      </c>
      <c r="E5783" s="58">
        <v>24296</v>
      </c>
      <c r="F5783" s="58"/>
      <c r="G5783" s="58">
        <f t="shared" si="95"/>
        <v>-24296</v>
      </c>
      <c r="H5783" s="121" t="s">
        <v>3874</v>
      </c>
    </row>
    <row r="5784" spans="1:8" ht="15" x14ac:dyDescent="0.2">
      <c r="A5784" s="597">
        <v>43357</v>
      </c>
      <c r="B5784" s="41" t="s">
        <v>2933</v>
      </c>
      <c r="C5784" s="63" t="s">
        <v>3145</v>
      </c>
      <c r="D5784" s="129" t="s">
        <v>4032</v>
      </c>
      <c r="E5784" s="58">
        <v>10224</v>
      </c>
      <c r="F5784" s="58"/>
      <c r="G5784" s="58">
        <f t="shared" si="95"/>
        <v>-10224</v>
      </c>
      <c r="H5784" s="121" t="s">
        <v>3874</v>
      </c>
    </row>
    <row r="5785" spans="1:8" ht="15" x14ac:dyDescent="0.2">
      <c r="A5785" s="597">
        <v>43357</v>
      </c>
      <c r="B5785" s="41" t="s">
        <v>2652</v>
      </c>
      <c r="C5785" s="63" t="s">
        <v>3145</v>
      </c>
      <c r="D5785" s="129" t="s">
        <v>4034</v>
      </c>
      <c r="E5785" s="58">
        <v>7130</v>
      </c>
      <c r="F5785" s="58"/>
      <c r="G5785" s="58">
        <f t="shared" si="95"/>
        <v>-7130</v>
      </c>
      <c r="H5785" s="121" t="s">
        <v>3874</v>
      </c>
    </row>
    <row r="5786" spans="1:8" ht="15" x14ac:dyDescent="0.2">
      <c r="A5786" s="597">
        <v>43357</v>
      </c>
      <c r="B5786" s="41" t="s">
        <v>3622</v>
      </c>
      <c r="C5786" s="63" t="s">
        <v>3145</v>
      </c>
      <c r="D5786" s="129" t="s">
        <v>4034</v>
      </c>
      <c r="E5786" s="58">
        <v>8700</v>
      </c>
      <c r="F5786" s="58"/>
      <c r="G5786" s="58">
        <f t="shared" si="95"/>
        <v>-8700</v>
      </c>
      <c r="H5786" s="121" t="s">
        <v>3874</v>
      </c>
    </row>
    <row r="5787" spans="1:8" ht="15" x14ac:dyDescent="0.2">
      <c r="A5787" s="597">
        <v>43357</v>
      </c>
      <c r="B5787" s="41" t="s">
        <v>2933</v>
      </c>
      <c r="C5787" s="63" t="s">
        <v>3145</v>
      </c>
      <c r="D5787" s="129" t="s">
        <v>4036</v>
      </c>
      <c r="E5787" s="58">
        <v>15755</v>
      </c>
      <c r="F5787" s="58"/>
      <c r="G5787" s="58">
        <f t="shared" si="95"/>
        <v>-15755</v>
      </c>
      <c r="H5787" s="121" t="s">
        <v>3874</v>
      </c>
    </row>
    <row r="5788" spans="1:8" ht="15" x14ac:dyDescent="0.2">
      <c r="A5788" s="597">
        <v>43357</v>
      </c>
      <c r="B5788" s="41" t="s">
        <v>3622</v>
      </c>
      <c r="C5788" s="63" t="s">
        <v>3145</v>
      </c>
      <c r="D5788" s="129" t="s">
        <v>4037</v>
      </c>
      <c r="E5788" s="58">
        <v>14510</v>
      </c>
      <c r="F5788" s="58"/>
      <c r="G5788" s="58">
        <f t="shared" si="95"/>
        <v>-14510</v>
      </c>
      <c r="H5788" s="121" t="s">
        <v>3874</v>
      </c>
    </row>
    <row r="5789" spans="1:8" ht="15" x14ac:dyDescent="0.2">
      <c r="A5789" s="597">
        <v>43357</v>
      </c>
      <c r="B5789" s="41" t="s">
        <v>2652</v>
      </c>
      <c r="C5789" s="63" t="s">
        <v>3145</v>
      </c>
      <c r="D5789" s="129" t="s">
        <v>4035</v>
      </c>
      <c r="E5789" s="58">
        <v>432</v>
      </c>
      <c r="F5789" s="58"/>
      <c r="G5789" s="58">
        <f t="shared" si="95"/>
        <v>-432</v>
      </c>
      <c r="H5789" s="121" t="s">
        <v>3874</v>
      </c>
    </row>
    <row r="5790" spans="1:8" ht="15" x14ac:dyDescent="0.2">
      <c r="A5790" s="597">
        <v>43357</v>
      </c>
      <c r="B5790" s="41" t="s">
        <v>6516</v>
      </c>
      <c r="C5790" s="63" t="s">
        <v>3149</v>
      </c>
      <c r="D5790" s="129" t="s">
        <v>3369</v>
      </c>
      <c r="E5790" s="58">
        <v>810</v>
      </c>
      <c r="F5790" s="58"/>
      <c r="G5790" s="58">
        <f t="shared" si="95"/>
        <v>-810</v>
      </c>
      <c r="H5790" s="121" t="s">
        <v>3874</v>
      </c>
    </row>
    <row r="5791" spans="1:8" ht="15" x14ac:dyDescent="0.2">
      <c r="A5791" s="597">
        <v>43357</v>
      </c>
      <c r="B5791" s="41" t="s">
        <v>3733</v>
      </c>
      <c r="C5791" s="63" t="s">
        <v>3145</v>
      </c>
      <c r="D5791" s="129" t="s">
        <v>4038</v>
      </c>
      <c r="E5791" s="58">
        <v>15000</v>
      </c>
      <c r="F5791" s="58"/>
      <c r="G5791" s="58">
        <f t="shared" si="95"/>
        <v>-15000</v>
      </c>
      <c r="H5791" s="121" t="s">
        <v>3874</v>
      </c>
    </row>
    <row r="5792" spans="1:8" ht="15" x14ac:dyDescent="0.2">
      <c r="A5792" s="597">
        <v>43357</v>
      </c>
      <c r="B5792" s="41" t="s">
        <v>3733</v>
      </c>
      <c r="C5792" s="63" t="s">
        <v>3145</v>
      </c>
      <c r="D5792" s="129" t="s">
        <v>4039</v>
      </c>
      <c r="E5792" s="58">
        <v>7900</v>
      </c>
      <c r="F5792" s="58"/>
      <c r="G5792" s="58">
        <f t="shared" si="95"/>
        <v>-7900</v>
      </c>
      <c r="H5792" s="121" t="s">
        <v>3874</v>
      </c>
    </row>
    <row r="5793" spans="1:8" ht="15" x14ac:dyDescent="0.2">
      <c r="A5793" s="597">
        <v>43357</v>
      </c>
      <c r="B5793" s="41" t="s">
        <v>3733</v>
      </c>
      <c r="C5793" s="63" t="s">
        <v>3145</v>
      </c>
      <c r="D5793" s="129" t="s">
        <v>4040</v>
      </c>
      <c r="E5793" s="58">
        <f>2000+1500+1000+2500+950+5500</f>
        <v>13450</v>
      </c>
      <c r="F5793" s="58"/>
      <c r="G5793" s="58">
        <f t="shared" si="95"/>
        <v>-13450</v>
      </c>
      <c r="H5793" s="121" t="s">
        <v>3874</v>
      </c>
    </row>
    <row r="5794" spans="1:8" ht="15" x14ac:dyDescent="0.2">
      <c r="A5794" s="597">
        <v>43357</v>
      </c>
      <c r="B5794" s="41" t="s">
        <v>2933</v>
      </c>
      <c r="C5794" s="63" t="s">
        <v>3145</v>
      </c>
      <c r="D5794" s="129" t="s">
        <v>4041</v>
      </c>
      <c r="E5794" s="58">
        <v>16900</v>
      </c>
      <c r="F5794" s="58"/>
      <c r="G5794" s="58">
        <f t="shared" si="95"/>
        <v>-16900</v>
      </c>
      <c r="H5794" s="121" t="s">
        <v>3874</v>
      </c>
    </row>
    <row r="5795" spans="1:8" ht="15" x14ac:dyDescent="0.2">
      <c r="A5795" s="597">
        <v>43357</v>
      </c>
      <c r="B5795" s="41" t="s">
        <v>2652</v>
      </c>
      <c r="C5795" s="63" t="s">
        <v>3149</v>
      </c>
      <c r="D5795" s="129" t="s">
        <v>3369</v>
      </c>
      <c r="E5795" s="58">
        <v>480</v>
      </c>
      <c r="F5795" s="58"/>
      <c r="G5795" s="58">
        <f t="shared" si="95"/>
        <v>-480</v>
      </c>
      <c r="H5795" s="121" t="s">
        <v>3874</v>
      </c>
    </row>
    <row r="5796" spans="1:8" ht="15" x14ac:dyDescent="0.2">
      <c r="A5796" s="597">
        <v>43360</v>
      </c>
      <c r="B5796" s="41" t="s">
        <v>3622</v>
      </c>
      <c r="C5796" s="63" t="s">
        <v>3145</v>
      </c>
      <c r="D5796" s="129" t="s">
        <v>4054</v>
      </c>
      <c r="E5796" s="58">
        <v>33660</v>
      </c>
      <c r="F5796" s="58"/>
      <c r="G5796" s="58">
        <f t="shared" si="95"/>
        <v>-33660</v>
      </c>
      <c r="H5796" s="121" t="s">
        <v>3874</v>
      </c>
    </row>
    <row r="5797" spans="1:8" ht="15" x14ac:dyDescent="0.2">
      <c r="A5797" s="597">
        <v>43360</v>
      </c>
      <c r="B5797" s="41" t="s">
        <v>2933</v>
      </c>
      <c r="C5797" s="63" t="s">
        <v>3145</v>
      </c>
      <c r="D5797" s="129" t="s">
        <v>4054</v>
      </c>
      <c r="E5797" s="58">
        <v>18924</v>
      </c>
      <c r="F5797" s="58"/>
      <c r="G5797" s="58">
        <f t="shared" si="95"/>
        <v>-18924</v>
      </c>
      <c r="H5797" s="121" t="s">
        <v>3874</v>
      </c>
    </row>
    <row r="5798" spans="1:8" ht="15" x14ac:dyDescent="0.2">
      <c r="A5798" s="597">
        <v>43360</v>
      </c>
      <c r="B5798" s="41" t="s">
        <v>2652</v>
      </c>
      <c r="C5798" s="63" t="s">
        <v>3145</v>
      </c>
      <c r="D5798" s="129" t="s">
        <v>4055</v>
      </c>
      <c r="E5798" s="58">
        <v>3200</v>
      </c>
      <c r="F5798" s="58"/>
      <c r="G5798" s="58">
        <f t="shared" si="95"/>
        <v>-3200</v>
      </c>
      <c r="H5798" s="121" t="s">
        <v>3874</v>
      </c>
    </row>
    <row r="5799" spans="1:8" ht="15" x14ac:dyDescent="0.2">
      <c r="A5799" s="597">
        <v>43361</v>
      </c>
      <c r="B5799" s="41" t="s">
        <v>2933</v>
      </c>
      <c r="C5799" s="63" t="s">
        <v>3145</v>
      </c>
      <c r="D5799" s="129" t="s">
        <v>4056</v>
      </c>
      <c r="E5799" s="58">
        <v>11900</v>
      </c>
      <c r="F5799" s="58"/>
      <c r="G5799" s="58">
        <f t="shared" si="95"/>
        <v>-11900</v>
      </c>
      <c r="H5799" s="121" t="s">
        <v>3874</v>
      </c>
    </row>
    <row r="5800" spans="1:8" ht="15" x14ac:dyDescent="0.2">
      <c r="A5800" s="597">
        <v>43361</v>
      </c>
      <c r="B5800" s="41" t="s">
        <v>3622</v>
      </c>
      <c r="C5800" s="63" t="s">
        <v>3145</v>
      </c>
      <c r="D5800" s="129" t="s">
        <v>4057</v>
      </c>
      <c r="E5800" s="58">
        <v>17647</v>
      </c>
      <c r="F5800" s="58"/>
      <c r="G5800" s="58">
        <f t="shared" si="95"/>
        <v>-17647</v>
      </c>
      <c r="H5800" s="121" t="s">
        <v>3874</v>
      </c>
    </row>
    <row r="5801" spans="1:8" ht="15" x14ac:dyDescent="0.2">
      <c r="A5801" s="597">
        <v>43361</v>
      </c>
      <c r="B5801" s="41" t="s">
        <v>2652</v>
      </c>
      <c r="C5801" s="63" t="s">
        <v>3145</v>
      </c>
      <c r="D5801" s="129" t="s">
        <v>757</v>
      </c>
      <c r="E5801" s="58">
        <v>400</v>
      </c>
      <c r="F5801" s="58"/>
      <c r="G5801" s="58">
        <f t="shared" si="95"/>
        <v>-400</v>
      </c>
      <c r="H5801" s="121" t="s">
        <v>3874</v>
      </c>
    </row>
    <row r="5802" spans="1:8" ht="15" x14ac:dyDescent="0.2">
      <c r="A5802" s="597">
        <v>43361</v>
      </c>
      <c r="B5802" s="41" t="s">
        <v>2652</v>
      </c>
      <c r="C5802" s="63" t="s">
        <v>3149</v>
      </c>
      <c r="D5802" s="129" t="s">
        <v>3369</v>
      </c>
      <c r="E5802" s="58">
        <v>320</v>
      </c>
      <c r="F5802" s="58"/>
      <c r="G5802" s="58">
        <f t="shared" si="95"/>
        <v>-320</v>
      </c>
      <c r="H5802" s="121" t="s">
        <v>3874</v>
      </c>
    </row>
    <row r="5803" spans="1:8" ht="15" x14ac:dyDescent="0.2">
      <c r="A5803" s="597">
        <v>43361</v>
      </c>
      <c r="B5803" s="41" t="s">
        <v>1400</v>
      </c>
      <c r="C5803" s="63" t="s">
        <v>3149</v>
      </c>
      <c r="D5803" s="129" t="s">
        <v>3369</v>
      </c>
      <c r="E5803" s="58">
        <v>160</v>
      </c>
      <c r="F5803" s="58"/>
      <c r="G5803" s="58">
        <f t="shared" si="95"/>
        <v>-160</v>
      </c>
      <c r="H5803" s="121" t="s">
        <v>3874</v>
      </c>
    </row>
    <row r="5804" spans="1:8" ht="15" x14ac:dyDescent="0.2">
      <c r="A5804" s="597">
        <v>43361</v>
      </c>
      <c r="B5804" s="41" t="s">
        <v>16</v>
      </c>
      <c r="C5804" s="63" t="s">
        <v>103</v>
      </c>
      <c r="D5804" s="129" t="s">
        <v>4053</v>
      </c>
      <c r="E5804" s="58">
        <v>1200</v>
      </c>
      <c r="F5804" s="58"/>
      <c r="G5804" s="58">
        <f t="shared" si="95"/>
        <v>-1200</v>
      </c>
      <c r="H5804" s="121" t="s">
        <v>3874</v>
      </c>
    </row>
    <row r="5805" spans="1:8" ht="15" x14ac:dyDescent="0.2">
      <c r="A5805" s="597">
        <v>43365</v>
      </c>
      <c r="B5805" s="41" t="s">
        <v>3622</v>
      </c>
      <c r="C5805" s="63" t="s">
        <v>3145</v>
      </c>
      <c r="D5805" s="129" t="s">
        <v>4058</v>
      </c>
      <c r="E5805" s="58">
        <v>14364</v>
      </c>
      <c r="F5805" s="58"/>
      <c r="G5805" s="58">
        <f t="shared" si="95"/>
        <v>-14364</v>
      </c>
      <c r="H5805" s="121" t="s">
        <v>3874</v>
      </c>
    </row>
    <row r="5806" spans="1:8" ht="15" x14ac:dyDescent="0.2">
      <c r="A5806" s="597">
        <v>43365</v>
      </c>
      <c r="B5806" s="41" t="s">
        <v>16</v>
      </c>
      <c r="C5806" s="63" t="s">
        <v>372</v>
      </c>
      <c r="D5806" s="129" t="s">
        <v>392</v>
      </c>
      <c r="E5806" s="58">
        <v>8420</v>
      </c>
      <c r="F5806" s="58"/>
      <c r="G5806" s="58">
        <f t="shared" si="95"/>
        <v>-8420</v>
      </c>
      <c r="H5806" s="121" t="s">
        <v>3874</v>
      </c>
    </row>
    <row r="5807" spans="1:8" ht="15" x14ac:dyDescent="0.2">
      <c r="A5807" s="597">
        <v>43365</v>
      </c>
      <c r="B5807" s="41" t="s">
        <v>2652</v>
      </c>
      <c r="C5807" s="63" t="s">
        <v>392</v>
      </c>
      <c r="D5807" s="129" t="s">
        <v>4211</v>
      </c>
      <c r="E5807" s="58">
        <v>3500</v>
      </c>
      <c r="F5807" s="58"/>
      <c r="G5807" s="58">
        <f t="shared" si="95"/>
        <v>-3500</v>
      </c>
      <c r="H5807" s="121" t="s">
        <v>3874</v>
      </c>
    </row>
    <row r="5808" spans="1:8" ht="15" x14ac:dyDescent="0.2">
      <c r="A5808" s="597">
        <v>43365</v>
      </c>
      <c r="B5808" s="41" t="s">
        <v>6516</v>
      </c>
      <c r="C5808" s="63" t="s">
        <v>372</v>
      </c>
      <c r="D5808" s="129" t="s">
        <v>392</v>
      </c>
      <c r="E5808" s="58">
        <v>5000</v>
      </c>
      <c r="F5808" s="58"/>
      <c r="G5808" s="58">
        <f t="shared" si="95"/>
        <v>-5000</v>
      </c>
      <c r="H5808" s="121" t="s">
        <v>3874</v>
      </c>
    </row>
    <row r="5809" spans="1:8" ht="15" x14ac:dyDescent="0.2">
      <c r="A5809" s="597">
        <v>43367</v>
      </c>
      <c r="B5809" s="41" t="s">
        <v>2652</v>
      </c>
      <c r="C5809" s="63" t="s">
        <v>3145</v>
      </c>
      <c r="D5809" s="129" t="s">
        <v>4059</v>
      </c>
      <c r="E5809" s="58">
        <v>10550</v>
      </c>
      <c r="F5809" s="58"/>
      <c r="G5809" s="58">
        <f t="shared" si="95"/>
        <v>-10550</v>
      </c>
      <c r="H5809" s="121" t="s">
        <v>3874</v>
      </c>
    </row>
    <row r="5810" spans="1:8" ht="15" x14ac:dyDescent="0.2">
      <c r="A5810" s="597">
        <v>43367</v>
      </c>
      <c r="B5810" s="41" t="s">
        <v>2933</v>
      </c>
      <c r="C5810" s="63" t="s">
        <v>3145</v>
      </c>
      <c r="D5810" s="129" t="s">
        <v>4060</v>
      </c>
      <c r="E5810" s="58">
        <v>54500</v>
      </c>
      <c r="F5810" s="58"/>
      <c r="G5810" s="58">
        <f t="shared" si="95"/>
        <v>-54500</v>
      </c>
      <c r="H5810" s="121" t="s">
        <v>3874</v>
      </c>
    </row>
    <row r="5811" spans="1:8" ht="15" x14ac:dyDescent="0.2">
      <c r="A5811" s="597">
        <v>43367</v>
      </c>
      <c r="B5811" s="41" t="s">
        <v>2933</v>
      </c>
      <c r="C5811" s="63" t="s">
        <v>392</v>
      </c>
      <c r="D5811" s="129" t="s">
        <v>4061</v>
      </c>
      <c r="E5811" s="58">
        <v>1000</v>
      </c>
      <c r="F5811" s="58"/>
      <c r="G5811" s="58">
        <f t="shared" si="95"/>
        <v>-1000</v>
      </c>
      <c r="H5811" s="121" t="s">
        <v>3874</v>
      </c>
    </row>
    <row r="5812" spans="1:8" ht="15" x14ac:dyDescent="0.2">
      <c r="A5812" s="597">
        <v>43367</v>
      </c>
      <c r="B5812" s="41" t="s">
        <v>2933</v>
      </c>
      <c r="C5812" s="63" t="s">
        <v>3145</v>
      </c>
      <c r="D5812" s="129" t="s">
        <v>4062</v>
      </c>
      <c r="E5812" s="58">
        <v>11770</v>
      </c>
      <c r="F5812" s="58"/>
      <c r="G5812" s="58">
        <f t="shared" si="95"/>
        <v>-11770</v>
      </c>
      <c r="H5812" s="121" t="s">
        <v>3874</v>
      </c>
    </row>
    <row r="5813" spans="1:8" ht="15" x14ac:dyDescent="0.2">
      <c r="A5813" s="597">
        <v>43367</v>
      </c>
      <c r="B5813" s="41" t="s">
        <v>3733</v>
      </c>
      <c r="C5813" s="63" t="s">
        <v>392</v>
      </c>
      <c r="D5813" s="129" t="s">
        <v>4063</v>
      </c>
      <c r="E5813" s="58">
        <v>4000</v>
      </c>
      <c r="F5813" s="58"/>
      <c r="G5813" s="58">
        <f t="shared" ref="G5813:G5876" si="96">F5813-E5813</f>
        <v>-4000</v>
      </c>
      <c r="H5813" s="121" t="s">
        <v>3874</v>
      </c>
    </row>
    <row r="5814" spans="1:8" ht="15" x14ac:dyDescent="0.2">
      <c r="A5814" s="597">
        <v>43367</v>
      </c>
      <c r="B5814" s="41" t="s">
        <v>25</v>
      </c>
      <c r="C5814" s="63" t="s">
        <v>1894</v>
      </c>
      <c r="D5814" s="129" t="s">
        <v>4064</v>
      </c>
      <c r="E5814" s="58">
        <v>21500</v>
      </c>
      <c r="F5814" s="58"/>
      <c r="G5814" s="58">
        <f t="shared" si="96"/>
        <v>-21500</v>
      </c>
      <c r="H5814" s="121" t="s">
        <v>3874</v>
      </c>
    </row>
    <row r="5815" spans="1:8" ht="15" x14ac:dyDescent="0.2">
      <c r="A5815" s="597">
        <v>43367</v>
      </c>
      <c r="B5815" s="41" t="s">
        <v>1400</v>
      </c>
      <c r="C5815" s="63" t="s">
        <v>3145</v>
      </c>
      <c r="D5815" s="129" t="s">
        <v>4122</v>
      </c>
      <c r="E5815" s="58">
        <v>34020</v>
      </c>
      <c r="F5815" s="58"/>
      <c r="G5815" s="58">
        <f t="shared" si="96"/>
        <v>-34020</v>
      </c>
      <c r="H5815" s="121" t="s">
        <v>3874</v>
      </c>
    </row>
    <row r="5816" spans="1:8" ht="15" x14ac:dyDescent="0.2">
      <c r="A5816" s="597">
        <v>43367</v>
      </c>
      <c r="B5816" s="41" t="s">
        <v>25</v>
      </c>
      <c r="C5816" s="63" t="s">
        <v>4065</v>
      </c>
      <c r="D5816" s="129" t="s">
        <v>2431</v>
      </c>
      <c r="E5816" s="58">
        <v>4000</v>
      </c>
      <c r="F5816" s="58"/>
      <c r="G5816" s="58">
        <f t="shared" si="96"/>
        <v>-4000</v>
      </c>
      <c r="H5816" s="121" t="s">
        <v>3874</v>
      </c>
    </row>
    <row r="5817" spans="1:8" ht="15" x14ac:dyDescent="0.2">
      <c r="A5817" s="597">
        <v>43367</v>
      </c>
      <c r="B5817" s="41" t="s">
        <v>2933</v>
      </c>
      <c r="C5817" s="63" t="s">
        <v>3145</v>
      </c>
      <c r="D5817" s="129" t="s">
        <v>4066</v>
      </c>
      <c r="E5817" s="58">
        <v>1480</v>
      </c>
      <c r="F5817" s="58"/>
      <c r="G5817" s="58">
        <f t="shared" si="96"/>
        <v>-1480</v>
      </c>
      <c r="H5817" s="121" t="s">
        <v>3874</v>
      </c>
    </row>
    <row r="5818" spans="1:8" ht="15" x14ac:dyDescent="0.2">
      <c r="A5818" s="597">
        <v>43371</v>
      </c>
      <c r="B5818" s="41" t="s">
        <v>3733</v>
      </c>
      <c r="C5818" s="63" t="s">
        <v>392</v>
      </c>
      <c r="D5818" s="129" t="s">
        <v>4067</v>
      </c>
      <c r="E5818" s="58">
        <v>25000</v>
      </c>
      <c r="F5818" s="58"/>
      <c r="G5818" s="58">
        <f t="shared" si="96"/>
        <v>-25000</v>
      </c>
      <c r="H5818" s="121" t="s">
        <v>3874</v>
      </c>
    </row>
    <row r="5819" spans="1:8" ht="15" x14ac:dyDescent="0.2">
      <c r="A5819" s="597">
        <v>43371</v>
      </c>
      <c r="B5819" s="41" t="s">
        <v>2933</v>
      </c>
      <c r="C5819" s="63" t="s">
        <v>392</v>
      </c>
      <c r="D5819" s="129" t="s">
        <v>4068</v>
      </c>
      <c r="E5819" s="58">
        <v>10000</v>
      </c>
      <c r="F5819" s="58"/>
      <c r="G5819" s="58">
        <f t="shared" si="96"/>
        <v>-10000</v>
      </c>
      <c r="H5819" s="121" t="s">
        <v>3874</v>
      </c>
    </row>
    <row r="5820" spans="1:8" ht="15" x14ac:dyDescent="0.2">
      <c r="A5820" s="597">
        <v>43372</v>
      </c>
      <c r="B5820" s="41" t="s">
        <v>2652</v>
      </c>
      <c r="C5820" s="63" t="s">
        <v>3149</v>
      </c>
      <c r="D5820" s="129" t="s">
        <v>3369</v>
      </c>
      <c r="E5820" s="58">
        <v>900</v>
      </c>
      <c r="F5820" s="58"/>
      <c r="G5820" s="58">
        <f t="shared" si="96"/>
        <v>-900</v>
      </c>
      <c r="H5820" s="121" t="s">
        <v>3874</v>
      </c>
    </row>
    <row r="5821" spans="1:8" ht="15" x14ac:dyDescent="0.2">
      <c r="A5821" s="597">
        <v>43372</v>
      </c>
      <c r="B5821" s="41" t="s">
        <v>2652</v>
      </c>
      <c r="C5821" s="63" t="s">
        <v>3149</v>
      </c>
      <c r="D5821" s="129" t="s">
        <v>3369</v>
      </c>
      <c r="E5821" s="58">
        <v>450</v>
      </c>
      <c r="F5821" s="58"/>
      <c r="G5821" s="58">
        <f t="shared" si="96"/>
        <v>-450</v>
      </c>
      <c r="H5821" s="121" t="s">
        <v>3874</v>
      </c>
    </row>
    <row r="5822" spans="1:8" ht="15" x14ac:dyDescent="0.2">
      <c r="A5822" s="597">
        <v>43372</v>
      </c>
      <c r="B5822" s="41" t="s">
        <v>2652</v>
      </c>
      <c r="C5822" s="63" t="s">
        <v>3145</v>
      </c>
      <c r="D5822" s="129" t="s">
        <v>4069</v>
      </c>
      <c r="E5822" s="58">
        <v>7200</v>
      </c>
      <c r="F5822" s="58"/>
      <c r="G5822" s="58">
        <f t="shared" si="96"/>
        <v>-7200</v>
      </c>
      <c r="H5822" s="121" t="s">
        <v>3874</v>
      </c>
    </row>
    <row r="5823" spans="1:8" ht="15" x14ac:dyDescent="0.2">
      <c r="A5823" s="597">
        <v>43372</v>
      </c>
      <c r="B5823" s="41" t="s">
        <v>1400</v>
      </c>
      <c r="C5823" s="63" t="s">
        <v>3145</v>
      </c>
      <c r="D5823" s="129" t="s">
        <v>4070</v>
      </c>
      <c r="E5823" s="58">
        <v>44991</v>
      </c>
      <c r="F5823" s="58"/>
      <c r="G5823" s="58">
        <f t="shared" si="96"/>
        <v>-44991</v>
      </c>
      <c r="H5823" s="121" t="s">
        <v>3874</v>
      </c>
    </row>
    <row r="5824" spans="1:8" ht="15" x14ac:dyDescent="0.2">
      <c r="A5824" s="597">
        <v>43372</v>
      </c>
      <c r="B5824" s="41" t="s">
        <v>3622</v>
      </c>
      <c r="C5824" s="63" t="s">
        <v>3145</v>
      </c>
      <c r="D5824" s="129" t="s">
        <v>4071</v>
      </c>
      <c r="E5824" s="58">
        <v>4490</v>
      </c>
      <c r="F5824" s="58"/>
      <c r="G5824" s="58">
        <f t="shared" si="96"/>
        <v>-4490</v>
      </c>
      <c r="H5824" s="121" t="s">
        <v>3874</v>
      </c>
    </row>
    <row r="5825" spans="1:9" ht="15" x14ac:dyDescent="0.2">
      <c r="A5825" s="597">
        <v>43372</v>
      </c>
      <c r="B5825" s="41" t="s">
        <v>3622</v>
      </c>
      <c r="C5825" s="63" t="s">
        <v>3145</v>
      </c>
      <c r="D5825" s="129" t="s">
        <v>4071</v>
      </c>
      <c r="E5825" s="58">
        <v>5360</v>
      </c>
      <c r="F5825" s="58"/>
      <c r="G5825" s="58">
        <f t="shared" si="96"/>
        <v>-5360</v>
      </c>
      <c r="H5825" s="121" t="s">
        <v>3874</v>
      </c>
    </row>
    <row r="5826" spans="1:9" ht="15" x14ac:dyDescent="0.2">
      <c r="A5826" s="597">
        <v>43372</v>
      </c>
      <c r="B5826" s="41" t="s">
        <v>3622</v>
      </c>
      <c r="C5826" s="63" t="s">
        <v>3145</v>
      </c>
      <c r="D5826" s="129" t="s">
        <v>4073</v>
      </c>
      <c r="E5826" s="58">
        <v>13845</v>
      </c>
      <c r="F5826" s="58"/>
      <c r="G5826" s="58">
        <f t="shared" si="96"/>
        <v>-13845</v>
      </c>
      <c r="H5826" s="121" t="s">
        <v>3874</v>
      </c>
    </row>
    <row r="5827" spans="1:9" ht="15" x14ac:dyDescent="0.2">
      <c r="A5827" s="597">
        <v>43372</v>
      </c>
      <c r="B5827" s="41" t="s">
        <v>2933</v>
      </c>
      <c r="C5827" s="63" t="s">
        <v>3145</v>
      </c>
      <c r="D5827" s="129" t="s">
        <v>4072</v>
      </c>
      <c r="E5827" s="58">
        <v>17040</v>
      </c>
      <c r="F5827" s="58"/>
      <c r="G5827" s="58">
        <f t="shared" si="96"/>
        <v>-17040</v>
      </c>
      <c r="H5827" s="121" t="s">
        <v>3874</v>
      </c>
    </row>
    <row r="5828" spans="1:9" ht="15" x14ac:dyDescent="0.2">
      <c r="A5828" s="597">
        <v>43372</v>
      </c>
      <c r="B5828" s="41" t="s">
        <v>16</v>
      </c>
      <c r="C5828" s="63" t="s">
        <v>463</v>
      </c>
      <c r="D5828" s="129" t="s">
        <v>4086</v>
      </c>
      <c r="E5828" s="58">
        <v>2382</v>
      </c>
      <c r="F5828" s="58"/>
      <c r="G5828" s="58">
        <f t="shared" si="96"/>
        <v>-2382</v>
      </c>
      <c r="H5828" s="121" t="s">
        <v>3874</v>
      </c>
    </row>
    <row r="5829" spans="1:9" ht="24" x14ac:dyDescent="0.2">
      <c r="A5829" s="604">
        <v>43346</v>
      </c>
      <c r="B5829" s="174" t="s">
        <v>2933</v>
      </c>
      <c r="C5829" s="174" t="s">
        <v>3416</v>
      </c>
      <c r="D5829" s="118" t="s">
        <v>3865</v>
      </c>
      <c r="E5829" s="236">
        <v>2000000</v>
      </c>
      <c r="F5829" s="236"/>
      <c r="G5829" s="236">
        <f t="shared" si="96"/>
        <v>-2000000</v>
      </c>
      <c r="H5829" s="260" t="s">
        <v>3874</v>
      </c>
      <c r="I5829" s="40"/>
    </row>
    <row r="5830" spans="1:9" ht="15" x14ac:dyDescent="0.2">
      <c r="A5830" s="604">
        <v>43346</v>
      </c>
      <c r="B5830" s="174" t="s">
        <v>2933</v>
      </c>
      <c r="C5830" s="174" t="s">
        <v>1875</v>
      </c>
      <c r="D5830" s="118" t="s">
        <v>3866</v>
      </c>
      <c r="E5830" s="236">
        <v>35000</v>
      </c>
      <c r="F5830" s="236"/>
      <c r="G5830" s="236">
        <f t="shared" si="96"/>
        <v>-35000</v>
      </c>
      <c r="H5830" s="260" t="s">
        <v>3874</v>
      </c>
      <c r="I5830" s="40"/>
    </row>
    <row r="5831" spans="1:9" ht="15" x14ac:dyDescent="0.2">
      <c r="A5831" s="604">
        <v>43347</v>
      </c>
      <c r="B5831" s="174" t="s">
        <v>3733</v>
      </c>
      <c r="C5831" s="174" t="s">
        <v>3877</v>
      </c>
      <c r="D5831" s="118" t="s">
        <v>3867</v>
      </c>
      <c r="E5831" s="236">
        <v>110000</v>
      </c>
      <c r="F5831" s="236"/>
      <c r="G5831" s="236">
        <f t="shared" si="96"/>
        <v>-110000</v>
      </c>
      <c r="H5831" s="260" t="s">
        <v>3874</v>
      </c>
      <c r="I5831" s="40"/>
    </row>
    <row r="5832" spans="1:9" ht="24" x14ac:dyDescent="0.2">
      <c r="A5832" s="604">
        <v>43347</v>
      </c>
      <c r="B5832" s="174" t="s">
        <v>2787</v>
      </c>
      <c r="C5832" s="174" t="s">
        <v>3145</v>
      </c>
      <c r="D5832" s="118" t="s">
        <v>3869</v>
      </c>
      <c r="E5832" s="236">
        <v>21000</v>
      </c>
      <c r="F5832" s="236"/>
      <c r="G5832" s="236">
        <f t="shared" si="96"/>
        <v>-21000</v>
      </c>
      <c r="H5832" s="260" t="s">
        <v>3874</v>
      </c>
      <c r="I5832" s="40"/>
    </row>
    <row r="5833" spans="1:9" ht="24" x14ac:dyDescent="0.2">
      <c r="A5833" s="604">
        <v>43347</v>
      </c>
      <c r="B5833" s="174" t="s">
        <v>2933</v>
      </c>
      <c r="C5833" s="174" t="s">
        <v>3112</v>
      </c>
      <c r="D5833" s="118" t="s">
        <v>3870</v>
      </c>
      <c r="E5833" s="236">
        <v>300000</v>
      </c>
      <c r="F5833" s="236"/>
      <c r="G5833" s="236">
        <f t="shared" si="96"/>
        <v>-300000</v>
      </c>
      <c r="H5833" s="260" t="s">
        <v>3874</v>
      </c>
      <c r="I5833" s="40"/>
    </row>
    <row r="5834" spans="1:9" ht="24" x14ac:dyDescent="0.2">
      <c r="A5834" s="604">
        <v>43347</v>
      </c>
      <c r="B5834" s="174" t="s">
        <v>2933</v>
      </c>
      <c r="C5834" s="174" t="s">
        <v>2819</v>
      </c>
      <c r="D5834" s="118" t="s">
        <v>3871</v>
      </c>
      <c r="E5834" s="236">
        <v>150000</v>
      </c>
      <c r="F5834" s="236"/>
      <c r="G5834" s="236">
        <f t="shared" si="96"/>
        <v>-150000</v>
      </c>
      <c r="H5834" s="260" t="s">
        <v>3874</v>
      </c>
      <c r="I5834" s="40"/>
    </row>
    <row r="5835" spans="1:9" ht="36" x14ac:dyDescent="0.2">
      <c r="A5835" s="604">
        <v>43347</v>
      </c>
      <c r="B5835" s="174" t="s">
        <v>2933</v>
      </c>
      <c r="C5835" s="174" t="s">
        <v>2819</v>
      </c>
      <c r="D5835" s="118" t="s">
        <v>3872</v>
      </c>
      <c r="E5835" s="236">
        <v>530000</v>
      </c>
      <c r="F5835" s="236"/>
      <c r="G5835" s="236">
        <f t="shared" si="96"/>
        <v>-530000</v>
      </c>
      <c r="H5835" s="260" t="s">
        <v>3874</v>
      </c>
      <c r="I5835" s="40"/>
    </row>
    <row r="5836" spans="1:9" ht="15" x14ac:dyDescent="0.2">
      <c r="A5836" s="604">
        <v>43348</v>
      </c>
      <c r="B5836" s="174" t="s">
        <v>2933</v>
      </c>
      <c r="C5836" s="174" t="s">
        <v>3707</v>
      </c>
      <c r="D5836" s="118" t="s">
        <v>3873</v>
      </c>
      <c r="E5836" s="236">
        <v>300000</v>
      </c>
      <c r="F5836" s="236"/>
      <c r="G5836" s="236">
        <f t="shared" si="96"/>
        <v>-300000</v>
      </c>
      <c r="H5836" s="260" t="s">
        <v>3874</v>
      </c>
      <c r="I5836" s="40"/>
    </row>
    <row r="5837" spans="1:9" ht="15" x14ac:dyDescent="0.2">
      <c r="A5837" s="604">
        <v>43348</v>
      </c>
      <c r="B5837" s="174" t="s">
        <v>3733</v>
      </c>
      <c r="C5837" s="174" t="s">
        <v>3145</v>
      </c>
      <c r="D5837" s="118" t="s">
        <v>3875</v>
      </c>
      <c r="E5837" s="236">
        <v>15000</v>
      </c>
      <c r="F5837" s="236"/>
      <c r="G5837" s="236">
        <f t="shared" si="96"/>
        <v>-15000</v>
      </c>
      <c r="H5837" s="260" t="s">
        <v>3874</v>
      </c>
      <c r="I5837" s="40"/>
    </row>
    <row r="5838" spans="1:9" ht="15" x14ac:dyDescent="0.2">
      <c r="A5838" s="604">
        <v>43349</v>
      </c>
      <c r="B5838" s="174" t="s">
        <v>3622</v>
      </c>
      <c r="C5838" s="174" t="s">
        <v>3771</v>
      </c>
      <c r="D5838" s="118" t="s">
        <v>3738</v>
      </c>
      <c r="E5838" s="236">
        <v>30000</v>
      </c>
      <c r="F5838" s="236"/>
      <c r="G5838" s="236">
        <f t="shared" si="96"/>
        <v>-30000</v>
      </c>
      <c r="H5838" s="260" t="s">
        <v>3874</v>
      </c>
      <c r="I5838" s="40"/>
    </row>
    <row r="5839" spans="1:9" ht="15" x14ac:dyDescent="0.2">
      <c r="A5839" s="604">
        <v>43353</v>
      </c>
      <c r="B5839" s="174" t="s">
        <v>3733</v>
      </c>
      <c r="C5839" s="174" t="s">
        <v>3877</v>
      </c>
      <c r="D5839" s="118" t="s">
        <v>3876</v>
      </c>
      <c r="E5839" s="236">
        <v>50000</v>
      </c>
      <c r="F5839" s="236"/>
      <c r="G5839" s="236">
        <f t="shared" si="96"/>
        <v>-50000</v>
      </c>
      <c r="H5839" s="260" t="s">
        <v>3874</v>
      </c>
      <c r="I5839" s="40"/>
    </row>
    <row r="5840" spans="1:9" ht="15" x14ac:dyDescent="0.2">
      <c r="A5840" s="604">
        <v>43353</v>
      </c>
      <c r="B5840" s="174" t="s">
        <v>1400</v>
      </c>
      <c r="C5840" s="174" t="s">
        <v>1875</v>
      </c>
      <c r="D5840" s="118" t="s">
        <v>3879</v>
      </c>
      <c r="E5840" s="236">
        <v>15000</v>
      </c>
      <c r="F5840" s="236"/>
      <c r="G5840" s="236">
        <f t="shared" si="96"/>
        <v>-15000</v>
      </c>
      <c r="H5840" s="260" t="s">
        <v>3874</v>
      </c>
      <c r="I5840" s="40"/>
    </row>
    <row r="5841" spans="1:9" ht="15" x14ac:dyDescent="0.2">
      <c r="A5841" s="604">
        <v>43353</v>
      </c>
      <c r="B5841" s="174" t="s">
        <v>3733</v>
      </c>
      <c r="C5841" s="174" t="s">
        <v>251</v>
      </c>
      <c r="D5841" s="118" t="s">
        <v>3880</v>
      </c>
      <c r="E5841" s="236">
        <v>32000</v>
      </c>
      <c r="F5841" s="236"/>
      <c r="G5841" s="236">
        <f t="shared" si="96"/>
        <v>-32000</v>
      </c>
      <c r="H5841" s="260" t="s">
        <v>3874</v>
      </c>
      <c r="I5841" s="40"/>
    </row>
    <row r="5842" spans="1:9" ht="15" x14ac:dyDescent="0.2">
      <c r="A5842" s="604">
        <v>43353</v>
      </c>
      <c r="B5842" s="174" t="s">
        <v>2652</v>
      </c>
      <c r="C5842" s="174" t="s">
        <v>3104</v>
      </c>
      <c r="D5842" s="118" t="s">
        <v>3881</v>
      </c>
      <c r="E5842" s="236">
        <v>15000</v>
      </c>
      <c r="F5842" s="236"/>
      <c r="G5842" s="236">
        <f t="shared" si="96"/>
        <v>-15000</v>
      </c>
      <c r="H5842" s="260" t="s">
        <v>3874</v>
      </c>
      <c r="I5842" s="40"/>
    </row>
    <row r="5843" spans="1:9" ht="15" x14ac:dyDescent="0.2">
      <c r="A5843" s="604">
        <v>43353</v>
      </c>
      <c r="B5843" s="174" t="s">
        <v>3622</v>
      </c>
      <c r="C5843" s="174" t="s">
        <v>3772</v>
      </c>
      <c r="D5843" s="118" t="s">
        <v>3882</v>
      </c>
      <c r="E5843" s="236">
        <v>50000</v>
      </c>
      <c r="F5843" s="236"/>
      <c r="G5843" s="236">
        <f t="shared" si="96"/>
        <v>-50000</v>
      </c>
      <c r="H5843" s="260" t="s">
        <v>3874</v>
      </c>
      <c r="I5843" s="40"/>
    </row>
    <row r="5844" spans="1:9" ht="24" x14ac:dyDescent="0.2">
      <c r="A5844" s="604">
        <v>43354</v>
      </c>
      <c r="B5844" s="174" t="s">
        <v>3733</v>
      </c>
      <c r="C5844" s="174" t="s">
        <v>3285</v>
      </c>
      <c r="D5844" s="118" t="s">
        <v>3883</v>
      </c>
      <c r="E5844" s="236">
        <v>59969</v>
      </c>
      <c r="F5844" s="236"/>
      <c r="G5844" s="236">
        <f t="shared" si="96"/>
        <v>-59969</v>
      </c>
      <c r="H5844" s="260" t="s">
        <v>3874</v>
      </c>
      <c r="I5844" s="40"/>
    </row>
    <row r="5845" spans="1:9" ht="24" x14ac:dyDescent="0.2">
      <c r="A5845" s="604">
        <v>43354</v>
      </c>
      <c r="B5845" s="174" t="s">
        <v>3622</v>
      </c>
      <c r="C5845" s="174" t="s">
        <v>3285</v>
      </c>
      <c r="D5845" s="118" t="s">
        <v>3883</v>
      </c>
      <c r="E5845" s="236">
        <v>651903</v>
      </c>
      <c r="F5845" s="236"/>
      <c r="G5845" s="236">
        <f t="shared" si="96"/>
        <v>-651903</v>
      </c>
      <c r="H5845" s="260" t="s">
        <v>3874</v>
      </c>
      <c r="I5845" s="40"/>
    </row>
    <row r="5846" spans="1:9" ht="24" x14ac:dyDescent="0.2">
      <c r="A5846" s="604">
        <v>43354</v>
      </c>
      <c r="B5846" s="174" t="s">
        <v>2933</v>
      </c>
      <c r="C5846" s="174" t="s">
        <v>3285</v>
      </c>
      <c r="D5846" s="118" t="s">
        <v>3883</v>
      </c>
      <c r="E5846" s="236">
        <v>128517</v>
      </c>
      <c r="F5846" s="236"/>
      <c r="G5846" s="236">
        <f t="shared" si="96"/>
        <v>-128517</v>
      </c>
      <c r="H5846" s="260" t="s">
        <v>3874</v>
      </c>
      <c r="I5846" s="40"/>
    </row>
    <row r="5847" spans="1:9" ht="15" x14ac:dyDescent="0.2">
      <c r="A5847" s="604">
        <v>43355</v>
      </c>
      <c r="B5847" s="174" t="s">
        <v>3622</v>
      </c>
      <c r="C5847" s="174" t="s">
        <v>3884</v>
      </c>
      <c r="D5847" s="118" t="s">
        <v>3885</v>
      </c>
      <c r="E5847" s="236">
        <v>100000</v>
      </c>
      <c r="F5847" s="236"/>
      <c r="G5847" s="236">
        <f t="shared" si="96"/>
        <v>-100000</v>
      </c>
      <c r="H5847" s="260" t="s">
        <v>3874</v>
      </c>
      <c r="I5847" s="40"/>
    </row>
    <row r="5848" spans="1:9" ht="15" x14ac:dyDescent="0.2">
      <c r="A5848" s="604">
        <v>43355</v>
      </c>
      <c r="B5848" s="174" t="s">
        <v>3622</v>
      </c>
      <c r="C5848" s="174" t="s">
        <v>3884</v>
      </c>
      <c r="D5848" s="118" t="s">
        <v>3886</v>
      </c>
      <c r="E5848" s="236">
        <v>164000</v>
      </c>
      <c r="F5848" s="236"/>
      <c r="G5848" s="236">
        <f t="shared" si="96"/>
        <v>-164000</v>
      </c>
      <c r="H5848" s="260" t="s">
        <v>3874</v>
      </c>
      <c r="I5848" s="40"/>
    </row>
    <row r="5849" spans="1:9" ht="15" x14ac:dyDescent="0.2">
      <c r="A5849" s="604">
        <v>43355</v>
      </c>
      <c r="B5849" s="174" t="s">
        <v>3733</v>
      </c>
      <c r="C5849" s="174" t="s">
        <v>3877</v>
      </c>
      <c r="D5849" s="118" t="s">
        <v>3887</v>
      </c>
      <c r="E5849" s="236">
        <v>50000</v>
      </c>
      <c r="F5849" s="236"/>
      <c r="G5849" s="236">
        <f t="shared" si="96"/>
        <v>-50000</v>
      </c>
      <c r="H5849" s="260" t="s">
        <v>3874</v>
      </c>
      <c r="I5849" s="40"/>
    </row>
    <row r="5850" spans="1:9" ht="15" x14ac:dyDescent="0.2">
      <c r="A5850" s="604">
        <v>43355</v>
      </c>
      <c r="B5850" s="174" t="s">
        <v>3733</v>
      </c>
      <c r="C5850" s="174" t="s">
        <v>3877</v>
      </c>
      <c r="D5850" s="118" t="s">
        <v>3888</v>
      </c>
      <c r="E5850" s="236">
        <v>200000</v>
      </c>
      <c r="F5850" s="236"/>
      <c r="G5850" s="236">
        <f t="shared" si="96"/>
        <v>-200000</v>
      </c>
      <c r="H5850" s="260" t="s">
        <v>3874</v>
      </c>
      <c r="I5850" s="40"/>
    </row>
    <row r="5851" spans="1:9" ht="15" x14ac:dyDescent="0.2">
      <c r="A5851" s="604">
        <v>43355</v>
      </c>
      <c r="B5851" s="174" t="s">
        <v>3733</v>
      </c>
      <c r="C5851" s="174" t="s">
        <v>3275</v>
      </c>
      <c r="D5851" s="118" t="s">
        <v>3889</v>
      </c>
      <c r="E5851" s="236">
        <v>28000</v>
      </c>
      <c r="F5851" s="236"/>
      <c r="G5851" s="236">
        <f t="shared" si="96"/>
        <v>-28000</v>
      </c>
      <c r="H5851" s="260" t="s">
        <v>3874</v>
      </c>
      <c r="I5851" s="40"/>
    </row>
    <row r="5852" spans="1:9" ht="15" x14ac:dyDescent="0.2">
      <c r="A5852" s="604">
        <v>43355</v>
      </c>
      <c r="B5852" s="174" t="s">
        <v>3733</v>
      </c>
      <c r="C5852" s="174" t="s">
        <v>3275</v>
      </c>
      <c r="D5852" s="118" t="s">
        <v>3890</v>
      </c>
      <c r="E5852" s="236">
        <v>100000</v>
      </c>
      <c r="F5852" s="236"/>
      <c r="G5852" s="236">
        <f t="shared" si="96"/>
        <v>-100000</v>
      </c>
      <c r="H5852" s="260" t="s">
        <v>3874</v>
      </c>
      <c r="I5852" s="40"/>
    </row>
    <row r="5853" spans="1:9" ht="15" x14ac:dyDescent="0.2">
      <c r="A5853" s="604">
        <v>43355</v>
      </c>
      <c r="B5853" s="174" t="s">
        <v>2787</v>
      </c>
      <c r="C5853" s="174" t="s">
        <v>2586</v>
      </c>
      <c r="D5853" s="118" t="s">
        <v>3891</v>
      </c>
      <c r="E5853" s="236">
        <v>28000</v>
      </c>
      <c r="F5853" s="236"/>
      <c r="G5853" s="236">
        <f t="shared" si="96"/>
        <v>-28000</v>
      </c>
      <c r="H5853" s="260" t="s">
        <v>3874</v>
      </c>
      <c r="I5853" s="40"/>
    </row>
    <row r="5854" spans="1:9" ht="24" x14ac:dyDescent="0.2">
      <c r="A5854" s="604">
        <v>43355</v>
      </c>
      <c r="B5854" s="174" t="s">
        <v>2933</v>
      </c>
      <c r="C5854" s="174" t="s">
        <v>2819</v>
      </c>
      <c r="D5854" s="118" t="s">
        <v>3892</v>
      </c>
      <c r="E5854" s="236">
        <v>50000</v>
      </c>
      <c r="F5854" s="236"/>
      <c r="G5854" s="236">
        <f t="shared" si="96"/>
        <v>-50000</v>
      </c>
      <c r="H5854" s="260" t="s">
        <v>3874</v>
      </c>
      <c r="I5854" s="40"/>
    </row>
    <row r="5855" spans="1:9" ht="24" x14ac:dyDescent="0.2">
      <c r="A5855" s="604">
        <v>43355</v>
      </c>
      <c r="B5855" s="174" t="s">
        <v>2933</v>
      </c>
      <c r="C5855" s="174" t="s">
        <v>2819</v>
      </c>
      <c r="D5855" s="118" t="s">
        <v>3892</v>
      </c>
      <c r="E5855" s="236">
        <v>150000</v>
      </c>
      <c r="F5855" s="236"/>
      <c r="G5855" s="236">
        <f t="shared" si="96"/>
        <v>-150000</v>
      </c>
      <c r="H5855" s="260" t="s">
        <v>3874</v>
      </c>
      <c r="I5855" s="40"/>
    </row>
    <row r="5856" spans="1:9" ht="24" x14ac:dyDescent="0.2">
      <c r="A5856" s="604">
        <v>43357</v>
      </c>
      <c r="B5856" s="174" t="s">
        <v>1400</v>
      </c>
      <c r="C5856" s="174" t="s">
        <v>256</v>
      </c>
      <c r="D5856" s="118" t="s">
        <v>3894</v>
      </c>
      <c r="E5856" s="236">
        <v>20050</v>
      </c>
      <c r="F5856" s="236"/>
      <c r="G5856" s="236">
        <f t="shared" si="96"/>
        <v>-20050</v>
      </c>
      <c r="H5856" s="260" t="s">
        <v>3874</v>
      </c>
      <c r="I5856" s="40"/>
    </row>
    <row r="5857" spans="1:9" ht="24" x14ac:dyDescent="0.2">
      <c r="A5857" s="604">
        <v>43357</v>
      </c>
      <c r="B5857" s="174" t="s">
        <v>2787</v>
      </c>
      <c r="C5857" s="174" t="s">
        <v>256</v>
      </c>
      <c r="D5857" s="118" t="s">
        <v>3894</v>
      </c>
      <c r="E5857" s="236">
        <v>107830</v>
      </c>
      <c r="F5857" s="236"/>
      <c r="G5857" s="236">
        <f t="shared" si="96"/>
        <v>-107830</v>
      </c>
      <c r="H5857" s="260" t="s">
        <v>3874</v>
      </c>
      <c r="I5857" s="40"/>
    </row>
    <row r="5858" spans="1:9" ht="24" x14ac:dyDescent="0.2">
      <c r="A5858" s="604">
        <v>43357</v>
      </c>
      <c r="B5858" s="174" t="s">
        <v>3622</v>
      </c>
      <c r="C5858" s="174" t="s">
        <v>256</v>
      </c>
      <c r="D5858" s="118" t="s">
        <v>3894</v>
      </c>
      <c r="E5858" s="236">
        <v>319659</v>
      </c>
      <c r="F5858" s="236"/>
      <c r="G5858" s="236">
        <f t="shared" si="96"/>
        <v>-319659</v>
      </c>
      <c r="H5858" s="260" t="s">
        <v>3874</v>
      </c>
      <c r="I5858" s="40"/>
    </row>
    <row r="5859" spans="1:9" ht="36" x14ac:dyDescent="0.2">
      <c r="A5859" s="604">
        <v>43357</v>
      </c>
      <c r="B5859" s="174" t="s">
        <v>2787</v>
      </c>
      <c r="C5859" s="174" t="s">
        <v>2128</v>
      </c>
      <c r="D5859" s="118" t="s">
        <v>3893</v>
      </c>
      <c r="E5859" s="236">
        <v>730812</v>
      </c>
      <c r="F5859" s="236"/>
      <c r="G5859" s="236">
        <f t="shared" si="96"/>
        <v>-730812</v>
      </c>
      <c r="H5859" s="260" t="s">
        <v>3874</v>
      </c>
      <c r="I5859" s="40"/>
    </row>
    <row r="5860" spans="1:9" ht="15" x14ac:dyDescent="0.2">
      <c r="A5860" s="604">
        <v>43357</v>
      </c>
      <c r="B5860" s="174" t="s">
        <v>2652</v>
      </c>
      <c r="C5860" s="174" t="s">
        <v>3335</v>
      </c>
      <c r="D5860" s="118" t="s">
        <v>3898</v>
      </c>
      <c r="E5860" s="236">
        <f>76500/3</f>
        <v>25500</v>
      </c>
      <c r="F5860" s="236"/>
      <c r="G5860" s="236">
        <f t="shared" si="96"/>
        <v>-25500</v>
      </c>
      <c r="H5860" s="260" t="s">
        <v>3874</v>
      </c>
      <c r="I5860" s="40"/>
    </row>
    <row r="5861" spans="1:9" ht="15" x14ac:dyDescent="0.2">
      <c r="A5861" s="604">
        <v>43357</v>
      </c>
      <c r="B5861" s="174" t="s">
        <v>2933</v>
      </c>
      <c r="C5861" s="174" t="s">
        <v>3335</v>
      </c>
      <c r="D5861" s="118" t="s">
        <v>3898</v>
      </c>
      <c r="E5861" s="236">
        <f>76500/3</f>
        <v>25500</v>
      </c>
      <c r="F5861" s="236"/>
      <c r="G5861" s="236">
        <f t="shared" si="96"/>
        <v>-25500</v>
      </c>
      <c r="H5861" s="260" t="s">
        <v>3874</v>
      </c>
      <c r="I5861" s="40"/>
    </row>
    <row r="5862" spans="1:9" ht="36" x14ac:dyDescent="0.2">
      <c r="A5862" s="604">
        <v>43358</v>
      </c>
      <c r="B5862" s="174" t="s">
        <v>1400</v>
      </c>
      <c r="C5862" s="174" t="s">
        <v>1815</v>
      </c>
      <c r="D5862" s="118" t="s">
        <v>3896</v>
      </c>
      <c r="E5862" s="236">
        <v>1000000</v>
      </c>
      <c r="F5862" s="236"/>
      <c r="G5862" s="236">
        <f t="shared" si="96"/>
        <v>-1000000</v>
      </c>
      <c r="H5862" s="260" t="s">
        <v>3874</v>
      </c>
      <c r="I5862" s="40"/>
    </row>
    <row r="5863" spans="1:9" ht="15" x14ac:dyDescent="0.2">
      <c r="A5863" s="604">
        <v>43361</v>
      </c>
      <c r="B5863" s="174" t="s">
        <v>2652</v>
      </c>
      <c r="C5863" s="174" t="s">
        <v>3958</v>
      </c>
      <c r="D5863" s="118" t="s">
        <v>3899</v>
      </c>
      <c r="E5863" s="236">
        <v>50000</v>
      </c>
      <c r="F5863" s="236"/>
      <c r="G5863" s="236">
        <f t="shared" si="96"/>
        <v>-50000</v>
      </c>
      <c r="H5863" s="260" t="s">
        <v>3874</v>
      </c>
      <c r="I5863" s="40"/>
    </row>
    <row r="5864" spans="1:9" ht="15" x14ac:dyDescent="0.2">
      <c r="A5864" s="604">
        <v>43361</v>
      </c>
      <c r="B5864" s="174" t="s">
        <v>3622</v>
      </c>
      <c r="C5864" s="174" t="s">
        <v>3771</v>
      </c>
      <c r="D5864" s="118" t="s">
        <v>3899</v>
      </c>
      <c r="E5864" s="236">
        <v>64000</v>
      </c>
      <c r="F5864" s="236"/>
      <c r="G5864" s="236">
        <f t="shared" si="96"/>
        <v>-64000</v>
      </c>
      <c r="H5864" s="260" t="s">
        <v>3874</v>
      </c>
      <c r="I5864" s="40"/>
    </row>
    <row r="5865" spans="1:9" ht="15" x14ac:dyDescent="0.2">
      <c r="A5865" s="604">
        <v>43361</v>
      </c>
      <c r="B5865" s="174" t="s">
        <v>1400</v>
      </c>
      <c r="C5865" s="174" t="s">
        <v>2515</v>
      </c>
      <c r="D5865" s="118" t="s">
        <v>3899</v>
      </c>
      <c r="E5865" s="236">
        <v>55000</v>
      </c>
      <c r="F5865" s="236"/>
      <c r="G5865" s="236">
        <f t="shared" si="96"/>
        <v>-55000</v>
      </c>
      <c r="H5865" s="260" t="s">
        <v>3874</v>
      </c>
      <c r="I5865" s="40"/>
    </row>
    <row r="5866" spans="1:9" ht="15" x14ac:dyDescent="0.2">
      <c r="A5866" s="604">
        <v>43361</v>
      </c>
      <c r="B5866" s="174" t="s">
        <v>3622</v>
      </c>
      <c r="C5866" s="174" t="s">
        <v>2515</v>
      </c>
      <c r="D5866" s="118" t="s">
        <v>3899</v>
      </c>
      <c r="E5866" s="236">
        <v>45000</v>
      </c>
      <c r="F5866" s="236"/>
      <c r="G5866" s="236">
        <f t="shared" si="96"/>
        <v>-45000</v>
      </c>
      <c r="H5866" s="260" t="s">
        <v>3874</v>
      </c>
      <c r="I5866" s="40"/>
    </row>
    <row r="5867" spans="1:9" ht="24" x14ac:dyDescent="0.2">
      <c r="A5867" s="604">
        <v>43368</v>
      </c>
      <c r="B5867" s="174" t="s">
        <v>3622</v>
      </c>
      <c r="C5867" s="174" t="s">
        <v>2338</v>
      </c>
      <c r="D5867" s="118" t="s">
        <v>3900</v>
      </c>
      <c r="E5867" s="236">
        <v>110000</v>
      </c>
      <c r="F5867" s="236"/>
      <c r="G5867" s="236">
        <f t="shared" si="96"/>
        <v>-110000</v>
      </c>
      <c r="H5867" s="260" t="s">
        <v>3874</v>
      </c>
      <c r="I5867" s="40"/>
    </row>
    <row r="5868" spans="1:9" ht="24" x14ac:dyDescent="0.2">
      <c r="A5868" s="604">
        <v>43368</v>
      </c>
      <c r="B5868" s="174" t="s">
        <v>3622</v>
      </c>
      <c r="C5868" s="174" t="s">
        <v>2338</v>
      </c>
      <c r="D5868" s="118" t="s">
        <v>3901</v>
      </c>
      <c r="E5868" s="236">
        <v>100000</v>
      </c>
      <c r="F5868" s="236"/>
      <c r="G5868" s="236">
        <f t="shared" si="96"/>
        <v>-100000</v>
      </c>
      <c r="H5868" s="260" t="s">
        <v>3874</v>
      </c>
      <c r="I5868" s="40"/>
    </row>
    <row r="5869" spans="1:9" ht="15" x14ac:dyDescent="0.2">
      <c r="A5869" s="604">
        <v>43368</v>
      </c>
      <c r="B5869" s="174" t="s">
        <v>2933</v>
      </c>
      <c r="C5869" s="174" t="s">
        <v>2819</v>
      </c>
      <c r="D5869" s="118" t="s">
        <v>3902</v>
      </c>
      <c r="E5869" s="236">
        <v>500000</v>
      </c>
      <c r="F5869" s="236"/>
      <c r="G5869" s="236">
        <f t="shared" si="96"/>
        <v>-500000</v>
      </c>
      <c r="H5869" s="260" t="s">
        <v>3874</v>
      </c>
      <c r="I5869" s="40"/>
    </row>
    <row r="5870" spans="1:9" ht="15" x14ac:dyDescent="0.2">
      <c r="A5870" s="604">
        <v>43369</v>
      </c>
      <c r="B5870" s="174" t="s">
        <v>1400</v>
      </c>
      <c r="C5870" s="174" t="s">
        <v>2160</v>
      </c>
      <c r="D5870" s="118" t="s">
        <v>3903</v>
      </c>
      <c r="E5870" s="236">
        <v>50000</v>
      </c>
      <c r="F5870" s="236"/>
      <c r="G5870" s="236">
        <f t="shared" si="96"/>
        <v>-50000</v>
      </c>
      <c r="H5870" s="260" t="s">
        <v>3874</v>
      </c>
      <c r="I5870" s="40"/>
    </row>
    <row r="5871" spans="1:9" ht="15" x14ac:dyDescent="0.2">
      <c r="A5871" s="604">
        <v>43369</v>
      </c>
      <c r="B5871" s="174" t="s">
        <v>3622</v>
      </c>
      <c r="C5871" s="174" t="s">
        <v>3772</v>
      </c>
      <c r="D5871" s="118" t="s">
        <v>3904</v>
      </c>
      <c r="E5871" s="236">
        <v>150000</v>
      </c>
      <c r="F5871" s="236"/>
      <c r="G5871" s="236">
        <f t="shared" si="96"/>
        <v>-150000</v>
      </c>
      <c r="H5871" s="260" t="s">
        <v>3874</v>
      </c>
      <c r="I5871" s="40"/>
    </row>
    <row r="5872" spans="1:9" ht="24" x14ac:dyDescent="0.2">
      <c r="A5872" s="604">
        <v>43369</v>
      </c>
      <c r="B5872" s="174" t="s">
        <v>2933</v>
      </c>
      <c r="C5872" s="174" t="s">
        <v>3145</v>
      </c>
      <c r="D5872" s="118" t="s">
        <v>3905</v>
      </c>
      <c r="E5872" s="236">
        <v>50100</v>
      </c>
      <c r="F5872" s="236"/>
      <c r="G5872" s="236">
        <f t="shared" si="96"/>
        <v>-50100</v>
      </c>
      <c r="H5872" s="260" t="s">
        <v>3874</v>
      </c>
      <c r="I5872" s="40"/>
    </row>
    <row r="5873" spans="1:9" ht="24" x14ac:dyDescent="0.2">
      <c r="A5873" s="604">
        <v>43369</v>
      </c>
      <c r="B5873" s="174" t="s">
        <v>1400</v>
      </c>
      <c r="C5873" s="174" t="s">
        <v>3145</v>
      </c>
      <c r="D5873" s="118" t="s">
        <v>3906</v>
      </c>
      <c r="E5873" s="236">
        <v>83000</v>
      </c>
      <c r="F5873" s="236"/>
      <c r="G5873" s="236">
        <f t="shared" si="96"/>
        <v>-83000</v>
      </c>
      <c r="H5873" s="260" t="s">
        <v>3874</v>
      </c>
      <c r="I5873" s="40"/>
    </row>
    <row r="5874" spans="1:9" ht="24" x14ac:dyDescent="0.2">
      <c r="A5874" s="604">
        <v>43369</v>
      </c>
      <c r="B5874" s="174" t="s">
        <v>11</v>
      </c>
      <c r="C5874" s="174" t="s">
        <v>3145</v>
      </c>
      <c r="D5874" s="118" t="s">
        <v>3907</v>
      </c>
      <c r="E5874" s="236">
        <v>6000</v>
      </c>
      <c r="F5874" s="236"/>
      <c r="G5874" s="236">
        <f t="shared" si="96"/>
        <v>-6000</v>
      </c>
      <c r="H5874" s="260" t="s">
        <v>3874</v>
      </c>
      <c r="I5874" s="40"/>
    </row>
    <row r="5875" spans="1:9" ht="15" x14ac:dyDescent="0.2">
      <c r="A5875" s="604">
        <v>43369</v>
      </c>
      <c r="B5875" s="174" t="s">
        <v>2652</v>
      </c>
      <c r="C5875" s="122" t="s">
        <v>5643</v>
      </c>
      <c r="D5875" s="118" t="s">
        <v>3912</v>
      </c>
      <c r="E5875" s="236">
        <v>300000</v>
      </c>
      <c r="F5875" s="236"/>
      <c r="G5875" s="236">
        <f t="shared" si="96"/>
        <v>-300000</v>
      </c>
      <c r="H5875" s="260" t="s">
        <v>3874</v>
      </c>
      <c r="I5875" s="40"/>
    </row>
    <row r="5876" spans="1:9" ht="15" x14ac:dyDescent="0.2">
      <c r="A5876" s="604">
        <v>43369</v>
      </c>
      <c r="B5876" s="174" t="s">
        <v>6516</v>
      </c>
      <c r="C5876" s="174" t="s">
        <v>3913</v>
      </c>
      <c r="D5876" s="118" t="s">
        <v>3914</v>
      </c>
      <c r="E5876" s="236">
        <v>85000</v>
      </c>
      <c r="F5876" s="236"/>
      <c r="G5876" s="236">
        <f t="shared" si="96"/>
        <v>-85000</v>
      </c>
      <c r="H5876" s="260" t="s">
        <v>3874</v>
      </c>
      <c r="I5876" s="40"/>
    </row>
    <row r="5877" spans="1:9" ht="15" x14ac:dyDescent="0.2">
      <c r="A5877" s="604">
        <v>43372</v>
      </c>
      <c r="B5877" s="174" t="s">
        <v>3622</v>
      </c>
      <c r="C5877" s="174" t="s">
        <v>895</v>
      </c>
      <c r="D5877" s="118" t="s">
        <v>3921</v>
      </c>
      <c r="E5877" s="236">
        <v>31000</v>
      </c>
      <c r="F5877" s="236"/>
      <c r="G5877" s="236">
        <f t="shared" ref="G5877:G5940" si="97">F5877-E5877</f>
        <v>-31000</v>
      </c>
      <c r="H5877" s="260" t="s">
        <v>3874</v>
      </c>
      <c r="I5877" s="40"/>
    </row>
    <row r="5878" spans="1:9" ht="15" x14ac:dyDescent="0.2">
      <c r="A5878" s="604">
        <v>43372</v>
      </c>
      <c r="B5878" s="174" t="s">
        <v>2787</v>
      </c>
      <c r="C5878" s="174" t="s">
        <v>895</v>
      </c>
      <c r="D5878" s="118" t="s">
        <v>3921</v>
      </c>
      <c r="E5878" s="236">
        <v>78970</v>
      </c>
      <c r="F5878" s="236"/>
      <c r="G5878" s="236">
        <f t="shared" si="97"/>
        <v>-78970</v>
      </c>
      <c r="H5878" s="260" t="s">
        <v>3874</v>
      </c>
      <c r="I5878" s="40"/>
    </row>
    <row r="5879" spans="1:9" ht="15" x14ac:dyDescent="0.2">
      <c r="A5879" s="604">
        <v>43372</v>
      </c>
      <c r="B5879" s="174" t="s">
        <v>3733</v>
      </c>
      <c r="C5879" s="174" t="s">
        <v>165</v>
      </c>
      <c r="D5879" s="118" t="s">
        <v>3920</v>
      </c>
      <c r="E5879" s="236">
        <v>28000</v>
      </c>
      <c r="F5879" s="236"/>
      <c r="G5879" s="236">
        <f t="shared" si="97"/>
        <v>-28000</v>
      </c>
      <c r="H5879" s="260" t="s">
        <v>3874</v>
      </c>
      <c r="I5879" s="40"/>
    </row>
    <row r="5880" spans="1:9" ht="15" x14ac:dyDescent="0.2">
      <c r="A5880" s="604">
        <v>43372</v>
      </c>
      <c r="B5880" s="174" t="s">
        <v>3622</v>
      </c>
      <c r="C5880" s="174" t="s">
        <v>165</v>
      </c>
      <c r="D5880" s="118" t="s">
        <v>3920</v>
      </c>
      <c r="E5880" s="236">
        <v>68500</v>
      </c>
      <c r="F5880" s="236"/>
      <c r="G5880" s="236">
        <f t="shared" si="97"/>
        <v>-68500</v>
      </c>
      <c r="H5880" s="260" t="s">
        <v>3874</v>
      </c>
      <c r="I5880" s="40"/>
    </row>
    <row r="5881" spans="1:9" ht="15" x14ac:dyDescent="0.2">
      <c r="A5881" s="604">
        <v>43372</v>
      </c>
      <c r="B5881" s="174" t="s">
        <v>2787</v>
      </c>
      <c r="C5881" s="174" t="s">
        <v>705</v>
      </c>
      <c r="D5881" s="118" t="s">
        <v>3919</v>
      </c>
      <c r="E5881" s="236">
        <v>53365</v>
      </c>
      <c r="F5881" s="236"/>
      <c r="G5881" s="236">
        <f t="shared" si="97"/>
        <v>-53365</v>
      </c>
      <c r="H5881" s="260" t="s">
        <v>3874</v>
      </c>
      <c r="I5881" s="40"/>
    </row>
    <row r="5882" spans="1:9" ht="15" x14ac:dyDescent="0.2">
      <c r="A5882" s="604">
        <v>43372</v>
      </c>
      <c r="B5882" s="174" t="s">
        <v>1400</v>
      </c>
      <c r="C5882" s="174" t="s">
        <v>705</v>
      </c>
      <c r="D5882" s="118" t="s">
        <v>3919</v>
      </c>
      <c r="E5882" s="236">
        <v>21635</v>
      </c>
      <c r="F5882" s="236"/>
      <c r="G5882" s="236">
        <f t="shared" si="97"/>
        <v>-21635</v>
      </c>
      <c r="H5882" s="260" t="s">
        <v>3874</v>
      </c>
      <c r="I5882" s="40"/>
    </row>
    <row r="5883" spans="1:9" ht="15" x14ac:dyDescent="0.2">
      <c r="A5883" s="604">
        <v>43372</v>
      </c>
      <c r="B5883" s="174" t="s">
        <v>2787</v>
      </c>
      <c r="C5883" s="174" t="s">
        <v>573</v>
      </c>
      <c r="D5883" s="118" t="s">
        <v>3932</v>
      </c>
      <c r="E5883" s="236">
        <v>759000</v>
      </c>
      <c r="F5883" s="236"/>
      <c r="G5883" s="236">
        <f t="shared" si="97"/>
        <v>-759000</v>
      </c>
      <c r="H5883" s="260" t="s">
        <v>3874</v>
      </c>
      <c r="I5883" s="40"/>
    </row>
    <row r="5884" spans="1:9" ht="15" x14ac:dyDescent="0.2">
      <c r="A5884" s="604">
        <v>43372</v>
      </c>
      <c r="B5884" s="174" t="s">
        <v>2787</v>
      </c>
      <c r="C5884" s="174" t="s">
        <v>2196</v>
      </c>
      <c r="D5884" s="118" t="s">
        <v>3917</v>
      </c>
      <c r="E5884" s="236">
        <v>148206</v>
      </c>
      <c r="F5884" s="236"/>
      <c r="G5884" s="236">
        <f t="shared" si="97"/>
        <v>-148206</v>
      </c>
      <c r="H5884" s="260" t="s">
        <v>3874</v>
      </c>
      <c r="I5884" s="40"/>
    </row>
    <row r="5885" spans="1:9" ht="15" x14ac:dyDescent="0.2">
      <c r="A5885" s="604">
        <v>43372</v>
      </c>
      <c r="B5885" s="174" t="s">
        <v>3622</v>
      </c>
      <c r="C5885" s="174" t="s">
        <v>2196</v>
      </c>
      <c r="D5885" s="118" t="s">
        <v>3917</v>
      </c>
      <c r="E5885" s="236">
        <v>33036</v>
      </c>
      <c r="F5885" s="236"/>
      <c r="G5885" s="236">
        <f t="shared" si="97"/>
        <v>-33036</v>
      </c>
      <c r="H5885" s="260" t="s">
        <v>3874</v>
      </c>
      <c r="I5885" s="40"/>
    </row>
    <row r="5886" spans="1:9" ht="15" x14ac:dyDescent="0.2">
      <c r="A5886" s="604">
        <v>43372</v>
      </c>
      <c r="B5886" s="174" t="s">
        <v>2933</v>
      </c>
      <c r="C5886" s="174" t="s">
        <v>2196</v>
      </c>
      <c r="D5886" s="118" t="s">
        <v>3917</v>
      </c>
      <c r="E5886" s="236">
        <v>42058</v>
      </c>
      <c r="F5886" s="236"/>
      <c r="G5886" s="236">
        <f t="shared" si="97"/>
        <v>-42058</v>
      </c>
      <c r="H5886" s="260" t="s">
        <v>3874</v>
      </c>
      <c r="I5886" s="40"/>
    </row>
    <row r="5887" spans="1:9" ht="15" x14ac:dyDescent="0.2">
      <c r="A5887" s="604">
        <v>43372</v>
      </c>
      <c r="B5887" s="174" t="s">
        <v>3733</v>
      </c>
      <c r="C5887" s="174" t="s">
        <v>3747</v>
      </c>
      <c r="D5887" s="118" t="s">
        <v>3933</v>
      </c>
      <c r="E5887" s="236">
        <v>175000</v>
      </c>
      <c r="F5887" s="236"/>
      <c r="G5887" s="236">
        <f t="shared" si="97"/>
        <v>-175000</v>
      </c>
      <c r="H5887" s="260" t="s">
        <v>3874</v>
      </c>
      <c r="I5887" s="40"/>
    </row>
    <row r="5888" spans="1:9" ht="15" x14ac:dyDescent="0.2">
      <c r="A5888" s="604">
        <v>43372</v>
      </c>
      <c r="B5888" s="174" t="s">
        <v>3733</v>
      </c>
      <c r="C5888" s="174" t="s">
        <v>3747</v>
      </c>
      <c r="D5888" s="118" t="s">
        <v>3934</v>
      </c>
      <c r="E5888" s="236">
        <v>175000</v>
      </c>
      <c r="F5888" s="236"/>
      <c r="G5888" s="236">
        <f t="shared" si="97"/>
        <v>-175000</v>
      </c>
      <c r="H5888" s="260" t="s">
        <v>3874</v>
      </c>
      <c r="I5888" s="40"/>
    </row>
    <row r="5889" spans="1:8" ht="24" x14ac:dyDescent="0.2">
      <c r="A5889" s="599">
        <v>43357</v>
      </c>
      <c r="B5889" s="91" t="s">
        <v>3622</v>
      </c>
      <c r="C5889" s="94" t="s">
        <v>559</v>
      </c>
      <c r="D5889" s="798" t="s">
        <v>3895</v>
      </c>
      <c r="E5889" s="92"/>
      <c r="F5889" s="92">
        <v>1000000</v>
      </c>
      <c r="G5889" s="92">
        <f t="shared" si="97"/>
        <v>1000000</v>
      </c>
      <c r="H5889" s="261" t="s">
        <v>3874</v>
      </c>
    </row>
    <row r="5890" spans="1:8" ht="15" x14ac:dyDescent="0.2">
      <c r="A5890" s="599">
        <v>43357</v>
      </c>
      <c r="B5890" s="91" t="s">
        <v>3733</v>
      </c>
      <c r="C5890" s="94" t="s">
        <v>559</v>
      </c>
      <c r="D5890" s="801" t="s">
        <v>3897</v>
      </c>
      <c r="E5890" s="92"/>
      <c r="F5890" s="92">
        <v>1000000</v>
      </c>
      <c r="G5890" s="92">
        <f t="shared" si="97"/>
        <v>1000000</v>
      </c>
      <c r="H5890" s="261" t="s">
        <v>3874</v>
      </c>
    </row>
    <row r="5891" spans="1:8" ht="15" x14ac:dyDescent="0.2">
      <c r="A5891" s="599">
        <v>43369</v>
      </c>
      <c r="B5891" s="91" t="s">
        <v>2787</v>
      </c>
      <c r="C5891" s="94" t="s">
        <v>559</v>
      </c>
      <c r="D5891" s="801" t="s">
        <v>3908</v>
      </c>
      <c r="E5891" s="92"/>
      <c r="F5891" s="92">
        <v>2277690</v>
      </c>
      <c r="G5891" s="92">
        <f t="shared" si="97"/>
        <v>2277690</v>
      </c>
      <c r="H5891" s="261" t="s">
        <v>3874</v>
      </c>
    </row>
    <row r="5892" spans="1:8" ht="24" x14ac:dyDescent="0.2">
      <c r="A5892" s="599">
        <v>43369</v>
      </c>
      <c r="B5892" s="91" t="s">
        <v>3945</v>
      </c>
      <c r="C5892" s="94" t="s">
        <v>559</v>
      </c>
      <c r="D5892" s="798" t="s">
        <v>3909</v>
      </c>
      <c r="E5892" s="92"/>
      <c r="F5892" s="92">
        <v>305250</v>
      </c>
      <c r="G5892" s="92">
        <f t="shared" si="97"/>
        <v>305250</v>
      </c>
      <c r="H5892" s="261" t="s">
        <v>3874</v>
      </c>
    </row>
    <row r="5893" spans="1:8" ht="15" x14ac:dyDescent="0.2">
      <c r="A5893" s="599">
        <v>43369</v>
      </c>
      <c r="B5893" s="91" t="s">
        <v>2787</v>
      </c>
      <c r="C5893" s="94" t="s">
        <v>559</v>
      </c>
      <c r="D5893" s="801" t="s">
        <v>3910</v>
      </c>
      <c r="E5893" s="92"/>
      <c r="F5893" s="92">
        <v>407000</v>
      </c>
      <c r="G5893" s="92">
        <f t="shared" si="97"/>
        <v>407000</v>
      </c>
      <c r="H5893" s="261" t="s">
        <v>3874</v>
      </c>
    </row>
    <row r="5894" spans="1:8" ht="15" x14ac:dyDescent="0.2">
      <c r="A5894" s="599">
        <v>43369</v>
      </c>
      <c r="B5894" s="91" t="s">
        <v>2787</v>
      </c>
      <c r="C5894" s="94" t="s">
        <v>559</v>
      </c>
      <c r="D5894" s="801" t="s">
        <v>3911</v>
      </c>
      <c r="E5894" s="92"/>
      <c r="F5894" s="92">
        <v>242044</v>
      </c>
      <c r="G5894" s="92">
        <f t="shared" si="97"/>
        <v>242044</v>
      </c>
      <c r="H5894" s="261" t="s">
        <v>3874</v>
      </c>
    </row>
    <row r="5895" spans="1:8" ht="15" x14ac:dyDescent="0.2">
      <c r="A5895" s="599">
        <v>43371</v>
      </c>
      <c r="B5895" s="91" t="s">
        <v>3733</v>
      </c>
      <c r="C5895" s="94" t="s">
        <v>559</v>
      </c>
      <c r="D5895" s="801" t="s">
        <v>3915</v>
      </c>
      <c r="E5895" s="92"/>
      <c r="F5895" s="92">
        <v>65000</v>
      </c>
      <c r="G5895" s="92">
        <f t="shared" si="97"/>
        <v>65000</v>
      </c>
      <c r="H5895" s="261" t="s">
        <v>3874</v>
      </c>
    </row>
    <row r="5896" spans="1:8" ht="15" x14ac:dyDescent="0.2">
      <c r="A5896" s="599">
        <v>43371</v>
      </c>
      <c r="B5896" s="91" t="s">
        <v>3733</v>
      </c>
      <c r="C5896" s="94" t="s">
        <v>559</v>
      </c>
      <c r="D5896" s="801" t="s">
        <v>3916</v>
      </c>
      <c r="E5896" s="92"/>
      <c r="F5896" s="92">
        <v>46800</v>
      </c>
      <c r="G5896" s="92">
        <f t="shared" si="97"/>
        <v>46800</v>
      </c>
      <c r="H5896" s="261" t="s">
        <v>3874</v>
      </c>
    </row>
    <row r="5897" spans="1:8" ht="15" x14ac:dyDescent="0.2">
      <c r="A5897" s="599">
        <v>43371</v>
      </c>
      <c r="B5897" s="91" t="s">
        <v>18</v>
      </c>
      <c r="C5897" s="94" t="s">
        <v>559</v>
      </c>
      <c r="D5897" s="801" t="s">
        <v>3922</v>
      </c>
      <c r="E5897" s="92"/>
      <c r="F5897" s="92">
        <v>100000</v>
      </c>
      <c r="G5897" s="92">
        <f t="shared" si="97"/>
        <v>100000</v>
      </c>
      <c r="H5897" s="261" t="s">
        <v>3874</v>
      </c>
    </row>
    <row r="5898" spans="1:8" ht="15" x14ac:dyDescent="0.2">
      <c r="A5898" s="599">
        <v>43372</v>
      </c>
      <c r="B5898" s="91" t="s">
        <v>1400</v>
      </c>
      <c r="C5898" s="94" t="s">
        <v>559</v>
      </c>
      <c r="D5898" s="801" t="s">
        <v>3923</v>
      </c>
      <c r="E5898" s="92"/>
      <c r="F5898" s="92">
        <v>600000</v>
      </c>
      <c r="G5898" s="92">
        <f t="shared" si="97"/>
        <v>600000</v>
      </c>
      <c r="H5898" s="261" t="s">
        <v>3874</v>
      </c>
    </row>
    <row r="5899" spans="1:8" ht="15" x14ac:dyDescent="0.2">
      <c r="A5899" s="599">
        <v>43372</v>
      </c>
      <c r="B5899" s="91" t="s">
        <v>1400</v>
      </c>
      <c r="C5899" s="94" t="s">
        <v>559</v>
      </c>
      <c r="D5899" s="801" t="s">
        <v>3924</v>
      </c>
      <c r="E5899" s="92"/>
      <c r="F5899" s="92">
        <v>1200000</v>
      </c>
      <c r="G5899" s="92">
        <f t="shared" si="97"/>
        <v>1200000</v>
      </c>
      <c r="H5899" s="261" t="s">
        <v>3874</v>
      </c>
    </row>
    <row r="5900" spans="1:8" ht="15" x14ac:dyDescent="0.2">
      <c r="A5900" s="599">
        <v>43372</v>
      </c>
      <c r="B5900" s="91" t="s">
        <v>1400</v>
      </c>
      <c r="C5900" s="94" t="s">
        <v>559</v>
      </c>
      <c r="D5900" s="801" t="s">
        <v>3925</v>
      </c>
      <c r="E5900" s="92"/>
      <c r="F5900" s="92">
        <v>600072</v>
      </c>
      <c r="G5900" s="92">
        <f t="shared" si="97"/>
        <v>600072</v>
      </c>
      <c r="H5900" s="261" t="s">
        <v>3874</v>
      </c>
    </row>
    <row r="5901" spans="1:8" ht="15" x14ac:dyDescent="0.2">
      <c r="A5901" s="599">
        <v>43372</v>
      </c>
      <c r="B5901" s="91" t="s">
        <v>1400</v>
      </c>
      <c r="C5901" s="94" t="s">
        <v>559</v>
      </c>
      <c r="D5901" s="801" t="s">
        <v>3926</v>
      </c>
      <c r="E5901" s="92"/>
      <c r="F5901" s="92">
        <v>800000</v>
      </c>
      <c r="G5901" s="92">
        <f t="shared" si="97"/>
        <v>800000</v>
      </c>
      <c r="H5901" s="261" t="s">
        <v>3874</v>
      </c>
    </row>
    <row r="5902" spans="1:8" ht="15" x14ac:dyDescent="0.2">
      <c r="A5902" s="597">
        <v>43374</v>
      </c>
      <c r="B5902" s="41" t="s">
        <v>2933</v>
      </c>
      <c r="C5902" s="63" t="s">
        <v>794</v>
      </c>
      <c r="D5902" s="108" t="s">
        <v>1836</v>
      </c>
      <c r="E5902" s="58">
        <v>25000</v>
      </c>
      <c r="F5902" s="58"/>
      <c r="G5902" s="58">
        <f t="shared" si="97"/>
        <v>-25000</v>
      </c>
      <c r="H5902" s="121" t="s">
        <v>3963</v>
      </c>
    </row>
    <row r="5903" spans="1:8" ht="15" x14ac:dyDescent="0.2">
      <c r="A5903" s="597">
        <v>43374</v>
      </c>
      <c r="B5903" s="41" t="s">
        <v>3733</v>
      </c>
      <c r="C5903" s="63" t="s">
        <v>794</v>
      </c>
      <c r="D5903" s="108" t="s">
        <v>1836</v>
      </c>
      <c r="E5903" s="58">
        <v>25000</v>
      </c>
      <c r="F5903" s="58"/>
      <c r="G5903" s="58">
        <f t="shared" si="97"/>
        <v>-25000</v>
      </c>
      <c r="H5903" s="121" t="s">
        <v>3963</v>
      </c>
    </row>
    <row r="5904" spans="1:8" ht="15" x14ac:dyDescent="0.2">
      <c r="A5904" s="597">
        <v>43374</v>
      </c>
      <c r="B5904" s="41" t="s">
        <v>2652</v>
      </c>
      <c r="C5904" s="63" t="s">
        <v>794</v>
      </c>
      <c r="D5904" s="108" t="s">
        <v>1837</v>
      </c>
      <c r="E5904" s="58">
        <v>25000</v>
      </c>
      <c r="F5904" s="58"/>
      <c r="G5904" s="58">
        <f t="shared" si="97"/>
        <v>-25000</v>
      </c>
      <c r="H5904" s="121" t="s">
        <v>3963</v>
      </c>
    </row>
    <row r="5905" spans="1:8" ht="15" x14ac:dyDescent="0.2">
      <c r="A5905" s="597">
        <v>43374</v>
      </c>
      <c r="B5905" s="41" t="s">
        <v>2933</v>
      </c>
      <c r="C5905" s="63" t="s">
        <v>794</v>
      </c>
      <c r="D5905" s="108" t="s">
        <v>1837</v>
      </c>
      <c r="E5905" s="58">
        <v>25000</v>
      </c>
      <c r="F5905" s="58"/>
      <c r="G5905" s="58">
        <f t="shared" si="97"/>
        <v>-25000</v>
      </c>
      <c r="H5905" s="121" t="s">
        <v>3963</v>
      </c>
    </row>
    <row r="5906" spans="1:8" ht="15" x14ac:dyDescent="0.2">
      <c r="A5906" s="597">
        <v>43374</v>
      </c>
      <c r="B5906" s="41" t="s">
        <v>16</v>
      </c>
      <c r="C5906" s="63" t="s">
        <v>794</v>
      </c>
      <c r="D5906" s="108" t="s">
        <v>1839</v>
      </c>
      <c r="E5906" s="58">
        <v>10000</v>
      </c>
      <c r="F5906" s="58"/>
      <c r="G5906" s="58">
        <f t="shared" si="97"/>
        <v>-10000</v>
      </c>
      <c r="H5906" s="121" t="s">
        <v>3963</v>
      </c>
    </row>
    <row r="5907" spans="1:8" ht="15" x14ac:dyDescent="0.2">
      <c r="A5907" s="597">
        <v>43374</v>
      </c>
      <c r="B5907" s="41" t="s">
        <v>16</v>
      </c>
      <c r="C5907" s="63" t="s">
        <v>794</v>
      </c>
      <c r="D5907" s="108" t="s">
        <v>1840</v>
      </c>
      <c r="E5907" s="58">
        <v>10000</v>
      </c>
      <c r="F5907" s="58"/>
      <c r="G5907" s="58">
        <f t="shared" si="97"/>
        <v>-10000</v>
      </c>
      <c r="H5907" s="121" t="s">
        <v>3963</v>
      </c>
    </row>
    <row r="5908" spans="1:8" ht="15" x14ac:dyDescent="0.2">
      <c r="A5908" s="597">
        <v>43374</v>
      </c>
      <c r="B5908" s="41" t="s">
        <v>16</v>
      </c>
      <c r="C5908" s="63" t="s">
        <v>794</v>
      </c>
      <c r="D5908" s="108" t="s">
        <v>1547</v>
      </c>
      <c r="E5908" s="58">
        <v>10000</v>
      </c>
      <c r="F5908" s="58"/>
      <c r="G5908" s="58">
        <f t="shared" si="97"/>
        <v>-10000</v>
      </c>
      <c r="H5908" s="121" t="s">
        <v>3963</v>
      </c>
    </row>
    <row r="5909" spans="1:8" ht="15" x14ac:dyDescent="0.2">
      <c r="A5909" s="597">
        <v>43374</v>
      </c>
      <c r="B5909" s="41" t="s">
        <v>16</v>
      </c>
      <c r="C5909" s="63" t="s">
        <v>794</v>
      </c>
      <c r="D5909" s="108" t="s">
        <v>1844</v>
      </c>
      <c r="E5909" s="58">
        <v>21318.75</v>
      </c>
      <c r="F5909" s="58"/>
      <c r="G5909" s="58">
        <f t="shared" si="97"/>
        <v>-21318.75</v>
      </c>
      <c r="H5909" s="121" t="s">
        <v>3963</v>
      </c>
    </row>
    <row r="5910" spans="1:8" ht="15" x14ac:dyDescent="0.2">
      <c r="A5910" s="597">
        <v>43374</v>
      </c>
      <c r="B5910" s="41" t="s">
        <v>16</v>
      </c>
      <c r="C5910" s="63" t="s">
        <v>794</v>
      </c>
      <c r="D5910" s="108" t="s">
        <v>1842</v>
      </c>
      <c r="E5910" s="58">
        <v>30000</v>
      </c>
      <c r="F5910" s="58"/>
      <c r="G5910" s="58">
        <f t="shared" si="97"/>
        <v>-30000</v>
      </c>
      <c r="H5910" s="121" t="s">
        <v>3963</v>
      </c>
    </row>
    <row r="5911" spans="1:8" ht="15" x14ac:dyDescent="0.2">
      <c r="A5911" s="597">
        <v>43374</v>
      </c>
      <c r="B5911" s="41" t="s">
        <v>16</v>
      </c>
      <c r="C5911" s="63" t="s">
        <v>794</v>
      </c>
      <c r="D5911" s="108" t="s">
        <v>1843</v>
      </c>
      <c r="E5911" s="58">
        <v>16500</v>
      </c>
      <c r="F5911" s="58"/>
      <c r="G5911" s="58">
        <f t="shared" si="97"/>
        <v>-16500</v>
      </c>
      <c r="H5911" s="121" t="s">
        <v>3963</v>
      </c>
    </row>
    <row r="5912" spans="1:8" ht="15" x14ac:dyDescent="0.2">
      <c r="A5912" s="597">
        <v>43374</v>
      </c>
      <c r="B5912" s="41" t="s">
        <v>16</v>
      </c>
      <c r="C5912" s="63" t="s">
        <v>794</v>
      </c>
      <c r="D5912" s="108" t="s">
        <v>3065</v>
      </c>
      <c r="E5912" s="58">
        <v>11250</v>
      </c>
      <c r="F5912" s="58"/>
      <c r="G5912" s="58">
        <f t="shared" si="97"/>
        <v>-11250</v>
      </c>
      <c r="H5912" s="121" t="s">
        <v>3963</v>
      </c>
    </row>
    <row r="5913" spans="1:8" ht="15" x14ac:dyDescent="0.2">
      <c r="A5913" s="597">
        <v>43374</v>
      </c>
      <c r="B5913" s="41" t="s">
        <v>16</v>
      </c>
      <c r="C5913" s="63" t="s">
        <v>794</v>
      </c>
      <c r="D5913" s="108" t="s">
        <v>2283</v>
      </c>
      <c r="E5913" s="58">
        <v>23266.666666666664</v>
      </c>
      <c r="F5913" s="58"/>
      <c r="G5913" s="58">
        <f t="shared" si="97"/>
        <v>-23266.666666666664</v>
      </c>
      <c r="H5913" s="121" t="s">
        <v>3963</v>
      </c>
    </row>
    <row r="5914" spans="1:8" ht="15" x14ac:dyDescent="0.2">
      <c r="A5914" s="597">
        <v>43374</v>
      </c>
      <c r="B5914" s="41" t="s">
        <v>16</v>
      </c>
      <c r="C5914" s="63" t="s">
        <v>794</v>
      </c>
      <c r="D5914" s="108" t="s">
        <v>3230</v>
      </c>
      <c r="E5914" s="58">
        <v>11600</v>
      </c>
      <c r="F5914" s="58"/>
      <c r="G5914" s="58">
        <f t="shared" si="97"/>
        <v>-11600</v>
      </c>
      <c r="H5914" s="121" t="s">
        <v>3963</v>
      </c>
    </row>
    <row r="5915" spans="1:8" ht="15" x14ac:dyDescent="0.2">
      <c r="A5915" s="597">
        <v>43374</v>
      </c>
      <c r="B5915" s="41" t="s">
        <v>16</v>
      </c>
      <c r="C5915" s="63" t="s">
        <v>794</v>
      </c>
      <c r="D5915" s="108" t="s">
        <v>3611</v>
      </c>
      <c r="E5915" s="58">
        <v>5500</v>
      </c>
      <c r="F5915" s="58"/>
      <c r="G5915" s="58">
        <f t="shared" si="97"/>
        <v>-5500</v>
      </c>
      <c r="H5915" s="121" t="s">
        <v>3963</v>
      </c>
    </row>
    <row r="5916" spans="1:8" ht="15" x14ac:dyDescent="0.2">
      <c r="A5916" s="597">
        <v>43374</v>
      </c>
      <c r="B5916" s="41" t="s">
        <v>16</v>
      </c>
      <c r="C5916" s="63" t="s">
        <v>794</v>
      </c>
      <c r="D5916" s="108" t="s">
        <v>3612</v>
      </c>
      <c r="E5916" s="58">
        <v>14500</v>
      </c>
      <c r="F5916" s="58"/>
      <c r="G5916" s="58">
        <f t="shared" si="97"/>
        <v>-14500</v>
      </c>
      <c r="H5916" s="121" t="s">
        <v>3963</v>
      </c>
    </row>
    <row r="5917" spans="1:8" ht="15" x14ac:dyDescent="0.2">
      <c r="A5917" s="597">
        <v>43374</v>
      </c>
      <c r="B5917" s="41" t="s">
        <v>3945</v>
      </c>
      <c r="C5917" s="63" t="s">
        <v>794</v>
      </c>
      <c r="D5917" s="108" t="s">
        <v>2282</v>
      </c>
      <c r="E5917" s="58">
        <v>47099.791666666672</v>
      </c>
      <c r="F5917" s="58"/>
      <c r="G5917" s="58">
        <f t="shared" si="97"/>
        <v>-47099.791666666672</v>
      </c>
      <c r="H5917" s="121" t="s">
        <v>3963</v>
      </c>
    </row>
    <row r="5918" spans="1:8" ht="15" x14ac:dyDescent="0.2">
      <c r="A5918" s="597">
        <v>43374</v>
      </c>
      <c r="B5918" s="41" t="s">
        <v>3945</v>
      </c>
      <c r="C5918" s="63" t="s">
        <v>794</v>
      </c>
      <c r="D5918" s="108" t="s">
        <v>2758</v>
      </c>
      <c r="E5918" s="58">
        <v>22950</v>
      </c>
      <c r="F5918" s="58"/>
      <c r="G5918" s="58">
        <f t="shared" si="97"/>
        <v>-22950</v>
      </c>
      <c r="H5918" s="121" t="s">
        <v>3963</v>
      </c>
    </row>
    <row r="5919" spans="1:8" ht="15" x14ac:dyDescent="0.2">
      <c r="A5919" s="597">
        <v>43374</v>
      </c>
      <c r="B5919" s="41" t="s">
        <v>3945</v>
      </c>
      <c r="C5919" s="63" t="s">
        <v>794</v>
      </c>
      <c r="D5919" s="108" t="s">
        <v>3236</v>
      </c>
      <c r="E5919" s="58">
        <v>18000</v>
      </c>
      <c r="F5919" s="58"/>
      <c r="G5919" s="58">
        <f t="shared" si="97"/>
        <v>-18000</v>
      </c>
      <c r="H5919" s="121" t="s">
        <v>3963</v>
      </c>
    </row>
    <row r="5920" spans="1:8" ht="15" x14ac:dyDescent="0.2">
      <c r="A5920" s="597">
        <v>43374</v>
      </c>
      <c r="B5920" s="41" t="s">
        <v>3945</v>
      </c>
      <c r="C5920" s="63" t="s">
        <v>794</v>
      </c>
      <c r="D5920" s="108" t="s">
        <v>4005</v>
      </c>
      <c r="E5920" s="58">
        <v>19800</v>
      </c>
      <c r="F5920" s="58"/>
      <c r="G5920" s="58">
        <f t="shared" si="97"/>
        <v>-19800</v>
      </c>
      <c r="H5920" s="121" t="s">
        <v>3963</v>
      </c>
    </row>
    <row r="5921" spans="1:8" ht="15" x14ac:dyDescent="0.2">
      <c r="A5921" s="597">
        <v>43374</v>
      </c>
      <c r="B5921" s="41" t="s">
        <v>3945</v>
      </c>
      <c r="C5921" s="63" t="s">
        <v>794</v>
      </c>
      <c r="D5921" s="108" t="s">
        <v>3841</v>
      </c>
      <c r="E5921" s="58">
        <v>26830</v>
      </c>
      <c r="F5921" s="58"/>
      <c r="G5921" s="58">
        <f t="shared" si="97"/>
        <v>-26830</v>
      </c>
      <c r="H5921" s="121" t="s">
        <v>3963</v>
      </c>
    </row>
    <row r="5922" spans="1:8" ht="15" x14ac:dyDescent="0.2">
      <c r="A5922" s="597">
        <v>43374</v>
      </c>
      <c r="B5922" s="41" t="s">
        <v>3945</v>
      </c>
      <c r="C5922" s="63" t="s">
        <v>794</v>
      </c>
      <c r="D5922" s="108" t="s">
        <v>4075</v>
      </c>
      <c r="E5922" s="58">
        <v>17875</v>
      </c>
      <c r="F5922" s="58"/>
      <c r="G5922" s="58">
        <f t="shared" si="97"/>
        <v>-17875</v>
      </c>
      <c r="H5922" s="121" t="s">
        <v>3963</v>
      </c>
    </row>
    <row r="5923" spans="1:8" ht="15" x14ac:dyDescent="0.2">
      <c r="A5923" s="597">
        <v>43374</v>
      </c>
      <c r="B5923" s="41" t="s">
        <v>3945</v>
      </c>
      <c r="C5923" s="63" t="s">
        <v>794</v>
      </c>
      <c r="D5923" s="108" t="s">
        <v>4076</v>
      </c>
      <c r="E5923" s="58">
        <v>21829.5</v>
      </c>
      <c r="F5923" s="58"/>
      <c r="G5923" s="58">
        <f t="shared" si="97"/>
        <v>-21829.5</v>
      </c>
      <c r="H5923" s="121" t="s">
        <v>3963</v>
      </c>
    </row>
    <row r="5924" spans="1:8" ht="15" x14ac:dyDescent="0.2">
      <c r="A5924" s="597">
        <v>43374</v>
      </c>
      <c r="B5924" s="41" t="s">
        <v>3946</v>
      </c>
      <c r="C5924" s="63" t="s">
        <v>794</v>
      </c>
      <c r="D5924" s="108" t="s">
        <v>4077</v>
      </c>
      <c r="E5924" s="58">
        <v>32650</v>
      </c>
      <c r="F5924" s="58"/>
      <c r="G5924" s="58">
        <f t="shared" si="97"/>
        <v>-32650</v>
      </c>
      <c r="H5924" s="121" t="s">
        <v>3963</v>
      </c>
    </row>
    <row r="5925" spans="1:8" ht="15" x14ac:dyDescent="0.2">
      <c r="A5925" s="597">
        <v>43374</v>
      </c>
      <c r="B5925" s="41" t="s">
        <v>3946</v>
      </c>
      <c r="C5925" s="63" t="s">
        <v>794</v>
      </c>
      <c r="D5925" s="108" t="s">
        <v>4078</v>
      </c>
      <c r="E5925" s="58">
        <v>23750</v>
      </c>
      <c r="F5925" s="58"/>
      <c r="G5925" s="58">
        <f t="shared" si="97"/>
        <v>-23750</v>
      </c>
      <c r="H5925" s="121" t="s">
        <v>3963</v>
      </c>
    </row>
    <row r="5926" spans="1:8" ht="15" x14ac:dyDescent="0.2">
      <c r="A5926" s="597">
        <v>43374</v>
      </c>
      <c r="B5926" s="41" t="s">
        <v>3946</v>
      </c>
      <c r="C5926" s="63" t="s">
        <v>794</v>
      </c>
      <c r="D5926" s="108" t="s">
        <v>4079</v>
      </c>
      <c r="E5926" s="58">
        <v>32330</v>
      </c>
      <c r="F5926" s="58"/>
      <c r="G5926" s="58">
        <f t="shared" si="97"/>
        <v>-32330</v>
      </c>
      <c r="H5926" s="121" t="s">
        <v>3963</v>
      </c>
    </row>
    <row r="5927" spans="1:8" ht="15" x14ac:dyDescent="0.2">
      <c r="A5927" s="597">
        <v>43374</v>
      </c>
      <c r="B5927" s="41" t="s">
        <v>3946</v>
      </c>
      <c r="C5927" s="63" t="s">
        <v>794</v>
      </c>
      <c r="D5927" s="108" t="s">
        <v>4080</v>
      </c>
      <c r="E5927" s="58">
        <v>32489.833333333336</v>
      </c>
      <c r="F5927" s="58"/>
      <c r="G5927" s="58">
        <f t="shared" si="97"/>
        <v>-32489.833333333336</v>
      </c>
      <c r="H5927" s="121" t="s">
        <v>3963</v>
      </c>
    </row>
    <row r="5928" spans="1:8" ht="15" x14ac:dyDescent="0.2">
      <c r="A5928" s="597">
        <v>43374</v>
      </c>
      <c r="B5928" s="41" t="s">
        <v>3946</v>
      </c>
      <c r="C5928" s="63" t="s">
        <v>794</v>
      </c>
      <c r="D5928" s="108" t="s">
        <v>4081</v>
      </c>
      <c r="E5928" s="58">
        <v>35475</v>
      </c>
      <c r="F5928" s="58"/>
      <c r="G5928" s="58">
        <f t="shared" si="97"/>
        <v>-35475</v>
      </c>
      <c r="H5928" s="121" t="s">
        <v>3963</v>
      </c>
    </row>
    <row r="5929" spans="1:8" ht="15" x14ac:dyDescent="0.2">
      <c r="A5929" s="597">
        <v>43374</v>
      </c>
      <c r="B5929" s="41" t="s">
        <v>3946</v>
      </c>
      <c r="C5929" s="63" t="s">
        <v>794</v>
      </c>
      <c r="D5929" s="108" t="s">
        <v>4082</v>
      </c>
      <c r="E5929" s="58">
        <v>24933.333333333332</v>
      </c>
      <c r="F5929" s="58"/>
      <c r="G5929" s="58">
        <f t="shared" si="97"/>
        <v>-24933.333333333332</v>
      </c>
      <c r="H5929" s="121" t="s">
        <v>3963</v>
      </c>
    </row>
    <row r="5930" spans="1:8" ht="15" x14ac:dyDescent="0.2">
      <c r="A5930" s="597">
        <v>43374</v>
      </c>
      <c r="B5930" s="41" t="s">
        <v>1400</v>
      </c>
      <c r="C5930" s="63" t="s">
        <v>794</v>
      </c>
      <c r="D5930" s="108" t="s">
        <v>1858</v>
      </c>
      <c r="E5930" s="58">
        <v>38000</v>
      </c>
      <c r="F5930" s="58"/>
      <c r="G5930" s="58">
        <f t="shared" si="97"/>
        <v>-38000</v>
      </c>
      <c r="H5930" s="121" t="s">
        <v>3963</v>
      </c>
    </row>
    <row r="5931" spans="1:8" ht="15" x14ac:dyDescent="0.2">
      <c r="A5931" s="597">
        <v>43374</v>
      </c>
      <c r="B5931" s="41" t="s">
        <v>1400</v>
      </c>
      <c r="C5931" s="63" t="s">
        <v>794</v>
      </c>
      <c r="D5931" s="108" t="s">
        <v>2482</v>
      </c>
      <c r="E5931" s="58">
        <v>22500</v>
      </c>
      <c r="F5931" s="58"/>
      <c r="G5931" s="58">
        <f t="shared" si="97"/>
        <v>-22500</v>
      </c>
      <c r="H5931" s="121" t="s">
        <v>3963</v>
      </c>
    </row>
    <row r="5932" spans="1:8" ht="15" x14ac:dyDescent="0.2">
      <c r="A5932" s="597">
        <v>43374</v>
      </c>
      <c r="B5932" s="41" t="s">
        <v>1400</v>
      </c>
      <c r="C5932" s="63" t="s">
        <v>794</v>
      </c>
      <c r="D5932" s="108" t="s">
        <v>1550</v>
      </c>
      <c r="E5932" s="58">
        <v>23839.75</v>
      </c>
      <c r="F5932" s="58"/>
      <c r="G5932" s="58">
        <f t="shared" si="97"/>
        <v>-23839.75</v>
      </c>
      <c r="H5932" s="121" t="s">
        <v>3963</v>
      </c>
    </row>
    <row r="5933" spans="1:8" ht="15" x14ac:dyDescent="0.2">
      <c r="A5933" s="597">
        <v>43374</v>
      </c>
      <c r="B5933" s="41" t="s">
        <v>1400</v>
      </c>
      <c r="C5933" s="63" t="s">
        <v>794</v>
      </c>
      <c r="D5933" s="108" t="s">
        <v>1852</v>
      </c>
      <c r="E5933" s="58">
        <v>28339.583333333336</v>
      </c>
      <c r="F5933" s="58"/>
      <c r="G5933" s="58">
        <f t="shared" si="97"/>
        <v>-28339.583333333336</v>
      </c>
      <c r="H5933" s="121" t="s">
        <v>3963</v>
      </c>
    </row>
    <row r="5934" spans="1:8" ht="15" x14ac:dyDescent="0.2">
      <c r="A5934" s="597">
        <v>43374</v>
      </c>
      <c r="B5934" s="41" t="s">
        <v>1400</v>
      </c>
      <c r="C5934" s="63" t="s">
        <v>794</v>
      </c>
      <c r="D5934" s="108" t="s">
        <v>1871</v>
      </c>
      <c r="E5934" s="58">
        <v>37350</v>
      </c>
      <c r="F5934" s="58"/>
      <c r="G5934" s="58">
        <f t="shared" si="97"/>
        <v>-37350</v>
      </c>
      <c r="H5934" s="121" t="s">
        <v>3963</v>
      </c>
    </row>
    <row r="5935" spans="1:8" ht="15" x14ac:dyDescent="0.2">
      <c r="A5935" s="597">
        <v>43374</v>
      </c>
      <c r="B5935" s="41" t="s">
        <v>1400</v>
      </c>
      <c r="C5935" s="63" t="s">
        <v>794</v>
      </c>
      <c r="D5935" s="108" t="s">
        <v>3234</v>
      </c>
      <c r="E5935" s="58">
        <v>15908.333333333332</v>
      </c>
      <c r="F5935" s="58"/>
      <c r="G5935" s="58">
        <f t="shared" si="97"/>
        <v>-15908.333333333332</v>
      </c>
      <c r="H5935" s="121" t="s">
        <v>3963</v>
      </c>
    </row>
    <row r="5936" spans="1:8" ht="15" x14ac:dyDescent="0.2">
      <c r="A5936" s="597">
        <v>43374</v>
      </c>
      <c r="B5936" s="41" t="s">
        <v>1400</v>
      </c>
      <c r="C5936" s="63" t="s">
        <v>794</v>
      </c>
      <c r="D5936" s="108" t="s">
        <v>1859</v>
      </c>
      <c r="E5936" s="58">
        <v>15900</v>
      </c>
      <c r="F5936" s="58"/>
      <c r="G5936" s="58">
        <f t="shared" si="97"/>
        <v>-15900</v>
      </c>
      <c r="H5936" s="121" t="s">
        <v>3963</v>
      </c>
    </row>
    <row r="5937" spans="1:8" ht="15" x14ac:dyDescent="0.2">
      <c r="A5937" s="597">
        <v>43374</v>
      </c>
      <c r="B5937" s="41" t="s">
        <v>1400</v>
      </c>
      <c r="C5937" s="63" t="s">
        <v>794</v>
      </c>
      <c r="D5937" s="108" t="s">
        <v>3491</v>
      </c>
      <c r="E5937" s="58">
        <v>20066.666666666668</v>
      </c>
      <c r="F5937" s="58"/>
      <c r="G5937" s="58">
        <f t="shared" si="97"/>
        <v>-20066.666666666668</v>
      </c>
      <c r="H5937" s="121" t="s">
        <v>3963</v>
      </c>
    </row>
    <row r="5938" spans="1:8" ht="15" x14ac:dyDescent="0.2">
      <c r="A5938" s="597">
        <v>43374</v>
      </c>
      <c r="B5938" s="41" t="s">
        <v>1400</v>
      </c>
      <c r="C5938" s="63" t="s">
        <v>794</v>
      </c>
      <c r="D5938" s="108" t="s">
        <v>1862</v>
      </c>
      <c r="E5938" s="58">
        <v>18112.5</v>
      </c>
      <c r="F5938" s="58"/>
      <c r="G5938" s="58">
        <f t="shared" si="97"/>
        <v>-18112.5</v>
      </c>
      <c r="H5938" s="121" t="s">
        <v>3963</v>
      </c>
    </row>
    <row r="5939" spans="1:8" ht="15" x14ac:dyDescent="0.2">
      <c r="A5939" s="597">
        <v>43374</v>
      </c>
      <c r="B5939" s="41" t="s">
        <v>1400</v>
      </c>
      <c r="C5939" s="63" t="s">
        <v>794</v>
      </c>
      <c r="D5939" s="108" t="s">
        <v>3492</v>
      </c>
      <c r="E5939" s="58">
        <v>3400</v>
      </c>
      <c r="F5939" s="58"/>
      <c r="G5939" s="58">
        <f t="shared" si="97"/>
        <v>-3400</v>
      </c>
      <c r="H5939" s="121" t="s">
        <v>3963</v>
      </c>
    </row>
    <row r="5940" spans="1:8" ht="15" x14ac:dyDescent="0.2">
      <c r="A5940" s="597">
        <v>43374</v>
      </c>
      <c r="B5940" s="41" t="s">
        <v>1400</v>
      </c>
      <c r="C5940" s="63" t="s">
        <v>794</v>
      </c>
      <c r="D5940" s="108" t="s">
        <v>3068</v>
      </c>
      <c r="E5940" s="58">
        <v>8170.0000000000018</v>
      </c>
      <c r="F5940" s="58"/>
      <c r="G5940" s="58">
        <f t="shared" si="97"/>
        <v>-8170.0000000000018</v>
      </c>
      <c r="H5940" s="121" t="s">
        <v>3963</v>
      </c>
    </row>
    <row r="5941" spans="1:8" ht="15" x14ac:dyDescent="0.2">
      <c r="A5941" s="597">
        <v>43374</v>
      </c>
      <c r="B5941" s="41" t="s">
        <v>1400</v>
      </c>
      <c r="C5941" s="63" t="s">
        <v>794</v>
      </c>
      <c r="D5941" s="108" t="s">
        <v>4006</v>
      </c>
      <c r="E5941" s="58">
        <v>6733.3333333333321</v>
      </c>
      <c r="F5941" s="58"/>
      <c r="G5941" s="58">
        <f t="shared" ref="G5941:G6004" si="98">F5941-E5941</f>
        <v>-6733.3333333333321</v>
      </c>
      <c r="H5941" s="121" t="s">
        <v>3963</v>
      </c>
    </row>
    <row r="5942" spans="1:8" ht="15" x14ac:dyDescent="0.2">
      <c r="A5942" s="597">
        <v>43374</v>
      </c>
      <c r="B5942" s="41" t="s">
        <v>1400</v>
      </c>
      <c r="C5942" s="63" t="s">
        <v>794</v>
      </c>
      <c r="D5942" s="108" t="s">
        <v>2481</v>
      </c>
      <c r="E5942" s="58">
        <v>13490.333333333332</v>
      </c>
      <c r="F5942" s="58"/>
      <c r="G5942" s="58">
        <f t="shared" si="98"/>
        <v>-13490.333333333332</v>
      </c>
      <c r="H5942" s="121" t="s">
        <v>3963</v>
      </c>
    </row>
    <row r="5943" spans="1:8" ht="15" x14ac:dyDescent="0.2">
      <c r="A5943" s="597">
        <v>43374</v>
      </c>
      <c r="B5943" s="41" t="s">
        <v>6516</v>
      </c>
      <c r="C5943" s="63" t="s">
        <v>794</v>
      </c>
      <c r="D5943" s="108" t="s">
        <v>1855</v>
      </c>
      <c r="E5943" s="58">
        <v>22300</v>
      </c>
      <c r="F5943" s="58"/>
      <c r="G5943" s="58">
        <f t="shared" si="98"/>
        <v>-22300</v>
      </c>
      <c r="H5943" s="121" t="s">
        <v>3963</v>
      </c>
    </row>
    <row r="5944" spans="1:8" ht="15" x14ac:dyDescent="0.2">
      <c r="A5944" s="597">
        <v>43374</v>
      </c>
      <c r="B5944" s="41" t="s">
        <v>6516</v>
      </c>
      <c r="C5944" s="63" t="s">
        <v>794</v>
      </c>
      <c r="D5944" s="108" t="s">
        <v>1861</v>
      </c>
      <c r="E5944" s="58">
        <v>17870.000000000004</v>
      </c>
      <c r="F5944" s="58"/>
      <c r="G5944" s="58">
        <f t="shared" si="98"/>
        <v>-17870.000000000004</v>
      </c>
      <c r="H5944" s="121" t="s">
        <v>3963</v>
      </c>
    </row>
    <row r="5945" spans="1:8" ht="15" x14ac:dyDescent="0.2">
      <c r="A5945" s="597">
        <v>43374</v>
      </c>
      <c r="B5945" s="41" t="s">
        <v>6516</v>
      </c>
      <c r="C5945" s="63" t="s">
        <v>794</v>
      </c>
      <c r="D5945" s="108" t="s">
        <v>1849</v>
      </c>
      <c r="E5945" s="58">
        <v>18070</v>
      </c>
      <c r="F5945" s="58"/>
      <c r="G5945" s="58">
        <f t="shared" si="98"/>
        <v>-18070</v>
      </c>
      <c r="H5945" s="121" t="s">
        <v>3963</v>
      </c>
    </row>
    <row r="5946" spans="1:8" ht="15" x14ac:dyDescent="0.2">
      <c r="A5946" s="597">
        <v>43374</v>
      </c>
      <c r="B5946" s="41" t="s">
        <v>6516</v>
      </c>
      <c r="C5946" s="63" t="s">
        <v>794</v>
      </c>
      <c r="D5946" s="108" t="s">
        <v>3615</v>
      </c>
      <c r="E5946" s="58">
        <v>12120.833333333332</v>
      </c>
      <c r="F5946" s="58"/>
      <c r="G5946" s="58">
        <f t="shared" si="98"/>
        <v>-12120.833333333332</v>
      </c>
      <c r="H5946" s="121" t="s">
        <v>3963</v>
      </c>
    </row>
    <row r="5947" spans="1:8" ht="15" x14ac:dyDescent="0.2">
      <c r="A5947" s="597">
        <v>43374</v>
      </c>
      <c r="B5947" s="41" t="s">
        <v>6516</v>
      </c>
      <c r="C5947" s="63" t="s">
        <v>794</v>
      </c>
      <c r="D5947" s="108" t="s">
        <v>4083</v>
      </c>
      <c r="E5947" s="58">
        <v>11970.833333333334</v>
      </c>
      <c r="F5947" s="58"/>
      <c r="G5947" s="58">
        <f t="shared" si="98"/>
        <v>-11970.833333333334</v>
      </c>
      <c r="H5947" s="121" t="s">
        <v>3963</v>
      </c>
    </row>
    <row r="5948" spans="1:8" ht="15" x14ac:dyDescent="0.2">
      <c r="A5948" s="597">
        <v>43374</v>
      </c>
      <c r="B5948" s="41" t="s">
        <v>6516</v>
      </c>
      <c r="C5948" s="63" t="s">
        <v>794</v>
      </c>
      <c r="D5948" s="108" t="s">
        <v>4007</v>
      </c>
      <c r="E5948" s="58">
        <v>11500</v>
      </c>
      <c r="F5948" s="58"/>
      <c r="G5948" s="58">
        <f t="shared" si="98"/>
        <v>-11500</v>
      </c>
      <c r="H5948" s="121" t="s">
        <v>3963</v>
      </c>
    </row>
    <row r="5949" spans="1:8" ht="15" x14ac:dyDescent="0.2">
      <c r="A5949" s="597">
        <v>43374</v>
      </c>
      <c r="B5949" s="41" t="s">
        <v>37</v>
      </c>
      <c r="C5949" s="63" t="s">
        <v>794</v>
      </c>
      <c r="D5949" s="108" t="s">
        <v>1866</v>
      </c>
      <c r="E5949" s="58">
        <v>21525</v>
      </c>
      <c r="F5949" s="58"/>
      <c r="G5949" s="58">
        <f t="shared" si="98"/>
        <v>-21525</v>
      </c>
      <c r="H5949" s="121" t="s">
        <v>3963</v>
      </c>
    </row>
    <row r="5950" spans="1:8" ht="15" x14ac:dyDescent="0.2">
      <c r="A5950" s="597">
        <v>43374</v>
      </c>
      <c r="B5950" s="41" t="s">
        <v>37</v>
      </c>
      <c r="C5950" s="63" t="s">
        <v>794</v>
      </c>
      <c r="D5950" s="108" t="s">
        <v>1867</v>
      </c>
      <c r="E5950" s="58">
        <v>14099.666666666666</v>
      </c>
      <c r="F5950" s="58"/>
      <c r="G5950" s="58">
        <f t="shared" si="98"/>
        <v>-14099.666666666666</v>
      </c>
      <c r="H5950" s="121" t="s">
        <v>3963</v>
      </c>
    </row>
    <row r="5951" spans="1:8" ht="15" x14ac:dyDescent="0.2">
      <c r="A5951" s="597">
        <v>43374</v>
      </c>
      <c r="B5951" s="41" t="s">
        <v>37</v>
      </c>
      <c r="C5951" s="63" t="s">
        <v>794</v>
      </c>
      <c r="D5951" s="108" t="s">
        <v>1868</v>
      </c>
      <c r="E5951" s="58">
        <v>18500</v>
      </c>
      <c r="F5951" s="58"/>
      <c r="G5951" s="58">
        <f t="shared" si="98"/>
        <v>-18500</v>
      </c>
      <c r="H5951" s="121" t="s">
        <v>3963</v>
      </c>
    </row>
    <row r="5952" spans="1:8" ht="15" x14ac:dyDescent="0.2">
      <c r="A5952" s="597">
        <v>43374</v>
      </c>
      <c r="B5952" s="41" t="s">
        <v>37</v>
      </c>
      <c r="C5952" s="63" t="s">
        <v>794</v>
      </c>
      <c r="D5952" s="108" t="s">
        <v>1569</v>
      </c>
      <c r="E5952" s="58">
        <v>2000</v>
      </c>
      <c r="F5952" s="58"/>
      <c r="G5952" s="58">
        <f t="shared" si="98"/>
        <v>-2000</v>
      </c>
      <c r="H5952" s="121" t="s">
        <v>3963</v>
      </c>
    </row>
    <row r="5953" spans="1:8" ht="15" x14ac:dyDescent="0.2">
      <c r="A5953" s="597">
        <v>43374</v>
      </c>
      <c r="B5953" s="41" t="s">
        <v>37</v>
      </c>
      <c r="C5953" s="63" t="s">
        <v>794</v>
      </c>
      <c r="D5953" s="108" t="s">
        <v>3610</v>
      </c>
      <c r="E5953" s="58">
        <v>12150</v>
      </c>
      <c r="F5953" s="58"/>
      <c r="G5953" s="58">
        <f t="shared" si="98"/>
        <v>-12150</v>
      </c>
      <c r="H5953" s="121" t="s">
        <v>3963</v>
      </c>
    </row>
    <row r="5954" spans="1:8" ht="15" x14ac:dyDescent="0.2">
      <c r="A5954" s="597">
        <v>43374</v>
      </c>
      <c r="B5954" s="41" t="s">
        <v>37</v>
      </c>
      <c r="C5954" s="63" t="s">
        <v>794</v>
      </c>
      <c r="D5954" s="108" t="s">
        <v>1240</v>
      </c>
      <c r="E5954" s="58">
        <v>23900.333333333336</v>
      </c>
      <c r="F5954" s="58"/>
      <c r="G5954" s="58">
        <f t="shared" si="98"/>
        <v>-23900.333333333336</v>
      </c>
      <c r="H5954" s="121" t="s">
        <v>3963</v>
      </c>
    </row>
    <row r="5955" spans="1:8" ht="15" x14ac:dyDescent="0.2">
      <c r="A5955" s="597">
        <v>43374</v>
      </c>
      <c r="B5955" s="41" t="s">
        <v>2933</v>
      </c>
      <c r="C5955" s="63" t="s">
        <v>794</v>
      </c>
      <c r="D5955" s="108" t="s">
        <v>1845</v>
      </c>
      <c r="E5955" s="58">
        <v>23600</v>
      </c>
      <c r="F5955" s="58"/>
      <c r="G5955" s="58">
        <f t="shared" si="98"/>
        <v>-23600</v>
      </c>
      <c r="H5955" s="121" t="s">
        <v>3963</v>
      </c>
    </row>
    <row r="5956" spans="1:8" ht="15" x14ac:dyDescent="0.2">
      <c r="A5956" s="597">
        <v>43374</v>
      </c>
      <c r="B5956" s="41" t="s">
        <v>2933</v>
      </c>
      <c r="C5956" s="63" t="s">
        <v>794</v>
      </c>
      <c r="D5956" s="108" t="s">
        <v>668</v>
      </c>
      <c r="E5956" s="58">
        <v>21375</v>
      </c>
      <c r="F5956" s="58"/>
      <c r="G5956" s="58">
        <f t="shared" si="98"/>
        <v>-21375</v>
      </c>
      <c r="H5956" s="121" t="s">
        <v>3963</v>
      </c>
    </row>
    <row r="5957" spans="1:8" ht="15" x14ac:dyDescent="0.2">
      <c r="A5957" s="597">
        <v>43374</v>
      </c>
      <c r="B5957" s="41" t="s">
        <v>2933</v>
      </c>
      <c r="C5957" s="63" t="s">
        <v>794</v>
      </c>
      <c r="D5957" s="108" t="s">
        <v>1561</v>
      </c>
      <c r="E5957" s="58">
        <v>13109.5</v>
      </c>
      <c r="F5957" s="58"/>
      <c r="G5957" s="58">
        <f t="shared" si="98"/>
        <v>-13109.5</v>
      </c>
      <c r="H5957" s="121" t="s">
        <v>3963</v>
      </c>
    </row>
    <row r="5958" spans="1:8" ht="15" x14ac:dyDescent="0.2">
      <c r="A5958" s="597">
        <v>43374</v>
      </c>
      <c r="B5958" s="41" t="s">
        <v>2933</v>
      </c>
      <c r="C5958" s="63" t="s">
        <v>794</v>
      </c>
      <c r="D5958" s="108" t="s">
        <v>3490</v>
      </c>
      <c r="E5958" s="58">
        <v>11269.666666666666</v>
      </c>
      <c r="F5958" s="58"/>
      <c r="G5958" s="58">
        <f t="shared" si="98"/>
        <v>-11269.666666666666</v>
      </c>
      <c r="H5958" s="121" t="s">
        <v>3963</v>
      </c>
    </row>
    <row r="5959" spans="1:8" ht="15" x14ac:dyDescent="0.2">
      <c r="A5959" s="597">
        <v>43374</v>
      </c>
      <c r="B5959" s="41" t="s">
        <v>2933</v>
      </c>
      <c r="C5959" s="63" t="s">
        <v>794</v>
      </c>
      <c r="D5959" s="108" t="s">
        <v>352</v>
      </c>
      <c r="E5959" s="58">
        <v>9309.5000000000018</v>
      </c>
      <c r="F5959" s="58"/>
      <c r="G5959" s="58">
        <f t="shared" si="98"/>
        <v>-9309.5000000000018</v>
      </c>
      <c r="H5959" s="121" t="s">
        <v>3963</v>
      </c>
    </row>
    <row r="5960" spans="1:8" ht="15" x14ac:dyDescent="0.2">
      <c r="A5960" s="597">
        <v>43374</v>
      </c>
      <c r="B5960" s="41" t="s">
        <v>2652</v>
      </c>
      <c r="C5960" s="63" t="s">
        <v>794</v>
      </c>
      <c r="D5960" s="108" t="s">
        <v>1864</v>
      </c>
      <c r="E5960" s="58">
        <v>41875</v>
      </c>
      <c r="F5960" s="58"/>
      <c r="G5960" s="58">
        <f t="shared" si="98"/>
        <v>-41875</v>
      </c>
      <c r="H5960" s="121" t="s">
        <v>3963</v>
      </c>
    </row>
    <row r="5961" spans="1:8" ht="15" x14ac:dyDescent="0.2">
      <c r="A5961" s="597">
        <v>43374</v>
      </c>
      <c r="B5961" s="41" t="s">
        <v>2652</v>
      </c>
      <c r="C5961" s="63" t="s">
        <v>794</v>
      </c>
      <c r="D5961" s="108" t="s">
        <v>3616</v>
      </c>
      <c r="E5961" s="58">
        <v>35000</v>
      </c>
      <c r="F5961" s="58"/>
      <c r="G5961" s="58">
        <f t="shared" si="98"/>
        <v>-35000</v>
      </c>
      <c r="H5961" s="121" t="s">
        <v>3963</v>
      </c>
    </row>
    <row r="5962" spans="1:8" ht="15" x14ac:dyDescent="0.2">
      <c r="A5962" s="597">
        <v>43374</v>
      </c>
      <c r="B5962" s="41" t="s">
        <v>2652</v>
      </c>
      <c r="C5962" s="63" t="s">
        <v>794</v>
      </c>
      <c r="D5962" s="108" t="s">
        <v>1847</v>
      </c>
      <c r="E5962" s="58">
        <v>17300</v>
      </c>
      <c r="F5962" s="58"/>
      <c r="G5962" s="58">
        <f t="shared" si="98"/>
        <v>-17300</v>
      </c>
      <c r="H5962" s="121" t="s">
        <v>3963</v>
      </c>
    </row>
    <row r="5963" spans="1:8" ht="15" x14ac:dyDescent="0.2">
      <c r="A5963" s="597">
        <v>43374</v>
      </c>
      <c r="B5963" s="41" t="s">
        <v>2652</v>
      </c>
      <c r="C5963" s="63" t="s">
        <v>794</v>
      </c>
      <c r="D5963" s="108" t="s">
        <v>4008</v>
      </c>
      <c r="E5963" s="58">
        <v>19839.75</v>
      </c>
      <c r="F5963" s="58"/>
      <c r="G5963" s="58">
        <f t="shared" si="98"/>
        <v>-19839.75</v>
      </c>
      <c r="H5963" s="121" t="s">
        <v>3963</v>
      </c>
    </row>
    <row r="5964" spans="1:8" ht="15" x14ac:dyDescent="0.2">
      <c r="A5964" s="597">
        <v>43374</v>
      </c>
      <c r="B5964" s="41" t="s">
        <v>2652</v>
      </c>
      <c r="C5964" s="63" t="s">
        <v>794</v>
      </c>
      <c r="D5964" s="108" t="s">
        <v>2280</v>
      </c>
      <c r="E5964" s="58">
        <v>16200</v>
      </c>
      <c r="F5964" s="58"/>
      <c r="G5964" s="58">
        <f t="shared" si="98"/>
        <v>-16200</v>
      </c>
      <c r="H5964" s="121" t="s">
        <v>3963</v>
      </c>
    </row>
    <row r="5965" spans="1:8" ht="15" x14ac:dyDescent="0.2">
      <c r="A5965" s="597">
        <v>43374</v>
      </c>
      <c r="B5965" s="41" t="s">
        <v>2652</v>
      </c>
      <c r="C5965" s="63" t="s">
        <v>794</v>
      </c>
      <c r="D5965" s="108" t="s">
        <v>3231</v>
      </c>
      <c r="E5965" s="58">
        <v>37000</v>
      </c>
      <c r="F5965" s="58"/>
      <c r="G5965" s="58">
        <f t="shared" si="98"/>
        <v>-37000</v>
      </c>
      <c r="H5965" s="121" t="s">
        <v>3963</v>
      </c>
    </row>
    <row r="5966" spans="1:8" ht="15" x14ac:dyDescent="0.2">
      <c r="A5966" s="597">
        <v>43374</v>
      </c>
      <c r="B5966" s="41" t="s">
        <v>2652</v>
      </c>
      <c r="C5966" s="63" t="s">
        <v>794</v>
      </c>
      <c r="D5966" s="108" t="s">
        <v>1860</v>
      </c>
      <c r="E5966" s="58">
        <v>12500</v>
      </c>
      <c r="F5966" s="58"/>
      <c r="G5966" s="58">
        <f t="shared" si="98"/>
        <v>-12500</v>
      </c>
      <c r="H5966" s="121" t="s">
        <v>3963</v>
      </c>
    </row>
    <row r="5967" spans="1:8" ht="15" x14ac:dyDescent="0.2">
      <c r="A5967" s="597">
        <v>43374</v>
      </c>
      <c r="B5967" s="41" t="s">
        <v>2652</v>
      </c>
      <c r="C5967" s="63" t="s">
        <v>794</v>
      </c>
      <c r="D5967" s="108" t="s">
        <v>4009</v>
      </c>
      <c r="E5967" s="58">
        <v>6460.1666666666679</v>
      </c>
      <c r="F5967" s="58"/>
      <c r="G5967" s="58">
        <f t="shared" si="98"/>
        <v>-6460.1666666666679</v>
      </c>
      <c r="H5967" s="121" t="s">
        <v>3963</v>
      </c>
    </row>
    <row r="5968" spans="1:8" ht="15" x14ac:dyDescent="0.2">
      <c r="A5968" s="597">
        <v>43374</v>
      </c>
      <c r="B5968" s="41" t="s">
        <v>2652</v>
      </c>
      <c r="C5968" s="63" t="s">
        <v>794</v>
      </c>
      <c r="D5968" s="108" t="s">
        <v>4010</v>
      </c>
      <c r="E5968" s="58">
        <v>7875</v>
      </c>
      <c r="F5968" s="58"/>
      <c r="G5968" s="58">
        <f t="shared" si="98"/>
        <v>-7875</v>
      </c>
      <c r="H5968" s="121" t="s">
        <v>3963</v>
      </c>
    </row>
    <row r="5969" spans="1:8" ht="15" x14ac:dyDescent="0.2">
      <c r="A5969" s="597">
        <v>43374</v>
      </c>
      <c r="B5969" s="41" t="s">
        <v>2652</v>
      </c>
      <c r="C5969" s="63" t="s">
        <v>794</v>
      </c>
      <c r="D5969" s="108" t="s">
        <v>4011</v>
      </c>
      <c r="E5969" s="58">
        <v>6040.25</v>
      </c>
      <c r="F5969" s="58"/>
      <c r="G5969" s="58">
        <f t="shared" si="98"/>
        <v>-6040.25</v>
      </c>
      <c r="H5969" s="121" t="s">
        <v>3963</v>
      </c>
    </row>
    <row r="5970" spans="1:8" ht="15" x14ac:dyDescent="0.2">
      <c r="A5970" s="597">
        <v>43374</v>
      </c>
      <c r="B5970" s="41" t="s">
        <v>2652</v>
      </c>
      <c r="C5970" s="63" t="s">
        <v>794</v>
      </c>
      <c r="D5970" s="108" t="s">
        <v>4120</v>
      </c>
      <c r="E5970" s="58">
        <v>3200.0833333333335</v>
      </c>
      <c r="F5970" s="58"/>
      <c r="G5970" s="58">
        <f t="shared" si="98"/>
        <v>-3200.0833333333335</v>
      </c>
      <c r="H5970" s="121" t="s">
        <v>3963</v>
      </c>
    </row>
    <row r="5971" spans="1:8" ht="15" x14ac:dyDescent="0.2">
      <c r="A5971" s="597">
        <v>43374</v>
      </c>
      <c r="B5971" s="41" t="s">
        <v>2652</v>
      </c>
      <c r="C5971" s="63" t="s">
        <v>794</v>
      </c>
      <c r="D5971" s="108" t="s">
        <v>4121</v>
      </c>
      <c r="E5971" s="58">
        <v>19530.458333333332</v>
      </c>
      <c r="F5971" s="58"/>
      <c r="G5971" s="58">
        <f t="shared" si="98"/>
        <v>-19530.458333333332</v>
      </c>
      <c r="H5971" s="121" t="s">
        <v>3963</v>
      </c>
    </row>
    <row r="5972" spans="1:8" ht="15" x14ac:dyDescent="0.2">
      <c r="A5972" s="597">
        <v>43374</v>
      </c>
      <c r="B5972" s="41" t="s">
        <v>3622</v>
      </c>
      <c r="C5972" s="63" t="s">
        <v>3145</v>
      </c>
      <c r="D5972" s="108" t="s">
        <v>4034</v>
      </c>
      <c r="E5972" s="58">
        <v>3630</v>
      </c>
      <c r="F5972" s="58"/>
      <c r="G5972" s="58">
        <f t="shared" si="98"/>
        <v>-3630</v>
      </c>
      <c r="H5972" s="121" t="s">
        <v>3963</v>
      </c>
    </row>
    <row r="5973" spans="1:8" ht="15" x14ac:dyDescent="0.2">
      <c r="A5973" s="597">
        <v>43374</v>
      </c>
      <c r="B5973" s="41" t="s">
        <v>2652</v>
      </c>
      <c r="C5973" s="63" t="s">
        <v>3145</v>
      </c>
      <c r="D5973" s="108" t="s">
        <v>4034</v>
      </c>
      <c r="E5973" s="58">
        <v>3046</v>
      </c>
      <c r="F5973" s="58"/>
      <c r="G5973" s="58">
        <f t="shared" si="98"/>
        <v>-3046</v>
      </c>
      <c r="H5973" s="121" t="s">
        <v>3963</v>
      </c>
    </row>
    <row r="5974" spans="1:8" ht="15" x14ac:dyDescent="0.2">
      <c r="A5974" s="597">
        <v>43374</v>
      </c>
      <c r="B5974" s="41" t="s">
        <v>2652</v>
      </c>
      <c r="C5974" s="63" t="s">
        <v>3145</v>
      </c>
      <c r="D5974" s="108" t="s">
        <v>3797</v>
      </c>
      <c r="E5974" s="58">
        <v>1560</v>
      </c>
      <c r="F5974" s="58"/>
      <c r="G5974" s="58">
        <f t="shared" si="98"/>
        <v>-1560</v>
      </c>
      <c r="H5974" s="121" t="s">
        <v>3963</v>
      </c>
    </row>
    <row r="5975" spans="1:8" ht="15" x14ac:dyDescent="0.2">
      <c r="A5975" s="597">
        <v>43375</v>
      </c>
      <c r="B5975" s="41" t="s">
        <v>3622</v>
      </c>
      <c r="C5975" s="63" t="s">
        <v>3145</v>
      </c>
      <c r="D5975" s="108" t="s">
        <v>4034</v>
      </c>
      <c r="E5975" s="58">
        <v>2626</v>
      </c>
      <c r="F5975" s="58"/>
      <c r="G5975" s="58">
        <f t="shared" si="98"/>
        <v>-2626</v>
      </c>
      <c r="H5975" s="121" t="s">
        <v>3963</v>
      </c>
    </row>
    <row r="5976" spans="1:8" ht="15" x14ac:dyDescent="0.2">
      <c r="A5976" s="597">
        <v>43375</v>
      </c>
      <c r="B5976" s="41" t="s">
        <v>2933</v>
      </c>
      <c r="C5976" s="63" t="s">
        <v>3145</v>
      </c>
      <c r="D5976" s="108" t="s">
        <v>4104</v>
      </c>
      <c r="E5976" s="58">
        <v>625</v>
      </c>
      <c r="F5976" s="58"/>
      <c r="G5976" s="58">
        <f t="shared" si="98"/>
        <v>-625</v>
      </c>
      <c r="H5976" s="121" t="s">
        <v>3963</v>
      </c>
    </row>
    <row r="5977" spans="1:8" ht="15" x14ac:dyDescent="0.2">
      <c r="A5977" s="597">
        <v>43375</v>
      </c>
      <c r="B5977" s="41" t="s">
        <v>2933</v>
      </c>
      <c r="C5977" s="63" t="s">
        <v>392</v>
      </c>
      <c r="D5977" s="108" t="s">
        <v>372</v>
      </c>
      <c r="E5977" s="58">
        <v>2000</v>
      </c>
      <c r="F5977" s="58"/>
      <c r="G5977" s="58">
        <f t="shared" si="98"/>
        <v>-2000</v>
      </c>
      <c r="H5977" s="121" t="s">
        <v>3963</v>
      </c>
    </row>
    <row r="5978" spans="1:8" ht="15" x14ac:dyDescent="0.2">
      <c r="A5978" s="597">
        <v>43375</v>
      </c>
      <c r="B5978" s="41" t="s">
        <v>2933</v>
      </c>
      <c r="C5978" s="63" t="s">
        <v>392</v>
      </c>
      <c r="D5978" s="108" t="s">
        <v>4105</v>
      </c>
      <c r="E5978" s="58">
        <v>22000</v>
      </c>
      <c r="F5978" s="58"/>
      <c r="G5978" s="58">
        <f t="shared" si="98"/>
        <v>-22000</v>
      </c>
      <c r="H5978" s="121" t="s">
        <v>3963</v>
      </c>
    </row>
    <row r="5979" spans="1:8" ht="15" x14ac:dyDescent="0.2">
      <c r="A5979" s="597">
        <v>43375</v>
      </c>
      <c r="B5979" s="41" t="s">
        <v>25</v>
      </c>
      <c r="C5979" s="63" t="s">
        <v>1894</v>
      </c>
      <c r="D5979" s="108" t="s">
        <v>392</v>
      </c>
      <c r="E5979" s="58">
        <v>6500</v>
      </c>
      <c r="F5979" s="58"/>
      <c r="G5979" s="58">
        <f t="shared" si="98"/>
        <v>-6500</v>
      </c>
      <c r="H5979" s="121" t="s">
        <v>3963</v>
      </c>
    </row>
    <row r="5980" spans="1:8" ht="15" x14ac:dyDescent="0.2">
      <c r="A5980" s="597">
        <v>43377</v>
      </c>
      <c r="B5980" s="41" t="s">
        <v>3733</v>
      </c>
      <c r="C5980" s="63" t="s">
        <v>3145</v>
      </c>
      <c r="D5980" s="108" t="s">
        <v>4034</v>
      </c>
      <c r="E5980" s="58">
        <v>4195</v>
      </c>
      <c r="F5980" s="58"/>
      <c r="G5980" s="58">
        <f t="shared" si="98"/>
        <v>-4195</v>
      </c>
      <c r="H5980" s="121" t="s">
        <v>3963</v>
      </c>
    </row>
    <row r="5981" spans="1:8" ht="15" x14ac:dyDescent="0.2">
      <c r="A5981" s="597">
        <v>43377</v>
      </c>
      <c r="B5981" s="41" t="s">
        <v>16</v>
      </c>
      <c r="C5981" s="63" t="s">
        <v>3791</v>
      </c>
      <c r="D5981" s="108" t="s">
        <v>370</v>
      </c>
      <c r="E5981" s="58">
        <v>4150</v>
      </c>
      <c r="F5981" s="58"/>
      <c r="G5981" s="58">
        <f t="shared" si="98"/>
        <v>-4150</v>
      </c>
      <c r="H5981" s="121" t="s">
        <v>3963</v>
      </c>
    </row>
    <row r="5982" spans="1:8" ht="15" x14ac:dyDescent="0.2">
      <c r="A5982" s="597">
        <v>43377</v>
      </c>
      <c r="B5982" s="41" t="s">
        <v>3733</v>
      </c>
      <c r="C5982" s="63" t="s">
        <v>392</v>
      </c>
      <c r="D5982" s="108" t="s">
        <v>2521</v>
      </c>
      <c r="E5982" s="58">
        <f>2250+3000</f>
        <v>5250</v>
      </c>
      <c r="F5982" s="58"/>
      <c r="G5982" s="58">
        <f t="shared" si="98"/>
        <v>-5250</v>
      </c>
      <c r="H5982" s="121" t="s">
        <v>3963</v>
      </c>
    </row>
    <row r="5983" spans="1:8" ht="15" x14ac:dyDescent="0.2">
      <c r="A5983" s="597">
        <v>43379</v>
      </c>
      <c r="B5983" s="41" t="s">
        <v>2933</v>
      </c>
      <c r="C5983" s="63" t="s">
        <v>3145</v>
      </c>
      <c r="D5983" s="108" t="s">
        <v>4108</v>
      </c>
      <c r="E5983" s="58">
        <v>40940</v>
      </c>
      <c r="F5983" s="58"/>
      <c r="G5983" s="58">
        <f t="shared" si="98"/>
        <v>-40940</v>
      </c>
      <c r="H5983" s="121" t="s">
        <v>3963</v>
      </c>
    </row>
    <row r="5984" spans="1:8" ht="15" x14ac:dyDescent="0.2">
      <c r="A5984" s="597">
        <v>43379</v>
      </c>
      <c r="B5984" s="41" t="s">
        <v>3622</v>
      </c>
      <c r="C5984" s="63" t="s">
        <v>3145</v>
      </c>
      <c r="D5984" s="108" t="s">
        <v>4107</v>
      </c>
      <c r="E5984" s="58">
        <v>28940</v>
      </c>
      <c r="F5984" s="58"/>
      <c r="G5984" s="58">
        <f t="shared" si="98"/>
        <v>-28940</v>
      </c>
      <c r="H5984" s="121" t="s">
        <v>3963</v>
      </c>
    </row>
    <row r="5985" spans="1:8" ht="15" x14ac:dyDescent="0.2">
      <c r="A5985" s="597">
        <v>43379</v>
      </c>
      <c r="B5985" s="41" t="s">
        <v>2652</v>
      </c>
      <c r="C5985" s="63" t="s">
        <v>3145</v>
      </c>
      <c r="D5985" s="108" t="s">
        <v>4106</v>
      </c>
      <c r="E5985" s="58">
        <v>420</v>
      </c>
      <c r="F5985" s="58"/>
      <c r="G5985" s="58">
        <f t="shared" si="98"/>
        <v>-420</v>
      </c>
      <c r="H5985" s="121" t="s">
        <v>3963</v>
      </c>
    </row>
    <row r="5986" spans="1:8" ht="15" x14ac:dyDescent="0.2">
      <c r="A5986" s="597">
        <v>43381</v>
      </c>
      <c r="B5986" s="41" t="s">
        <v>3622</v>
      </c>
      <c r="C5986" s="63" t="s">
        <v>3145</v>
      </c>
      <c r="D5986" s="108" t="s">
        <v>4109</v>
      </c>
      <c r="E5986" s="58">
        <v>3900</v>
      </c>
      <c r="F5986" s="58"/>
      <c r="G5986" s="58">
        <f t="shared" si="98"/>
        <v>-3900</v>
      </c>
      <c r="H5986" s="121" t="s">
        <v>3963</v>
      </c>
    </row>
    <row r="5987" spans="1:8" ht="15" x14ac:dyDescent="0.2">
      <c r="A5987" s="597">
        <v>43381</v>
      </c>
      <c r="B5987" s="41" t="s">
        <v>3622</v>
      </c>
      <c r="C5987" s="63" t="s">
        <v>3145</v>
      </c>
      <c r="D5987" s="108" t="s">
        <v>4110</v>
      </c>
      <c r="E5987" s="58">
        <v>4260</v>
      </c>
      <c r="F5987" s="58"/>
      <c r="G5987" s="58">
        <f t="shared" si="98"/>
        <v>-4260</v>
      </c>
      <c r="H5987" s="121" t="s">
        <v>3963</v>
      </c>
    </row>
    <row r="5988" spans="1:8" ht="15" x14ac:dyDescent="0.2">
      <c r="A5988" s="597">
        <v>43381</v>
      </c>
      <c r="B5988" s="41" t="s">
        <v>2933</v>
      </c>
      <c r="C5988" s="63" t="s">
        <v>3145</v>
      </c>
      <c r="D5988" s="108" t="s">
        <v>4111</v>
      </c>
      <c r="E5988" s="58">
        <v>675</v>
      </c>
      <c r="F5988" s="58"/>
      <c r="G5988" s="58">
        <f t="shared" si="98"/>
        <v>-675</v>
      </c>
      <c r="H5988" s="121" t="s">
        <v>3963</v>
      </c>
    </row>
    <row r="5989" spans="1:8" ht="15" x14ac:dyDescent="0.2">
      <c r="A5989" s="597">
        <v>43384</v>
      </c>
      <c r="B5989" s="41" t="s">
        <v>1400</v>
      </c>
      <c r="C5989" s="63" t="s">
        <v>3145</v>
      </c>
      <c r="D5989" s="108" t="s">
        <v>4112</v>
      </c>
      <c r="E5989" s="58">
        <v>64614</v>
      </c>
      <c r="F5989" s="58"/>
      <c r="G5989" s="58">
        <f t="shared" si="98"/>
        <v>-64614</v>
      </c>
      <c r="H5989" s="121" t="s">
        <v>3963</v>
      </c>
    </row>
    <row r="5990" spans="1:8" ht="15" x14ac:dyDescent="0.2">
      <c r="A5990" s="597">
        <v>43386</v>
      </c>
      <c r="B5990" s="41" t="s">
        <v>3622</v>
      </c>
      <c r="C5990" s="63" t="s">
        <v>3145</v>
      </c>
      <c r="D5990" s="108" t="s">
        <v>4113</v>
      </c>
      <c r="E5990" s="58">
        <v>2470</v>
      </c>
      <c r="F5990" s="58"/>
      <c r="G5990" s="58">
        <f t="shared" si="98"/>
        <v>-2470</v>
      </c>
      <c r="H5990" s="121" t="s">
        <v>3963</v>
      </c>
    </row>
    <row r="5991" spans="1:8" ht="15" x14ac:dyDescent="0.2">
      <c r="A5991" s="597">
        <v>43386</v>
      </c>
      <c r="B5991" s="41" t="s">
        <v>2933</v>
      </c>
      <c r="C5991" s="63" t="s">
        <v>3145</v>
      </c>
      <c r="D5991" s="108" t="s">
        <v>1228</v>
      </c>
      <c r="E5991" s="58">
        <v>4800</v>
      </c>
      <c r="F5991" s="58"/>
      <c r="G5991" s="58">
        <f t="shared" si="98"/>
        <v>-4800</v>
      </c>
      <c r="H5991" s="121" t="s">
        <v>3963</v>
      </c>
    </row>
    <row r="5992" spans="1:8" ht="15" x14ac:dyDescent="0.2">
      <c r="A5992" s="597">
        <v>43386</v>
      </c>
      <c r="B5992" s="41" t="s">
        <v>2652</v>
      </c>
      <c r="C5992" s="63" t="s">
        <v>3145</v>
      </c>
      <c r="D5992" s="108" t="s">
        <v>2159</v>
      </c>
      <c r="E5992" s="58">
        <v>1690</v>
      </c>
      <c r="F5992" s="58"/>
      <c r="G5992" s="58">
        <f t="shared" si="98"/>
        <v>-1690</v>
      </c>
      <c r="H5992" s="121" t="s">
        <v>3963</v>
      </c>
    </row>
    <row r="5993" spans="1:8" ht="15" x14ac:dyDescent="0.2">
      <c r="A5993" s="597">
        <v>43386</v>
      </c>
      <c r="B5993" s="41" t="s">
        <v>2933</v>
      </c>
      <c r="C5993" s="63" t="s">
        <v>3149</v>
      </c>
      <c r="D5993" s="108" t="s">
        <v>3369</v>
      </c>
      <c r="E5993" s="58">
        <v>100</v>
      </c>
      <c r="F5993" s="58"/>
      <c r="G5993" s="58">
        <f t="shared" si="98"/>
        <v>-100</v>
      </c>
      <c r="H5993" s="121" t="s">
        <v>3963</v>
      </c>
    </row>
    <row r="5994" spans="1:8" ht="15" x14ac:dyDescent="0.2">
      <c r="A5994" s="597">
        <v>43386</v>
      </c>
      <c r="B5994" s="41" t="s">
        <v>2933</v>
      </c>
      <c r="C5994" s="63" t="s">
        <v>392</v>
      </c>
      <c r="D5994" s="108" t="s">
        <v>4114</v>
      </c>
      <c r="E5994" s="58">
        <v>2000</v>
      </c>
      <c r="F5994" s="58"/>
      <c r="G5994" s="58">
        <f t="shared" si="98"/>
        <v>-2000</v>
      </c>
      <c r="H5994" s="121" t="s">
        <v>3963</v>
      </c>
    </row>
    <row r="5995" spans="1:8" ht="15" x14ac:dyDescent="0.2">
      <c r="A5995" s="597">
        <v>43386</v>
      </c>
      <c r="B5995" s="41" t="s">
        <v>2933</v>
      </c>
      <c r="C5995" s="63" t="s">
        <v>392</v>
      </c>
      <c r="D5995" s="108" t="s">
        <v>4115</v>
      </c>
      <c r="E5995" s="58">
        <v>1500</v>
      </c>
      <c r="F5995" s="58"/>
      <c r="G5995" s="58">
        <f t="shared" si="98"/>
        <v>-1500</v>
      </c>
      <c r="H5995" s="121" t="s">
        <v>3963</v>
      </c>
    </row>
    <row r="5996" spans="1:8" ht="15" x14ac:dyDescent="0.2">
      <c r="A5996" s="597">
        <v>43386</v>
      </c>
      <c r="B5996" s="41" t="s">
        <v>11</v>
      </c>
      <c r="C5996" s="63" t="s">
        <v>794</v>
      </c>
      <c r="D5996" s="108" t="s">
        <v>4116</v>
      </c>
      <c r="E5996" s="58">
        <v>5000</v>
      </c>
      <c r="F5996" s="58"/>
      <c r="G5996" s="58">
        <f t="shared" si="98"/>
        <v>-5000</v>
      </c>
      <c r="H5996" s="121" t="s">
        <v>3963</v>
      </c>
    </row>
    <row r="5997" spans="1:8" ht="15" x14ac:dyDescent="0.2">
      <c r="A5997" s="597">
        <v>43386</v>
      </c>
      <c r="B5997" s="41" t="s">
        <v>2933</v>
      </c>
      <c r="C5997" s="63" t="s">
        <v>392</v>
      </c>
      <c r="D5997" s="108" t="s">
        <v>3847</v>
      </c>
      <c r="E5997" s="58">
        <v>4720</v>
      </c>
      <c r="F5997" s="58"/>
      <c r="G5997" s="58">
        <f t="shared" si="98"/>
        <v>-4720</v>
      </c>
      <c r="H5997" s="121" t="s">
        <v>3963</v>
      </c>
    </row>
    <row r="5998" spans="1:8" ht="15" x14ac:dyDescent="0.2">
      <c r="A5998" s="597">
        <v>43388</v>
      </c>
      <c r="B5998" s="41" t="s">
        <v>2933</v>
      </c>
      <c r="C5998" s="63" t="s">
        <v>3149</v>
      </c>
      <c r="D5998" s="108" t="s">
        <v>3369</v>
      </c>
      <c r="E5998" s="58">
        <v>960</v>
      </c>
      <c r="F5998" s="58"/>
      <c r="G5998" s="58">
        <f t="shared" si="98"/>
        <v>-960</v>
      </c>
      <c r="H5998" s="121" t="s">
        <v>3963</v>
      </c>
    </row>
    <row r="5999" spans="1:8" ht="15" x14ac:dyDescent="0.2">
      <c r="A5999" s="597">
        <v>43389</v>
      </c>
      <c r="B5999" s="41" t="s">
        <v>3622</v>
      </c>
      <c r="C5999" s="63" t="s">
        <v>392</v>
      </c>
      <c r="D5999" s="108" t="s">
        <v>4117</v>
      </c>
      <c r="E5999" s="58">
        <v>5000</v>
      </c>
      <c r="F5999" s="58"/>
      <c r="G5999" s="58">
        <f t="shared" si="98"/>
        <v>-5000</v>
      </c>
      <c r="H5999" s="121" t="s">
        <v>3963</v>
      </c>
    </row>
    <row r="6000" spans="1:8" ht="15" x14ac:dyDescent="0.2">
      <c r="A6000" s="597">
        <v>43389</v>
      </c>
      <c r="B6000" s="41" t="s">
        <v>2933</v>
      </c>
      <c r="C6000" s="63" t="s">
        <v>392</v>
      </c>
      <c r="D6000" s="108" t="s">
        <v>4118</v>
      </c>
      <c r="E6000" s="58">
        <v>5000</v>
      </c>
      <c r="F6000" s="58"/>
      <c r="G6000" s="58">
        <f t="shared" si="98"/>
        <v>-5000</v>
      </c>
      <c r="H6000" s="121" t="s">
        <v>3963</v>
      </c>
    </row>
    <row r="6001" spans="1:8" ht="15" x14ac:dyDescent="0.2">
      <c r="A6001" s="597">
        <v>43391</v>
      </c>
      <c r="B6001" s="41" t="s">
        <v>2933</v>
      </c>
      <c r="C6001" s="63" t="s">
        <v>392</v>
      </c>
      <c r="D6001" s="108" t="s">
        <v>4119</v>
      </c>
      <c r="E6001" s="58">
        <v>500</v>
      </c>
      <c r="F6001" s="58"/>
      <c r="G6001" s="58">
        <f t="shared" si="98"/>
        <v>-500</v>
      </c>
      <c r="H6001" s="121" t="s">
        <v>3963</v>
      </c>
    </row>
    <row r="6002" spans="1:8" ht="15" x14ac:dyDescent="0.2">
      <c r="A6002" s="597">
        <v>43391</v>
      </c>
      <c r="B6002" s="41" t="s">
        <v>2652</v>
      </c>
      <c r="C6002" s="63" t="s">
        <v>3145</v>
      </c>
      <c r="D6002" s="108" t="s">
        <v>3797</v>
      </c>
      <c r="E6002" s="58">
        <v>1740</v>
      </c>
      <c r="F6002" s="58"/>
      <c r="G6002" s="58">
        <f t="shared" si="98"/>
        <v>-1740</v>
      </c>
      <c r="H6002" s="121" t="s">
        <v>3963</v>
      </c>
    </row>
    <row r="6003" spans="1:8" ht="15" x14ac:dyDescent="0.2">
      <c r="A6003" s="597">
        <v>43391</v>
      </c>
      <c r="B6003" s="41" t="s">
        <v>2933</v>
      </c>
      <c r="C6003" s="63" t="s">
        <v>3145</v>
      </c>
      <c r="D6003" s="108" t="s">
        <v>3794</v>
      </c>
      <c r="E6003" s="58">
        <v>6000</v>
      </c>
      <c r="F6003" s="58"/>
      <c r="G6003" s="58">
        <f t="shared" si="98"/>
        <v>-6000</v>
      </c>
      <c r="H6003" s="121" t="s">
        <v>3963</v>
      </c>
    </row>
    <row r="6004" spans="1:8" ht="15" x14ac:dyDescent="0.2">
      <c r="A6004" s="597">
        <v>43391</v>
      </c>
      <c r="B6004" s="41" t="s">
        <v>2933</v>
      </c>
      <c r="C6004" s="63" t="s">
        <v>3145</v>
      </c>
      <c r="D6004" s="108" t="s">
        <v>3787</v>
      </c>
      <c r="E6004" s="58">
        <v>5000</v>
      </c>
      <c r="F6004" s="58"/>
      <c r="G6004" s="58">
        <f t="shared" si="98"/>
        <v>-5000</v>
      </c>
      <c r="H6004" s="121" t="s">
        <v>3963</v>
      </c>
    </row>
    <row r="6005" spans="1:8" ht="15" x14ac:dyDescent="0.2">
      <c r="A6005" s="597">
        <v>43391</v>
      </c>
      <c r="B6005" s="41" t="s">
        <v>2652</v>
      </c>
      <c r="C6005" s="63" t="s">
        <v>3145</v>
      </c>
      <c r="D6005" s="108" t="s">
        <v>3170</v>
      </c>
      <c r="E6005" s="58">
        <v>2000</v>
      </c>
      <c r="F6005" s="58"/>
      <c r="G6005" s="58">
        <f t="shared" ref="G6005:G6068" si="99">F6005-E6005</f>
        <v>-2000</v>
      </c>
      <c r="H6005" s="121" t="s">
        <v>3963</v>
      </c>
    </row>
    <row r="6006" spans="1:8" ht="15" x14ac:dyDescent="0.2">
      <c r="A6006" s="597">
        <v>43391</v>
      </c>
      <c r="B6006" s="41" t="s">
        <v>37</v>
      </c>
      <c r="C6006" s="63" t="s">
        <v>3145</v>
      </c>
      <c r="D6006" s="108" t="s">
        <v>3170</v>
      </c>
      <c r="E6006" s="58">
        <v>2000</v>
      </c>
      <c r="F6006" s="58"/>
      <c r="G6006" s="58">
        <f t="shared" si="99"/>
        <v>-2000</v>
      </c>
      <c r="H6006" s="121" t="s">
        <v>3963</v>
      </c>
    </row>
    <row r="6007" spans="1:8" ht="15" x14ac:dyDescent="0.2">
      <c r="A6007" s="597">
        <v>43393</v>
      </c>
      <c r="B6007" s="41" t="s">
        <v>2933</v>
      </c>
      <c r="C6007" s="63" t="s">
        <v>3149</v>
      </c>
      <c r="D6007" s="108" t="s">
        <v>4176</v>
      </c>
      <c r="E6007" s="58">
        <v>120</v>
      </c>
      <c r="F6007" s="58"/>
      <c r="G6007" s="58">
        <f t="shared" si="99"/>
        <v>-120</v>
      </c>
      <c r="H6007" s="121" t="s">
        <v>3963</v>
      </c>
    </row>
    <row r="6008" spans="1:8" ht="15" x14ac:dyDescent="0.2">
      <c r="A6008" s="597">
        <v>43393</v>
      </c>
      <c r="B6008" s="41" t="s">
        <v>2933</v>
      </c>
      <c r="C6008" s="63" t="s">
        <v>3145</v>
      </c>
      <c r="D6008" s="108" t="s">
        <v>392</v>
      </c>
      <c r="E6008" s="58">
        <v>3630</v>
      </c>
      <c r="F6008" s="58"/>
      <c r="G6008" s="58">
        <f t="shared" si="99"/>
        <v>-3630</v>
      </c>
      <c r="H6008" s="121" t="s">
        <v>3963</v>
      </c>
    </row>
    <row r="6009" spans="1:8" ht="15" x14ac:dyDescent="0.2">
      <c r="A6009" s="597">
        <v>43393</v>
      </c>
      <c r="B6009" s="41" t="s">
        <v>25</v>
      </c>
      <c r="C6009" s="63" t="s">
        <v>1894</v>
      </c>
      <c r="D6009" s="108" t="s">
        <v>286</v>
      </c>
      <c r="E6009" s="58">
        <v>5000</v>
      </c>
      <c r="F6009" s="58"/>
      <c r="G6009" s="58">
        <f t="shared" si="99"/>
        <v>-5000</v>
      </c>
      <c r="H6009" s="121" t="s">
        <v>3963</v>
      </c>
    </row>
    <row r="6010" spans="1:8" ht="15" x14ac:dyDescent="0.2">
      <c r="A6010" s="597">
        <v>43393</v>
      </c>
      <c r="B6010" s="41" t="s">
        <v>2933</v>
      </c>
      <c r="C6010" s="63" t="s">
        <v>3145</v>
      </c>
      <c r="D6010" s="108" t="s">
        <v>392</v>
      </c>
      <c r="E6010" s="58">
        <v>5440</v>
      </c>
      <c r="F6010" s="58"/>
      <c r="G6010" s="58">
        <f t="shared" si="99"/>
        <v>-5440</v>
      </c>
      <c r="H6010" s="121" t="s">
        <v>3963</v>
      </c>
    </row>
    <row r="6011" spans="1:8" ht="15" x14ac:dyDescent="0.2">
      <c r="A6011" s="597">
        <v>43393</v>
      </c>
      <c r="B6011" s="41" t="s">
        <v>1400</v>
      </c>
      <c r="C6011" s="63" t="s">
        <v>3145</v>
      </c>
      <c r="D6011" s="108" t="s">
        <v>4177</v>
      </c>
      <c r="E6011" s="58">
        <v>21440</v>
      </c>
      <c r="F6011" s="58"/>
      <c r="G6011" s="58">
        <f t="shared" si="99"/>
        <v>-21440</v>
      </c>
      <c r="H6011" s="121" t="s">
        <v>3963</v>
      </c>
    </row>
    <row r="6012" spans="1:8" ht="15" x14ac:dyDescent="0.2">
      <c r="A6012" s="597">
        <v>43393</v>
      </c>
      <c r="B6012" s="41" t="s">
        <v>2933</v>
      </c>
      <c r="C6012" s="63" t="s">
        <v>3145</v>
      </c>
      <c r="D6012" s="108" t="s">
        <v>3971</v>
      </c>
      <c r="E6012" s="58">
        <v>4720</v>
      </c>
      <c r="F6012" s="58"/>
      <c r="G6012" s="58">
        <f t="shared" si="99"/>
        <v>-4720</v>
      </c>
      <c r="H6012" s="121" t="s">
        <v>3963</v>
      </c>
    </row>
    <row r="6013" spans="1:8" ht="15" x14ac:dyDescent="0.2">
      <c r="A6013" s="597">
        <v>43393</v>
      </c>
      <c r="B6013" s="41" t="s">
        <v>3946</v>
      </c>
      <c r="C6013" s="63" t="s">
        <v>3145</v>
      </c>
      <c r="D6013" s="108" t="s">
        <v>3787</v>
      </c>
      <c r="E6013" s="58">
        <v>2070</v>
      </c>
      <c r="F6013" s="58"/>
      <c r="G6013" s="58">
        <f t="shared" si="99"/>
        <v>-2070</v>
      </c>
      <c r="H6013" s="121" t="s">
        <v>3963</v>
      </c>
    </row>
    <row r="6014" spans="1:8" ht="15" x14ac:dyDescent="0.2">
      <c r="A6014" s="597">
        <v>43398</v>
      </c>
      <c r="B6014" s="41" t="s">
        <v>2933</v>
      </c>
      <c r="C6014" s="63" t="s">
        <v>3145</v>
      </c>
      <c r="D6014" s="108" t="s">
        <v>4178</v>
      </c>
      <c r="E6014" s="58">
        <v>6500</v>
      </c>
      <c r="F6014" s="58"/>
      <c r="G6014" s="58">
        <f t="shared" si="99"/>
        <v>-6500</v>
      </c>
      <c r="H6014" s="121" t="s">
        <v>3963</v>
      </c>
    </row>
    <row r="6015" spans="1:8" ht="15" x14ac:dyDescent="0.2">
      <c r="A6015" s="597">
        <v>43399</v>
      </c>
      <c r="B6015" s="41" t="s">
        <v>3622</v>
      </c>
      <c r="C6015" s="63" t="s">
        <v>3145</v>
      </c>
      <c r="D6015" s="108" t="s">
        <v>4179</v>
      </c>
      <c r="E6015" s="58">
        <v>9400</v>
      </c>
      <c r="F6015" s="58"/>
      <c r="G6015" s="58">
        <f t="shared" si="99"/>
        <v>-9400</v>
      </c>
      <c r="H6015" s="121" t="s">
        <v>3963</v>
      </c>
    </row>
    <row r="6016" spans="1:8" ht="15" x14ac:dyDescent="0.2">
      <c r="A6016" s="597">
        <v>43400</v>
      </c>
      <c r="B6016" s="41" t="s">
        <v>2933</v>
      </c>
      <c r="C6016" s="63" t="s">
        <v>3145</v>
      </c>
      <c r="D6016" s="108" t="s">
        <v>4180</v>
      </c>
      <c r="E6016" s="58">
        <v>30000</v>
      </c>
      <c r="F6016" s="58"/>
      <c r="G6016" s="58">
        <f t="shared" si="99"/>
        <v>-30000</v>
      </c>
      <c r="H6016" s="121" t="s">
        <v>3963</v>
      </c>
    </row>
    <row r="6017" spans="1:9" ht="15" x14ac:dyDescent="0.2">
      <c r="A6017" s="597">
        <v>43400</v>
      </c>
      <c r="B6017" s="41" t="s">
        <v>3622</v>
      </c>
      <c r="C6017" s="63" t="s">
        <v>3149</v>
      </c>
      <c r="D6017" s="108" t="s">
        <v>3369</v>
      </c>
      <c r="E6017" s="58">
        <v>320</v>
      </c>
      <c r="F6017" s="58"/>
      <c r="G6017" s="58">
        <f t="shared" si="99"/>
        <v>-320</v>
      </c>
      <c r="H6017" s="121" t="s">
        <v>3963</v>
      </c>
    </row>
    <row r="6018" spans="1:9" ht="15" x14ac:dyDescent="0.2">
      <c r="A6018" s="597">
        <v>43400</v>
      </c>
      <c r="B6018" s="41" t="s">
        <v>2933</v>
      </c>
      <c r="C6018" s="63" t="s">
        <v>3149</v>
      </c>
      <c r="D6018" s="108" t="s">
        <v>3369</v>
      </c>
      <c r="E6018" s="58">
        <v>480</v>
      </c>
      <c r="F6018" s="58"/>
      <c r="G6018" s="58">
        <f t="shared" si="99"/>
        <v>-480</v>
      </c>
      <c r="H6018" s="121" t="s">
        <v>3963</v>
      </c>
    </row>
    <row r="6019" spans="1:9" ht="15" x14ac:dyDescent="0.2">
      <c r="A6019" s="597">
        <v>43400</v>
      </c>
      <c r="B6019" s="41" t="s">
        <v>1400</v>
      </c>
      <c r="C6019" s="63" t="s">
        <v>3149</v>
      </c>
      <c r="D6019" s="108" t="s">
        <v>3369</v>
      </c>
      <c r="E6019" s="58">
        <v>300</v>
      </c>
      <c r="F6019" s="58"/>
      <c r="G6019" s="58">
        <f t="shared" si="99"/>
        <v>-300</v>
      </c>
      <c r="H6019" s="121" t="s">
        <v>3963</v>
      </c>
    </row>
    <row r="6020" spans="1:9" ht="15" x14ac:dyDescent="0.2">
      <c r="A6020" s="597">
        <v>43400</v>
      </c>
      <c r="B6020" s="41" t="s">
        <v>3622</v>
      </c>
      <c r="C6020" s="63" t="s">
        <v>3145</v>
      </c>
      <c r="D6020" s="108" t="s">
        <v>4181</v>
      </c>
      <c r="E6020" s="58">
        <f>1050+500+670</f>
        <v>2220</v>
      </c>
      <c r="F6020" s="58"/>
      <c r="G6020" s="58">
        <f t="shared" si="99"/>
        <v>-2220</v>
      </c>
      <c r="H6020" s="121" t="s">
        <v>3963</v>
      </c>
    </row>
    <row r="6021" spans="1:9" ht="15" x14ac:dyDescent="0.2">
      <c r="A6021" s="597">
        <v>43400</v>
      </c>
      <c r="B6021" s="41" t="s">
        <v>2933</v>
      </c>
      <c r="C6021" s="63" t="s">
        <v>3145</v>
      </c>
      <c r="D6021" s="108" t="s">
        <v>4181</v>
      </c>
      <c r="E6021" s="58">
        <v>6050</v>
      </c>
      <c r="F6021" s="58"/>
      <c r="G6021" s="58">
        <f t="shared" si="99"/>
        <v>-6050</v>
      </c>
      <c r="H6021" s="121" t="s">
        <v>3963</v>
      </c>
    </row>
    <row r="6022" spans="1:9" ht="15" x14ac:dyDescent="0.2">
      <c r="A6022" s="597">
        <v>43400</v>
      </c>
      <c r="B6022" s="41" t="s">
        <v>2652</v>
      </c>
      <c r="C6022" s="63" t="s">
        <v>3145</v>
      </c>
      <c r="D6022" s="108" t="s">
        <v>4182</v>
      </c>
      <c r="E6022" s="58">
        <v>7000</v>
      </c>
      <c r="F6022" s="58"/>
      <c r="G6022" s="58">
        <f t="shared" si="99"/>
        <v>-7000</v>
      </c>
      <c r="H6022" s="121" t="s">
        <v>3963</v>
      </c>
    </row>
    <row r="6023" spans="1:9" ht="15" x14ac:dyDescent="0.2">
      <c r="A6023" s="597">
        <v>43400</v>
      </c>
      <c r="B6023" s="41" t="s">
        <v>2933</v>
      </c>
      <c r="C6023" s="63" t="s">
        <v>3145</v>
      </c>
      <c r="D6023" s="108" t="s">
        <v>286</v>
      </c>
      <c r="E6023" s="58">
        <v>6800</v>
      </c>
      <c r="F6023" s="58"/>
      <c r="G6023" s="58">
        <f t="shared" si="99"/>
        <v>-6800</v>
      </c>
      <c r="H6023" s="121" t="s">
        <v>3963</v>
      </c>
    </row>
    <row r="6024" spans="1:9" ht="15" x14ac:dyDescent="0.2">
      <c r="A6024" s="597">
        <v>43400</v>
      </c>
      <c r="B6024" s="41" t="s">
        <v>2933</v>
      </c>
      <c r="C6024" s="63" t="s">
        <v>3145</v>
      </c>
      <c r="D6024" s="108" t="s">
        <v>4183</v>
      </c>
      <c r="E6024" s="58">
        <v>9435</v>
      </c>
      <c r="F6024" s="58"/>
      <c r="G6024" s="58">
        <f t="shared" si="99"/>
        <v>-9435</v>
      </c>
      <c r="H6024" s="121" t="s">
        <v>3963</v>
      </c>
    </row>
    <row r="6025" spans="1:9" ht="15" x14ac:dyDescent="0.2">
      <c r="A6025" s="597">
        <v>43400</v>
      </c>
      <c r="B6025" s="41" t="s">
        <v>3733</v>
      </c>
      <c r="C6025" s="63" t="s">
        <v>3145</v>
      </c>
      <c r="D6025" s="108" t="s">
        <v>4183</v>
      </c>
      <c r="E6025" s="58">
        <v>13180</v>
      </c>
      <c r="F6025" s="58"/>
      <c r="G6025" s="58">
        <f t="shared" si="99"/>
        <v>-13180</v>
      </c>
      <c r="H6025" s="121" t="s">
        <v>3963</v>
      </c>
    </row>
    <row r="6026" spans="1:9" ht="15" x14ac:dyDescent="0.2">
      <c r="A6026" s="597">
        <v>43400</v>
      </c>
      <c r="B6026" s="41" t="s">
        <v>2933</v>
      </c>
      <c r="C6026" s="63" t="s">
        <v>3145</v>
      </c>
      <c r="D6026" s="108" t="s">
        <v>4184</v>
      </c>
      <c r="E6026" s="58">
        <v>18000</v>
      </c>
      <c r="F6026" s="58"/>
      <c r="G6026" s="58">
        <f t="shared" si="99"/>
        <v>-18000</v>
      </c>
      <c r="H6026" s="121" t="s">
        <v>3963</v>
      </c>
    </row>
    <row r="6027" spans="1:9" ht="15" x14ac:dyDescent="0.2">
      <c r="A6027" s="597">
        <v>43400</v>
      </c>
      <c r="B6027" s="41" t="s">
        <v>3946</v>
      </c>
      <c r="C6027" s="63" t="s">
        <v>3145</v>
      </c>
      <c r="D6027" s="108" t="s">
        <v>4185</v>
      </c>
      <c r="E6027" s="58">
        <v>2000</v>
      </c>
      <c r="F6027" s="58"/>
      <c r="G6027" s="58">
        <f t="shared" si="99"/>
        <v>-2000</v>
      </c>
      <c r="H6027" s="121" t="s">
        <v>3963</v>
      </c>
    </row>
    <row r="6028" spans="1:9" ht="15" x14ac:dyDescent="0.2">
      <c r="A6028" s="597">
        <v>43401</v>
      </c>
      <c r="B6028" s="41" t="s">
        <v>2933</v>
      </c>
      <c r="C6028" s="63" t="s">
        <v>3145</v>
      </c>
      <c r="D6028" s="108" t="s">
        <v>4186</v>
      </c>
      <c r="E6028" s="58">
        <v>24272</v>
      </c>
      <c r="F6028" s="58"/>
      <c r="G6028" s="58">
        <f t="shared" si="99"/>
        <v>-24272</v>
      </c>
      <c r="H6028" s="121" t="s">
        <v>3963</v>
      </c>
    </row>
    <row r="6029" spans="1:9" ht="15" x14ac:dyDescent="0.2">
      <c r="A6029" s="597">
        <v>43401</v>
      </c>
      <c r="B6029" s="41" t="s">
        <v>2933</v>
      </c>
      <c r="C6029" s="63" t="s">
        <v>3145</v>
      </c>
      <c r="D6029" s="108" t="s">
        <v>392</v>
      </c>
      <c r="E6029" s="58">
        <v>5685</v>
      </c>
      <c r="F6029" s="58"/>
      <c r="G6029" s="58">
        <f t="shared" si="99"/>
        <v>-5685</v>
      </c>
      <c r="H6029" s="121" t="s">
        <v>3963</v>
      </c>
    </row>
    <row r="6030" spans="1:9" ht="15" x14ac:dyDescent="0.2">
      <c r="A6030" s="597">
        <v>43401</v>
      </c>
      <c r="B6030" s="41" t="s">
        <v>2652</v>
      </c>
      <c r="C6030" s="63" t="s">
        <v>3958</v>
      </c>
      <c r="D6030" s="108" t="s">
        <v>4187</v>
      </c>
      <c r="E6030" s="58">
        <v>2000</v>
      </c>
      <c r="F6030" s="58"/>
      <c r="G6030" s="58">
        <f t="shared" si="99"/>
        <v>-2000</v>
      </c>
      <c r="H6030" s="121" t="s">
        <v>3963</v>
      </c>
    </row>
    <row r="6031" spans="1:9" ht="15" x14ac:dyDescent="0.2">
      <c r="A6031" s="597">
        <v>43404</v>
      </c>
      <c r="B6031" s="41" t="s">
        <v>16</v>
      </c>
      <c r="C6031" s="63" t="s">
        <v>463</v>
      </c>
      <c r="D6031" s="108" t="s">
        <v>2349</v>
      </c>
      <c r="E6031" s="58">
        <v>10011</v>
      </c>
      <c r="F6031" s="58"/>
      <c r="G6031" s="58">
        <f t="shared" si="99"/>
        <v>-10011</v>
      </c>
      <c r="H6031" s="121" t="s">
        <v>3963</v>
      </c>
    </row>
    <row r="6032" spans="1:9" ht="24" x14ac:dyDescent="0.2">
      <c r="A6032" s="604">
        <v>43374</v>
      </c>
      <c r="B6032" s="174" t="s">
        <v>2652</v>
      </c>
      <c r="C6032" s="174" t="s">
        <v>1803</v>
      </c>
      <c r="D6032" s="118" t="s">
        <v>3928</v>
      </c>
      <c r="E6032" s="236">
        <v>784000</v>
      </c>
      <c r="F6032" s="236"/>
      <c r="G6032" s="236">
        <f t="shared" si="99"/>
        <v>-784000</v>
      </c>
      <c r="H6032" s="260" t="s">
        <v>3963</v>
      </c>
      <c r="I6032" s="40"/>
    </row>
    <row r="6033" spans="1:9" ht="24" x14ac:dyDescent="0.2">
      <c r="A6033" s="604">
        <v>43374</v>
      </c>
      <c r="B6033" s="174" t="s">
        <v>1400</v>
      </c>
      <c r="C6033" s="174" t="s">
        <v>166</v>
      </c>
      <c r="D6033" s="118" t="s">
        <v>3935</v>
      </c>
      <c r="E6033" s="236">
        <v>600000</v>
      </c>
      <c r="F6033" s="236"/>
      <c r="G6033" s="236">
        <f t="shared" si="99"/>
        <v>-600000</v>
      </c>
      <c r="H6033" s="260" t="s">
        <v>3963</v>
      </c>
      <c r="I6033" s="40"/>
    </row>
    <row r="6034" spans="1:9" ht="24" x14ac:dyDescent="0.2">
      <c r="A6034" s="604">
        <v>43374</v>
      </c>
      <c r="B6034" s="174" t="s">
        <v>2787</v>
      </c>
      <c r="C6034" s="174" t="s">
        <v>2128</v>
      </c>
      <c r="D6034" s="118" t="s">
        <v>3927</v>
      </c>
      <c r="E6034" s="236">
        <v>231562</v>
      </c>
      <c r="F6034" s="236"/>
      <c r="G6034" s="236">
        <f t="shared" si="99"/>
        <v>-231562</v>
      </c>
      <c r="H6034" s="260" t="s">
        <v>3963</v>
      </c>
      <c r="I6034" s="40"/>
    </row>
    <row r="6035" spans="1:9" ht="24" x14ac:dyDescent="0.2">
      <c r="A6035" s="604">
        <v>43374</v>
      </c>
      <c r="B6035" s="174" t="s">
        <v>6516</v>
      </c>
      <c r="C6035" s="174" t="s">
        <v>2128</v>
      </c>
      <c r="D6035" s="118" t="s">
        <v>3927</v>
      </c>
      <c r="E6035" s="236">
        <v>6160</v>
      </c>
      <c r="F6035" s="236"/>
      <c r="G6035" s="236">
        <f t="shared" si="99"/>
        <v>-6160</v>
      </c>
      <c r="H6035" s="260" t="s">
        <v>3963</v>
      </c>
      <c r="I6035" s="40"/>
    </row>
    <row r="6036" spans="1:9" ht="24" x14ac:dyDescent="0.2">
      <c r="A6036" s="604">
        <v>43374</v>
      </c>
      <c r="B6036" s="174" t="s">
        <v>2094</v>
      </c>
      <c r="C6036" s="174" t="s">
        <v>2128</v>
      </c>
      <c r="D6036" s="118" t="s">
        <v>3927</v>
      </c>
      <c r="E6036" s="236">
        <v>228710</v>
      </c>
      <c r="F6036" s="236"/>
      <c r="G6036" s="236">
        <f t="shared" si="99"/>
        <v>-228710</v>
      </c>
      <c r="H6036" s="260" t="s">
        <v>3963</v>
      </c>
      <c r="I6036" s="40"/>
    </row>
    <row r="6037" spans="1:9" ht="24" x14ac:dyDescent="0.2">
      <c r="A6037" s="604">
        <v>43374</v>
      </c>
      <c r="B6037" s="174" t="s">
        <v>2933</v>
      </c>
      <c r="C6037" s="174" t="s">
        <v>2128</v>
      </c>
      <c r="D6037" s="118" t="s">
        <v>3927</v>
      </c>
      <c r="E6037" s="236">
        <v>66340</v>
      </c>
      <c r="F6037" s="236"/>
      <c r="G6037" s="236">
        <f t="shared" si="99"/>
        <v>-66340</v>
      </c>
      <c r="H6037" s="260" t="s">
        <v>3963</v>
      </c>
      <c r="I6037" s="40"/>
    </row>
    <row r="6038" spans="1:9" ht="24" x14ac:dyDescent="0.2">
      <c r="A6038" s="604">
        <v>43374</v>
      </c>
      <c r="B6038" s="174" t="s">
        <v>16</v>
      </c>
      <c r="C6038" s="174" t="s">
        <v>4441</v>
      </c>
      <c r="D6038" s="118" t="s">
        <v>4442</v>
      </c>
      <c r="E6038" s="236">
        <v>95000</v>
      </c>
      <c r="F6038" s="236"/>
      <c r="G6038" s="236">
        <f t="shared" si="99"/>
        <v>-95000</v>
      </c>
      <c r="H6038" s="260" t="s">
        <v>3963</v>
      </c>
      <c r="I6038" s="40"/>
    </row>
    <row r="6039" spans="1:9" ht="15" x14ac:dyDescent="0.2">
      <c r="A6039" s="604">
        <v>43374</v>
      </c>
      <c r="B6039" s="174" t="s">
        <v>2933</v>
      </c>
      <c r="C6039" s="174" t="s">
        <v>3112</v>
      </c>
      <c r="D6039" s="118" t="s">
        <v>3936</v>
      </c>
      <c r="E6039" s="236">
        <v>300000</v>
      </c>
      <c r="F6039" s="236"/>
      <c r="G6039" s="236">
        <f t="shared" si="99"/>
        <v>-300000</v>
      </c>
      <c r="H6039" s="260" t="s">
        <v>3963</v>
      </c>
      <c r="I6039" s="40"/>
    </row>
    <row r="6040" spans="1:9" ht="15" x14ac:dyDescent="0.2">
      <c r="A6040" s="604">
        <v>43374</v>
      </c>
      <c r="B6040" s="174" t="s">
        <v>3733</v>
      </c>
      <c r="C6040" s="174" t="s">
        <v>3877</v>
      </c>
      <c r="D6040" s="118" t="s">
        <v>3937</v>
      </c>
      <c r="E6040" s="236">
        <v>100000</v>
      </c>
      <c r="F6040" s="236"/>
      <c r="G6040" s="236">
        <f t="shared" si="99"/>
        <v>-100000</v>
      </c>
      <c r="H6040" s="260" t="s">
        <v>3963</v>
      </c>
      <c r="I6040" s="40"/>
    </row>
    <row r="6041" spans="1:9" ht="15" x14ac:dyDescent="0.2">
      <c r="A6041" s="604">
        <v>43374</v>
      </c>
      <c r="B6041" s="174" t="s">
        <v>3733</v>
      </c>
      <c r="C6041" s="174" t="s">
        <v>3877</v>
      </c>
      <c r="D6041" s="118" t="s">
        <v>3938</v>
      </c>
      <c r="E6041" s="236">
        <v>200000</v>
      </c>
      <c r="F6041" s="236"/>
      <c r="G6041" s="236">
        <f t="shared" si="99"/>
        <v>-200000</v>
      </c>
      <c r="H6041" s="260" t="s">
        <v>3963</v>
      </c>
      <c r="I6041" s="40"/>
    </row>
    <row r="6042" spans="1:9" ht="15" x14ac:dyDescent="0.2">
      <c r="A6042" s="604">
        <v>43374</v>
      </c>
      <c r="B6042" s="174" t="s">
        <v>2933</v>
      </c>
      <c r="C6042" s="174" t="s">
        <v>716</v>
      </c>
      <c r="D6042" s="118" t="s">
        <v>3939</v>
      </c>
      <c r="E6042" s="236">
        <v>500000</v>
      </c>
      <c r="F6042" s="236"/>
      <c r="G6042" s="236">
        <f t="shared" si="99"/>
        <v>-500000</v>
      </c>
      <c r="H6042" s="260" t="s">
        <v>3963</v>
      </c>
      <c r="I6042" s="40"/>
    </row>
    <row r="6043" spans="1:9" ht="15" x14ac:dyDescent="0.2">
      <c r="A6043" s="604">
        <v>43374</v>
      </c>
      <c r="B6043" s="174" t="s">
        <v>2933</v>
      </c>
      <c r="C6043" s="174" t="s">
        <v>716</v>
      </c>
      <c r="D6043" s="118" t="s">
        <v>3940</v>
      </c>
      <c r="E6043" s="236">
        <v>500000</v>
      </c>
      <c r="F6043" s="236"/>
      <c r="G6043" s="236">
        <f t="shared" si="99"/>
        <v>-500000</v>
      </c>
      <c r="H6043" s="260" t="s">
        <v>3963</v>
      </c>
      <c r="I6043" s="40"/>
    </row>
    <row r="6044" spans="1:9" ht="15" x14ac:dyDescent="0.2">
      <c r="A6044" s="604">
        <v>43374</v>
      </c>
      <c r="B6044" s="174" t="s">
        <v>2933</v>
      </c>
      <c r="C6044" s="174" t="s">
        <v>3931</v>
      </c>
      <c r="D6044" s="118" t="s">
        <v>3941</v>
      </c>
      <c r="E6044" s="236">
        <v>506500</v>
      </c>
      <c r="F6044" s="236"/>
      <c r="G6044" s="236">
        <f t="shared" si="99"/>
        <v>-506500</v>
      </c>
      <c r="H6044" s="260" t="s">
        <v>3963</v>
      </c>
      <c r="I6044" s="40"/>
    </row>
    <row r="6045" spans="1:9" ht="15" x14ac:dyDescent="0.2">
      <c r="A6045" s="604">
        <v>43374</v>
      </c>
      <c r="B6045" s="174" t="s">
        <v>3733</v>
      </c>
      <c r="C6045" s="174" t="s">
        <v>3735</v>
      </c>
      <c r="D6045" s="118" t="s">
        <v>2893</v>
      </c>
      <c r="E6045" s="236">
        <v>20000</v>
      </c>
      <c r="F6045" s="236"/>
      <c r="G6045" s="236">
        <f t="shared" si="99"/>
        <v>-20000</v>
      </c>
      <c r="H6045" s="260" t="s">
        <v>3963</v>
      </c>
      <c r="I6045" s="40"/>
    </row>
    <row r="6046" spans="1:9" ht="24" x14ac:dyDescent="0.2">
      <c r="A6046" s="604">
        <v>43374</v>
      </c>
      <c r="B6046" s="174" t="s">
        <v>2787</v>
      </c>
      <c r="C6046" s="174" t="s">
        <v>359</v>
      </c>
      <c r="D6046" s="118" t="s">
        <v>3942</v>
      </c>
      <c r="E6046" s="236">
        <v>848899</v>
      </c>
      <c r="F6046" s="236"/>
      <c r="G6046" s="236">
        <f t="shared" si="99"/>
        <v>-848899</v>
      </c>
      <c r="H6046" s="260" t="s">
        <v>3963</v>
      </c>
      <c r="I6046" s="40"/>
    </row>
    <row r="6047" spans="1:9" ht="24" x14ac:dyDescent="0.2">
      <c r="A6047" s="604">
        <v>43374</v>
      </c>
      <c r="B6047" s="174" t="s">
        <v>6516</v>
      </c>
      <c r="C6047" s="174" t="s">
        <v>359</v>
      </c>
      <c r="D6047" s="118" t="s">
        <v>3942</v>
      </c>
      <c r="E6047" s="236">
        <v>456</v>
      </c>
      <c r="F6047" s="236"/>
      <c r="G6047" s="236">
        <f t="shared" si="99"/>
        <v>-456</v>
      </c>
      <c r="H6047" s="260" t="s">
        <v>3963</v>
      </c>
      <c r="I6047" s="40"/>
    </row>
    <row r="6048" spans="1:9" ht="24" x14ac:dyDescent="0.2">
      <c r="A6048" s="604">
        <v>43374</v>
      </c>
      <c r="B6048" s="174" t="s">
        <v>1400</v>
      </c>
      <c r="C6048" s="174" t="s">
        <v>359</v>
      </c>
      <c r="D6048" s="118" t="s">
        <v>3942</v>
      </c>
      <c r="E6048" s="236">
        <v>350733</v>
      </c>
      <c r="F6048" s="236"/>
      <c r="G6048" s="236">
        <f t="shared" si="99"/>
        <v>-350733</v>
      </c>
      <c r="H6048" s="260" t="s">
        <v>3963</v>
      </c>
      <c r="I6048" s="40"/>
    </row>
    <row r="6049" spans="1:9" ht="15" x14ac:dyDescent="0.2">
      <c r="A6049" s="604">
        <v>43374</v>
      </c>
      <c r="B6049" s="174" t="s">
        <v>2652</v>
      </c>
      <c r="C6049" s="174" t="s">
        <v>1803</v>
      </c>
      <c r="D6049" s="118" t="s">
        <v>3929</v>
      </c>
      <c r="E6049" s="236">
        <v>500000</v>
      </c>
      <c r="F6049" s="236"/>
      <c r="G6049" s="236">
        <f t="shared" si="99"/>
        <v>-500000</v>
      </c>
      <c r="H6049" s="260" t="s">
        <v>3963</v>
      </c>
      <c r="I6049" s="40"/>
    </row>
    <row r="6050" spans="1:9" ht="15" x14ac:dyDescent="0.2">
      <c r="A6050" s="604">
        <v>43376</v>
      </c>
      <c r="B6050" s="174" t="s">
        <v>2787</v>
      </c>
      <c r="C6050" s="174" t="s">
        <v>5187</v>
      </c>
      <c r="D6050" s="118" t="s">
        <v>3947</v>
      </c>
      <c r="E6050" s="236">
        <v>15000</v>
      </c>
      <c r="F6050" s="236"/>
      <c r="G6050" s="236">
        <f t="shared" si="99"/>
        <v>-15000</v>
      </c>
      <c r="H6050" s="260" t="s">
        <v>3963</v>
      </c>
      <c r="I6050" s="40"/>
    </row>
    <row r="6051" spans="1:9" ht="24" x14ac:dyDescent="0.2">
      <c r="A6051" s="604">
        <v>43378</v>
      </c>
      <c r="B6051" s="174" t="s">
        <v>2933</v>
      </c>
      <c r="C6051" s="174" t="s">
        <v>2128</v>
      </c>
      <c r="D6051" s="118" t="s">
        <v>3953</v>
      </c>
      <c r="E6051" s="236">
        <v>749806</v>
      </c>
      <c r="F6051" s="236"/>
      <c r="G6051" s="236">
        <f t="shared" si="99"/>
        <v>-749806</v>
      </c>
      <c r="H6051" s="260" t="s">
        <v>3963</v>
      </c>
      <c r="I6051" s="40"/>
    </row>
    <row r="6052" spans="1:9" ht="24" x14ac:dyDescent="0.2">
      <c r="A6052" s="604">
        <v>43378</v>
      </c>
      <c r="B6052" s="174" t="s">
        <v>3622</v>
      </c>
      <c r="C6052" s="174" t="s">
        <v>166</v>
      </c>
      <c r="D6052" s="118" t="s">
        <v>3948</v>
      </c>
      <c r="E6052" s="236">
        <v>472900</v>
      </c>
      <c r="F6052" s="236"/>
      <c r="G6052" s="236">
        <f t="shared" si="99"/>
        <v>-472900</v>
      </c>
      <c r="H6052" s="260" t="s">
        <v>3963</v>
      </c>
      <c r="I6052" s="40"/>
    </row>
    <row r="6053" spans="1:9" ht="24" x14ac:dyDescent="0.2">
      <c r="A6053" s="604">
        <v>43378</v>
      </c>
      <c r="B6053" s="174" t="s">
        <v>1400</v>
      </c>
      <c r="C6053" s="174" t="s">
        <v>166</v>
      </c>
      <c r="D6053" s="118" t="s">
        <v>3948</v>
      </c>
      <c r="E6053" s="236">
        <v>325125</v>
      </c>
      <c r="F6053" s="236"/>
      <c r="G6053" s="236">
        <f t="shared" si="99"/>
        <v>-325125</v>
      </c>
      <c r="H6053" s="260" t="s">
        <v>3963</v>
      </c>
      <c r="I6053" s="40"/>
    </row>
    <row r="6054" spans="1:9" ht="24" x14ac:dyDescent="0.2">
      <c r="A6054" s="604">
        <v>43378</v>
      </c>
      <c r="B6054" s="174" t="s">
        <v>3733</v>
      </c>
      <c r="C6054" s="174" t="s">
        <v>166</v>
      </c>
      <c r="D6054" s="118" t="s">
        <v>3948</v>
      </c>
      <c r="E6054" s="236">
        <v>7975</v>
      </c>
      <c r="F6054" s="236"/>
      <c r="G6054" s="236">
        <f t="shared" si="99"/>
        <v>-7975</v>
      </c>
      <c r="H6054" s="260" t="s">
        <v>3963</v>
      </c>
      <c r="I6054" s="40"/>
    </row>
    <row r="6055" spans="1:9" ht="15" x14ac:dyDescent="0.2">
      <c r="A6055" s="604">
        <v>43378</v>
      </c>
      <c r="B6055" s="174" t="s">
        <v>3733</v>
      </c>
      <c r="C6055" s="174" t="s">
        <v>3145</v>
      </c>
      <c r="D6055" s="118" t="s">
        <v>3954</v>
      </c>
      <c r="E6055" s="236">
        <v>30000</v>
      </c>
      <c r="F6055" s="236"/>
      <c r="G6055" s="236">
        <f t="shared" si="99"/>
        <v>-30000</v>
      </c>
      <c r="H6055" s="260" t="s">
        <v>3963</v>
      </c>
      <c r="I6055" s="40"/>
    </row>
    <row r="6056" spans="1:9" ht="15" x14ac:dyDescent="0.2">
      <c r="A6056" s="604">
        <v>43378</v>
      </c>
      <c r="B6056" s="174" t="s">
        <v>3622</v>
      </c>
      <c r="C6056" s="174" t="s">
        <v>3145</v>
      </c>
      <c r="D6056" s="118" t="s">
        <v>3955</v>
      </c>
      <c r="E6056" s="236">
        <v>26920</v>
      </c>
      <c r="F6056" s="236"/>
      <c r="G6056" s="236">
        <f t="shared" si="99"/>
        <v>-26920</v>
      </c>
      <c r="H6056" s="260" t="s">
        <v>3963</v>
      </c>
      <c r="I6056" s="40"/>
    </row>
    <row r="6057" spans="1:9" ht="15" x14ac:dyDescent="0.2">
      <c r="A6057" s="604">
        <v>43383</v>
      </c>
      <c r="B6057" s="174" t="s">
        <v>2933</v>
      </c>
      <c r="C6057" s="174" t="s">
        <v>256</v>
      </c>
      <c r="D6057" s="118" t="s">
        <v>3956</v>
      </c>
      <c r="E6057" s="236">
        <v>500000</v>
      </c>
      <c r="F6057" s="236"/>
      <c r="G6057" s="236">
        <f t="shared" si="99"/>
        <v>-500000</v>
      </c>
      <c r="H6057" s="260" t="s">
        <v>3963</v>
      </c>
      <c r="I6057" s="40"/>
    </row>
    <row r="6058" spans="1:9" ht="15" x14ac:dyDescent="0.2">
      <c r="A6058" s="604">
        <v>43383</v>
      </c>
      <c r="B6058" s="174" t="s">
        <v>2933</v>
      </c>
      <c r="C6058" s="174" t="s">
        <v>256</v>
      </c>
      <c r="D6058" s="118" t="s">
        <v>3957</v>
      </c>
      <c r="E6058" s="236">
        <v>500000</v>
      </c>
      <c r="F6058" s="236"/>
      <c r="G6058" s="236">
        <f t="shared" si="99"/>
        <v>-500000</v>
      </c>
      <c r="H6058" s="260" t="s">
        <v>3963</v>
      </c>
      <c r="I6058" s="40"/>
    </row>
    <row r="6059" spans="1:9" ht="15" x14ac:dyDescent="0.2">
      <c r="A6059" s="604">
        <v>43383</v>
      </c>
      <c r="B6059" s="174" t="s">
        <v>2652</v>
      </c>
      <c r="C6059" s="174" t="s">
        <v>3958</v>
      </c>
      <c r="D6059" s="118" t="s">
        <v>3959</v>
      </c>
      <c r="E6059" s="236">
        <v>50000</v>
      </c>
      <c r="F6059" s="236"/>
      <c r="G6059" s="236">
        <f t="shared" si="99"/>
        <v>-50000</v>
      </c>
      <c r="H6059" s="260" t="s">
        <v>3963</v>
      </c>
      <c r="I6059" s="40"/>
    </row>
    <row r="6060" spans="1:9" ht="15" x14ac:dyDescent="0.2">
      <c r="A6060" s="604">
        <v>43383</v>
      </c>
      <c r="B6060" s="174" t="s">
        <v>1400</v>
      </c>
      <c r="C6060" s="174" t="s">
        <v>3145</v>
      </c>
      <c r="D6060" s="118" t="s">
        <v>3960</v>
      </c>
      <c r="E6060" s="236">
        <v>8000</v>
      </c>
      <c r="F6060" s="236"/>
      <c r="G6060" s="236">
        <f t="shared" si="99"/>
        <v>-8000</v>
      </c>
      <c r="H6060" s="260" t="s">
        <v>3963</v>
      </c>
      <c r="I6060" s="40"/>
    </row>
    <row r="6061" spans="1:9" ht="15" x14ac:dyDescent="0.2">
      <c r="A6061" s="604">
        <v>43383</v>
      </c>
      <c r="B6061" s="174" t="s">
        <v>2933</v>
      </c>
      <c r="C6061" s="174" t="s">
        <v>3145</v>
      </c>
      <c r="D6061" s="118" t="s">
        <v>3960</v>
      </c>
      <c r="E6061" s="236">
        <v>4800</v>
      </c>
      <c r="F6061" s="236"/>
      <c r="G6061" s="236">
        <f t="shared" si="99"/>
        <v>-4800</v>
      </c>
      <c r="H6061" s="260" t="s">
        <v>3963</v>
      </c>
      <c r="I6061" s="40"/>
    </row>
    <row r="6062" spans="1:9" ht="15" x14ac:dyDescent="0.2">
      <c r="A6062" s="604">
        <v>43383</v>
      </c>
      <c r="B6062" s="174" t="s">
        <v>1400</v>
      </c>
      <c r="C6062" s="174" t="s">
        <v>3145</v>
      </c>
      <c r="D6062" s="118" t="s">
        <v>3961</v>
      </c>
      <c r="E6062" s="236">
        <v>28620</v>
      </c>
      <c r="F6062" s="236"/>
      <c r="G6062" s="236">
        <f t="shared" si="99"/>
        <v>-28620</v>
      </c>
      <c r="H6062" s="260" t="s">
        <v>3963</v>
      </c>
      <c r="I6062" s="40"/>
    </row>
    <row r="6063" spans="1:9" ht="15" x14ac:dyDescent="0.2">
      <c r="A6063" s="604">
        <v>43383</v>
      </c>
      <c r="B6063" s="174" t="s">
        <v>2933</v>
      </c>
      <c r="C6063" s="174" t="s">
        <v>3145</v>
      </c>
      <c r="D6063" s="118" t="s">
        <v>3961</v>
      </c>
      <c r="E6063" s="236">
        <v>19080</v>
      </c>
      <c r="F6063" s="236"/>
      <c r="G6063" s="236">
        <f t="shared" si="99"/>
        <v>-19080</v>
      </c>
      <c r="H6063" s="260" t="s">
        <v>3963</v>
      </c>
      <c r="I6063" s="40"/>
    </row>
    <row r="6064" spans="1:9" ht="15" x14ac:dyDescent="0.2">
      <c r="A6064" s="604">
        <v>43384</v>
      </c>
      <c r="B6064" s="174" t="s">
        <v>2933</v>
      </c>
      <c r="C6064" s="174" t="s">
        <v>2819</v>
      </c>
      <c r="D6064" s="118" t="s">
        <v>4019</v>
      </c>
      <c r="E6064" s="236">
        <v>500000</v>
      </c>
      <c r="F6064" s="236"/>
      <c r="G6064" s="236">
        <f t="shared" si="99"/>
        <v>-500000</v>
      </c>
      <c r="H6064" s="260" t="s">
        <v>3963</v>
      </c>
      <c r="I6064" s="40"/>
    </row>
    <row r="6065" spans="1:9" ht="15" x14ac:dyDescent="0.2">
      <c r="A6065" s="604">
        <v>43384</v>
      </c>
      <c r="B6065" s="174" t="s">
        <v>2933</v>
      </c>
      <c r="C6065" s="174" t="s">
        <v>2819</v>
      </c>
      <c r="D6065" s="118" t="s">
        <v>4020</v>
      </c>
      <c r="E6065" s="236">
        <v>300000</v>
      </c>
      <c r="F6065" s="236"/>
      <c r="G6065" s="236">
        <f t="shared" si="99"/>
        <v>-300000</v>
      </c>
      <c r="H6065" s="260" t="s">
        <v>3963</v>
      </c>
      <c r="I6065" s="40"/>
    </row>
    <row r="6066" spans="1:9" ht="15" x14ac:dyDescent="0.2">
      <c r="A6066" s="604">
        <v>43384</v>
      </c>
      <c r="B6066" s="174" t="s">
        <v>3622</v>
      </c>
      <c r="C6066" s="174" t="s">
        <v>3771</v>
      </c>
      <c r="D6066" s="118" t="s">
        <v>4021</v>
      </c>
      <c r="E6066" s="236">
        <v>66000</v>
      </c>
      <c r="F6066" s="236"/>
      <c r="G6066" s="236">
        <f t="shared" si="99"/>
        <v>-66000</v>
      </c>
      <c r="H6066" s="260" t="s">
        <v>3963</v>
      </c>
      <c r="I6066" s="40"/>
    </row>
    <row r="6067" spans="1:9" ht="15" x14ac:dyDescent="0.2">
      <c r="A6067" s="604">
        <v>43388</v>
      </c>
      <c r="B6067" s="174" t="s">
        <v>2787</v>
      </c>
      <c r="C6067" s="174" t="s">
        <v>1875</v>
      </c>
      <c r="D6067" s="118" t="s">
        <v>4043</v>
      </c>
      <c r="E6067" s="236">
        <v>12000</v>
      </c>
      <c r="F6067" s="236"/>
      <c r="G6067" s="236">
        <f t="shared" si="99"/>
        <v>-12000</v>
      </c>
      <c r="H6067" s="260" t="s">
        <v>3963</v>
      </c>
      <c r="I6067" s="40"/>
    </row>
    <row r="6068" spans="1:9" ht="60" x14ac:dyDescent="0.2">
      <c r="A6068" s="604">
        <v>43388</v>
      </c>
      <c r="B6068" s="174" t="s">
        <v>2933</v>
      </c>
      <c r="C6068" s="174" t="s">
        <v>716</v>
      </c>
      <c r="D6068" s="118" t="s">
        <v>4042</v>
      </c>
      <c r="E6068" s="236">
        <v>1500000</v>
      </c>
      <c r="F6068" s="236"/>
      <c r="G6068" s="236">
        <f t="shared" si="99"/>
        <v>-1500000</v>
      </c>
      <c r="H6068" s="260" t="s">
        <v>3963</v>
      </c>
      <c r="I6068" s="40"/>
    </row>
    <row r="6069" spans="1:9" ht="60" x14ac:dyDescent="0.2">
      <c r="A6069" s="604">
        <v>43388</v>
      </c>
      <c r="B6069" s="174" t="s">
        <v>2933</v>
      </c>
      <c r="C6069" s="174" t="s">
        <v>3416</v>
      </c>
      <c r="D6069" s="118" t="s">
        <v>4042</v>
      </c>
      <c r="E6069" s="236">
        <v>1500000</v>
      </c>
      <c r="F6069" s="236"/>
      <c r="G6069" s="236">
        <f t="shared" ref="G6069:G6132" si="100">F6069-E6069</f>
        <v>-1500000</v>
      </c>
      <c r="H6069" s="260" t="s">
        <v>3963</v>
      </c>
      <c r="I6069" s="40"/>
    </row>
    <row r="6070" spans="1:9" ht="15" x14ac:dyDescent="0.2">
      <c r="A6070" s="604">
        <v>43388</v>
      </c>
      <c r="B6070" s="174" t="s">
        <v>3622</v>
      </c>
      <c r="C6070" s="174" t="s">
        <v>716</v>
      </c>
      <c r="D6070" s="118" t="s">
        <v>4044</v>
      </c>
      <c r="E6070" s="236">
        <v>256725</v>
      </c>
      <c r="F6070" s="236"/>
      <c r="G6070" s="236">
        <f t="shared" si="100"/>
        <v>-256725</v>
      </c>
      <c r="H6070" s="260" t="s">
        <v>3963</v>
      </c>
      <c r="I6070" s="40"/>
    </row>
    <row r="6071" spans="1:9" ht="15" x14ac:dyDescent="0.2">
      <c r="A6071" s="604">
        <v>43388</v>
      </c>
      <c r="B6071" s="174" t="s">
        <v>3622</v>
      </c>
      <c r="C6071" s="174" t="s">
        <v>3285</v>
      </c>
      <c r="D6071" s="118" t="s">
        <v>4045</v>
      </c>
      <c r="E6071" s="236">
        <v>89922</v>
      </c>
      <c r="F6071" s="236"/>
      <c r="G6071" s="236">
        <f t="shared" si="100"/>
        <v>-89922</v>
      </c>
      <c r="H6071" s="260" t="s">
        <v>3963</v>
      </c>
      <c r="I6071" s="40"/>
    </row>
    <row r="6072" spans="1:9" ht="15" x14ac:dyDescent="0.2">
      <c r="A6072" s="604">
        <v>43388</v>
      </c>
      <c r="B6072" s="174" t="s">
        <v>2933</v>
      </c>
      <c r="C6072" s="174" t="s">
        <v>3285</v>
      </c>
      <c r="D6072" s="118" t="s">
        <v>4045</v>
      </c>
      <c r="E6072" s="236">
        <v>21026</v>
      </c>
      <c r="F6072" s="236"/>
      <c r="G6072" s="236">
        <f t="shared" si="100"/>
        <v>-21026</v>
      </c>
      <c r="H6072" s="260" t="s">
        <v>3963</v>
      </c>
      <c r="I6072" s="40"/>
    </row>
    <row r="6073" spans="1:9" ht="15" x14ac:dyDescent="0.2">
      <c r="A6073" s="604">
        <v>43388</v>
      </c>
      <c r="B6073" s="174" t="s">
        <v>2787</v>
      </c>
      <c r="C6073" s="174" t="s">
        <v>3285</v>
      </c>
      <c r="D6073" s="118" t="s">
        <v>4045</v>
      </c>
      <c r="E6073" s="236">
        <v>15551</v>
      </c>
      <c r="F6073" s="236"/>
      <c r="G6073" s="236">
        <f t="shared" si="100"/>
        <v>-15551</v>
      </c>
      <c r="H6073" s="260" t="s">
        <v>3963</v>
      </c>
      <c r="I6073" s="40"/>
    </row>
    <row r="6074" spans="1:9" ht="15" x14ac:dyDescent="0.2">
      <c r="A6074" s="604">
        <v>43388</v>
      </c>
      <c r="B6074" s="174" t="s">
        <v>1400</v>
      </c>
      <c r="C6074" s="174" t="s">
        <v>3285</v>
      </c>
      <c r="D6074" s="118" t="s">
        <v>4045</v>
      </c>
      <c r="E6074" s="236">
        <v>10000</v>
      </c>
      <c r="F6074" s="236"/>
      <c r="G6074" s="236">
        <f t="shared" si="100"/>
        <v>-10000</v>
      </c>
      <c r="H6074" s="260" t="s">
        <v>3963</v>
      </c>
      <c r="I6074" s="40"/>
    </row>
    <row r="6075" spans="1:9" ht="15" x14ac:dyDescent="0.2">
      <c r="A6075" s="604">
        <v>43388</v>
      </c>
      <c r="B6075" s="174" t="s">
        <v>2933</v>
      </c>
      <c r="C6075" s="174" t="s">
        <v>4046</v>
      </c>
      <c r="D6075" s="118" t="s">
        <v>4047</v>
      </c>
      <c r="E6075" s="236">
        <v>40000</v>
      </c>
      <c r="F6075" s="236"/>
      <c r="G6075" s="236">
        <f t="shared" si="100"/>
        <v>-40000</v>
      </c>
      <c r="H6075" s="260" t="s">
        <v>3963</v>
      </c>
      <c r="I6075" s="40"/>
    </row>
    <row r="6076" spans="1:9" ht="15" x14ac:dyDescent="0.2">
      <c r="A6076" s="604">
        <v>43388</v>
      </c>
      <c r="B6076" s="174" t="s">
        <v>3733</v>
      </c>
      <c r="C6076" s="174" t="s">
        <v>4049</v>
      </c>
      <c r="D6076" s="118" t="s">
        <v>4048</v>
      </c>
      <c r="E6076" s="236">
        <v>20000</v>
      </c>
      <c r="F6076" s="236"/>
      <c r="G6076" s="236">
        <f t="shared" si="100"/>
        <v>-20000</v>
      </c>
      <c r="H6076" s="260" t="s">
        <v>3963</v>
      </c>
      <c r="I6076" s="40"/>
    </row>
    <row r="6077" spans="1:9" ht="15" x14ac:dyDescent="0.2">
      <c r="A6077" s="604">
        <v>43388</v>
      </c>
      <c r="B6077" s="174" t="s">
        <v>2933</v>
      </c>
      <c r="C6077" s="174" t="s">
        <v>4050</v>
      </c>
      <c r="D6077" s="118" t="s">
        <v>4051</v>
      </c>
      <c r="E6077" s="236">
        <v>43000</v>
      </c>
      <c r="F6077" s="236"/>
      <c r="G6077" s="236">
        <f t="shared" si="100"/>
        <v>-43000</v>
      </c>
      <c r="H6077" s="260" t="s">
        <v>3963</v>
      </c>
      <c r="I6077" s="40"/>
    </row>
    <row r="6078" spans="1:9" ht="15" x14ac:dyDescent="0.2">
      <c r="A6078" s="604">
        <v>43388</v>
      </c>
      <c r="B6078" s="174" t="s">
        <v>25</v>
      </c>
      <c r="C6078" s="174" t="s">
        <v>1894</v>
      </c>
      <c r="D6078" s="118" t="s">
        <v>4052</v>
      </c>
      <c r="E6078" s="236">
        <v>14290</v>
      </c>
      <c r="F6078" s="236"/>
      <c r="G6078" s="236">
        <f t="shared" si="100"/>
        <v>-14290</v>
      </c>
      <c r="H6078" s="260" t="s">
        <v>3963</v>
      </c>
      <c r="I6078" s="40"/>
    </row>
    <row r="6079" spans="1:9" ht="15" x14ac:dyDescent="0.2">
      <c r="A6079" s="604">
        <v>43388</v>
      </c>
      <c r="B6079" s="174" t="s">
        <v>6516</v>
      </c>
      <c r="C6079" s="174" t="s">
        <v>3145</v>
      </c>
      <c r="D6079" s="118" t="s">
        <v>4092</v>
      </c>
      <c r="E6079" s="236">
        <v>25000</v>
      </c>
      <c r="F6079" s="236"/>
      <c r="G6079" s="236">
        <f t="shared" si="100"/>
        <v>-25000</v>
      </c>
      <c r="H6079" s="260" t="s">
        <v>3963</v>
      </c>
      <c r="I6079" s="40"/>
    </row>
    <row r="6080" spans="1:9" ht="15" x14ac:dyDescent="0.2">
      <c r="A6080" s="604">
        <v>43389</v>
      </c>
      <c r="B6080" s="174" t="s">
        <v>2933</v>
      </c>
      <c r="C6080" s="174" t="s">
        <v>5187</v>
      </c>
      <c r="D6080" s="118" t="s">
        <v>4093</v>
      </c>
      <c r="E6080" s="236">
        <v>300000</v>
      </c>
      <c r="F6080" s="236"/>
      <c r="G6080" s="236">
        <f t="shared" si="100"/>
        <v>-300000</v>
      </c>
      <c r="H6080" s="260" t="s">
        <v>3963</v>
      </c>
      <c r="I6080" s="40"/>
    </row>
    <row r="6081" spans="1:9" ht="15" x14ac:dyDescent="0.2">
      <c r="A6081" s="604">
        <v>43389</v>
      </c>
      <c r="B6081" s="174" t="s">
        <v>2787</v>
      </c>
      <c r="C6081" s="174" t="s">
        <v>5187</v>
      </c>
      <c r="D6081" s="118" t="s">
        <v>4094</v>
      </c>
      <c r="E6081" s="236">
        <v>60000</v>
      </c>
      <c r="F6081" s="236"/>
      <c r="G6081" s="236">
        <f t="shared" si="100"/>
        <v>-60000</v>
      </c>
      <c r="H6081" s="260" t="s">
        <v>3963</v>
      </c>
      <c r="I6081" s="40"/>
    </row>
    <row r="6082" spans="1:9" ht="24" x14ac:dyDescent="0.2">
      <c r="A6082" s="604">
        <v>43389</v>
      </c>
      <c r="B6082" s="174" t="s">
        <v>16</v>
      </c>
      <c r="C6082" s="174" t="s">
        <v>4095</v>
      </c>
      <c r="D6082" s="118" t="s">
        <v>4096</v>
      </c>
      <c r="E6082" s="236">
        <v>500000</v>
      </c>
      <c r="F6082" s="236"/>
      <c r="G6082" s="236">
        <f t="shared" si="100"/>
        <v>-500000</v>
      </c>
      <c r="H6082" s="260" t="s">
        <v>3963</v>
      </c>
      <c r="I6082" s="40"/>
    </row>
    <row r="6083" spans="1:9" ht="15" x14ac:dyDescent="0.2">
      <c r="A6083" s="604">
        <v>43389</v>
      </c>
      <c r="B6083" s="174" t="s">
        <v>2652</v>
      </c>
      <c r="C6083" s="174" t="s">
        <v>3958</v>
      </c>
      <c r="D6083" s="118" t="s">
        <v>4097</v>
      </c>
      <c r="E6083" s="236">
        <v>50000</v>
      </c>
      <c r="F6083" s="236"/>
      <c r="G6083" s="236">
        <f t="shared" si="100"/>
        <v>-50000</v>
      </c>
      <c r="H6083" s="260" t="s">
        <v>3963</v>
      </c>
      <c r="I6083" s="40"/>
    </row>
    <row r="6084" spans="1:9" ht="15" x14ac:dyDescent="0.2">
      <c r="A6084" s="604">
        <v>43390</v>
      </c>
      <c r="B6084" s="174" t="s">
        <v>1400</v>
      </c>
      <c r="C6084" s="174" t="s">
        <v>3931</v>
      </c>
      <c r="D6084" s="118" t="s">
        <v>4099</v>
      </c>
      <c r="E6084" s="236">
        <v>107960</v>
      </c>
      <c r="F6084" s="236"/>
      <c r="G6084" s="236">
        <f t="shared" si="100"/>
        <v>-107960</v>
      </c>
      <c r="H6084" s="260" t="s">
        <v>3963</v>
      </c>
      <c r="I6084" s="40"/>
    </row>
    <row r="6085" spans="1:9" ht="15" x14ac:dyDescent="0.2">
      <c r="A6085" s="604">
        <v>43390</v>
      </c>
      <c r="B6085" s="174" t="s">
        <v>3622</v>
      </c>
      <c r="C6085" s="174" t="s">
        <v>3772</v>
      </c>
      <c r="D6085" s="118" t="s">
        <v>4098</v>
      </c>
      <c r="E6085" s="236">
        <v>100000</v>
      </c>
      <c r="F6085" s="236"/>
      <c r="G6085" s="236">
        <f t="shared" si="100"/>
        <v>-100000</v>
      </c>
      <c r="H6085" s="260" t="s">
        <v>3963</v>
      </c>
      <c r="I6085" s="40"/>
    </row>
    <row r="6086" spans="1:9" ht="24" x14ac:dyDescent="0.2">
      <c r="A6086" s="604">
        <v>43390</v>
      </c>
      <c r="B6086" s="174" t="s">
        <v>2933</v>
      </c>
      <c r="C6086" s="174" t="s">
        <v>3145</v>
      </c>
      <c r="D6086" s="118" t="s">
        <v>4100</v>
      </c>
      <c r="E6086" s="236">
        <v>34320</v>
      </c>
      <c r="F6086" s="236"/>
      <c r="G6086" s="236">
        <f t="shared" si="100"/>
        <v>-34320</v>
      </c>
      <c r="H6086" s="260" t="s">
        <v>3963</v>
      </c>
      <c r="I6086" s="40"/>
    </row>
    <row r="6087" spans="1:9" ht="15" x14ac:dyDescent="0.2">
      <c r="A6087" s="604">
        <v>43390</v>
      </c>
      <c r="B6087" s="174" t="s">
        <v>1400</v>
      </c>
      <c r="C6087" s="174" t="s">
        <v>170</v>
      </c>
      <c r="D6087" s="118" t="s">
        <v>4101</v>
      </c>
      <c r="E6087" s="236">
        <v>15000</v>
      </c>
      <c r="F6087" s="236"/>
      <c r="G6087" s="236">
        <f t="shared" si="100"/>
        <v>-15000</v>
      </c>
      <c r="H6087" s="260" t="s">
        <v>3963</v>
      </c>
      <c r="I6087" s="40"/>
    </row>
    <row r="6088" spans="1:9" ht="15" x14ac:dyDescent="0.2">
      <c r="A6088" s="604">
        <v>43390</v>
      </c>
      <c r="B6088" s="174" t="s">
        <v>3733</v>
      </c>
      <c r="C6088" s="174" t="s">
        <v>170</v>
      </c>
      <c r="D6088" s="118" t="s">
        <v>4101</v>
      </c>
      <c r="E6088" s="236">
        <v>15000</v>
      </c>
      <c r="F6088" s="236"/>
      <c r="G6088" s="236">
        <f t="shared" si="100"/>
        <v>-15000</v>
      </c>
      <c r="H6088" s="260" t="s">
        <v>3963</v>
      </c>
      <c r="I6088" s="40"/>
    </row>
    <row r="6089" spans="1:9" ht="15" x14ac:dyDescent="0.2">
      <c r="A6089" s="604">
        <v>43391</v>
      </c>
      <c r="B6089" s="174" t="s">
        <v>1400</v>
      </c>
      <c r="C6089" s="174" t="s">
        <v>1815</v>
      </c>
      <c r="D6089" s="118" t="s">
        <v>4091</v>
      </c>
      <c r="E6089" s="236">
        <v>500000</v>
      </c>
      <c r="F6089" s="236"/>
      <c r="G6089" s="236">
        <f t="shared" si="100"/>
        <v>-500000</v>
      </c>
      <c r="H6089" s="260" t="s">
        <v>3963</v>
      </c>
      <c r="I6089" s="40"/>
    </row>
    <row r="6090" spans="1:9" ht="15" x14ac:dyDescent="0.2">
      <c r="A6090" s="604">
        <v>43391</v>
      </c>
      <c r="B6090" s="174" t="s">
        <v>3733</v>
      </c>
      <c r="C6090" s="174" t="s">
        <v>166</v>
      </c>
      <c r="D6090" s="118" t="s">
        <v>4091</v>
      </c>
      <c r="E6090" s="236">
        <v>166841</v>
      </c>
      <c r="F6090" s="236"/>
      <c r="G6090" s="236">
        <f t="shared" si="100"/>
        <v>-166841</v>
      </c>
      <c r="H6090" s="260" t="s">
        <v>3963</v>
      </c>
      <c r="I6090" s="40"/>
    </row>
    <row r="6091" spans="1:9" ht="15" x14ac:dyDescent="0.2">
      <c r="A6091" s="604">
        <v>43391</v>
      </c>
      <c r="B6091" s="174" t="s">
        <v>3622</v>
      </c>
      <c r="C6091" s="174" t="s">
        <v>166</v>
      </c>
      <c r="D6091" s="118" t="s">
        <v>4091</v>
      </c>
      <c r="E6091" s="236">
        <v>153600</v>
      </c>
      <c r="F6091" s="236"/>
      <c r="G6091" s="236">
        <f t="shared" si="100"/>
        <v>-153600</v>
      </c>
      <c r="H6091" s="260" t="s">
        <v>3963</v>
      </c>
      <c r="I6091" s="40"/>
    </row>
    <row r="6092" spans="1:9" ht="15" x14ac:dyDescent="0.2">
      <c r="A6092" s="604">
        <v>43391</v>
      </c>
      <c r="B6092" s="174" t="s">
        <v>1400</v>
      </c>
      <c r="C6092" s="174" t="s">
        <v>166</v>
      </c>
      <c r="D6092" s="118" t="s">
        <v>4091</v>
      </c>
      <c r="E6092" s="236">
        <v>183314</v>
      </c>
      <c r="F6092" s="236"/>
      <c r="G6092" s="236">
        <f t="shared" si="100"/>
        <v>-183314</v>
      </c>
      <c r="H6092" s="260" t="s">
        <v>3963</v>
      </c>
      <c r="I6092" s="40"/>
    </row>
    <row r="6093" spans="1:9" ht="15" x14ac:dyDescent="0.2">
      <c r="A6093" s="604">
        <v>43391</v>
      </c>
      <c r="B6093" s="174" t="s">
        <v>2933</v>
      </c>
      <c r="C6093" s="174" t="s">
        <v>166</v>
      </c>
      <c r="D6093" s="118" t="s">
        <v>4091</v>
      </c>
      <c r="E6093" s="236">
        <v>196245</v>
      </c>
      <c r="F6093" s="236"/>
      <c r="G6093" s="236">
        <f t="shared" si="100"/>
        <v>-196245</v>
      </c>
      <c r="H6093" s="260" t="s">
        <v>3963</v>
      </c>
      <c r="I6093" s="40"/>
    </row>
    <row r="6094" spans="1:9" ht="24" x14ac:dyDescent="0.2">
      <c r="A6094" s="604">
        <v>43391</v>
      </c>
      <c r="B6094" s="174" t="s">
        <v>1400</v>
      </c>
      <c r="C6094" s="174" t="s">
        <v>1803</v>
      </c>
      <c r="D6094" s="118" t="s">
        <v>4102</v>
      </c>
      <c r="E6094" s="236">
        <v>142013</v>
      </c>
      <c r="F6094" s="236"/>
      <c r="G6094" s="236">
        <f t="shared" si="100"/>
        <v>-142013</v>
      </c>
      <c r="H6094" s="260" t="s">
        <v>3963</v>
      </c>
      <c r="I6094" s="40"/>
    </row>
    <row r="6095" spans="1:9" ht="24" x14ac:dyDescent="0.2">
      <c r="A6095" s="604">
        <v>43391</v>
      </c>
      <c r="B6095" s="174" t="s">
        <v>2652</v>
      </c>
      <c r="C6095" s="174" t="s">
        <v>1803</v>
      </c>
      <c r="D6095" s="118" t="s">
        <v>4102</v>
      </c>
      <c r="E6095" s="236">
        <v>285845</v>
      </c>
      <c r="F6095" s="236"/>
      <c r="G6095" s="236">
        <f t="shared" si="100"/>
        <v>-285845</v>
      </c>
      <c r="H6095" s="260" t="s">
        <v>3963</v>
      </c>
      <c r="I6095" s="40"/>
    </row>
    <row r="6096" spans="1:9" ht="24" x14ac:dyDescent="0.2">
      <c r="A6096" s="604">
        <v>43391</v>
      </c>
      <c r="B6096" s="174" t="s">
        <v>2652</v>
      </c>
      <c r="C6096" s="174" t="s">
        <v>1803</v>
      </c>
      <c r="D6096" s="118" t="s">
        <v>4102</v>
      </c>
      <c r="E6096" s="236">
        <v>258142</v>
      </c>
      <c r="F6096" s="236"/>
      <c r="G6096" s="236">
        <f t="shared" si="100"/>
        <v>-258142</v>
      </c>
      <c r="H6096" s="260" t="s">
        <v>3963</v>
      </c>
      <c r="I6096" s="40"/>
    </row>
    <row r="6097" spans="1:9" ht="15" x14ac:dyDescent="0.2">
      <c r="A6097" s="604">
        <v>43391</v>
      </c>
      <c r="B6097" s="174" t="s">
        <v>25</v>
      </c>
      <c r="C6097" s="174" t="s">
        <v>1894</v>
      </c>
      <c r="D6097" s="118" t="s">
        <v>4103</v>
      </c>
      <c r="E6097" s="236">
        <v>10240</v>
      </c>
      <c r="F6097" s="236"/>
      <c r="G6097" s="236">
        <f t="shared" si="100"/>
        <v>-10240</v>
      </c>
      <c r="H6097" s="260" t="s">
        <v>3963</v>
      </c>
      <c r="I6097" s="40"/>
    </row>
    <row r="6098" spans="1:9" ht="15" x14ac:dyDescent="0.2">
      <c r="A6098" s="604">
        <v>43392</v>
      </c>
      <c r="B6098" s="174" t="s">
        <v>3733</v>
      </c>
      <c r="C6098" s="174" t="s">
        <v>3877</v>
      </c>
      <c r="D6098" s="118" t="s">
        <v>4124</v>
      </c>
      <c r="E6098" s="236">
        <v>50000</v>
      </c>
      <c r="F6098" s="236"/>
      <c r="G6098" s="236">
        <f t="shared" si="100"/>
        <v>-50000</v>
      </c>
      <c r="H6098" s="260" t="s">
        <v>3963</v>
      </c>
      <c r="I6098" s="40"/>
    </row>
    <row r="6099" spans="1:9" ht="15" x14ac:dyDescent="0.2">
      <c r="A6099" s="604">
        <v>43392</v>
      </c>
      <c r="B6099" s="174" t="s">
        <v>3733</v>
      </c>
      <c r="C6099" s="174" t="s">
        <v>3877</v>
      </c>
      <c r="D6099" s="118" t="s">
        <v>4125</v>
      </c>
      <c r="E6099" s="236">
        <v>50000</v>
      </c>
      <c r="F6099" s="236"/>
      <c r="G6099" s="236">
        <f t="shared" si="100"/>
        <v>-50000</v>
      </c>
      <c r="H6099" s="260" t="s">
        <v>3963</v>
      </c>
      <c r="I6099" s="40"/>
    </row>
    <row r="6100" spans="1:9" ht="15" x14ac:dyDescent="0.2">
      <c r="A6100" s="604">
        <v>43395</v>
      </c>
      <c r="B6100" s="174" t="s">
        <v>2933</v>
      </c>
      <c r="C6100" s="174" t="s">
        <v>3302</v>
      </c>
      <c r="D6100" s="118" t="s">
        <v>2655</v>
      </c>
      <c r="E6100" s="236">
        <v>200000</v>
      </c>
      <c r="F6100" s="236"/>
      <c r="G6100" s="236">
        <f t="shared" si="100"/>
        <v>-200000</v>
      </c>
      <c r="H6100" s="260" t="s">
        <v>3963</v>
      </c>
      <c r="I6100" s="40"/>
    </row>
    <row r="6101" spans="1:9" ht="15" x14ac:dyDescent="0.2">
      <c r="A6101" s="604">
        <v>43395</v>
      </c>
      <c r="B6101" s="174" t="s">
        <v>3733</v>
      </c>
      <c r="C6101" s="174" t="s">
        <v>4049</v>
      </c>
      <c r="D6101" s="118" t="s">
        <v>2655</v>
      </c>
      <c r="E6101" s="236">
        <v>10000</v>
      </c>
      <c r="F6101" s="236"/>
      <c r="G6101" s="236">
        <f t="shared" si="100"/>
        <v>-10000</v>
      </c>
      <c r="H6101" s="260" t="s">
        <v>3963</v>
      </c>
      <c r="I6101" s="40"/>
    </row>
    <row r="6102" spans="1:9" ht="15" x14ac:dyDescent="0.2">
      <c r="A6102" s="604">
        <v>43395</v>
      </c>
      <c r="B6102" s="174" t="s">
        <v>2652</v>
      </c>
      <c r="C6102" s="174" t="s">
        <v>895</v>
      </c>
      <c r="D6102" s="118" t="s">
        <v>4126</v>
      </c>
      <c r="E6102" s="236">
        <v>260000</v>
      </c>
      <c r="F6102" s="236"/>
      <c r="G6102" s="236">
        <f t="shared" si="100"/>
        <v>-260000</v>
      </c>
      <c r="H6102" s="260" t="s">
        <v>3963</v>
      </c>
      <c r="I6102" s="40"/>
    </row>
    <row r="6103" spans="1:9" ht="15" x14ac:dyDescent="0.2">
      <c r="A6103" s="604">
        <v>43395</v>
      </c>
      <c r="B6103" s="174" t="s">
        <v>3733</v>
      </c>
      <c r="C6103" s="174" t="s">
        <v>895</v>
      </c>
      <c r="D6103" s="118" t="s">
        <v>4126</v>
      </c>
      <c r="E6103" s="236">
        <v>40000</v>
      </c>
      <c r="F6103" s="236"/>
      <c r="G6103" s="236">
        <f t="shared" si="100"/>
        <v>-40000</v>
      </c>
      <c r="H6103" s="260" t="s">
        <v>3963</v>
      </c>
      <c r="I6103" s="40"/>
    </row>
    <row r="6104" spans="1:9" ht="15" x14ac:dyDescent="0.2">
      <c r="A6104" s="604">
        <v>43395</v>
      </c>
      <c r="B6104" s="174" t="s">
        <v>2933</v>
      </c>
      <c r="C6104" s="174" t="s">
        <v>895</v>
      </c>
      <c r="D6104" s="118" t="s">
        <v>4127</v>
      </c>
      <c r="E6104" s="236">
        <v>12000</v>
      </c>
      <c r="F6104" s="236"/>
      <c r="G6104" s="236">
        <f t="shared" si="100"/>
        <v>-12000</v>
      </c>
      <c r="H6104" s="260" t="s">
        <v>3963</v>
      </c>
      <c r="I6104" s="40"/>
    </row>
    <row r="6105" spans="1:9" ht="15" customHeight="1" x14ac:dyDescent="0.2">
      <c r="A6105" s="602">
        <v>43395</v>
      </c>
      <c r="B6105" s="122" t="s">
        <v>3946</v>
      </c>
      <c r="C6105" s="174" t="s">
        <v>794</v>
      </c>
      <c r="D6105" s="812" t="s">
        <v>4129</v>
      </c>
      <c r="E6105" s="123">
        <v>15680</v>
      </c>
      <c r="F6105" s="123"/>
      <c r="G6105" s="123">
        <f t="shared" si="100"/>
        <v>-15680</v>
      </c>
      <c r="H6105" s="244" t="s">
        <v>3963</v>
      </c>
    </row>
    <row r="6106" spans="1:9" ht="15" customHeight="1" x14ac:dyDescent="0.2">
      <c r="A6106" s="602">
        <v>43395</v>
      </c>
      <c r="B6106" s="122" t="s">
        <v>2652</v>
      </c>
      <c r="C6106" s="122" t="s">
        <v>5643</v>
      </c>
      <c r="D6106" s="812" t="s">
        <v>4130</v>
      </c>
      <c r="E6106" s="123">
        <v>143000</v>
      </c>
      <c r="F6106" s="123"/>
      <c r="G6106" s="123">
        <f t="shared" si="100"/>
        <v>-143000</v>
      </c>
      <c r="H6106" s="244" t="s">
        <v>3963</v>
      </c>
    </row>
    <row r="6107" spans="1:9" ht="15" customHeight="1" x14ac:dyDescent="0.2">
      <c r="A6107" s="602">
        <v>43395</v>
      </c>
      <c r="B6107" s="174" t="s">
        <v>2933</v>
      </c>
      <c r="C6107" s="174" t="s">
        <v>794</v>
      </c>
      <c r="D6107" s="812" t="s">
        <v>4157</v>
      </c>
      <c r="E6107" s="236">
        <v>75000</v>
      </c>
      <c r="F6107" s="236"/>
      <c r="G6107" s="236">
        <f t="shared" si="100"/>
        <v>-75000</v>
      </c>
      <c r="H6107" s="244" t="s">
        <v>3963</v>
      </c>
      <c r="I6107" s="40"/>
    </row>
    <row r="6108" spans="1:9" ht="15" customHeight="1" x14ac:dyDescent="0.2">
      <c r="A6108" s="602">
        <v>43395</v>
      </c>
      <c r="B6108" s="174" t="s">
        <v>3622</v>
      </c>
      <c r="C6108" s="174" t="s">
        <v>3285</v>
      </c>
      <c r="D6108" s="118" t="s">
        <v>4131</v>
      </c>
      <c r="E6108" s="236">
        <v>250000</v>
      </c>
      <c r="F6108" s="236"/>
      <c r="G6108" s="236">
        <f t="shared" si="100"/>
        <v>-250000</v>
      </c>
      <c r="H6108" s="244" t="s">
        <v>3963</v>
      </c>
      <c r="I6108" s="40"/>
    </row>
    <row r="6109" spans="1:9" ht="24" customHeight="1" x14ac:dyDescent="0.2">
      <c r="A6109" s="602">
        <v>43395</v>
      </c>
      <c r="B6109" s="174" t="s">
        <v>2933</v>
      </c>
      <c r="C6109" s="174" t="s">
        <v>3285</v>
      </c>
      <c r="D6109" s="118" t="s">
        <v>4132</v>
      </c>
      <c r="E6109" s="236">
        <v>455000</v>
      </c>
      <c r="F6109" s="236"/>
      <c r="G6109" s="236">
        <f t="shared" si="100"/>
        <v>-455000</v>
      </c>
      <c r="H6109" s="244" t="s">
        <v>3963</v>
      </c>
      <c r="I6109" s="40"/>
    </row>
    <row r="6110" spans="1:9" ht="15" customHeight="1" x14ac:dyDescent="0.2">
      <c r="A6110" s="602">
        <v>43395</v>
      </c>
      <c r="B6110" s="174" t="s">
        <v>2933</v>
      </c>
      <c r="C6110" s="174" t="s">
        <v>3085</v>
      </c>
      <c r="D6110" s="812" t="s">
        <v>4133</v>
      </c>
      <c r="E6110" s="236">
        <v>176000</v>
      </c>
      <c r="F6110" s="236"/>
      <c r="G6110" s="236">
        <f t="shared" si="100"/>
        <v>-176000</v>
      </c>
      <c r="H6110" s="244" t="s">
        <v>3963</v>
      </c>
      <c r="I6110" s="40"/>
    </row>
    <row r="6111" spans="1:9" ht="15" customHeight="1" x14ac:dyDescent="0.2">
      <c r="A6111" s="602">
        <v>43396</v>
      </c>
      <c r="B6111" s="174" t="s">
        <v>2652</v>
      </c>
      <c r="C6111" s="174" t="s">
        <v>4164</v>
      </c>
      <c r="D6111" s="812" t="s">
        <v>4138</v>
      </c>
      <c r="E6111" s="236">
        <v>130000</v>
      </c>
      <c r="F6111" s="236"/>
      <c r="G6111" s="236">
        <f t="shared" si="100"/>
        <v>-130000</v>
      </c>
      <c r="H6111" s="244" t="s">
        <v>3963</v>
      </c>
      <c r="I6111" s="40"/>
    </row>
    <row r="6112" spans="1:9" ht="15" customHeight="1" x14ac:dyDescent="0.2">
      <c r="A6112" s="602">
        <v>43397</v>
      </c>
      <c r="B6112" s="174" t="s">
        <v>2933</v>
      </c>
      <c r="C6112" s="174" t="s">
        <v>3145</v>
      </c>
      <c r="D6112" s="812" t="s">
        <v>4139</v>
      </c>
      <c r="E6112" s="236">
        <v>19400</v>
      </c>
      <c r="F6112" s="236"/>
      <c r="G6112" s="236">
        <f t="shared" si="100"/>
        <v>-19400</v>
      </c>
      <c r="H6112" s="244" t="s">
        <v>3963</v>
      </c>
      <c r="I6112" s="40"/>
    </row>
    <row r="6113" spans="1:9" ht="15" customHeight="1" x14ac:dyDescent="0.2">
      <c r="A6113" s="602">
        <v>43397</v>
      </c>
      <c r="B6113" s="174" t="s">
        <v>2933</v>
      </c>
      <c r="C6113" s="174" t="s">
        <v>2819</v>
      </c>
      <c r="D6113" s="812" t="s">
        <v>4140</v>
      </c>
      <c r="E6113" s="236">
        <v>260000</v>
      </c>
      <c r="F6113" s="236"/>
      <c r="G6113" s="236">
        <f t="shared" si="100"/>
        <v>-260000</v>
      </c>
      <c r="H6113" s="244" t="s">
        <v>3963</v>
      </c>
      <c r="I6113" s="40"/>
    </row>
    <row r="6114" spans="1:9" ht="15" customHeight="1" x14ac:dyDescent="0.2">
      <c r="A6114" s="602">
        <v>43397</v>
      </c>
      <c r="B6114" s="174" t="s">
        <v>2933</v>
      </c>
      <c r="C6114" s="174" t="s">
        <v>3416</v>
      </c>
      <c r="D6114" s="812" t="s">
        <v>4141</v>
      </c>
      <c r="E6114" s="236">
        <v>1000000</v>
      </c>
      <c r="F6114" s="236"/>
      <c r="G6114" s="236">
        <f t="shared" si="100"/>
        <v>-1000000</v>
      </c>
      <c r="H6114" s="244" t="s">
        <v>3963</v>
      </c>
      <c r="I6114" s="40"/>
    </row>
    <row r="6115" spans="1:9" ht="15" customHeight="1" x14ac:dyDescent="0.2">
      <c r="A6115" s="602">
        <v>43397</v>
      </c>
      <c r="B6115" s="174" t="s">
        <v>2787</v>
      </c>
      <c r="C6115" s="174" t="s">
        <v>3011</v>
      </c>
      <c r="D6115" s="812" t="s">
        <v>4142</v>
      </c>
      <c r="E6115" s="236">
        <v>38432</v>
      </c>
      <c r="F6115" s="236"/>
      <c r="G6115" s="236">
        <f t="shared" si="100"/>
        <v>-38432</v>
      </c>
      <c r="H6115" s="244" t="s">
        <v>3963</v>
      </c>
      <c r="I6115" s="40"/>
    </row>
    <row r="6116" spans="1:9" ht="15" customHeight="1" x14ac:dyDescent="0.2">
      <c r="A6116" s="602">
        <v>43397</v>
      </c>
      <c r="B6116" s="174" t="s">
        <v>2933</v>
      </c>
      <c r="C6116" s="174" t="s">
        <v>3011</v>
      </c>
      <c r="D6116" s="812" t="s">
        <v>4142</v>
      </c>
      <c r="E6116" s="236">
        <v>11568</v>
      </c>
      <c r="F6116" s="236"/>
      <c r="G6116" s="236">
        <f t="shared" si="100"/>
        <v>-11568</v>
      </c>
      <c r="H6116" s="244" t="s">
        <v>3963</v>
      </c>
      <c r="I6116" s="40"/>
    </row>
    <row r="6117" spans="1:9" ht="15" customHeight="1" x14ac:dyDescent="0.2">
      <c r="A6117" s="602">
        <v>43398</v>
      </c>
      <c r="B6117" s="174" t="s">
        <v>3733</v>
      </c>
      <c r="C6117" s="174" t="s">
        <v>3877</v>
      </c>
      <c r="D6117" s="812" t="s">
        <v>4144</v>
      </c>
      <c r="E6117" s="236">
        <v>75000</v>
      </c>
      <c r="F6117" s="236"/>
      <c r="G6117" s="236">
        <f t="shared" si="100"/>
        <v>-75000</v>
      </c>
      <c r="H6117" s="244" t="s">
        <v>3963</v>
      </c>
      <c r="I6117" s="40"/>
    </row>
    <row r="6118" spans="1:9" ht="15" customHeight="1" x14ac:dyDescent="0.2">
      <c r="A6118" s="602">
        <v>43399</v>
      </c>
      <c r="B6118" s="174" t="s">
        <v>3733</v>
      </c>
      <c r="C6118" s="174" t="s">
        <v>3735</v>
      </c>
      <c r="D6118" s="812" t="s">
        <v>4145</v>
      </c>
      <c r="E6118" s="236">
        <v>25000</v>
      </c>
      <c r="F6118" s="236"/>
      <c r="G6118" s="236">
        <f t="shared" si="100"/>
        <v>-25000</v>
      </c>
      <c r="H6118" s="244" t="s">
        <v>3963</v>
      </c>
      <c r="I6118" s="40"/>
    </row>
    <row r="6119" spans="1:9" ht="15" customHeight="1" x14ac:dyDescent="0.2">
      <c r="A6119" s="602">
        <v>43399</v>
      </c>
      <c r="B6119" s="174" t="s">
        <v>2933</v>
      </c>
      <c r="C6119" s="174" t="s">
        <v>2196</v>
      </c>
      <c r="D6119" s="812" t="s">
        <v>4146</v>
      </c>
      <c r="E6119" s="236">
        <v>300000</v>
      </c>
      <c r="F6119" s="236"/>
      <c r="G6119" s="236">
        <f t="shared" si="100"/>
        <v>-300000</v>
      </c>
      <c r="H6119" s="244" t="s">
        <v>3963</v>
      </c>
      <c r="I6119" s="40"/>
    </row>
    <row r="6120" spans="1:9" ht="15" customHeight="1" x14ac:dyDescent="0.2">
      <c r="A6120" s="602">
        <v>43400</v>
      </c>
      <c r="B6120" s="174" t="s">
        <v>1400</v>
      </c>
      <c r="C6120" s="174" t="s">
        <v>3275</v>
      </c>
      <c r="D6120" s="812" t="s">
        <v>4147</v>
      </c>
      <c r="E6120" s="236">
        <v>120000</v>
      </c>
      <c r="F6120" s="236"/>
      <c r="G6120" s="236">
        <f t="shared" si="100"/>
        <v>-120000</v>
      </c>
      <c r="H6120" s="244" t="s">
        <v>3963</v>
      </c>
      <c r="I6120" s="40"/>
    </row>
    <row r="6121" spans="1:9" ht="15" customHeight="1" x14ac:dyDescent="0.2">
      <c r="A6121" s="602">
        <v>43400</v>
      </c>
      <c r="B6121" s="174" t="s">
        <v>2933</v>
      </c>
      <c r="C6121" s="174" t="s">
        <v>716</v>
      </c>
      <c r="D6121" s="812" t="s">
        <v>4148</v>
      </c>
      <c r="E6121" s="236">
        <v>325000</v>
      </c>
      <c r="F6121" s="236"/>
      <c r="G6121" s="236">
        <f t="shared" si="100"/>
        <v>-325000</v>
      </c>
      <c r="H6121" s="244" t="s">
        <v>3963</v>
      </c>
      <c r="I6121" s="40"/>
    </row>
    <row r="6122" spans="1:9" ht="15" customHeight="1" x14ac:dyDescent="0.2">
      <c r="A6122" s="602">
        <v>43400</v>
      </c>
      <c r="B6122" s="174" t="s">
        <v>2933</v>
      </c>
      <c r="C6122" s="174" t="s">
        <v>716</v>
      </c>
      <c r="D6122" s="812" t="s">
        <v>4149</v>
      </c>
      <c r="E6122" s="236">
        <v>586000</v>
      </c>
      <c r="F6122" s="236"/>
      <c r="G6122" s="236">
        <f t="shared" si="100"/>
        <v>-586000</v>
      </c>
      <c r="H6122" s="244" t="s">
        <v>3963</v>
      </c>
      <c r="I6122" s="40"/>
    </row>
    <row r="6123" spans="1:9" ht="15" customHeight="1" x14ac:dyDescent="0.2">
      <c r="A6123" s="602">
        <v>43400</v>
      </c>
      <c r="B6123" s="174" t="s">
        <v>3622</v>
      </c>
      <c r="C6123" s="174" t="s">
        <v>716</v>
      </c>
      <c r="D6123" s="812" t="s">
        <v>4150</v>
      </c>
      <c r="E6123" s="236">
        <v>500000</v>
      </c>
      <c r="F6123" s="236"/>
      <c r="G6123" s="236">
        <f t="shared" si="100"/>
        <v>-500000</v>
      </c>
      <c r="H6123" s="244" t="s">
        <v>3963</v>
      </c>
      <c r="I6123" s="40"/>
    </row>
    <row r="6124" spans="1:9" ht="15" customHeight="1" x14ac:dyDescent="0.2">
      <c r="A6124" s="602">
        <v>43400</v>
      </c>
      <c r="B6124" s="174" t="s">
        <v>1400</v>
      </c>
      <c r="C6124" s="174" t="s">
        <v>2515</v>
      </c>
      <c r="D6124" s="812" t="s">
        <v>4151</v>
      </c>
      <c r="E6124" s="236">
        <v>84000</v>
      </c>
      <c r="F6124" s="236"/>
      <c r="G6124" s="236">
        <f t="shared" si="100"/>
        <v>-84000</v>
      </c>
      <c r="H6124" s="244" t="s">
        <v>3963</v>
      </c>
      <c r="I6124" s="40"/>
    </row>
    <row r="6125" spans="1:9" ht="15" customHeight="1" x14ac:dyDescent="0.2">
      <c r="A6125" s="602">
        <v>43400</v>
      </c>
      <c r="B6125" s="174" t="s">
        <v>14</v>
      </c>
      <c r="C6125" s="174" t="s">
        <v>4152</v>
      </c>
      <c r="D6125" s="812" t="s">
        <v>4154</v>
      </c>
      <c r="E6125" s="236">
        <v>100000</v>
      </c>
      <c r="F6125" s="236"/>
      <c r="G6125" s="236">
        <f t="shared" si="100"/>
        <v>-100000</v>
      </c>
      <c r="H6125" s="244" t="s">
        <v>3963</v>
      </c>
      <c r="I6125" s="40"/>
    </row>
    <row r="6126" spans="1:9" ht="15" customHeight="1" x14ac:dyDescent="0.2">
      <c r="A6126" s="602">
        <v>43400</v>
      </c>
      <c r="B6126" s="174" t="s">
        <v>6516</v>
      </c>
      <c r="C6126" s="174" t="s">
        <v>4152</v>
      </c>
      <c r="D6126" s="812" t="s">
        <v>4153</v>
      </c>
      <c r="E6126" s="236">
        <v>24000</v>
      </c>
      <c r="F6126" s="236"/>
      <c r="G6126" s="236">
        <f t="shared" si="100"/>
        <v>-24000</v>
      </c>
      <c r="H6126" s="244" t="s">
        <v>3963</v>
      </c>
      <c r="I6126" s="40"/>
    </row>
    <row r="6127" spans="1:9" ht="15" customHeight="1" x14ac:dyDescent="0.2">
      <c r="A6127" s="599">
        <v>43375</v>
      </c>
      <c r="B6127" s="91" t="s">
        <v>40</v>
      </c>
      <c r="C6127" s="94" t="s">
        <v>559</v>
      </c>
      <c r="D6127" s="801" t="s">
        <v>3930</v>
      </c>
      <c r="E6127" s="92"/>
      <c r="F6127" s="92">
        <v>148000</v>
      </c>
      <c r="G6127" s="92">
        <f t="shared" si="100"/>
        <v>148000</v>
      </c>
      <c r="H6127" s="261" t="s">
        <v>3963</v>
      </c>
    </row>
    <row r="6128" spans="1:9" ht="15" customHeight="1" x14ac:dyDescent="0.2">
      <c r="A6128" s="599">
        <v>43375</v>
      </c>
      <c r="B6128" s="91" t="s">
        <v>1400</v>
      </c>
      <c r="C6128" s="94" t="s">
        <v>559</v>
      </c>
      <c r="D6128" s="801" t="s">
        <v>3943</v>
      </c>
      <c r="E6128" s="92"/>
      <c r="F6128" s="92">
        <v>131258</v>
      </c>
      <c r="G6128" s="92">
        <f t="shared" si="100"/>
        <v>131258</v>
      </c>
      <c r="H6128" s="261" t="s">
        <v>3963</v>
      </c>
    </row>
    <row r="6129" spans="1:8" ht="15" customHeight="1" x14ac:dyDescent="0.2">
      <c r="A6129" s="599">
        <v>43376</v>
      </c>
      <c r="B6129" s="91" t="s">
        <v>3946</v>
      </c>
      <c r="C6129" s="94" t="s">
        <v>559</v>
      </c>
      <c r="D6129" s="801" t="s">
        <v>3944</v>
      </c>
      <c r="E6129" s="92"/>
      <c r="F6129" s="92">
        <v>277500</v>
      </c>
      <c r="G6129" s="92">
        <f t="shared" si="100"/>
        <v>277500</v>
      </c>
      <c r="H6129" s="261" t="s">
        <v>3963</v>
      </c>
    </row>
    <row r="6130" spans="1:8" ht="15" customHeight="1" x14ac:dyDescent="0.2">
      <c r="A6130" s="599">
        <v>43376</v>
      </c>
      <c r="B6130" s="91" t="s">
        <v>3733</v>
      </c>
      <c r="C6130" s="94" t="s">
        <v>559</v>
      </c>
      <c r="D6130" s="801" t="s">
        <v>3949</v>
      </c>
      <c r="E6130" s="92"/>
      <c r="F6130" s="92">
        <v>986051</v>
      </c>
      <c r="G6130" s="92">
        <f t="shared" si="100"/>
        <v>986051</v>
      </c>
      <c r="H6130" s="261" t="s">
        <v>3963</v>
      </c>
    </row>
    <row r="6131" spans="1:8" ht="24" x14ac:dyDescent="0.2">
      <c r="A6131" s="599">
        <v>43377</v>
      </c>
      <c r="B6131" s="91" t="s">
        <v>3622</v>
      </c>
      <c r="C6131" s="94" t="s">
        <v>559</v>
      </c>
      <c r="D6131" s="798" t="s">
        <v>3948</v>
      </c>
      <c r="E6131" s="92"/>
      <c r="F6131" s="92">
        <v>806000</v>
      </c>
      <c r="G6131" s="92">
        <f t="shared" si="100"/>
        <v>806000</v>
      </c>
      <c r="H6131" s="261" t="s">
        <v>3963</v>
      </c>
    </row>
    <row r="6132" spans="1:8" ht="24" x14ac:dyDescent="0.2">
      <c r="A6132" s="599">
        <v>43377</v>
      </c>
      <c r="B6132" s="91" t="s">
        <v>3622</v>
      </c>
      <c r="C6132" s="94" t="s">
        <v>559</v>
      </c>
      <c r="D6132" s="798" t="s">
        <v>3950</v>
      </c>
      <c r="E6132" s="92"/>
      <c r="F6132" s="92">
        <v>749806</v>
      </c>
      <c r="G6132" s="92">
        <f t="shared" si="100"/>
        <v>749806</v>
      </c>
      <c r="H6132" s="261" t="s">
        <v>3963</v>
      </c>
    </row>
    <row r="6133" spans="1:8" ht="15" x14ac:dyDescent="0.2">
      <c r="A6133" s="599">
        <v>43384</v>
      </c>
      <c r="B6133" s="91" t="s">
        <v>37</v>
      </c>
      <c r="C6133" s="94" t="s">
        <v>559</v>
      </c>
      <c r="D6133" s="801" t="s">
        <v>3962</v>
      </c>
      <c r="E6133" s="92"/>
      <c r="F6133" s="92">
        <v>314280</v>
      </c>
      <c r="G6133" s="92">
        <f t="shared" ref="G6133:G6196" si="101">F6133-E6133</f>
        <v>314280</v>
      </c>
      <c r="H6133" s="261" t="s">
        <v>3963</v>
      </c>
    </row>
    <row r="6134" spans="1:8" ht="60" x14ac:dyDescent="0.2">
      <c r="A6134" s="599">
        <v>43388</v>
      </c>
      <c r="B6134" s="94" t="s">
        <v>2652</v>
      </c>
      <c r="C6134" s="94" t="s">
        <v>559</v>
      </c>
      <c r="D6134" s="802" t="s">
        <v>4514</v>
      </c>
      <c r="E6134" s="176"/>
      <c r="F6134" s="176">
        <v>3000000</v>
      </c>
      <c r="G6134" s="176">
        <f t="shared" si="101"/>
        <v>3000000</v>
      </c>
      <c r="H6134" s="261" t="s">
        <v>3963</v>
      </c>
    </row>
    <row r="6135" spans="1:8" ht="15" x14ac:dyDescent="0.2">
      <c r="A6135" s="599">
        <v>43391</v>
      </c>
      <c r="B6135" s="91" t="s">
        <v>1400</v>
      </c>
      <c r="C6135" s="94" t="s">
        <v>559</v>
      </c>
      <c r="D6135" s="801" t="s">
        <v>4087</v>
      </c>
      <c r="E6135" s="92"/>
      <c r="F6135" s="92">
        <v>700000</v>
      </c>
      <c r="G6135" s="92">
        <f t="shared" si="101"/>
        <v>700000</v>
      </c>
      <c r="H6135" s="261" t="s">
        <v>3963</v>
      </c>
    </row>
    <row r="6136" spans="1:8" ht="15" x14ac:dyDescent="0.2">
      <c r="A6136" s="599">
        <v>43391</v>
      </c>
      <c r="B6136" s="91" t="s">
        <v>1400</v>
      </c>
      <c r="C6136" s="94" t="s">
        <v>559</v>
      </c>
      <c r="D6136" s="801" t="s">
        <v>4088</v>
      </c>
      <c r="E6136" s="92"/>
      <c r="F6136" s="92">
        <v>500000</v>
      </c>
      <c r="G6136" s="92">
        <f t="shared" si="101"/>
        <v>500000</v>
      </c>
      <c r="H6136" s="261" t="s">
        <v>3963</v>
      </c>
    </row>
    <row r="6137" spans="1:8" ht="15" x14ac:dyDescent="0.2">
      <c r="A6137" s="599">
        <v>43391</v>
      </c>
      <c r="B6137" s="91" t="s">
        <v>1400</v>
      </c>
      <c r="C6137" s="94" t="s">
        <v>559</v>
      </c>
      <c r="D6137" s="801" t="s">
        <v>4089</v>
      </c>
      <c r="E6137" s="92"/>
      <c r="F6137" s="92">
        <v>700000</v>
      </c>
      <c r="G6137" s="92">
        <f t="shared" si="101"/>
        <v>700000</v>
      </c>
      <c r="H6137" s="261" t="s">
        <v>3963</v>
      </c>
    </row>
    <row r="6138" spans="1:8" ht="15" x14ac:dyDescent="0.2">
      <c r="A6138" s="599">
        <v>43391</v>
      </c>
      <c r="B6138" s="91" t="s">
        <v>1400</v>
      </c>
      <c r="C6138" s="94" t="s">
        <v>559</v>
      </c>
      <c r="D6138" s="801" t="s">
        <v>4090</v>
      </c>
      <c r="E6138" s="92"/>
      <c r="F6138" s="92">
        <v>829115</v>
      </c>
      <c r="G6138" s="92">
        <f t="shared" si="101"/>
        <v>829115</v>
      </c>
      <c r="H6138" s="261" t="s">
        <v>3963</v>
      </c>
    </row>
    <row r="6139" spans="1:8" ht="15" x14ac:dyDescent="0.2">
      <c r="A6139" s="599">
        <v>43395</v>
      </c>
      <c r="B6139" s="91" t="s">
        <v>2933</v>
      </c>
      <c r="C6139" s="94" t="s">
        <v>559</v>
      </c>
      <c r="D6139" s="801" t="s">
        <v>4123</v>
      </c>
      <c r="E6139" s="92"/>
      <c r="F6139" s="92">
        <v>32150008</v>
      </c>
      <c r="G6139" s="92">
        <f t="shared" si="101"/>
        <v>32150008</v>
      </c>
      <c r="H6139" s="261" t="s">
        <v>3963</v>
      </c>
    </row>
    <row r="6140" spans="1:8" ht="15" x14ac:dyDescent="0.2">
      <c r="A6140" s="599">
        <v>43395</v>
      </c>
      <c r="B6140" s="91" t="s">
        <v>3945</v>
      </c>
      <c r="C6140" s="94" t="s">
        <v>559</v>
      </c>
      <c r="D6140" s="801" t="s">
        <v>4128</v>
      </c>
      <c r="E6140" s="92"/>
      <c r="F6140" s="92">
        <v>305250</v>
      </c>
      <c r="G6140" s="92">
        <f t="shared" si="101"/>
        <v>305250</v>
      </c>
      <c r="H6140" s="261" t="s">
        <v>3963</v>
      </c>
    </row>
    <row r="6141" spans="1:8" ht="15" x14ac:dyDescent="0.2">
      <c r="A6141" s="599">
        <v>43398</v>
      </c>
      <c r="B6141" s="91" t="s">
        <v>1493</v>
      </c>
      <c r="C6141" s="94" t="s">
        <v>559</v>
      </c>
      <c r="D6141" s="813" t="s">
        <v>4166</v>
      </c>
      <c r="E6141" s="92"/>
      <c r="F6141" s="92">
        <v>158800</v>
      </c>
      <c r="G6141" s="92">
        <f t="shared" si="101"/>
        <v>158800</v>
      </c>
      <c r="H6141" s="261" t="s">
        <v>3963</v>
      </c>
    </row>
    <row r="6142" spans="1:8" ht="15" x14ac:dyDescent="0.2">
      <c r="A6142" s="597">
        <v>43405</v>
      </c>
      <c r="B6142" s="41" t="s">
        <v>2933</v>
      </c>
      <c r="C6142" s="63" t="s">
        <v>794</v>
      </c>
      <c r="D6142" s="108" t="s">
        <v>1836</v>
      </c>
      <c r="E6142" s="58">
        <v>25000</v>
      </c>
      <c r="F6142" s="58"/>
      <c r="G6142" s="58">
        <f t="shared" si="101"/>
        <v>-25000</v>
      </c>
      <c r="H6142" s="121" t="s">
        <v>4155</v>
      </c>
    </row>
    <row r="6143" spans="1:8" ht="15" x14ac:dyDescent="0.2">
      <c r="A6143" s="597">
        <v>43405</v>
      </c>
      <c r="B6143" s="41" t="s">
        <v>2652</v>
      </c>
      <c r="C6143" s="63" t="s">
        <v>794</v>
      </c>
      <c r="D6143" s="108" t="s">
        <v>1836</v>
      </c>
      <c r="E6143" s="58">
        <v>25000</v>
      </c>
      <c r="F6143" s="58"/>
      <c r="G6143" s="58">
        <f t="shared" si="101"/>
        <v>-25000</v>
      </c>
      <c r="H6143" s="121" t="s">
        <v>4155</v>
      </c>
    </row>
    <row r="6144" spans="1:8" ht="15" x14ac:dyDescent="0.2">
      <c r="A6144" s="597">
        <v>43405</v>
      </c>
      <c r="B6144" s="41" t="s">
        <v>1400</v>
      </c>
      <c r="C6144" s="63" t="s">
        <v>794</v>
      </c>
      <c r="D6144" s="108" t="s">
        <v>1837</v>
      </c>
      <c r="E6144" s="58">
        <v>25000</v>
      </c>
      <c r="F6144" s="58"/>
      <c r="G6144" s="58">
        <f t="shared" si="101"/>
        <v>-25000</v>
      </c>
      <c r="H6144" s="121" t="s">
        <v>4155</v>
      </c>
    </row>
    <row r="6145" spans="1:8" ht="15" x14ac:dyDescent="0.2">
      <c r="A6145" s="597">
        <v>43405</v>
      </c>
      <c r="B6145" s="41" t="s">
        <v>2933</v>
      </c>
      <c r="C6145" s="63" t="s">
        <v>794</v>
      </c>
      <c r="D6145" s="108" t="s">
        <v>1837</v>
      </c>
      <c r="E6145" s="58">
        <v>25000</v>
      </c>
      <c r="F6145" s="58"/>
      <c r="G6145" s="58">
        <f t="shared" si="101"/>
        <v>-25000</v>
      </c>
      <c r="H6145" s="121" t="s">
        <v>4155</v>
      </c>
    </row>
    <row r="6146" spans="1:8" ht="15" x14ac:dyDescent="0.2">
      <c r="A6146" s="597">
        <v>43405</v>
      </c>
      <c r="B6146" s="41" t="s">
        <v>25</v>
      </c>
      <c r="C6146" s="63" t="s">
        <v>794</v>
      </c>
      <c r="D6146" s="108" t="s">
        <v>1839</v>
      </c>
      <c r="E6146" s="58">
        <v>10000</v>
      </c>
      <c r="F6146" s="58"/>
      <c r="G6146" s="58">
        <f t="shared" si="101"/>
        <v>-10000</v>
      </c>
      <c r="H6146" s="121" t="s">
        <v>4155</v>
      </c>
    </row>
    <row r="6147" spans="1:8" ht="15" x14ac:dyDescent="0.2">
      <c r="A6147" s="597">
        <v>43405</v>
      </c>
      <c r="B6147" s="41" t="s">
        <v>25</v>
      </c>
      <c r="C6147" s="63" t="s">
        <v>794</v>
      </c>
      <c r="D6147" s="108" t="s">
        <v>2183</v>
      </c>
      <c r="E6147" s="58">
        <v>20000</v>
      </c>
      <c r="F6147" s="58"/>
      <c r="G6147" s="58">
        <f t="shared" si="101"/>
        <v>-20000</v>
      </c>
      <c r="H6147" s="121" t="s">
        <v>4155</v>
      </c>
    </row>
    <row r="6148" spans="1:8" ht="15" x14ac:dyDescent="0.2">
      <c r="A6148" s="597">
        <v>43405</v>
      </c>
      <c r="B6148" s="41" t="s">
        <v>25</v>
      </c>
      <c r="C6148" s="63" t="s">
        <v>794</v>
      </c>
      <c r="D6148" s="108" t="s">
        <v>1840</v>
      </c>
      <c r="E6148" s="58">
        <v>10000</v>
      </c>
      <c r="F6148" s="58"/>
      <c r="G6148" s="58">
        <f t="shared" si="101"/>
        <v>-10000</v>
      </c>
      <c r="H6148" s="121" t="s">
        <v>4155</v>
      </c>
    </row>
    <row r="6149" spans="1:8" ht="15" x14ac:dyDescent="0.2">
      <c r="A6149" s="597">
        <v>43405</v>
      </c>
      <c r="B6149" s="41" t="s">
        <v>25</v>
      </c>
      <c r="C6149" s="63" t="s">
        <v>794</v>
      </c>
      <c r="D6149" s="108" t="s">
        <v>1547</v>
      </c>
      <c r="E6149" s="58">
        <v>10000</v>
      </c>
      <c r="F6149" s="58"/>
      <c r="G6149" s="58">
        <f t="shared" si="101"/>
        <v>-10000</v>
      </c>
      <c r="H6149" s="121" t="s">
        <v>4155</v>
      </c>
    </row>
    <row r="6150" spans="1:8" ht="15" x14ac:dyDescent="0.2">
      <c r="A6150" s="597">
        <v>43405</v>
      </c>
      <c r="B6150" s="41" t="s">
        <v>16</v>
      </c>
      <c r="C6150" s="63" t="s">
        <v>794</v>
      </c>
      <c r="D6150" s="108" t="s">
        <v>1844</v>
      </c>
      <c r="E6150" s="58">
        <v>26496.209677419356</v>
      </c>
      <c r="F6150" s="58"/>
      <c r="G6150" s="58">
        <f t="shared" si="101"/>
        <v>-26496.209677419356</v>
      </c>
      <c r="H6150" s="121" t="s">
        <v>4155</v>
      </c>
    </row>
    <row r="6151" spans="1:8" ht="15" x14ac:dyDescent="0.2">
      <c r="A6151" s="597">
        <v>43405</v>
      </c>
      <c r="B6151" s="41" t="s">
        <v>16</v>
      </c>
      <c r="C6151" s="63" t="s">
        <v>794</v>
      </c>
      <c r="D6151" s="108" t="s">
        <v>1842</v>
      </c>
      <c r="E6151" s="58">
        <v>30000</v>
      </c>
      <c r="F6151" s="58"/>
      <c r="G6151" s="58">
        <f t="shared" si="101"/>
        <v>-30000</v>
      </c>
      <c r="H6151" s="121" t="s">
        <v>4155</v>
      </c>
    </row>
    <row r="6152" spans="1:8" ht="15" x14ac:dyDescent="0.2">
      <c r="A6152" s="597">
        <v>43405</v>
      </c>
      <c r="B6152" s="41" t="s">
        <v>16</v>
      </c>
      <c r="C6152" s="63" t="s">
        <v>794</v>
      </c>
      <c r="D6152" s="108" t="s">
        <v>3065</v>
      </c>
      <c r="E6152" s="58">
        <v>20000</v>
      </c>
      <c r="F6152" s="58"/>
      <c r="G6152" s="58">
        <f t="shared" si="101"/>
        <v>-20000</v>
      </c>
      <c r="H6152" s="121" t="s">
        <v>4155</v>
      </c>
    </row>
    <row r="6153" spans="1:8" ht="15" x14ac:dyDescent="0.2">
      <c r="A6153" s="597">
        <v>43405</v>
      </c>
      <c r="B6153" s="41" t="s">
        <v>16</v>
      </c>
      <c r="C6153" s="63" t="s">
        <v>794</v>
      </c>
      <c r="D6153" s="108" t="s">
        <v>2283</v>
      </c>
      <c r="E6153" s="58">
        <v>24737.903225806451</v>
      </c>
      <c r="F6153" s="58"/>
      <c r="G6153" s="58">
        <f t="shared" si="101"/>
        <v>-24737.903225806451</v>
      </c>
      <c r="H6153" s="121" t="s">
        <v>4155</v>
      </c>
    </row>
    <row r="6154" spans="1:8" ht="15" x14ac:dyDescent="0.2">
      <c r="A6154" s="597">
        <v>43405</v>
      </c>
      <c r="B6154" s="41" t="s">
        <v>16</v>
      </c>
      <c r="C6154" s="63" t="s">
        <v>794</v>
      </c>
      <c r="D6154" s="108" t="s">
        <v>4074</v>
      </c>
      <c r="E6154" s="58">
        <v>18000</v>
      </c>
      <c r="F6154" s="58"/>
      <c r="G6154" s="58">
        <f t="shared" si="101"/>
        <v>-18000</v>
      </c>
      <c r="H6154" s="121" t="s">
        <v>4155</v>
      </c>
    </row>
    <row r="6155" spans="1:8" ht="15" x14ac:dyDescent="0.2">
      <c r="A6155" s="597">
        <v>43405</v>
      </c>
      <c r="B6155" s="41" t="s">
        <v>16</v>
      </c>
      <c r="C6155" s="63" t="s">
        <v>794</v>
      </c>
      <c r="D6155" s="108" t="s">
        <v>3230</v>
      </c>
      <c r="E6155" s="58">
        <v>14000</v>
      </c>
      <c r="F6155" s="58"/>
      <c r="G6155" s="58">
        <f t="shared" si="101"/>
        <v>-14000</v>
      </c>
      <c r="H6155" s="121" t="s">
        <v>4155</v>
      </c>
    </row>
    <row r="6156" spans="1:8" ht="15" x14ac:dyDescent="0.2">
      <c r="A6156" s="597">
        <v>43405</v>
      </c>
      <c r="B6156" s="41" t="s">
        <v>16</v>
      </c>
      <c r="C6156" s="63" t="s">
        <v>794</v>
      </c>
      <c r="D6156" s="108" t="s">
        <v>3611</v>
      </c>
      <c r="E6156" s="58">
        <v>5000</v>
      </c>
      <c r="F6156" s="58"/>
      <c r="G6156" s="58">
        <f t="shared" si="101"/>
        <v>-5000</v>
      </c>
      <c r="H6156" s="121" t="s">
        <v>4155</v>
      </c>
    </row>
    <row r="6157" spans="1:8" ht="15" x14ac:dyDescent="0.2">
      <c r="A6157" s="597">
        <v>43405</v>
      </c>
      <c r="B6157" s="41" t="s">
        <v>16</v>
      </c>
      <c r="C6157" s="63" t="s">
        <v>794</v>
      </c>
      <c r="D6157" s="108" t="s">
        <v>3612</v>
      </c>
      <c r="E6157" s="58">
        <v>14500</v>
      </c>
      <c r="F6157" s="58"/>
      <c r="G6157" s="58">
        <f t="shared" si="101"/>
        <v>-14500</v>
      </c>
      <c r="H6157" s="121" t="s">
        <v>4155</v>
      </c>
    </row>
    <row r="6158" spans="1:8" ht="15" x14ac:dyDescent="0.2">
      <c r="A6158" s="597">
        <v>43405</v>
      </c>
      <c r="B6158" s="41" t="s">
        <v>3945</v>
      </c>
      <c r="C6158" s="63" t="s">
        <v>794</v>
      </c>
      <c r="D6158" s="108" t="s">
        <v>2282</v>
      </c>
      <c r="E6158" s="58">
        <v>46699.596774193546</v>
      </c>
      <c r="F6158" s="58"/>
      <c r="G6158" s="58">
        <f t="shared" si="101"/>
        <v>-46699.596774193546</v>
      </c>
      <c r="H6158" s="121" t="s">
        <v>4155</v>
      </c>
    </row>
    <row r="6159" spans="1:8" ht="15" x14ac:dyDescent="0.2">
      <c r="A6159" s="597">
        <v>43405</v>
      </c>
      <c r="B6159" s="41" t="s">
        <v>3945</v>
      </c>
      <c r="C6159" s="63" t="s">
        <v>794</v>
      </c>
      <c r="D6159" s="108" t="s">
        <v>2758</v>
      </c>
      <c r="E6159" s="58">
        <v>21699.677419354841</v>
      </c>
      <c r="F6159" s="58"/>
      <c r="G6159" s="58">
        <f t="shared" si="101"/>
        <v>-21699.677419354841</v>
      </c>
      <c r="H6159" s="121" t="s">
        <v>4155</v>
      </c>
    </row>
    <row r="6160" spans="1:8" ht="15" x14ac:dyDescent="0.2">
      <c r="A6160" s="597">
        <v>43405</v>
      </c>
      <c r="B6160" s="41" t="s">
        <v>3945</v>
      </c>
      <c r="C6160" s="63" t="s">
        <v>794</v>
      </c>
      <c r="D6160" s="108" t="s">
        <v>3236</v>
      </c>
      <c r="E6160" s="58">
        <v>18600</v>
      </c>
      <c r="F6160" s="58"/>
      <c r="G6160" s="58">
        <f t="shared" si="101"/>
        <v>-18600</v>
      </c>
      <c r="H6160" s="121" t="s">
        <v>4155</v>
      </c>
    </row>
    <row r="6161" spans="1:8" ht="15" x14ac:dyDescent="0.2">
      <c r="A6161" s="597">
        <v>43405</v>
      </c>
      <c r="B6161" s="41" t="s">
        <v>3945</v>
      </c>
      <c r="C6161" s="63" t="s">
        <v>794</v>
      </c>
      <c r="D6161" s="108" t="s">
        <v>4005</v>
      </c>
      <c r="E6161" s="58">
        <v>17500.403225806451</v>
      </c>
      <c r="F6161" s="58"/>
      <c r="G6161" s="58">
        <f t="shared" si="101"/>
        <v>-17500.403225806451</v>
      </c>
      <c r="H6161" s="121" t="s">
        <v>4155</v>
      </c>
    </row>
    <row r="6162" spans="1:8" ht="15" x14ac:dyDescent="0.2">
      <c r="A6162" s="597">
        <v>43405</v>
      </c>
      <c r="B6162" s="41" t="s">
        <v>3945</v>
      </c>
      <c r="C6162" s="63" t="s">
        <v>794</v>
      </c>
      <c r="D6162" s="108" t="s">
        <v>3841</v>
      </c>
      <c r="E6162" s="58">
        <v>25749.999999999996</v>
      </c>
      <c r="F6162" s="58"/>
      <c r="G6162" s="58">
        <f t="shared" si="101"/>
        <v>-25749.999999999996</v>
      </c>
      <c r="H6162" s="121" t="s">
        <v>4155</v>
      </c>
    </row>
    <row r="6163" spans="1:8" ht="15" x14ac:dyDescent="0.2">
      <c r="A6163" s="597">
        <v>43405</v>
      </c>
      <c r="B6163" s="41" t="s">
        <v>3945</v>
      </c>
      <c r="C6163" s="63" t="s">
        <v>794</v>
      </c>
      <c r="D6163" s="108" t="s">
        <v>4075</v>
      </c>
      <c r="E6163" s="58">
        <v>17650.403225806451</v>
      </c>
      <c r="F6163" s="58"/>
      <c r="G6163" s="58">
        <f t="shared" si="101"/>
        <v>-17650.403225806451</v>
      </c>
      <c r="H6163" s="121" t="s">
        <v>4155</v>
      </c>
    </row>
    <row r="6164" spans="1:8" ht="15" x14ac:dyDescent="0.2">
      <c r="A6164" s="597">
        <v>43405</v>
      </c>
      <c r="B6164" s="41" t="s">
        <v>3945</v>
      </c>
      <c r="C6164" s="63" t="s">
        <v>794</v>
      </c>
      <c r="D6164" s="108" t="s">
        <v>4076</v>
      </c>
      <c r="E6164" s="58">
        <v>24400.16129032258</v>
      </c>
      <c r="F6164" s="58"/>
      <c r="G6164" s="58">
        <f t="shared" si="101"/>
        <v>-24400.16129032258</v>
      </c>
      <c r="H6164" s="121" t="s">
        <v>4155</v>
      </c>
    </row>
    <row r="6165" spans="1:8" ht="15" x14ac:dyDescent="0.2">
      <c r="A6165" s="597">
        <v>43405</v>
      </c>
      <c r="B6165" s="41" t="s">
        <v>3946</v>
      </c>
      <c r="C6165" s="63" t="s">
        <v>794</v>
      </c>
      <c r="D6165" s="108" t="s">
        <v>4077</v>
      </c>
      <c r="E6165" s="58">
        <v>36699.596774193553</v>
      </c>
      <c r="F6165" s="58"/>
      <c r="G6165" s="58">
        <f t="shared" si="101"/>
        <v>-36699.596774193553</v>
      </c>
      <c r="H6165" s="121" t="s">
        <v>4155</v>
      </c>
    </row>
    <row r="6166" spans="1:8" ht="15" x14ac:dyDescent="0.2">
      <c r="A6166" s="597">
        <v>43405</v>
      </c>
      <c r="B6166" s="41" t="s">
        <v>3946</v>
      </c>
      <c r="C6166" s="63" t="s">
        <v>794</v>
      </c>
      <c r="D6166" s="108" t="s">
        <v>4191</v>
      </c>
      <c r="E6166" s="58">
        <v>9399.677419354839</v>
      </c>
      <c r="F6166" s="58"/>
      <c r="G6166" s="58">
        <f t="shared" si="101"/>
        <v>-9399.677419354839</v>
      </c>
      <c r="H6166" s="121" t="s">
        <v>4155</v>
      </c>
    </row>
    <row r="6167" spans="1:8" ht="15" x14ac:dyDescent="0.2">
      <c r="A6167" s="597">
        <v>43405</v>
      </c>
      <c r="B6167" s="41" t="s">
        <v>3946</v>
      </c>
      <c r="C6167" s="63" t="s">
        <v>794</v>
      </c>
      <c r="D6167" s="108" t="s">
        <v>4192</v>
      </c>
      <c r="E6167" s="58">
        <v>17799.596774193546</v>
      </c>
      <c r="F6167" s="58"/>
      <c r="G6167" s="58">
        <f t="shared" si="101"/>
        <v>-17799.596774193546</v>
      </c>
      <c r="H6167" s="121" t="s">
        <v>4155</v>
      </c>
    </row>
    <row r="6168" spans="1:8" ht="15" x14ac:dyDescent="0.2">
      <c r="A6168" s="597">
        <v>43405</v>
      </c>
      <c r="B6168" s="41" t="s">
        <v>3946</v>
      </c>
      <c r="C6168" s="63" t="s">
        <v>794</v>
      </c>
      <c r="D6168" s="108" t="s">
        <v>4193</v>
      </c>
      <c r="E6168" s="58">
        <v>7300</v>
      </c>
      <c r="F6168" s="58"/>
      <c r="G6168" s="58">
        <f t="shared" si="101"/>
        <v>-7300</v>
      </c>
      <c r="H6168" s="121" t="s">
        <v>4155</v>
      </c>
    </row>
    <row r="6169" spans="1:8" ht="15" x14ac:dyDescent="0.2">
      <c r="A6169" s="597">
        <v>43405</v>
      </c>
      <c r="B6169" s="41" t="s">
        <v>3946</v>
      </c>
      <c r="C6169" s="63" t="s">
        <v>794</v>
      </c>
      <c r="D6169" s="108" t="s">
        <v>4194</v>
      </c>
      <c r="E6169" s="58">
        <v>3949.6774193548385</v>
      </c>
      <c r="F6169" s="58"/>
      <c r="G6169" s="58">
        <f t="shared" si="101"/>
        <v>-3949.6774193548385</v>
      </c>
      <c r="H6169" s="121" t="s">
        <v>4155</v>
      </c>
    </row>
    <row r="6170" spans="1:8" ht="15" x14ac:dyDescent="0.2">
      <c r="A6170" s="597">
        <v>43405</v>
      </c>
      <c r="B6170" s="41" t="s">
        <v>3946</v>
      </c>
      <c r="C6170" s="63" t="s">
        <v>794</v>
      </c>
      <c r="D6170" s="108" t="s">
        <v>4195</v>
      </c>
      <c r="E6170" s="58">
        <v>7999.8387096774186</v>
      </c>
      <c r="F6170" s="58"/>
      <c r="G6170" s="58">
        <f t="shared" si="101"/>
        <v>-7999.8387096774186</v>
      </c>
      <c r="H6170" s="121" t="s">
        <v>4155</v>
      </c>
    </row>
    <row r="6171" spans="1:8" ht="15" x14ac:dyDescent="0.2">
      <c r="A6171" s="597">
        <v>43405</v>
      </c>
      <c r="B6171" s="41" t="s">
        <v>3946</v>
      </c>
      <c r="C6171" s="63" t="s">
        <v>794</v>
      </c>
      <c r="D6171" s="108" t="s">
        <v>1565</v>
      </c>
      <c r="E6171" s="58">
        <v>27850.403225806451</v>
      </c>
      <c r="F6171" s="58"/>
      <c r="G6171" s="58">
        <f t="shared" si="101"/>
        <v>-27850.403225806451</v>
      </c>
      <c r="H6171" s="121" t="s">
        <v>4155</v>
      </c>
    </row>
    <row r="6172" spans="1:8" ht="15" x14ac:dyDescent="0.2">
      <c r="A6172" s="597">
        <v>43405</v>
      </c>
      <c r="B6172" s="41" t="s">
        <v>3946</v>
      </c>
      <c r="C6172" s="63" t="s">
        <v>794</v>
      </c>
      <c r="D6172" s="108" t="s">
        <v>4079</v>
      </c>
      <c r="E6172" s="58">
        <v>19150</v>
      </c>
      <c r="F6172" s="58"/>
      <c r="G6172" s="58">
        <f t="shared" si="101"/>
        <v>-19150</v>
      </c>
      <c r="H6172" s="121" t="s">
        <v>4155</v>
      </c>
    </row>
    <row r="6173" spans="1:8" ht="15" x14ac:dyDescent="0.2">
      <c r="A6173" s="597">
        <v>43405</v>
      </c>
      <c r="B6173" s="41" t="s">
        <v>3946</v>
      </c>
      <c r="C6173" s="63" t="s">
        <v>794</v>
      </c>
      <c r="D6173" s="108" t="s">
        <v>4081</v>
      </c>
      <c r="E6173" s="58">
        <v>22200.241935483871</v>
      </c>
      <c r="F6173" s="58"/>
      <c r="G6173" s="58">
        <f t="shared" si="101"/>
        <v>-22200.241935483871</v>
      </c>
      <c r="H6173" s="121" t="s">
        <v>4155</v>
      </c>
    </row>
    <row r="6174" spans="1:8" ht="15" x14ac:dyDescent="0.2">
      <c r="A6174" s="597">
        <v>43405</v>
      </c>
      <c r="B6174" s="41" t="s">
        <v>3946</v>
      </c>
      <c r="C6174" s="63" t="s">
        <v>794</v>
      </c>
      <c r="D6174" s="108" t="s">
        <v>4082</v>
      </c>
      <c r="E6174" s="58">
        <v>15749.677419354839</v>
      </c>
      <c r="F6174" s="58"/>
      <c r="G6174" s="58">
        <f t="shared" si="101"/>
        <v>-15749.677419354839</v>
      </c>
      <c r="H6174" s="121" t="s">
        <v>4155</v>
      </c>
    </row>
    <row r="6175" spans="1:8" ht="15" x14ac:dyDescent="0.2">
      <c r="A6175" s="597">
        <v>43405</v>
      </c>
      <c r="B6175" s="41" t="s">
        <v>1400</v>
      </c>
      <c r="C6175" s="63" t="s">
        <v>794</v>
      </c>
      <c r="D6175" s="108" t="s">
        <v>1858</v>
      </c>
      <c r="E6175" s="58">
        <v>38000</v>
      </c>
      <c r="F6175" s="58"/>
      <c r="G6175" s="58">
        <f t="shared" si="101"/>
        <v>-38000</v>
      </c>
      <c r="H6175" s="121" t="s">
        <v>4155</v>
      </c>
    </row>
    <row r="6176" spans="1:8" ht="15" x14ac:dyDescent="0.2">
      <c r="A6176" s="597">
        <v>43405</v>
      </c>
      <c r="B6176" s="41" t="s">
        <v>1400</v>
      </c>
      <c r="C6176" s="63" t="s">
        <v>794</v>
      </c>
      <c r="D6176" s="108" t="s">
        <v>2482</v>
      </c>
      <c r="E6176" s="58">
        <v>22701.612903225807</v>
      </c>
      <c r="F6176" s="58"/>
      <c r="G6176" s="58">
        <f t="shared" si="101"/>
        <v>-22701.612903225807</v>
      </c>
      <c r="H6176" s="121" t="s">
        <v>4155</v>
      </c>
    </row>
    <row r="6177" spans="1:8" ht="15" x14ac:dyDescent="0.2">
      <c r="A6177" s="597">
        <v>43405</v>
      </c>
      <c r="B6177" s="41" t="s">
        <v>1400</v>
      </c>
      <c r="C6177" s="63" t="s">
        <v>794</v>
      </c>
      <c r="D6177" s="108" t="s">
        <v>1550</v>
      </c>
      <c r="E6177" s="58">
        <v>19870.967741935481</v>
      </c>
      <c r="F6177" s="58"/>
      <c r="G6177" s="58">
        <f t="shared" si="101"/>
        <v>-19870.967741935481</v>
      </c>
      <c r="H6177" s="121" t="s">
        <v>4155</v>
      </c>
    </row>
    <row r="6178" spans="1:8" ht="15" x14ac:dyDescent="0.2">
      <c r="A6178" s="597">
        <v>43405</v>
      </c>
      <c r="B6178" s="41" t="s">
        <v>1400</v>
      </c>
      <c r="C6178" s="63" t="s">
        <v>794</v>
      </c>
      <c r="D6178" s="108" t="s">
        <v>1852</v>
      </c>
      <c r="E6178" s="58">
        <v>26008.064516129034</v>
      </c>
      <c r="F6178" s="58"/>
      <c r="G6178" s="58">
        <f t="shared" si="101"/>
        <v>-26008.064516129034</v>
      </c>
      <c r="H6178" s="121" t="s">
        <v>4155</v>
      </c>
    </row>
    <row r="6179" spans="1:8" ht="15" x14ac:dyDescent="0.2">
      <c r="A6179" s="597">
        <v>43405</v>
      </c>
      <c r="B6179" s="41" t="s">
        <v>1400</v>
      </c>
      <c r="C6179" s="63" t="s">
        <v>794</v>
      </c>
      <c r="D6179" s="108" t="s">
        <v>1871</v>
      </c>
      <c r="E6179" s="58">
        <v>37000</v>
      </c>
      <c r="F6179" s="58"/>
      <c r="G6179" s="58">
        <f t="shared" si="101"/>
        <v>-37000</v>
      </c>
      <c r="H6179" s="121" t="s">
        <v>4155</v>
      </c>
    </row>
    <row r="6180" spans="1:8" ht="15" x14ac:dyDescent="0.2">
      <c r="A6180" s="597">
        <v>43405</v>
      </c>
      <c r="B6180" s="41" t="s">
        <v>1400</v>
      </c>
      <c r="C6180" s="63" t="s">
        <v>794</v>
      </c>
      <c r="D6180" s="108" t="s">
        <v>3234</v>
      </c>
      <c r="E6180" s="58">
        <v>15000</v>
      </c>
      <c r="F6180" s="58"/>
      <c r="G6180" s="58">
        <f t="shared" si="101"/>
        <v>-15000</v>
      </c>
      <c r="H6180" s="121" t="s">
        <v>4155</v>
      </c>
    </row>
    <row r="6181" spans="1:8" ht="15" x14ac:dyDescent="0.2">
      <c r="A6181" s="597">
        <v>43405</v>
      </c>
      <c r="B6181" s="41" t="s">
        <v>1400</v>
      </c>
      <c r="C6181" s="63" t="s">
        <v>794</v>
      </c>
      <c r="D6181" s="108" t="s">
        <v>3491</v>
      </c>
      <c r="E6181" s="58">
        <v>18290.322580645163</v>
      </c>
      <c r="F6181" s="58"/>
      <c r="G6181" s="58">
        <f t="shared" si="101"/>
        <v>-18290.322580645163</v>
      </c>
      <c r="H6181" s="121" t="s">
        <v>4155</v>
      </c>
    </row>
    <row r="6182" spans="1:8" ht="15" x14ac:dyDescent="0.2">
      <c r="A6182" s="597">
        <v>43405</v>
      </c>
      <c r="B6182" s="41" t="s">
        <v>1400</v>
      </c>
      <c r="C6182" s="63" t="s">
        <v>794</v>
      </c>
      <c r="D6182" s="108" t="s">
        <v>1542</v>
      </c>
      <c r="E6182" s="58">
        <v>3419.354838709678</v>
      </c>
      <c r="F6182" s="58"/>
      <c r="G6182" s="58">
        <f t="shared" si="101"/>
        <v>-3419.354838709678</v>
      </c>
      <c r="H6182" s="121" t="s">
        <v>4155</v>
      </c>
    </row>
    <row r="6183" spans="1:8" ht="15" x14ac:dyDescent="0.2">
      <c r="A6183" s="597">
        <v>43405</v>
      </c>
      <c r="B6183" s="41" t="s">
        <v>1400</v>
      </c>
      <c r="C6183" s="63" t="s">
        <v>794</v>
      </c>
      <c r="D6183" s="108" t="s">
        <v>1862</v>
      </c>
      <c r="E6183" s="58">
        <v>16673.387096774193</v>
      </c>
      <c r="F6183" s="58"/>
      <c r="G6183" s="58">
        <f t="shared" si="101"/>
        <v>-16673.387096774193</v>
      </c>
      <c r="H6183" s="121" t="s">
        <v>4155</v>
      </c>
    </row>
    <row r="6184" spans="1:8" ht="15" x14ac:dyDescent="0.2">
      <c r="A6184" s="597">
        <v>43405</v>
      </c>
      <c r="B6184" s="41" t="s">
        <v>1400</v>
      </c>
      <c r="C6184" s="63" t="s">
        <v>794</v>
      </c>
      <c r="D6184" s="108" t="s">
        <v>1850</v>
      </c>
      <c r="E6184" s="58">
        <v>7387.0967741935492</v>
      </c>
      <c r="F6184" s="58"/>
      <c r="G6184" s="58">
        <f t="shared" si="101"/>
        <v>-7387.0967741935492</v>
      </c>
      <c r="H6184" s="121" t="s">
        <v>4155</v>
      </c>
    </row>
    <row r="6185" spans="1:8" ht="15" x14ac:dyDescent="0.2">
      <c r="A6185" s="597">
        <v>43405</v>
      </c>
      <c r="B6185" s="41" t="s">
        <v>1400</v>
      </c>
      <c r="C6185" s="63" t="s">
        <v>794</v>
      </c>
      <c r="D6185" s="108" t="s">
        <v>3492</v>
      </c>
      <c r="E6185" s="58">
        <v>2701.6129032258068</v>
      </c>
      <c r="F6185" s="58"/>
      <c r="G6185" s="58">
        <f t="shared" si="101"/>
        <v>-2701.6129032258068</v>
      </c>
      <c r="H6185" s="121" t="s">
        <v>4155</v>
      </c>
    </row>
    <row r="6186" spans="1:8" ht="15" x14ac:dyDescent="0.2">
      <c r="A6186" s="597">
        <v>43405</v>
      </c>
      <c r="B6186" s="41" t="s">
        <v>1400</v>
      </c>
      <c r="C6186" s="63" t="s">
        <v>794</v>
      </c>
      <c r="D6186" s="108" t="s">
        <v>3068</v>
      </c>
      <c r="E6186" s="58">
        <v>8935.4838709677424</v>
      </c>
      <c r="F6186" s="58"/>
      <c r="G6186" s="58">
        <f t="shared" si="101"/>
        <v>-8935.4838709677424</v>
      </c>
      <c r="H6186" s="121" t="s">
        <v>4155</v>
      </c>
    </row>
    <row r="6187" spans="1:8" ht="15" x14ac:dyDescent="0.2">
      <c r="A6187" s="597">
        <v>43405</v>
      </c>
      <c r="B6187" s="41" t="s">
        <v>1400</v>
      </c>
      <c r="C6187" s="63" t="s">
        <v>794</v>
      </c>
      <c r="D6187" s="108" t="s">
        <v>4006</v>
      </c>
      <c r="E6187" s="58">
        <v>3120.9677419354848</v>
      </c>
      <c r="F6187" s="58"/>
      <c r="G6187" s="58">
        <f t="shared" si="101"/>
        <v>-3120.9677419354848</v>
      </c>
      <c r="H6187" s="121" t="s">
        <v>4155</v>
      </c>
    </row>
    <row r="6188" spans="1:8" ht="15" x14ac:dyDescent="0.2">
      <c r="A6188" s="597">
        <v>43405</v>
      </c>
      <c r="B6188" s="41" t="s">
        <v>1400</v>
      </c>
      <c r="C6188" s="63" t="s">
        <v>794</v>
      </c>
      <c r="D6188" s="108" t="s">
        <v>2481</v>
      </c>
      <c r="E6188" s="58">
        <v>8439.5967741935474</v>
      </c>
      <c r="F6188" s="58"/>
      <c r="G6188" s="58">
        <f t="shared" si="101"/>
        <v>-8439.5967741935474</v>
      </c>
      <c r="H6188" s="121" t="s">
        <v>4155</v>
      </c>
    </row>
    <row r="6189" spans="1:8" ht="15" x14ac:dyDescent="0.2">
      <c r="A6189" s="597">
        <v>43405</v>
      </c>
      <c r="B6189" s="41" t="s">
        <v>6516</v>
      </c>
      <c r="C6189" s="63" t="s">
        <v>794</v>
      </c>
      <c r="D6189" s="108" t="s">
        <v>1855</v>
      </c>
      <c r="E6189" s="58">
        <v>21108.870967741936</v>
      </c>
      <c r="F6189" s="58"/>
      <c r="G6189" s="58">
        <f t="shared" si="101"/>
        <v>-21108.870967741936</v>
      </c>
      <c r="H6189" s="121" t="s">
        <v>4155</v>
      </c>
    </row>
    <row r="6190" spans="1:8" ht="15" x14ac:dyDescent="0.2">
      <c r="A6190" s="597">
        <v>43405</v>
      </c>
      <c r="B6190" s="41" t="s">
        <v>6516</v>
      </c>
      <c r="C6190" s="63" t="s">
        <v>794</v>
      </c>
      <c r="D6190" s="108" t="s">
        <v>1861</v>
      </c>
      <c r="E6190" s="58">
        <v>17612.903225806451</v>
      </c>
      <c r="F6190" s="58"/>
      <c r="G6190" s="58">
        <f t="shared" si="101"/>
        <v>-17612.903225806451</v>
      </c>
      <c r="H6190" s="121" t="s">
        <v>4155</v>
      </c>
    </row>
    <row r="6191" spans="1:8" ht="15" x14ac:dyDescent="0.2">
      <c r="A6191" s="597">
        <v>43405</v>
      </c>
      <c r="B6191" s="41" t="s">
        <v>6516</v>
      </c>
      <c r="C6191" s="63" t="s">
        <v>794</v>
      </c>
      <c r="D6191" s="108" t="s">
        <v>1849</v>
      </c>
      <c r="E6191" s="58">
        <v>15760</v>
      </c>
      <c r="F6191" s="58"/>
      <c r="G6191" s="58">
        <f t="shared" si="101"/>
        <v>-15760</v>
      </c>
      <c r="H6191" s="121" t="s">
        <v>4155</v>
      </c>
    </row>
    <row r="6192" spans="1:8" ht="15" x14ac:dyDescent="0.2">
      <c r="A6192" s="597">
        <v>43405</v>
      </c>
      <c r="B6192" s="41" t="s">
        <v>6516</v>
      </c>
      <c r="C6192" s="63" t="s">
        <v>794</v>
      </c>
      <c r="D6192" s="108" t="s">
        <v>3615</v>
      </c>
      <c r="E6192" s="58">
        <v>12556.451612903227</v>
      </c>
      <c r="F6192" s="58"/>
      <c r="G6192" s="58">
        <f t="shared" si="101"/>
        <v>-12556.451612903227</v>
      </c>
      <c r="H6192" s="121" t="s">
        <v>4155</v>
      </c>
    </row>
    <row r="6193" spans="1:8" ht="15" x14ac:dyDescent="0.2">
      <c r="A6193" s="597">
        <v>43405</v>
      </c>
      <c r="B6193" s="41" t="s">
        <v>6516</v>
      </c>
      <c r="C6193" s="63" t="s">
        <v>794</v>
      </c>
      <c r="D6193" s="108" t="s">
        <v>4196</v>
      </c>
      <c r="E6193" s="58">
        <v>5400</v>
      </c>
      <c r="F6193" s="58"/>
      <c r="G6193" s="58">
        <f t="shared" si="101"/>
        <v>-5400</v>
      </c>
      <c r="H6193" s="121" t="s">
        <v>4155</v>
      </c>
    </row>
    <row r="6194" spans="1:8" ht="15" x14ac:dyDescent="0.2">
      <c r="A6194" s="597">
        <v>43405</v>
      </c>
      <c r="B6194" s="41" t="s">
        <v>6516</v>
      </c>
      <c r="C6194" s="63" t="s">
        <v>794</v>
      </c>
      <c r="D6194" s="108" t="s">
        <v>4007</v>
      </c>
      <c r="E6194" s="58">
        <v>11069.758064516129</v>
      </c>
      <c r="F6194" s="58"/>
      <c r="G6194" s="58">
        <f t="shared" si="101"/>
        <v>-11069.758064516129</v>
      </c>
      <c r="H6194" s="121" t="s">
        <v>4155</v>
      </c>
    </row>
    <row r="6195" spans="1:8" ht="15" x14ac:dyDescent="0.2">
      <c r="A6195" s="597">
        <v>43405</v>
      </c>
      <c r="B6195" s="41" t="s">
        <v>37</v>
      </c>
      <c r="C6195" s="63" t="s">
        <v>794</v>
      </c>
      <c r="D6195" s="108" t="s">
        <v>1866</v>
      </c>
      <c r="E6195" s="58">
        <v>16000</v>
      </c>
      <c r="F6195" s="58"/>
      <c r="G6195" s="58">
        <f t="shared" si="101"/>
        <v>-16000</v>
      </c>
      <c r="H6195" s="121" t="s">
        <v>4155</v>
      </c>
    </row>
    <row r="6196" spans="1:8" ht="15" x14ac:dyDescent="0.2">
      <c r="A6196" s="597">
        <v>43405</v>
      </c>
      <c r="B6196" s="41" t="s">
        <v>37</v>
      </c>
      <c r="C6196" s="63" t="s">
        <v>794</v>
      </c>
      <c r="D6196" s="108" t="s">
        <v>1867</v>
      </c>
      <c r="E6196" s="58">
        <v>13782.258064516129</v>
      </c>
      <c r="F6196" s="58"/>
      <c r="G6196" s="58">
        <f t="shared" si="101"/>
        <v>-13782.258064516129</v>
      </c>
      <c r="H6196" s="121" t="s">
        <v>4155</v>
      </c>
    </row>
    <row r="6197" spans="1:8" ht="15" x14ac:dyDescent="0.2">
      <c r="A6197" s="597">
        <v>43405</v>
      </c>
      <c r="B6197" s="41" t="s">
        <v>37</v>
      </c>
      <c r="C6197" s="63" t="s">
        <v>794</v>
      </c>
      <c r="D6197" s="108" t="s">
        <v>1868</v>
      </c>
      <c r="E6197" s="58">
        <v>20070.262096774193</v>
      </c>
      <c r="F6197" s="58"/>
      <c r="G6197" s="58">
        <f t="shared" ref="G6197:G6260" si="102">F6197-E6197</f>
        <v>-20070.262096774193</v>
      </c>
      <c r="H6197" s="121" t="s">
        <v>4155</v>
      </c>
    </row>
    <row r="6198" spans="1:8" ht="15" x14ac:dyDescent="0.2">
      <c r="A6198" s="597">
        <v>43405</v>
      </c>
      <c r="B6198" s="41" t="s">
        <v>37</v>
      </c>
      <c r="C6198" s="63" t="s">
        <v>794</v>
      </c>
      <c r="D6198" s="108" t="s">
        <v>4197</v>
      </c>
      <c r="E6198" s="58">
        <v>4645.1612903225814</v>
      </c>
      <c r="F6198" s="58"/>
      <c r="G6198" s="58">
        <f t="shared" si="102"/>
        <v>-4645.1612903225814</v>
      </c>
      <c r="H6198" s="121" t="s">
        <v>4155</v>
      </c>
    </row>
    <row r="6199" spans="1:8" ht="15" x14ac:dyDescent="0.2">
      <c r="A6199" s="597">
        <v>43405</v>
      </c>
      <c r="B6199" s="41" t="s">
        <v>37</v>
      </c>
      <c r="C6199" s="63" t="s">
        <v>794</v>
      </c>
      <c r="D6199" s="108" t="s">
        <v>4083</v>
      </c>
      <c r="E6199" s="58">
        <v>7653.2258064516136</v>
      </c>
      <c r="F6199" s="58"/>
      <c r="G6199" s="58">
        <f t="shared" si="102"/>
        <v>-7653.2258064516136</v>
      </c>
      <c r="H6199" s="121" t="s">
        <v>4155</v>
      </c>
    </row>
    <row r="6200" spans="1:8" ht="15" x14ac:dyDescent="0.2">
      <c r="A6200" s="597">
        <v>43405</v>
      </c>
      <c r="B6200" s="41" t="s">
        <v>37</v>
      </c>
      <c r="C6200" s="63" t="s">
        <v>794</v>
      </c>
      <c r="D6200" s="108" t="s">
        <v>4198</v>
      </c>
      <c r="E6200" s="58">
        <v>1548.3870967741937</v>
      </c>
      <c r="F6200" s="58"/>
      <c r="G6200" s="58">
        <f t="shared" si="102"/>
        <v>-1548.3870967741937</v>
      </c>
      <c r="H6200" s="121" t="s">
        <v>4155</v>
      </c>
    </row>
    <row r="6201" spans="1:8" ht="15" x14ac:dyDescent="0.2">
      <c r="A6201" s="597">
        <v>43405</v>
      </c>
      <c r="B6201" s="41" t="s">
        <v>37</v>
      </c>
      <c r="C6201" s="63" t="s">
        <v>794</v>
      </c>
      <c r="D6201" s="108" t="s">
        <v>1240</v>
      </c>
      <c r="E6201" s="58">
        <v>26949.798387096773</v>
      </c>
      <c r="F6201" s="58"/>
      <c r="G6201" s="58">
        <f t="shared" si="102"/>
        <v>-26949.798387096773</v>
      </c>
      <c r="H6201" s="121" t="s">
        <v>4155</v>
      </c>
    </row>
    <row r="6202" spans="1:8" ht="15" x14ac:dyDescent="0.2">
      <c r="A6202" s="597">
        <v>43405</v>
      </c>
      <c r="B6202" s="41" t="s">
        <v>2933</v>
      </c>
      <c r="C6202" s="63" t="s">
        <v>794</v>
      </c>
      <c r="D6202" s="108" t="s">
        <v>1845</v>
      </c>
      <c r="E6202" s="58">
        <v>24349.596774193553</v>
      </c>
      <c r="F6202" s="58"/>
      <c r="G6202" s="58">
        <f t="shared" si="102"/>
        <v>-24349.596774193553</v>
      </c>
      <c r="H6202" s="121" t="s">
        <v>4155</v>
      </c>
    </row>
    <row r="6203" spans="1:8" ht="15" x14ac:dyDescent="0.2">
      <c r="A6203" s="597">
        <v>43405</v>
      </c>
      <c r="B6203" s="41" t="s">
        <v>2933</v>
      </c>
      <c r="C6203" s="63" t="s">
        <v>794</v>
      </c>
      <c r="D6203" s="108" t="s">
        <v>668</v>
      </c>
      <c r="E6203" s="58">
        <v>15250</v>
      </c>
      <c r="F6203" s="58"/>
      <c r="G6203" s="58">
        <f t="shared" si="102"/>
        <v>-15250</v>
      </c>
      <c r="H6203" s="121" t="s">
        <v>4155</v>
      </c>
    </row>
    <row r="6204" spans="1:8" ht="15" x14ac:dyDescent="0.2">
      <c r="A6204" s="597">
        <v>43405</v>
      </c>
      <c r="B6204" s="41" t="s">
        <v>2933</v>
      </c>
      <c r="C6204" s="63" t="s">
        <v>794</v>
      </c>
      <c r="D6204" s="108" t="s">
        <v>1859</v>
      </c>
      <c r="E6204" s="58">
        <v>15661.290322580644</v>
      </c>
      <c r="F6204" s="58"/>
      <c r="G6204" s="58">
        <f t="shared" si="102"/>
        <v>-15661.290322580644</v>
      </c>
      <c r="H6204" s="121" t="s">
        <v>4155</v>
      </c>
    </row>
    <row r="6205" spans="1:8" ht="15" x14ac:dyDescent="0.2">
      <c r="A6205" s="597">
        <v>43405</v>
      </c>
      <c r="B6205" s="41" t="s">
        <v>2933</v>
      </c>
      <c r="C6205" s="63" t="s">
        <v>794</v>
      </c>
      <c r="D6205" s="108" t="s">
        <v>3490</v>
      </c>
      <c r="E6205" s="58">
        <v>8709.677419354839</v>
      </c>
      <c r="F6205" s="58"/>
      <c r="G6205" s="58">
        <f t="shared" si="102"/>
        <v>-8709.677419354839</v>
      </c>
      <c r="H6205" s="121" t="s">
        <v>4155</v>
      </c>
    </row>
    <row r="6206" spans="1:8" ht="15" x14ac:dyDescent="0.2">
      <c r="A6206" s="597">
        <v>43405</v>
      </c>
      <c r="B6206" s="41" t="s">
        <v>2933</v>
      </c>
      <c r="C6206" s="63" t="s">
        <v>794</v>
      </c>
      <c r="D6206" s="108" t="s">
        <v>352</v>
      </c>
      <c r="E6206" s="58">
        <v>11161.290322580646</v>
      </c>
      <c r="F6206" s="58"/>
      <c r="G6206" s="58">
        <f t="shared" si="102"/>
        <v>-11161.290322580646</v>
      </c>
      <c r="H6206" s="121" t="s">
        <v>4155</v>
      </c>
    </row>
    <row r="6207" spans="1:8" ht="15" x14ac:dyDescent="0.2">
      <c r="A6207" s="597">
        <v>43405</v>
      </c>
      <c r="B6207" s="41" t="s">
        <v>2933</v>
      </c>
      <c r="C6207" s="63" t="s">
        <v>794</v>
      </c>
      <c r="D6207" s="108" t="s">
        <v>1864</v>
      </c>
      <c r="E6207" s="58">
        <v>35080.645161290326</v>
      </c>
      <c r="F6207" s="58"/>
      <c r="G6207" s="58">
        <f t="shared" si="102"/>
        <v>-35080.645161290326</v>
      </c>
      <c r="H6207" s="121" t="s">
        <v>4155</v>
      </c>
    </row>
    <row r="6208" spans="1:8" ht="15" x14ac:dyDescent="0.2">
      <c r="A6208" s="597">
        <v>43405</v>
      </c>
      <c r="B6208" s="41" t="s">
        <v>2652</v>
      </c>
      <c r="C6208" s="63" t="s">
        <v>794</v>
      </c>
      <c r="D6208" s="108" t="s">
        <v>3616</v>
      </c>
      <c r="E6208" s="58">
        <v>40000</v>
      </c>
      <c r="F6208" s="58"/>
      <c r="G6208" s="58">
        <f t="shared" si="102"/>
        <v>-40000</v>
      </c>
      <c r="H6208" s="121" t="s">
        <v>4155</v>
      </c>
    </row>
    <row r="6209" spans="1:8" ht="15" x14ac:dyDescent="0.2">
      <c r="A6209" s="597">
        <v>43405</v>
      </c>
      <c r="B6209" s="41" t="s">
        <v>2652</v>
      </c>
      <c r="C6209" s="63" t="s">
        <v>794</v>
      </c>
      <c r="D6209" s="108" t="s">
        <v>1847</v>
      </c>
      <c r="E6209" s="58">
        <v>17096.774193548386</v>
      </c>
      <c r="F6209" s="58"/>
      <c r="G6209" s="58">
        <f t="shared" si="102"/>
        <v>-17096.774193548386</v>
      </c>
      <c r="H6209" s="121" t="s">
        <v>4155</v>
      </c>
    </row>
    <row r="6210" spans="1:8" ht="15" x14ac:dyDescent="0.2">
      <c r="A6210" s="597">
        <v>43405</v>
      </c>
      <c r="B6210" s="41" t="s">
        <v>2652</v>
      </c>
      <c r="C6210" s="63" t="s">
        <v>794</v>
      </c>
      <c r="D6210" s="108" t="s">
        <v>4008</v>
      </c>
      <c r="E6210" s="58">
        <v>15532.258064516129</v>
      </c>
      <c r="F6210" s="58"/>
      <c r="G6210" s="58">
        <f t="shared" si="102"/>
        <v>-15532.258064516129</v>
      </c>
      <c r="H6210" s="121" t="s">
        <v>4155</v>
      </c>
    </row>
    <row r="6211" spans="1:8" ht="15" x14ac:dyDescent="0.2">
      <c r="A6211" s="597">
        <v>43405</v>
      </c>
      <c r="B6211" s="41" t="s">
        <v>2652</v>
      </c>
      <c r="C6211" s="63" t="s">
        <v>794</v>
      </c>
      <c r="D6211" s="108" t="s">
        <v>2280</v>
      </c>
      <c r="E6211" s="58">
        <v>22451.612903225807</v>
      </c>
      <c r="F6211" s="58"/>
      <c r="G6211" s="58">
        <f t="shared" si="102"/>
        <v>-22451.612903225807</v>
      </c>
      <c r="H6211" s="121" t="s">
        <v>4155</v>
      </c>
    </row>
    <row r="6212" spans="1:8" ht="15" x14ac:dyDescent="0.2">
      <c r="A6212" s="597">
        <v>43405</v>
      </c>
      <c r="B6212" s="41" t="s">
        <v>2652</v>
      </c>
      <c r="C6212" s="63" t="s">
        <v>794</v>
      </c>
      <c r="D6212" s="108" t="s">
        <v>3231</v>
      </c>
      <c r="E6212" s="58">
        <v>30362.903225806451</v>
      </c>
      <c r="F6212" s="58"/>
      <c r="G6212" s="58">
        <f t="shared" si="102"/>
        <v>-30362.903225806451</v>
      </c>
      <c r="H6212" s="121" t="s">
        <v>4155</v>
      </c>
    </row>
    <row r="6213" spans="1:8" ht="15" x14ac:dyDescent="0.2">
      <c r="A6213" s="597">
        <v>43405</v>
      </c>
      <c r="B6213" s="41" t="s">
        <v>2652</v>
      </c>
      <c r="C6213" s="63" t="s">
        <v>794</v>
      </c>
      <c r="D6213" s="108" t="s">
        <v>1860</v>
      </c>
      <c r="E6213" s="58">
        <v>17499.919354838712</v>
      </c>
      <c r="F6213" s="58"/>
      <c r="G6213" s="58">
        <f t="shared" si="102"/>
        <v>-17499.919354838712</v>
      </c>
      <c r="H6213" s="121" t="s">
        <v>4155</v>
      </c>
    </row>
    <row r="6214" spans="1:8" ht="15" x14ac:dyDescent="0.2">
      <c r="A6214" s="597">
        <v>43405</v>
      </c>
      <c r="B6214" s="41" t="s">
        <v>2652</v>
      </c>
      <c r="C6214" s="63" t="s">
        <v>794</v>
      </c>
      <c r="D6214" s="108" t="s">
        <v>4011</v>
      </c>
      <c r="E6214" s="58">
        <v>23040.322580645159</v>
      </c>
      <c r="F6214" s="58"/>
      <c r="G6214" s="58">
        <f t="shared" si="102"/>
        <v>-23040.322580645159</v>
      </c>
      <c r="H6214" s="121" t="s">
        <v>4155</v>
      </c>
    </row>
    <row r="6215" spans="1:8" ht="15" x14ac:dyDescent="0.2">
      <c r="A6215" s="597">
        <v>43405</v>
      </c>
      <c r="B6215" s="41" t="s">
        <v>2652</v>
      </c>
      <c r="C6215" s="63" t="s">
        <v>794</v>
      </c>
      <c r="D6215" s="108" t="s">
        <v>4120</v>
      </c>
      <c r="E6215" s="58">
        <v>20330.645161290322</v>
      </c>
      <c r="F6215" s="58"/>
      <c r="G6215" s="58">
        <f t="shared" si="102"/>
        <v>-20330.645161290322</v>
      </c>
      <c r="H6215" s="121" t="s">
        <v>4155</v>
      </c>
    </row>
    <row r="6216" spans="1:8" ht="15" x14ac:dyDescent="0.2">
      <c r="A6216" s="597">
        <v>43405</v>
      </c>
      <c r="B6216" s="41" t="s">
        <v>2652</v>
      </c>
      <c r="C6216" s="63" t="s">
        <v>794</v>
      </c>
      <c r="D6216" s="108" t="s">
        <v>4121</v>
      </c>
      <c r="E6216" s="58">
        <v>18999.999999999996</v>
      </c>
      <c r="F6216" s="58"/>
      <c r="G6216" s="58">
        <f t="shared" si="102"/>
        <v>-18999.999999999996</v>
      </c>
      <c r="H6216" s="121" t="s">
        <v>4155</v>
      </c>
    </row>
    <row r="6217" spans="1:8" ht="15" x14ac:dyDescent="0.2">
      <c r="A6217" s="597">
        <v>43407</v>
      </c>
      <c r="B6217" s="41" t="s">
        <v>2933</v>
      </c>
      <c r="C6217" s="63" t="s">
        <v>4188</v>
      </c>
      <c r="D6217" s="108" t="s">
        <v>4200</v>
      </c>
      <c r="E6217" s="58">
        <v>4000</v>
      </c>
      <c r="F6217" s="58"/>
      <c r="G6217" s="58">
        <f t="shared" si="102"/>
        <v>-4000</v>
      </c>
      <c r="H6217" s="121" t="s">
        <v>4155</v>
      </c>
    </row>
    <row r="6218" spans="1:8" ht="15" x14ac:dyDescent="0.2">
      <c r="A6218" s="597">
        <v>43407</v>
      </c>
      <c r="B6218" s="41" t="s">
        <v>16</v>
      </c>
      <c r="C6218" s="63" t="s">
        <v>3145</v>
      </c>
      <c r="D6218" s="108" t="s">
        <v>4189</v>
      </c>
      <c r="E6218" s="58">
        <v>1400</v>
      </c>
      <c r="F6218" s="58"/>
      <c r="G6218" s="58">
        <f t="shared" si="102"/>
        <v>-1400</v>
      </c>
      <c r="H6218" s="121" t="s">
        <v>4155</v>
      </c>
    </row>
    <row r="6219" spans="1:8" ht="15" x14ac:dyDescent="0.2">
      <c r="A6219" s="597">
        <v>43407</v>
      </c>
      <c r="B6219" s="41" t="s">
        <v>1400</v>
      </c>
      <c r="C6219" s="63" t="s">
        <v>3149</v>
      </c>
      <c r="D6219" s="108" t="s">
        <v>3369</v>
      </c>
      <c r="E6219" s="58">
        <v>300</v>
      </c>
      <c r="F6219" s="58"/>
      <c r="G6219" s="58">
        <f t="shared" si="102"/>
        <v>-300</v>
      </c>
      <c r="H6219" s="121" t="s">
        <v>4155</v>
      </c>
    </row>
    <row r="6220" spans="1:8" ht="15" x14ac:dyDescent="0.2">
      <c r="A6220" s="597">
        <v>43407</v>
      </c>
      <c r="B6220" s="41" t="s">
        <v>2652</v>
      </c>
      <c r="C6220" s="63" t="s">
        <v>3149</v>
      </c>
      <c r="D6220" s="108" t="s">
        <v>3369</v>
      </c>
      <c r="E6220" s="58">
        <v>1060</v>
      </c>
      <c r="F6220" s="58"/>
      <c r="G6220" s="58">
        <f t="shared" si="102"/>
        <v>-1060</v>
      </c>
      <c r="H6220" s="121" t="s">
        <v>4155</v>
      </c>
    </row>
    <row r="6221" spans="1:8" ht="15" x14ac:dyDescent="0.2">
      <c r="A6221" s="597">
        <v>43407</v>
      </c>
      <c r="B6221" s="41" t="s">
        <v>1400</v>
      </c>
      <c r="C6221" s="63" t="s">
        <v>3149</v>
      </c>
      <c r="D6221" s="108" t="s">
        <v>3369</v>
      </c>
      <c r="E6221" s="58">
        <v>480</v>
      </c>
      <c r="F6221" s="58"/>
      <c r="G6221" s="58">
        <f t="shared" si="102"/>
        <v>-480</v>
      </c>
      <c r="H6221" s="121" t="s">
        <v>4155</v>
      </c>
    </row>
    <row r="6222" spans="1:8" ht="15" x14ac:dyDescent="0.2">
      <c r="A6222" s="597">
        <v>43407</v>
      </c>
      <c r="B6222" s="41" t="s">
        <v>16</v>
      </c>
      <c r="C6222" s="63" t="s">
        <v>3791</v>
      </c>
      <c r="D6222" s="108" t="s">
        <v>370</v>
      </c>
      <c r="E6222" s="58">
        <v>4150</v>
      </c>
      <c r="F6222" s="58"/>
      <c r="G6222" s="58">
        <f t="shared" si="102"/>
        <v>-4150</v>
      </c>
      <c r="H6222" s="121" t="s">
        <v>4155</v>
      </c>
    </row>
    <row r="6223" spans="1:8" ht="24" x14ac:dyDescent="0.2">
      <c r="A6223" s="597">
        <v>43412</v>
      </c>
      <c r="B6223" s="41" t="s">
        <v>2933</v>
      </c>
      <c r="C6223" s="63" t="s">
        <v>3145</v>
      </c>
      <c r="D6223" s="129" t="s">
        <v>4199</v>
      </c>
      <c r="E6223" s="126">
        <v>9874</v>
      </c>
      <c r="F6223" s="58"/>
      <c r="G6223" s="126">
        <f t="shared" si="102"/>
        <v>-9874</v>
      </c>
      <c r="H6223" s="121" t="s">
        <v>4155</v>
      </c>
    </row>
    <row r="6224" spans="1:8" ht="15" x14ac:dyDescent="0.2">
      <c r="A6224" s="597">
        <v>43412</v>
      </c>
      <c r="B6224" s="41" t="s">
        <v>1400</v>
      </c>
      <c r="C6224" s="63" t="s">
        <v>3145</v>
      </c>
      <c r="D6224" s="108" t="s">
        <v>4190</v>
      </c>
      <c r="E6224" s="58">
        <v>39100</v>
      </c>
      <c r="F6224" s="58"/>
      <c r="G6224" s="58">
        <f t="shared" si="102"/>
        <v>-39100</v>
      </c>
      <c r="H6224" s="121" t="s">
        <v>4155</v>
      </c>
    </row>
    <row r="6225" spans="1:8" ht="15" x14ac:dyDescent="0.2">
      <c r="A6225" s="597">
        <v>43413</v>
      </c>
      <c r="B6225" s="41" t="s">
        <v>1400</v>
      </c>
      <c r="C6225" s="63" t="s">
        <v>3145</v>
      </c>
      <c r="D6225" s="108" t="s">
        <v>4190</v>
      </c>
      <c r="E6225" s="58">
        <v>15243</v>
      </c>
      <c r="F6225" s="58"/>
      <c r="G6225" s="58">
        <f t="shared" si="102"/>
        <v>-15243</v>
      </c>
      <c r="H6225" s="121" t="s">
        <v>4155</v>
      </c>
    </row>
    <row r="6226" spans="1:8" ht="15" x14ac:dyDescent="0.2">
      <c r="A6226" s="597">
        <v>43413</v>
      </c>
      <c r="B6226" s="41" t="s">
        <v>2933</v>
      </c>
      <c r="C6226" s="63" t="s">
        <v>3145</v>
      </c>
      <c r="D6226" s="108" t="s">
        <v>4207</v>
      </c>
      <c r="E6226" s="58">
        <v>65000</v>
      </c>
      <c r="F6226" s="58"/>
      <c r="G6226" s="58">
        <f t="shared" si="102"/>
        <v>-65000</v>
      </c>
      <c r="H6226" s="121" t="s">
        <v>4155</v>
      </c>
    </row>
    <row r="6227" spans="1:8" ht="15" x14ac:dyDescent="0.2">
      <c r="A6227" s="597">
        <v>43414</v>
      </c>
      <c r="B6227" s="41" t="s">
        <v>3622</v>
      </c>
      <c r="C6227" s="63" t="s">
        <v>3145</v>
      </c>
      <c r="D6227" s="108" t="s">
        <v>4208</v>
      </c>
      <c r="E6227" s="58">
        <v>34500</v>
      </c>
      <c r="F6227" s="58"/>
      <c r="G6227" s="58">
        <f t="shared" si="102"/>
        <v>-34500</v>
      </c>
      <c r="H6227" s="121" t="s">
        <v>4155</v>
      </c>
    </row>
    <row r="6228" spans="1:8" ht="15" x14ac:dyDescent="0.2">
      <c r="A6228" s="597">
        <v>43414</v>
      </c>
      <c r="B6228" s="41" t="s">
        <v>2933</v>
      </c>
      <c r="C6228" s="63" t="s">
        <v>3145</v>
      </c>
      <c r="D6228" s="108" t="s">
        <v>4208</v>
      </c>
      <c r="E6228" s="58">
        <f>54720-E6227</f>
        <v>20220</v>
      </c>
      <c r="F6228" s="58"/>
      <c r="G6228" s="58">
        <f t="shared" si="102"/>
        <v>-20220</v>
      </c>
      <c r="H6228" s="121" t="s">
        <v>4155</v>
      </c>
    </row>
    <row r="6229" spans="1:8" ht="15" x14ac:dyDescent="0.2">
      <c r="A6229" s="597">
        <v>43416</v>
      </c>
      <c r="B6229" s="41" t="s">
        <v>2933</v>
      </c>
      <c r="C6229" s="63" t="s">
        <v>3145</v>
      </c>
      <c r="D6229" s="108" t="s">
        <v>4207</v>
      </c>
      <c r="E6229" s="58">
        <v>10500</v>
      </c>
      <c r="F6229" s="58"/>
      <c r="G6229" s="58">
        <f t="shared" si="102"/>
        <v>-10500</v>
      </c>
      <c r="H6229" s="121" t="s">
        <v>4155</v>
      </c>
    </row>
    <row r="6230" spans="1:8" ht="15" x14ac:dyDescent="0.2">
      <c r="A6230" s="597">
        <v>43416</v>
      </c>
      <c r="B6230" s="41" t="s">
        <v>2933</v>
      </c>
      <c r="C6230" s="63" t="s">
        <v>3145</v>
      </c>
      <c r="D6230" s="108" t="s">
        <v>4209</v>
      </c>
      <c r="E6230" s="58">
        <v>11550</v>
      </c>
      <c r="F6230" s="58"/>
      <c r="G6230" s="58">
        <f t="shared" si="102"/>
        <v>-11550</v>
      </c>
      <c r="H6230" s="121" t="s">
        <v>4155</v>
      </c>
    </row>
    <row r="6231" spans="1:8" ht="15" x14ac:dyDescent="0.2">
      <c r="A6231" s="597">
        <v>43416</v>
      </c>
      <c r="B6231" s="41" t="s">
        <v>2652</v>
      </c>
      <c r="C6231" s="63" t="s">
        <v>3145</v>
      </c>
      <c r="D6231" s="108" t="s">
        <v>3650</v>
      </c>
      <c r="E6231" s="58">
        <v>14600</v>
      </c>
      <c r="F6231" s="58"/>
      <c r="G6231" s="58">
        <f t="shared" si="102"/>
        <v>-14600</v>
      </c>
      <c r="H6231" s="121" t="s">
        <v>4155</v>
      </c>
    </row>
    <row r="6232" spans="1:8" ht="15" x14ac:dyDescent="0.2">
      <c r="A6232" s="597">
        <v>43416</v>
      </c>
      <c r="B6232" s="41" t="s">
        <v>2933</v>
      </c>
      <c r="C6232" s="63" t="s">
        <v>3145</v>
      </c>
      <c r="D6232" s="108" t="s">
        <v>4210</v>
      </c>
      <c r="E6232" s="58">
        <v>9874</v>
      </c>
      <c r="F6232" s="58"/>
      <c r="G6232" s="58">
        <f t="shared" si="102"/>
        <v>-9874</v>
      </c>
      <c r="H6232" s="121" t="s">
        <v>4155</v>
      </c>
    </row>
    <row r="6233" spans="1:8" ht="15" x14ac:dyDescent="0.2">
      <c r="A6233" s="597">
        <v>43417</v>
      </c>
      <c r="B6233" s="41" t="s">
        <v>2933</v>
      </c>
      <c r="C6233" s="63" t="s">
        <v>3145</v>
      </c>
      <c r="D6233" s="108" t="s">
        <v>4211</v>
      </c>
      <c r="E6233" s="58">
        <v>5800</v>
      </c>
      <c r="F6233" s="58"/>
      <c r="G6233" s="58">
        <f t="shared" si="102"/>
        <v>-5800</v>
      </c>
      <c r="H6233" s="121" t="s">
        <v>4155</v>
      </c>
    </row>
    <row r="6234" spans="1:8" ht="15" x14ac:dyDescent="0.2">
      <c r="A6234" s="597">
        <v>43418</v>
      </c>
      <c r="B6234" s="41" t="s">
        <v>2933</v>
      </c>
      <c r="C6234" s="63" t="s">
        <v>3145</v>
      </c>
      <c r="D6234" s="108" t="s">
        <v>4212</v>
      </c>
      <c r="E6234" s="58">
        <v>25000</v>
      </c>
      <c r="F6234" s="58"/>
      <c r="G6234" s="58">
        <f t="shared" si="102"/>
        <v>-25000</v>
      </c>
      <c r="H6234" s="121" t="s">
        <v>4155</v>
      </c>
    </row>
    <row r="6235" spans="1:8" ht="15" x14ac:dyDescent="0.2">
      <c r="A6235" s="597">
        <v>43418</v>
      </c>
      <c r="B6235" s="41" t="s">
        <v>16</v>
      </c>
      <c r="C6235" s="63" t="s">
        <v>1694</v>
      </c>
      <c r="D6235" s="108" t="s">
        <v>370</v>
      </c>
      <c r="E6235" s="58">
        <v>10000</v>
      </c>
      <c r="F6235" s="58"/>
      <c r="G6235" s="58">
        <f t="shared" si="102"/>
        <v>-10000</v>
      </c>
      <c r="H6235" s="121" t="s">
        <v>4155</v>
      </c>
    </row>
    <row r="6236" spans="1:8" ht="15" x14ac:dyDescent="0.2">
      <c r="A6236" s="597">
        <v>43418</v>
      </c>
      <c r="B6236" s="41" t="s">
        <v>1400</v>
      </c>
      <c r="C6236" s="63" t="s">
        <v>3145</v>
      </c>
      <c r="D6236" s="108" t="s">
        <v>4222</v>
      </c>
      <c r="E6236" s="58">
        <v>23070</v>
      </c>
      <c r="F6236" s="58"/>
      <c r="G6236" s="58">
        <f t="shared" si="102"/>
        <v>-23070</v>
      </c>
      <c r="H6236" s="121" t="s">
        <v>4155</v>
      </c>
    </row>
    <row r="6237" spans="1:8" ht="15" x14ac:dyDescent="0.2">
      <c r="A6237" s="597">
        <v>43419</v>
      </c>
      <c r="B6237" s="41" t="s">
        <v>2933</v>
      </c>
      <c r="C6237" s="63" t="s">
        <v>3989</v>
      </c>
      <c r="D6237" s="108" t="s">
        <v>4223</v>
      </c>
      <c r="E6237" s="58">
        <v>1500</v>
      </c>
      <c r="F6237" s="58"/>
      <c r="G6237" s="58">
        <f t="shared" si="102"/>
        <v>-1500</v>
      </c>
      <c r="H6237" s="121" t="s">
        <v>4155</v>
      </c>
    </row>
    <row r="6238" spans="1:8" ht="15" x14ac:dyDescent="0.2">
      <c r="A6238" s="597">
        <v>43419</v>
      </c>
      <c r="B6238" s="41" t="s">
        <v>2933</v>
      </c>
      <c r="C6238" s="63" t="s">
        <v>3145</v>
      </c>
      <c r="D6238" s="108" t="s">
        <v>4224</v>
      </c>
      <c r="E6238" s="58">
        <v>22380</v>
      </c>
      <c r="F6238" s="58"/>
      <c r="G6238" s="58">
        <f t="shared" si="102"/>
        <v>-22380</v>
      </c>
      <c r="H6238" s="121" t="s">
        <v>4155</v>
      </c>
    </row>
    <row r="6239" spans="1:8" ht="15" x14ac:dyDescent="0.2">
      <c r="A6239" s="597">
        <v>43419</v>
      </c>
      <c r="B6239" s="41" t="s">
        <v>2933</v>
      </c>
      <c r="C6239" s="63" t="s">
        <v>3145</v>
      </c>
      <c r="D6239" s="108" t="s">
        <v>4224</v>
      </c>
      <c r="E6239" s="58">
        <v>23725</v>
      </c>
      <c r="F6239" s="58"/>
      <c r="G6239" s="58">
        <f t="shared" si="102"/>
        <v>-23725</v>
      </c>
      <c r="H6239" s="121" t="s">
        <v>4155</v>
      </c>
    </row>
    <row r="6240" spans="1:8" ht="15" x14ac:dyDescent="0.2">
      <c r="A6240" s="597">
        <v>43419</v>
      </c>
      <c r="B6240" s="41" t="s">
        <v>2933</v>
      </c>
      <c r="C6240" s="63" t="s">
        <v>3145</v>
      </c>
      <c r="D6240" s="108" t="s">
        <v>4181</v>
      </c>
      <c r="E6240" s="58">
        <v>11606</v>
      </c>
      <c r="F6240" s="58"/>
      <c r="G6240" s="58">
        <f t="shared" si="102"/>
        <v>-11606</v>
      </c>
      <c r="H6240" s="121" t="s">
        <v>4155</v>
      </c>
    </row>
    <row r="6241" spans="1:8" ht="15" x14ac:dyDescent="0.2">
      <c r="A6241" s="597">
        <v>43419</v>
      </c>
      <c r="B6241" s="41" t="s">
        <v>16</v>
      </c>
      <c r="C6241" s="63" t="s">
        <v>3145</v>
      </c>
      <c r="D6241" s="108" t="s">
        <v>4225</v>
      </c>
      <c r="E6241" s="58">
        <v>7838</v>
      </c>
      <c r="F6241" s="58"/>
      <c r="G6241" s="58">
        <f t="shared" si="102"/>
        <v>-7838</v>
      </c>
      <c r="H6241" s="121" t="s">
        <v>4155</v>
      </c>
    </row>
    <row r="6242" spans="1:8" ht="15" x14ac:dyDescent="0.2">
      <c r="A6242" s="597">
        <v>43420</v>
      </c>
      <c r="B6242" s="41" t="s">
        <v>3622</v>
      </c>
      <c r="C6242" s="63" t="s">
        <v>3145</v>
      </c>
      <c r="D6242" s="108" t="s">
        <v>4226</v>
      </c>
      <c r="E6242" s="58">
        <v>2350</v>
      </c>
      <c r="F6242" s="58"/>
      <c r="G6242" s="58">
        <f t="shared" si="102"/>
        <v>-2350</v>
      </c>
      <c r="H6242" s="121" t="s">
        <v>4155</v>
      </c>
    </row>
    <row r="6243" spans="1:8" ht="15" x14ac:dyDescent="0.2">
      <c r="A6243" s="597">
        <v>43420</v>
      </c>
      <c r="B6243" s="41" t="s">
        <v>3622</v>
      </c>
      <c r="C6243" s="63" t="s">
        <v>3145</v>
      </c>
      <c r="D6243" s="108" t="s">
        <v>4227</v>
      </c>
      <c r="E6243" s="58">
        <v>3200</v>
      </c>
      <c r="F6243" s="58"/>
      <c r="G6243" s="58">
        <f t="shared" si="102"/>
        <v>-3200</v>
      </c>
      <c r="H6243" s="121" t="s">
        <v>4155</v>
      </c>
    </row>
    <row r="6244" spans="1:8" ht="15" x14ac:dyDescent="0.2">
      <c r="A6244" s="597">
        <v>43420</v>
      </c>
      <c r="B6244" s="41" t="s">
        <v>25</v>
      </c>
      <c r="C6244" s="63" t="s">
        <v>1005</v>
      </c>
      <c r="D6244" s="108" t="s">
        <v>370</v>
      </c>
      <c r="E6244" s="58">
        <v>590</v>
      </c>
      <c r="F6244" s="58"/>
      <c r="G6244" s="58">
        <f t="shared" si="102"/>
        <v>-590</v>
      </c>
      <c r="H6244" s="121" t="s">
        <v>4155</v>
      </c>
    </row>
    <row r="6245" spans="1:8" ht="15" x14ac:dyDescent="0.2">
      <c r="A6245" s="597">
        <v>43420</v>
      </c>
      <c r="B6245" s="41" t="s">
        <v>2933</v>
      </c>
      <c r="C6245" s="63" t="s">
        <v>3145</v>
      </c>
      <c r="D6245" s="108" t="s">
        <v>4228</v>
      </c>
      <c r="E6245" s="58">
        <v>3960</v>
      </c>
      <c r="F6245" s="58"/>
      <c r="G6245" s="58">
        <f t="shared" si="102"/>
        <v>-3960</v>
      </c>
      <c r="H6245" s="121" t="s">
        <v>4155</v>
      </c>
    </row>
    <row r="6246" spans="1:8" ht="15" x14ac:dyDescent="0.2">
      <c r="A6246" s="597">
        <v>43420</v>
      </c>
      <c r="B6246" s="41" t="s">
        <v>2933</v>
      </c>
      <c r="C6246" s="63" t="s">
        <v>3145</v>
      </c>
      <c r="D6246" s="108" t="s">
        <v>4229</v>
      </c>
      <c r="E6246" s="58">
        <v>6000</v>
      </c>
      <c r="F6246" s="58"/>
      <c r="G6246" s="58">
        <f t="shared" si="102"/>
        <v>-6000</v>
      </c>
      <c r="H6246" s="121" t="s">
        <v>4155</v>
      </c>
    </row>
    <row r="6247" spans="1:8" ht="15" x14ac:dyDescent="0.2">
      <c r="A6247" s="597">
        <v>43420</v>
      </c>
      <c r="B6247" s="41" t="s">
        <v>3622</v>
      </c>
      <c r="C6247" s="63" t="s">
        <v>3145</v>
      </c>
      <c r="D6247" s="108" t="s">
        <v>4230</v>
      </c>
      <c r="E6247" s="58">
        <v>900</v>
      </c>
      <c r="F6247" s="58"/>
      <c r="G6247" s="58">
        <f t="shared" si="102"/>
        <v>-900</v>
      </c>
      <c r="H6247" s="121" t="s">
        <v>4155</v>
      </c>
    </row>
    <row r="6248" spans="1:8" ht="15" x14ac:dyDescent="0.2">
      <c r="A6248" s="597">
        <v>43420</v>
      </c>
      <c r="B6248" s="41" t="s">
        <v>2652</v>
      </c>
      <c r="C6248" s="63" t="s">
        <v>4162</v>
      </c>
      <c r="D6248" s="108" t="s">
        <v>370</v>
      </c>
      <c r="E6248" s="58">
        <v>15000</v>
      </c>
      <c r="F6248" s="58"/>
      <c r="G6248" s="58">
        <f t="shared" si="102"/>
        <v>-15000</v>
      </c>
      <c r="H6248" s="121" t="s">
        <v>4155</v>
      </c>
    </row>
    <row r="6249" spans="1:8" ht="15" x14ac:dyDescent="0.2">
      <c r="A6249" s="597">
        <v>43420</v>
      </c>
      <c r="B6249" s="41" t="s">
        <v>2933</v>
      </c>
      <c r="C6249" s="63" t="s">
        <v>3145</v>
      </c>
      <c r="D6249" s="108" t="s">
        <v>3971</v>
      </c>
      <c r="E6249" s="58">
        <v>6560</v>
      </c>
      <c r="F6249" s="58"/>
      <c r="G6249" s="58">
        <f t="shared" si="102"/>
        <v>-6560</v>
      </c>
      <c r="H6249" s="121" t="s">
        <v>4155</v>
      </c>
    </row>
    <row r="6250" spans="1:8" ht="15" x14ac:dyDescent="0.2">
      <c r="A6250" s="597">
        <v>43420</v>
      </c>
      <c r="B6250" s="41" t="s">
        <v>2652</v>
      </c>
      <c r="C6250" s="63" t="s">
        <v>3145</v>
      </c>
      <c r="D6250" s="108" t="s">
        <v>2349</v>
      </c>
      <c r="E6250" s="58">
        <v>5384</v>
      </c>
      <c r="F6250" s="58"/>
      <c r="G6250" s="58">
        <f t="shared" si="102"/>
        <v>-5384</v>
      </c>
      <c r="H6250" s="121" t="s">
        <v>4155</v>
      </c>
    </row>
    <row r="6251" spans="1:8" ht="15" x14ac:dyDescent="0.2">
      <c r="A6251" s="597">
        <v>43420</v>
      </c>
      <c r="B6251" s="41" t="s">
        <v>3733</v>
      </c>
      <c r="C6251" s="63" t="s">
        <v>3145</v>
      </c>
      <c r="D6251" s="108" t="s">
        <v>4279</v>
      </c>
      <c r="E6251" s="58">
        <v>18000</v>
      </c>
      <c r="F6251" s="58"/>
      <c r="G6251" s="58">
        <f t="shared" si="102"/>
        <v>-18000</v>
      </c>
      <c r="H6251" s="121" t="s">
        <v>4155</v>
      </c>
    </row>
    <row r="6252" spans="1:8" ht="15" x14ac:dyDescent="0.2">
      <c r="A6252" s="597">
        <v>43420</v>
      </c>
      <c r="B6252" s="41" t="s">
        <v>2652</v>
      </c>
      <c r="C6252" s="63" t="s">
        <v>286</v>
      </c>
      <c r="D6252" s="108" t="s">
        <v>372</v>
      </c>
      <c r="E6252" s="58">
        <v>2300</v>
      </c>
      <c r="F6252" s="58"/>
      <c r="G6252" s="58">
        <f t="shared" si="102"/>
        <v>-2300</v>
      </c>
      <c r="H6252" s="121" t="s">
        <v>4155</v>
      </c>
    </row>
    <row r="6253" spans="1:8" ht="15" x14ac:dyDescent="0.2">
      <c r="A6253" s="597">
        <v>43424</v>
      </c>
      <c r="B6253" s="41" t="s">
        <v>2933</v>
      </c>
      <c r="C6253" s="63" t="s">
        <v>3145</v>
      </c>
      <c r="D6253" s="108" t="s">
        <v>4280</v>
      </c>
      <c r="E6253" s="58">
        <v>15000</v>
      </c>
      <c r="F6253" s="58"/>
      <c r="G6253" s="58">
        <f t="shared" si="102"/>
        <v>-15000</v>
      </c>
      <c r="H6253" s="121" t="s">
        <v>4155</v>
      </c>
    </row>
    <row r="6254" spans="1:8" ht="15" x14ac:dyDescent="0.2">
      <c r="A6254" s="597">
        <v>43427</v>
      </c>
      <c r="B6254" s="41" t="s">
        <v>2933</v>
      </c>
      <c r="C6254" s="63" t="s">
        <v>3145</v>
      </c>
      <c r="D6254" s="108" t="s">
        <v>4281</v>
      </c>
      <c r="E6254" s="58">
        <v>3132</v>
      </c>
      <c r="F6254" s="58"/>
      <c r="G6254" s="58">
        <f t="shared" si="102"/>
        <v>-3132</v>
      </c>
      <c r="H6254" s="121" t="s">
        <v>4155</v>
      </c>
    </row>
    <row r="6255" spans="1:8" ht="15" x14ac:dyDescent="0.2">
      <c r="A6255" s="597">
        <v>43427</v>
      </c>
      <c r="B6255" s="41" t="s">
        <v>2652</v>
      </c>
      <c r="C6255" s="63" t="s">
        <v>3145</v>
      </c>
      <c r="D6255" s="108" t="s">
        <v>4282</v>
      </c>
      <c r="E6255" s="58">
        <v>3950</v>
      </c>
      <c r="F6255" s="58"/>
      <c r="G6255" s="58">
        <f t="shared" si="102"/>
        <v>-3950</v>
      </c>
      <c r="H6255" s="121" t="s">
        <v>4155</v>
      </c>
    </row>
    <row r="6256" spans="1:8" ht="15" x14ac:dyDescent="0.2">
      <c r="A6256" s="597">
        <v>43427</v>
      </c>
      <c r="B6256" s="41" t="s">
        <v>2787</v>
      </c>
      <c r="C6256" s="63" t="s">
        <v>3145</v>
      </c>
      <c r="D6256" s="108" t="s">
        <v>4228</v>
      </c>
      <c r="E6256" s="58">
        <v>1590</v>
      </c>
      <c r="F6256" s="58"/>
      <c r="G6256" s="58">
        <f t="shared" si="102"/>
        <v>-1590</v>
      </c>
      <c r="H6256" s="121" t="s">
        <v>4155</v>
      </c>
    </row>
    <row r="6257" spans="1:8" ht="15" x14ac:dyDescent="0.2">
      <c r="A6257" s="597">
        <v>43427</v>
      </c>
      <c r="B6257" s="41" t="s">
        <v>1400</v>
      </c>
      <c r="C6257" s="63" t="s">
        <v>3145</v>
      </c>
      <c r="D6257" s="108" t="s">
        <v>4283</v>
      </c>
      <c r="E6257" s="58">
        <v>53050</v>
      </c>
      <c r="F6257" s="58"/>
      <c r="G6257" s="58">
        <f t="shared" si="102"/>
        <v>-53050</v>
      </c>
      <c r="H6257" s="121" t="s">
        <v>4155</v>
      </c>
    </row>
    <row r="6258" spans="1:8" ht="15" x14ac:dyDescent="0.2">
      <c r="A6258" s="597">
        <v>43427</v>
      </c>
      <c r="B6258" s="41" t="s">
        <v>2933</v>
      </c>
      <c r="C6258" s="63" t="s">
        <v>3145</v>
      </c>
      <c r="D6258" s="108" t="s">
        <v>4284</v>
      </c>
      <c r="E6258" s="58">
        <v>32000</v>
      </c>
      <c r="F6258" s="58"/>
      <c r="G6258" s="58">
        <f t="shared" si="102"/>
        <v>-32000</v>
      </c>
      <c r="H6258" s="121" t="s">
        <v>4155</v>
      </c>
    </row>
    <row r="6259" spans="1:8" ht="15" x14ac:dyDescent="0.2">
      <c r="A6259" s="597">
        <v>43427</v>
      </c>
      <c r="B6259" s="41" t="s">
        <v>2787</v>
      </c>
      <c r="C6259" s="63" t="s">
        <v>3145</v>
      </c>
      <c r="D6259" s="108" t="s">
        <v>4284</v>
      </c>
      <c r="E6259" s="58">
        <f>35800-E6258</f>
        <v>3800</v>
      </c>
      <c r="F6259" s="58"/>
      <c r="G6259" s="58">
        <f t="shared" si="102"/>
        <v>-3800</v>
      </c>
      <c r="H6259" s="121" t="s">
        <v>4155</v>
      </c>
    </row>
    <row r="6260" spans="1:8" ht="15" x14ac:dyDescent="0.2">
      <c r="A6260" s="597">
        <v>43427</v>
      </c>
      <c r="B6260" s="41" t="s">
        <v>2933</v>
      </c>
      <c r="C6260" s="63" t="s">
        <v>3145</v>
      </c>
      <c r="D6260" s="108" t="s">
        <v>4284</v>
      </c>
      <c r="E6260" s="58">
        <v>16000</v>
      </c>
      <c r="F6260" s="58"/>
      <c r="G6260" s="58">
        <f t="shared" si="102"/>
        <v>-16000</v>
      </c>
      <c r="H6260" s="121" t="s">
        <v>4155</v>
      </c>
    </row>
    <row r="6261" spans="1:8" ht="15" x14ac:dyDescent="0.2">
      <c r="A6261" s="597">
        <v>43427</v>
      </c>
      <c r="B6261" s="41" t="s">
        <v>2933</v>
      </c>
      <c r="C6261" s="63" t="s">
        <v>286</v>
      </c>
      <c r="D6261" s="108" t="s">
        <v>4285</v>
      </c>
      <c r="E6261" s="58">
        <v>2800</v>
      </c>
      <c r="F6261" s="58"/>
      <c r="G6261" s="58">
        <f t="shared" ref="G6261:G6324" si="103">F6261-E6261</f>
        <v>-2800</v>
      </c>
      <c r="H6261" s="121" t="s">
        <v>4155</v>
      </c>
    </row>
    <row r="6262" spans="1:8" ht="15" x14ac:dyDescent="0.2">
      <c r="A6262" s="597">
        <v>43430</v>
      </c>
      <c r="B6262" s="41" t="s">
        <v>1400</v>
      </c>
      <c r="C6262" s="63" t="s">
        <v>3145</v>
      </c>
      <c r="D6262" s="108" t="s">
        <v>4286</v>
      </c>
      <c r="E6262" s="58">
        <v>33900</v>
      </c>
      <c r="F6262" s="58"/>
      <c r="G6262" s="58">
        <f t="shared" si="103"/>
        <v>-33900</v>
      </c>
      <c r="H6262" s="121" t="s">
        <v>4155</v>
      </c>
    </row>
    <row r="6263" spans="1:8" ht="15" x14ac:dyDescent="0.2">
      <c r="A6263" s="597">
        <v>43430</v>
      </c>
      <c r="B6263" s="41" t="s">
        <v>3622</v>
      </c>
      <c r="C6263" s="63" t="s">
        <v>3145</v>
      </c>
      <c r="D6263" s="108" t="s">
        <v>4284</v>
      </c>
      <c r="E6263" s="58">
        <v>6998</v>
      </c>
      <c r="F6263" s="58"/>
      <c r="G6263" s="58">
        <f t="shared" si="103"/>
        <v>-6998</v>
      </c>
      <c r="H6263" s="121" t="s">
        <v>4155</v>
      </c>
    </row>
    <row r="6264" spans="1:8" ht="15" x14ac:dyDescent="0.2">
      <c r="A6264" s="597">
        <v>43431</v>
      </c>
      <c r="B6264" s="41" t="s">
        <v>3733</v>
      </c>
      <c r="C6264" s="63" t="s">
        <v>1875</v>
      </c>
      <c r="D6264" s="108" t="s">
        <v>2655</v>
      </c>
      <c r="E6264" s="58">
        <v>7500</v>
      </c>
      <c r="F6264" s="58"/>
      <c r="G6264" s="58">
        <f t="shared" si="103"/>
        <v>-7500</v>
      </c>
      <c r="H6264" s="121" t="s">
        <v>4155</v>
      </c>
    </row>
    <row r="6265" spans="1:8" ht="15" x14ac:dyDescent="0.2">
      <c r="A6265" s="597">
        <v>43431</v>
      </c>
      <c r="B6265" s="41" t="s">
        <v>2933</v>
      </c>
      <c r="C6265" s="63" t="s">
        <v>3145</v>
      </c>
      <c r="D6265" s="108" t="s">
        <v>4287</v>
      </c>
      <c r="E6265" s="58">
        <f>120+550+3960</f>
        <v>4630</v>
      </c>
      <c r="F6265" s="58"/>
      <c r="G6265" s="58">
        <f t="shared" si="103"/>
        <v>-4630</v>
      </c>
      <c r="H6265" s="121" t="s">
        <v>4155</v>
      </c>
    </row>
    <row r="6266" spans="1:8" ht="15" x14ac:dyDescent="0.2">
      <c r="A6266" s="597">
        <v>43431</v>
      </c>
      <c r="B6266" s="41" t="s">
        <v>1400</v>
      </c>
      <c r="C6266" s="63" t="s">
        <v>3145</v>
      </c>
      <c r="D6266" s="108" t="s">
        <v>4288</v>
      </c>
      <c r="E6266" s="58">
        <v>4000</v>
      </c>
      <c r="F6266" s="58"/>
      <c r="G6266" s="58">
        <f t="shared" si="103"/>
        <v>-4000</v>
      </c>
      <c r="H6266" s="121" t="s">
        <v>4155</v>
      </c>
    </row>
    <row r="6267" spans="1:8" ht="15" x14ac:dyDescent="0.2">
      <c r="A6267" s="597">
        <v>43431</v>
      </c>
      <c r="B6267" s="41" t="s">
        <v>2933</v>
      </c>
      <c r="C6267" s="63" t="s">
        <v>3149</v>
      </c>
      <c r="D6267" s="108" t="s">
        <v>3369</v>
      </c>
      <c r="E6267" s="58">
        <v>1400</v>
      </c>
      <c r="F6267" s="58"/>
      <c r="G6267" s="58">
        <f t="shared" si="103"/>
        <v>-1400</v>
      </c>
      <c r="H6267" s="121" t="s">
        <v>4155</v>
      </c>
    </row>
    <row r="6268" spans="1:8" ht="15" x14ac:dyDescent="0.2">
      <c r="A6268" s="597">
        <v>43431</v>
      </c>
      <c r="B6268" s="41" t="s">
        <v>1400</v>
      </c>
      <c r="C6268" s="63" t="s">
        <v>3149</v>
      </c>
      <c r="D6268" s="108" t="s">
        <v>3369</v>
      </c>
      <c r="E6268" s="58">
        <v>300</v>
      </c>
      <c r="F6268" s="58"/>
      <c r="G6268" s="58">
        <f t="shared" si="103"/>
        <v>-300</v>
      </c>
      <c r="H6268" s="121" t="s">
        <v>4155</v>
      </c>
    </row>
    <row r="6269" spans="1:8" ht="15" x14ac:dyDescent="0.2">
      <c r="A6269" s="597">
        <v>43431</v>
      </c>
      <c r="B6269" s="41" t="s">
        <v>2933</v>
      </c>
      <c r="C6269" s="63" t="s">
        <v>3145</v>
      </c>
      <c r="D6269" s="108" t="s">
        <v>4228</v>
      </c>
      <c r="E6269" s="58">
        <v>4680</v>
      </c>
      <c r="F6269" s="58"/>
      <c r="G6269" s="58">
        <f t="shared" si="103"/>
        <v>-4680</v>
      </c>
      <c r="H6269" s="121" t="s">
        <v>4155</v>
      </c>
    </row>
    <row r="6270" spans="1:8" ht="15" x14ac:dyDescent="0.2">
      <c r="A6270" s="597">
        <v>43431</v>
      </c>
      <c r="B6270" s="41" t="s">
        <v>2652</v>
      </c>
      <c r="C6270" s="63" t="s">
        <v>3145</v>
      </c>
      <c r="D6270" s="108" t="s">
        <v>4289</v>
      </c>
      <c r="E6270" s="58">
        <v>4640</v>
      </c>
      <c r="F6270" s="58"/>
      <c r="G6270" s="58">
        <f t="shared" si="103"/>
        <v>-4640</v>
      </c>
      <c r="H6270" s="121" t="s">
        <v>4155</v>
      </c>
    </row>
    <row r="6271" spans="1:8" ht="15" x14ac:dyDescent="0.2">
      <c r="A6271" s="597">
        <v>43433</v>
      </c>
      <c r="B6271" s="41" t="s">
        <v>1400</v>
      </c>
      <c r="C6271" s="63" t="s">
        <v>3149</v>
      </c>
      <c r="D6271" s="108" t="s">
        <v>3369</v>
      </c>
      <c r="E6271" s="58">
        <v>400</v>
      </c>
      <c r="F6271" s="58"/>
      <c r="G6271" s="58">
        <f t="shared" si="103"/>
        <v>-400</v>
      </c>
      <c r="H6271" s="121" t="s">
        <v>4155</v>
      </c>
    </row>
    <row r="6272" spans="1:8" ht="15" x14ac:dyDescent="0.2">
      <c r="A6272" s="597">
        <v>43433</v>
      </c>
      <c r="B6272" s="41" t="s">
        <v>2933</v>
      </c>
      <c r="C6272" s="63" t="s">
        <v>3145</v>
      </c>
      <c r="D6272" s="108" t="s">
        <v>4290</v>
      </c>
      <c r="E6272" s="58">
        <v>5000</v>
      </c>
      <c r="F6272" s="58"/>
      <c r="G6272" s="58">
        <f t="shared" si="103"/>
        <v>-5000</v>
      </c>
      <c r="H6272" s="121" t="s">
        <v>4155</v>
      </c>
    </row>
    <row r="6273" spans="1:9" ht="15" x14ac:dyDescent="0.2">
      <c r="A6273" s="597">
        <v>43433</v>
      </c>
      <c r="B6273" s="41" t="s">
        <v>2933</v>
      </c>
      <c r="C6273" s="63" t="s">
        <v>3145</v>
      </c>
      <c r="D6273" s="108" t="s">
        <v>4291</v>
      </c>
      <c r="E6273" s="58">
        <v>21580</v>
      </c>
      <c r="F6273" s="58"/>
      <c r="G6273" s="58">
        <f t="shared" si="103"/>
        <v>-21580</v>
      </c>
      <c r="H6273" s="121" t="s">
        <v>4155</v>
      </c>
    </row>
    <row r="6274" spans="1:9" ht="15" x14ac:dyDescent="0.2">
      <c r="A6274" s="597">
        <v>43433</v>
      </c>
      <c r="B6274" s="41" t="s">
        <v>2933</v>
      </c>
      <c r="C6274" s="63" t="s">
        <v>3145</v>
      </c>
      <c r="D6274" s="108" t="s">
        <v>4292</v>
      </c>
      <c r="E6274" s="58">
        <v>18100</v>
      </c>
      <c r="F6274" s="58"/>
      <c r="G6274" s="58">
        <f t="shared" si="103"/>
        <v>-18100</v>
      </c>
      <c r="H6274" s="121" t="s">
        <v>4155</v>
      </c>
    </row>
    <row r="6275" spans="1:9" ht="15" x14ac:dyDescent="0.2">
      <c r="A6275" s="597">
        <v>43433</v>
      </c>
      <c r="B6275" s="41" t="s">
        <v>2652</v>
      </c>
      <c r="C6275" s="63" t="s">
        <v>3145</v>
      </c>
      <c r="D6275" s="108" t="s">
        <v>4293</v>
      </c>
      <c r="E6275" s="58">
        <v>22480</v>
      </c>
      <c r="F6275" s="58"/>
      <c r="G6275" s="58">
        <f t="shared" si="103"/>
        <v>-22480</v>
      </c>
      <c r="H6275" s="121" t="s">
        <v>4155</v>
      </c>
    </row>
    <row r="6276" spans="1:9" ht="15" x14ac:dyDescent="0.2">
      <c r="A6276" s="597">
        <v>43434</v>
      </c>
      <c r="B6276" s="41" t="s">
        <v>2933</v>
      </c>
      <c r="C6276" s="63" t="s">
        <v>3145</v>
      </c>
      <c r="D6276" s="108" t="s">
        <v>4294</v>
      </c>
      <c r="E6276" s="58">
        <v>21819</v>
      </c>
      <c r="F6276" s="58"/>
      <c r="G6276" s="58">
        <f t="shared" si="103"/>
        <v>-21819</v>
      </c>
      <c r="H6276" s="121" t="s">
        <v>4155</v>
      </c>
    </row>
    <row r="6277" spans="1:9" ht="15" x14ac:dyDescent="0.2">
      <c r="A6277" s="597">
        <v>43434</v>
      </c>
      <c r="B6277" s="41" t="s">
        <v>3622</v>
      </c>
      <c r="C6277" s="63" t="s">
        <v>3145</v>
      </c>
      <c r="D6277" s="108" t="s">
        <v>392</v>
      </c>
      <c r="E6277" s="58">
        <v>745</v>
      </c>
      <c r="F6277" s="58"/>
      <c r="G6277" s="58">
        <f t="shared" si="103"/>
        <v>-745</v>
      </c>
      <c r="H6277" s="121" t="s">
        <v>4155</v>
      </c>
    </row>
    <row r="6278" spans="1:9" ht="15" x14ac:dyDescent="0.2">
      <c r="A6278" s="597">
        <v>43434</v>
      </c>
      <c r="B6278" s="41" t="s">
        <v>3945</v>
      </c>
      <c r="C6278" s="63" t="s">
        <v>3145</v>
      </c>
      <c r="D6278" s="108" t="s">
        <v>4295</v>
      </c>
      <c r="E6278" s="58">
        <v>14711</v>
      </c>
      <c r="F6278" s="58"/>
      <c r="G6278" s="58">
        <f t="shared" si="103"/>
        <v>-14711</v>
      </c>
      <c r="H6278" s="121" t="s">
        <v>4155</v>
      </c>
    </row>
    <row r="6279" spans="1:9" ht="15" x14ac:dyDescent="0.2">
      <c r="A6279" s="597">
        <v>43434</v>
      </c>
      <c r="B6279" s="41" t="s">
        <v>1400</v>
      </c>
      <c r="C6279" s="63" t="s">
        <v>3145</v>
      </c>
      <c r="D6279" s="108" t="s">
        <v>4296</v>
      </c>
      <c r="E6279" s="58">
        <v>11950</v>
      </c>
      <c r="F6279" s="58"/>
      <c r="G6279" s="58">
        <f t="shared" si="103"/>
        <v>-11950</v>
      </c>
      <c r="H6279" s="121" t="s">
        <v>4155</v>
      </c>
    </row>
    <row r="6280" spans="1:9" ht="15" x14ac:dyDescent="0.2">
      <c r="A6280" s="597">
        <v>43434</v>
      </c>
      <c r="B6280" s="41" t="s">
        <v>16</v>
      </c>
      <c r="C6280" s="63" t="s">
        <v>3145</v>
      </c>
      <c r="D6280" s="108" t="s">
        <v>4297</v>
      </c>
      <c r="E6280" s="58">
        <v>8750</v>
      </c>
      <c r="F6280" s="58"/>
      <c r="G6280" s="58">
        <f t="shared" si="103"/>
        <v>-8750</v>
      </c>
      <c r="H6280" s="121" t="s">
        <v>4155</v>
      </c>
    </row>
    <row r="6281" spans="1:9" ht="15" x14ac:dyDescent="0.2">
      <c r="A6281" s="602">
        <v>43407</v>
      </c>
      <c r="B6281" s="174" t="s">
        <v>2933</v>
      </c>
      <c r="C6281" s="174" t="s">
        <v>794</v>
      </c>
      <c r="D6281" s="812" t="s">
        <v>4175</v>
      </c>
      <c r="E6281" s="236">
        <v>100000</v>
      </c>
      <c r="F6281" s="236"/>
      <c r="G6281" s="236">
        <f t="shared" si="103"/>
        <v>-100000</v>
      </c>
      <c r="H6281" s="244" t="s">
        <v>4155</v>
      </c>
      <c r="I6281" s="40"/>
    </row>
    <row r="6282" spans="1:9" ht="15" x14ac:dyDescent="0.2">
      <c r="A6282" s="602">
        <v>43409</v>
      </c>
      <c r="B6282" s="174" t="s">
        <v>3622</v>
      </c>
      <c r="C6282" s="174" t="s">
        <v>3771</v>
      </c>
      <c r="D6282" s="812" t="s">
        <v>4158</v>
      </c>
      <c r="E6282" s="236">
        <v>30000</v>
      </c>
      <c r="F6282" s="236"/>
      <c r="G6282" s="236">
        <f t="shared" si="103"/>
        <v>-30000</v>
      </c>
      <c r="H6282" s="244" t="s">
        <v>4155</v>
      </c>
      <c r="I6282" s="40"/>
    </row>
    <row r="6283" spans="1:9" ht="15" x14ac:dyDescent="0.2">
      <c r="A6283" s="602">
        <v>43410</v>
      </c>
      <c r="B6283" s="174" t="s">
        <v>2933</v>
      </c>
      <c r="C6283" s="174" t="s">
        <v>256</v>
      </c>
      <c r="D6283" s="812" t="s">
        <v>4159</v>
      </c>
      <c r="E6283" s="236">
        <v>1000000</v>
      </c>
      <c r="F6283" s="236"/>
      <c r="G6283" s="236">
        <f t="shared" si="103"/>
        <v>-1000000</v>
      </c>
      <c r="H6283" s="244" t="s">
        <v>4155</v>
      </c>
      <c r="I6283" s="40"/>
    </row>
    <row r="6284" spans="1:9" ht="15" x14ac:dyDescent="0.2">
      <c r="A6284" s="602">
        <v>43410</v>
      </c>
      <c r="B6284" s="174" t="s">
        <v>2652</v>
      </c>
      <c r="C6284" s="174" t="s">
        <v>3145</v>
      </c>
      <c r="D6284" s="812" t="s">
        <v>4160</v>
      </c>
      <c r="E6284" s="236">
        <v>8000</v>
      </c>
      <c r="F6284" s="236"/>
      <c r="G6284" s="236">
        <f t="shared" si="103"/>
        <v>-8000</v>
      </c>
      <c r="H6284" s="244" t="s">
        <v>4155</v>
      </c>
      <c r="I6284" s="40"/>
    </row>
    <row r="6285" spans="1:9" ht="15" x14ac:dyDescent="0.2">
      <c r="A6285" s="602">
        <v>43410</v>
      </c>
      <c r="B6285" s="174" t="s">
        <v>2933</v>
      </c>
      <c r="C6285" s="174" t="s">
        <v>3112</v>
      </c>
      <c r="D6285" s="812" t="s">
        <v>4161</v>
      </c>
      <c r="E6285" s="236">
        <v>300000</v>
      </c>
      <c r="F6285" s="236"/>
      <c r="G6285" s="236">
        <f t="shared" si="103"/>
        <v>-300000</v>
      </c>
      <c r="H6285" s="244" t="s">
        <v>4155</v>
      </c>
      <c r="I6285" s="40"/>
    </row>
    <row r="6286" spans="1:9" ht="15" x14ac:dyDescent="0.2">
      <c r="A6286" s="602">
        <v>43411</v>
      </c>
      <c r="B6286" s="174" t="s">
        <v>2652</v>
      </c>
      <c r="C6286" s="174" t="s">
        <v>4162</v>
      </c>
      <c r="D6286" s="812" t="s">
        <v>4163</v>
      </c>
      <c r="E6286" s="236">
        <v>15000</v>
      </c>
      <c r="F6286" s="236"/>
      <c r="G6286" s="236">
        <f t="shared" si="103"/>
        <v>-15000</v>
      </c>
      <c r="H6286" s="244" t="s">
        <v>4155</v>
      </c>
      <c r="I6286" s="40"/>
    </row>
    <row r="6287" spans="1:9" ht="15" x14ac:dyDescent="0.2">
      <c r="A6287" s="602">
        <v>43411</v>
      </c>
      <c r="B6287" s="174" t="s">
        <v>2652</v>
      </c>
      <c r="C6287" s="174" t="s">
        <v>4164</v>
      </c>
      <c r="D6287" s="812" t="s">
        <v>4165</v>
      </c>
      <c r="E6287" s="236">
        <v>20000</v>
      </c>
      <c r="F6287" s="236"/>
      <c r="G6287" s="236">
        <f t="shared" si="103"/>
        <v>-20000</v>
      </c>
      <c r="H6287" s="244" t="s">
        <v>4155</v>
      </c>
      <c r="I6287" s="40"/>
    </row>
    <row r="6288" spans="1:9" ht="15" x14ac:dyDescent="0.2">
      <c r="A6288" s="602">
        <v>43411</v>
      </c>
      <c r="B6288" s="174" t="s">
        <v>25</v>
      </c>
      <c r="C6288" s="174" t="s">
        <v>4170</v>
      </c>
      <c r="D6288" s="812" t="s">
        <v>4171</v>
      </c>
      <c r="E6288" s="236">
        <v>60000</v>
      </c>
      <c r="F6288" s="236"/>
      <c r="G6288" s="236">
        <f t="shared" si="103"/>
        <v>-60000</v>
      </c>
      <c r="H6288" s="244" t="s">
        <v>4155</v>
      </c>
      <c r="I6288" s="40"/>
    </row>
    <row r="6289" spans="1:9" ht="15" x14ac:dyDescent="0.2">
      <c r="A6289" s="602">
        <v>43411</v>
      </c>
      <c r="B6289" s="174" t="s">
        <v>3733</v>
      </c>
      <c r="C6289" s="174" t="s">
        <v>3693</v>
      </c>
      <c r="D6289" s="812" t="s">
        <v>4172</v>
      </c>
      <c r="E6289" s="236">
        <v>117900</v>
      </c>
      <c r="F6289" s="236"/>
      <c r="G6289" s="236">
        <f t="shared" si="103"/>
        <v>-117900</v>
      </c>
      <c r="H6289" s="244" t="s">
        <v>4155</v>
      </c>
      <c r="I6289" s="40"/>
    </row>
    <row r="6290" spans="1:9" ht="24" x14ac:dyDescent="0.2">
      <c r="A6290" s="602">
        <v>43411</v>
      </c>
      <c r="B6290" s="174" t="s">
        <v>2933</v>
      </c>
      <c r="C6290" s="174" t="s">
        <v>3707</v>
      </c>
      <c r="D6290" s="118" t="s">
        <v>4173</v>
      </c>
      <c r="E6290" s="236">
        <v>600000</v>
      </c>
      <c r="F6290" s="236"/>
      <c r="G6290" s="236">
        <f t="shared" si="103"/>
        <v>-600000</v>
      </c>
      <c r="H6290" s="244" t="s">
        <v>4155</v>
      </c>
      <c r="I6290" s="40"/>
    </row>
    <row r="6291" spans="1:9" ht="15" x14ac:dyDescent="0.2">
      <c r="A6291" s="602">
        <v>43411</v>
      </c>
      <c r="B6291" s="174" t="s">
        <v>2933</v>
      </c>
      <c r="C6291" s="174" t="s">
        <v>3145</v>
      </c>
      <c r="D6291" s="812" t="s">
        <v>4174</v>
      </c>
      <c r="E6291" s="236">
        <v>24276</v>
      </c>
      <c r="F6291" s="236"/>
      <c r="G6291" s="236">
        <f t="shared" si="103"/>
        <v>-24276</v>
      </c>
      <c r="H6291" s="244" t="s">
        <v>4155</v>
      </c>
      <c r="I6291" s="40"/>
    </row>
    <row r="6292" spans="1:9" ht="15" x14ac:dyDescent="0.2">
      <c r="A6292" s="602">
        <v>43411</v>
      </c>
      <c r="B6292" s="174" t="s">
        <v>2933</v>
      </c>
      <c r="C6292" s="174" t="s">
        <v>3145</v>
      </c>
      <c r="D6292" s="812" t="s">
        <v>4174</v>
      </c>
      <c r="E6292" s="236">
        <v>9000</v>
      </c>
      <c r="F6292" s="236"/>
      <c r="G6292" s="236">
        <f t="shared" si="103"/>
        <v>-9000</v>
      </c>
      <c r="H6292" s="244" t="s">
        <v>4155</v>
      </c>
      <c r="I6292" s="40"/>
    </row>
    <row r="6293" spans="1:9" ht="15" x14ac:dyDescent="0.2">
      <c r="A6293" s="602">
        <v>43412</v>
      </c>
      <c r="B6293" s="174" t="s">
        <v>3733</v>
      </c>
      <c r="C6293" s="174" t="s">
        <v>2338</v>
      </c>
      <c r="D6293" s="812" t="s">
        <v>4167</v>
      </c>
      <c r="E6293" s="236">
        <v>23500</v>
      </c>
      <c r="F6293" s="236"/>
      <c r="G6293" s="236">
        <f t="shared" si="103"/>
        <v>-23500</v>
      </c>
      <c r="H6293" s="244" t="s">
        <v>4155</v>
      </c>
      <c r="I6293" s="40"/>
    </row>
    <row r="6294" spans="1:9" ht="15" x14ac:dyDescent="0.2">
      <c r="A6294" s="602">
        <v>43412</v>
      </c>
      <c r="B6294" s="174" t="s">
        <v>3622</v>
      </c>
      <c r="C6294" s="174" t="s">
        <v>2338</v>
      </c>
      <c r="D6294" s="812" t="s">
        <v>4168</v>
      </c>
      <c r="E6294" s="236">
        <v>130000</v>
      </c>
      <c r="F6294" s="236"/>
      <c r="G6294" s="236">
        <f t="shared" si="103"/>
        <v>-130000</v>
      </c>
      <c r="H6294" s="244" t="s">
        <v>4155</v>
      </c>
      <c r="I6294" s="40"/>
    </row>
    <row r="6295" spans="1:9" ht="15" customHeight="1" x14ac:dyDescent="0.2">
      <c r="A6295" s="602">
        <v>43412</v>
      </c>
      <c r="B6295" s="174" t="s">
        <v>3622</v>
      </c>
      <c r="C6295" s="174" t="s">
        <v>2338</v>
      </c>
      <c r="D6295" s="812" t="s">
        <v>4169</v>
      </c>
      <c r="E6295" s="236">
        <v>307000</v>
      </c>
      <c r="F6295" s="236"/>
      <c r="G6295" s="236">
        <f t="shared" si="103"/>
        <v>-307000</v>
      </c>
      <c r="H6295" s="244" t="s">
        <v>4155</v>
      </c>
      <c r="I6295" s="40"/>
    </row>
    <row r="6296" spans="1:9" ht="15" customHeight="1" x14ac:dyDescent="0.2">
      <c r="A6296" s="602">
        <v>43416</v>
      </c>
      <c r="B6296" s="174" t="s">
        <v>2933</v>
      </c>
      <c r="C6296" s="174" t="s">
        <v>3011</v>
      </c>
      <c r="D6296" s="812" t="s">
        <v>4201</v>
      </c>
      <c r="E6296" s="236">
        <v>207000</v>
      </c>
      <c r="F6296" s="236"/>
      <c r="G6296" s="236">
        <f t="shared" si="103"/>
        <v>-207000</v>
      </c>
      <c r="H6296" s="244" t="s">
        <v>4155</v>
      </c>
      <c r="I6296" s="40"/>
    </row>
    <row r="6297" spans="1:9" ht="15" customHeight="1" x14ac:dyDescent="0.2">
      <c r="A6297" s="602">
        <v>43416</v>
      </c>
      <c r="B6297" s="174" t="s">
        <v>3622</v>
      </c>
      <c r="C6297" s="174" t="s">
        <v>3884</v>
      </c>
      <c r="D6297" s="812" t="s">
        <v>4202</v>
      </c>
      <c r="E6297" s="236">
        <v>50000</v>
      </c>
      <c r="F6297" s="236"/>
      <c r="G6297" s="236">
        <f t="shared" si="103"/>
        <v>-50000</v>
      </c>
      <c r="H6297" s="244" t="s">
        <v>4155</v>
      </c>
      <c r="I6297" s="40"/>
    </row>
    <row r="6298" spans="1:9" ht="15" customHeight="1" x14ac:dyDescent="0.2">
      <c r="A6298" s="602">
        <v>43417</v>
      </c>
      <c r="B6298" s="174" t="s">
        <v>3733</v>
      </c>
      <c r="C6298" s="174" t="s">
        <v>3755</v>
      </c>
      <c r="D6298" s="812" t="s">
        <v>4203</v>
      </c>
      <c r="E6298" s="236">
        <v>79500</v>
      </c>
      <c r="F6298" s="236"/>
      <c r="G6298" s="236">
        <f t="shared" si="103"/>
        <v>-79500</v>
      </c>
      <c r="H6298" s="244" t="s">
        <v>4155</v>
      </c>
      <c r="I6298" s="40"/>
    </row>
    <row r="6299" spans="1:9" ht="15" customHeight="1" x14ac:dyDescent="0.2">
      <c r="A6299" s="602">
        <v>43417</v>
      </c>
      <c r="B6299" s="174" t="s">
        <v>25</v>
      </c>
      <c r="C6299" s="174" t="s">
        <v>4204</v>
      </c>
      <c r="D6299" s="812" t="s">
        <v>4205</v>
      </c>
      <c r="E6299" s="236">
        <v>26000</v>
      </c>
      <c r="F6299" s="236"/>
      <c r="G6299" s="236">
        <f t="shared" si="103"/>
        <v>-26000</v>
      </c>
      <c r="H6299" s="244" t="s">
        <v>4155</v>
      </c>
      <c r="I6299" s="40"/>
    </row>
    <row r="6300" spans="1:9" ht="15" customHeight="1" x14ac:dyDescent="0.2">
      <c r="A6300" s="602">
        <v>43419</v>
      </c>
      <c r="B6300" s="174" t="s">
        <v>3622</v>
      </c>
      <c r="C6300" s="174" t="s">
        <v>2819</v>
      </c>
      <c r="D6300" s="812" t="s">
        <v>4215</v>
      </c>
      <c r="E6300" s="236">
        <v>58500</v>
      </c>
      <c r="F6300" s="236"/>
      <c r="G6300" s="236">
        <f t="shared" si="103"/>
        <v>-58500</v>
      </c>
      <c r="H6300" s="244" t="s">
        <v>4155</v>
      </c>
      <c r="I6300" s="40"/>
    </row>
    <row r="6301" spans="1:9" ht="15" x14ac:dyDescent="0.2">
      <c r="A6301" s="602">
        <v>43419</v>
      </c>
      <c r="B6301" s="174" t="s">
        <v>2652</v>
      </c>
      <c r="C6301" s="174" t="s">
        <v>2819</v>
      </c>
      <c r="D6301" s="812" t="s">
        <v>4216</v>
      </c>
      <c r="E6301" s="236">
        <v>126900</v>
      </c>
      <c r="F6301" s="236"/>
      <c r="G6301" s="236">
        <f t="shared" si="103"/>
        <v>-126900</v>
      </c>
      <c r="H6301" s="244" t="s">
        <v>4155</v>
      </c>
      <c r="I6301" s="40"/>
    </row>
    <row r="6302" spans="1:9" ht="15" x14ac:dyDescent="0.2">
      <c r="A6302" s="602">
        <v>43419</v>
      </c>
      <c r="B6302" s="174" t="s">
        <v>2933</v>
      </c>
      <c r="C6302" s="174" t="s">
        <v>2819</v>
      </c>
      <c r="D6302" s="812" t="s">
        <v>4217</v>
      </c>
      <c r="E6302" s="236">
        <v>53000</v>
      </c>
      <c r="F6302" s="236"/>
      <c r="G6302" s="236">
        <f t="shared" si="103"/>
        <v>-53000</v>
      </c>
      <c r="H6302" s="244" t="s">
        <v>4155</v>
      </c>
      <c r="I6302" s="40"/>
    </row>
    <row r="6303" spans="1:9" ht="15" customHeight="1" x14ac:dyDescent="0.2">
      <c r="A6303" s="602">
        <v>43419</v>
      </c>
      <c r="B6303" s="174" t="s">
        <v>2933</v>
      </c>
      <c r="C6303" s="174" t="s">
        <v>573</v>
      </c>
      <c r="D6303" s="812" t="s">
        <v>4218</v>
      </c>
      <c r="E6303" s="236">
        <v>500000</v>
      </c>
      <c r="F6303" s="236"/>
      <c r="G6303" s="236">
        <f t="shared" si="103"/>
        <v>-500000</v>
      </c>
      <c r="H6303" s="244" t="s">
        <v>4155</v>
      </c>
      <c r="I6303" s="40"/>
    </row>
    <row r="6304" spans="1:9" ht="15" customHeight="1" x14ac:dyDescent="0.2">
      <c r="A6304" s="602">
        <v>43419</v>
      </c>
      <c r="B6304" s="174" t="s">
        <v>3622</v>
      </c>
      <c r="C6304" s="174" t="s">
        <v>2338</v>
      </c>
      <c r="D6304" s="812" t="s">
        <v>4219</v>
      </c>
      <c r="E6304" s="236">
        <v>100000</v>
      </c>
      <c r="F6304" s="236"/>
      <c r="G6304" s="236">
        <f t="shared" si="103"/>
        <v>-100000</v>
      </c>
      <c r="H6304" s="244" t="s">
        <v>4155</v>
      </c>
      <c r="I6304" s="40"/>
    </row>
    <row r="6305" spans="1:9" ht="15" customHeight="1" x14ac:dyDescent="0.2">
      <c r="A6305" s="602">
        <v>43419</v>
      </c>
      <c r="B6305" s="174" t="s">
        <v>2933</v>
      </c>
      <c r="C6305" s="174" t="s">
        <v>3428</v>
      </c>
      <c r="D6305" s="812" t="s">
        <v>4220</v>
      </c>
      <c r="E6305" s="236">
        <v>225000</v>
      </c>
      <c r="F6305" s="236"/>
      <c r="G6305" s="236">
        <f t="shared" si="103"/>
        <v>-225000</v>
      </c>
      <c r="H6305" s="244" t="s">
        <v>4155</v>
      </c>
      <c r="I6305" s="40"/>
    </row>
    <row r="6306" spans="1:9" ht="15" customHeight="1" x14ac:dyDescent="0.2">
      <c r="A6306" s="602">
        <v>43419</v>
      </c>
      <c r="B6306" s="174" t="s">
        <v>3622</v>
      </c>
      <c r="C6306" s="174" t="s">
        <v>3772</v>
      </c>
      <c r="D6306" s="812" t="s">
        <v>4221</v>
      </c>
      <c r="E6306" s="236">
        <v>100000</v>
      </c>
      <c r="F6306" s="236"/>
      <c r="G6306" s="236">
        <f t="shared" si="103"/>
        <v>-100000</v>
      </c>
      <c r="H6306" s="244" t="s">
        <v>4155</v>
      </c>
      <c r="I6306" s="40"/>
    </row>
    <row r="6307" spans="1:9" ht="15" customHeight="1" x14ac:dyDescent="0.2">
      <c r="A6307" s="602">
        <v>43420</v>
      </c>
      <c r="B6307" s="174" t="s">
        <v>2652</v>
      </c>
      <c r="C6307" s="174" t="s">
        <v>4164</v>
      </c>
      <c r="D6307" s="812" t="s">
        <v>4235</v>
      </c>
      <c r="E6307" s="236">
        <v>25000</v>
      </c>
      <c r="F6307" s="236"/>
      <c r="G6307" s="236">
        <f t="shared" si="103"/>
        <v>-25000</v>
      </c>
      <c r="H6307" s="244" t="s">
        <v>4155</v>
      </c>
      <c r="I6307" s="40"/>
    </row>
    <row r="6308" spans="1:9" ht="15" customHeight="1" x14ac:dyDescent="0.2">
      <c r="A6308" s="602">
        <v>43421</v>
      </c>
      <c r="B6308" s="174" t="s">
        <v>1400</v>
      </c>
      <c r="C6308" s="174" t="s">
        <v>165</v>
      </c>
      <c r="D6308" s="812" t="s">
        <v>4236</v>
      </c>
      <c r="E6308" s="236">
        <v>63600</v>
      </c>
      <c r="F6308" s="236"/>
      <c r="G6308" s="236">
        <f t="shared" si="103"/>
        <v>-63600</v>
      </c>
      <c r="H6308" s="244" t="s">
        <v>4155</v>
      </c>
      <c r="I6308" s="40"/>
    </row>
    <row r="6309" spans="1:9" ht="15" customHeight="1" x14ac:dyDescent="0.2">
      <c r="A6309" s="602">
        <v>43421</v>
      </c>
      <c r="B6309" s="174" t="s">
        <v>2933</v>
      </c>
      <c r="C6309" s="174" t="s">
        <v>165</v>
      </c>
      <c r="D6309" s="812" t="s">
        <v>4236</v>
      </c>
      <c r="E6309" s="236">
        <v>91500</v>
      </c>
      <c r="F6309" s="236"/>
      <c r="G6309" s="236">
        <f t="shared" si="103"/>
        <v>-91500</v>
      </c>
      <c r="H6309" s="244" t="s">
        <v>4155</v>
      </c>
      <c r="I6309" s="40"/>
    </row>
    <row r="6310" spans="1:9" ht="15" customHeight="1" x14ac:dyDescent="0.2">
      <c r="A6310" s="602">
        <v>43421</v>
      </c>
      <c r="B6310" s="174" t="s">
        <v>3622</v>
      </c>
      <c r="C6310" s="174" t="s">
        <v>165</v>
      </c>
      <c r="D6310" s="812" t="s">
        <v>4236</v>
      </c>
      <c r="E6310" s="236">
        <v>6050</v>
      </c>
      <c r="F6310" s="236"/>
      <c r="G6310" s="236">
        <f t="shared" si="103"/>
        <v>-6050</v>
      </c>
      <c r="H6310" s="244" t="s">
        <v>4155</v>
      </c>
      <c r="I6310" s="40"/>
    </row>
    <row r="6311" spans="1:9" ht="15" customHeight="1" x14ac:dyDescent="0.2">
      <c r="A6311" s="602">
        <v>43421</v>
      </c>
      <c r="B6311" s="174" t="s">
        <v>2933</v>
      </c>
      <c r="C6311" s="174" t="s">
        <v>165</v>
      </c>
      <c r="D6311" s="812" t="s">
        <v>4237</v>
      </c>
      <c r="E6311" s="236">
        <v>40000</v>
      </c>
      <c r="F6311" s="236"/>
      <c r="G6311" s="236">
        <f t="shared" si="103"/>
        <v>-40000</v>
      </c>
      <c r="H6311" s="244" t="s">
        <v>4155</v>
      </c>
      <c r="I6311" s="40"/>
    </row>
    <row r="6312" spans="1:9" ht="15" customHeight="1" x14ac:dyDescent="0.2">
      <c r="A6312" s="602">
        <v>43426</v>
      </c>
      <c r="B6312" s="174" t="s">
        <v>2933</v>
      </c>
      <c r="C6312" s="174" t="s">
        <v>716</v>
      </c>
      <c r="D6312" s="812" t="s">
        <v>4238</v>
      </c>
      <c r="E6312" s="236">
        <v>500000</v>
      </c>
      <c r="F6312" s="236"/>
      <c r="G6312" s="236">
        <f t="shared" si="103"/>
        <v>-500000</v>
      </c>
      <c r="H6312" s="244" t="s">
        <v>4155</v>
      </c>
      <c r="I6312" s="40"/>
    </row>
    <row r="6313" spans="1:9" ht="15" x14ac:dyDescent="0.2">
      <c r="A6313" s="602">
        <v>43426</v>
      </c>
      <c r="B6313" s="174" t="s">
        <v>2933</v>
      </c>
      <c r="C6313" s="174" t="s">
        <v>716</v>
      </c>
      <c r="D6313" s="812" t="s">
        <v>4239</v>
      </c>
      <c r="E6313" s="236">
        <v>500000</v>
      </c>
      <c r="F6313" s="236"/>
      <c r="G6313" s="236">
        <f t="shared" si="103"/>
        <v>-500000</v>
      </c>
      <c r="H6313" s="244" t="s">
        <v>4155</v>
      </c>
      <c r="I6313" s="40"/>
    </row>
    <row r="6314" spans="1:9" ht="15" x14ac:dyDescent="0.2">
      <c r="A6314" s="602">
        <v>43427</v>
      </c>
      <c r="B6314" s="174" t="s">
        <v>2933</v>
      </c>
      <c r="C6314" s="174" t="s">
        <v>3112</v>
      </c>
      <c r="D6314" s="812" t="s">
        <v>4240</v>
      </c>
      <c r="E6314" s="236">
        <v>100000</v>
      </c>
      <c r="F6314" s="236"/>
      <c r="G6314" s="236">
        <f t="shared" si="103"/>
        <v>-100000</v>
      </c>
      <c r="H6314" s="244" t="s">
        <v>4155</v>
      </c>
      <c r="I6314" s="40"/>
    </row>
    <row r="6315" spans="1:9" ht="15" x14ac:dyDescent="0.2">
      <c r="A6315" s="602">
        <v>43431</v>
      </c>
      <c r="B6315" s="174" t="s">
        <v>2933</v>
      </c>
      <c r="C6315" s="174" t="s">
        <v>3145</v>
      </c>
      <c r="D6315" s="812" t="s">
        <v>4242</v>
      </c>
      <c r="E6315" s="236">
        <f>31920/2</f>
        <v>15960</v>
      </c>
      <c r="F6315" s="236"/>
      <c r="G6315" s="236">
        <f t="shared" si="103"/>
        <v>-15960</v>
      </c>
      <c r="H6315" s="244" t="s">
        <v>4155</v>
      </c>
      <c r="I6315" s="40"/>
    </row>
    <row r="6316" spans="1:9" ht="15" x14ac:dyDescent="0.2">
      <c r="A6316" s="602">
        <v>43431</v>
      </c>
      <c r="B6316" s="174" t="s">
        <v>1400</v>
      </c>
      <c r="C6316" s="174" t="s">
        <v>3145</v>
      </c>
      <c r="D6316" s="812" t="s">
        <v>4242</v>
      </c>
      <c r="E6316" s="236">
        <f>31920/2</f>
        <v>15960</v>
      </c>
      <c r="F6316" s="236"/>
      <c r="G6316" s="236">
        <f t="shared" si="103"/>
        <v>-15960</v>
      </c>
      <c r="H6316" s="244" t="s">
        <v>4155</v>
      </c>
      <c r="I6316" s="40"/>
    </row>
    <row r="6317" spans="1:9" ht="15" x14ac:dyDescent="0.2">
      <c r="A6317" s="602">
        <v>43431</v>
      </c>
      <c r="B6317" s="174" t="s">
        <v>2933</v>
      </c>
      <c r="C6317" s="174" t="s">
        <v>3275</v>
      </c>
      <c r="D6317" s="812" t="s">
        <v>4243</v>
      </c>
      <c r="E6317" s="236">
        <v>30000</v>
      </c>
      <c r="F6317" s="236"/>
      <c r="G6317" s="236">
        <f t="shared" si="103"/>
        <v>-30000</v>
      </c>
      <c r="H6317" s="244" t="s">
        <v>4155</v>
      </c>
      <c r="I6317" s="40"/>
    </row>
    <row r="6318" spans="1:9" ht="15" x14ac:dyDescent="0.2">
      <c r="A6318" s="602">
        <v>43434</v>
      </c>
      <c r="B6318" s="174" t="s">
        <v>3733</v>
      </c>
      <c r="C6318" s="174" t="s">
        <v>3755</v>
      </c>
      <c r="D6318" s="812" t="s">
        <v>4244</v>
      </c>
      <c r="E6318" s="236">
        <v>60000</v>
      </c>
      <c r="F6318" s="236"/>
      <c r="G6318" s="236">
        <f t="shared" si="103"/>
        <v>-60000</v>
      </c>
      <c r="H6318" s="244" t="s">
        <v>4155</v>
      </c>
      <c r="I6318" s="40"/>
    </row>
    <row r="6319" spans="1:9" ht="15" x14ac:dyDescent="0.2">
      <c r="A6319" s="602">
        <v>43434</v>
      </c>
      <c r="B6319" s="174" t="s">
        <v>1400</v>
      </c>
      <c r="C6319" s="174" t="s">
        <v>4245</v>
      </c>
      <c r="D6319" s="812" t="s">
        <v>4246</v>
      </c>
      <c r="E6319" s="236">
        <v>200000</v>
      </c>
      <c r="F6319" s="236"/>
      <c r="G6319" s="236">
        <f t="shared" si="103"/>
        <v>-200000</v>
      </c>
      <c r="H6319" s="244" t="s">
        <v>4155</v>
      </c>
      <c r="I6319" s="40"/>
    </row>
    <row r="6320" spans="1:9" ht="15" x14ac:dyDescent="0.2">
      <c r="A6320" s="602">
        <v>43434</v>
      </c>
      <c r="B6320" s="174" t="s">
        <v>1400</v>
      </c>
      <c r="C6320" s="174" t="s">
        <v>4245</v>
      </c>
      <c r="D6320" s="812" t="s">
        <v>4247</v>
      </c>
      <c r="E6320" s="236">
        <v>250000</v>
      </c>
      <c r="F6320" s="236"/>
      <c r="G6320" s="236">
        <f t="shared" si="103"/>
        <v>-250000</v>
      </c>
      <c r="H6320" s="244" t="s">
        <v>4155</v>
      </c>
      <c r="I6320" s="40"/>
    </row>
    <row r="6321" spans="1:9" ht="15" x14ac:dyDescent="0.2">
      <c r="A6321" s="602">
        <v>43434</v>
      </c>
      <c r="B6321" s="174" t="s">
        <v>2933</v>
      </c>
      <c r="C6321" s="174" t="s">
        <v>6767</v>
      </c>
      <c r="D6321" s="812" t="s">
        <v>4260</v>
      </c>
      <c r="E6321" s="236">
        <v>100000</v>
      </c>
      <c r="F6321" s="236"/>
      <c r="G6321" s="236">
        <f t="shared" si="103"/>
        <v>-100000</v>
      </c>
      <c r="H6321" s="244" t="s">
        <v>4155</v>
      </c>
      <c r="I6321" s="40"/>
    </row>
    <row r="6322" spans="1:9" ht="15" x14ac:dyDescent="0.2">
      <c r="A6322" s="599">
        <v>43410</v>
      </c>
      <c r="B6322" s="91" t="s">
        <v>3946</v>
      </c>
      <c r="C6322" s="94" t="s">
        <v>559</v>
      </c>
      <c r="D6322" s="801" t="s">
        <v>4128</v>
      </c>
      <c r="E6322" s="92"/>
      <c r="F6322" s="92">
        <v>277500</v>
      </c>
      <c r="G6322" s="92">
        <f t="shared" si="103"/>
        <v>277500</v>
      </c>
      <c r="H6322" s="261" t="s">
        <v>4155</v>
      </c>
    </row>
    <row r="6323" spans="1:9" ht="15" x14ac:dyDescent="0.2">
      <c r="A6323" s="599">
        <v>43419</v>
      </c>
      <c r="B6323" s="91" t="s">
        <v>37</v>
      </c>
      <c r="C6323" s="94" t="s">
        <v>559</v>
      </c>
      <c r="D6323" s="801" t="s">
        <v>4214</v>
      </c>
      <c r="E6323" s="92"/>
      <c r="F6323" s="92">
        <v>157140</v>
      </c>
      <c r="G6323" s="92">
        <f t="shared" si="103"/>
        <v>157140</v>
      </c>
      <c r="H6323" s="261" t="s">
        <v>4155</v>
      </c>
    </row>
    <row r="6324" spans="1:9" ht="24" customHeight="1" x14ac:dyDescent="0.2">
      <c r="A6324" s="599">
        <v>43419</v>
      </c>
      <c r="B6324" s="91" t="s">
        <v>37</v>
      </c>
      <c r="C6324" s="94" t="s">
        <v>559</v>
      </c>
      <c r="D6324" s="798" t="s">
        <v>4213</v>
      </c>
      <c r="E6324" s="92"/>
      <c r="F6324" s="92">
        <v>27750</v>
      </c>
      <c r="G6324" s="92">
        <f t="shared" si="103"/>
        <v>27750</v>
      </c>
      <c r="H6324" s="261" t="s">
        <v>4155</v>
      </c>
    </row>
    <row r="6325" spans="1:9" ht="15" customHeight="1" x14ac:dyDescent="0.2">
      <c r="A6325" s="599">
        <v>43423</v>
      </c>
      <c r="B6325" s="91" t="s">
        <v>3945</v>
      </c>
      <c r="C6325" s="94" t="s">
        <v>559</v>
      </c>
      <c r="D6325" s="801" t="s">
        <v>4234</v>
      </c>
      <c r="E6325" s="92"/>
      <c r="F6325" s="92">
        <v>305250</v>
      </c>
      <c r="G6325" s="92">
        <f t="shared" ref="G6325:G6388" si="104">F6325-E6325</f>
        <v>305250</v>
      </c>
      <c r="H6325" s="261" t="s">
        <v>4155</v>
      </c>
    </row>
    <row r="6326" spans="1:9" ht="15" customHeight="1" x14ac:dyDescent="0.2">
      <c r="A6326" s="599">
        <v>43423</v>
      </c>
      <c r="B6326" s="91" t="s">
        <v>3946</v>
      </c>
      <c r="C6326" s="94" t="s">
        <v>559</v>
      </c>
      <c r="D6326" s="801" t="s">
        <v>4234</v>
      </c>
      <c r="E6326" s="92"/>
      <c r="F6326" s="92">
        <v>277500</v>
      </c>
      <c r="G6326" s="92">
        <f t="shared" si="104"/>
        <v>277500</v>
      </c>
      <c r="H6326" s="261" t="s">
        <v>4155</v>
      </c>
    </row>
    <row r="6327" spans="1:9" ht="15" customHeight="1" x14ac:dyDescent="0.2">
      <c r="A6327" s="599">
        <v>43431</v>
      </c>
      <c r="B6327" s="91" t="s">
        <v>3733</v>
      </c>
      <c r="C6327" s="94" t="s">
        <v>559</v>
      </c>
      <c r="D6327" s="801" t="s">
        <v>4241</v>
      </c>
      <c r="E6327" s="92"/>
      <c r="F6327" s="92">
        <v>400000</v>
      </c>
      <c r="G6327" s="92">
        <f t="shared" si="104"/>
        <v>400000</v>
      </c>
      <c r="H6327" s="261" t="s">
        <v>4155</v>
      </c>
    </row>
    <row r="6328" spans="1:9" ht="15" x14ac:dyDescent="0.2">
      <c r="A6328" s="597">
        <v>43435</v>
      </c>
      <c r="B6328" s="41" t="s">
        <v>2933</v>
      </c>
      <c r="C6328" s="63" t="s">
        <v>794</v>
      </c>
      <c r="D6328" s="108" t="s">
        <v>1836</v>
      </c>
      <c r="E6328" s="58">
        <v>25000</v>
      </c>
      <c r="F6328" s="58"/>
      <c r="G6328" s="58">
        <f t="shared" si="104"/>
        <v>-25000</v>
      </c>
      <c r="H6328" s="121" t="s">
        <v>4248</v>
      </c>
    </row>
    <row r="6329" spans="1:9" ht="15" x14ac:dyDescent="0.2">
      <c r="A6329" s="597">
        <v>43435</v>
      </c>
      <c r="B6329" s="41" t="s">
        <v>2652</v>
      </c>
      <c r="C6329" s="63" t="s">
        <v>794</v>
      </c>
      <c r="D6329" s="108" t="s">
        <v>1836</v>
      </c>
      <c r="E6329" s="58">
        <v>25000</v>
      </c>
      <c r="F6329" s="58"/>
      <c r="G6329" s="58">
        <f t="shared" si="104"/>
        <v>-25000</v>
      </c>
      <c r="H6329" s="121" t="s">
        <v>4248</v>
      </c>
    </row>
    <row r="6330" spans="1:9" ht="15" x14ac:dyDescent="0.2">
      <c r="A6330" s="597">
        <v>43435</v>
      </c>
      <c r="B6330" s="41" t="s">
        <v>2652</v>
      </c>
      <c r="C6330" s="63" t="s">
        <v>794</v>
      </c>
      <c r="D6330" s="108" t="s">
        <v>372</v>
      </c>
      <c r="E6330" s="58">
        <v>25000</v>
      </c>
      <c r="F6330" s="58"/>
      <c r="G6330" s="58">
        <f t="shared" si="104"/>
        <v>-25000</v>
      </c>
      <c r="H6330" s="121" t="s">
        <v>4248</v>
      </c>
    </row>
    <row r="6331" spans="1:9" ht="15" x14ac:dyDescent="0.2">
      <c r="A6331" s="597">
        <v>43435</v>
      </c>
      <c r="B6331" s="41" t="s">
        <v>2933</v>
      </c>
      <c r="C6331" s="63" t="s">
        <v>794</v>
      </c>
      <c r="D6331" s="108" t="s">
        <v>372</v>
      </c>
      <c r="E6331" s="58">
        <v>25000</v>
      </c>
      <c r="F6331" s="58"/>
      <c r="G6331" s="58">
        <f t="shared" si="104"/>
        <v>-25000</v>
      </c>
      <c r="H6331" s="121" t="s">
        <v>4248</v>
      </c>
    </row>
    <row r="6332" spans="1:9" ht="15" x14ac:dyDescent="0.2">
      <c r="A6332" s="597">
        <v>43435</v>
      </c>
      <c r="B6332" s="41" t="s">
        <v>25</v>
      </c>
      <c r="C6332" s="63" t="s">
        <v>794</v>
      </c>
      <c r="D6332" s="108" t="s">
        <v>1839</v>
      </c>
      <c r="E6332" s="58">
        <v>10000</v>
      </c>
      <c r="F6332" s="58"/>
      <c r="G6332" s="58">
        <f t="shared" si="104"/>
        <v>-10000</v>
      </c>
      <c r="H6332" s="121" t="s">
        <v>4248</v>
      </c>
    </row>
    <row r="6333" spans="1:9" ht="15" x14ac:dyDescent="0.2">
      <c r="A6333" s="597">
        <v>43435</v>
      </c>
      <c r="B6333" s="41" t="s">
        <v>25</v>
      </c>
      <c r="C6333" s="63" t="s">
        <v>794</v>
      </c>
      <c r="D6333" s="108" t="s">
        <v>1840</v>
      </c>
      <c r="E6333" s="58">
        <v>10000</v>
      </c>
      <c r="F6333" s="58"/>
      <c r="G6333" s="58">
        <f t="shared" si="104"/>
        <v>-10000</v>
      </c>
      <c r="H6333" s="121" t="s">
        <v>4248</v>
      </c>
    </row>
    <row r="6334" spans="1:9" ht="15" x14ac:dyDescent="0.2">
      <c r="A6334" s="597">
        <v>43435</v>
      </c>
      <c r="B6334" s="41" t="s">
        <v>25</v>
      </c>
      <c r="C6334" s="63" t="s">
        <v>794</v>
      </c>
      <c r="D6334" s="108" t="s">
        <v>1547</v>
      </c>
      <c r="E6334" s="58">
        <v>10000</v>
      </c>
      <c r="F6334" s="58"/>
      <c r="G6334" s="58">
        <f t="shared" si="104"/>
        <v>-10000</v>
      </c>
      <c r="H6334" s="121" t="s">
        <v>4248</v>
      </c>
    </row>
    <row r="6335" spans="1:9" ht="15" x14ac:dyDescent="0.2">
      <c r="A6335" s="597">
        <v>43435</v>
      </c>
      <c r="B6335" s="41" t="s">
        <v>16</v>
      </c>
      <c r="C6335" s="63" t="s">
        <v>794</v>
      </c>
      <c r="D6335" s="108" t="s">
        <v>1844</v>
      </c>
      <c r="E6335" s="58">
        <v>26733.666666666664</v>
      </c>
      <c r="F6335" s="58"/>
      <c r="G6335" s="58">
        <f t="shared" si="104"/>
        <v>-26733.666666666664</v>
      </c>
      <c r="H6335" s="121" t="s">
        <v>4248</v>
      </c>
    </row>
    <row r="6336" spans="1:9" ht="15" x14ac:dyDescent="0.2">
      <c r="A6336" s="597">
        <v>43435</v>
      </c>
      <c r="B6336" s="41" t="s">
        <v>16</v>
      </c>
      <c r="C6336" s="63" t="s">
        <v>794</v>
      </c>
      <c r="D6336" s="108" t="s">
        <v>1842</v>
      </c>
      <c r="E6336" s="58">
        <v>30000</v>
      </c>
      <c r="F6336" s="58"/>
      <c r="G6336" s="58">
        <f t="shared" si="104"/>
        <v>-30000</v>
      </c>
      <c r="H6336" s="121" t="s">
        <v>4248</v>
      </c>
    </row>
    <row r="6337" spans="1:8" ht="15" x14ac:dyDescent="0.2">
      <c r="A6337" s="597">
        <v>43435</v>
      </c>
      <c r="B6337" s="41" t="s">
        <v>16</v>
      </c>
      <c r="C6337" s="63" t="s">
        <v>794</v>
      </c>
      <c r="D6337" s="108" t="s">
        <v>3065</v>
      </c>
      <c r="E6337" s="58">
        <v>13000</v>
      </c>
      <c r="F6337" s="58"/>
      <c r="G6337" s="58">
        <f t="shared" si="104"/>
        <v>-13000</v>
      </c>
      <c r="H6337" s="121" t="s">
        <v>4248</v>
      </c>
    </row>
    <row r="6338" spans="1:8" ht="15" x14ac:dyDescent="0.2">
      <c r="A6338" s="597">
        <v>43435</v>
      </c>
      <c r="B6338" s="41" t="s">
        <v>16</v>
      </c>
      <c r="C6338" s="63" t="s">
        <v>794</v>
      </c>
      <c r="D6338" s="108" t="s">
        <v>2283</v>
      </c>
      <c r="E6338" s="58">
        <v>22850</v>
      </c>
      <c r="F6338" s="58"/>
      <c r="G6338" s="58">
        <f t="shared" si="104"/>
        <v>-22850</v>
      </c>
      <c r="H6338" s="121" t="s">
        <v>4248</v>
      </c>
    </row>
    <row r="6339" spans="1:8" ht="15" x14ac:dyDescent="0.2">
      <c r="A6339" s="597">
        <v>43435</v>
      </c>
      <c r="B6339" s="41" t="s">
        <v>16</v>
      </c>
      <c r="C6339" s="63" t="s">
        <v>794</v>
      </c>
      <c r="D6339" s="108" t="s">
        <v>3230</v>
      </c>
      <c r="E6339" s="58">
        <v>14983.333333333332</v>
      </c>
      <c r="F6339" s="58"/>
      <c r="G6339" s="58">
        <f t="shared" si="104"/>
        <v>-14983.333333333332</v>
      </c>
      <c r="H6339" s="121" t="s">
        <v>4248</v>
      </c>
    </row>
    <row r="6340" spans="1:8" ht="15" x14ac:dyDescent="0.2">
      <c r="A6340" s="597">
        <v>43435</v>
      </c>
      <c r="B6340" s="41" t="s">
        <v>16</v>
      </c>
      <c r="C6340" s="63" t="s">
        <v>794</v>
      </c>
      <c r="D6340" s="108" t="s">
        <v>3612</v>
      </c>
      <c r="E6340" s="58">
        <v>6500</v>
      </c>
      <c r="F6340" s="58"/>
      <c r="G6340" s="58">
        <f t="shared" si="104"/>
        <v>-6500</v>
      </c>
      <c r="H6340" s="121" t="s">
        <v>4248</v>
      </c>
    </row>
    <row r="6341" spans="1:8" ht="15" x14ac:dyDescent="0.2">
      <c r="A6341" s="597">
        <v>43435</v>
      </c>
      <c r="B6341" s="41" t="s">
        <v>3945</v>
      </c>
      <c r="C6341" s="63" t="s">
        <v>794</v>
      </c>
      <c r="D6341" s="108" t="s">
        <v>2282</v>
      </c>
      <c r="E6341" s="58">
        <v>42799.895833333336</v>
      </c>
      <c r="F6341" s="58"/>
      <c r="G6341" s="58">
        <f t="shared" si="104"/>
        <v>-42799.895833333336</v>
      </c>
      <c r="H6341" s="121" t="s">
        <v>4248</v>
      </c>
    </row>
    <row r="6342" spans="1:8" ht="15" x14ac:dyDescent="0.2">
      <c r="A6342" s="597">
        <v>43435</v>
      </c>
      <c r="B6342" s="41" t="s">
        <v>3945</v>
      </c>
      <c r="C6342" s="63" t="s">
        <v>794</v>
      </c>
      <c r="D6342" s="108" t="s">
        <v>2758</v>
      </c>
      <c r="E6342" s="58">
        <v>20259.75</v>
      </c>
      <c r="F6342" s="58"/>
      <c r="G6342" s="58">
        <f t="shared" si="104"/>
        <v>-20259.75</v>
      </c>
      <c r="H6342" s="121" t="s">
        <v>4248</v>
      </c>
    </row>
    <row r="6343" spans="1:8" ht="15" x14ac:dyDescent="0.2">
      <c r="A6343" s="597">
        <v>43435</v>
      </c>
      <c r="B6343" s="41" t="s">
        <v>3945</v>
      </c>
      <c r="C6343" s="63" t="s">
        <v>794</v>
      </c>
      <c r="D6343" s="108" t="s">
        <v>3236</v>
      </c>
      <c r="E6343" s="58">
        <v>17910</v>
      </c>
      <c r="F6343" s="58"/>
      <c r="G6343" s="58">
        <f t="shared" si="104"/>
        <v>-17910</v>
      </c>
      <c r="H6343" s="121" t="s">
        <v>4248</v>
      </c>
    </row>
    <row r="6344" spans="1:8" ht="15" x14ac:dyDescent="0.2">
      <c r="A6344" s="597">
        <v>43435</v>
      </c>
      <c r="B6344" s="41" t="s">
        <v>3945</v>
      </c>
      <c r="C6344" s="63" t="s">
        <v>794</v>
      </c>
      <c r="D6344" s="108" t="s">
        <v>4005</v>
      </c>
      <c r="E6344" s="58">
        <v>17350</v>
      </c>
      <c r="F6344" s="58"/>
      <c r="G6344" s="58">
        <f t="shared" si="104"/>
        <v>-17350</v>
      </c>
      <c r="H6344" s="121" t="s">
        <v>4248</v>
      </c>
    </row>
    <row r="6345" spans="1:8" ht="15" x14ac:dyDescent="0.2">
      <c r="A6345" s="597">
        <v>43435</v>
      </c>
      <c r="B6345" s="41" t="s">
        <v>3945</v>
      </c>
      <c r="C6345" s="63" t="s">
        <v>794</v>
      </c>
      <c r="D6345" s="108" t="s">
        <v>3841</v>
      </c>
      <c r="E6345" s="58">
        <v>24710</v>
      </c>
      <c r="F6345" s="58"/>
      <c r="G6345" s="58">
        <f t="shared" si="104"/>
        <v>-24710</v>
      </c>
      <c r="H6345" s="121" t="s">
        <v>4248</v>
      </c>
    </row>
    <row r="6346" spans="1:8" ht="15" x14ac:dyDescent="0.2">
      <c r="A6346" s="597">
        <v>43435</v>
      </c>
      <c r="B6346" s="41" t="s">
        <v>3945</v>
      </c>
      <c r="C6346" s="63" t="s">
        <v>794</v>
      </c>
      <c r="D6346" s="108" t="s">
        <v>4075</v>
      </c>
      <c r="E6346" s="58">
        <v>19000</v>
      </c>
      <c r="F6346" s="58"/>
      <c r="G6346" s="58">
        <f t="shared" si="104"/>
        <v>-19000</v>
      </c>
      <c r="H6346" s="121" t="s">
        <v>4248</v>
      </c>
    </row>
    <row r="6347" spans="1:8" ht="15" x14ac:dyDescent="0.2">
      <c r="A6347" s="597">
        <v>43435</v>
      </c>
      <c r="B6347" s="41" t="s">
        <v>3945</v>
      </c>
      <c r="C6347" s="63" t="s">
        <v>794</v>
      </c>
      <c r="D6347" s="108" t="s">
        <v>4076</v>
      </c>
      <c r="E6347" s="58">
        <v>21900</v>
      </c>
      <c r="F6347" s="58"/>
      <c r="G6347" s="58">
        <f t="shared" si="104"/>
        <v>-21900</v>
      </c>
      <c r="H6347" s="121" t="s">
        <v>4248</v>
      </c>
    </row>
    <row r="6348" spans="1:8" ht="15" x14ac:dyDescent="0.2">
      <c r="A6348" s="597">
        <v>43435</v>
      </c>
      <c r="B6348" s="41" t="s">
        <v>3946</v>
      </c>
      <c r="C6348" s="63" t="s">
        <v>794</v>
      </c>
      <c r="D6348" s="108" t="s">
        <v>4077</v>
      </c>
      <c r="E6348" s="58">
        <v>35416.666666666672</v>
      </c>
      <c r="F6348" s="58"/>
      <c r="G6348" s="58">
        <f t="shared" si="104"/>
        <v>-35416.666666666672</v>
      </c>
      <c r="H6348" s="121" t="s">
        <v>4248</v>
      </c>
    </row>
    <row r="6349" spans="1:8" ht="15" x14ac:dyDescent="0.2">
      <c r="A6349" s="597">
        <v>43435</v>
      </c>
      <c r="B6349" s="41" t="s">
        <v>3946</v>
      </c>
      <c r="C6349" s="63" t="s">
        <v>794</v>
      </c>
      <c r="D6349" s="108" t="s">
        <v>4191</v>
      </c>
      <c r="E6349" s="58">
        <v>29500</v>
      </c>
      <c r="F6349" s="58"/>
      <c r="G6349" s="58">
        <f t="shared" si="104"/>
        <v>-29500</v>
      </c>
      <c r="H6349" s="121" t="s">
        <v>4248</v>
      </c>
    </row>
    <row r="6350" spans="1:8" ht="15" x14ac:dyDescent="0.2">
      <c r="A6350" s="597">
        <v>43435</v>
      </c>
      <c r="B6350" s="41" t="s">
        <v>3946</v>
      </c>
      <c r="C6350" s="63" t="s">
        <v>794</v>
      </c>
      <c r="D6350" s="108" t="s">
        <v>4192</v>
      </c>
      <c r="E6350" s="58">
        <v>32175</v>
      </c>
      <c r="F6350" s="58"/>
      <c r="G6350" s="58">
        <f t="shared" si="104"/>
        <v>-32175</v>
      </c>
      <c r="H6350" s="121" t="s">
        <v>4248</v>
      </c>
    </row>
    <row r="6351" spans="1:8" ht="15" x14ac:dyDescent="0.2">
      <c r="A6351" s="597">
        <v>43435</v>
      </c>
      <c r="B6351" s="41" t="s">
        <v>3946</v>
      </c>
      <c r="C6351" s="63" t="s">
        <v>794</v>
      </c>
      <c r="D6351" s="108" t="s">
        <v>4324</v>
      </c>
      <c r="E6351" s="58">
        <v>17533.333333333336</v>
      </c>
      <c r="F6351" s="58"/>
      <c r="G6351" s="58">
        <f t="shared" si="104"/>
        <v>-17533.333333333336</v>
      </c>
      <c r="H6351" s="121" t="s">
        <v>4248</v>
      </c>
    </row>
    <row r="6352" spans="1:8" ht="15" x14ac:dyDescent="0.2">
      <c r="A6352" s="597">
        <v>43435</v>
      </c>
      <c r="B6352" s="41" t="s">
        <v>3946</v>
      </c>
      <c r="C6352" s="63" t="s">
        <v>794</v>
      </c>
      <c r="D6352" s="108" t="s">
        <v>4194</v>
      </c>
      <c r="E6352" s="58">
        <v>20000.000000000004</v>
      </c>
      <c r="F6352" s="58"/>
      <c r="G6352" s="58">
        <f t="shared" si="104"/>
        <v>-20000.000000000004</v>
      </c>
      <c r="H6352" s="121" t="s">
        <v>4248</v>
      </c>
    </row>
    <row r="6353" spans="1:8" ht="15" x14ac:dyDescent="0.2">
      <c r="A6353" s="597">
        <v>43435</v>
      </c>
      <c r="B6353" s="41" t="s">
        <v>3946</v>
      </c>
      <c r="C6353" s="63" t="s">
        <v>794</v>
      </c>
      <c r="D6353" s="108" t="s">
        <v>4195</v>
      </c>
      <c r="E6353" s="58">
        <v>21633.333333333332</v>
      </c>
      <c r="F6353" s="58"/>
      <c r="G6353" s="58">
        <f t="shared" si="104"/>
        <v>-21633.333333333332</v>
      </c>
      <c r="H6353" s="121" t="s">
        <v>4248</v>
      </c>
    </row>
    <row r="6354" spans="1:8" ht="15" x14ac:dyDescent="0.2">
      <c r="A6354" s="597">
        <v>43435</v>
      </c>
      <c r="B6354" s="41" t="s">
        <v>3946</v>
      </c>
      <c r="C6354" s="63" t="s">
        <v>794</v>
      </c>
      <c r="D6354" s="108" t="s">
        <v>1565</v>
      </c>
      <c r="E6354" s="58">
        <v>32360.166666666664</v>
      </c>
      <c r="F6354" s="58"/>
      <c r="G6354" s="58">
        <f t="shared" si="104"/>
        <v>-32360.166666666664</v>
      </c>
      <c r="H6354" s="121" t="s">
        <v>4248</v>
      </c>
    </row>
    <row r="6355" spans="1:8" ht="15" x14ac:dyDescent="0.2">
      <c r="A6355" s="597">
        <v>43435</v>
      </c>
      <c r="B6355" s="41" t="s">
        <v>3946</v>
      </c>
      <c r="C6355" s="63" t="s">
        <v>794</v>
      </c>
      <c r="D6355" s="108" t="s">
        <v>4325</v>
      </c>
      <c r="E6355" s="58">
        <v>19933.333333333336</v>
      </c>
      <c r="F6355" s="58"/>
      <c r="G6355" s="58">
        <f t="shared" si="104"/>
        <v>-19933.333333333336</v>
      </c>
      <c r="H6355" s="121" t="s">
        <v>4248</v>
      </c>
    </row>
    <row r="6356" spans="1:8" ht="15" x14ac:dyDescent="0.2">
      <c r="A6356" s="597">
        <v>43435</v>
      </c>
      <c r="B6356" s="41" t="s">
        <v>1400</v>
      </c>
      <c r="C6356" s="63" t="s">
        <v>794</v>
      </c>
      <c r="D6356" s="108" t="s">
        <v>1858</v>
      </c>
      <c r="E6356" s="58">
        <v>38000</v>
      </c>
      <c r="F6356" s="58"/>
      <c r="G6356" s="58">
        <f t="shared" si="104"/>
        <v>-38000</v>
      </c>
      <c r="H6356" s="121" t="s">
        <v>4248</v>
      </c>
    </row>
    <row r="6357" spans="1:8" ht="15" x14ac:dyDescent="0.2">
      <c r="A6357" s="597">
        <v>43435</v>
      </c>
      <c r="B6357" s="41" t="s">
        <v>1400</v>
      </c>
      <c r="C6357" s="63" t="s">
        <v>794</v>
      </c>
      <c r="D6357" s="108" t="s">
        <v>2482</v>
      </c>
      <c r="E6357" s="58">
        <v>28125</v>
      </c>
      <c r="F6357" s="58"/>
      <c r="G6357" s="58">
        <f t="shared" si="104"/>
        <v>-28125</v>
      </c>
      <c r="H6357" s="121" t="s">
        <v>4248</v>
      </c>
    </row>
    <row r="6358" spans="1:8" ht="15" x14ac:dyDescent="0.2">
      <c r="A6358" s="597">
        <v>43435</v>
      </c>
      <c r="B6358" s="41" t="s">
        <v>1400</v>
      </c>
      <c r="C6358" s="63" t="s">
        <v>794</v>
      </c>
      <c r="D6358" s="108" t="s">
        <v>1550</v>
      </c>
      <c r="E6358" s="58">
        <v>19710.166666666668</v>
      </c>
      <c r="F6358" s="58"/>
      <c r="G6358" s="58">
        <f t="shared" si="104"/>
        <v>-19710.166666666668</v>
      </c>
      <c r="H6358" s="121" t="s">
        <v>4248</v>
      </c>
    </row>
    <row r="6359" spans="1:8" ht="15" x14ac:dyDescent="0.2">
      <c r="A6359" s="597">
        <v>43435</v>
      </c>
      <c r="B6359" s="41" t="s">
        <v>1400</v>
      </c>
      <c r="C6359" s="63" t="s">
        <v>794</v>
      </c>
      <c r="D6359" s="108" t="s">
        <v>1871</v>
      </c>
      <c r="E6359" s="58">
        <v>37000</v>
      </c>
      <c r="F6359" s="58"/>
      <c r="G6359" s="58">
        <f t="shared" si="104"/>
        <v>-37000</v>
      </c>
      <c r="H6359" s="121" t="s">
        <v>4248</v>
      </c>
    </row>
    <row r="6360" spans="1:8" ht="15" x14ac:dyDescent="0.2">
      <c r="A6360" s="597">
        <v>43435</v>
      </c>
      <c r="B6360" s="41" t="s">
        <v>1400</v>
      </c>
      <c r="C6360" s="63" t="s">
        <v>794</v>
      </c>
      <c r="D6360" s="108" t="s">
        <v>3234</v>
      </c>
      <c r="E6360" s="58">
        <v>15000</v>
      </c>
      <c r="F6360" s="58"/>
      <c r="G6360" s="58">
        <f t="shared" si="104"/>
        <v>-15000</v>
      </c>
      <c r="H6360" s="121" t="s">
        <v>4248</v>
      </c>
    </row>
    <row r="6361" spans="1:8" ht="15" x14ac:dyDescent="0.2">
      <c r="A6361" s="597">
        <v>43435</v>
      </c>
      <c r="B6361" s="41" t="s">
        <v>1400</v>
      </c>
      <c r="C6361" s="63" t="s">
        <v>794</v>
      </c>
      <c r="D6361" s="108" t="s">
        <v>3491</v>
      </c>
      <c r="E6361" s="58">
        <v>21066.666666666668</v>
      </c>
      <c r="F6361" s="58"/>
      <c r="G6361" s="58">
        <f t="shared" si="104"/>
        <v>-21066.666666666668</v>
      </c>
      <c r="H6361" s="121" t="s">
        <v>4248</v>
      </c>
    </row>
    <row r="6362" spans="1:8" ht="15" x14ac:dyDescent="0.2">
      <c r="A6362" s="597">
        <v>43435</v>
      </c>
      <c r="B6362" s="41" t="s">
        <v>1400</v>
      </c>
      <c r="C6362" s="63" t="s">
        <v>794</v>
      </c>
      <c r="D6362" s="108" t="s">
        <v>1542</v>
      </c>
      <c r="E6362" s="58">
        <v>19200</v>
      </c>
      <c r="F6362" s="58"/>
      <c r="G6362" s="58">
        <f t="shared" si="104"/>
        <v>-19200</v>
      </c>
      <c r="H6362" s="121" t="s">
        <v>4248</v>
      </c>
    </row>
    <row r="6363" spans="1:8" ht="15" x14ac:dyDescent="0.2">
      <c r="A6363" s="597">
        <v>43435</v>
      </c>
      <c r="B6363" s="41" t="s">
        <v>1400</v>
      </c>
      <c r="C6363" s="63" t="s">
        <v>794</v>
      </c>
      <c r="D6363" s="108" t="s">
        <v>1862</v>
      </c>
      <c r="E6363" s="58">
        <v>16500</v>
      </c>
      <c r="F6363" s="58"/>
      <c r="G6363" s="58">
        <f t="shared" si="104"/>
        <v>-16500</v>
      </c>
      <c r="H6363" s="121" t="s">
        <v>4248</v>
      </c>
    </row>
    <row r="6364" spans="1:8" ht="15" x14ac:dyDescent="0.2">
      <c r="A6364" s="597">
        <v>43435</v>
      </c>
      <c r="B6364" s="41" t="s">
        <v>1400</v>
      </c>
      <c r="C6364" s="63" t="s">
        <v>794</v>
      </c>
      <c r="D6364" s="108" t="s">
        <v>1850</v>
      </c>
      <c r="E6364" s="58">
        <v>12300</v>
      </c>
      <c r="F6364" s="58"/>
      <c r="G6364" s="58">
        <f t="shared" si="104"/>
        <v>-12300</v>
      </c>
      <c r="H6364" s="121" t="s">
        <v>4248</v>
      </c>
    </row>
    <row r="6365" spans="1:8" ht="15" x14ac:dyDescent="0.2">
      <c r="A6365" s="597">
        <v>43435</v>
      </c>
      <c r="B6365" s="41" t="s">
        <v>1400</v>
      </c>
      <c r="C6365" s="63" t="s">
        <v>794</v>
      </c>
      <c r="D6365" s="108" t="s">
        <v>3492</v>
      </c>
      <c r="E6365" s="58">
        <v>3133.3333333333321</v>
      </c>
      <c r="F6365" s="58"/>
      <c r="G6365" s="58">
        <f t="shared" si="104"/>
        <v>-3133.3333333333321</v>
      </c>
      <c r="H6365" s="121" t="s">
        <v>4248</v>
      </c>
    </row>
    <row r="6366" spans="1:8" ht="15" x14ac:dyDescent="0.2">
      <c r="A6366" s="597">
        <v>43435</v>
      </c>
      <c r="B6366" s="41" t="s">
        <v>1400</v>
      </c>
      <c r="C6366" s="63" t="s">
        <v>794</v>
      </c>
      <c r="D6366" s="108" t="s">
        <v>3068</v>
      </c>
      <c r="E6366" s="58">
        <v>12500.000000000002</v>
      </c>
      <c r="F6366" s="58"/>
      <c r="G6366" s="58">
        <f t="shared" si="104"/>
        <v>-12500.000000000002</v>
      </c>
      <c r="H6366" s="121" t="s">
        <v>4248</v>
      </c>
    </row>
    <row r="6367" spans="1:8" ht="15" x14ac:dyDescent="0.2">
      <c r="A6367" s="597">
        <v>43435</v>
      </c>
      <c r="B6367" s="41" t="s">
        <v>1400</v>
      </c>
      <c r="C6367" s="63" t="s">
        <v>794</v>
      </c>
      <c r="D6367" s="108" t="s">
        <v>4006</v>
      </c>
      <c r="E6367" s="58">
        <v>5866.6666666666661</v>
      </c>
      <c r="F6367" s="58"/>
      <c r="G6367" s="58">
        <f t="shared" si="104"/>
        <v>-5866.6666666666661</v>
      </c>
      <c r="H6367" s="121" t="s">
        <v>4248</v>
      </c>
    </row>
    <row r="6368" spans="1:8" ht="15" x14ac:dyDescent="0.2">
      <c r="A6368" s="597">
        <v>43435</v>
      </c>
      <c r="B6368" s="41" t="s">
        <v>1400</v>
      </c>
      <c r="C6368" s="63" t="s">
        <v>794</v>
      </c>
      <c r="D6368" s="108" t="s">
        <v>2481</v>
      </c>
      <c r="E6368" s="58">
        <v>12708.333333333332</v>
      </c>
      <c r="F6368" s="58"/>
      <c r="G6368" s="58">
        <f t="shared" si="104"/>
        <v>-12708.333333333332</v>
      </c>
      <c r="H6368" s="121" t="s">
        <v>4248</v>
      </c>
    </row>
    <row r="6369" spans="1:8" ht="15" x14ac:dyDescent="0.2">
      <c r="A6369" s="597">
        <v>43435</v>
      </c>
      <c r="B6369" s="41" t="s">
        <v>6516</v>
      </c>
      <c r="C6369" s="63" t="s">
        <v>794</v>
      </c>
      <c r="D6369" s="108" t="s">
        <v>1855</v>
      </c>
      <c r="E6369" s="58">
        <v>20000</v>
      </c>
      <c r="F6369" s="58"/>
      <c r="G6369" s="58">
        <f t="shared" si="104"/>
        <v>-20000</v>
      </c>
      <c r="H6369" s="121" t="s">
        <v>4248</v>
      </c>
    </row>
    <row r="6370" spans="1:8" ht="15" x14ac:dyDescent="0.2">
      <c r="A6370" s="597">
        <v>43435</v>
      </c>
      <c r="B6370" s="41" t="s">
        <v>6516</v>
      </c>
      <c r="C6370" s="63" t="s">
        <v>794</v>
      </c>
      <c r="D6370" s="108" t="s">
        <v>1861</v>
      </c>
      <c r="E6370" s="58">
        <v>16700</v>
      </c>
      <c r="F6370" s="58"/>
      <c r="G6370" s="58">
        <f t="shared" si="104"/>
        <v>-16700</v>
      </c>
      <c r="H6370" s="121" t="s">
        <v>4248</v>
      </c>
    </row>
    <row r="6371" spans="1:8" ht="15" x14ac:dyDescent="0.2">
      <c r="A6371" s="597">
        <v>43435</v>
      </c>
      <c r="B6371" s="41" t="s">
        <v>6516</v>
      </c>
      <c r="C6371" s="63" t="s">
        <v>794</v>
      </c>
      <c r="D6371" s="108" t="s">
        <v>1849</v>
      </c>
      <c r="E6371" s="58">
        <v>15500.000000000004</v>
      </c>
      <c r="F6371" s="58"/>
      <c r="G6371" s="58">
        <f t="shared" si="104"/>
        <v>-15500.000000000004</v>
      </c>
      <c r="H6371" s="121" t="s">
        <v>4248</v>
      </c>
    </row>
    <row r="6372" spans="1:8" ht="15" x14ac:dyDescent="0.2">
      <c r="A6372" s="597">
        <v>43435</v>
      </c>
      <c r="B6372" s="41" t="s">
        <v>6516</v>
      </c>
      <c r="C6372" s="63" t="s">
        <v>794</v>
      </c>
      <c r="D6372" s="108" t="s">
        <v>3615</v>
      </c>
      <c r="E6372" s="58">
        <v>12400.416666666668</v>
      </c>
      <c r="F6372" s="58"/>
      <c r="G6372" s="58">
        <f t="shared" si="104"/>
        <v>-12400.416666666668</v>
      </c>
      <c r="H6372" s="121" t="s">
        <v>4248</v>
      </c>
    </row>
    <row r="6373" spans="1:8" ht="15" x14ac:dyDescent="0.2">
      <c r="A6373" s="597">
        <v>43435</v>
      </c>
      <c r="B6373" s="41" t="s">
        <v>6516</v>
      </c>
      <c r="C6373" s="63" t="s">
        <v>794</v>
      </c>
      <c r="D6373" s="108" t="s">
        <v>4196</v>
      </c>
      <c r="E6373" s="58">
        <v>11459.583333333334</v>
      </c>
      <c r="F6373" s="58"/>
      <c r="G6373" s="58">
        <f t="shared" si="104"/>
        <v>-11459.583333333334</v>
      </c>
      <c r="H6373" s="121" t="s">
        <v>4248</v>
      </c>
    </row>
    <row r="6374" spans="1:8" ht="15" x14ac:dyDescent="0.2">
      <c r="A6374" s="597">
        <v>43435</v>
      </c>
      <c r="B6374" s="41" t="s">
        <v>6516</v>
      </c>
      <c r="C6374" s="63" t="s">
        <v>794</v>
      </c>
      <c r="D6374" s="108" t="s">
        <v>4007</v>
      </c>
      <c r="E6374" s="58">
        <v>10583.333333333334</v>
      </c>
      <c r="F6374" s="58"/>
      <c r="G6374" s="58">
        <f t="shared" si="104"/>
        <v>-10583.333333333334</v>
      </c>
      <c r="H6374" s="121" t="s">
        <v>4248</v>
      </c>
    </row>
    <row r="6375" spans="1:8" ht="15" x14ac:dyDescent="0.2">
      <c r="A6375" s="597">
        <v>43435</v>
      </c>
      <c r="B6375" s="41" t="s">
        <v>37</v>
      </c>
      <c r="C6375" s="63" t="s">
        <v>794</v>
      </c>
      <c r="D6375" s="108" t="s">
        <v>1866</v>
      </c>
      <c r="E6375" s="58">
        <v>23749.916666666668</v>
      </c>
      <c r="F6375" s="58"/>
      <c r="G6375" s="58">
        <f t="shared" si="104"/>
        <v>-23749.916666666668</v>
      </c>
      <c r="H6375" s="121" t="s">
        <v>4248</v>
      </c>
    </row>
    <row r="6376" spans="1:8" ht="15" x14ac:dyDescent="0.2">
      <c r="A6376" s="597">
        <v>43435</v>
      </c>
      <c r="B6376" s="41" t="s">
        <v>37</v>
      </c>
      <c r="C6376" s="63" t="s">
        <v>794</v>
      </c>
      <c r="D6376" s="108" t="s">
        <v>1867</v>
      </c>
      <c r="E6376" s="58">
        <v>16000</v>
      </c>
      <c r="F6376" s="58"/>
      <c r="G6376" s="58">
        <f t="shared" si="104"/>
        <v>-16000</v>
      </c>
      <c r="H6376" s="121" t="s">
        <v>4248</v>
      </c>
    </row>
    <row r="6377" spans="1:8" ht="15" x14ac:dyDescent="0.2">
      <c r="A6377" s="597">
        <v>43435</v>
      </c>
      <c r="B6377" s="41" t="s">
        <v>37</v>
      </c>
      <c r="C6377" s="63" t="s">
        <v>794</v>
      </c>
      <c r="D6377" s="108" t="s">
        <v>1868</v>
      </c>
      <c r="E6377" s="58">
        <v>15416.666666666666</v>
      </c>
      <c r="F6377" s="58"/>
      <c r="G6377" s="58">
        <f t="shared" si="104"/>
        <v>-15416.666666666666</v>
      </c>
      <c r="H6377" s="121" t="s">
        <v>4248</v>
      </c>
    </row>
    <row r="6378" spans="1:8" ht="15" x14ac:dyDescent="0.2">
      <c r="A6378" s="597">
        <v>43435</v>
      </c>
      <c r="B6378" s="41" t="s">
        <v>37</v>
      </c>
      <c r="C6378" s="63" t="s">
        <v>794</v>
      </c>
      <c r="D6378" s="108" t="s">
        <v>4197</v>
      </c>
      <c r="E6378" s="58">
        <v>3200</v>
      </c>
      <c r="F6378" s="58"/>
      <c r="G6378" s="58">
        <f t="shared" si="104"/>
        <v>-3200</v>
      </c>
      <c r="H6378" s="121" t="s">
        <v>4248</v>
      </c>
    </row>
    <row r="6379" spans="1:8" ht="15" x14ac:dyDescent="0.2">
      <c r="A6379" s="597">
        <v>43435</v>
      </c>
      <c r="B6379" s="41" t="s">
        <v>37</v>
      </c>
      <c r="C6379" s="63" t="s">
        <v>794</v>
      </c>
      <c r="D6379" s="108" t="s">
        <v>4083</v>
      </c>
      <c r="E6379" s="58">
        <v>9100</v>
      </c>
      <c r="F6379" s="58"/>
      <c r="G6379" s="58">
        <f t="shared" si="104"/>
        <v>-9100</v>
      </c>
      <c r="H6379" s="121" t="s">
        <v>4248</v>
      </c>
    </row>
    <row r="6380" spans="1:8" ht="15" x14ac:dyDescent="0.2">
      <c r="A6380" s="597">
        <v>43435</v>
      </c>
      <c r="B6380" s="41" t="s">
        <v>37</v>
      </c>
      <c r="C6380" s="63" t="s">
        <v>794</v>
      </c>
      <c r="D6380" s="108" t="s">
        <v>3830</v>
      </c>
      <c r="E6380" s="58">
        <v>2800</v>
      </c>
      <c r="F6380" s="58"/>
      <c r="G6380" s="58">
        <f t="shared" si="104"/>
        <v>-2800</v>
      </c>
      <c r="H6380" s="121" t="s">
        <v>4248</v>
      </c>
    </row>
    <row r="6381" spans="1:8" ht="15" x14ac:dyDescent="0.2">
      <c r="A6381" s="597">
        <v>43435</v>
      </c>
      <c r="B6381" s="41" t="s">
        <v>37</v>
      </c>
      <c r="C6381" s="63" t="s">
        <v>794</v>
      </c>
      <c r="D6381" s="108" t="s">
        <v>1240</v>
      </c>
      <c r="E6381" s="58">
        <v>28600</v>
      </c>
      <c r="F6381" s="58"/>
      <c r="G6381" s="58">
        <f t="shared" si="104"/>
        <v>-28600</v>
      </c>
      <c r="H6381" s="121" t="s">
        <v>4248</v>
      </c>
    </row>
    <row r="6382" spans="1:8" ht="15" x14ac:dyDescent="0.2">
      <c r="A6382" s="597">
        <v>43435</v>
      </c>
      <c r="B6382" s="41" t="s">
        <v>2933</v>
      </c>
      <c r="C6382" s="63" t="s">
        <v>794</v>
      </c>
      <c r="D6382" s="108" t="s">
        <v>1864</v>
      </c>
      <c r="E6382" s="58">
        <v>39000</v>
      </c>
      <c r="F6382" s="58"/>
      <c r="G6382" s="58">
        <f t="shared" si="104"/>
        <v>-39000</v>
      </c>
      <c r="H6382" s="121" t="s">
        <v>4248</v>
      </c>
    </row>
    <row r="6383" spans="1:8" ht="15" x14ac:dyDescent="0.2">
      <c r="A6383" s="597">
        <v>43435</v>
      </c>
      <c r="B6383" s="41" t="s">
        <v>2933</v>
      </c>
      <c r="C6383" s="63" t="s">
        <v>794</v>
      </c>
      <c r="D6383" s="108" t="s">
        <v>1845</v>
      </c>
      <c r="E6383" s="58">
        <v>26866.25</v>
      </c>
      <c r="F6383" s="58"/>
      <c r="G6383" s="58">
        <f t="shared" si="104"/>
        <v>-26866.25</v>
      </c>
      <c r="H6383" s="121" t="s">
        <v>4248</v>
      </c>
    </row>
    <row r="6384" spans="1:8" ht="15" x14ac:dyDescent="0.2">
      <c r="A6384" s="597">
        <v>43435</v>
      </c>
      <c r="B6384" s="41" t="s">
        <v>2933</v>
      </c>
      <c r="C6384" s="63" t="s">
        <v>794</v>
      </c>
      <c r="D6384" s="108" t="s">
        <v>668</v>
      </c>
      <c r="E6384" s="58">
        <v>22989.75</v>
      </c>
      <c r="F6384" s="58"/>
      <c r="G6384" s="58">
        <f t="shared" si="104"/>
        <v>-22989.75</v>
      </c>
      <c r="H6384" s="121" t="s">
        <v>4248</v>
      </c>
    </row>
    <row r="6385" spans="1:8" ht="15" x14ac:dyDescent="0.2">
      <c r="A6385" s="597">
        <v>43435</v>
      </c>
      <c r="B6385" s="41" t="s">
        <v>2933</v>
      </c>
      <c r="C6385" s="63" t="s">
        <v>794</v>
      </c>
      <c r="D6385" s="108" t="s">
        <v>1852</v>
      </c>
      <c r="E6385" s="58">
        <v>32500</v>
      </c>
      <c r="F6385" s="58"/>
      <c r="G6385" s="58">
        <f t="shared" si="104"/>
        <v>-32500</v>
      </c>
      <c r="H6385" s="121" t="s">
        <v>4248</v>
      </c>
    </row>
    <row r="6386" spans="1:8" ht="15" x14ac:dyDescent="0.2">
      <c r="A6386" s="597">
        <v>43435</v>
      </c>
      <c r="B6386" s="41" t="s">
        <v>2933</v>
      </c>
      <c r="C6386" s="63" t="s">
        <v>794</v>
      </c>
      <c r="D6386" s="108" t="s">
        <v>4326</v>
      </c>
      <c r="E6386" s="58">
        <v>5800</v>
      </c>
      <c r="F6386" s="58"/>
      <c r="G6386" s="58">
        <f t="shared" si="104"/>
        <v>-5800</v>
      </c>
      <c r="H6386" s="121" t="s">
        <v>4248</v>
      </c>
    </row>
    <row r="6387" spans="1:8" ht="15" x14ac:dyDescent="0.2">
      <c r="A6387" s="597">
        <v>43435</v>
      </c>
      <c r="B6387" s="41" t="s">
        <v>2933</v>
      </c>
      <c r="C6387" s="63" t="s">
        <v>794</v>
      </c>
      <c r="D6387" s="108" t="s">
        <v>1859</v>
      </c>
      <c r="E6387" s="58">
        <v>18669.625</v>
      </c>
      <c r="F6387" s="58"/>
      <c r="G6387" s="58">
        <f t="shared" si="104"/>
        <v>-18669.625</v>
      </c>
      <c r="H6387" s="121" t="s">
        <v>4248</v>
      </c>
    </row>
    <row r="6388" spans="1:8" ht="15" x14ac:dyDescent="0.2">
      <c r="A6388" s="597">
        <v>43435</v>
      </c>
      <c r="B6388" s="41" t="s">
        <v>2933</v>
      </c>
      <c r="C6388" s="63" t="s">
        <v>794</v>
      </c>
      <c r="D6388" s="108" t="s">
        <v>3490</v>
      </c>
      <c r="E6388" s="58">
        <v>12019.583333333334</v>
      </c>
      <c r="F6388" s="58"/>
      <c r="G6388" s="58">
        <f t="shared" si="104"/>
        <v>-12019.583333333334</v>
      </c>
      <c r="H6388" s="121" t="s">
        <v>4248</v>
      </c>
    </row>
    <row r="6389" spans="1:8" ht="15" x14ac:dyDescent="0.2">
      <c r="A6389" s="597">
        <v>43435</v>
      </c>
      <c r="B6389" s="41" t="s">
        <v>2933</v>
      </c>
      <c r="C6389" s="63" t="s">
        <v>794</v>
      </c>
      <c r="D6389" s="108" t="s">
        <v>352</v>
      </c>
      <c r="E6389" s="58">
        <v>10490.333333333334</v>
      </c>
      <c r="F6389" s="58"/>
      <c r="G6389" s="58">
        <f t="shared" ref="G6389:G6452" si="105">F6389-E6389</f>
        <v>-10490.333333333334</v>
      </c>
      <c r="H6389" s="121" t="s">
        <v>4248</v>
      </c>
    </row>
    <row r="6390" spans="1:8" ht="15" x14ac:dyDescent="0.2">
      <c r="A6390" s="597">
        <v>43435</v>
      </c>
      <c r="B6390" s="41" t="s">
        <v>2652</v>
      </c>
      <c r="C6390" s="63" t="s">
        <v>794</v>
      </c>
      <c r="D6390" s="108" t="s">
        <v>3616</v>
      </c>
      <c r="E6390" s="58">
        <v>40000</v>
      </c>
      <c r="F6390" s="58"/>
      <c r="G6390" s="58">
        <f t="shared" si="105"/>
        <v>-40000</v>
      </c>
      <c r="H6390" s="121" t="s">
        <v>4248</v>
      </c>
    </row>
    <row r="6391" spans="1:8" ht="15" x14ac:dyDescent="0.2">
      <c r="A6391" s="597">
        <v>43435</v>
      </c>
      <c r="B6391" s="41" t="s">
        <v>2652</v>
      </c>
      <c r="C6391" s="63" t="s">
        <v>794</v>
      </c>
      <c r="D6391" s="108" t="s">
        <v>1847</v>
      </c>
      <c r="E6391" s="58">
        <v>17066.666666666668</v>
      </c>
      <c r="F6391" s="58"/>
      <c r="G6391" s="58">
        <f t="shared" si="105"/>
        <v>-17066.666666666668</v>
      </c>
      <c r="H6391" s="121" t="s">
        <v>4248</v>
      </c>
    </row>
    <row r="6392" spans="1:8" ht="15" x14ac:dyDescent="0.2">
      <c r="A6392" s="597">
        <v>43435</v>
      </c>
      <c r="B6392" s="41" t="s">
        <v>2652</v>
      </c>
      <c r="C6392" s="63" t="s">
        <v>794</v>
      </c>
      <c r="D6392" s="108" t="s">
        <v>4327</v>
      </c>
      <c r="E6392" s="58">
        <v>12750.000000000002</v>
      </c>
      <c r="F6392" s="58"/>
      <c r="G6392" s="58">
        <f t="shared" si="105"/>
        <v>-12750.000000000002</v>
      </c>
      <c r="H6392" s="121" t="s">
        <v>4248</v>
      </c>
    </row>
    <row r="6393" spans="1:8" ht="15" x14ac:dyDescent="0.2">
      <c r="A6393" s="597">
        <v>43435</v>
      </c>
      <c r="B6393" s="41" t="s">
        <v>2652</v>
      </c>
      <c r="C6393" s="63" t="s">
        <v>794</v>
      </c>
      <c r="D6393" s="108" t="s">
        <v>4328</v>
      </c>
      <c r="E6393" s="58">
        <v>11180.952380952382</v>
      </c>
      <c r="F6393" s="58"/>
      <c r="G6393" s="58">
        <f t="shared" si="105"/>
        <v>-11180.952380952382</v>
      </c>
      <c r="H6393" s="121" t="s">
        <v>4248</v>
      </c>
    </row>
    <row r="6394" spans="1:8" ht="15" x14ac:dyDescent="0.2">
      <c r="A6394" s="597">
        <v>43435</v>
      </c>
      <c r="B6394" s="41" t="s">
        <v>2652</v>
      </c>
      <c r="C6394" s="63" t="s">
        <v>794</v>
      </c>
      <c r="D6394" s="108" t="s">
        <v>2280</v>
      </c>
      <c r="E6394" s="58">
        <v>19150</v>
      </c>
      <c r="F6394" s="58"/>
      <c r="G6394" s="58">
        <f t="shared" si="105"/>
        <v>-19150</v>
      </c>
      <c r="H6394" s="121" t="s">
        <v>4248</v>
      </c>
    </row>
    <row r="6395" spans="1:8" ht="15" x14ac:dyDescent="0.2">
      <c r="A6395" s="597">
        <v>43435</v>
      </c>
      <c r="B6395" s="41" t="s">
        <v>2652</v>
      </c>
      <c r="C6395" s="63" t="s">
        <v>794</v>
      </c>
      <c r="D6395" s="108" t="s">
        <v>3231</v>
      </c>
      <c r="E6395" s="58">
        <v>32570</v>
      </c>
      <c r="F6395" s="58"/>
      <c r="G6395" s="58">
        <f t="shared" si="105"/>
        <v>-32570</v>
      </c>
      <c r="H6395" s="121" t="s">
        <v>4248</v>
      </c>
    </row>
    <row r="6396" spans="1:8" ht="15" x14ac:dyDescent="0.2">
      <c r="A6396" s="597">
        <v>43435</v>
      </c>
      <c r="B6396" s="41" t="s">
        <v>2652</v>
      </c>
      <c r="C6396" s="63" t="s">
        <v>794</v>
      </c>
      <c r="D6396" s="108" t="s">
        <v>1860</v>
      </c>
      <c r="E6396" s="58">
        <v>17529.5</v>
      </c>
      <c r="F6396" s="58"/>
      <c r="G6396" s="58">
        <f t="shared" si="105"/>
        <v>-17529.5</v>
      </c>
      <c r="H6396" s="121" t="s">
        <v>4248</v>
      </c>
    </row>
    <row r="6397" spans="1:8" ht="15" x14ac:dyDescent="0.2">
      <c r="A6397" s="597">
        <v>43435</v>
      </c>
      <c r="B6397" s="41" t="s">
        <v>2652</v>
      </c>
      <c r="C6397" s="63" t="s">
        <v>794</v>
      </c>
      <c r="D6397" s="108" t="s">
        <v>4120</v>
      </c>
      <c r="E6397" s="58">
        <v>20900.416666666668</v>
      </c>
      <c r="F6397" s="58"/>
      <c r="G6397" s="58">
        <f t="shared" si="105"/>
        <v>-20900.416666666668</v>
      </c>
      <c r="H6397" s="121" t="s">
        <v>4248</v>
      </c>
    </row>
    <row r="6398" spans="1:8" ht="15" x14ac:dyDescent="0.2">
      <c r="A6398" s="597">
        <v>43435</v>
      </c>
      <c r="B6398" s="41" t="s">
        <v>2652</v>
      </c>
      <c r="C6398" s="63" t="s">
        <v>794</v>
      </c>
      <c r="D6398" s="108" t="s">
        <v>4121</v>
      </c>
      <c r="E6398" s="58">
        <v>22819.874999999996</v>
      </c>
      <c r="F6398" s="58"/>
      <c r="G6398" s="58">
        <f t="shared" si="105"/>
        <v>-22819.874999999996</v>
      </c>
      <c r="H6398" s="121" t="s">
        <v>4248</v>
      </c>
    </row>
    <row r="6399" spans="1:8" ht="15" x14ac:dyDescent="0.2">
      <c r="A6399" s="597">
        <v>43435</v>
      </c>
      <c r="B6399" s="41" t="s">
        <v>11</v>
      </c>
      <c r="C6399" s="63" t="s">
        <v>794</v>
      </c>
      <c r="D6399" s="108" t="s">
        <v>6132</v>
      </c>
      <c r="E6399" s="58">
        <v>1000</v>
      </c>
      <c r="F6399" s="58"/>
      <c r="G6399" s="58">
        <f t="shared" si="105"/>
        <v>-1000</v>
      </c>
      <c r="H6399" s="121" t="s">
        <v>4248</v>
      </c>
    </row>
    <row r="6400" spans="1:8" ht="15" x14ac:dyDescent="0.2">
      <c r="A6400" s="597">
        <v>43435</v>
      </c>
      <c r="B6400" s="41" t="s">
        <v>3622</v>
      </c>
      <c r="C6400" s="63" t="s">
        <v>3145</v>
      </c>
      <c r="D6400" s="108" t="s">
        <v>4298</v>
      </c>
      <c r="E6400" s="58">
        <v>12000</v>
      </c>
      <c r="F6400" s="58"/>
      <c r="G6400" s="58">
        <f t="shared" si="105"/>
        <v>-12000</v>
      </c>
      <c r="H6400" s="121" t="s">
        <v>4248</v>
      </c>
    </row>
    <row r="6401" spans="1:8" ht="15" x14ac:dyDescent="0.2">
      <c r="A6401" s="597">
        <v>43435</v>
      </c>
      <c r="B6401" s="41" t="s">
        <v>2933</v>
      </c>
      <c r="C6401" s="63" t="s">
        <v>3145</v>
      </c>
      <c r="D6401" s="108" t="s">
        <v>4299</v>
      </c>
      <c r="E6401" s="58">
        <v>18000</v>
      </c>
      <c r="F6401" s="58"/>
      <c r="G6401" s="58">
        <f t="shared" si="105"/>
        <v>-18000</v>
      </c>
      <c r="H6401" s="121" t="s">
        <v>4248</v>
      </c>
    </row>
    <row r="6402" spans="1:8" ht="15" x14ac:dyDescent="0.2">
      <c r="A6402" s="597">
        <v>43436</v>
      </c>
      <c r="B6402" s="41" t="s">
        <v>2933</v>
      </c>
      <c r="C6402" s="63" t="s">
        <v>3145</v>
      </c>
      <c r="D6402" s="108" t="s">
        <v>4300</v>
      </c>
      <c r="E6402" s="58">
        <f>2000+5648+500+2420+4800</f>
        <v>15368</v>
      </c>
      <c r="F6402" s="58"/>
      <c r="G6402" s="58">
        <f t="shared" si="105"/>
        <v>-15368</v>
      </c>
      <c r="H6402" s="121" t="s">
        <v>4248</v>
      </c>
    </row>
    <row r="6403" spans="1:8" ht="15" x14ac:dyDescent="0.2">
      <c r="A6403" s="597">
        <v>43436</v>
      </c>
      <c r="B6403" s="41" t="s">
        <v>2933</v>
      </c>
      <c r="C6403" s="63" t="s">
        <v>3145</v>
      </c>
      <c r="D6403" s="108" t="s">
        <v>4301</v>
      </c>
      <c r="E6403" s="58">
        <f>500+500+10000</f>
        <v>11000</v>
      </c>
      <c r="F6403" s="58"/>
      <c r="G6403" s="58">
        <f t="shared" si="105"/>
        <v>-11000</v>
      </c>
      <c r="H6403" s="121" t="s">
        <v>4248</v>
      </c>
    </row>
    <row r="6404" spans="1:8" ht="15" x14ac:dyDescent="0.2">
      <c r="A6404" s="597">
        <v>43437</v>
      </c>
      <c r="B6404" s="41" t="s">
        <v>16</v>
      </c>
      <c r="C6404" s="63" t="s">
        <v>3145</v>
      </c>
      <c r="D6404" s="108" t="s">
        <v>4302</v>
      </c>
      <c r="E6404" s="58">
        <v>1100</v>
      </c>
      <c r="F6404" s="58"/>
      <c r="G6404" s="58">
        <f t="shared" si="105"/>
        <v>-1100</v>
      </c>
      <c r="H6404" s="121" t="s">
        <v>4248</v>
      </c>
    </row>
    <row r="6405" spans="1:8" ht="15" x14ac:dyDescent="0.2">
      <c r="A6405" s="597">
        <v>43442</v>
      </c>
      <c r="B6405" s="41" t="s">
        <v>2933</v>
      </c>
      <c r="C6405" s="63" t="s">
        <v>3145</v>
      </c>
      <c r="D6405" s="108" t="s">
        <v>4303</v>
      </c>
      <c r="E6405" s="58">
        <v>14500</v>
      </c>
      <c r="F6405" s="58"/>
      <c r="G6405" s="58">
        <f t="shared" si="105"/>
        <v>-14500</v>
      </c>
      <c r="H6405" s="121" t="s">
        <v>4248</v>
      </c>
    </row>
    <row r="6406" spans="1:8" ht="15" x14ac:dyDescent="0.2">
      <c r="A6406" s="597">
        <v>43442</v>
      </c>
      <c r="B6406" s="41" t="s">
        <v>3622</v>
      </c>
      <c r="C6406" s="63" t="s">
        <v>3145</v>
      </c>
      <c r="D6406" s="108" t="s">
        <v>4304</v>
      </c>
      <c r="E6406" s="58">
        <v>5000</v>
      </c>
      <c r="F6406" s="58"/>
      <c r="G6406" s="58">
        <f t="shared" si="105"/>
        <v>-5000</v>
      </c>
      <c r="H6406" s="121" t="s">
        <v>4248</v>
      </c>
    </row>
    <row r="6407" spans="1:8" ht="15" x14ac:dyDescent="0.2">
      <c r="A6407" s="597">
        <v>43442</v>
      </c>
      <c r="B6407" s="41" t="s">
        <v>2652</v>
      </c>
      <c r="C6407" s="63" t="s">
        <v>3145</v>
      </c>
      <c r="D6407" s="108" t="s">
        <v>392</v>
      </c>
      <c r="E6407" s="58">
        <v>1274</v>
      </c>
      <c r="F6407" s="58"/>
      <c r="G6407" s="58">
        <f t="shared" si="105"/>
        <v>-1274</v>
      </c>
      <c r="H6407" s="121" t="s">
        <v>4248</v>
      </c>
    </row>
    <row r="6408" spans="1:8" ht="15" x14ac:dyDescent="0.2">
      <c r="A6408" s="597">
        <v>43442</v>
      </c>
      <c r="B6408" s="41" t="s">
        <v>3945</v>
      </c>
      <c r="C6408" s="63" t="s">
        <v>3145</v>
      </c>
      <c r="D6408" s="108" t="s">
        <v>4305</v>
      </c>
      <c r="E6408" s="58">
        <v>4000</v>
      </c>
      <c r="F6408" s="58"/>
      <c r="G6408" s="58">
        <f t="shared" si="105"/>
        <v>-4000</v>
      </c>
      <c r="H6408" s="121" t="s">
        <v>4248</v>
      </c>
    </row>
    <row r="6409" spans="1:8" ht="15" x14ac:dyDescent="0.2">
      <c r="A6409" s="597">
        <v>43442</v>
      </c>
      <c r="B6409" s="41" t="s">
        <v>6516</v>
      </c>
      <c r="C6409" s="63" t="s">
        <v>3145</v>
      </c>
      <c r="D6409" s="108" t="s">
        <v>4211</v>
      </c>
      <c r="E6409" s="58">
        <v>5000</v>
      </c>
      <c r="F6409" s="58"/>
      <c r="G6409" s="58">
        <f t="shared" si="105"/>
        <v>-5000</v>
      </c>
      <c r="H6409" s="121" t="s">
        <v>4248</v>
      </c>
    </row>
    <row r="6410" spans="1:8" ht="15" x14ac:dyDescent="0.2">
      <c r="A6410" s="597">
        <v>43442</v>
      </c>
      <c r="B6410" s="41" t="s">
        <v>3622</v>
      </c>
      <c r="C6410" s="63" t="s">
        <v>286</v>
      </c>
      <c r="D6410" s="108" t="s">
        <v>3629</v>
      </c>
      <c r="E6410" s="58">
        <v>1000</v>
      </c>
      <c r="F6410" s="58"/>
      <c r="G6410" s="58">
        <f t="shared" si="105"/>
        <v>-1000</v>
      </c>
      <c r="H6410" s="121" t="s">
        <v>4248</v>
      </c>
    </row>
    <row r="6411" spans="1:8" ht="15" x14ac:dyDescent="0.2">
      <c r="A6411" s="597">
        <v>43442</v>
      </c>
      <c r="B6411" s="41" t="s">
        <v>2933</v>
      </c>
      <c r="C6411" s="63" t="s">
        <v>3145</v>
      </c>
      <c r="D6411" s="108" t="s">
        <v>3971</v>
      </c>
      <c r="E6411" s="58">
        <v>6160</v>
      </c>
      <c r="F6411" s="58"/>
      <c r="G6411" s="58">
        <f t="shared" si="105"/>
        <v>-6160</v>
      </c>
      <c r="H6411" s="121" t="s">
        <v>4248</v>
      </c>
    </row>
    <row r="6412" spans="1:8" ht="15" x14ac:dyDescent="0.2">
      <c r="A6412" s="597">
        <v>43442</v>
      </c>
      <c r="B6412" s="41" t="s">
        <v>1400</v>
      </c>
      <c r="C6412" s="63" t="s">
        <v>929</v>
      </c>
      <c r="D6412" s="108" t="s">
        <v>3276</v>
      </c>
      <c r="E6412" s="58">
        <v>5000</v>
      </c>
      <c r="F6412" s="58"/>
      <c r="G6412" s="58">
        <f t="shared" si="105"/>
        <v>-5000</v>
      </c>
      <c r="H6412" s="121" t="s">
        <v>4248</v>
      </c>
    </row>
    <row r="6413" spans="1:8" ht="15" x14ac:dyDescent="0.2">
      <c r="A6413" s="597">
        <v>43442</v>
      </c>
      <c r="B6413" s="41" t="s">
        <v>25</v>
      </c>
      <c r="C6413" s="63" t="s">
        <v>1894</v>
      </c>
      <c r="D6413" s="108" t="s">
        <v>1975</v>
      </c>
      <c r="E6413" s="58">
        <v>9500</v>
      </c>
      <c r="F6413" s="58"/>
      <c r="G6413" s="58">
        <f t="shared" si="105"/>
        <v>-9500</v>
      </c>
      <c r="H6413" s="121" t="s">
        <v>4248</v>
      </c>
    </row>
    <row r="6414" spans="1:8" ht="15" x14ac:dyDescent="0.2">
      <c r="A6414" s="597">
        <v>43442</v>
      </c>
      <c r="B6414" s="41" t="s">
        <v>3622</v>
      </c>
      <c r="C6414" s="63" t="s">
        <v>3145</v>
      </c>
      <c r="D6414" s="108" t="s">
        <v>4306</v>
      </c>
      <c r="E6414" s="58">
        <v>1800</v>
      </c>
      <c r="F6414" s="58"/>
      <c r="G6414" s="58">
        <f t="shared" si="105"/>
        <v>-1800</v>
      </c>
      <c r="H6414" s="121" t="s">
        <v>4248</v>
      </c>
    </row>
    <row r="6415" spans="1:8" ht="15" x14ac:dyDescent="0.2">
      <c r="A6415" s="597">
        <v>43442</v>
      </c>
      <c r="B6415" s="41" t="s">
        <v>2652</v>
      </c>
      <c r="C6415" s="63" t="s">
        <v>3145</v>
      </c>
      <c r="D6415" s="108" t="s">
        <v>4306</v>
      </c>
      <c r="E6415" s="58">
        <v>8200</v>
      </c>
      <c r="F6415" s="58"/>
      <c r="G6415" s="58">
        <f t="shared" si="105"/>
        <v>-8200</v>
      </c>
      <c r="H6415" s="121" t="s">
        <v>4248</v>
      </c>
    </row>
    <row r="6416" spans="1:8" ht="15" x14ac:dyDescent="0.2">
      <c r="A6416" s="597">
        <v>43447</v>
      </c>
      <c r="B6416" s="41" t="s">
        <v>1400</v>
      </c>
      <c r="C6416" s="63" t="s">
        <v>3145</v>
      </c>
      <c r="D6416" s="108" t="s">
        <v>4208</v>
      </c>
      <c r="E6416" s="58">
        <v>15775</v>
      </c>
      <c r="F6416" s="58"/>
      <c r="G6416" s="58">
        <f t="shared" si="105"/>
        <v>-15775</v>
      </c>
      <c r="H6416" s="121" t="s">
        <v>4248</v>
      </c>
    </row>
    <row r="6417" spans="1:8" ht="15" x14ac:dyDescent="0.2">
      <c r="A6417" s="597">
        <v>43447</v>
      </c>
      <c r="B6417" s="41" t="s">
        <v>2652</v>
      </c>
      <c r="C6417" s="63" t="s">
        <v>3145</v>
      </c>
      <c r="D6417" s="108" t="s">
        <v>4307</v>
      </c>
      <c r="E6417" s="58">
        <v>13170</v>
      </c>
      <c r="F6417" s="58"/>
      <c r="G6417" s="58">
        <f t="shared" si="105"/>
        <v>-13170</v>
      </c>
      <c r="H6417" s="121" t="s">
        <v>4248</v>
      </c>
    </row>
    <row r="6418" spans="1:8" ht="15" x14ac:dyDescent="0.2">
      <c r="A6418" s="597">
        <v>43447</v>
      </c>
      <c r="B6418" s="41" t="s">
        <v>3622</v>
      </c>
      <c r="C6418" s="63" t="s">
        <v>3145</v>
      </c>
      <c r="D6418" s="108" t="s">
        <v>4308</v>
      </c>
      <c r="E6418" s="58">
        <v>8400</v>
      </c>
      <c r="F6418" s="58"/>
      <c r="G6418" s="58">
        <f t="shared" si="105"/>
        <v>-8400</v>
      </c>
      <c r="H6418" s="121" t="s">
        <v>4248</v>
      </c>
    </row>
    <row r="6419" spans="1:8" ht="15" x14ac:dyDescent="0.2">
      <c r="A6419" s="597">
        <v>43448</v>
      </c>
      <c r="B6419" s="41" t="s">
        <v>2933</v>
      </c>
      <c r="C6419" s="63" t="s">
        <v>3145</v>
      </c>
      <c r="D6419" s="108" t="s">
        <v>4309</v>
      </c>
      <c r="E6419" s="58">
        <v>24990</v>
      </c>
      <c r="F6419" s="58"/>
      <c r="G6419" s="58">
        <f t="shared" si="105"/>
        <v>-24990</v>
      </c>
      <c r="H6419" s="121" t="s">
        <v>4248</v>
      </c>
    </row>
    <row r="6420" spans="1:8" ht="15" x14ac:dyDescent="0.2">
      <c r="A6420" s="597">
        <v>43448</v>
      </c>
      <c r="B6420" s="41" t="s">
        <v>2933</v>
      </c>
      <c r="C6420" s="63" t="s">
        <v>3145</v>
      </c>
      <c r="D6420" s="108" t="s">
        <v>4310</v>
      </c>
      <c r="E6420" s="58">
        <v>23900</v>
      </c>
      <c r="F6420" s="58"/>
      <c r="G6420" s="58">
        <f t="shared" si="105"/>
        <v>-23900</v>
      </c>
      <c r="H6420" s="121" t="s">
        <v>4248</v>
      </c>
    </row>
    <row r="6421" spans="1:8" ht="15" x14ac:dyDescent="0.2">
      <c r="A6421" s="597">
        <v>43448</v>
      </c>
      <c r="B6421" s="41" t="s">
        <v>2652</v>
      </c>
      <c r="C6421" s="63" t="s">
        <v>3145</v>
      </c>
      <c r="D6421" s="108" t="s">
        <v>4228</v>
      </c>
      <c r="E6421" s="58">
        <v>4000</v>
      </c>
      <c r="F6421" s="58"/>
      <c r="G6421" s="58">
        <f t="shared" si="105"/>
        <v>-4000</v>
      </c>
      <c r="H6421" s="121" t="s">
        <v>4248</v>
      </c>
    </row>
    <row r="6422" spans="1:8" ht="15" x14ac:dyDescent="0.2">
      <c r="A6422" s="597">
        <v>43449</v>
      </c>
      <c r="B6422" s="41" t="s">
        <v>3622</v>
      </c>
      <c r="C6422" s="63" t="s">
        <v>3145</v>
      </c>
      <c r="D6422" s="108" t="s">
        <v>4228</v>
      </c>
      <c r="E6422" s="58">
        <v>3485</v>
      </c>
      <c r="F6422" s="58"/>
      <c r="G6422" s="58">
        <f t="shared" si="105"/>
        <v>-3485</v>
      </c>
      <c r="H6422" s="121" t="s">
        <v>4248</v>
      </c>
    </row>
    <row r="6423" spans="1:8" ht="15" x14ac:dyDescent="0.2">
      <c r="A6423" s="597">
        <v>43449</v>
      </c>
      <c r="B6423" s="41" t="s">
        <v>16</v>
      </c>
      <c r="C6423" s="63" t="s">
        <v>3791</v>
      </c>
      <c r="D6423" s="108" t="s">
        <v>370</v>
      </c>
      <c r="E6423" s="58">
        <v>4150</v>
      </c>
      <c r="F6423" s="58"/>
      <c r="G6423" s="58">
        <f t="shared" si="105"/>
        <v>-4150</v>
      </c>
      <c r="H6423" s="121" t="s">
        <v>4248</v>
      </c>
    </row>
    <row r="6424" spans="1:8" ht="15" x14ac:dyDescent="0.2">
      <c r="A6424" s="597">
        <v>43449</v>
      </c>
      <c r="B6424" s="41" t="s">
        <v>2933</v>
      </c>
      <c r="C6424" s="63" t="s">
        <v>3145</v>
      </c>
      <c r="D6424" s="108" t="s">
        <v>4311</v>
      </c>
      <c r="E6424" s="58">
        <f>36000</f>
        <v>36000</v>
      </c>
      <c r="F6424" s="58"/>
      <c r="G6424" s="58">
        <f t="shared" si="105"/>
        <v>-36000</v>
      </c>
      <c r="H6424" s="121" t="s">
        <v>4248</v>
      </c>
    </row>
    <row r="6425" spans="1:8" ht="15" x14ac:dyDescent="0.2">
      <c r="A6425" s="597">
        <v>43449</v>
      </c>
      <c r="B6425" s="41" t="s">
        <v>3622</v>
      </c>
      <c r="C6425" s="63" t="s">
        <v>3145</v>
      </c>
      <c r="D6425" s="108" t="s">
        <v>4311</v>
      </c>
      <c r="E6425" s="58">
        <v>4360</v>
      </c>
      <c r="F6425" s="58"/>
      <c r="G6425" s="58">
        <f t="shared" si="105"/>
        <v>-4360</v>
      </c>
      <c r="H6425" s="121" t="s">
        <v>4248</v>
      </c>
    </row>
    <row r="6426" spans="1:8" ht="15" x14ac:dyDescent="0.2">
      <c r="A6426" s="597">
        <v>43449</v>
      </c>
      <c r="B6426" s="41" t="s">
        <v>2933</v>
      </c>
      <c r="C6426" s="63" t="s">
        <v>3145</v>
      </c>
      <c r="D6426" s="108" t="s">
        <v>4312</v>
      </c>
      <c r="E6426" s="58">
        <v>10918</v>
      </c>
      <c r="F6426" s="58"/>
      <c r="G6426" s="58">
        <f t="shared" si="105"/>
        <v>-10918</v>
      </c>
      <c r="H6426" s="121" t="s">
        <v>4248</v>
      </c>
    </row>
    <row r="6427" spans="1:8" ht="15" x14ac:dyDescent="0.2">
      <c r="A6427" s="597">
        <v>43452</v>
      </c>
      <c r="B6427" s="41" t="s">
        <v>1400</v>
      </c>
      <c r="C6427" s="63" t="s">
        <v>929</v>
      </c>
      <c r="D6427" s="108" t="s">
        <v>4313</v>
      </c>
      <c r="E6427" s="58">
        <v>5000</v>
      </c>
      <c r="F6427" s="58"/>
      <c r="G6427" s="58">
        <f t="shared" si="105"/>
        <v>-5000</v>
      </c>
      <c r="H6427" s="121" t="s">
        <v>4248</v>
      </c>
    </row>
    <row r="6428" spans="1:8" ht="15" x14ac:dyDescent="0.2">
      <c r="A6428" s="597">
        <v>43452</v>
      </c>
      <c r="B6428" s="41" t="s">
        <v>1400</v>
      </c>
      <c r="C6428" s="63" t="s">
        <v>3145</v>
      </c>
      <c r="D6428" s="108" t="s">
        <v>4314</v>
      </c>
      <c r="E6428" s="58">
        <v>28050</v>
      </c>
      <c r="F6428" s="58"/>
      <c r="G6428" s="58">
        <f t="shared" si="105"/>
        <v>-28050</v>
      </c>
      <c r="H6428" s="121" t="s">
        <v>4248</v>
      </c>
    </row>
    <row r="6429" spans="1:8" ht="15" x14ac:dyDescent="0.2">
      <c r="A6429" s="597">
        <v>43454</v>
      </c>
      <c r="B6429" s="41" t="s">
        <v>2933</v>
      </c>
      <c r="C6429" s="63" t="s">
        <v>3145</v>
      </c>
      <c r="D6429" s="108" t="s">
        <v>4315</v>
      </c>
      <c r="E6429" s="58">
        <v>16504</v>
      </c>
      <c r="F6429" s="58"/>
      <c r="G6429" s="58">
        <f t="shared" si="105"/>
        <v>-16504</v>
      </c>
      <c r="H6429" s="121" t="s">
        <v>4248</v>
      </c>
    </row>
    <row r="6430" spans="1:8" ht="15" x14ac:dyDescent="0.2">
      <c r="A6430" s="597">
        <v>43454</v>
      </c>
      <c r="B6430" s="41" t="s">
        <v>1400</v>
      </c>
      <c r="C6430" s="63" t="s">
        <v>3145</v>
      </c>
      <c r="D6430" s="108" t="s">
        <v>4316</v>
      </c>
      <c r="E6430" s="58">
        <v>16235</v>
      </c>
      <c r="F6430" s="58"/>
      <c r="G6430" s="58">
        <f t="shared" si="105"/>
        <v>-16235</v>
      </c>
      <c r="H6430" s="121" t="s">
        <v>4248</v>
      </c>
    </row>
    <row r="6431" spans="1:8" ht="15" x14ac:dyDescent="0.2">
      <c r="A6431" s="597">
        <v>43454</v>
      </c>
      <c r="B6431" s="41" t="s">
        <v>2933</v>
      </c>
      <c r="C6431" s="63" t="s">
        <v>3145</v>
      </c>
      <c r="D6431" s="108" t="s">
        <v>4317</v>
      </c>
      <c r="E6431" s="58">
        <v>20000</v>
      </c>
      <c r="F6431" s="58"/>
      <c r="G6431" s="58">
        <f t="shared" si="105"/>
        <v>-20000</v>
      </c>
      <c r="H6431" s="121" t="s">
        <v>4248</v>
      </c>
    </row>
    <row r="6432" spans="1:8" ht="15" x14ac:dyDescent="0.2">
      <c r="A6432" s="597">
        <v>43454</v>
      </c>
      <c r="B6432" s="41" t="s">
        <v>25</v>
      </c>
      <c r="C6432" s="63" t="s">
        <v>1894</v>
      </c>
      <c r="D6432" s="108" t="s">
        <v>3992</v>
      </c>
      <c r="E6432" s="58">
        <v>17457</v>
      </c>
      <c r="F6432" s="58"/>
      <c r="G6432" s="58">
        <f t="shared" si="105"/>
        <v>-17457</v>
      </c>
      <c r="H6432" s="121" t="s">
        <v>4248</v>
      </c>
    </row>
    <row r="6433" spans="1:9" ht="15" x14ac:dyDescent="0.2">
      <c r="A6433" s="597">
        <v>43454</v>
      </c>
      <c r="B6433" s="41" t="s">
        <v>3733</v>
      </c>
      <c r="C6433" s="63" t="s">
        <v>3145</v>
      </c>
      <c r="D6433" s="108" t="s">
        <v>4318</v>
      </c>
      <c r="E6433" s="58">
        <v>13775</v>
      </c>
      <c r="F6433" s="58"/>
      <c r="G6433" s="58">
        <f t="shared" si="105"/>
        <v>-13775</v>
      </c>
      <c r="H6433" s="121" t="s">
        <v>4248</v>
      </c>
    </row>
    <row r="6434" spans="1:9" ht="15" x14ac:dyDescent="0.2">
      <c r="A6434" s="597">
        <v>43454</v>
      </c>
      <c r="B6434" s="41" t="s">
        <v>3946</v>
      </c>
      <c r="C6434" s="63" t="s">
        <v>3145</v>
      </c>
      <c r="D6434" s="108" t="s">
        <v>3263</v>
      </c>
      <c r="E6434" s="58">
        <v>8377</v>
      </c>
      <c r="F6434" s="58"/>
      <c r="G6434" s="58">
        <f t="shared" si="105"/>
        <v>-8377</v>
      </c>
      <c r="H6434" s="121" t="s">
        <v>4248</v>
      </c>
    </row>
    <row r="6435" spans="1:9" ht="15" customHeight="1" x14ac:dyDescent="0.2">
      <c r="A6435" s="597">
        <v>43460</v>
      </c>
      <c r="B6435" s="41" t="s">
        <v>1400</v>
      </c>
      <c r="C6435" s="63" t="s">
        <v>929</v>
      </c>
      <c r="D6435" s="108" t="s">
        <v>370</v>
      </c>
      <c r="E6435" s="58">
        <v>8000</v>
      </c>
      <c r="F6435" s="58"/>
      <c r="G6435" s="58">
        <f t="shared" si="105"/>
        <v>-8000</v>
      </c>
      <c r="H6435" s="121" t="s">
        <v>4248</v>
      </c>
    </row>
    <row r="6436" spans="1:9" ht="15" customHeight="1" x14ac:dyDescent="0.2">
      <c r="A6436" s="597">
        <v>43462</v>
      </c>
      <c r="B6436" s="41" t="s">
        <v>1400</v>
      </c>
      <c r="C6436" s="63" t="s">
        <v>3145</v>
      </c>
      <c r="D6436" s="108" t="s">
        <v>4319</v>
      </c>
      <c r="E6436" s="58">
        <v>21070</v>
      </c>
      <c r="F6436" s="58"/>
      <c r="G6436" s="58">
        <f t="shared" si="105"/>
        <v>-21070</v>
      </c>
      <c r="H6436" s="121" t="s">
        <v>4248</v>
      </c>
    </row>
    <row r="6437" spans="1:9" ht="15" customHeight="1" x14ac:dyDescent="0.2">
      <c r="A6437" s="597">
        <v>43462</v>
      </c>
      <c r="B6437" s="41" t="s">
        <v>2652</v>
      </c>
      <c r="C6437" s="63" t="s">
        <v>3145</v>
      </c>
      <c r="D6437" s="108" t="s">
        <v>4411</v>
      </c>
      <c r="E6437" s="58">
        <v>4800</v>
      </c>
      <c r="F6437" s="58"/>
      <c r="G6437" s="58">
        <f t="shared" si="105"/>
        <v>-4800</v>
      </c>
      <c r="H6437" s="121" t="s">
        <v>4248</v>
      </c>
    </row>
    <row r="6438" spans="1:9" ht="15" customHeight="1" x14ac:dyDescent="0.2">
      <c r="A6438" s="597">
        <v>43462</v>
      </c>
      <c r="B6438" s="41" t="s">
        <v>1400</v>
      </c>
      <c r="C6438" s="63" t="s">
        <v>3149</v>
      </c>
      <c r="D6438" s="108" t="s">
        <v>4412</v>
      </c>
      <c r="E6438" s="58">
        <f>600+450</f>
        <v>1050</v>
      </c>
      <c r="F6438" s="58"/>
      <c r="G6438" s="58">
        <f t="shared" si="105"/>
        <v>-1050</v>
      </c>
      <c r="H6438" s="121" t="s">
        <v>4248</v>
      </c>
    </row>
    <row r="6439" spans="1:9" ht="15" customHeight="1" x14ac:dyDescent="0.2">
      <c r="A6439" s="597">
        <v>43462</v>
      </c>
      <c r="B6439" s="41" t="s">
        <v>2652</v>
      </c>
      <c r="C6439" s="63" t="s">
        <v>3149</v>
      </c>
      <c r="D6439" s="108" t="s">
        <v>4412</v>
      </c>
      <c r="E6439" s="58">
        <f>720+320</f>
        <v>1040</v>
      </c>
      <c r="F6439" s="58"/>
      <c r="G6439" s="58">
        <f t="shared" si="105"/>
        <v>-1040</v>
      </c>
      <c r="H6439" s="121" t="s">
        <v>4248</v>
      </c>
    </row>
    <row r="6440" spans="1:9" ht="15" x14ac:dyDescent="0.2">
      <c r="A6440" s="597">
        <v>43462</v>
      </c>
      <c r="B6440" s="41" t="s">
        <v>2652</v>
      </c>
      <c r="C6440" s="63" t="s">
        <v>3149</v>
      </c>
      <c r="D6440" s="108" t="s">
        <v>4412</v>
      </c>
      <c r="E6440" s="58">
        <v>450</v>
      </c>
      <c r="F6440" s="58"/>
      <c r="G6440" s="58">
        <f t="shared" si="105"/>
        <v>-450</v>
      </c>
      <c r="H6440" s="121" t="s">
        <v>4248</v>
      </c>
    </row>
    <row r="6441" spans="1:9" ht="15" x14ac:dyDescent="0.2">
      <c r="A6441" s="597">
        <v>43462</v>
      </c>
      <c r="B6441" s="41" t="s">
        <v>3622</v>
      </c>
      <c r="C6441" s="63" t="s">
        <v>3145</v>
      </c>
      <c r="D6441" s="108" t="s">
        <v>4413</v>
      </c>
      <c r="E6441" s="58">
        <v>900</v>
      </c>
      <c r="F6441" s="58"/>
      <c r="G6441" s="58">
        <f t="shared" si="105"/>
        <v>-900</v>
      </c>
      <c r="H6441" s="121" t="s">
        <v>4248</v>
      </c>
    </row>
    <row r="6442" spans="1:9" ht="15" x14ac:dyDescent="0.2">
      <c r="A6442" s="597">
        <v>43462</v>
      </c>
      <c r="B6442" s="41" t="s">
        <v>2933</v>
      </c>
      <c r="C6442" s="63" t="s">
        <v>3145</v>
      </c>
      <c r="D6442" s="108" t="s">
        <v>4414</v>
      </c>
      <c r="E6442" s="58">
        <v>8976</v>
      </c>
      <c r="F6442" s="58"/>
      <c r="G6442" s="58">
        <f t="shared" si="105"/>
        <v>-8976</v>
      </c>
      <c r="H6442" s="121" t="s">
        <v>4248</v>
      </c>
    </row>
    <row r="6443" spans="1:9" ht="15" x14ac:dyDescent="0.2">
      <c r="A6443" s="597">
        <v>43462</v>
      </c>
      <c r="B6443" s="41" t="s">
        <v>2933</v>
      </c>
      <c r="C6443" s="63" t="s">
        <v>3145</v>
      </c>
      <c r="D6443" s="108" t="s">
        <v>4415</v>
      </c>
      <c r="E6443" s="58">
        <v>46500</v>
      </c>
      <c r="F6443" s="58"/>
      <c r="G6443" s="58">
        <f t="shared" si="105"/>
        <v>-46500</v>
      </c>
      <c r="H6443" s="121" t="s">
        <v>4248</v>
      </c>
    </row>
    <row r="6444" spans="1:9" ht="15" x14ac:dyDescent="0.2">
      <c r="A6444" s="597">
        <v>43462</v>
      </c>
      <c r="B6444" s="41" t="s">
        <v>1400</v>
      </c>
      <c r="C6444" s="63" t="s">
        <v>3145</v>
      </c>
      <c r="D6444" s="108" t="s">
        <v>4416</v>
      </c>
      <c r="E6444" s="58">
        <v>11057</v>
      </c>
      <c r="F6444" s="58"/>
      <c r="G6444" s="58">
        <f t="shared" si="105"/>
        <v>-11057</v>
      </c>
      <c r="H6444" s="121" t="s">
        <v>4248</v>
      </c>
    </row>
    <row r="6445" spans="1:9" ht="15" x14ac:dyDescent="0.2">
      <c r="A6445" s="597">
        <v>43465</v>
      </c>
      <c r="B6445" s="41" t="s">
        <v>2933</v>
      </c>
      <c r="C6445" s="63" t="s">
        <v>3145</v>
      </c>
      <c r="D6445" s="108" t="s">
        <v>4417</v>
      </c>
      <c r="E6445" s="58">
        <v>5130</v>
      </c>
      <c r="F6445" s="58"/>
      <c r="G6445" s="58">
        <f t="shared" si="105"/>
        <v>-5130</v>
      </c>
      <c r="H6445" s="121" t="s">
        <v>4248</v>
      </c>
    </row>
    <row r="6446" spans="1:9" ht="15" x14ac:dyDescent="0.2">
      <c r="A6446" s="602">
        <v>43437</v>
      </c>
      <c r="B6446" s="174" t="s">
        <v>2652</v>
      </c>
      <c r="C6446" s="174" t="s">
        <v>4162</v>
      </c>
      <c r="D6446" s="812" t="s">
        <v>4249</v>
      </c>
      <c r="E6446" s="236">
        <v>57700</v>
      </c>
      <c r="F6446" s="236"/>
      <c r="G6446" s="236">
        <f t="shared" si="105"/>
        <v>-57700</v>
      </c>
      <c r="H6446" s="244" t="s">
        <v>4248</v>
      </c>
      <c r="I6446" s="40"/>
    </row>
    <row r="6447" spans="1:9" ht="15" x14ac:dyDescent="0.2">
      <c r="A6447" s="602">
        <v>43437</v>
      </c>
      <c r="B6447" s="174" t="s">
        <v>2933</v>
      </c>
      <c r="C6447" s="174" t="s">
        <v>4250</v>
      </c>
      <c r="D6447" s="812" t="s">
        <v>4251</v>
      </c>
      <c r="E6447" s="236">
        <v>70000</v>
      </c>
      <c r="F6447" s="236"/>
      <c r="G6447" s="236">
        <f t="shared" si="105"/>
        <v>-70000</v>
      </c>
      <c r="H6447" s="244" t="s">
        <v>4248</v>
      </c>
      <c r="I6447" s="40"/>
    </row>
    <row r="6448" spans="1:9" ht="15" x14ac:dyDescent="0.2">
      <c r="A6448" s="602">
        <v>43438</v>
      </c>
      <c r="B6448" s="174" t="s">
        <v>1400</v>
      </c>
      <c r="C6448" s="174" t="s">
        <v>1524</v>
      </c>
      <c r="D6448" s="812" t="s">
        <v>4252</v>
      </c>
      <c r="E6448" s="236">
        <v>409352</v>
      </c>
      <c r="F6448" s="236"/>
      <c r="G6448" s="236">
        <f t="shared" si="105"/>
        <v>-409352</v>
      </c>
      <c r="H6448" s="244" t="s">
        <v>4248</v>
      </c>
      <c r="I6448" s="40"/>
    </row>
    <row r="6449" spans="1:9" ht="15" x14ac:dyDescent="0.2">
      <c r="A6449" s="602">
        <v>43440</v>
      </c>
      <c r="B6449" s="174" t="s">
        <v>2933</v>
      </c>
      <c r="C6449" s="174" t="s">
        <v>716</v>
      </c>
      <c r="D6449" s="812" t="s">
        <v>4256</v>
      </c>
      <c r="E6449" s="236">
        <v>300000</v>
      </c>
      <c r="F6449" s="236"/>
      <c r="G6449" s="236">
        <f t="shared" si="105"/>
        <v>-300000</v>
      </c>
      <c r="H6449" s="244" t="s">
        <v>4248</v>
      </c>
      <c r="I6449" s="40"/>
    </row>
    <row r="6450" spans="1:9" ht="15" x14ac:dyDescent="0.2">
      <c r="A6450" s="602">
        <v>43440</v>
      </c>
      <c r="B6450" s="174" t="s">
        <v>25</v>
      </c>
      <c r="C6450" s="174" t="s">
        <v>4254</v>
      </c>
      <c r="D6450" s="812" t="s">
        <v>4255</v>
      </c>
      <c r="E6450" s="236">
        <v>203000</v>
      </c>
      <c r="F6450" s="236"/>
      <c r="G6450" s="236">
        <f t="shared" si="105"/>
        <v>-203000</v>
      </c>
      <c r="H6450" s="244" t="s">
        <v>4248</v>
      </c>
      <c r="I6450" s="40"/>
    </row>
    <row r="6451" spans="1:9" ht="15" x14ac:dyDescent="0.2">
      <c r="A6451" s="602">
        <v>43440</v>
      </c>
      <c r="B6451" s="174" t="s">
        <v>2933</v>
      </c>
      <c r="C6451" s="174" t="s">
        <v>716</v>
      </c>
      <c r="D6451" s="812" t="s">
        <v>4253</v>
      </c>
      <c r="E6451" s="236">
        <v>500000</v>
      </c>
      <c r="F6451" s="236"/>
      <c r="G6451" s="236">
        <f t="shared" si="105"/>
        <v>-500000</v>
      </c>
      <c r="H6451" s="244" t="s">
        <v>4248</v>
      </c>
      <c r="I6451" s="40"/>
    </row>
    <row r="6452" spans="1:9" ht="15" x14ac:dyDescent="0.2">
      <c r="A6452" s="602">
        <v>43440</v>
      </c>
      <c r="B6452" s="174" t="s">
        <v>6516</v>
      </c>
      <c r="C6452" s="174" t="s">
        <v>5187</v>
      </c>
      <c r="D6452" s="812" t="s">
        <v>4258</v>
      </c>
      <c r="E6452" s="236">
        <v>3000</v>
      </c>
      <c r="F6452" s="236"/>
      <c r="G6452" s="236">
        <f t="shared" si="105"/>
        <v>-3000</v>
      </c>
      <c r="H6452" s="244" t="s">
        <v>4248</v>
      </c>
      <c r="I6452" s="40"/>
    </row>
    <row r="6453" spans="1:9" ht="15" x14ac:dyDescent="0.2">
      <c r="A6453" s="602">
        <v>43440</v>
      </c>
      <c r="B6453" s="174" t="s">
        <v>3622</v>
      </c>
      <c r="C6453" s="174" t="s">
        <v>5187</v>
      </c>
      <c r="D6453" s="812" t="s">
        <v>4258</v>
      </c>
      <c r="E6453" s="236">
        <f>46000+45000</f>
        <v>91000</v>
      </c>
      <c r="F6453" s="236"/>
      <c r="G6453" s="236">
        <f t="shared" ref="G6453:G6516" si="106">F6453-E6453</f>
        <v>-91000</v>
      </c>
      <c r="H6453" s="244" t="s">
        <v>4248</v>
      </c>
      <c r="I6453" s="40"/>
    </row>
    <row r="6454" spans="1:9" ht="15" x14ac:dyDescent="0.2">
      <c r="A6454" s="602">
        <v>43441</v>
      </c>
      <c r="B6454" s="174" t="s">
        <v>2933</v>
      </c>
      <c r="C6454" s="174" t="s">
        <v>3285</v>
      </c>
      <c r="D6454" s="812" t="s">
        <v>4257</v>
      </c>
      <c r="E6454" s="236">
        <v>250000</v>
      </c>
      <c r="F6454" s="236"/>
      <c r="G6454" s="236">
        <f t="shared" si="106"/>
        <v>-250000</v>
      </c>
      <c r="H6454" s="244" t="s">
        <v>4248</v>
      </c>
      <c r="I6454" s="40"/>
    </row>
    <row r="6455" spans="1:9" ht="24" x14ac:dyDescent="0.2">
      <c r="A6455" s="602">
        <v>43441</v>
      </c>
      <c r="B6455" s="174" t="s">
        <v>3622</v>
      </c>
      <c r="C6455" s="174" t="s">
        <v>2338</v>
      </c>
      <c r="D6455" s="118" t="s">
        <v>4261</v>
      </c>
      <c r="E6455" s="236">
        <v>150000</v>
      </c>
      <c r="F6455" s="236"/>
      <c r="G6455" s="236">
        <f t="shared" si="106"/>
        <v>-150000</v>
      </c>
      <c r="H6455" s="244" t="s">
        <v>4248</v>
      </c>
      <c r="I6455" s="40"/>
    </row>
    <row r="6456" spans="1:9" ht="15" x14ac:dyDescent="0.2">
      <c r="A6456" s="602">
        <v>43442</v>
      </c>
      <c r="B6456" s="174" t="s">
        <v>6516</v>
      </c>
      <c r="C6456" s="174" t="s">
        <v>2515</v>
      </c>
      <c r="D6456" s="812" t="s">
        <v>4262</v>
      </c>
      <c r="E6456" s="236">
        <v>15000</v>
      </c>
      <c r="F6456" s="236"/>
      <c r="G6456" s="236">
        <f t="shared" si="106"/>
        <v>-15000</v>
      </c>
      <c r="H6456" s="244" t="s">
        <v>4248</v>
      </c>
      <c r="I6456" s="40"/>
    </row>
    <row r="6457" spans="1:9" ht="15" x14ac:dyDescent="0.2">
      <c r="A6457" s="602">
        <v>43444</v>
      </c>
      <c r="B6457" s="174" t="s">
        <v>2933</v>
      </c>
      <c r="C6457" s="174" t="s">
        <v>3145</v>
      </c>
      <c r="D6457" s="812" t="s">
        <v>4263</v>
      </c>
      <c r="E6457" s="236">
        <v>31900</v>
      </c>
      <c r="F6457" s="236"/>
      <c r="G6457" s="236">
        <f t="shared" si="106"/>
        <v>-31900</v>
      </c>
      <c r="H6457" s="244" t="s">
        <v>4248</v>
      </c>
      <c r="I6457" s="40"/>
    </row>
    <row r="6458" spans="1:9" ht="15" x14ac:dyDescent="0.2">
      <c r="A6458" s="602">
        <v>43444</v>
      </c>
      <c r="B6458" s="174" t="s">
        <v>25</v>
      </c>
      <c r="C6458" s="174" t="s">
        <v>1894</v>
      </c>
      <c r="D6458" s="812" t="s">
        <v>4264</v>
      </c>
      <c r="E6458" s="236">
        <v>50131</v>
      </c>
      <c r="F6458" s="236"/>
      <c r="G6458" s="236">
        <f t="shared" si="106"/>
        <v>-50131</v>
      </c>
      <c r="H6458" s="244" t="s">
        <v>4248</v>
      </c>
      <c r="I6458" s="40"/>
    </row>
    <row r="6459" spans="1:9" ht="15" x14ac:dyDescent="0.2">
      <c r="A6459" s="602">
        <v>43445</v>
      </c>
      <c r="B6459" s="174" t="s">
        <v>2933</v>
      </c>
      <c r="C6459" s="174" t="s">
        <v>3931</v>
      </c>
      <c r="D6459" s="812" t="s">
        <v>4265</v>
      </c>
      <c r="E6459" s="236">
        <v>50000</v>
      </c>
      <c r="F6459" s="236"/>
      <c r="G6459" s="236">
        <f t="shared" si="106"/>
        <v>-50000</v>
      </c>
      <c r="H6459" s="244" t="s">
        <v>4248</v>
      </c>
      <c r="I6459" s="40"/>
    </row>
    <row r="6460" spans="1:9" ht="15" x14ac:dyDescent="0.2">
      <c r="A6460" s="602">
        <v>43446</v>
      </c>
      <c r="B6460" s="174" t="s">
        <v>3622</v>
      </c>
      <c r="C6460" s="174" t="s">
        <v>3884</v>
      </c>
      <c r="D6460" s="812" t="s">
        <v>4266</v>
      </c>
      <c r="E6460" s="236">
        <v>88000</v>
      </c>
      <c r="F6460" s="236"/>
      <c r="G6460" s="236">
        <f t="shared" si="106"/>
        <v>-88000</v>
      </c>
      <c r="H6460" s="244" t="s">
        <v>4248</v>
      </c>
      <c r="I6460" s="40"/>
    </row>
    <row r="6461" spans="1:9" ht="15" x14ac:dyDescent="0.2">
      <c r="A6461" s="602">
        <v>43446</v>
      </c>
      <c r="B6461" s="174" t="s">
        <v>3622</v>
      </c>
      <c r="C6461" s="174" t="s">
        <v>3884</v>
      </c>
      <c r="D6461" s="812" t="s">
        <v>4267</v>
      </c>
      <c r="E6461" s="236">
        <v>100000</v>
      </c>
      <c r="F6461" s="236"/>
      <c r="G6461" s="236">
        <f t="shared" si="106"/>
        <v>-100000</v>
      </c>
      <c r="H6461" s="244" t="s">
        <v>4248</v>
      </c>
      <c r="I6461" s="40"/>
    </row>
    <row r="6462" spans="1:9" ht="15" x14ac:dyDescent="0.2">
      <c r="A6462" s="602">
        <v>43446</v>
      </c>
      <c r="B6462" s="174" t="s">
        <v>2933</v>
      </c>
      <c r="C6462" s="174" t="s">
        <v>3112</v>
      </c>
      <c r="D6462" s="812" t="s">
        <v>4268</v>
      </c>
      <c r="E6462" s="236">
        <v>200000</v>
      </c>
      <c r="F6462" s="236"/>
      <c r="G6462" s="236">
        <f t="shared" si="106"/>
        <v>-200000</v>
      </c>
      <c r="H6462" s="244" t="s">
        <v>4248</v>
      </c>
      <c r="I6462" s="40"/>
    </row>
    <row r="6463" spans="1:9" ht="15" x14ac:dyDescent="0.2">
      <c r="A6463" s="602">
        <v>43448</v>
      </c>
      <c r="B6463" s="174" t="s">
        <v>2933</v>
      </c>
      <c r="C6463" s="174" t="s">
        <v>716</v>
      </c>
      <c r="D6463" s="812" t="s">
        <v>4269</v>
      </c>
      <c r="E6463" s="236">
        <v>82000</v>
      </c>
      <c r="F6463" s="236"/>
      <c r="G6463" s="236">
        <f t="shared" si="106"/>
        <v>-82000</v>
      </c>
      <c r="H6463" s="244" t="s">
        <v>4248</v>
      </c>
      <c r="I6463" s="40"/>
    </row>
    <row r="6464" spans="1:9" ht="15" x14ac:dyDescent="0.2">
      <c r="A6464" s="602">
        <v>43448</v>
      </c>
      <c r="B6464" s="174" t="s">
        <v>2652</v>
      </c>
      <c r="C6464" s="174" t="s">
        <v>2819</v>
      </c>
      <c r="D6464" s="118" t="s">
        <v>3517</v>
      </c>
      <c r="E6464" s="236">
        <v>156555</v>
      </c>
      <c r="F6464" s="236"/>
      <c r="G6464" s="236">
        <f t="shared" si="106"/>
        <v>-156555</v>
      </c>
      <c r="H6464" s="244" t="s">
        <v>4248</v>
      </c>
      <c r="I6464" s="40"/>
    </row>
    <row r="6465" spans="1:9" ht="15" x14ac:dyDescent="0.2">
      <c r="A6465" s="602">
        <v>43448</v>
      </c>
      <c r="B6465" s="174" t="s">
        <v>1400</v>
      </c>
      <c r="C6465" s="174" t="s">
        <v>2819</v>
      </c>
      <c r="D6465" s="118" t="s">
        <v>3517</v>
      </c>
      <c r="E6465" s="236">
        <v>306843</v>
      </c>
      <c r="F6465" s="236"/>
      <c r="G6465" s="236">
        <f t="shared" si="106"/>
        <v>-306843</v>
      </c>
      <c r="H6465" s="244" t="s">
        <v>4248</v>
      </c>
      <c r="I6465" s="40"/>
    </row>
    <row r="6466" spans="1:9" ht="15" x14ac:dyDescent="0.2">
      <c r="A6466" s="602">
        <v>43448</v>
      </c>
      <c r="B6466" s="174" t="s">
        <v>3733</v>
      </c>
      <c r="C6466" s="174" t="s">
        <v>2160</v>
      </c>
      <c r="D6466" s="812" t="s">
        <v>4271</v>
      </c>
      <c r="E6466" s="236">
        <v>20000</v>
      </c>
      <c r="F6466" s="236"/>
      <c r="G6466" s="236">
        <f t="shared" si="106"/>
        <v>-20000</v>
      </c>
      <c r="H6466" s="244" t="s">
        <v>4248</v>
      </c>
      <c r="I6466" s="40"/>
    </row>
    <row r="6467" spans="1:9" ht="15" x14ac:dyDescent="0.2">
      <c r="A6467" s="602">
        <v>43448</v>
      </c>
      <c r="B6467" s="174" t="s">
        <v>2933</v>
      </c>
      <c r="C6467" s="174" t="s">
        <v>3275</v>
      </c>
      <c r="D6467" s="812" t="s">
        <v>4272</v>
      </c>
      <c r="E6467" s="236">
        <v>88380</v>
      </c>
      <c r="F6467" s="236"/>
      <c r="G6467" s="236">
        <f t="shared" si="106"/>
        <v>-88380</v>
      </c>
      <c r="H6467" s="244" t="s">
        <v>4248</v>
      </c>
      <c r="I6467" s="40"/>
    </row>
    <row r="6468" spans="1:9" ht="15" x14ac:dyDescent="0.2">
      <c r="A6468" s="602">
        <v>43448</v>
      </c>
      <c r="B6468" s="174" t="s">
        <v>2933</v>
      </c>
      <c r="C6468" s="174" t="s">
        <v>4273</v>
      </c>
      <c r="D6468" s="812" t="s">
        <v>4274</v>
      </c>
      <c r="E6468" s="236">
        <v>64000</v>
      </c>
      <c r="F6468" s="236"/>
      <c r="G6468" s="236">
        <f t="shared" si="106"/>
        <v>-64000</v>
      </c>
      <c r="H6468" s="244" t="s">
        <v>4248</v>
      </c>
      <c r="I6468" s="40"/>
    </row>
    <row r="6469" spans="1:9" ht="15" x14ac:dyDescent="0.2">
      <c r="A6469" s="602">
        <v>43448</v>
      </c>
      <c r="B6469" s="174" t="s">
        <v>3733</v>
      </c>
      <c r="C6469" s="174" t="s">
        <v>3145</v>
      </c>
      <c r="D6469" s="812" t="s">
        <v>4504</v>
      </c>
      <c r="E6469" s="236">
        <v>65000</v>
      </c>
      <c r="F6469" s="236"/>
      <c r="G6469" s="236">
        <f t="shared" si="106"/>
        <v>-65000</v>
      </c>
      <c r="H6469" s="244" t="s">
        <v>4248</v>
      </c>
      <c r="I6469" s="40"/>
    </row>
    <row r="6470" spans="1:9" ht="15" x14ac:dyDescent="0.2">
      <c r="A6470" s="602">
        <v>43453</v>
      </c>
      <c r="B6470" s="174" t="s">
        <v>1400</v>
      </c>
      <c r="C6470" s="174" t="s">
        <v>2642</v>
      </c>
      <c r="D6470" s="812" t="s">
        <v>4276</v>
      </c>
      <c r="E6470" s="236">
        <v>125000</v>
      </c>
      <c r="F6470" s="236"/>
      <c r="G6470" s="236">
        <f t="shared" si="106"/>
        <v>-125000</v>
      </c>
      <c r="H6470" s="244" t="s">
        <v>4248</v>
      </c>
      <c r="I6470" s="40"/>
    </row>
    <row r="6471" spans="1:9" ht="15" x14ac:dyDescent="0.2">
      <c r="A6471" s="602">
        <v>43453</v>
      </c>
      <c r="B6471" s="174" t="s">
        <v>3622</v>
      </c>
      <c r="C6471" s="174" t="s">
        <v>3772</v>
      </c>
      <c r="D6471" s="812" t="s">
        <v>4332</v>
      </c>
      <c r="E6471" s="236">
        <v>132000</v>
      </c>
      <c r="F6471" s="236"/>
      <c r="G6471" s="236">
        <f t="shared" si="106"/>
        <v>-132000</v>
      </c>
      <c r="H6471" s="244" t="s">
        <v>4248</v>
      </c>
      <c r="I6471" s="40"/>
    </row>
    <row r="6472" spans="1:9" ht="15" x14ac:dyDescent="0.2">
      <c r="A6472" s="602">
        <v>43453</v>
      </c>
      <c r="B6472" s="174" t="s">
        <v>1400</v>
      </c>
      <c r="C6472" s="174" t="s">
        <v>3226</v>
      </c>
      <c r="D6472" s="812" t="s">
        <v>4277</v>
      </c>
      <c r="E6472" s="236">
        <v>500000</v>
      </c>
      <c r="F6472" s="236"/>
      <c r="G6472" s="236">
        <f t="shared" si="106"/>
        <v>-500000</v>
      </c>
      <c r="H6472" s="244" t="s">
        <v>4248</v>
      </c>
      <c r="I6472" s="40"/>
    </row>
    <row r="6473" spans="1:9" ht="15" x14ac:dyDescent="0.2">
      <c r="A6473" s="602">
        <v>43453</v>
      </c>
      <c r="B6473" s="174" t="s">
        <v>1400</v>
      </c>
      <c r="C6473" s="174" t="s">
        <v>3226</v>
      </c>
      <c r="D6473" s="812" t="s">
        <v>4278</v>
      </c>
      <c r="E6473" s="236">
        <v>500000</v>
      </c>
      <c r="F6473" s="236"/>
      <c r="G6473" s="236">
        <f t="shared" si="106"/>
        <v>-500000</v>
      </c>
      <c r="H6473" s="244" t="s">
        <v>4248</v>
      </c>
      <c r="I6473" s="40"/>
    </row>
    <row r="6474" spans="1:9" ht="24" x14ac:dyDescent="0.2">
      <c r="A6474" s="602">
        <v>43454</v>
      </c>
      <c r="B6474" s="174" t="s">
        <v>2933</v>
      </c>
      <c r="C6474" s="174" t="s">
        <v>1875</v>
      </c>
      <c r="D6474" s="118" t="s">
        <v>4333</v>
      </c>
      <c r="E6474" s="236">
        <v>30000</v>
      </c>
      <c r="F6474" s="236"/>
      <c r="G6474" s="236">
        <f t="shared" si="106"/>
        <v>-30000</v>
      </c>
      <c r="H6474" s="244" t="s">
        <v>4248</v>
      </c>
      <c r="I6474" s="40"/>
    </row>
    <row r="6475" spans="1:9" ht="15" x14ac:dyDescent="0.2">
      <c r="A6475" s="602">
        <v>43455</v>
      </c>
      <c r="B6475" s="174" t="s">
        <v>1400</v>
      </c>
      <c r="C6475" s="174" t="s">
        <v>3145</v>
      </c>
      <c r="D6475" s="118" t="s">
        <v>4320</v>
      </c>
      <c r="E6475" s="236">
        <v>19300</v>
      </c>
      <c r="F6475" s="236"/>
      <c r="G6475" s="236">
        <f t="shared" si="106"/>
        <v>-19300</v>
      </c>
      <c r="H6475" s="244" t="s">
        <v>4248</v>
      </c>
      <c r="I6475" s="40"/>
    </row>
    <row r="6476" spans="1:9" ht="15" x14ac:dyDescent="0.2">
      <c r="A6476" s="602">
        <v>43457</v>
      </c>
      <c r="B6476" s="174" t="s">
        <v>25</v>
      </c>
      <c r="C6476" s="174" t="s">
        <v>1894</v>
      </c>
      <c r="D6476" s="118" t="s">
        <v>4321</v>
      </c>
      <c r="E6476" s="236">
        <v>93627</v>
      </c>
      <c r="F6476" s="236"/>
      <c r="G6476" s="236">
        <f t="shared" si="106"/>
        <v>-93627</v>
      </c>
      <c r="H6476" s="244" t="s">
        <v>4248</v>
      </c>
      <c r="I6476" s="40"/>
    </row>
    <row r="6477" spans="1:9" ht="15" x14ac:dyDescent="0.2">
      <c r="A6477" s="602">
        <v>43458</v>
      </c>
      <c r="B6477" s="174" t="s">
        <v>2933</v>
      </c>
      <c r="C6477" s="174" t="s">
        <v>4322</v>
      </c>
      <c r="D6477" s="118" t="s">
        <v>4323</v>
      </c>
      <c r="E6477" s="236">
        <v>587635</v>
      </c>
      <c r="F6477" s="236"/>
      <c r="G6477" s="236">
        <f t="shared" si="106"/>
        <v>-587635</v>
      </c>
      <c r="H6477" s="244" t="s">
        <v>4248</v>
      </c>
      <c r="I6477" s="40"/>
    </row>
    <row r="6478" spans="1:9" ht="15" x14ac:dyDescent="0.2">
      <c r="A6478" s="602">
        <v>43462</v>
      </c>
      <c r="B6478" s="174" t="s">
        <v>2933</v>
      </c>
      <c r="C6478" s="174" t="s">
        <v>4334</v>
      </c>
      <c r="D6478" s="118" t="s">
        <v>2655</v>
      </c>
      <c r="E6478" s="236">
        <v>20000</v>
      </c>
      <c r="F6478" s="236"/>
      <c r="G6478" s="236">
        <f t="shared" si="106"/>
        <v>-20000</v>
      </c>
      <c r="H6478" s="244" t="s">
        <v>4248</v>
      </c>
      <c r="I6478" s="40"/>
    </row>
    <row r="6479" spans="1:9" ht="15" x14ac:dyDescent="0.2">
      <c r="A6479" s="602">
        <v>43462</v>
      </c>
      <c r="B6479" s="174" t="s">
        <v>2933</v>
      </c>
      <c r="C6479" s="174" t="s">
        <v>778</v>
      </c>
      <c r="D6479" s="118" t="s">
        <v>4335</v>
      </c>
      <c r="E6479" s="236">
        <v>20000</v>
      </c>
      <c r="F6479" s="236"/>
      <c r="G6479" s="236">
        <f t="shared" si="106"/>
        <v>-20000</v>
      </c>
      <c r="H6479" s="244" t="s">
        <v>4248</v>
      </c>
      <c r="I6479" s="40"/>
    </row>
    <row r="6480" spans="1:9" ht="15" x14ac:dyDescent="0.2">
      <c r="A6480" s="602">
        <v>43462</v>
      </c>
      <c r="B6480" s="174" t="s">
        <v>2933</v>
      </c>
      <c r="C6480" s="174" t="s">
        <v>4337</v>
      </c>
      <c r="D6480" s="118" t="s">
        <v>4336</v>
      </c>
      <c r="E6480" s="236">
        <v>418000</v>
      </c>
      <c r="F6480" s="236"/>
      <c r="G6480" s="236">
        <f t="shared" si="106"/>
        <v>-418000</v>
      </c>
      <c r="H6480" s="244" t="s">
        <v>4248</v>
      </c>
      <c r="I6480" s="40"/>
    </row>
    <row r="6481" spans="1:9" ht="15" x14ac:dyDescent="0.2">
      <c r="A6481" s="602">
        <v>43462</v>
      </c>
      <c r="B6481" s="174" t="s">
        <v>1400</v>
      </c>
      <c r="C6481" s="174" t="s">
        <v>2515</v>
      </c>
      <c r="D6481" s="118" t="s">
        <v>4338</v>
      </c>
      <c r="E6481" s="236">
        <v>50000</v>
      </c>
      <c r="F6481" s="236"/>
      <c r="G6481" s="236">
        <f t="shared" si="106"/>
        <v>-50000</v>
      </c>
      <c r="H6481" s="244" t="s">
        <v>4248</v>
      </c>
      <c r="I6481" s="40"/>
    </row>
    <row r="6482" spans="1:9" ht="15" x14ac:dyDescent="0.2">
      <c r="A6482" s="602">
        <v>43462</v>
      </c>
      <c r="B6482" s="174" t="s">
        <v>1400</v>
      </c>
      <c r="C6482" s="174" t="s">
        <v>4339</v>
      </c>
      <c r="D6482" s="118" t="s">
        <v>4340</v>
      </c>
      <c r="E6482" s="236">
        <v>121500</v>
      </c>
      <c r="F6482" s="236"/>
      <c r="G6482" s="236">
        <f t="shared" si="106"/>
        <v>-121500</v>
      </c>
      <c r="H6482" s="244" t="s">
        <v>4248</v>
      </c>
      <c r="I6482" s="40"/>
    </row>
    <row r="6483" spans="1:9" ht="15" x14ac:dyDescent="0.2">
      <c r="A6483" s="602">
        <v>43462</v>
      </c>
      <c r="B6483" s="174" t="s">
        <v>2933</v>
      </c>
      <c r="C6483" s="174" t="s">
        <v>4341</v>
      </c>
      <c r="D6483" s="118" t="s">
        <v>4342</v>
      </c>
      <c r="E6483" s="236">
        <v>70000</v>
      </c>
      <c r="F6483" s="236"/>
      <c r="G6483" s="236">
        <f t="shared" si="106"/>
        <v>-70000</v>
      </c>
      <c r="H6483" s="244" t="s">
        <v>4248</v>
      </c>
      <c r="I6483" s="40"/>
    </row>
    <row r="6484" spans="1:9" ht="15" x14ac:dyDescent="0.2">
      <c r="A6484" s="602">
        <v>43462</v>
      </c>
      <c r="B6484" s="174" t="s">
        <v>2933</v>
      </c>
      <c r="C6484" s="174" t="s">
        <v>1875</v>
      </c>
      <c r="D6484" s="118" t="s">
        <v>4344</v>
      </c>
      <c r="E6484" s="236">
        <v>50000</v>
      </c>
      <c r="F6484" s="236"/>
      <c r="G6484" s="236">
        <f t="shared" si="106"/>
        <v>-50000</v>
      </c>
      <c r="H6484" s="244" t="s">
        <v>4248</v>
      </c>
      <c r="I6484" s="40"/>
    </row>
    <row r="6485" spans="1:9" ht="15" customHeight="1" x14ac:dyDescent="0.2">
      <c r="A6485" s="602">
        <v>43463</v>
      </c>
      <c r="B6485" s="174" t="s">
        <v>3622</v>
      </c>
      <c r="C6485" s="174" t="s">
        <v>895</v>
      </c>
      <c r="D6485" s="118" t="s">
        <v>4343</v>
      </c>
      <c r="E6485" s="236">
        <v>117178</v>
      </c>
      <c r="F6485" s="236"/>
      <c r="G6485" s="236">
        <f t="shared" si="106"/>
        <v>-117178</v>
      </c>
      <c r="H6485" s="244" t="s">
        <v>4248</v>
      </c>
      <c r="I6485" s="40"/>
    </row>
    <row r="6486" spans="1:9" ht="15" customHeight="1" x14ac:dyDescent="0.2">
      <c r="A6486" s="602">
        <v>43463</v>
      </c>
      <c r="B6486" s="174" t="s">
        <v>2652</v>
      </c>
      <c r="C6486" s="174" t="s">
        <v>895</v>
      </c>
      <c r="D6486" s="118" t="s">
        <v>4349</v>
      </c>
      <c r="E6486" s="236">
        <v>46920</v>
      </c>
      <c r="F6486" s="236"/>
      <c r="G6486" s="236">
        <f t="shared" si="106"/>
        <v>-46920</v>
      </c>
      <c r="H6486" s="244" t="s">
        <v>4248</v>
      </c>
      <c r="I6486" s="40"/>
    </row>
    <row r="6487" spans="1:9" ht="15" customHeight="1" x14ac:dyDescent="0.2">
      <c r="A6487" s="602">
        <v>43463</v>
      </c>
      <c r="B6487" s="174" t="s">
        <v>3622</v>
      </c>
      <c r="C6487" s="174" t="s">
        <v>895</v>
      </c>
      <c r="D6487" s="118" t="s">
        <v>4349</v>
      </c>
      <c r="E6487" s="236">
        <v>69822</v>
      </c>
      <c r="F6487" s="236"/>
      <c r="G6487" s="236">
        <f t="shared" si="106"/>
        <v>-69822</v>
      </c>
      <c r="H6487" s="244" t="s">
        <v>4248</v>
      </c>
      <c r="I6487" s="40"/>
    </row>
    <row r="6488" spans="1:9" ht="15" customHeight="1" x14ac:dyDescent="0.2">
      <c r="A6488" s="602">
        <v>43463</v>
      </c>
      <c r="B6488" s="174" t="s">
        <v>2933</v>
      </c>
      <c r="C6488" s="174" t="s">
        <v>895</v>
      </c>
      <c r="D6488" s="118" t="s">
        <v>4349</v>
      </c>
      <c r="E6488" s="236">
        <v>65258</v>
      </c>
      <c r="F6488" s="236"/>
      <c r="G6488" s="236">
        <f t="shared" si="106"/>
        <v>-65258</v>
      </c>
      <c r="H6488" s="244" t="s">
        <v>4248</v>
      </c>
      <c r="I6488" s="40"/>
    </row>
    <row r="6489" spans="1:9" ht="15" customHeight="1" x14ac:dyDescent="0.2">
      <c r="A6489" s="602">
        <v>43463</v>
      </c>
      <c r="B6489" s="174" t="s">
        <v>2933</v>
      </c>
      <c r="C6489" s="174" t="s">
        <v>895</v>
      </c>
      <c r="D6489" s="118" t="s">
        <v>4349</v>
      </c>
      <c r="E6489" s="236">
        <v>822</v>
      </c>
      <c r="F6489" s="236"/>
      <c r="G6489" s="236">
        <f t="shared" si="106"/>
        <v>-822</v>
      </c>
      <c r="H6489" s="244" t="s">
        <v>4248</v>
      </c>
      <c r="I6489" s="40"/>
    </row>
    <row r="6490" spans="1:9" ht="15" customHeight="1" x14ac:dyDescent="0.2">
      <c r="A6490" s="602">
        <v>43462</v>
      </c>
      <c r="B6490" s="174" t="s">
        <v>2933</v>
      </c>
      <c r="C6490" s="174" t="s">
        <v>3285</v>
      </c>
      <c r="D6490" s="118" t="s">
        <v>4345</v>
      </c>
      <c r="E6490" s="236">
        <v>300000</v>
      </c>
      <c r="F6490" s="236"/>
      <c r="G6490" s="236">
        <f t="shared" si="106"/>
        <v>-300000</v>
      </c>
      <c r="H6490" s="244" t="s">
        <v>4248</v>
      </c>
      <c r="I6490" s="40"/>
    </row>
    <row r="6491" spans="1:9" ht="15" customHeight="1" x14ac:dyDescent="0.2">
      <c r="A6491" s="599">
        <v>43438</v>
      </c>
      <c r="B6491" s="91" t="s">
        <v>1400</v>
      </c>
      <c r="C6491" s="94" t="s">
        <v>559</v>
      </c>
      <c r="D6491" s="801" t="s">
        <v>2955</v>
      </c>
      <c r="E6491" s="92"/>
      <c r="F6491" s="92">
        <v>409352</v>
      </c>
      <c r="G6491" s="92">
        <f t="shared" si="106"/>
        <v>409352</v>
      </c>
      <c r="H6491" s="261" t="s">
        <v>4248</v>
      </c>
    </row>
    <row r="6492" spans="1:9" ht="15" customHeight="1" x14ac:dyDescent="0.2">
      <c r="A6492" s="599">
        <v>43445</v>
      </c>
      <c r="B6492" s="91" t="s">
        <v>2094</v>
      </c>
      <c r="C6492" s="94" t="s">
        <v>559</v>
      </c>
      <c r="D6492" s="801" t="s">
        <v>4259</v>
      </c>
      <c r="E6492" s="92"/>
      <c r="F6492" s="92">
        <v>328603</v>
      </c>
      <c r="G6492" s="92">
        <f t="shared" si="106"/>
        <v>328603</v>
      </c>
      <c r="H6492" s="261" t="s">
        <v>4248</v>
      </c>
    </row>
    <row r="6493" spans="1:9" ht="15" customHeight="1" x14ac:dyDescent="0.2">
      <c r="A6493" s="599">
        <v>43452</v>
      </c>
      <c r="B6493" s="91" t="s">
        <v>3622</v>
      </c>
      <c r="C6493" s="94" t="s">
        <v>559</v>
      </c>
      <c r="D6493" s="801" t="s">
        <v>4270</v>
      </c>
      <c r="E6493" s="92"/>
      <c r="F6493" s="92">
        <v>3020000</v>
      </c>
      <c r="G6493" s="92">
        <f t="shared" si="106"/>
        <v>3020000</v>
      </c>
      <c r="H6493" s="261" t="s">
        <v>4248</v>
      </c>
    </row>
    <row r="6494" spans="1:9" ht="15" customHeight="1" x14ac:dyDescent="0.2">
      <c r="A6494" s="599">
        <v>43452</v>
      </c>
      <c r="B6494" s="91" t="s">
        <v>3622</v>
      </c>
      <c r="C6494" s="94" t="s">
        <v>559</v>
      </c>
      <c r="D6494" s="801" t="s">
        <v>4270</v>
      </c>
      <c r="E6494" s="92"/>
      <c r="F6494" s="92">
        <v>980000</v>
      </c>
      <c r="G6494" s="92">
        <f t="shared" si="106"/>
        <v>980000</v>
      </c>
      <c r="H6494" s="261" t="s">
        <v>4248</v>
      </c>
    </row>
    <row r="6495" spans="1:9" ht="15" customHeight="1" x14ac:dyDescent="0.2">
      <c r="A6495" s="599">
        <v>43452</v>
      </c>
      <c r="B6495" s="91" t="s">
        <v>3945</v>
      </c>
      <c r="C6495" s="94" t="s">
        <v>559</v>
      </c>
      <c r="D6495" s="801" t="s">
        <v>4379</v>
      </c>
      <c r="E6495" s="92"/>
      <c r="F6495" s="92">
        <v>305250</v>
      </c>
      <c r="G6495" s="92">
        <f t="shared" si="106"/>
        <v>305250</v>
      </c>
      <c r="H6495" s="261" t="s">
        <v>4248</v>
      </c>
    </row>
    <row r="6496" spans="1:9" ht="15" x14ac:dyDescent="0.2">
      <c r="A6496" s="599">
        <v>43452</v>
      </c>
      <c r="B6496" s="91" t="s">
        <v>3946</v>
      </c>
      <c r="C6496" s="94" t="s">
        <v>559</v>
      </c>
      <c r="D6496" s="801" t="s">
        <v>4379</v>
      </c>
      <c r="E6496" s="92"/>
      <c r="F6496" s="92">
        <v>277500</v>
      </c>
      <c r="G6496" s="92">
        <f t="shared" si="106"/>
        <v>277500</v>
      </c>
      <c r="H6496" s="261" t="s">
        <v>4248</v>
      </c>
    </row>
    <row r="6497" spans="1:8" ht="15" x14ac:dyDescent="0.2">
      <c r="A6497" s="599">
        <v>43462</v>
      </c>
      <c r="B6497" s="91" t="s">
        <v>3733</v>
      </c>
      <c r="C6497" s="94" t="s">
        <v>559</v>
      </c>
      <c r="D6497" s="801" t="s">
        <v>4329</v>
      </c>
      <c r="E6497" s="92"/>
      <c r="F6497" s="92">
        <v>200000</v>
      </c>
      <c r="G6497" s="92">
        <f t="shared" si="106"/>
        <v>200000</v>
      </c>
      <c r="H6497" s="261" t="s">
        <v>4248</v>
      </c>
    </row>
    <row r="6498" spans="1:8" ht="24" x14ac:dyDescent="0.2">
      <c r="A6498" s="599">
        <v>43462</v>
      </c>
      <c r="B6498" s="91" t="s">
        <v>3733</v>
      </c>
      <c r="C6498" s="94" t="s">
        <v>559</v>
      </c>
      <c r="D6498" s="798" t="s">
        <v>4330</v>
      </c>
      <c r="E6498" s="92"/>
      <c r="F6498" s="92">
        <v>202000</v>
      </c>
      <c r="G6498" s="92">
        <f t="shared" si="106"/>
        <v>202000</v>
      </c>
      <c r="H6498" s="261" t="s">
        <v>4248</v>
      </c>
    </row>
    <row r="6499" spans="1:8" ht="15" x14ac:dyDescent="0.2">
      <c r="A6499" s="597">
        <v>43466</v>
      </c>
      <c r="B6499" s="41" t="s">
        <v>2933</v>
      </c>
      <c r="C6499" s="63" t="s">
        <v>794</v>
      </c>
      <c r="D6499" s="108" t="s">
        <v>1836</v>
      </c>
      <c r="E6499" s="58">
        <v>25000</v>
      </c>
      <c r="F6499" s="58"/>
      <c r="G6499" s="58">
        <f t="shared" si="106"/>
        <v>-25000</v>
      </c>
      <c r="H6499" s="121" t="s">
        <v>4348</v>
      </c>
    </row>
    <row r="6500" spans="1:8" ht="15" x14ac:dyDescent="0.2">
      <c r="A6500" s="597">
        <v>43466</v>
      </c>
      <c r="B6500" s="41" t="s">
        <v>2652</v>
      </c>
      <c r="C6500" s="63" t="s">
        <v>794</v>
      </c>
      <c r="D6500" s="108" t="s">
        <v>1836</v>
      </c>
      <c r="E6500" s="58">
        <v>25000</v>
      </c>
      <c r="F6500" s="58"/>
      <c r="G6500" s="58">
        <f t="shared" si="106"/>
        <v>-25000</v>
      </c>
      <c r="H6500" s="121" t="s">
        <v>4348</v>
      </c>
    </row>
    <row r="6501" spans="1:8" ht="15" x14ac:dyDescent="0.2">
      <c r="A6501" s="597">
        <v>43466</v>
      </c>
      <c r="B6501" s="41" t="s">
        <v>2933</v>
      </c>
      <c r="C6501" s="63" t="s">
        <v>794</v>
      </c>
      <c r="D6501" s="108" t="s">
        <v>1836</v>
      </c>
      <c r="E6501" s="58">
        <v>25000</v>
      </c>
      <c r="F6501" s="58"/>
      <c r="G6501" s="58">
        <f t="shared" si="106"/>
        <v>-25000</v>
      </c>
      <c r="H6501" s="121" t="s">
        <v>4348</v>
      </c>
    </row>
    <row r="6502" spans="1:8" ht="15" x14ac:dyDescent="0.2">
      <c r="A6502" s="597">
        <v>43466</v>
      </c>
      <c r="B6502" s="41" t="s">
        <v>2652</v>
      </c>
      <c r="C6502" s="63" t="s">
        <v>794</v>
      </c>
      <c r="D6502" s="108" t="s">
        <v>1836</v>
      </c>
      <c r="E6502" s="58">
        <v>25000</v>
      </c>
      <c r="F6502" s="58"/>
      <c r="G6502" s="58">
        <f t="shared" si="106"/>
        <v>-25000</v>
      </c>
      <c r="H6502" s="121" t="s">
        <v>4348</v>
      </c>
    </row>
    <row r="6503" spans="1:8" ht="15" x14ac:dyDescent="0.2">
      <c r="A6503" s="597">
        <v>43466</v>
      </c>
      <c r="B6503" s="41" t="s">
        <v>25</v>
      </c>
      <c r="C6503" s="63" t="s">
        <v>794</v>
      </c>
      <c r="D6503" s="129" t="s">
        <v>1839</v>
      </c>
      <c r="E6503" s="58">
        <v>10000</v>
      </c>
      <c r="F6503" s="58"/>
      <c r="G6503" s="58">
        <f t="shared" si="106"/>
        <v>-10000</v>
      </c>
      <c r="H6503" s="121" t="s">
        <v>4348</v>
      </c>
    </row>
    <row r="6504" spans="1:8" ht="15" x14ac:dyDescent="0.2">
      <c r="A6504" s="597">
        <v>43466</v>
      </c>
      <c r="B6504" s="41" t="s">
        <v>25</v>
      </c>
      <c r="C6504" s="63" t="s">
        <v>794</v>
      </c>
      <c r="D6504" s="129" t="s">
        <v>2183</v>
      </c>
      <c r="E6504" s="58">
        <v>20000</v>
      </c>
      <c r="F6504" s="58"/>
      <c r="G6504" s="58">
        <f t="shared" si="106"/>
        <v>-20000</v>
      </c>
      <c r="H6504" s="121" t="s">
        <v>4348</v>
      </c>
    </row>
    <row r="6505" spans="1:8" ht="15" x14ac:dyDescent="0.2">
      <c r="A6505" s="597">
        <v>43466</v>
      </c>
      <c r="B6505" s="41" t="s">
        <v>25</v>
      </c>
      <c r="C6505" s="63" t="s">
        <v>794</v>
      </c>
      <c r="D6505" s="129" t="s">
        <v>1840</v>
      </c>
      <c r="E6505" s="58">
        <v>10000</v>
      </c>
      <c r="F6505" s="58"/>
      <c r="G6505" s="58">
        <f t="shared" si="106"/>
        <v>-10000</v>
      </c>
      <c r="H6505" s="121" t="s">
        <v>4348</v>
      </c>
    </row>
    <row r="6506" spans="1:8" ht="15" x14ac:dyDescent="0.2">
      <c r="A6506" s="597">
        <v>43466</v>
      </c>
      <c r="B6506" s="41" t="s">
        <v>25</v>
      </c>
      <c r="C6506" s="63" t="s">
        <v>794</v>
      </c>
      <c r="D6506" s="129" t="s">
        <v>1547</v>
      </c>
      <c r="E6506" s="58">
        <v>10000</v>
      </c>
      <c r="F6506" s="58"/>
      <c r="G6506" s="58">
        <f t="shared" si="106"/>
        <v>-10000</v>
      </c>
      <c r="H6506" s="121" t="s">
        <v>4348</v>
      </c>
    </row>
    <row r="6507" spans="1:8" ht="15" x14ac:dyDescent="0.2">
      <c r="A6507" s="597">
        <v>43466</v>
      </c>
      <c r="B6507" s="41" t="s">
        <v>16</v>
      </c>
      <c r="C6507" s="63" t="s">
        <v>794</v>
      </c>
      <c r="D6507" s="129" t="s">
        <v>1844</v>
      </c>
      <c r="E6507" s="58">
        <v>25258.064516129034</v>
      </c>
      <c r="F6507" s="58"/>
      <c r="G6507" s="58">
        <f t="shared" si="106"/>
        <v>-25258.064516129034</v>
      </c>
      <c r="H6507" s="121" t="s">
        <v>4348</v>
      </c>
    </row>
    <row r="6508" spans="1:8" ht="15" x14ac:dyDescent="0.2">
      <c r="A6508" s="597">
        <v>43466</v>
      </c>
      <c r="B6508" s="41" t="s">
        <v>16</v>
      </c>
      <c r="C6508" s="63" t="s">
        <v>794</v>
      </c>
      <c r="D6508" s="129" t="s">
        <v>1842</v>
      </c>
      <c r="E6508" s="58">
        <v>30000</v>
      </c>
      <c r="F6508" s="58"/>
      <c r="G6508" s="58">
        <f t="shared" si="106"/>
        <v>-30000</v>
      </c>
      <c r="H6508" s="121" t="s">
        <v>4348</v>
      </c>
    </row>
    <row r="6509" spans="1:8" ht="15" customHeight="1" x14ac:dyDescent="0.2">
      <c r="A6509" s="597">
        <v>43466</v>
      </c>
      <c r="B6509" s="41" t="s">
        <v>16</v>
      </c>
      <c r="C6509" s="63" t="s">
        <v>794</v>
      </c>
      <c r="D6509" s="129" t="s">
        <v>3065</v>
      </c>
      <c r="E6509" s="58">
        <v>15000</v>
      </c>
      <c r="F6509" s="58"/>
      <c r="G6509" s="58">
        <f t="shared" si="106"/>
        <v>-15000</v>
      </c>
      <c r="H6509" s="121" t="s">
        <v>4348</v>
      </c>
    </row>
    <row r="6510" spans="1:8" ht="15" customHeight="1" x14ac:dyDescent="0.2">
      <c r="A6510" s="597">
        <v>43466</v>
      </c>
      <c r="B6510" s="41" t="s">
        <v>16</v>
      </c>
      <c r="C6510" s="63" t="s">
        <v>794</v>
      </c>
      <c r="D6510" s="129" t="s">
        <v>3230</v>
      </c>
      <c r="E6510" s="58">
        <v>14000</v>
      </c>
      <c r="F6510" s="58"/>
      <c r="G6510" s="58">
        <f t="shared" si="106"/>
        <v>-14000</v>
      </c>
      <c r="H6510" s="121" t="s">
        <v>4348</v>
      </c>
    </row>
    <row r="6511" spans="1:8" ht="15" customHeight="1" x14ac:dyDescent="0.2">
      <c r="A6511" s="597">
        <v>43466</v>
      </c>
      <c r="B6511" s="41" t="s">
        <v>16</v>
      </c>
      <c r="C6511" s="63" t="s">
        <v>794</v>
      </c>
      <c r="D6511" s="129" t="s">
        <v>3611</v>
      </c>
      <c r="E6511" s="58">
        <v>5000</v>
      </c>
      <c r="F6511" s="58"/>
      <c r="G6511" s="58">
        <f t="shared" si="106"/>
        <v>-5000</v>
      </c>
      <c r="H6511" s="121" t="s">
        <v>4348</v>
      </c>
    </row>
    <row r="6512" spans="1:8" ht="15" customHeight="1" x14ac:dyDescent="0.2">
      <c r="A6512" s="597">
        <v>43466</v>
      </c>
      <c r="B6512" s="41" t="s">
        <v>16</v>
      </c>
      <c r="C6512" s="63" t="s">
        <v>794</v>
      </c>
      <c r="D6512" s="129" t="s">
        <v>3612</v>
      </c>
      <c r="E6512" s="58">
        <v>14500</v>
      </c>
      <c r="F6512" s="58"/>
      <c r="G6512" s="58">
        <f t="shared" si="106"/>
        <v>-14500</v>
      </c>
      <c r="H6512" s="121" t="s">
        <v>4348</v>
      </c>
    </row>
    <row r="6513" spans="1:8" ht="15" customHeight="1" x14ac:dyDescent="0.2">
      <c r="A6513" s="597">
        <v>43466</v>
      </c>
      <c r="B6513" s="41" t="s">
        <v>3945</v>
      </c>
      <c r="C6513" s="63" t="s">
        <v>794</v>
      </c>
      <c r="D6513" s="129" t="s">
        <v>2282</v>
      </c>
      <c r="E6513" s="58">
        <v>42620.967741935485</v>
      </c>
      <c r="F6513" s="58"/>
      <c r="G6513" s="58">
        <f t="shared" si="106"/>
        <v>-42620.967741935485</v>
      </c>
      <c r="H6513" s="121" t="s">
        <v>4348</v>
      </c>
    </row>
    <row r="6514" spans="1:8" ht="15" customHeight="1" x14ac:dyDescent="0.2">
      <c r="A6514" s="597">
        <v>43466</v>
      </c>
      <c r="B6514" s="41" t="s">
        <v>3945</v>
      </c>
      <c r="C6514" s="63" t="s">
        <v>794</v>
      </c>
      <c r="D6514" s="129" t="s">
        <v>2758</v>
      </c>
      <c r="E6514" s="58">
        <v>21590</v>
      </c>
      <c r="F6514" s="58"/>
      <c r="G6514" s="58">
        <f t="shared" si="106"/>
        <v>-21590</v>
      </c>
      <c r="H6514" s="121" t="s">
        <v>4348</v>
      </c>
    </row>
    <row r="6515" spans="1:8" ht="15" customHeight="1" x14ac:dyDescent="0.2">
      <c r="A6515" s="597">
        <v>43466</v>
      </c>
      <c r="B6515" s="41" t="s">
        <v>3945</v>
      </c>
      <c r="C6515" s="63" t="s">
        <v>794</v>
      </c>
      <c r="D6515" s="129" t="s">
        <v>3236</v>
      </c>
      <c r="E6515" s="58">
        <v>18810.483870967742</v>
      </c>
      <c r="F6515" s="58"/>
      <c r="G6515" s="58">
        <f t="shared" si="106"/>
        <v>-18810.483870967742</v>
      </c>
      <c r="H6515" s="121" t="s">
        <v>4348</v>
      </c>
    </row>
    <row r="6516" spans="1:8" ht="15" x14ac:dyDescent="0.2">
      <c r="A6516" s="597">
        <v>43466</v>
      </c>
      <c r="B6516" s="41" t="s">
        <v>3945</v>
      </c>
      <c r="C6516" s="63" t="s">
        <v>794</v>
      </c>
      <c r="D6516" s="129" t="s">
        <v>4005</v>
      </c>
      <c r="E6516" s="58">
        <v>16089.919354838708</v>
      </c>
      <c r="F6516" s="58"/>
      <c r="G6516" s="58">
        <f t="shared" si="106"/>
        <v>-16089.919354838708</v>
      </c>
      <c r="H6516" s="121" t="s">
        <v>4348</v>
      </c>
    </row>
    <row r="6517" spans="1:8" ht="15" x14ac:dyDescent="0.2">
      <c r="A6517" s="597">
        <v>43466</v>
      </c>
      <c r="B6517" s="41" t="s">
        <v>3945</v>
      </c>
      <c r="C6517" s="63" t="s">
        <v>794</v>
      </c>
      <c r="D6517" s="129" t="s">
        <v>3841</v>
      </c>
      <c r="E6517" s="58">
        <v>25970.16129032258</v>
      </c>
      <c r="F6517" s="58"/>
      <c r="G6517" s="58">
        <f t="shared" ref="G6517:G6580" si="107">F6517-E6517</f>
        <v>-25970.16129032258</v>
      </c>
      <c r="H6517" s="121" t="s">
        <v>4348</v>
      </c>
    </row>
    <row r="6518" spans="1:8" ht="15" x14ac:dyDescent="0.2">
      <c r="A6518" s="597">
        <v>43466</v>
      </c>
      <c r="B6518" s="41" t="s">
        <v>3945</v>
      </c>
      <c r="C6518" s="63" t="s">
        <v>794</v>
      </c>
      <c r="D6518" s="129" t="s">
        <v>4075</v>
      </c>
      <c r="E6518" s="58">
        <v>18479.637096774193</v>
      </c>
      <c r="F6518" s="58"/>
      <c r="G6518" s="58">
        <f t="shared" si="107"/>
        <v>-18479.637096774193</v>
      </c>
      <c r="H6518" s="121" t="s">
        <v>4348</v>
      </c>
    </row>
    <row r="6519" spans="1:8" ht="15" x14ac:dyDescent="0.2">
      <c r="A6519" s="597">
        <v>43466</v>
      </c>
      <c r="B6519" s="41" t="s">
        <v>3945</v>
      </c>
      <c r="C6519" s="63" t="s">
        <v>794</v>
      </c>
      <c r="D6519" s="129" t="s">
        <v>4076</v>
      </c>
      <c r="E6519" s="58">
        <v>23153.225806451614</v>
      </c>
      <c r="F6519" s="58"/>
      <c r="G6519" s="58">
        <f t="shared" si="107"/>
        <v>-23153.225806451614</v>
      </c>
      <c r="H6519" s="121" t="s">
        <v>4348</v>
      </c>
    </row>
    <row r="6520" spans="1:8" ht="15" x14ac:dyDescent="0.2">
      <c r="A6520" s="597">
        <v>43466</v>
      </c>
      <c r="B6520" s="41" t="s">
        <v>3946</v>
      </c>
      <c r="C6520" s="63" t="s">
        <v>794</v>
      </c>
      <c r="D6520" s="129" t="s">
        <v>4077</v>
      </c>
      <c r="E6520" s="58">
        <v>36903.225806451614</v>
      </c>
      <c r="F6520" s="58"/>
      <c r="G6520" s="58">
        <f t="shared" si="107"/>
        <v>-36903.225806451614</v>
      </c>
      <c r="H6520" s="121" t="s">
        <v>4348</v>
      </c>
    </row>
    <row r="6521" spans="1:8" ht="15" x14ac:dyDescent="0.2">
      <c r="A6521" s="597">
        <v>43466</v>
      </c>
      <c r="B6521" s="41" t="s">
        <v>3946</v>
      </c>
      <c r="C6521" s="63" t="s">
        <v>794</v>
      </c>
      <c r="D6521" s="129" t="s">
        <v>4555</v>
      </c>
      <c r="E6521" s="58">
        <v>26529.516129032258</v>
      </c>
      <c r="F6521" s="58"/>
      <c r="G6521" s="58">
        <f t="shared" si="107"/>
        <v>-26529.516129032258</v>
      </c>
      <c r="H6521" s="121" t="s">
        <v>4348</v>
      </c>
    </row>
    <row r="6522" spans="1:8" ht="15" x14ac:dyDescent="0.2">
      <c r="A6522" s="597">
        <v>43466</v>
      </c>
      <c r="B6522" s="41" t="s">
        <v>3946</v>
      </c>
      <c r="C6522" s="63" t="s">
        <v>794</v>
      </c>
      <c r="D6522" s="129" t="s">
        <v>4192</v>
      </c>
      <c r="E6522" s="58">
        <v>32730.322580645159</v>
      </c>
      <c r="F6522" s="58"/>
      <c r="G6522" s="58">
        <f t="shared" si="107"/>
        <v>-32730.322580645159</v>
      </c>
      <c r="H6522" s="121" t="s">
        <v>4348</v>
      </c>
    </row>
    <row r="6523" spans="1:8" ht="15" x14ac:dyDescent="0.2">
      <c r="A6523" s="597">
        <v>43466</v>
      </c>
      <c r="B6523" s="41" t="s">
        <v>3946</v>
      </c>
      <c r="C6523" s="63" t="s">
        <v>794</v>
      </c>
      <c r="D6523" s="129" t="s">
        <v>4556</v>
      </c>
      <c r="E6523" s="58">
        <v>18451.612903225807</v>
      </c>
      <c r="F6523" s="58"/>
      <c r="G6523" s="58">
        <f t="shared" si="107"/>
        <v>-18451.612903225807</v>
      </c>
      <c r="H6523" s="121" t="s">
        <v>4348</v>
      </c>
    </row>
    <row r="6524" spans="1:8" ht="15" x14ac:dyDescent="0.2">
      <c r="A6524" s="597">
        <v>43466</v>
      </c>
      <c r="B6524" s="41" t="s">
        <v>3946</v>
      </c>
      <c r="C6524" s="63" t="s">
        <v>794</v>
      </c>
      <c r="D6524" s="129" t="s">
        <v>4194</v>
      </c>
      <c r="E6524" s="58">
        <v>17669.677419354841</v>
      </c>
      <c r="F6524" s="58"/>
      <c r="G6524" s="58">
        <f t="shared" si="107"/>
        <v>-17669.677419354841</v>
      </c>
      <c r="H6524" s="121" t="s">
        <v>4348</v>
      </c>
    </row>
    <row r="6525" spans="1:8" ht="15" x14ac:dyDescent="0.2">
      <c r="A6525" s="597">
        <v>43466</v>
      </c>
      <c r="B6525" s="41" t="s">
        <v>3946</v>
      </c>
      <c r="C6525" s="63" t="s">
        <v>794</v>
      </c>
      <c r="D6525" s="129" t="s">
        <v>4557</v>
      </c>
      <c r="E6525" s="58">
        <v>18000</v>
      </c>
      <c r="F6525" s="58"/>
      <c r="G6525" s="58">
        <f t="shared" si="107"/>
        <v>-18000</v>
      </c>
      <c r="H6525" s="121" t="s">
        <v>4348</v>
      </c>
    </row>
    <row r="6526" spans="1:8" ht="15" x14ac:dyDescent="0.2">
      <c r="A6526" s="597">
        <v>43466</v>
      </c>
      <c r="B6526" s="41" t="s">
        <v>3946</v>
      </c>
      <c r="C6526" s="63" t="s">
        <v>794</v>
      </c>
      <c r="D6526" s="129" t="s">
        <v>1565</v>
      </c>
      <c r="E6526" s="58">
        <v>34149.677419354834</v>
      </c>
      <c r="F6526" s="58"/>
      <c r="G6526" s="58">
        <f t="shared" si="107"/>
        <v>-34149.677419354834</v>
      </c>
      <c r="H6526" s="121" t="s">
        <v>4348</v>
      </c>
    </row>
    <row r="6527" spans="1:8" ht="15" x14ac:dyDescent="0.2">
      <c r="A6527" s="597">
        <v>43466</v>
      </c>
      <c r="B6527" s="41" t="s">
        <v>3946</v>
      </c>
      <c r="C6527" s="63" t="s">
        <v>794</v>
      </c>
      <c r="D6527" s="129" t="s">
        <v>4325</v>
      </c>
      <c r="E6527" s="58">
        <v>19029.677419354841</v>
      </c>
      <c r="F6527" s="58"/>
      <c r="G6527" s="58">
        <f t="shared" si="107"/>
        <v>-19029.677419354841</v>
      </c>
      <c r="H6527" s="121" t="s">
        <v>4348</v>
      </c>
    </row>
    <row r="6528" spans="1:8" ht="15" x14ac:dyDescent="0.2">
      <c r="A6528" s="597">
        <v>43466</v>
      </c>
      <c r="B6528" s="41" t="s">
        <v>1400</v>
      </c>
      <c r="C6528" s="63" t="s">
        <v>794</v>
      </c>
      <c r="D6528" s="129" t="s">
        <v>1858</v>
      </c>
      <c r="E6528" s="58">
        <v>44399.717741935485</v>
      </c>
      <c r="F6528" s="58"/>
      <c r="G6528" s="58">
        <f t="shared" si="107"/>
        <v>-44399.717741935485</v>
      </c>
      <c r="H6528" s="121" t="s">
        <v>4348</v>
      </c>
    </row>
    <row r="6529" spans="1:8" ht="15" x14ac:dyDescent="0.2">
      <c r="A6529" s="597">
        <v>43466</v>
      </c>
      <c r="B6529" s="41" t="s">
        <v>1400</v>
      </c>
      <c r="C6529" s="63" t="s">
        <v>794</v>
      </c>
      <c r="D6529" s="129" t="s">
        <v>1684</v>
      </c>
      <c r="E6529" s="58">
        <v>27741.935483870966</v>
      </c>
      <c r="F6529" s="58"/>
      <c r="G6529" s="58">
        <f t="shared" si="107"/>
        <v>-27741.935483870966</v>
      </c>
      <c r="H6529" s="121" t="s">
        <v>4348</v>
      </c>
    </row>
    <row r="6530" spans="1:8" ht="15" x14ac:dyDescent="0.2">
      <c r="A6530" s="597">
        <v>43466</v>
      </c>
      <c r="B6530" s="41" t="s">
        <v>1400</v>
      </c>
      <c r="C6530" s="63" t="s">
        <v>794</v>
      </c>
      <c r="D6530" s="129" t="s">
        <v>1550</v>
      </c>
      <c r="E6530" s="58">
        <v>20148.629032258061</v>
      </c>
      <c r="F6530" s="58"/>
      <c r="G6530" s="58">
        <f t="shared" si="107"/>
        <v>-20148.629032258061</v>
      </c>
      <c r="H6530" s="121" t="s">
        <v>4348</v>
      </c>
    </row>
    <row r="6531" spans="1:8" ht="15" x14ac:dyDescent="0.2">
      <c r="A6531" s="597">
        <v>43466</v>
      </c>
      <c r="B6531" s="41" t="s">
        <v>1400</v>
      </c>
      <c r="C6531" s="63" t="s">
        <v>794</v>
      </c>
      <c r="D6531" s="129" t="s">
        <v>1871</v>
      </c>
      <c r="E6531" s="58">
        <v>37000</v>
      </c>
      <c r="F6531" s="58"/>
      <c r="G6531" s="58">
        <f t="shared" si="107"/>
        <v>-37000</v>
      </c>
      <c r="H6531" s="121" t="s">
        <v>4348</v>
      </c>
    </row>
    <row r="6532" spans="1:8" ht="15" x14ac:dyDescent="0.2">
      <c r="A6532" s="597">
        <v>43466</v>
      </c>
      <c r="B6532" s="41" t="s">
        <v>1400</v>
      </c>
      <c r="C6532" s="63" t="s">
        <v>794</v>
      </c>
      <c r="D6532" s="129" t="s">
        <v>3491</v>
      </c>
      <c r="E6532" s="58">
        <v>17096.774193548386</v>
      </c>
      <c r="F6532" s="58"/>
      <c r="G6532" s="58">
        <f t="shared" si="107"/>
        <v>-17096.774193548386</v>
      </c>
      <c r="H6532" s="121" t="s">
        <v>4348</v>
      </c>
    </row>
    <row r="6533" spans="1:8" ht="15" x14ac:dyDescent="0.2">
      <c r="A6533" s="597">
        <v>43466</v>
      </c>
      <c r="B6533" s="41" t="s">
        <v>1400</v>
      </c>
      <c r="C6533" s="63" t="s">
        <v>794</v>
      </c>
      <c r="D6533" s="129" t="s">
        <v>1542</v>
      </c>
      <c r="E6533" s="58">
        <v>20225.806451612905</v>
      </c>
      <c r="F6533" s="58"/>
      <c r="G6533" s="58">
        <f t="shared" si="107"/>
        <v>-20225.806451612905</v>
      </c>
      <c r="H6533" s="121" t="s">
        <v>4348</v>
      </c>
    </row>
    <row r="6534" spans="1:8" ht="15" x14ac:dyDescent="0.2">
      <c r="A6534" s="597">
        <v>43466</v>
      </c>
      <c r="B6534" s="41" t="s">
        <v>1400</v>
      </c>
      <c r="C6534" s="63" t="s">
        <v>794</v>
      </c>
      <c r="D6534" s="129" t="s">
        <v>1862</v>
      </c>
      <c r="E6534" s="58">
        <v>21000</v>
      </c>
      <c r="F6534" s="58"/>
      <c r="G6534" s="58">
        <f t="shared" si="107"/>
        <v>-21000</v>
      </c>
      <c r="H6534" s="121" t="s">
        <v>4348</v>
      </c>
    </row>
    <row r="6535" spans="1:8" ht="15" x14ac:dyDescent="0.2">
      <c r="A6535" s="597">
        <v>43466</v>
      </c>
      <c r="B6535" s="41" t="s">
        <v>1400</v>
      </c>
      <c r="C6535" s="63" t="s">
        <v>794</v>
      </c>
      <c r="D6535" s="129" t="s">
        <v>1850</v>
      </c>
      <c r="E6535" s="58">
        <v>7838.7096774193542</v>
      </c>
      <c r="F6535" s="58"/>
      <c r="G6535" s="58">
        <f t="shared" si="107"/>
        <v>-7838.7096774193542</v>
      </c>
      <c r="H6535" s="121" t="s">
        <v>4348</v>
      </c>
    </row>
    <row r="6536" spans="1:8" ht="15" x14ac:dyDescent="0.2">
      <c r="A6536" s="597">
        <v>43466</v>
      </c>
      <c r="B6536" s="41" t="s">
        <v>1400</v>
      </c>
      <c r="C6536" s="63" t="s">
        <v>794</v>
      </c>
      <c r="D6536" s="129" t="s">
        <v>3492</v>
      </c>
      <c r="E6536" s="58">
        <v>2564.5161290322576</v>
      </c>
      <c r="F6536" s="58"/>
      <c r="G6536" s="58">
        <f t="shared" si="107"/>
        <v>-2564.5161290322576</v>
      </c>
      <c r="H6536" s="121" t="s">
        <v>4348</v>
      </c>
    </row>
    <row r="6537" spans="1:8" ht="15" x14ac:dyDescent="0.2">
      <c r="A6537" s="597">
        <v>43466</v>
      </c>
      <c r="B6537" s="41" t="s">
        <v>1400</v>
      </c>
      <c r="C6537" s="63" t="s">
        <v>794</v>
      </c>
      <c r="D6537" s="129" t="s">
        <v>3068</v>
      </c>
      <c r="E6537" s="58">
        <v>10451.612903225807</v>
      </c>
      <c r="F6537" s="58"/>
      <c r="G6537" s="58">
        <f t="shared" si="107"/>
        <v>-10451.612903225807</v>
      </c>
      <c r="H6537" s="121" t="s">
        <v>4348</v>
      </c>
    </row>
    <row r="6538" spans="1:8" ht="15" x14ac:dyDescent="0.2">
      <c r="A6538" s="597">
        <v>43466</v>
      </c>
      <c r="B6538" s="41" t="s">
        <v>1400</v>
      </c>
      <c r="C6538" s="63" t="s">
        <v>794</v>
      </c>
      <c r="D6538" s="129" t="s">
        <v>4006</v>
      </c>
      <c r="E6538" s="58">
        <v>3209.6774193548372</v>
      </c>
      <c r="F6538" s="58"/>
      <c r="G6538" s="58">
        <f t="shared" si="107"/>
        <v>-3209.6774193548372</v>
      </c>
      <c r="H6538" s="121" t="s">
        <v>4348</v>
      </c>
    </row>
    <row r="6539" spans="1:8" ht="15" x14ac:dyDescent="0.2">
      <c r="A6539" s="597">
        <v>43466</v>
      </c>
      <c r="B6539" s="41" t="s">
        <v>1400</v>
      </c>
      <c r="C6539" s="63" t="s">
        <v>794</v>
      </c>
      <c r="D6539" s="129" t="s">
        <v>2481</v>
      </c>
      <c r="E6539" s="58">
        <v>9320</v>
      </c>
      <c r="F6539" s="58"/>
      <c r="G6539" s="58">
        <f t="shared" si="107"/>
        <v>-9320</v>
      </c>
      <c r="H6539" s="121" t="s">
        <v>4348</v>
      </c>
    </row>
    <row r="6540" spans="1:8" ht="15" x14ac:dyDescent="0.2">
      <c r="A6540" s="597">
        <v>43466</v>
      </c>
      <c r="B6540" s="41" t="s">
        <v>6516</v>
      </c>
      <c r="C6540" s="63" t="s">
        <v>794</v>
      </c>
      <c r="D6540" s="129" t="s">
        <v>1855</v>
      </c>
      <c r="E6540" s="58">
        <v>24420.362903225807</v>
      </c>
      <c r="F6540" s="58"/>
      <c r="G6540" s="58">
        <f t="shared" si="107"/>
        <v>-24420.362903225807</v>
      </c>
      <c r="H6540" s="121" t="s">
        <v>4348</v>
      </c>
    </row>
    <row r="6541" spans="1:8" ht="15" x14ac:dyDescent="0.2">
      <c r="A6541" s="597">
        <v>43466</v>
      </c>
      <c r="B6541" s="41" t="s">
        <v>6516</v>
      </c>
      <c r="C6541" s="63" t="s">
        <v>794</v>
      </c>
      <c r="D6541" s="129" t="s">
        <v>1861</v>
      </c>
      <c r="E6541" s="58">
        <v>17549.677419354837</v>
      </c>
      <c r="F6541" s="58"/>
      <c r="G6541" s="58">
        <f t="shared" si="107"/>
        <v>-17549.677419354837</v>
      </c>
      <c r="H6541" s="121" t="s">
        <v>4348</v>
      </c>
    </row>
    <row r="6542" spans="1:8" ht="15" x14ac:dyDescent="0.2">
      <c r="A6542" s="597">
        <v>43466</v>
      </c>
      <c r="B6542" s="41" t="s">
        <v>6516</v>
      </c>
      <c r="C6542" s="63" t="s">
        <v>794</v>
      </c>
      <c r="D6542" s="129" t="s">
        <v>1849</v>
      </c>
      <c r="E6542" s="58">
        <v>16920</v>
      </c>
      <c r="F6542" s="58"/>
      <c r="G6542" s="58">
        <f t="shared" si="107"/>
        <v>-16920</v>
      </c>
      <c r="H6542" s="121" t="s">
        <v>4348</v>
      </c>
    </row>
    <row r="6543" spans="1:8" ht="15" x14ac:dyDescent="0.2">
      <c r="A6543" s="597">
        <v>43466</v>
      </c>
      <c r="B6543" s="41" t="s">
        <v>6516</v>
      </c>
      <c r="C6543" s="63" t="s">
        <v>794</v>
      </c>
      <c r="D6543" s="129" t="s">
        <v>3615</v>
      </c>
      <c r="E6543" s="58">
        <v>14970.080645161288</v>
      </c>
      <c r="F6543" s="58"/>
      <c r="G6543" s="58">
        <f t="shared" si="107"/>
        <v>-14970.080645161288</v>
      </c>
      <c r="H6543" s="121" t="s">
        <v>4348</v>
      </c>
    </row>
    <row r="6544" spans="1:8" ht="15" x14ac:dyDescent="0.2">
      <c r="A6544" s="597">
        <v>43466</v>
      </c>
      <c r="B6544" s="41" t="s">
        <v>6516</v>
      </c>
      <c r="C6544" s="63" t="s">
        <v>794</v>
      </c>
      <c r="D6544" s="129" t="s">
        <v>4196</v>
      </c>
      <c r="E6544" s="58">
        <v>12661.290322580644</v>
      </c>
      <c r="F6544" s="58"/>
      <c r="G6544" s="58">
        <f t="shared" si="107"/>
        <v>-12661.290322580644</v>
      </c>
      <c r="H6544" s="121" t="s">
        <v>4348</v>
      </c>
    </row>
    <row r="6545" spans="1:8" ht="15" x14ac:dyDescent="0.2">
      <c r="A6545" s="597">
        <v>43466</v>
      </c>
      <c r="B6545" s="41" t="s">
        <v>6516</v>
      </c>
      <c r="C6545" s="63" t="s">
        <v>794</v>
      </c>
      <c r="D6545" s="129" t="s">
        <v>4007</v>
      </c>
      <c r="E6545" s="58">
        <v>11069.758064516129</v>
      </c>
      <c r="F6545" s="58"/>
      <c r="G6545" s="58">
        <f t="shared" si="107"/>
        <v>-11069.758064516129</v>
      </c>
      <c r="H6545" s="121" t="s">
        <v>4348</v>
      </c>
    </row>
    <row r="6546" spans="1:8" ht="15" x14ac:dyDescent="0.2">
      <c r="A6546" s="597">
        <v>43466</v>
      </c>
      <c r="B6546" s="41" t="s">
        <v>37</v>
      </c>
      <c r="C6546" s="63" t="s">
        <v>794</v>
      </c>
      <c r="D6546" s="129" t="s">
        <v>1866</v>
      </c>
      <c r="E6546" s="58">
        <v>22889.758064516129</v>
      </c>
      <c r="F6546" s="58"/>
      <c r="G6546" s="58">
        <f t="shared" si="107"/>
        <v>-22889.758064516129</v>
      </c>
      <c r="H6546" s="121" t="s">
        <v>4348</v>
      </c>
    </row>
    <row r="6547" spans="1:8" ht="15" x14ac:dyDescent="0.2">
      <c r="A6547" s="597">
        <v>43466</v>
      </c>
      <c r="B6547" s="41" t="s">
        <v>37</v>
      </c>
      <c r="C6547" s="63" t="s">
        <v>794</v>
      </c>
      <c r="D6547" s="129" t="s">
        <v>1867</v>
      </c>
      <c r="E6547" s="58">
        <v>15104.838709677419</v>
      </c>
      <c r="F6547" s="58"/>
      <c r="G6547" s="58">
        <f t="shared" si="107"/>
        <v>-15104.838709677419</v>
      </c>
      <c r="H6547" s="121" t="s">
        <v>4348</v>
      </c>
    </row>
    <row r="6548" spans="1:8" ht="15" x14ac:dyDescent="0.2">
      <c r="A6548" s="597">
        <v>43466</v>
      </c>
      <c r="B6548" s="41" t="s">
        <v>37</v>
      </c>
      <c r="C6548" s="63" t="s">
        <v>794</v>
      </c>
      <c r="D6548" s="129" t="s">
        <v>1868</v>
      </c>
      <c r="E6548" s="58">
        <v>19210.16129032258</v>
      </c>
      <c r="F6548" s="58"/>
      <c r="G6548" s="58">
        <f t="shared" si="107"/>
        <v>-19210.16129032258</v>
      </c>
      <c r="H6548" s="121" t="s">
        <v>4348</v>
      </c>
    </row>
    <row r="6549" spans="1:8" ht="15" x14ac:dyDescent="0.2">
      <c r="A6549" s="597">
        <v>43466</v>
      </c>
      <c r="B6549" s="41" t="s">
        <v>37</v>
      </c>
      <c r="C6549" s="63" t="s">
        <v>794</v>
      </c>
      <c r="D6549" s="129" t="s">
        <v>4558</v>
      </c>
      <c r="E6549" s="58">
        <v>849.67741935483878</v>
      </c>
      <c r="F6549" s="58"/>
      <c r="G6549" s="58">
        <f t="shared" si="107"/>
        <v>-849.67741935483878</v>
      </c>
      <c r="H6549" s="121" t="s">
        <v>4348</v>
      </c>
    </row>
    <row r="6550" spans="1:8" ht="15" x14ac:dyDescent="0.2">
      <c r="A6550" s="597">
        <v>43466</v>
      </c>
      <c r="B6550" s="41" t="s">
        <v>37</v>
      </c>
      <c r="C6550" s="63" t="s">
        <v>794</v>
      </c>
      <c r="D6550" s="129" t="s">
        <v>4083</v>
      </c>
      <c r="E6550" s="58">
        <v>6920.4032258064517</v>
      </c>
      <c r="F6550" s="58"/>
      <c r="G6550" s="58">
        <f t="shared" si="107"/>
        <v>-6920.4032258064517</v>
      </c>
      <c r="H6550" s="121" t="s">
        <v>4348</v>
      </c>
    </row>
    <row r="6551" spans="1:8" ht="15" x14ac:dyDescent="0.2">
      <c r="A6551" s="597">
        <v>43466</v>
      </c>
      <c r="B6551" s="41" t="s">
        <v>37</v>
      </c>
      <c r="C6551" s="63" t="s">
        <v>794</v>
      </c>
      <c r="D6551" s="129" t="s">
        <v>3830</v>
      </c>
      <c r="E6551" s="58">
        <v>13649.516129032258</v>
      </c>
      <c r="F6551" s="58"/>
      <c r="G6551" s="58">
        <f t="shared" si="107"/>
        <v>-13649.516129032258</v>
      </c>
      <c r="H6551" s="121" t="s">
        <v>4348</v>
      </c>
    </row>
    <row r="6552" spans="1:8" ht="15" x14ac:dyDescent="0.2">
      <c r="A6552" s="597">
        <v>43466</v>
      </c>
      <c r="B6552" s="41" t="s">
        <v>37</v>
      </c>
      <c r="C6552" s="63" t="s">
        <v>794</v>
      </c>
      <c r="D6552" s="129" t="s">
        <v>1240</v>
      </c>
      <c r="E6552" s="58">
        <v>25870.967741935485</v>
      </c>
      <c r="F6552" s="58"/>
      <c r="G6552" s="58">
        <f t="shared" si="107"/>
        <v>-25870.967741935485</v>
      </c>
      <c r="H6552" s="121" t="s">
        <v>4348</v>
      </c>
    </row>
    <row r="6553" spans="1:8" ht="15" x14ac:dyDescent="0.2">
      <c r="A6553" s="597">
        <v>43466</v>
      </c>
      <c r="B6553" s="41" t="s">
        <v>2933</v>
      </c>
      <c r="C6553" s="63" t="s">
        <v>794</v>
      </c>
      <c r="D6553" s="129" t="s">
        <v>1864</v>
      </c>
      <c r="E6553" s="58">
        <v>39639.516129032258</v>
      </c>
      <c r="F6553" s="58"/>
      <c r="G6553" s="58">
        <f t="shared" si="107"/>
        <v>-39639.516129032258</v>
      </c>
      <c r="H6553" s="121" t="s">
        <v>4348</v>
      </c>
    </row>
    <row r="6554" spans="1:8" ht="15" x14ac:dyDescent="0.2">
      <c r="A6554" s="597">
        <v>43466</v>
      </c>
      <c r="B6554" s="41" t="s">
        <v>2933</v>
      </c>
      <c r="C6554" s="63" t="s">
        <v>794</v>
      </c>
      <c r="D6554" s="129" t="s">
        <v>1845</v>
      </c>
      <c r="E6554" s="58">
        <v>25510.161290322583</v>
      </c>
      <c r="F6554" s="58"/>
      <c r="G6554" s="58">
        <f t="shared" si="107"/>
        <v>-25510.161290322583</v>
      </c>
      <c r="H6554" s="121" t="s">
        <v>4348</v>
      </c>
    </row>
    <row r="6555" spans="1:8" ht="15" x14ac:dyDescent="0.2">
      <c r="A6555" s="597">
        <v>43466</v>
      </c>
      <c r="B6555" s="41" t="s">
        <v>2933</v>
      </c>
      <c r="C6555" s="63" t="s">
        <v>794</v>
      </c>
      <c r="D6555" s="129" t="s">
        <v>668</v>
      </c>
      <c r="E6555" s="58">
        <v>16340.161290322583</v>
      </c>
      <c r="F6555" s="58"/>
      <c r="G6555" s="58">
        <f t="shared" si="107"/>
        <v>-16340.161290322583</v>
      </c>
      <c r="H6555" s="121" t="s">
        <v>4348</v>
      </c>
    </row>
    <row r="6556" spans="1:8" ht="15" x14ac:dyDescent="0.2">
      <c r="A6556" s="597">
        <v>43466</v>
      </c>
      <c r="B6556" s="41" t="s">
        <v>2933</v>
      </c>
      <c r="C6556" s="63" t="s">
        <v>794</v>
      </c>
      <c r="D6556" s="129" t="s">
        <v>1852</v>
      </c>
      <c r="E6556" s="58">
        <v>37300.403225806454</v>
      </c>
      <c r="F6556" s="58"/>
      <c r="G6556" s="58">
        <f t="shared" si="107"/>
        <v>-37300.403225806454</v>
      </c>
      <c r="H6556" s="121" t="s">
        <v>4348</v>
      </c>
    </row>
    <row r="6557" spans="1:8" ht="15" x14ac:dyDescent="0.2">
      <c r="A6557" s="597">
        <v>43466</v>
      </c>
      <c r="B6557" s="41" t="s">
        <v>2933</v>
      </c>
      <c r="C6557" s="63" t="s">
        <v>794</v>
      </c>
      <c r="D6557" s="129" t="s">
        <v>3234</v>
      </c>
      <c r="E6557" s="58">
        <v>23220.322580645159</v>
      </c>
      <c r="F6557" s="58"/>
      <c r="G6557" s="58">
        <f t="shared" si="107"/>
        <v>-23220.322580645159</v>
      </c>
      <c r="H6557" s="121" t="s">
        <v>4348</v>
      </c>
    </row>
    <row r="6558" spans="1:8" ht="15" x14ac:dyDescent="0.2">
      <c r="A6558" s="597">
        <v>43466</v>
      </c>
      <c r="B6558" s="41" t="s">
        <v>2933</v>
      </c>
      <c r="C6558" s="63" t="s">
        <v>794</v>
      </c>
      <c r="D6558" s="129" t="s">
        <v>3490</v>
      </c>
      <c r="E6558" s="58">
        <v>11889.032258064515</v>
      </c>
      <c r="F6558" s="58"/>
      <c r="G6558" s="58">
        <f t="shared" si="107"/>
        <v>-11889.032258064515</v>
      </c>
      <c r="H6558" s="121" t="s">
        <v>4348</v>
      </c>
    </row>
    <row r="6559" spans="1:8" ht="15" customHeight="1" x14ac:dyDescent="0.2">
      <c r="A6559" s="597">
        <v>43466</v>
      </c>
      <c r="B6559" s="41" t="s">
        <v>2933</v>
      </c>
      <c r="C6559" s="63" t="s">
        <v>794</v>
      </c>
      <c r="D6559" s="129" t="s">
        <v>352</v>
      </c>
      <c r="E6559" s="58">
        <v>11806.451612903225</v>
      </c>
      <c r="F6559" s="58"/>
      <c r="G6559" s="58">
        <f t="shared" si="107"/>
        <v>-11806.451612903225</v>
      </c>
      <c r="H6559" s="121" t="s">
        <v>4348</v>
      </c>
    </row>
    <row r="6560" spans="1:8" ht="15" customHeight="1" x14ac:dyDescent="0.2">
      <c r="A6560" s="597">
        <v>43466</v>
      </c>
      <c r="B6560" s="41" t="s">
        <v>2652</v>
      </c>
      <c r="C6560" s="63" t="s">
        <v>794</v>
      </c>
      <c r="D6560" s="129" t="s">
        <v>3616</v>
      </c>
      <c r="E6560" s="58">
        <v>38000</v>
      </c>
      <c r="F6560" s="58"/>
      <c r="G6560" s="58">
        <f t="shared" si="107"/>
        <v>-38000</v>
      </c>
      <c r="H6560" s="121" t="s">
        <v>4348</v>
      </c>
    </row>
    <row r="6561" spans="1:8" ht="15" customHeight="1" x14ac:dyDescent="0.2">
      <c r="A6561" s="597">
        <v>43466</v>
      </c>
      <c r="B6561" s="41" t="s">
        <v>2652</v>
      </c>
      <c r="C6561" s="63" t="s">
        <v>794</v>
      </c>
      <c r="D6561" s="129" t="s">
        <v>1847</v>
      </c>
      <c r="E6561" s="58">
        <v>17096.774193548386</v>
      </c>
      <c r="F6561" s="58"/>
      <c r="G6561" s="58">
        <f t="shared" si="107"/>
        <v>-17096.774193548386</v>
      </c>
      <c r="H6561" s="121" t="s">
        <v>4348</v>
      </c>
    </row>
    <row r="6562" spans="1:8" ht="15" x14ac:dyDescent="0.2">
      <c r="A6562" s="597">
        <v>43466</v>
      </c>
      <c r="B6562" s="41" t="s">
        <v>2652</v>
      </c>
      <c r="C6562" s="63" t="s">
        <v>794</v>
      </c>
      <c r="D6562" s="129" t="s">
        <v>2283</v>
      </c>
      <c r="E6562" s="58">
        <v>25000</v>
      </c>
      <c r="F6562" s="58"/>
      <c r="G6562" s="58">
        <f t="shared" si="107"/>
        <v>-25000</v>
      </c>
      <c r="H6562" s="121" t="s">
        <v>4348</v>
      </c>
    </row>
    <row r="6563" spans="1:8" ht="15" x14ac:dyDescent="0.2">
      <c r="A6563" s="597">
        <v>43466</v>
      </c>
      <c r="B6563" s="41" t="s">
        <v>2652</v>
      </c>
      <c r="C6563" s="63" t="s">
        <v>794</v>
      </c>
      <c r="D6563" s="129" t="s">
        <v>4327</v>
      </c>
      <c r="E6563" s="58">
        <v>15806.451612903225</v>
      </c>
      <c r="F6563" s="58"/>
      <c r="G6563" s="58">
        <f t="shared" si="107"/>
        <v>-15806.451612903225</v>
      </c>
      <c r="H6563" s="121" t="s">
        <v>4348</v>
      </c>
    </row>
    <row r="6564" spans="1:8" ht="15" x14ac:dyDescent="0.2">
      <c r="A6564" s="597">
        <v>43466</v>
      </c>
      <c r="B6564" s="41" t="s">
        <v>2652</v>
      </c>
      <c r="C6564" s="63" t="s">
        <v>794</v>
      </c>
      <c r="D6564" s="129" t="s">
        <v>4328</v>
      </c>
      <c r="E6564" s="58">
        <v>18197.235023041474</v>
      </c>
      <c r="F6564" s="58"/>
      <c r="G6564" s="58">
        <f t="shared" si="107"/>
        <v>-18197.235023041474</v>
      </c>
      <c r="H6564" s="121" t="s">
        <v>4348</v>
      </c>
    </row>
    <row r="6565" spans="1:8" ht="15" x14ac:dyDescent="0.2">
      <c r="A6565" s="597">
        <v>43466</v>
      </c>
      <c r="B6565" s="41" t="s">
        <v>2652</v>
      </c>
      <c r="C6565" s="63" t="s">
        <v>794</v>
      </c>
      <c r="D6565" s="129" t="s">
        <v>2280</v>
      </c>
      <c r="E6565" s="58">
        <v>21810.322580645163</v>
      </c>
      <c r="F6565" s="58"/>
      <c r="G6565" s="58">
        <f t="shared" si="107"/>
        <v>-21810.322580645163</v>
      </c>
      <c r="H6565" s="121" t="s">
        <v>4348</v>
      </c>
    </row>
    <row r="6566" spans="1:8" ht="15" x14ac:dyDescent="0.2">
      <c r="A6566" s="597">
        <v>43466</v>
      </c>
      <c r="B6566" s="41" t="s">
        <v>2652</v>
      </c>
      <c r="C6566" s="63" t="s">
        <v>794</v>
      </c>
      <c r="D6566" s="129" t="s">
        <v>3231</v>
      </c>
      <c r="E6566" s="58">
        <v>32164.112903225807</v>
      </c>
      <c r="F6566" s="58"/>
      <c r="G6566" s="58">
        <f t="shared" si="107"/>
        <v>-32164.112903225807</v>
      </c>
      <c r="H6566" s="121" t="s">
        <v>4348</v>
      </c>
    </row>
    <row r="6567" spans="1:8" ht="15" customHeight="1" x14ac:dyDescent="0.2">
      <c r="A6567" s="597">
        <v>43466</v>
      </c>
      <c r="B6567" s="41" t="s">
        <v>2652</v>
      </c>
      <c r="C6567" s="63" t="s">
        <v>794</v>
      </c>
      <c r="D6567" s="129" t="s">
        <v>1860</v>
      </c>
      <c r="E6567" s="58">
        <v>18185.483870967742</v>
      </c>
      <c r="F6567" s="58"/>
      <c r="G6567" s="58">
        <f t="shared" si="107"/>
        <v>-18185.483870967742</v>
      </c>
      <c r="H6567" s="121" t="s">
        <v>4348</v>
      </c>
    </row>
    <row r="6568" spans="1:8" ht="15" customHeight="1" x14ac:dyDescent="0.2">
      <c r="A6568" s="597">
        <v>43466</v>
      </c>
      <c r="B6568" s="41" t="s">
        <v>2652</v>
      </c>
      <c r="C6568" s="63" t="s">
        <v>794</v>
      </c>
      <c r="D6568" s="129" t="s">
        <v>4120</v>
      </c>
      <c r="E6568" s="58">
        <v>27590.483870967742</v>
      </c>
      <c r="F6568" s="58"/>
      <c r="G6568" s="58">
        <f t="shared" si="107"/>
        <v>-27590.483870967742</v>
      </c>
      <c r="H6568" s="121" t="s">
        <v>4348</v>
      </c>
    </row>
    <row r="6569" spans="1:8" ht="15" customHeight="1" x14ac:dyDescent="0.2">
      <c r="A6569" s="597">
        <v>43466</v>
      </c>
      <c r="B6569" s="41" t="s">
        <v>2652</v>
      </c>
      <c r="C6569" s="63" t="s">
        <v>794</v>
      </c>
      <c r="D6569" s="129" t="s">
        <v>4121</v>
      </c>
      <c r="E6569" s="58">
        <v>26245.967741935481</v>
      </c>
      <c r="F6569" s="58"/>
      <c r="G6569" s="58">
        <f t="shared" si="107"/>
        <v>-26245.967741935481</v>
      </c>
      <c r="H6569" s="121" t="s">
        <v>4348</v>
      </c>
    </row>
    <row r="6570" spans="1:8" ht="15" x14ac:dyDescent="0.2">
      <c r="A6570" s="597">
        <v>43466</v>
      </c>
      <c r="B6570" s="41" t="s">
        <v>11</v>
      </c>
      <c r="C6570" s="63" t="s">
        <v>794</v>
      </c>
      <c r="D6570" s="108" t="s">
        <v>3770</v>
      </c>
      <c r="E6570" s="58">
        <v>5000</v>
      </c>
      <c r="F6570" s="58"/>
      <c r="G6570" s="58">
        <f t="shared" si="107"/>
        <v>-5000</v>
      </c>
      <c r="H6570" s="121" t="s">
        <v>4348</v>
      </c>
    </row>
    <row r="6571" spans="1:8" ht="15" x14ac:dyDescent="0.2">
      <c r="A6571" s="597">
        <v>43466</v>
      </c>
      <c r="B6571" s="41" t="s">
        <v>16</v>
      </c>
      <c r="C6571" s="63" t="s">
        <v>3791</v>
      </c>
      <c r="D6571" s="108" t="s">
        <v>370</v>
      </c>
      <c r="E6571" s="58">
        <v>4150</v>
      </c>
      <c r="F6571" s="58"/>
      <c r="G6571" s="58">
        <f t="shared" si="107"/>
        <v>-4150</v>
      </c>
      <c r="H6571" s="121" t="s">
        <v>4348</v>
      </c>
    </row>
    <row r="6572" spans="1:8" ht="15" x14ac:dyDescent="0.2">
      <c r="A6572" s="597">
        <v>43466</v>
      </c>
      <c r="B6572" s="41" t="s">
        <v>2933</v>
      </c>
      <c r="C6572" s="63" t="s">
        <v>3145</v>
      </c>
      <c r="D6572" s="108" t="s">
        <v>4418</v>
      </c>
      <c r="E6572" s="58">
        <v>16650</v>
      </c>
      <c r="F6572" s="58"/>
      <c r="G6572" s="58">
        <f t="shared" si="107"/>
        <v>-16650</v>
      </c>
      <c r="H6572" s="121" t="s">
        <v>4348</v>
      </c>
    </row>
    <row r="6573" spans="1:8" ht="15" x14ac:dyDescent="0.2">
      <c r="A6573" s="597">
        <v>43466</v>
      </c>
      <c r="B6573" s="41" t="s">
        <v>2933</v>
      </c>
      <c r="C6573" s="63" t="s">
        <v>3145</v>
      </c>
      <c r="D6573" s="108" t="s">
        <v>4418</v>
      </c>
      <c r="E6573" s="58">
        <v>8880</v>
      </c>
      <c r="F6573" s="58"/>
      <c r="G6573" s="58">
        <f t="shared" si="107"/>
        <v>-8880</v>
      </c>
      <c r="H6573" s="121" t="s">
        <v>4348</v>
      </c>
    </row>
    <row r="6574" spans="1:8" ht="15" x14ac:dyDescent="0.2">
      <c r="A6574" s="597">
        <v>43466</v>
      </c>
      <c r="B6574" s="41" t="s">
        <v>2933</v>
      </c>
      <c r="C6574" s="63" t="s">
        <v>3145</v>
      </c>
      <c r="D6574" s="108" t="s">
        <v>4419</v>
      </c>
      <c r="E6574" s="58">
        <v>18120</v>
      </c>
      <c r="F6574" s="58"/>
      <c r="G6574" s="58">
        <f t="shared" si="107"/>
        <v>-18120</v>
      </c>
      <c r="H6574" s="121" t="s">
        <v>4348</v>
      </c>
    </row>
    <row r="6575" spans="1:8" ht="15" x14ac:dyDescent="0.2">
      <c r="A6575" s="597">
        <v>43466</v>
      </c>
      <c r="B6575" s="41" t="s">
        <v>1400</v>
      </c>
      <c r="C6575" s="63" t="s">
        <v>3145</v>
      </c>
      <c r="D6575" s="108" t="s">
        <v>4420</v>
      </c>
      <c r="E6575" s="58">
        <v>34394</v>
      </c>
      <c r="F6575" s="58"/>
      <c r="G6575" s="58">
        <f t="shared" si="107"/>
        <v>-34394</v>
      </c>
      <c r="H6575" s="121" t="s">
        <v>4348</v>
      </c>
    </row>
    <row r="6576" spans="1:8" ht="15" x14ac:dyDescent="0.2">
      <c r="A6576" s="597">
        <v>43470</v>
      </c>
      <c r="B6576" s="41" t="s">
        <v>1400</v>
      </c>
      <c r="C6576" s="63" t="s">
        <v>3145</v>
      </c>
      <c r="D6576" s="108" t="s">
        <v>3807</v>
      </c>
      <c r="E6576" s="58">
        <v>63244</v>
      </c>
      <c r="F6576" s="58"/>
      <c r="G6576" s="58">
        <f t="shared" si="107"/>
        <v>-63244</v>
      </c>
      <c r="H6576" s="121" t="s">
        <v>4348</v>
      </c>
    </row>
    <row r="6577" spans="1:8" ht="15" x14ac:dyDescent="0.2">
      <c r="A6577" s="597">
        <v>43470</v>
      </c>
      <c r="B6577" s="41" t="s">
        <v>82</v>
      </c>
      <c r="C6577" s="63" t="s">
        <v>3145</v>
      </c>
      <c r="D6577" s="108" t="s">
        <v>4421</v>
      </c>
      <c r="E6577" s="58">
        <v>16830</v>
      </c>
      <c r="F6577" s="58"/>
      <c r="G6577" s="58">
        <f t="shared" si="107"/>
        <v>-16830</v>
      </c>
      <c r="H6577" s="121" t="s">
        <v>4348</v>
      </c>
    </row>
    <row r="6578" spans="1:8" ht="15" x14ac:dyDescent="0.2">
      <c r="A6578" s="597">
        <v>43470</v>
      </c>
      <c r="B6578" s="41" t="s">
        <v>2933</v>
      </c>
      <c r="C6578" s="63" t="s">
        <v>3145</v>
      </c>
      <c r="D6578" s="108" t="s">
        <v>4422</v>
      </c>
      <c r="E6578" s="58">
        <v>53237</v>
      </c>
      <c r="F6578" s="58"/>
      <c r="G6578" s="58">
        <f t="shared" si="107"/>
        <v>-53237</v>
      </c>
      <c r="H6578" s="121" t="s">
        <v>4348</v>
      </c>
    </row>
    <row r="6579" spans="1:8" ht="15" x14ac:dyDescent="0.2">
      <c r="A6579" s="597">
        <v>43470</v>
      </c>
      <c r="B6579" s="41" t="s">
        <v>2933</v>
      </c>
      <c r="C6579" s="63" t="s">
        <v>778</v>
      </c>
      <c r="D6579" s="108" t="s">
        <v>4423</v>
      </c>
      <c r="E6579" s="58">
        <v>14000</v>
      </c>
      <c r="F6579" s="58"/>
      <c r="G6579" s="58">
        <f t="shared" si="107"/>
        <v>-14000</v>
      </c>
      <c r="H6579" s="121" t="s">
        <v>4348</v>
      </c>
    </row>
    <row r="6580" spans="1:8" ht="15" x14ac:dyDescent="0.2">
      <c r="A6580" s="597">
        <v>43473</v>
      </c>
      <c r="B6580" s="41" t="s">
        <v>2933</v>
      </c>
      <c r="C6580" s="63" t="s">
        <v>3145</v>
      </c>
      <c r="D6580" s="108" t="s">
        <v>4424</v>
      </c>
      <c r="E6580" s="58">
        <v>68793</v>
      </c>
      <c r="F6580" s="58"/>
      <c r="G6580" s="58">
        <f t="shared" si="107"/>
        <v>-68793</v>
      </c>
      <c r="H6580" s="121" t="s">
        <v>4348</v>
      </c>
    </row>
    <row r="6581" spans="1:8" ht="15" x14ac:dyDescent="0.2">
      <c r="A6581" s="597">
        <v>43473</v>
      </c>
      <c r="B6581" s="41" t="s">
        <v>2933</v>
      </c>
      <c r="C6581" s="63" t="s">
        <v>286</v>
      </c>
      <c r="D6581" s="108" t="s">
        <v>4425</v>
      </c>
      <c r="E6581" s="58">
        <v>4500</v>
      </c>
      <c r="F6581" s="58"/>
      <c r="G6581" s="58">
        <f t="shared" ref="G6581:G6644" si="108">F6581-E6581</f>
        <v>-4500</v>
      </c>
      <c r="H6581" s="121" t="s">
        <v>4348</v>
      </c>
    </row>
    <row r="6582" spans="1:8" ht="15" x14ac:dyDescent="0.2">
      <c r="A6582" s="597">
        <v>43473</v>
      </c>
      <c r="B6582" s="41" t="s">
        <v>2652</v>
      </c>
      <c r="C6582" s="63" t="s">
        <v>286</v>
      </c>
      <c r="D6582" s="108" t="s">
        <v>4425</v>
      </c>
      <c r="E6582" s="58">
        <v>3000</v>
      </c>
      <c r="F6582" s="58"/>
      <c r="G6582" s="58">
        <f t="shared" si="108"/>
        <v>-3000</v>
      </c>
      <c r="H6582" s="121" t="s">
        <v>4348</v>
      </c>
    </row>
    <row r="6583" spans="1:8" ht="15" x14ac:dyDescent="0.2">
      <c r="A6583" s="597">
        <v>43473</v>
      </c>
      <c r="B6583" s="41" t="s">
        <v>1400</v>
      </c>
      <c r="C6583" s="63" t="s">
        <v>286</v>
      </c>
      <c r="D6583" s="108" t="s">
        <v>4425</v>
      </c>
      <c r="E6583" s="58">
        <v>2000</v>
      </c>
      <c r="F6583" s="58"/>
      <c r="G6583" s="58">
        <f t="shared" si="108"/>
        <v>-2000</v>
      </c>
      <c r="H6583" s="121" t="s">
        <v>4348</v>
      </c>
    </row>
    <row r="6584" spans="1:8" ht="15" x14ac:dyDescent="0.2">
      <c r="A6584" s="597">
        <v>43473</v>
      </c>
      <c r="B6584" s="41" t="s">
        <v>37</v>
      </c>
      <c r="C6584" s="63" t="s">
        <v>286</v>
      </c>
      <c r="D6584" s="108" t="s">
        <v>4426</v>
      </c>
      <c r="E6584" s="58">
        <v>4330</v>
      </c>
      <c r="F6584" s="58"/>
      <c r="G6584" s="58">
        <f t="shared" si="108"/>
        <v>-4330</v>
      </c>
      <c r="H6584" s="121" t="s">
        <v>4348</v>
      </c>
    </row>
    <row r="6585" spans="1:8" ht="15" x14ac:dyDescent="0.2">
      <c r="A6585" s="597">
        <v>43473</v>
      </c>
      <c r="B6585" s="41" t="s">
        <v>6516</v>
      </c>
      <c r="C6585" s="63" t="s">
        <v>286</v>
      </c>
      <c r="D6585" s="108" t="s">
        <v>4426</v>
      </c>
      <c r="E6585" s="58">
        <v>4000</v>
      </c>
      <c r="F6585" s="58"/>
      <c r="G6585" s="58">
        <f t="shared" si="108"/>
        <v>-4000</v>
      </c>
      <c r="H6585" s="121" t="s">
        <v>4348</v>
      </c>
    </row>
    <row r="6586" spans="1:8" ht="15" x14ac:dyDescent="0.2">
      <c r="A6586" s="597">
        <v>43473</v>
      </c>
      <c r="B6586" s="41" t="s">
        <v>2652</v>
      </c>
      <c r="C6586" s="63" t="s">
        <v>286</v>
      </c>
      <c r="D6586" s="108" t="s">
        <v>4426</v>
      </c>
      <c r="E6586" s="58">
        <v>2000</v>
      </c>
      <c r="F6586" s="58"/>
      <c r="G6586" s="58">
        <f t="shared" si="108"/>
        <v>-2000</v>
      </c>
      <c r="H6586" s="121" t="s">
        <v>4348</v>
      </c>
    </row>
    <row r="6587" spans="1:8" ht="15" x14ac:dyDescent="0.2">
      <c r="A6587" s="597">
        <v>43474</v>
      </c>
      <c r="B6587" s="41" t="s">
        <v>2933</v>
      </c>
      <c r="C6587" s="63" t="s">
        <v>3145</v>
      </c>
      <c r="D6587" s="108" t="s">
        <v>4427</v>
      </c>
      <c r="E6587" s="58">
        <v>20126</v>
      </c>
      <c r="F6587" s="58"/>
      <c r="G6587" s="58">
        <f t="shared" si="108"/>
        <v>-20126</v>
      </c>
      <c r="H6587" s="121" t="s">
        <v>4348</v>
      </c>
    </row>
    <row r="6588" spans="1:8" ht="15" x14ac:dyDescent="0.2">
      <c r="A6588" s="597">
        <v>43475</v>
      </c>
      <c r="B6588" s="41" t="s">
        <v>2933</v>
      </c>
      <c r="C6588" s="63" t="s">
        <v>3145</v>
      </c>
      <c r="D6588" s="108" t="s">
        <v>3971</v>
      </c>
      <c r="E6588" s="58">
        <v>5280</v>
      </c>
      <c r="F6588" s="58"/>
      <c r="G6588" s="58">
        <f t="shared" si="108"/>
        <v>-5280</v>
      </c>
      <c r="H6588" s="121" t="s">
        <v>4348</v>
      </c>
    </row>
    <row r="6589" spans="1:8" ht="15" x14ac:dyDescent="0.2">
      <c r="A6589" s="597">
        <v>43475</v>
      </c>
      <c r="B6589" s="41" t="s">
        <v>25</v>
      </c>
      <c r="C6589" s="63" t="s">
        <v>1894</v>
      </c>
      <c r="D6589" s="108" t="s">
        <v>4428</v>
      </c>
      <c r="E6589" s="58">
        <v>670</v>
      </c>
      <c r="F6589" s="58"/>
      <c r="G6589" s="58">
        <f t="shared" si="108"/>
        <v>-670</v>
      </c>
      <c r="H6589" s="121" t="s">
        <v>4348</v>
      </c>
    </row>
    <row r="6590" spans="1:8" ht="15" x14ac:dyDescent="0.2">
      <c r="A6590" s="597">
        <v>43475</v>
      </c>
      <c r="B6590" s="41" t="s">
        <v>2933</v>
      </c>
      <c r="C6590" s="63" t="s">
        <v>3145</v>
      </c>
      <c r="D6590" s="108" t="s">
        <v>4429</v>
      </c>
      <c r="E6590" s="58">
        <v>32650</v>
      </c>
      <c r="F6590" s="58"/>
      <c r="G6590" s="58">
        <f t="shared" si="108"/>
        <v>-32650</v>
      </c>
      <c r="H6590" s="121" t="s">
        <v>4348</v>
      </c>
    </row>
    <row r="6591" spans="1:8" ht="15" x14ac:dyDescent="0.2">
      <c r="A6591" s="597">
        <v>43475</v>
      </c>
      <c r="B6591" s="41" t="s">
        <v>2933</v>
      </c>
      <c r="C6591" s="63" t="s">
        <v>286</v>
      </c>
      <c r="D6591" s="108" t="s">
        <v>3148</v>
      </c>
      <c r="E6591" s="58">
        <v>6250</v>
      </c>
      <c r="F6591" s="58"/>
      <c r="G6591" s="58">
        <f t="shared" si="108"/>
        <v>-6250</v>
      </c>
      <c r="H6591" s="121" t="s">
        <v>4348</v>
      </c>
    </row>
    <row r="6592" spans="1:8" ht="15" x14ac:dyDescent="0.2">
      <c r="A6592" s="597">
        <v>43475</v>
      </c>
      <c r="B6592" s="41" t="s">
        <v>2652</v>
      </c>
      <c r="C6592" s="63" t="s">
        <v>286</v>
      </c>
      <c r="D6592" s="108" t="s">
        <v>3148</v>
      </c>
      <c r="E6592" s="58">
        <v>6250</v>
      </c>
      <c r="F6592" s="58"/>
      <c r="G6592" s="58">
        <f t="shared" si="108"/>
        <v>-6250</v>
      </c>
      <c r="H6592" s="121" t="s">
        <v>4348</v>
      </c>
    </row>
    <row r="6593" spans="1:8" ht="15" x14ac:dyDescent="0.2">
      <c r="A6593" s="597">
        <v>43475</v>
      </c>
      <c r="B6593" s="41" t="s">
        <v>2652</v>
      </c>
      <c r="C6593" s="63" t="s">
        <v>3145</v>
      </c>
      <c r="D6593" s="108" t="s">
        <v>4430</v>
      </c>
      <c r="E6593" s="58">
        <v>6000</v>
      </c>
      <c r="F6593" s="58"/>
      <c r="G6593" s="58">
        <f t="shared" si="108"/>
        <v>-6000</v>
      </c>
      <c r="H6593" s="121" t="s">
        <v>4348</v>
      </c>
    </row>
    <row r="6594" spans="1:8" ht="15" x14ac:dyDescent="0.2">
      <c r="A6594" s="597">
        <v>43475</v>
      </c>
      <c r="B6594" s="41" t="s">
        <v>2933</v>
      </c>
      <c r="C6594" s="63" t="s">
        <v>3145</v>
      </c>
      <c r="D6594" s="108" t="s">
        <v>3974</v>
      </c>
      <c r="E6594" s="58">
        <v>7370</v>
      </c>
      <c r="F6594" s="58"/>
      <c r="G6594" s="58">
        <f t="shared" si="108"/>
        <v>-7370</v>
      </c>
      <c r="H6594" s="121" t="s">
        <v>4348</v>
      </c>
    </row>
    <row r="6595" spans="1:8" ht="15" x14ac:dyDescent="0.2">
      <c r="A6595" s="597">
        <v>43476</v>
      </c>
      <c r="B6595" s="41" t="s">
        <v>2933</v>
      </c>
      <c r="C6595" s="63" t="s">
        <v>3145</v>
      </c>
      <c r="D6595" s="108" t="s">
        <v>4431</v>
      </c>
      <c r="E6595" s="58">
        <v>4260</v>
      </c>
      <c r="F6595" s="58"/>
      <c r="G6595" s="58">
        <f t="shared" si="108"/>
        <v>-4260</v>
      </c>
      <c r="H6595" s="121" t="s">
        <v>4348</v>
      </c>
    </row>
    <row r="6596" spans="1:8" ht="15" x14ac:dyDescent="0.2">
      <c r="A6596" s="597">
        <v>43476</v>
      </c>
      <c r="B6596" s="41" t="s">
        <v>1400</v>
      </c>
      <c r="C6596" s="63" t="s">
        <v>3145</v>
      </c>
      <c r="D6596" s="108" t="s">
        <v>4429</v>
      </c>
      <c r="E6596" s="58">
        <v>9000</v>
      </c>
      <c r="F6596" s="58"/>
      <c r="G6596" s="58">
        <f t="shared" si="108"/>
        <v>-9000</v>
      </c>
      <c r="H6596" s="121" t="s">
        <v>4348</v>
      </c>
    </row>
    <row r="6597" spans="1:8" ht="15" x14ac:dyDescent="0.2">
      <c r="A6597" s="597">
        <v>43476</v>
      </c>
      <c r="B6597" s="41" t="s">
        <v>2657</v>
      </c>
      <c r="C6597" s="63" t="s">
        <v>3145</v>
      </c>
      <c r="D6597" s="108" t="s">
        <v>4432</v>
      </c>
      <c r="E6597" s="58">
        <v>10000</v>
      </c>
      <c r="F6597" s="58"/>
      <c r="G6597" s="58">
        <f t="shared" si="108"/>
        <v>-10000</v>
      </c>
      <c r="H6597" s="121" t="s">
        <v>4348</v>
      </c>
    </row>
    <row r="6598" spans="1:8" ht="15" x14ac:dyDescent="0.2">
      <c r="A6598" s="597">
        <v>43477</v>
      </c>
      <c r="B6598" s="41" t="s">
        <v>2933</v>
      </c>
      <c r="C6598" s="63" t="s">
        <v>3145</v>
      </c>
      <c r="D6598" s="108" t="s">
        <v>4434</v>
      </c>
      <c r="E6598" s="58">
        <v>20000</v>
      </c>
      <c r="F6598" s="58"/>
      <c r="G6598" s="58">
        <f t="shared" si="108"/>
        <v>-20000</v>
      </c>
      <c r="H6598" s="121" t="s">
        <v>4348</v>
      </c>
    </row>
    <row r="6599" spans="1:8" ht="15" x14ac:dyDescent="0.2">
      <c r="A6599" s="597">
        <v>43477</v>
      </c>
      <c r="B6599" s="41" t="s">
        <v>1400</v>
      </c>
      <c r="C6599" s="63" t="s">
        <v>3145</v>
      </c>
      <c r="D6599" s="108" t="s">
        <v>4433</v>
      </c>
      <c r="E6599" s="58">
        <v>9200</v>
      </c>
      <c r="F6599" s="58"/>
      <c r="G6599" s="58">
        <f t="shared" si="108"/>
        <v>-9200</v>
      </c>
      <c r="H6599" s="121" t="s">
        <v>4348</v>
      </c>
    </row>
    <row r="6600" spans="1:8" ht="15" x14ac:dyDescent="0.2">
      <c r="A6600" s="597">
        <v>43477</v>
      </c>
      <c r="B6600" s="41" t="s">
        <v>2652</v>
      </c>
      <c r="C6600" s="63" t="s">
        <v>3145</v>
      </c>
      <c r="D6600" s="108" t="s">
        <v>4435</v>
      </c>
      <c r="E6600" s="58">
        <v>1500</v>
      </c>
      <c r="F6600" s="58"/>
      <c r="G6600" s="58">
        <f t="shared" si="108"/>
        <v>-1500</v>
      </c>
      <c r="H6600" s="121" t="s">
        <v>4348</v>
      </c>
    </row>
    <row r="6601" spans="1:8" ht="15" x14ac:dyDescent="0.2">
      <c r="A6601" s="597">
        <v>43480</v>
      </c>
      <c r="B6601" s="41" t="s">
        <v>3733</v>
      </c>
      <c r="C6601" s="63" t="s">
        <v>3755</v>
      </c>
      <c r="D6601" s="108" t="s">
        <v>4436</v>
      </c>
      <c r="E6601" s="58">
        <v>15000</v>
      </c>
      <c r="F6601" s="58"/>
      <c r="G6601" s="58">
        <f t="shared" si="108"/>
        <v>-15000</v>
      </c>
      <c r="H6601" s="121" t="s">
        <v>4348</v>
      </c>
    </row>
    <row r="6602" spans="1:8" ht="15" x14ac:dyDescent="0.2">
      <c r="A6602" s="597">
        <v>43481</v>
      </c>
      <c r="B6602" s="41" t="s">
        <v>1400</v>
      </c>
      <c r="C6602" s="63" t="s">
        <v>929</v>
      </c>
      <c r="D6602" s="108" t="s">
        <v>4437</v>
      </c>
      <c r="E6602" s="58">
        <v>15000</v>
      </c>
      <c r="F6602" s="58"/>
      <c r="G6602" s="58">
        <f t="shared" si="108"/>
        <v>-15000</v>
      </c>
      <c r="H6602" s="121" t="s">
        <v>4348</v>
      </c>
    </row>
    <row r="6603" spans="1:8" ht="15" x14ac:dyDescent="0.2">
      <c r="A6603" s="597">
        <v>43481</v>
      </c>
      <c r="B6603" s="41" t="s">
        <v>11</v>
      </c>
      <c r="C6603" s="63" t="s">
        <v>3145</v>
      </c>
      <c r="D6603" s="108" t="s">
        <v>4438</v>
      </c>
      <c r="E6603" s="58">
        <v>630</v>
      </c>
      <c r="F6603" s="58"/>
      <c r="G6603" s="58">
        <f t="shared" si="108"/>
        <v>-630</v>
      </c>
      <c r="H6603" s="121" t="s">
        <v>4348</v>
      </c>
    </row>
    <row r="6604" spans="1:8" ht="15" x14ac:dyDescent="0.2">
      <c r="A6604" s="597">
        <v>43481</v>
      </c>
      <c r="B6604" s="41" t="s">
        <v>3733</v>
      </c>
      <c r="C6604" s="63" t="s">
        <v>3145</v>
      </c>
      <c r="D6604" s="108" t="s">
        <v>4439</v>
      </c>
      <c r="E6604" s="58">
        <v>57400</v>
      </c>
      <c r="F6604" s="58"/>
      <c r="G6604" s="58">
        <f t="shared" si="108"/>
        <v>-57400</v>
      </c>
      <c r="H6604" s="121" t="s">
        <v>4348</v>
      </c>
    </row>
    <row r="6605" spans="1:8" ht="15" x14ac:dyDescent="0.2">
      <c r="A6605" s="597">
        <v>43481</v>
      </c>
      <c r="B6605" s="41" t="s">
        <v>1400</v>
      </c>
      <c r="C6605" s="63" t="s">
        <v>3149</v>
      </c>
      <c r="D6605" s="108" t="s">
        <v>3369</v>
      </c>
      <c r="E6605" s="58">
        <v>1600</v>
      </c>
      <c r="F6605" s="58"/>
      <c r="G6605" s="58">
        <f t="shared" si="108"/>
        <v>-1600</v>
      </c>
      <c r="H6605" s="121" t="s">
        <v>4348</v>
      </c>
    </row>
    <row r="6606" spans="1:8" ht="15" x14ac:dyDescent="0.2">
      <c r="A6606" s="597">
        <v>43482</v>
      </c>
      <c r="B6606" s="41" t="s">
        <v>2933</v>
      </c>
      <c r="C6606" s="63" t="s">
        <v>3145</v>
      </c>
      <c r="D6606" s="108" t="s">
        <v>4440</v>
      </c>
      <c r="E6606" s="58">
        <v>40600</v>
      </c>
      <c r="F6606" s="58"/>
      <c r="G6606" s="58">
        <f t="shared" si="108"/>
        <v>-40600</v>
      </c>
      <c r="H6606" s="121" t="s">
        <v>4348</v>
      </c>
    </row>
    <row r="6607" spans="1:8" ht="15" x14ac:dyDescent="0.2">
      <c r="A6607" s="597">
        <v>43482</v>
      </c>
      <c r="B6607" s="41" t="s">
        <v>2933</v>
      </c>
      <c r="C6607" s="63" t="s">
        <v>3145</v>
      </c>
      <c r="D6607" s="108" t="s">
        <v>3974</v>
      </c>
      <c r="E6607" s="58">
        <f>4500+4500</f>
        <v>9000</v>
      </c>
      <c r="F6607" s="58"/>
      <c r="G6607" s="58">
        <f t="shared" si="108"/>
        <v>-9000</v>
      </c>
      <c r="H6607" s="121" t="s">
        <v>4348</v>
      </c>
    </row>
    <row r="6608" spans="1:8" ht="15" x14ac:dyDescent="0.2">
      <c r="A6608" s="597">
        <v>43482</v>
      </c>
      <c r="B6608" s="41" t="s">
        <v>2933</v>
      </c>
      <c r="C6608" s="63" t="s">
        <v>3145</v>
      </c>
      <c r="D6608" s="108" t="s">
        <v>4447</v>
      </c>
      <c r="E6608" s="58">
        <v>9000</v>
      </c>
      <c r="F6608" s="58"/>
      <c r="G6608" s="58">
        <f t="shared" si="108"/>
        <v>-9000</v>
      </c>
      <c r="H6608" s="121" t="s">
        <v>4348</v>
      </c>
    </row>
    <row r="6609" spans="1:8" ht="15" x14ac:dyDescent="0.2">
      <c r="A6609" s="597">
        <v>43482</v>
      </c>
      <c r="B6609" s="41" t="s">
        <v>2652</v>
      </c>
      <c r="C6609" s="63" t="s">
        <v>3145</v>
      </c>
      <c r="D6609" s="108" t="s">
        <v>4448</v>
      </c>
      <c r="E6609" s="58">
        <v>5000</v>
      </c>
      <c r="F6609" s="58"/>
      <c r="G6609" s="58">
        <f t="shared" si="108"/>
        <v>-5000</v>
      </c>
      <c r="H6609" s="121" t="s">
        <v>4348</v>
      </c>
    </row>
    <row r="6610" spans="1:8" ht="15" x14ac:dyDescent="0.2">
      <c r="A6610" s="597">
        <v>43482</v>
      </c>
      <c r="B6610" s="41" t="s">
        <v>3733</v>
      </c>
      <c r="C6610" s="63" t="s">
        <v>3145</v>
      </c>
      <c r="D6610" s="108" t="s">
        <v>4449</v>
      </c>
      <c r="E6610" s="58">
        <v>50155</v>
      </c>
      <c r="F6610" s="58"/>
      <c r="G6610" s="58">
        <f t="shared" si="108"/>
        <v>-50155</v>
      </c>
      <c r="H6610" s="121" t="s">
        <v>4348</v>
      </c>
    </row>
    <row r="6611" spans="1:8" ht="15" x14ac:dyDescent="0.2">
      <c r="A6611" s="597">
        <v>43483</v>
      </c>
      <c r="B6611" s="41" t="s">
        <v>2933</v>
      </c>
      <c r="C6611" s="63" t="s">
        <v>3145</v>
      </c>
      <c r="D6611" s="108" t="s">
        <v>3974</v>
      </c>
      <c r="E6611" s="58">
        <v>19200</v>
      </c>
      <c r="F6611" s="58"/>
      <c r="G6611" s="58">
        <f t="shared" si="108"/>
        <v>-19200</v>
      </c>
      <c r="H6611" s="121" t="s">
        <v>4348</v>
      </c>
    </row>
    <row r="6612" spans="1:8" ht="15" x14ac:dyDescent="0.2">
      <c r="A6612" s="597">
        <v>43483</v>
      </c>
      <c r="B6612" s="41" t="s">
        <v>1400</v>
      </c>
      <c r="C6612" s="63" t="s">
        <v>3145</v>
      </c>
      <c r="D6612" s="108" t="s">
        <v>4450</v>
      </c>
      <c r="E6612" s="58">
        <v>35380</v>
      </c>
      <c r="F6612" s="58"/>
      <c r="G6612" s="58">
        <f t="shared" si="108"/>
        <v>-35380</v>
      </c>
      <c r="H6612" s="121" t="s">
        <v>4348</v>
      </c>
    </row>
    <row r="6613" spans="1:8" ht="15" x14ac:dyDescent="0.2">
      <c r="A6613" s="597">
        <v>43483</v>
      </c>
      <c r="B6613" s="41" t="s">
        <v>2933</v>
      </c>
      <c r="C6613" s="63" t="s">
        <v>3145</v>
      </c>
      <c r="D6613" s="108" t="s">
        <v>4451</v>
      </c>
      <c r="E6613" s="58">
        <v>10000</v>
      </c>
      <c r="F6613" s="58"/>
      <c r="G6613" s="58">
        <f t="shared" si="108"/>
        <v>-10000</v>
      </c>
      <c r="H6613" s="121" t="s">
        <v>4348</v>
      </c>
    </row>
    <row r="6614" spans="1:8" ht="15" x14ac:dyDescent="0.2">
      <c r="A6614" s="597">
        <v>43483</v>
      </c>
      <c r="B6614" s="41" t="s">
        <v>1400</v>
      </c>
      <c r="C6614" s="63" t="s">
        <v>3145</v>
      </c>
      <c r="D6614" s="108" t="s">
        <v>4452</v>
      </c>
      <c r="E6614" s="58">
        <v>9650</v>
      </c>
      <c r="F6614" s="58"/>
      <c r="G6614" s="58">
        <f t="shared" si="108"/>
        <v>-9650</v>
      </c>
      <c r="H6614" s="121" t="s">
        <v>4348</v>
      </c>
    </row>
    <row r="6615" spans="1:8" ht="15" x14ac:dyDescent="0.2">
      <c r="A6615" s="597">
        <v>43483</v>
      </c>
      <c r="B6615" s="41" t="s">
        <v>2933</v>
      </c>
      <c r="C6615" s="63" t="s">
        <v>3145</v>
      </c>
      <c r="D6615" s="108" t="s">
        <v>4453</v>
      </c>
      <c r="E6615" s="58">
        <v>38000</v>
      </c>
      <c r="F6615" s="58"/>
      <c r="G6615" s="58">
        <f t="shared" si="108"/>
        <v>-38000</v>
      </c>
      <c r="H6615" s="121" t="s">
        <v>4348</v>
      </c>
    </row>
    <row r="6616" spans="1:8" ht="15" x14ac:dyDescent="0.2">
      <c r="A6616" s="597">
        <v>43483</v>
      </c>
      <c r="B6616" s="41" t="s">
        <v>2652</v>
      </c>
      <c r="C6616" s="63" t="s">
        <v>3145</v>
      </c>
      <c r="D6616" s="108" t="s">
        <v>4454</v>
      </c>
      <c r="E6616" s="58">
        <v>13155</v>
      </c>
      <c r="F6616" s="58"/>
      <c r="G6616" s="58">
        <f t="shared" si="108"/>
        <v>-13155</v>
      </c>
      <c r="H6616" s="121" t="s">
        <v>4348</v>
      </c>
    </row>
    <row r="6617" spans="1:8" ht="15" x14ac:dyDescent="0.2">
      <c r="A6617" s="597">
        <v>43483</v>
      </c>
      <c r="B6617" s="41" t="s">
        <v>2657</v>
      </c>
      <c r="C6617" s="63" t="s">
        <v>3989</v>
      </c>
      <c r="D6617" s="108" t="s">
        <v>4455</v>
      </c>
      <c r="E6617" s="58">
        <v>1000</v>
      </c>
      <c r="F6617" s="58"/>
      <c r="G6617" s="58">
        <f t="shared" si="108"/>
        <v>-1000</v>
      </c>
      <c r="H6617" s="121" t="s">
        <v>4348</v>
      </c>
    </row>
    <row r="6618" spans="1:8" ht="15" x14ac:dyDescent="0.2">
      <c r="A6618" s="597">
        <v>43484</v>
      </c>
      <c r="B6618" s="41" t="s">
        <v>3622</v>
      </c>
      <c r="C6618" s="63" t="s">
        <v>3989</v>
      </c>
      <c r="D6618" s="108" t="s">
        <v>370</v>
      </c>
      <c r="E6618" s="58">
        <v>1500</v>
      </c>
      <c r="F6618" s="58"/>
      <c r="G6618" s="58">
        <f t="shared" si="108"/>
        <v>-1500</v>
      </c>
      <c r="H6618" s="121" t="s">
        <v>4348</v>
      </c>
    </row>
    <row r="6619" spans="1:8" ht="15" x14ac:dyDescent="0.2">
      <c r="A6619" s="597">
        <v>43484</v>
      </c>
      <c r="B6619" s="41" t="s">
        <v>2933</v>
      </c>
      <c r="C6619" s="63" t="s">
        <v>3145</v>
      </c>
      <c r="D6619" s="108" t="s">
        <v>4456</v>
      </c>
      <c r="E6619" s="58">
        <v>10000</v>
      </c>
      <c r="F6619" s="58"/>
      <c r="G6619" s="58">
        <f t="shared" si="108"/>
        <v>-10000</v>
      </c>
      <c r="H6619" s="121" t="s">
        <v>4348</v>
      </c>
    </row>
    <row r="6620" spans="1:8" ht="15" x14ac:dyDescent="0.2">
      <c r="A6620" s="597">
        <v>43484</v>
      </c>
      <c r="B6620" s="41" t="s">
        <v>2652</v>
      </c>
      <c r="C6620" s="63" t="s">
        <v>3145</v>
      </c>
      <c r="D6620" s="108" t="s">
        <v>4457</v>
      </c>
      <c r="E6620" s="58">
        <f>33160-E6619-E6621</f>
        <v>2160</v>
      </c>
      <c r="F6620" s="58"/>
      <c r="G6620" s="58">
        <f t="shared" si="108"/>
        <v>-2160</v>
      </c>
      <c r="H6620" s="121" t="s">
        <v>4348</v>
      </c>
    </row>
    <row r="6621" spans="1:8" ht="15" x14ac:dyDescent="0.2">
      <c r="A6621" s="597">
        <v>43484</v>
      </c>
      <c r="B6621" s="41" t="s">
        <v>1400</v>
      </c>
      <c r="C6621" s="63" t="s">
        <v>3145</v>
      </c>
      <c r="D6621" s="108" t="s">
        <v>4458</v>
      </c>
      <c r="E6621" s="58">
        <f>18000+3000</f>
        <v>21000</v>
      </c>
      <c r="F6621" s="58"/>
      <c r="G6621" s="58">
        <f t="shared" si="108"/>
        <v>-21000</v>
      </c>
      <c r="H6621" s="121" t="s">
        <v>4348</v>
      </c>
    </row>
    <row r="6622" spans="1:8" ht="15" x14ac:dyDescent="0.2">
      <c r="A6622" s="597">
        <v>43486</v>
      </c>
      <c r="B6622" s="41" t="s">
        <v>2933</v>
      </c>
      <c r="C6622" s="63" t="s">
        <v>3149</v>
      </c>
      <c r="D6622" s="108" t="s">
        <v>4459</v>
      </c>
      <c r="E6622" s="58">
        <v>2360</v>
      </c>
      <c r="F6622" s="58"/>
      <c r="G6622" s="58">
        <f t="shared" si="108"/>
        <v>-2360</v>
      </c>
      <c r="H6622" s="121" t="s">
        <v>4348</v>
      </c>
    </row>
    <row r="6623" spans="1:8" ht="15" x14ac:dyDescent="0.2">
      <c r="A6623" s="597">
        <v>43486</v>
      </c>
      <c r="B6623" s="41" t="s">
        <v>2933</v>
      </c>
      <c r="C6623" s="63" t="s">
        <v>3149</v>
      </c>
      <c r="D6623" s="108" t="s">
        <v>4460</v>
      </c>
      <c r="E6623" s="58">
        <v>480</v>
      </c>
      <c r="F6623" s="58"/>
      <c r="G6623" s="58">
        <f t="shared" si="108"/>
        <v>-480</v>
      </c>
      <c r="H6623" s="121" t="s">
        <v>4348</v>
      </c>
    </row>
    <row r="6624" spans="1:8" ht="15" x14ac:dyDescent="0.2">
      <c r="A6624" s="597">
        <v>43486</v>
      </c>
      <c r="B6624" s="41" t="s">
        <v>1400</v>
      </c>
      <c r="C6624" s="63" t="s">
        <v>3145</v>
      </c>
      <c r="D6624" s="108" t="s">
        <v>4461</v>
      </c>
      <c r="E6624" s="58">
        <v>11820</v>
      </c>
      <c r="F6624" s="58"/>
      <c r="G6624" s="58">
        <f t="shared" si="108"/>
        <v>-11820</v>
      </c>
      <c r="H6624" s="121" t="s">
        <v>4348</v>
      </c>
    </row>
    <row r="6625" spans="1:9" ht="15" x14ac:dyDescent="0.2">
      <c r="A6625" s="597">
        <v>43488</v>
      </c>
      <c r="B6625" s="41" t="s">
        <v>2933</v>
      </c>
      <c r="C6625" s="63" t="s">
        <v>3145</v>
      </c>
      <c r="D6625" s="108" t="s">
        <v>4228</v>
      </c>
      <c r="E6625" s="58">
        <v>3960</v>
      </c>
      <c r="F6625" s="58"/>
      <c r="G6625" s="58">
        <f t="shared" si="108"/>
        <v>-3960</v>
      </c>
      <c r="H6625" s="121" t="s">
        <v>4348</v>
      </c>
    </row>
    <row r="6626" spans="1:9" ht="15" x14ac:dyDescent="0.2">
      <c r="A6626" s="597">
        <v>43489</v>
      </c>
      <c r="B6626" s="41" t="s">
        <v>2933</v>
      </c>
      <c r="C6626" s="63" t="s">
        <v>3145</v>
      </c>
      <c r="D6626" s="108" t="s">
        <v>4523</v>
      </c>
      <c r="E6626" s="58">
        <v>45250</v>
      </c>
      <c r="F6626" s="58"/>
      <c r="G6626" s="58">
        <f t="shared" si="108"/>
        <v>-45250</v>
      </c>
      <c r="H6626" s="121" t="s">
        <v>4348</v>
      </c>
    </row>
    <row r="6627" spans="1:9" ht="15" x14ac:dyDescent="0.2">
      <c r="A6627" s="597">
        <v>43490</v>
      </c>
      <c r="B6627" s="41" t="s">
        <v>82</v>
      </c>
      <c r="C6627" s="63" t="s">
        <v>3145</v>
      </c>
      <c r="D6627" s="108" t="s">
        <v>4521</v>
      </c>
      <c r="E6627" s="58">
        <v>20168</v>
      </c>
      <c r="F6627" s="58"/>
      <c r="G6627" s="58">
        <f t="shared" si="108"/>
        <v>-20168</v>
      </c>
      <c r="H6627" s="121" t="s">
        <v>4348</v>
      </c>
    </row>
    <row r="6628" spans="1:9" ht="15" x14ac:dyDescent="0.2">
      <c r="A6628" s="597">
        <v>43490</v>
      </c>
      <c r="B6628" s="41" t="s">
        <v>6516</v>
      </c>
      <c r="C6628" s="63" t="s">
        <v>3145</v>
      </c>
      <c r="D6628" s="108" t="s">
        <v>392</v>
      </c>
      <c r="E6628" s="58">
        <v>1570</v>
      </c>
      <c r="F6628" s="58"/>
      <c r="G6628" s="58">
        <f t="shared" si="108"/>
        <v>-1570</v>
      </c>
      <c r="H6628" s="121" t="s">
        <v>4348</v>
      </c>
    </row>
    <row r="6629" spans="1:9" ht="15" x14ac:dyDescent="0.2">
      <c r="A6629" s="597">
        <v>43491</v>
      </c>
      <c r="B6629" s="41" t="s">
        <v>2652</v>
      </c>
      <c r="C6629" s="63" t="s">
        <v>3145</v>
      </c>
      <c r="D6629" s="108" t="s">
        <v>4522</v>
      </c>
      <c r="E6629" s="58">
        <v>820</v>
      </c>
      <c r="F6629" s="58"/>
      <c r="G6629" s="58">
        <f t="shared" si="108"/>
        <v>-820</v>
      </c>
      <c r="H6629" s="121" t="s">
        <v>4348</v>
      </c>
    </row>
    <row r="6630" spans="1:9" ht="15" x14ac:dyDescent="0.2">
      <c r="A6630" s="597">
        <v>43491</v>
      </c>
      <c r="B6630" s="41" t="s">
        <v>2933</v>
      </c>
      <c r="C6630" s="63" t="s">
        <v>3145</v>
      </c>
      <c r="D6630" s="108" t="s">
        <v>4524</v>
      </c>
      <c r="E6630" s="58">
        <v>18926</v>
      </c>
      <c r="F6630" s="58"/>
      <c r="G6630" s="58">
        <f t="shared" si="108"/>
        <v>-18926</v>
      </c>
      <c r="H6630" s="121" t="s">
        <v>4348</v>
      </c>
    </row>
    <row r="6631" spans="1:9" ht="15" x14ac:dyDescent="0.2">
      <c r="A6631" s="597">
        <v>43493</v>
      </c>
      <c r="B6631" s="41" t="s">
        <v>1400</v>
      </c>
      <c r="C6631" s="63" t="s">
        <v>3145</v>
      </c>
      <c r="D6631" s="108" t="s">
        <v>4461</v>
      </c>
      <c r="E6631" s="58">
        <f>4700+22500</f>
        <v>27200</v>
      </c>
      <c r="F6631" s="58"/>
      <c r="G6631" s="58">
        <f t="shared" si="108"/>
        <v>-27200</v>
      </c>
      <c r="H6631" s="121" t="s">
        <v>4348</v>
      </c>
    </row>
    <row r="6632" spans="1:9" ht="15" x14ac:dyDescent="0.2">
      <c r="A6632" s="597">
        <v>43493</v>
      </c>
      <c r="B6632" s="41" t="s">
        <v>2933</v>
      </c>
      <c r="C6632" s="63" t="s">
        <v>3145</v>
      </c>
      <c r="D6632" s="108" t="s">
        <v>4525</v>
      </c>
      <c r="E6632" s="58">
        <f>46300-E6631</f>
        <v>19100</v>
      </c>
      <c r="F6632" s="58"/>
      <c r="G6632" s="58">
        <f t="shared" si="108"/>
        <v>-19100</v>
      </c>
      <c r="H6632" s="121" t="s">
        <v>4348</v>
      </c>
    </row>
    <row r="6633" spans="1:9" ht="15" x14ac:dyDescent="0.2">
      <c r="A6633" s="597">
        <v>43494</v>
      </c>
      <c r="B6633" s="41" t="s">
        <v>1400</v>
      </c>
      <c r="C6633" s="63" t="s">
        <v>2515</v>
      </c>
      <c r="D6633" s="108" t="s">
        <v>370</v>
      </c>
      <c r="E6633" s="58">
        <v>5000</v>
      </c>
      <c r="F6633" s="58"/>
      <c r="G6633" s="58">
        <f t="shared" si="108"/>
        <v>-5000</v>
      </c>
      <c r="H6633" s="121" t="s">
        <v>4348</v>
      </c>
    </row>
    <row r="6634" spans="1:9" ht="15" x14ac:dyDescent="0.2">
      <c r="A6634" s="597">
        <v>43494</v>
      </c>
      <c r="B6634" s="41" t="s">
        <v>1400</v>
      </c>
      <c r="C6634" s="63" t="s">
        <v>3149</v>
      </c>
      <c r="D6634" s="108" t="s">
        <v>4526</v>
      </c>
      <c r="E6634" s="58">
        <v>960</v>
      </c>
      <c r="F6634" s="58"/>
      <c r="G6634" s="58">
        <f t="shared" si="108"/>
        <v>-960</v>
      </c>
      <c r="H6634" s="121" t="s">
        <v>4348</v>
      </c>
    </row>
    <row r="6635" spans="1:9" ht="15" x14ac:dyDescent="0.2">
      <c r="A6635" s="597">
        <v>43494</v>
      </c>
      <c r="B6635" s="41" t="s">
        <v>1400</v>
      </c>
      <c r="C6635" s="63" t="s">
        <v>3149</v>
      </c>
      <c r="D6635" s="108" t="s">
        <v>4526</v>
      </c>
      <c r="E6635" s="58">
        <v>3440</v>
      </c>
      <c r="F6635" s="58"/>
      <c r="G6635" s="58">
        <f t="shared" si="108"/>
        <v>-3440</v>
      </c>
      <c r="H6635" s="121" t="s">
        <v>4348</v>
      </c>
    </row>
    <row r="6636" spans="1:9" ht="24" x14ac:dyDescent="0.2">
      <c r="A6636" s="597">
        <v>43496</v>
      </c>
      <c r="B6636" s="41" t="s">
        <v>16</v>
      </c>
      <c r="C6636" s="63" t="s">
        <v>463</v>
      </c>
      <c r="D6636" s="129" t="s">
        <v>4527</v>
      </c>
      <c r="E6636" s="58">
        <v>14183</v>
      </c>
      <c r="F6636" s="58"/>
      <c r="G6636" s="58">
        <f t="shared" si="108"/>
        <v>-14183</v>
      </c>
      <c r="H6636" s="121" t="s">
        <v>4348</v>
      </c>
    </row>
    <row r="6637" spans="1:9" ht="15" x14ac:dyDescent="0.2">
      <c r="A6637" s="602">
        <v>43469</v>
      </c>
      <c r="B6637" s="174" t="s">
        <v>1400</v>
      </c>
      <c r="C6637" s="174" t="s">
        <v>4350</v>
      </c>
      <c r="D6637" s="118" t="s">
        <v>4351</v>
      </c>
      <c r="E6637" s="236">
        <v>57000</v>
      </c>
      <c r="F6637" s="236"/>
      <c r="G6637" s="236">
        <f t="shared" si="108"/>
        <v>-57000</v>
      </c>
      <c r="H6637" s="244" t="s">
        <v>4348</v>
      </c>
      <c r="I6637" s="40"/>
    </row>
    <row r="6638" spans="1:9" ht="15" x14ac:dyDescent="0.2">
      <c r="A6638" s="602">
        <v>43469</v>
      </c>
      <c r="B6638" s="174" t="s">
        <v>2933</v>
      </c>
      <c r="C6638" s="174" t="s">
        <v>3145</v>
      </c>
      <c r="D6638" s="118" t="s">
        <v>4352</v>
      </c>
      <c r="E6638" s="236">
        <v>26700</v>
      </c>
      <c r="F6638" s="236"/>
      <c r="G6638" s="236">
        <f t="shared" si="108"/>
        <v>-26700</v>
      </c>
      <c r="H6638" s="244" t="s">
        <v>4348</v>
      </c>
      <c r="I6638" s="40"/>
    </row>
    <row r="6639" spans="1:9" ht="15" x14ac:dyDescent="0.2">
      <c r="A6639" s="602">
        <v>43469</v>
      </c>
      <c r="B6639" s="174" t="s">
        <v>3733</v>
      </c>
      <c r="C6639" s="174" t="s">
        <v>3416</v>
      </c>
      <c r="D6639" s="118" t="s">
        <v>4353</v>
      </c>
      <c r="E6639" s="236">
        <v>180000</v>
      </c>
      <c r="F6639" s="236"/>
      <c r="G6639" s="236">
        <f t="shared" si="108"/>
        <v>-180000</v>
      </c>
      <c r="H6639" s="244" t="s">
        <v>4348</v>
      </c>
      <c r="I6639" s="40"/>
    </row>
    <row r="6640" spans="1:9" ht="15" x14ac:dyDescent="0.2">
      <c r="A6640" s="602">
        <v>43469</v>
      </c>
      <c r="B6640" s="174" t="s">
        <v>2652</v>
      </c>
      <c r="C6640" s="174" t="s">
        <v>4385</v>
      </c>
      <c r="D6640" s="118" t="s">
        <v>2711</v>
      </c>
      <c r="E6640" s="236">
        <v>15000</v>
      </c>
      <c r="F6640" s="236"/>
      <c r="G6640" s="236">
        <f t="shared" si="108"/>
        <v>-15000</v>
      </c>
      <c r="H6640" s="244" t="s">
        <v>4348</v>
      </c>
      <c r="I6640" s="40"/>
    </row>
    <row r="6641" spans="1:9" ht="15" x14ac:dyDescent="0.2">
      <c r="A6641" s="602">
        <v>43469</v>
      </c>
      <c r="B6641" s="174" t="s">
        <v>2933</v>
      </c>
      <c r="C6641" s="174" t="s">
        <v>4350</v>
      </c>
      <c r="D6641" s="118" t="s">
        <v>4354</v>
      </c>
      <c r="E6641" s="236">
        <v>65000</v>
      </c>
      <c r="F6641" s="236"/>
      <c r="G6641" s="236">
        <f t="shared" si="108"/>
        <v>-65000</v>
      </c>
      <c r="H6641" s="244" t="s">
        <v>4348</v>
      </c>
      <c r="I6641" s="40"/>
    </row>
    <row r="6642" spans="1:9" ht="15" x14ac:dyDescent="0.2">
      <c r="A6642" s="602">
        <v>43469</v>
      </c>
      <c r="B6642" s="174" t="s">
        <v>1400</v>
      </c>
      <c r="C6642" s="174" t="s">
        <v>251</v>
      </c>
      <c r="D6642" s="118" t="s">
        <v>4355</v>
      </c>
      <c r="E6642" s="236">
        <v>25000</v>
      </c>
      <c r="F6642" s="236"/>
      <c r="G6642" s="236">
        <f t="shared" si="108"/>
        <v>-25000</v>
      </c>
      <c r="H6642" s="244" t="s">
        <v>4348</v>
      </c>
      <c r="I6642" s="40"/>
    </row>
    <row r="6643" spans="1:9" ht="15" x14ac:dyDescent="0.2">
      <c r="A6643" s="602">
        <v>43467</v>
      </c>
      <c r="B6643" s="174" t="s">
        <v>2787</v>
      </c>
      <c r="C6643" s="174" t="s">
        <v>251</v>
      </c>
      <c r="D6643" s="118" t="s">
        <v>4356</v>
      </c>
      <c r="E6643" s="236">
        <v>28000</v>
      </c>
      <c r="F6643" s="236"/>
      <c r="G6643" s="236">
        <f t="shared" si="108"/>
        <v>-28000</v>
      </c>
      <c r="H6643" s="244" t="s">
        <v>4348</v>
      </c>
      <c r="I6643" s="40"/>
    </row>
    <row r="6644" spans="1:9" ht="15" x14ac:dyDescent="0.2">
      <c r="A6644" s="602">
        <v>43469</v>
      </c>
      <c r="B6644" s="174" t="s">
        <v>2933</v>
      </c>
      <c r="C6644" s="174" t="s">
        <v>3428</v>
      </c>
      <c r="D6644" s="118" t="s">
        <v>2655</v>
      </c>
      <c r="E6644" s="236">
        <v>180000</v>
      </c>
      <c r="F6644" s="236"/>
      <c r="G6644" s="236">
        <f t="shared" si="108"/>
        <v>-180000</v>
      </c>
      <c r="H6644" s="244" t="s">
        <v>4348</v>
      </c>
      <c r="I6644" s="40"/>
    </row>
    <row r="6645" spans="1:9" ht="15" x14ac:dyDescent="0.2">
      <c r="A6645" s="602">
        <v>43469</v>
      </c>
      <c r="B6645" s="174" t="s">
        <v>1400</v>
      </c>
      <c r="C6645" s="174" t="s">
        <v>929</v>
      </c>
      <c r="D6645" s="118" t="s">
        <v>4357</v>
      </c>
      <c r="E6645" s="236">
        <v>10000</v>
      </c>
      <c r="F6645" s="236"/>
      <c r="G6645" s="236">
        <f t="shared" ref="G6645:G6708" si="109">F6645-E6645</f>
        <v>-10000</v>
      </c>
      <c r="H6645" s="244" t="s">
        <v>4348</v>
      </c>
      <c r="I6645" s="40"/>
    </row>
    <row r="6646" spans="1:9" ht="15" x14ac:dyDescent="0.2">
      <c r="A6646" s="602">
        <v>43469</v>
      </c>
      <c r="B6646" s="174" t="s">
        <v>1400</v>
      </c>
      <c r="C6646" s="174" t="s">
        <v>2160</v>
      </c>
      <c r="D6646" s="118" t="s">
        <v>4357</v>
      </c>
      <c r="E6646" s="236">
        <v>18000</v>
      </c>
      <c r="F6646" s="236"/>
      <c r="G6646" s="236">
        <f t="shared" si="109"/>
        <v>-18000</v>
      </c>
      <c r="H6646" s="244" t="s">
        <v>4348</v>
      </c>
      <c r="I6646" s="40"/>
    </row>
    <row r="6647" spans="1:9" ht="15" x14ac:dyDescent="0.2">
      <c r="A6647" s="602">
        <v>43469</v>
      </c>
      <c r="B6647" s="174" t="s">
        <v>2787</v>
      </c>
      <c r="C6647" s="174" t="s">
        <v>2160</v>
      </c>
      <c r="D6647" s="118" t="s">
        <v>4357</v>
      </c>
      <c r="E6647" s="236">
        <v>10000</v>
      </c>
      <c r="F6647" s="236"/>
      <c r="G6647" s="236">
        <f t="shared" si="109"/>
        <v>-10000</v>
      </c>
      <c r="H6647" s="244" t="s">
        <v>4348</v>
      </c>
      <c r="I6647" s="40"/>
    </row>
    <row r="6648" spans="1:9" ht="15" x14ac:dyDescent="0.2">
      <c r="A6648" s="602">
        <v>43469</v>
      </c>
      <c r="B6648" s="174" t="s">
        <v>2933</v>
      </c>
      <c r="C6648" s="174" t="s">
        <v>1875</v>
      </c>
      <c r="D6648" s="118" t="s">
        <v>4358</v>
      </c>
      <c r="E6648" s="236">
        <v>50000</v>
      </c>
      <c r="F6648" s="236"/>
      <c r="G6648" s="236">
        <f t="shared" si="109"/>
        <v>-50000</v>
      </c>
      <c r="H6648" s="244" t="s">
        <v>4348</v>
      </c>
      <c r="I6648" s="40"/>
    </row>
    <row r="6649" spans="1:9" ht="24" x14ac:dyDescent="0.2">
      <c r="A6649" s="602">
        <v>43469</v>
      </c>
      <c r="B6649" s="174" t="s">
        <v>3733</v>
      </c>
      <c r="C6649" s="174" t="s">
        <v>3011</v>
      </c>
      <c r="D6649" s="118" t="s">
        <v>4360</v>
      </c>
      <c r="E6649" s="236">
        <v>42500</v>
      </c>
      <c r="F6649" s="236"/>
      <c r="G6649" s="236">
        <f t="shared" si="109"/>
        <v>-42500</v>
      </c>
      <c r="H6649" s="244" t="s">
        <v>4348</v>
      </c>
      <c r="I6649" s="40"/>
    </row>
    <row r="6650" spans="1:9" ht="24" x14ac:dyDescent="0.2">
      <c r="A6650" s="602">
        <v>43469</v>
      </c>
      <c r="B6650" s="174" t="s">
        <v>2933</v>
      </c>
      <c r="C6650" s="174" t="s">
        <v>3011</v>
      </c>
      <c r="D6650" s="118" t="s">
        <v>4360</v>
      </c>
      <c r="E6650" s="236">
        <v>42500</v>
      </c>
      <c r="F6650" s="236"/>
      <c r="G6650" s="236">
        <f t="shared" si="109"/>
        <v>-42500</v>
      </c>
      <c r="H6650" s="244" t="s">
        <v>4348</v>
      </c>
      <c r="I6650" s="40"/>
    </row>
    <row r="6651" spans="1:9" ht="24" x14ac:dyDescent="0.2">
      <c r="A6651" s="602">
        <v>43469</v>
      </c>
      <c r="B6651" s="174" t="s">
        <v>2787</v>
      </c>
      <c r="C6651" s="174" t="s">
        <v>3011</v>
      </c>
      <c r="D6651" s="118" t="s">
        <v>4360</v>
      </c>
      <c r="E6651" s="236">
        <v>75000</v>
      </c>
      <c r="F6651" s="236"/>
      <c r="G6651" s="236">
        <f t="shared" si="109"/>
        <v>-75000</v>
      </c>
      <c r="H6651" s="244" t="s">
        <v>4348</v>
      </c>
      <c r="I6651" s="40"/>
    </row>
    <row r="6652" spans="1:9" ht="24" x14ac:dyDescent="0.2">
      <c r="A6652" s="602">
        <v>43469</v>
      </c>
      <c r="B6652" s="174" t="s">
        <v>2652</v>
      </c>
      <c r="C6652" s="174" t="s">
        <v>3011</v>
      </c>
      <c r="D6652" s="118" t="s">
        <v>4360</v>
      </c>
      <c r="E6652" s="236">
        <v>30000</v>
      </c>
      <c r="F6652" s="236"/>
      <c r="G6652" s="236">
        <f t="shared" si="109"/>
        <v>-30000</v>
      </c>
      <c r="H6652" s="244" t="s">
        <v>4348</v>
      </c>
      <c r="I6652" s="40"/>
    </row>
    <row r="6653" spans="1:9" ht="15" x14ac:dyDescent="0.2">
      <c r="A6653" s="602">
        <v>43472</v>
      </c>
      <c r="B6653" s="174" t="s">
        <v>1400</v>
      </c>
      <c r="C6653" s="174" t="s">
        <v>4334</v>
      </c>
      <c r="D6653" s="118" t="s">
        <v>4361</v>
      </c>
      <c r="E6653" s="236">
        <v>100000</v>
      </c>
      <c r="F6653" s="236"/>
      <c r="G6653" s="236">
        <f t="shared" si="109"/>
        <v>-100000</v>
      </c>
      <c r="H6653" s="244" t="s">
        <v>4348</v>
      </c>
      <c r="I6653" s="40"/>
    </row>
    <row r="6654" spans="1:9" ht="15" x14ac:dyDescent="0.2">
      <c r="A6654" s="602">
        <v>43472</v>
      </c>
      <c r="B6654" s="174" t="s">
        <v>2933</v>
      </c>
      <c r="C6654" s="174" t="s">
        <v>4362</v>
      </c>
      <c r="D6654" s="118" t="s">
        <v>4363</v>
      </c>
      <c r="E6654" s="236">
        <v>40000</v>
      </c>
      <c r="F6654" s="236"/>
      <c r="G6654" s="236">
        <f t="shared" si="109"/>
        <v>-40000</v>
      </c>
      <c r="H6654" s="244" t="s">
        <v>4348</v>
      </c>
      <c r="I6654" s="40"/>
    </row>
    <row r="6655" spans="1:9" ht="24" x14ac:dyDescent="0.2">
      <c r="A6655" s="602">
        <v>43472</v>
      </c>
      <c r="B6655" s="174" t="s">
        <v>3622</v>
      </c>
      <c r="C6655" s="174" t="s">
        <v>2338</v>
      </c>
      <c r="D6655" s="118" t="s">
        <v>4404</v>
      </c>
      <c r="E6655" s="236">
        <v>63000</v>
      </c>
      <c r="F6655" s="236"/>
      <c r="G6655" s="236">
        <f t="shared" si="109"/>
        <v>-63000</v>
      </c>
      <c r="H6655" s="244" t="s">
        <v>4348</v>
      </c>
      <c r="I6655" s="40"/>
    </row>
    <row r="6656" spans="1:9" ht="15" x14ac:dyDescent="0.2">
      <c r="A6656" s="602">
        <v>43472</v>
      </c>
      <c r="B6656" s="174" t="s">
        <v>2787</v>
      </c>
      <c r="C6656" s="174" t="s">
        <v>2338</v>
      </c>
      <c r="D6656" s="118" t="s">
        <v>4364</v>
      </c>
      <c r="E6656" s="236">
        <v>75000</v>
      </c>
      <c r="F6656" s="236"/>
      <c r="G6656" s="236">
        <f t="shared" si="109"/>
        <v>-75000</v>
      </c>
      <c r="H6656" s="244" t="s">
        <v>4348</v>
      </c>
      <c r="I6656" s="40"/>
    </row>
    <row r="6657" spans="1:9" ht="15" x14ac:dyDescent="0.2">
      <c r="A6657" s="602">
        <v>43472</v>
      </c>
      <c r="B6657" s="174" t="s">
        <v>2933</v>
      </c>
      <c r="C6657" s="174" t="s">
        <v>2338</v>
      </c>
      <c r="D6657" s="118" t="s">
        <v>4405</v>
      </c>
      <c r="E6657" s="236">
        <v>50000</v>
      </c>
      <c r="F6657" s="236"/>
      <c r="G6657" s="236">
        <f t="shared" si="109"/>
        <v>-50000</v>
      </c>
      <c r="H6657" s="244" t="s">
        <v>4348</v>
      </c>
      <c r="I6657" s="40"/>
    </row>
    <row r="6658" spans="1:9" ht="15" x14ac:dyDescent="0.2">
      <c r="A6658" s="602">
        <v>43473</v>
      </c>
      <c r="B6658" s="174" t="s">
        <v>1400</v>
      </c>
      <c r="C6658" s="174" t="s">
        <v>1815</v>
      </c>
      <c r="D6658" s="118" t="s">
        <v>4365</v>
      </c>
      <c r="E6658" s="236">
        <v>400000</v>
      </c>
      <c r="F6658" s="236"/>
      <c r="G6658" s="236">
        <f t="shared" si="109"/>
        <v>-400000</v>
      </c>
      <c r="H6658" s="244" t="s">
        <v>4348</v>
      </c>
      <c r="I6658" s="40"/>
    </row>
    <row r="6659" spans="1:9" ht="15" x14ac:dyDescent="0.2">
      <c r="A6659" s="602">
        <v>43473</v>
      </c>
      <c r="B6659" s="174" t="s">
        <v>1400</v>
      </c>
      <c r="C6659" s="174" t="s">
        <v>2196</v>
      </c>
      <c r="D6659" s="118" t="s">
        <v>4365</v>
      </c>
      <c r="E6659" s="236">
        <v>500000</v>
      </c>
      <c r="F6659" s="236"/>
      <c r="G6659" s="236">
        <f t="shared" si="109"/>
        <v>-500000</v>
      </c>
      <c r="H6659" s="244" t="s">
        <v>4348</v>
      </c>
      <c r="I6659" s="40"/>
    </row>
    <row r="6660" spans="1:9" ht="15" x14ac:dyDescent="0.2">
      <c r="A6660" s="602">
        <v>43473</v>
      </c>
      <c r="B6660" s="174" t="s">
        <v>2933</v>
      </c>
      <c r="C6660" s="174" t="s">
        <v>2128</v>
      </c>
      <c r="D6660" s="118" t="s">
        <v>4365</v>
      </c>
      <c r="E6660" s="236">
        <v>300574</v>
      </c>
      <c r="F6660" s="236"/>
      <c r="G6660" s="236">
        <f t="shared" si="109"/>
        <v>-300574</v>
      </c>
      <c r="H6660" s="244" t="s">
        <v>4348</v>
      </c>
      <c r="I6660" s="40"/>
    </row>
    <row r="6661" spans="1:9" ht="15" x14ac:dyDescent="0.2">
      <c r="A6661" s="602">
        <v>43473</v>
      </c>
      <c r="B6661" s="174" t="s">
        <v>2933</v>
      </c>
      <c r="C6661" s="174" t="s">
        <v>166</v>
      </c>
      <c r="D6661" s="118" t="s">
        <v>4365</v>
      </c>
      <c r="E6661" s="236">
        <v>300000</v>
      </c>
      <c r="F6661" s="236"/>
      <c r="G6661" s="236">
        <f t="shared" si="109"/>
        <v>-300000</v>
      </c>
      <c r="H6661" s="244" t="s">
        <v>4348</v>
      </c>
      <c r="I6661" s="40"/>
    </row>
    <row r="6662" spans="1:9" ht="15" x14ac:dyDescent="0.2">
      <c r="A6662" s="602">
        <v>43473</v>
      </c>
      <c r="B6662" s="174" t="s">
        <v>2933</v>
      </c>
      <c r="C6662" s="174" t="s">
        <v>359</v>
      </c>
      <c r="D6662" s="118" t="s">
        <v>4365</v>
      </c>
      <c r="E6662" s="236">
        <v>500000</v>
      </c>
      <c r="F6662" s="236"/>
      <c r="G6662" s="236">
        <f t="shared" si="109"/>
        <v>-500000</v>
      </c>
      <c r="H6662" s="244" t="s">
        <v>4348</v>
      </c>
      <c r="I6662" s="40"/>
    </row>
    <row r="6663" spans="1:9" ht="15" x14ac:dyDescent="0.2">
      <c r="A6663" s="602">
        <v>43473</v>
      </c>
      <c r="B6663" s="174" t="s">
        <v>1400</v>
      </c>
      <c r="C6663" s="174" t="s">
        <v>929</v>
      </c>
      <c r="D6663" s="118" t="s">
        <v>4366</v>
      </c>
      <c r="E6663" s="236">
        <v>25300</v>
      </c>
      <c r="F6663" s="236"/>
      <c r="G6663" s="236">
        <f t="shared" si="109"/>
        <v>-25300</v>
      </c>
      <c r="H6663" s="244" t="s">
        <v>4348</v>
      </c>
      <c r="I6663" s="40"/>
    </row>
    <row r="6664" spans="1:9" ht="15" x14ac:dyDescent="0.2">
      <c r="A6664" s="602">
        <v>43473</v>
      </c>
      <c r="B6664" s="174" t="s">
        <v>2652</v>
      </c>
      <c r="C6664" s="174" t="s">
        <v>4331</v>
      </c>
      <c r="D6664" s="118" t="s">
        <v>4367</v>
      </c>
      <c r="E6664" s="236">
        <v>50000</v>
      </c>
      <c r="F6664" s="236"/>
      <c r="G6664" s="236">
        <f t="shared" si="109"/>
        <v>-50000</v>
      </c>
      <c r="H6664" s="244" t="s">
        <v>4348</v>
      </c>
      <c r="I6664" s="40"/>
    </row>
    <row r="6665" spans="1:9" ht="15" x14ac:dyDescent="0.2">
      <c r="A6665" s="602">
        <v>43473</v>
      </c>
      <c r="B6665" s="174" t="s">
        <v>2933</v>
      </c>
      <c r="C6665" s="174" t="s">
        <v>3416</v>
      </c>
      <c r="D6665" s="118" t="s">
        <v>4368</v>
      </c>
      <c r="E6665" s="236">
        <v>500000</v>
      </c>
      <c r="F6665" s="236"/>
      <c r="G6665" s="236">
        <f t="shared" si="109"/>
        <v>-500000</v>
      </c>
      <c r="H6665" s="244" t="s">
        <v>4348</v>
      </c>
      <c r="I6665" s="40"/>
    </row>
    <row r="6666" spans="1:9" ht="15" x14ac:dyDescent="0.2">
      <c r="A6666" s="602">
        <v>43473</v>
      </c>
      <c r="B6666" s="174" t="s">
        <v>2933</v>
      </c>
      <c r="C6666" s="174" t="s">
        <v>3416</v>
      </c>
      <c r="D6666" s="118" t="s">
        <v>4369</v>
      </c>
      <c r="E6666" s="236">
        <v>500000</v>
      </c>
      <c r="F6666" s="236"/>
      <c r="G6666" s="236">
        <f t="shared" si="109"/>
        <v>-500000</v>
      </c>
      <c r="H6666" s="244" t="s">
        <v>4348</v>
      </c>
      <c r="I6666" s="40"/>
    </row>
    <row r="6667" spans="1:9" ht="15" x14ac:dyDescent="0.2">
      <c r="A6667" s="602">
        <v>43474</v>
      </c>
      <c r="B6667" s="174" t="s">
        <v>3622</v>
      </c>
      <c r="C6667" s="174" t="s">
        <v>716</v>
      </c>
      <c r="D6667" s="118" t="s">
        <v>4375</v>
      </c>
      <c r="E6667" s="236">
        <v>390000</v>
      </c>
      <c r="F6667" s="236"/>
      <c r="G6667" s="236">
        <f t="shared" si="109"/>
        <v>-390000</v>
      </c>
      <c r="H6667" s="244" t="s">
        <v>4348</v>
      </c>
      <c r="I6667" s="40"/>
    </row>
    <row r="6668" spans="1:9" ht="15" x14ac:dyDescent="0.2">
      <c r="A6668" s="602">
        <v>43474</v>
      </c>
      <c r="B6668" s="174" t="s">
        <v>2933</v>
      </c>
      <c r="C6668" s="174" t="s">
        <v>716</v>
      </c>
      <c r="D6668" s="118" t="s">
        <v>4374</v>
      </c>
      <c r="E6668" s="236">
        <v>1000000</v>
      </c>
      <c r="F6668" s="236"/>
      <c r="G6668" s="236">
        <f t="shared" si="109"/>
        <v>-1000000</v>
      </c>
      <c r="H6668" s="244" t="s">
        <v>4348</v>
      </c>
      <c r="I6668" s="40"/>
    </row>
    <row r="6669" spans="1:9" ht="15" x14ac:dyDescent="0.2">
      <c r="A6669" s="602">
        <v>43476</v>
      </c>
      <c r="B6669" s="174" t="s">
        <v>2933</v>
      </c>
      <c r="C6669" s="174" t="s">
        <v>573</v>
      </c>
      <c r="D6669" s="118" t="s">
        <v>4381</v>
      </c>
      <c r="E6669" s="236">
        <v>950000</v>
      </c>
      <c r="F6669" s="236"/>
      <c r="G6669" s="236">
        <f t="shared" si="109"/>
        <v>-950000</v>
      </c>
      <c r="H6669" s="244" t="s">
        <v>4348</v>
      </c>
      <c r="I6669" s="40"/>
    </row>
    <row r="6670" spans="1:9" ht="15" x14ac:dyDescent="0.2">
      <c r="A6670" s="602">
        <v>43476</v>
      </c>
      <c r="B6670" s="174" t="s">
        <v>2933</v>
      </c>
      <c r="C6670" s="174" t="s">
        <v>3707</v>
      </c>
      <c r="D6670" s="118" t="s">
        <v>4381</v>
      </c>
      <c r="E6670" s="236">
        <v>825000</v>
      </c>
      <c r="F6670" s="236"/>
      <c r="G6670" s="236">
        <f t="shared" si="109"/>
        <v>-825000</v>
      </c>
      <c r="H6670" s="244" t="s">
        <v>4348</v>
      </c>
      <c r="I6670" s="40"/>
    </row>
    <row r="6671" spans="1:9" ht="15" x14ac:dyDescent="0.2">
      <c r="A6671" s="602">
        <v>43476</v>
      </c>
      <c r="B6671" s="174" t="s">
        <v>2657</v>
      </c>
      <c r="C6671" s="174" t="s">
        <v>4382</v>
      </c>
      <c r="D6671" s="118" t="s">
        <v>4383</v>
      </c>
      <c r="E6671" s="236">
        <v>350000</v>
      </c>
      <c r="F6671" s="236"/>
      <c r="G6671" s="236">
        <f t="shared" si="109"/>
        <v>-350000</v>
      </c>
      <c r="H6671" s="244" t="s">
        <v>4348</v>
      </c>
      <c r="I6671" s="40"/>
    </row>
    <row r="6672" spans="1:9" ht="15" customHeight="1" x14ac:dyDescent="0.2">
      <c r="A6672" s="602">
        <v>43476</v>
      </c>
      <c r="B6672" s="174" t="s">
        <v>2933</v>
      </c>
      <c r="C6672" s="174" t="s">
        <v>3112</v>
      </c>
      <c r="D6672" s="118" t="s">
        <v>4384</v>
      </c>
      <c r="E6672" s="236">
        <v>250000</v>
      </c>
      <c r="F6672" s="236"/>
      <c r="G6672" s="236">
        <f t="shared" si="109"/>
        <v>-250000</v>
      </c>
      <c r="H6672" s="244" t="s">
        <v>4348</v>
      </c>
      <c r="I6672" s="40"/>
    </row>
    <row r="6673" spans="1:9" ht="15" x14ac:dyDescent="0.2">
      <c r="A6673" s="602">
        <v>43476</v>
      </c>
      <c r="B6673" s="174" t="s">
        <v>2652</v>
      </c>
      <c r="C6673" s="174" t="s">
        <v>4385</v>
      </c>
      <c r="D6673" s="118" t="s">
        <v>4386</v>
      </c>
      <c r="E6673" s="236">
        <v>50000</v>
      </c>
      <c r="F6673" s="236"/>
      <c r="G6673" s="236">
        <f t="shared" si="109"/>
        <v>-50000</v>
      </c>
      <c r="H6673" s="244" t="s">
        <v>4348</v>
      </c>
      <c r="I6673" s="40"/>
    </row>
    <row r="6674" spans="1:9" ht="15" x14ac:dyDescent="0.2">
      <c r="A6674" s="602">
        <v>43476</v>
      </c>
      <c r="B6674" s="174" t="s">
        <v>3733</v>
      </c>
      <c r="C6674" s="174" t="s">
        <v>4387</v>
      </c>
      <c r="D6674" s="118" t="s">
        <v>4388</v>
      </c>
      <c r="E6674" s="236">
        <v>20000</v>
      </c>
      <c r="F6674" s="236"/>
      <c r="G6674" s="236">
        <f t="shared" si="109"/>
        <v>-20000</v>
      </c>
      <c r="H6674" s="244" t="s">
        <v>4348</v>
      </c>
      <c r="I6674" s="40"/>
    </row>
    <row r="6675" spans="1:9" ht="15" x14ac:dyDescent="0.2">
      <c r="A6675" s="602">
        <v>43476</v>
      </c>
      <c r="B6675" s="174" t="s">
        <v>2933</v>
      </c>
      <c r="C6675" s="174" t="s">
        <v>1509</v>
      </c>
      <c r="D6675" s="118" t="s">
        <v>4389</v>
      </c>
      <c r="E6675" s="236">
        <v>50000</v>
      </c>
      <c r="F6675" s="236"/>
      <c r="G6675" s="236">
        <f t="shared" si="109"/>
        <v>-50000</v>
      </c>
      <c r="H6675" s="244" t="s">
        <v>4348</v>
      </c>
      <c r="I6675" s="40"/>
    </row>
    <row r="6676" spans="1:9" ht="15" x14ac:dyDescent="0.2">
      <c r="A6676" s="602">
        <v>43476</v>
      </c>
      <c r="B6676" s="174" t="s">
        <v>37</v>
      </c>
      <c r="C6676" s="174" t="s">
        <v>3003</v>
      </c>
      <c r="D6676" s="118" t="s">
        <v>4390</v>
      </c>
      <c r="E6676" s="236">
        <v>25920</v>
      </c>
      <c r="F6676" s="236"/>
      <c r="G6676" s="236">
        <f t="shared" si="109"/>
        <v>-25920</v>
      </c>
      <c r="H6676" s="244" t="s">
        <v>4348</v>
      </c>
      <c r="I6676" s="40"/>
    </row>
    <row r="6677" spans="1:9" ht="15" x14ac:dyDescent="0.2">
      <c r="A6677" s="602">
        <v>43477</v>
      </c>
      <c r="B6677" s="174" t="s">
        <v>2933</v>
      </c>
      <c r="C6677" s="174" t="s">
        <v>3931</v>
      </c>
      <c r="D6677" s="118" t="s">
        <v>4391</v>
      </c>
      <c r="E6677" s="236">
        <v>111000</v>
      </c>
      <c r="F6677" s="236"/>
      <c r="G6677" s="236">
        <f t="shared" si="109"/>
        <v>-111000</v>
      </c>
      <c r="H6677" s="244" t="s">
        <v>4348</v>
      </c>
      <c r="I6677" s="40"/>
    </row>
    <row r="6678" spans="1:9" ht="15" x14ac:dyDescent="0.2">
      <c r="A6678" s="602">
        <v>43477</v>
      </c>
      <c r="B6678" s="174" t="s">
        <v>1400</v>
      </c>
      <c r="C6678" s="174" t="s">
        <v>2854</v>
      </c>
      <c r="D6678" s="118" t="s">
        <v>4392</v>
      </c>
      <c r="E6678" s="236">
        <v>105000</v>
      </c>
      <c r="F6678" s="236"/>
      <c r="G6678" s="236">
        <f t="shared" si="109"/>
        <v>-105000</v>
      </c>
      <c r="H6678" s="244" t="s">
        <v>4348</v>
      </c>
      <c r="I6678" s="40"/>
    </row>
    <row r="6679" spans="1:9" ht="15" x14ac:dyDescent="0.2">
      <c r="A6679" s="602">
        <v>43479</v>
      </c>
      <c r="B6679" s="174" t="s">
        <v>2933</v>
      </c>
      <c r="C6679" s="122" t="s">
        <v>5643</v>
      </c>
      <c r="D6679" s="118" t="s">
        <v>4393</v>
      </c>
      <c r="E6679" s="236">
        <v>613000</v>
      </c>
      <c r="F6679" s="236"/>
      <c r="G6679" s="236">
        <f t="shared" si="109"/>
        <v>-613000</v>
      </c>
      <c r="H6679" s="244" t="s">
        <v>4348</v>
      </c>
      <c r="I6679" s="40"/>
    </row>
    <row r="6680" spans="1:9" ht="15" x14ac:dyDescent="0.2">
      <c r="A6680" s="602">
        <v>43479</v>
      </c>
      <c r="B6680" s="174" t="s">
        <v>2933</v>
      </c>
      <c r="C6680" s="122" t="s">
        <v>5643</v>
      </c>
      <c r="D6680" s="118" t="s">
        <v>4393</v>
      </c>
      <c r="E6680" s="236">
        <v>612000</v>
      </c>
      <c r="F6680" s="236"/>
      <c r="G6680" s="236">
        <f t="shared" si="109"/>
        <v>-612000</v>
      </c>
      <c r="H6680" s="244" t="s">
        <v>4348</v>
      </c>
      <c r="I6680" s="40"/>
    </row>
    <row r="6681" spans="1:9" ht="15" x14ac:dyDescent="0.2">
      <c r="A6681" s="602">
        <v>43477</v>
      </c>
      <c r="B6681" s="174" t="s">
        <v>2933</v>
      </c>
      <c r="C6681" s="122" t="s">
        <v>5643</v>
      </c>
      <c r="D6681" s="118" t="s">
        <v>2711</v>
      </c>
      <c r="E6681" s="236">
        <v>10000</v>
      </c>
      <c r="F6681" s="236"/>
      <c r="G6681" s="236">
        <f t="shared" si="109"/>
        <v>-10000</v>
      </c>
      <c r="H6681" s="244" t="s">
        <v>4348</v>
      </c>
      <c r="I6681" s="40"/>
    </row>
    <row r="6682" spans="1:9" ht="15" x14ac:dyDescent="0.2">
      <c r="A6682" s="602">
        <v>43480</v>
      </c>
      <c r="B6682" s="174" t="s">
        <v>2933</v>
      </c>
      <c r="C6682" s="174" t="s">
        <v>895</v>
      </c>
      <c r="D6682" s="118" t="s">
        <v>4397</v>
      </c>
      <c r="E6682" s="236">
        <v>200000</v>
      </c>
      <c r="F6682" s="236"/>
      <c r="G6682" s="236">
        <f t="shared" si="109"/>
        <v>-200000</v>
      </c>
      <c r="H6682" s="244" t="s">
        <v>4348</v>
      </c>
      <c r="I6682" s="40"/>
    </row>
    <row r="6683" spans="1:9" ht="15" x14ac:dyDescent="0.2">
      <c r="A6683" s="602">
        <v>43480</v>
      </c>
      <c r="B6683" s="174" t="s">
        <v>2933</v>
      </c>
      <c r="C6683" s="174" t="s">
        <v>256</v>
      </c>
      <c r="D6683" s="118" t="s">
        <v>4398</v>
      </c>
      <c r="E6683" s="236">
        <v>500000</v>
      </c>
      <c r="F6683" s="236"/>
      <c r="G6683" s="236">
        <f t="shared" si="109"/>
        <v>-500000</v>
      </c>
      <c r="H6683" s="244" t="s">
        <v>4348</v>
      </c>
      <c r="I6683" s="40"/>
    </row>
    <row r="6684" spans="1:9" ht="15" x14ac:dyDescent="0.2">
      <c r="A6684" s="602">
        <v>43480</v>
      </c>
      <c r="B6684" s="174" t="s">
        <v>2933</v>
      </c>
      <c r="C6684" s="174" t="s">
        <v>256</v>
      </c>
      <c r="D6684" s="118" t="s">
        <v>4399</v>
      </c>
      <c r="E6684" s="236">
        <v>72064</v>
      </c>
      <c r="F6684" s="236"/>
      <c r="G6684" s="236">
        <f t="shared" si="109"/>
        <v>-72064</v>
      </c>
      <c r="H6684" s="244" t="s">
        <v>4348</v>
      </c>
      <c r="I6684" s="40"/>
    </row>
    <row r="6685" spans="1:9" ht="15" x14ac:dyDescent="0.2">
      <c r="A6685" s="602">
        <v>43480</v>
      </c>
      <c r="B6685" s="174" t="s">
        <v>3622</v>
      </c>
      <c r="C6685" s="174" t="s">
        <v>256</v>
      </c>
      <c r="D6685" s="118" t="s">
        <v>4399</v>
      </c>
      <c r="E6685" s="236">
        <v>259221</v>
      </c>
      <c r="F6685" s="236"/>
      <c r="G6685" s="236">
        <f t="shared" si="109"/>
        <v>-259221</v>
      </c>
      <c r="H6685" s="244" t="s">
        <v>4348</v>
      </c>
      <c r="I6685" s="40"/>
    </row>
    <row r="6686" spans="1:9" ht="15" x14ac:dyDescent="0.2">
      <c r="A6686" s="602">
        <v>43480</v>
      </c>
      <c r="B6686" s="174" t="s">
        <v>3733</v>
      </c>
      <c r="C6686" s="174" t="s">
        <v>256</v>
      </c>
      <c r="D6686" s="118" t="s">
        <v>4399</v>
      </c>
      <c r="E6686" s="236">
        <v>168715</v>
      </c>
      <c r="F6686" s="236"/>
      <c r="G6686" s="236">
        <f t="shared" si="109"/>
        <v>-168715</v>
      </c>
      <c r="H6686" s="244" t="s">
        <v>4348</v>
      </c>
      <c r="I6686" s="40"/>
    </row>
    <row r="6687" spans="1:9" ht="15" x14ac:dyDescent="0.2">
      <c r="A6687" s="602">
        <v>43480</v>
      </c>
      <c r="B6687" s="174" t="s">
        <v>2933</v>
      </c>
      <c r="C6687" s="174" t="s">
        <v>256</v>
      </c>
      <c r="D6687" s="118" t="s">
        <v>4400</v>
      </c>
      <c r="E6687" s="236">
        <v>400000</v>
      </c>
      <c r="F6687" s="236"/>
      <c r="G6687" s="236">
        <f t="shared" si="109"/>
        <v>-400000</v>
      </c>
      <c r="H6687" s="244" t="s">
        <v>4348</v>
      </c>
      <c r="I6687" s="40"/>
    </row>
    <row r="6688" spans="1:9" ht="15" x14ac:dyDescent="0.2">
      <c r="A6688" s="602">
        <v>43480</v>
      </c>
      <c r="B6688" s="174" t="s">
        <v>2933</v>
      </c>
      <c r="C6688" s="174" t="s">
        <v>2338</v>
      </c>
      <c r="D6688" s="118" t="s">
        <v>4401</v>
      </c>
      <c r="E6688" s="236">
        <v>10000</v>
      </c>
      <c r="F6688" s="236"/>
      <c r="G6688" s="236">
        <f t="shared" si="109"/>
        <v>-10000</v>
      </c>
      <c r="H6688" s="244" t="s">
        <v>4348</v>
      </c>
      <c r="I6688" s="40"/>
    </row>
    <row r="6689" spans="1:9" ht="15" x14ac:dyDescent="0.2">
      <c r="A6689" s="602">
        <v>43480</v>
      </c>
      <c r="B6689" s="174" t="s">
        <v>2933</v>
      </c>
      <c r="C6689" s="174" t="s">
        <v>2338</v>
      </c>
      <c r="D6689" s="118" t="s">
        <v>4402</v>
      </c>
      <c r="E6689" s="236">
        <v>30500</v>
      </c>
      <c r="F6689" s="236"/>
      <c r="G6689" s="236">
        <f t="shared" si="109"/>
        <v>-30500</v>
      </c>
      <c r="H6689" s="244" t="s">
        <v>4348</v>
      </c>
      <c r="I6689" s="40"/>
    </row>
    <row r="6690" spans="1:9" ht="15" x14ac:dyDescent="0.2">
      <c r="A6690" s="602">
        <v>43480</v>
      </c>
      <c r="B6690" s="174" t="s">
        <v>2933</v>
      </c>
      <c r="C6690" s="174" t="s">
        <v>2338</v>
      </c>
      <c r="D6690" s="118" t="s">
        <v>4403</v>
      </c>
      <c r="E6690" s="236">
        <v>34500</v>
      </c>
      <c r="F6690" s="236"/>
      <c r="G6690" s="236">
        <f t="shared" si="109"/>
        <v>-34500</v>
      </c>
      <c r="H6690" s="244" t="s">
        <v>4348</v>
      </c>
      <c r="I6690" s="40"/>
    </row>
    <row r="6691" spans="1:9" ht="15" x14ac:dyDescent="0.2">
      <c r="A6691" s="602">
        <v>43481</v>
      </c>
      <c r="B6691" s="174" t="s">
        <v>1400</v>
      </c>
      <c r="C6691" s="174" t="s">
        <v>379</v>
      </c>
      <c r="D6691" s="118" t="s">
        <v>4406</v>
      </c>
      <c r="E6691" s="236">
        <v>75000</v>
      </c>
      <c r="F6691" s="236"/>
      <c r="G6691" s="236">
        <f t="shared" si="109"/>
        <v>-75000</v>
      </c>
      <c r="H6691" s="244" t="s">
        <v>4348</v>
      </c>
      <c r="I6691" s="40"/>
    </row>
    <row r="6692" spans="1:9" ht="15" x14ac:dyDescent="0.2">
      <c r="A6692" s="602">
        <v>43481</v>
      </c>
      <c r="B6692" s="174" t="s">
        <v>2652</v>
      </c>
      <c r="C6692" s="174" t="s">
        <v>3958</v>
      </c>
      <c r="D6692" s="118" t="s">
        <v>4407</v>
      </c>
      <c r="E6692" s="236">
        <v>50000</v>
      </c>
      <c r="F6692" s="236"/>
      <c r="G6692" s="236">
        <f t="shared" si="109"/>
        <v>-50000</v>
      </c>
      <c r="H6692" s="244" t="s">
        <v>4348</v>
      </c>
      <c r="I6692" s="40"/>
    </row>
    <row r="6693" spans="1:9" ht="15" x14ac:dyDescent="0.2">
      <c r="A6693" s="602">
        <v>43481</v>
      </c>
      <c r="B6693" s="174" t="s">
        <v>2933</v>
      </c>
      <c r="C6693" s="174" t="s">
        <v>3285</v>
      </c>
      <c r="D6693" s="118" t="s">
        <v>4408</v>
      </c>
      <c r="E6693" s="236">
        <f>179000-E6694</f>
        <v>159000</v>
      </c>
      <c r="F6693" s="236"/>
      <c r="G6693" s="236">
        <f t="shared" si="109"/>
        <v>-159000</v>
      </c>
      <c r="H6693" s="244" t="s">
        <v>4348</v>
      </c>
      <c r="I6693" s="40"/>
    </row>
    <row r="6694" spans="1:9" ht="15" x14ac:dyDescent="0.2">
      <c r="A6694" s="602">
        <v>43481</v>
      </c>
      <c r="B6694" s="174" t="s">
        <v>3622</v>
      </c>
      <c r="C6694" s="174" t="s">
        <v>3285</v>
      </c>
      <c r="D6694" s="118" t="s">
        <v>4408</v>
      </c>
      <c r="E6694" s="236">
        <v>20000</v>
      </c>
      <c r="F6694" s="236"/>
      <c r="G6694" s="236">
        <f t="shared" si="109"/>
        <v>-20000</v>
      </c>
      <c r="H6694" s="244" t="s">
        <v>4348</v>
      </c>
      <c r="I6694" s="40"/>
    </row>
    <row r="6695" spans="1:9" ht="15" x14ac:dyDescent="0.2">
      <c r="A6695" s="602">
        <v>43483</v>
      </c>
      <c r="B6695" s="174" t="s">
        <v>1400</v>
      </c>
      <c r="C6695" s="174" t="s">
        <v>2386</v>
      </c>
      <c r="D6695" s="118" t="s">
        <v>4409</v>
      </c>
      <c r="E6695" s="236">
        <v>60000</v>
      </c>
      <c r="F6695" s="236"/>
      <c r="G6695" s="236">
        <f t="shared" si="109"/>
        <v>-60000</v>
      </c>
      <c r="H6695" s="244" t="s">
        <v>4348</v>
      </c>
      <c r="I6695" s="40"/>
    </row>
    <row r="6696" spans="1:9" ht="15" x14ac:dyDescent="0.2">
      <c r="A6696" s="602">
        <v>43483</v>
      </c>
      <c r="B6696" s="174" t="s">
        <v>2652</v>
      </c>
      <c r="C6696" s="174" t="s">
        <v>2310</v>
      </c>
      <c r="D6696" s="118" t="s">
        <v>4443</v>
      </c>
      <c r="E6696" s="236">
        <v>28750</v>
      </c>
      <c r="F6696" s="236"/>
      <c r="G6696" s="236">
        <f t="shared" si="109"/>
        <v>-28750</v>
      </c>
      <c r="H6696" s="244" t="s">
        <v>4348</v>
      </c>
      <c r="I6696" s="40"/>
    </row>
    <row r="6697" spans="1:9" ht="15" x14ac:dyDescent="0.2">
      <c r="A6697" s="602">
        <v>43486</v>
      </c>
      <c r="B6697" s="174" t="s">
        <v>2933</v>
      </c>
      <c r="C6697" s="174" t="s">
        <v>4444</v>
      </c>
      <c r="D6697" s="118" t="s">
        <v>4445</v>
      </c>
      <c r="E6697" s="236">
        <v>114000</v>
      </c>
      <c r="F6697" s="236"/>
      <c r="G6697" s="236">
        <f t="shared" si="109"/>
        <v>-114000</v>
      </c>
      <c r="H6697" s="244" t="s">
        <v>4348</v>
      </c>
      <c r="I6697" s="40"/>
    </row>
    <row r="6698" spans="1:9" ht="15" x14ac:dyDescent="0.2">
      <c r="A6698" s="602">
        <v>43487</v>
      </c>
      <c r="B6698" s="174" t="s">
        <v>2933</v>
      </c>
      <c r="C6698" s="174" t="s">
        <v>5187</v>
      </c>
      <c r="D6698" s="118" t="s">
        <v>4446</v>
      </c>
      <c r="E6698" s="236">
        <v>200000</v>
      </c>
      <c r="F6698" s="236"/>
      <c r="G6698" s="236">
        <f t="shared" si="109"/>
        <v>-200000</v>
      </c>
      <c r="H6698" s="244" t="s">
        <v>4348</v>
      </c>
      <c r="I6698" s="40"/>
    </row>
    <row r="6699" spans="1:9" ht="15" x14ac:dyDescent="0.2">
      <c r="A6699" s="602">
        <v>43488</v>
      </c>
      <c r="B6699" s="174" t="s">
        <v>3622</v>
      </c>
      <c r="C6699" s="174" t="s">
        <v>3884</v>
      </c>
      <c r="D6699" s="118" t="s">
        <v>4462</v>
      </c>
      <c r="E6699" s="236">
        <v>100000</v>
      </c>
      <c r="F6699" s="236"/>
      <c r="G6699" s="236">
        <f t="shared" si="109"/>
        <v>-100000</v>
      </c>
      <c r="H6699" s="244" t="s">
        <v>4348</v>
      </c>
      <c r="I6699" s="40"/>
    </row>
    <row r="6700" spans="1:9" ht="15" x14ac:dyDescent="0.2">
      <c r="A6700" s="602">
        <v>43488</v>
      </c>
      <c r="B6700" s="174" t="s">
        <v>3622</v>
      </c>
      <c r="C6700" s="174" t="s">
        <v>3884</v>
      </c>
      <c r="D6700" s="118" t="s">
        <v>4463</v>
      </c>
      <c r="E6700" s="236">
        <v>100000</v>
      </c>
      <c r="F6700" s="236"/>
      <c r="G6700" s="236">
        <f t="shared" si="109"/>
        <v>-100000</v>
      </c>
      <c r="H6700" s="244" t="s">
        <v>4348</v>
      </c>
      <c r="I6700" s="40"/>
    </row>
    <row r="6701" spans="1:9" ht="15" x14ac:dyDescent="0.2">
      <c r="A6701" s="602">
        <v>43488</v>
      </c>
      <c r="B6701" s="174" t="s">
        <v>3733</v>
      </c>
      <c r="C6701" s="174" t="s">
        <v>2160</v>
      </c>
      <c r="D6701" s="118" t="s">
        <v>4464</v>
      </c>
      <c r="E6701" s="236">
        <v>20000</v>
      </c>
      <c r="F6701" s="236"/>
      <c r="G6701" s="236">
        <f t="shared" si="109"/>
        <v>-20000</v>
      </c>
      <c r="H6701" s="244" t="s">
        <v>4348</v>
      </c>
      <c r="I6701" s="40"/>
    </row>
    <row r="6702" spans="1:9" ht="15" x14ac:dyDescent="0.2">
      <c r="A6702" s="602">
        <v>43490</v>
      </c>
      <c r="B6702" s="174" t="s">
        <v>2933</v>
      </c>
      <c r="C6702" s="174" t="s">
        <v>4444</v>
      </c>
      <c r="D6702" s="118" t="s">
        <v>4465</v>
      </c>
      <c r="E6702" s="236">
        <v>225000</v>
      </c>
      <c r="F6702" s="236"/>
      <c r="G6702" s="236">
        <f t="shared" si="109"/>
        <v>-225000</v>
      </c>
      <c r="H6702" s="244" t="s">
        <v>4348</v>
      </c>
      <c r="I6702" s="40"/>
    </row>
    <row r="6703" spans="1:9" ht="15" x14ac:dyDescent="0.2">
      <c r="A6703" s="602">
        <v>43490</v>
      </c>
      <c r="B6703" s="174" t="s">
        <v>2933</v>
      </c>
      <c r="C6703" s="174" t="s">
        <v>4444</v>
      </c>
      <c r="D6703" s="118" t="s">
        <v>4466</v>
      </c>
      <c r="E6703" s="236">
        <v>25000</v>
      </c>
      <c r="F6703" s="236"/>
      <c r="G6703" s="236">
        <f t="shared" si="109"/>
        <v>-25000</v>
      </c>
      <c r="H6703" s="244" t="s">
        <v>4348</v>
      </c>
      <c r="I6703" s="40"/>
    </row>
    <row r="6704" spans="1:9" ht="15" x14ac:dyDescent="0.2">
      <c r="A6704" s="602">
        <v>43490</v>
      </c>
      <c r="B6704" s="174" t="s">
        <v>2933</v>
      </c>
      <c r="C6704" s="122" t="s">
        <v>5643</v>
      </c>
      <c r="D6704" s="118" t="s">
        <v>4467</v>
      </c>
      <c r="E6704" s="236">
        <v>250000</v>
      </c>
      <c r="F6704" s="236"/>
      <c r="G6704" s="236">
        <f t="shared" si="109"/>
        <v>-250000</v>
      </c>
      <c r="H6704" s="244" t="s">
        <v>4348</v>
      </c>
      <c r="I6704" s="40"/>
    </row>
    <row r="6705" spans="1:9" ht="15" x14ac:dyDescent="0.2">
      <c r="A6705" s="602">
        <v>43490</v>
      </c>
      <c r="B6705" s="174" t="s">
        <v>2933</v>
      </c>
      <c r="C6705" s="122" t="s">
        <v>5643</v>
      </c>
      <c r="D6705" s="118" t="s">
        <v>4468</v>
      </c>
      <c r="E6705" s="236">
        <v>250000</v>
      </c>
      <c r="F6705" s="236"/>
      <c r="G6705" s="236">
        <f t="shared" si="109"/>
        <v>-250000</v>
      </c>
      <c r="H6705" s="244" t="s">
        <v>4348</v>
      </c>
      <c r="I6705" s="40"/>
    </row>
    <row r="6706" spans="1:9" ht="15" x14ac:dyDescent="0.2">
      <c r="A6706" s="602">
        <v>43493</v>
      </c>
      <c r="B6706" s="174" t="s">
        <v>2652</v>
      </c>
      <c r="C6706" s="174" t="s">
        <v>3011</v>
      </c>
      <c r="D6706" s="118" t="s">
        <v>4476</v>
      </c>
      <c r="E6706" s="236">
        <v>250000</v>
      </c>
      <c r="F6706" s="236"/>
      <c r="G6706" s="236">
        <f t="shared" si="109"/>
        <v>-250000</v>
      </c>
      <c r="H6706" s="244" t="s">
        <v>4348</v>
      </c>
      <c r="I6706" s="40"/>
    </row>
    <row r="6707" spans="1:9" ht="15" x14ac:dyDescent="0.2">
      <c r="A6707" s="602">
        <v>43493</v>
      </c>
      <c r="B6707" s="174" t="s">
        <v>2933</v>
      </c>
      <c r="C6707" s="174" t="s">
        <v>4334</v>
      </c>
      <c r="D6707" s="118" t="s">
        <v>4477</v>
      </c>
      <c r="E6707" s="236">
        <v>77200</v>
      </c>
      <c r="F6707" s="236"/>
      <c r="G6707" s="236">
        <f t="shared" si="109"/>
        <v>-77200</v>
      </c>
      <c r="H6707" s="244" t="s">
        <v>4348</v>
      </c>
      <c r="I6707" s="40"/>
    </row>
    <row r="6708" spans="1:9" ht="15" x14ac:dyDescent="0.2">
      <c r="A6708" s="602">
        <v>43493</v>
      </c>
      <c r="B6708" s="174" t="s">
        <v>1400</v>
      </c>
      <c r="C6708" s="174" t="s">
        <v>4331</v>
      </c>
      <c r="D6708" s="118" t="s">
        <v>4478</v>
      </c>
      <c r="E6708" s="236">
        <v>27000</v>
      </c>
      <c r="F6708" s="236"/>
      <c r="G6708" s="236">
        <f t="shared" si="109"/>
        <v>-27000</v>
      </c>
      <c r="H6708" s="244" t="s">
        <v>4348</v>
      </c>
      <c r="I6708" s="40"/>
    </row>
    <row r="6709" spans="1:9" ht="15" x14ac:dyDescent="0.2">
      <c r="A6709" s="602">
        <v>43493</v>
      </c>
      <c r="B6709" s="174" t="s">
        <v>1400</v>
      </c>
      <c r="C6709" s="174" t="s">
        <v>4444</v>
      </c>
      <c r="D6709" s="118" t="s">
        <v>4479</v>
      </c>
      <c r="E6709" s="236">
        <v>200000</v>
      </c>
      <c r="F6709" s="236"/>
      <c r="G6709" s="236">
        <f t="shared" ref="G6709:G6772" si="110">F6709-E6709</f>
        <v>-200000</v>
      </c>
      <c r="H6709" s="244" t="s">
        <v>4348</v>
      </c>
      <c r="I6709" s="40"/>
    </row>
    <row r="6710" spans="1:9" ht="15" x14ac:dyDescent="0.2">
      <c r="A6710" s="602">
        <v>43493</v>
      </c>
      <c r="B6710" s="174" t="s">
        <v>1400</v>
      </c>
      <c r="C6710" s="174" t="s">
        <v>4444</v>
      </c>
      <c r="D6710" s="118" t="s">
        <v>4485</v>
      </c>
      <c r="E6710" s="236">
        <v>200000</v>
      </c>
      <c r="F6710" s="236"/>
      <c r="G6710" s="236">
        <f t="shared" si="110"/>
        <v>-200000</v>
      </c>
      <c r="H6710" s="244" t="s">
        <v>4348</v>
      </c>
      <c r="I6710" s="40"/>
    </row>
    <row r="6711" spans="1:9" ht="24" x14ac:dyDescent="0.2">
      <c r="A6711" s="602">
        <v>43493</v>
      </c>
      <c r="B6711" s="174" t="s">
        <v>392</v>
      </c>
      <c r="C6711" s="174" t="s">
        <v>4480</v>
      </c>
      <c r="D6711" s="118" t="s">
        <v>4481</v>
      </c>
      <c r="E6711" s="236">
        <v>90000</v>
      </c>
      <c r="F6711" s="236"/>
      <c r="G6711" s="236">
        <f t="shared" si="110"/>
        <v>-90000</v>
      </c>
      <c r="H6711" s="244" t="s">
        <v>4348</v>
      </c>
      <c r="I6711" s="40"/>
    </row>
    <row r="6712" spans="1:9" ht="15" x14ac:dyDescent="0.2">
      <c r="A6712" s="599">
        <v>43466</v>
      </c>
      <c r="B6712" s="91" t="s">
        <v>37</v>
      </c>
      <c r="C6712" s="94" t="s">
        <v>559</v>
      </c>
      <c r="D6712" s="801" t="s">
        <v>4346</v>
      </c>
      <c r="E6712" s="92"/>
      <c r="F6712" s="92">
        <v>157140</v>
      </c>
      <c r="G6712" s="92">
        <f t="shared" si="110"/>
        <v>157140</v>
      </c>
      <c r="H6712" s="261" t="s">
        <v>4348</v>
      </c>
    </row>
    <row r="6713" spans="1:9" ht="15" x14ac:dyDescent="0.2">
      <c r="A6713" s="599">
        <v>43466</v>
      </c>
      <c r="B6713" s="91" t="s">
        <v>37</v>
      </c>
      <c r="C6713" s="94" t="s">
        <v>559</v>
      </c>
      <c r="D6713" s="801" t="s">
        <v>4347</v>
      </c>
      <c r="E6713" s="92"/>
      <c r="F6713" s="92">
        <v>157140</v>
      </c>
      <c r="G6713" s="92">
        <f t="shared" si="110"/>
        <v>157140</v>
      </c>
      <c r="H6713" s="261" t="s">
        <v>4348</v>
      </c>
    </row>
    <row r="6714" spans="1:9" ht="15" x14ac:dyDescent="0.2">
      <c r="A6714" s="599">
        <v>43469</v>
      </c>
      <c r="B6714" s="91" t="s">
        <v>2933</v>
      </c>
      <c r="C6714" s="94" t="s">
        <v>559</v>
      </c>
      <c r="D6714" s="801" t="s">
        <v>597</v>
      </c>
      <c r="E6714" s="92"/>
      <c r="F6714" s="92">
        <v>34223184</v>
      </c>
      <c r="G6714" s="92">
        <f t="shared" si="110"/>
        <v>34223184</v>
      </c>
      <c r="H6714" s="261" t="s">
        <v>4348</v>
      </c>
    </row>
    <row r="6715" spans="1:9" ht="15" x14ac:dyDescent="0.2">
      <c r="A6715" s="599">
        <v>43473</v>
      </c>
      <c r="B6715" s="91" t="s">
        <v>1400</v>
      </c>
      <c r="C6715" s="94" t="s">
        <v>559</v>
      </c>
      <c r="D6715" s="801" t="s">
        <v>4370</v>
      </c>
      <c r="E6715" s="92"/>
      <c r="F6715" s="92">
        <v>400000</v>
      </c>
      <c r="G6715" s="92">
        <f t="shared" si="110"/>
        <v>400000</v>
      </c>
      <c r="H6715" s="261" t="s">
        <v>4348</v>
      </c>
    </row>
    <row r="6716" spans="1:9" ht="15" x14ac:dyDescent="0.2">
      <c r="A6716" s="599">
        <v>43473</v>
      </c>
      <c r="B6716" s="91" t="s">
        <v>1400</v>
      </c>
      <c r="C6716" s="94" t="s">
        <v>559</v>
      </c>
      <c r="D6716" s="801" t="s">
        <v>4371</v>
      </c>
      <c r="E6716" s="92"/>
      <c r="F6716" s="92">
        <v>500000</v>
      </c>
      <c r="G6716" s="92">
        <f t="shared" si="110"/>
        <v>500000</v>
      </c>
      <c r="H6716" s="261" t="s">
        <v>4348</v>
      </c>
    </row>
    <row r="6717" spans="1:9" ht="15" x14ac:dyDescent="0.2">
      <c r="A6717" s="599">
        <v>43473</v>
      </c>
      <c r="B6717" s="91" t="s">
        <v>1400</v>
      </c>
      <c r="C6717" s="94" t="s">
        <v>559</v>
      </c>
      <c r="D6717" s="801" t="s">
        <v>4372</v>
      </c>
      <c r="E6717" s="92"/>
      <c r="F6717" s="92">
        <v>300574</v>
      </c>
      <c r="G6717" s="92">
        <f t="shared" si="110"/>
        <v>300574</v>
      </c>
      <c r="H6717" s="261" t="s">
        <v>4348</v>
      </c>
    </row>
    <row r="6718" spans="1:9" ht="15" x14ac:dyDescent="0.2">
      <c r="A6718" s="599">
        <v>43473</v>
      </c>
      <c r="B6718" s="91" t="s">
        <v>1400</v>
      </c>
      <c r="C6718" s="94" t="s">
        <v>559</v>
      </c>
      <c r="D6718" s="801" t="s">
        <v>4373</v>
      </c>
      <c r="E6718" s="92"/>
      <c r="F6718" s="92">
        <v>300000</v>
      </c>
      <c r="G6718" s="92">
        <f t="shared" si="110"/>
        <v>300000</v>
      </c>
      <c r="H6718" s="261" t="s">
        <v>4348</v>
      </c>
    </row>
    <row r="6719" spans="1:9" ht="24" x14ac:dyDescent="0.2">
      <c r="A6719" s="599">
        <v>43473</v>
      </c>
      <c r="B6719" s="91" t="s">
        <v>1400</v>
      </c>
      <c r="C6719" s="94" t="s">
        <v>559</v>
      </c>
      <c r="D6719" s="798" t="s">
        <v>4469</v>
      </c>
      <c r="E6719" s="92"/>
      <c r="F6719" s="92">
        <v>2000000</v>
      </c>
      <c r="G6719" s="92">
        <f t="shared" si="110"/>
        <v>2000000</v>
      </c>
      <c r="H6719" s="261" t="s">
        <v>4348</v>
      </c>
    </row>
    <row r="6720" spans="1:9" ht="15" x14ac:dyDescent="0.2">
      <c r="A6720" s="599">
        <v>43473</v>
      </c>
      <c r="B6720" s="91" t="s">
        <v>1400</v>
      </c>
      <c r="C6720" s="94" t="s">
        <v>559</v>
      </c>
      <c r="D6720" s="801" t="s">
        <v>4380</v>
      </c>
      <c r="E6720" s="92"/>
      <c r="F6720" s="92">
        <v>500000</v>
      </c>
      <c r="G6720" s="92">
        <f t="shared" si="110"/>
        <v>500000</v>
      </c>
      <c r="H6720" s="261" t="s">
        <v>4348</v>
      </c>
    </row>
    <row r="6721" spans="1:8" ht="15" customHeight="1" x14ac:dyDescent="0.2">
      <c r="A6721" s="599">
        <v>43473</v>
      </c>
      <c r="B6721" s="91" t="s">
        <v>1400</v>
      </c>
      <c r="C6721" s="94" t="s">
        <v>559</v>
      </c>
      <c r="D6721" s="801" t="s">
        <v>4378</v>
      </c>
      <c r="E6721" s="92"/>
      <c r="F6721" s="92">
        <v>500000</v>
      </c>
      <c r="G6721" s="92">
        <f t="shared" si="110"/>
        <v>500000</v>
      </c>
      <c r="H6721" s="261" t="s">
        <v>4348</v>
      </c>
    </row>
    <row r="6722" spans="1:8" ht="15" customHeight="1" x14ac:dyDescent="0.2">
      <c r="A6722" s="599">
        <v>43473</v>
      </c>
      <c r="B6722" s="91" t="s">
        <v>1400</v>
      </c>
      <c r="C6722" s="94" t="s">
        <v>559</v>
      </c>
      <c r="D6722" s="801" t="s">
        <v>4378</v>
      </c>
      <c r="E6722" s="92"/>
      <c r="F6722" s="92">
        <v>239767</v>
      </c>
      <c r="G6722" s="92">
        <f t="shared" si="110"/>
        <v>239767</v>
      </c>
      <c r="H6722" s="261" t="s">
        <v>4348</v>
      </c>
    </row>
    <row r="6723" spans="1:8" ht="15" customHeight="1" x14ac:dyDescent="0.2">
      <c r="A6723" s="599">
        <v>43476</v>
      </c>
      <c r="B6723" s="91" t="s">
        <v>2657</v>
      </c>
      <c r="C6723" s="94" t="s">
        <v>559</v>
      </c>
      <c r="D6723" s="801" t="s">
        <v>4377</v>
      </c>
      <c r="E6723" s="92"/>
      <c r="F6723" s="92">
        <v>458400</v>
      </c>
      <c r="G6723" s="92">
        <f t="shared" si="110"/>
        <v>458400</v>
      </c>
      <c r="H6723" s="261" t="s">
        <v>4348</v>
      </c>
    </row>
    <row r="6724" spans="1:8" ht="24" customHeight="1" x14ac:dyDescent="0.2">
      <c r="A6724" s="599">
        <v>43476</v>
      </c>
      <c r="B6724" s="91" t="s">
        <v>2652</v>
      </c>
      <c r="C6724" s="94" t="s">
        <v>559</v>
      </c>
      <c r="D6724" s="798" t="s">
        <v>4515</v>
      </c>
      <c r="E6724" s="92"/>
      <c r="F6724" s="92">
        <v>950000</v>
      </c>
      <c r="G6724" s="92">
        <f t="shared" si="110"/>
        <v>950000</v>
      </c>
      <c r="H6724" s="261" t="s">
        <v>4348</v>
      </c>
    </row>
    <row r="6725" spans="1:8" ht="15" customHeight="1" x14ac:dyDescent="0.2">
      <c r="A6725" s="599">
        <v>43476</v>
      </c>
      <c r="B6725" s="91" t="s">
        <v>2652</v>
      </c>
      <c r="C6725" s="94" t="s">
        <v>559</v>
      </c>
      <c r="D6725" s="801" t="s">
        <v>4516</v>
      </c>
      <c r="E6725" s="92"/>
      <c r="F6725" s="92">
        <v>613000</v>
      </c>
      <c r="G6725" s="92">
        <f t="shared" si="110"/>
        <v>613000</v>
      </c>
      <c r="H6725" s="261" t="s">
        <v>4348</v>
      </c>
    </row>
    <row r="6726" spans="1:8" ht="15" customHeight="1" x14ac:dyDescent="0.2">
      <c r="A6726" s="599">
        <v>43476</v>
      </c>
      <c r="B6726" s="91" t="s">
        <v>2652</v>
      </c>
      <c r="C6726" s="94" t="s">
        <v>559</v>
      </c>
      <c r="D6726" s="801" t="s">
        <v>4516</v>
      </c>
      <c r="E6726" s="92"/>
      <c r="F6726" s="92">
        <v>612000</v>
      </c>
      <c r="G6726" s="92">
        <f t="shared" si="110"/>
        <v>612000</v>
      </c>
      <c r="H6726" s="261" t="s">
        <v>4348</v>
      </c>
    </row>
    <row r="6727" spans="1:8" ht="24" customHeight="1" x14ac:dyDescent="0.2">
      <c r="A6727" s="599">
        <v>43476</v>
      </c>
      <c r="B6727" s="91" t="s">
        <v>2652</v>
      </c>
      <c r="C6727" s="94" t="s">
        <v>559</v>
      </c>
      <c r="D6727" s="798" t="s">
        <v>4517</v>
      </c>
      <c r="E6727" s="92"/>
      <c r="F6727" s="92">
        <v>825000</v>
      </c>
      <c r="G6727" s="92">
        <f t="shared" si="110"/>
        <v>825000</v>
      </c>
      <c r="H6727" s="261" t="s">
        <v>4348</v>
      </c>
    </row>
    <row r="6728" spans="1:8" ht="15" customHeight="1" x14ac:dyDescent="0.2">
      <c r="A6728" s="599">
        <v>43476</v>
      </c>
      <c r="B6728" s="91" t="s">
        <v>3945</v>
      </c>
      <c r="C6728" s="94" t="s">
        <v>559</v>
      </c>
      <c r="D6728" s="801" t="s">
        <v>4471</v>
      </c>
      <c r="E6728" s="92"/>
      <c r="F6728" s="92">
        <v>305250</v>
      </c>
      <c r="G6728" s="92">
        <f t="shared" si="110"/>
        <v>305250</v>
      </c>
      <c r="H6728" s="261" t="s">
        <v>4348</v>
      </c>
    </row>
    <row r="6729" spans="1:8" ht="15" customHeight="1" x14ac:dyDescent="0.2">
      <c r="A6729" s="599">
        <v>43493</v>
      </c>
      <c r="B6729" s="91" t="s">
        <v>3946</v>
      </c>
      <c r="C6729" s="94" t="s">
        <v>559</v>
      </c>
      <c r="D6729" s="801" t="s">
        <v>4471</v>
      </c>
      <c r="E6729" s="92"/>
      <c r="F6729" s="92">
        <v>277500</v>
      </c>
      <c r="G6729" s="92">
        <f t="shared" si="110"/>
        <v>277500</v>
      </c>
      <c r="H6729" s="261" t="s">
        <v>4348</v>
      </c>
    </row>
    <row r="6730" spans="1:8" ht="24" customHeight="1" x14ac:dyDescent="0.2">
      <c r="A6730" s="599">
        <v>43493</v>
      </c>
      <c r="B6730" s="91" t="s">
        <v>2787</v>
      </c>
      <c r="C6730" s="94" t="s">
        <v>4472</v>
      </c>
      <c r="D6730" s="798" t="s">
        <v>4473</v>
      </c>
      <c r="E6730" s="92"/>
      <c r="F6730" s="92">
        <v>-500000</v>
      </c>
      <c r="G6730" s="92">
        <f t="shared" si="110"/>
        <v>-500000</v>
      </c>
      <c r="H6730" s="261" t="s">
        <v>4348</v>
      </c>
    </row>
    <row r="6731" spans="1:8" ht="24" customHeight="1" x14ac:dyDescent="0.2">
      <c r="A6731" s="599">
        <v>43493</v>
      </c>
      <c r="B6731" s="91" t="s">
        <v>2787</v>
      </c>
      <c r="C6731" s="94" t="s">
        <v>4472</v>
      </c>
      <c r="D6731" s="798" t="s">
        <v>4473</v>
      </c>
      <c r="E6731" s="92"/>
      <c r="F6731" s="92">
        <v>-500000</v>
      </c>
      <c r="G6731" s="92">
        <f t="shared" si="110"/>
        <v>-500000</v>
      </c>
      <c r="H6731" s="261" t="s">
        <v>4348</v>
      </c>
    </row>
    <row r="6732" spans="1:8" ht="24" customHeight="1" x14ac:dyDescent="0.2">
      <c r="A6732" s="599">
        <v>43493</v>
      </c>
      <c r="B6732" s="94" t="s">
        <v>2787</v>
      </c>
      <c r="C6732" s="94" t="s">
        <v>4472</v>
      </c>
      <c r="D6732" s="802" t="s">
        <v>4474</v>
      </c>
      <c r="E6732" s="176"/>
      <c r="F6732" s="176">
        <v>-200000</v>
      </c>
      <c r="G6732" s="176">
        <f t="shared" si="110"/>
        <v>-200000</v>
      </c>
      <c r="H6732" s="261" t="s">
        <v>4348</v>
      </c>
    </row>
    <row r="6733" spans="1:8" ht="24" customHeight="1" x14ac:dyDescent="0.2">
      <c r="A6733" s="599">
        <v>43493</v>
      </c>
      <c r="B6733" s="94" t="s">
        <v>2787</v>
      </c>
      <c r="C6733" s="94" t="s">
        <v>4472</v>
      </c>
      <c r="D6733" s="802" t="s">
        <v>4475</v>
      </c>
      <c r="E6733" s="176"/>
      <c r="F6733" s="176">
        <v>-300000</v>
      </c>
      <c r="G6733" s="176">
        <f t="shared" si="110"/>
        <v>-300000</v>
      </c>
      <c r="H6733" s="261" t="s">
        <v>4348</v>
      </c>
    </row>
    <row r="6734" spans="1:8" ht="15" customHeight="1" x14ac:dyDescent="0.2">
      <c r="A6734" s="597">
        <v>43497</v>
      </c>
      <c r="B6734" s="63" t="s">
        <v>2933</v>
      </c>
      <c r="C6734" s="63" t="s">
        <v>794</v>
      </c>
      <c r="D6734" s="183" t="s">
        <v>1836</v>
      </c>
      <c r="E6734" s="126">
        <v>25000</v>
      </c>
      <c r="F6734" s="126"/>
      <c r="G6734" s="126">
        <f t="shared" si="110"/>
        <v>-25000</v>
      </c>
      <c r="H6734" s="121" t="s">
        <v>4486</v>
      </c>
    </row>
    <row r="6735" spans="1:8" ht="15" customHeight="1" x14ac:dyDescent="0.2">
      <c r="A6735" s="597">
        <v>43497</v>
      </c>
      <c r="B6735" s="63" t="s">
        <v>2652</v>
      </c>
      <c r="C6735" s="63" t="s">
        <v>794</v>
      </c>
      <c r="D6735" s="183" t="s">
        <v>1836</v>
      </c>
      <c r="E6735" s="126">
        <v>25000</v>
      </c>
      <c r="F6735" s="126"/>
      <c r="G6735" s="126">
        <f t="shared" si="110"/>
        <v>-25000</v>
      </c>
      <c r="H6735" s="121" t="s">
        <v>4486</v>
      </c>
    </row>
    <row r="6736" spans="1:8" ht="15" customHeight="1" x14ac:dyDescent="0.2">
      <c r="A6736" s="597">
        <v>43497</v>
      </c>
      <c r="B6736" s="63" t="s">
        <v>2933</v>
      </c>
      <c r="C6736" s="63" t="s">
        <v>794</v>
      </c>
      <c r="D6736" s="183" t="s">
        <v>1837</v>
      </c>
      <c r="E6736" s="126">
        <v>25000</v>
      </c>
      <c r="F6736" s="126"/>
      <c r="G6736" s="126">
        <f t="shared" si="110"/>
        <v>-25000</v>
      </c>
      <c r="H6736" s="121" t="s">
        <v>4486</v>
      </c>
    </row>
    <row r="6737" spans="1:8" ht="15" customHeight="1" x14ac:dyDescent="0.2">
      <c r="A6737" s="597">
        <v>43497</v>
      </c>
      <c r="B6737" s="63" t="s">
        <v>2652</v>
      </c>
      <c r="C6737" s="63" t="s">
        <v>794</v>
      </c>
      <c r="D6737" s="183" t="s">
        <v>1837</v>
      </c>
      <c r="E6737" s="126">
        <v>25000</v>
      </c>
      <c r="F6737" s="126"/>
      <c r="G6737" s="126">
        <f t="shared" si="110"/>
        <v>-25000</v>
      </c>
      <c r="H6737" s="121" t="s">
        <v>4486</v>
      </c>
    </row>
    <row r="6738" spans="1:8" ht="15" customHeight="1" x14ac:dyDescent="0.2">
      <c r="A6738" s="597">
        <v>43497</v>
      </c>
      <c r="B6738" s="63" t="s">
        <v>25</v>
      </c>
      <c r="C6738" s="63" t="s">
        <v>794</v>
      </c>
      <c r="D6738" s="183" t="s">
        <v>1839</v>
      </c>
      <c r="E6738" s="126">
        <v>10000</v>
      </c>
      <c r="F6738" s="126"/>
      <c r="G6738" s="126">
        <f t="shared" si="110"/>
        <v>-10000</v>
      </c>
      <c r="H6738" s="121" t="s">
        <v>4486</v>
      </c>
    </row>
    <row r="6739" spans="1:8" ht="15" customHeight="1" x14ac:dyDescent="0.2">
      <c r="A6739" s="597">
        <v>43497</v>
      </c>
      <c r="B6739" s="63" t="s">
        <v>25</v>
      </c>
      <c r="C6739" s="63" t="s">
        <v>794</v>
      </c>
      <c r="D6739" s="183" t="s">
        <v>2183</v>
      </c>
      <c r="E6739" s="126">
        <v>20000</v>
      </c>
      <c r="F6739" s="126"/>
      <c r="G6739" s="126">
        <f t="shared" si="110"/>
        <v>-20000</v>
      </c>
      <c r="H6739" s="121" t="s">
        <v>4486</v>
      </c>
    </row>
    <row r="6740" spans="1:8" ht="15" customHeight="1" x14ac:dyDescent="0.2">
      <c r="A6740" s="597">
        <v>43497</v>
      </c>
      <c r="B6740" s="63" t="s">
        <v>25</v>
      </c>
      <c r="C6740" s="63" t="s">
        <v>794</v>
      </c>
      <c r="D6740" s="183" t="s">
        <v>1840</v>
      </c>
      <c r="E6740" s="126">
        <v>10000</v>
      </c>
      <c r="F6740" s="126"/>
      <c r="G6740" s="126">
        <f t="shared" si="110"/>
        <v>-10000</v>
      </c>
      <c r="H6740" s="121" t="s">
        <v>4486</v>
      </c>
    </row>
    <row r="6741" spans="1:8" ht="15" customHeight="1" x14ac:dyDescent="0.2">
      <c r="A6741" s="597">
        <v>43497</v>
      </c>
      <c r="B6741" s="63" t="s">
        <v>25</v>
      </c>
      <c r="C6741" s="63" t="s">
        <v>794</v>
      </c>
      <c r="D6741" s="183" t="s">
        <v>1547</v>
      </c>
      <c r="E6741" s="126">
        <v>10000</v>
      </c>
      <c r="F6741" s="126"/>
      <c r="G6741" s="126">
        <f t="shared" si="110"/>
        <v>-10000</v>
      </c>
      <c r="H6741" s="121" t="s">
        <v>4486</v>
      </c>
    </row>
    <row r="6742" spans="1:8" ht="15" customHeight="1" x14ac:dyDescent="0.2">
      <c r="A6742" s="597">
        <v>43497</v>
      </c>
      <c r="B6742" s="63" t="s">
        <v>16</v>
      </c>
      <c r="C6742" s="63" t="s">
        <v>794</v>
      </c>
      <c r="D6742" s="183" t="s">
        <v>1844</v>
      </c>
      <c r="E6742" s="126">
        <v>28000</v>
      </c>
      <c r="F6742" s="126"/>
      <c r="G6742" s="126">
        <f t="shared" si="110"/>
        <v>-28000</v>
      </c>
      <c r="H6742" s="121" t="s">
        <v>4486</v>
      </c>
    </row>
    <row r="6743" spans="1:8" ht="15" customHeight="1" x14ac:dyDescent="0.2">
      <c r="A6743" s="597">
        <v>43497</v>
      </c>
      <c r="B6743" s="63" t="s">
        <v>16</v>
      </c>
      <c r="C6743" s="63" t="s">
        <v>794</v>
      </c>
      <c r="D6743" s="183" t="s">
        <v>1842</v>
      </c>
      <c r="E6743" s="126">
        <v>30000</v>
      </c>
      <c r="F6743" s="126"/>
      <c r="G6743" s="126">
        <f t="shared" si="110"/>
        <v>-30000</v>
      </c>
      <c r="H6743" s="121" t="s">
        <v>4486</v>
      </c>
    </row>
    <row r="6744" spans="1:8" ht="15" customHeight="1" x14ac:dyDescent="0.2">
      <c r="A6744" s="597">
        <v>43497</v>
      </c>
      <c r="B6744" s="63" t="s">
        <v>16</v>
      </c>
      <c r="C6744" s="63" t="s">
        <v>794</v>
      </c>
      <c r="D6744" s="183" t="s">
        <v>3065</v>
      </c>
      <c r="E6744" s="126">
        <v>10774.193548387095</v>
      </c>
      <c r="F6744" s="126"/>
      <c r="G6744" s="126">
        <f t="shared" si="110"/>
        <v>-10774.193548387095</v>
      </c>
      <c r="H6744" s="121" t="s">
        <v>4486</v>
      </c>
    </row>
    <row r="6745" spans="1:8" ht="15" customHeight="1" x14ac:dyDescent="0.2">
      <c r="A6745" s="597">
        <v>43497</v>
      </c>
      <c r="B6745" s="63" t="s">
        <v>16</v>
      </c>
      <c r="C6745" s="63" t="s">
        <v>794</v>
      </c>
      <c r="D6745" s="183" t="s">
        <v>3230</v>
      </c>
      <c r="E6745" s="126">
        <v>13500</v>
      </c>
      <c r="F6745" s="126"/>
      <c r="G6745" s="126">
        <f t="shared" si="110"/>
        <v>-13500</v>
      </c>
      <c r="H6745" s="121" t="s">
        <v>4486</v>
      </c>
    </row>
    <row r="6746" spans="1:8" ht="15" customHeight="1" x14ac:dyDescent="0.2">
      <c r="A6746" s="597">
        <v>43497</v>
      </c>
      <c r="B6746" s="63" t="s">
        <v>3945</v>
      </c>
      <c r="C6746" s="63" t="s">
        <v>794</v>
      </c>
      <c r="D6746" s="183" t="s">
        <v>2282</v>
      </c>
      <c r="E6746" s="126">
        <v>44880.443548387098</v>
      </c>
      <c r="F6746" s="126"/>
      <c r="G6746" s="126">
        <f t="shared" si="110"/>
        <v>-44880.443548387098</v>
      </c>
      <c r="H6746" s="121" t="s">
        <v>4486</v>
      </c>
    </row>
    <row r="6747" spans="1:8" ht="15" customHeight="1" x14ac:dyDescent="0.2">
      <c r="A6747" s="597">
        <v>43497</v>
      </c>
      <c r="B6747" s="63" t="s">
        <v>3945</v>
      </c>
      <c r="C6747" s="63" t="s">
        <v>794</v>
      </c>
      <c r="D6747" s="183" t="s">
        <v>2758</v>
      </c>
      <c r="E6747" s="126">
        <v>21120.443548387098</v>
      </c>
      <c r="F6747" s="126"/>
      <c r="G6747" s="126">
        <f t="shared" si="110"/>
        <v>-21120.443548387098</v>
      </c>
      <c r="H6747" s="121" t="s">
        <v>4486</v>
      </c>
    </row>
    <row r="6748" spans="1:8" ht="15" customHeight="1" x14ac:dyDescent="0.2">
      <c r="A6748" s="597">
        <v>43497</v>
      </c>
      <c r="B6748" s="63" t="s">
        <v>3945</v>
      </c>
      <c r="C6748" s="63" t="s">
        <v>794</v>
      </c>
      <c r="D6748" s="183" t="s">
        <v>3236</v>
      </c>
      <c r="E6748" s="126">
        <v>18049.596774193549</v>
      </c>
      <c r="F6748" s="126"/>
      <c r="G6748" s="126">
        <f t="shared" si="110"/>
        <v>-18049.596774193549</v>
      </c>
      <c r="H6748" s="121" t="s">
        <v>4486</v>
      </c>
    </row>
    <row r="6749" spans="1:8" ht="15" customHeight="1" x14ac:dyDescent="0.2">
      <c r="A6749" s="597">
        <v>43497</v>
      </c>
      <c r="B6749" s="63" t="s">
        <v>3945</v>
      </c>
      <c r="C6749" s="63" t="s">
        <v>794</v>
      </c>
      <c r="D6749" s="183" t="s">
        <v>4005</v>
      </c>
      <c r="E6749" s="126">
        <v>18600</v>
      </c>
      <c r="F6749" s="126"/>
      <c r="G6749" s="126">
        <f t="shared" si="110"/>
        <v>-18600</v>
      </c>
      <c r="H6749" s="121" t="s">
        <v>4486</v>
      </c>
    </row>
    <row r="6750" spans="1:8" ht="15" customHeight="1" x14ac:dyDescent="0.2">
      <c r="A6750" s="597">
        <v>43497</v>
      </c>
      <c r="B6750" s="63" t="s">
        <v>3945</v>
      </c>
      <c r="C6750" s="63" t="s">
        <v>794</v>
      </c>
      <c r="D6750" s="183" t="s">
        <v>3841</v>
      </c>
      <c r="E6750" s="126">
        <v>26250</v>
      </c>
      <c r="F6750" s="126"/>
      <c r="G6750" s="126">
        <f t="shared" si="110"/>
        <v>-26250</v>
      </c>
      <c r="H6750" s="121" t="s">
        <v>4486</v>
      </c>
    </row>
    <row r="6751" spans="1:8" ht="15" customHeight="1" x14ac:dyDescent="0.2">
      <c r="A6751" s="597">
        <v>43497</v>
      </c>
      <c r="B6751" s="63" t="s">
        <v>3945</v>
      </c>
      <c r="C6751" s="63" t="s">
        <v>794</v>
      </c>
      <c r="D6751" s="183" t="s">
        <v>4075</v>
      </c>
      <c r="E6751" s="126">
        <v>18084.677419354837</v>
      </c>
      <c r="F6751" s="126"/>
      <c r="G6751" s="126">
        <f t="shared" si="110"/>
        <v>-18084.677419354837</v>
      </c>
      <c r="H6751" s="121" t="s">
        <v>4486</v>
      </c>
    </row>
    <row r="6752" spans="1:8" ht="15" customHeight="1" x14ac:dyDescent="0.2">
      <c r="A6752" s="597">
        <v>43497</v>
      </c>
      <c r="B6752" s="63" t="s">
        <v>3945</v>
      </c>
      <c r="C6752" s="63" t="s">
        <v>794</v>
      </c>
      <c r="D6752" s="183" t="s">
        <v>4076</v>
      </c>
      <c r="E6752" s="126">
        <v>22280.080645161288</v>
      </c>
      <c r="F6752" s="126"/>
      <c r="G6752" s="126">
        <f t="shared" si="110"/>
        <v>-22280.080645161288</v>
      </c>
      <c r="H6752" s="121" t="s">
        <v>4486</v>
      </c>
    </row>
    <row r="6753" spans="1:8" ht="15" customHeight="1" x14ac:dyDescent="0.2">
      <c r="A6753" s="597">
        <v>43497</v>
      </c>
      <c r="B6753" s="63" t="s">
        <v>3946</v>
      </c>
      <c r="C6753" s="63" t="s">
        <v>794</v>
      </c>
      <c r="D6753" s="183" t="s">
        <v>4077</v>
      </c>
      <c r="E6753" s="126">
        <v>35969.758064516129</v>
      </c>
      <c r="F6753" s="126"/>
      <c r="G6753" s="126">
        <f t="shared" si="110"/>
        <v>-35969.758064516129</v>
      </c>
      <c r="H6753" s="121" t="s">
        <v>4486</v>
      </c>
    </row>
    <row r="6754" spans="1:8" ht="15" customHeight="1" x14ac:dyDescent="0.2">
      <c r="A6754" s="597">
        <v>43497</v>
      </c>
      <c r="B6754" s="63" t="s">
        <v>3946</v>
      </c>
      <c r="C6754" s="63" t="s">
        <v>794</v>
      </c>
      <c r="D6754" s="183" t="s">
        <v>4555</v>
      </c>
      <c r="E6754" s="126">
        <v>24661.290322580644</v>
      </c>
      <c r="F6754" s="126"/>
      <c r="G6754" s="126">
        <f t="shared" si="110"/>
        <v>-24661.290322580644</v>
      </c>
      <c r="H6754" s="121" t="s">
        <v>4486</v>
      </c>
    </row>
    <row r="6755" spans="1:8" ht="15" customHeight="1" x14ac:dyDescent="0.2">
      <c r="A6755" s="597">
        <v>43497</v>
      </c>
      <c r="B6755" s="63" t="s">
        <v>3946</v>
      </c>
      <c r="C6755" s="63" t="s">
        <v>794</v>
      </c>
      <c r="D6755" s="183" t="s">
        <v>4192</v>
      </c>
      <c r="E6755" s="126">
        <v>25370.967741935481</v>
      </c>
      <c r="F6755" s="126"/>
      <c r="G6755" s="126">
        <f t="shared" si="110"/>
        <v>-25370.967741935481</v>
      </c>
      <c r="H6755" s="121" t="s">
        <v>4486</v>
      </c>
    </row>
    <row r="6756" spans="1:8" ht="15" customHeight="1" x14ac:dyDescent="0.2">
      <c r="A6756" s="597">
        <v>43497</v>
      </c>
      <c r="B6756" s="63" t="s">
        <v>3946</v>
      </c>
      <c r="C6756" s="63" t="s">
        <v>794</v>
      </c>
      <c r="D6756" s="183" t="s">
        <v>4556</v>
      </c>
      <c r="E6756" s="126">
        <v>16260</v>
      </c>
      <c r="F6756" s="126"/>
      <c r="G6756" s="126">
        <f t="shared" si="110"/>
        <v>-16260</v>
      </c>
      <c r="H6756" s="121" t="s">
        <v>4486</v>
      </c>
    </row>
    <row r="6757" spans="1:8" ht="15" customHeight="1" x14ac:dyDescent="0.2">
      <c r="A6757" s="597">
        <v>43497</v>
      </c>
      <c r="B6757" s="63" t="s">
        <v>3946</v>
      </c>
      <c r="C6757" s="63" t="s">
        <v>794</v>
      </c>
      <c r="D6757" s="183" t="s">
        <v>4559</v>
      </c>
      <c r="E6757" s="126">
        <v>16903.225806451614</v>
      </c>
      <c r="F6757" s="126"/>
      <c r="G6757" s="126">
        <f t="shared" si="110"/>
        <v>-16903.225806451614</v>
      </c>
      <c r="H6757" s="121" t="s">
        <v>4486</v>
      </c>
    </row>
    <row r="6758" spans="1:8" ht="15" customHeight="1" x14ac:dyDescent="0.2">
      <c r="A6758" s="597">
        <v>43497</v>
      </c>
      <c r="B6758" s="63" t="s">
        <v>3946</v>
      </c>
      <c r="C6758" s="63" t="s">
        <v>794</v>
      </c>
      <c r="D6758" s="183" t="s">
        <v>4557</v>
      </c>
      <c r="E6758" s="126">
        <v>17419.354838709678</v>
      </c>
      <c r="F6758" s="126"/>
      <c r="G6758" s="126">
        <f t="shared" si="110"/>
        <v>-17419.354838709678</v>
      </c>
      <c r="H6758" s="121" t="s">
        <v>4486</v>
      </c>
    </row>
    <row r="6759" spans="1:8" ht="15" customHeight="1" x14ac:dyDescent="0.2">
      <c r="A6759" s="597">
        <v>43497</v>
      </c>
      <c r="B6759" s="63" t="s">
        <v>3946</v>
      </c>
      <c r="C6759" s="63" t="s">
        <v>794</v>
      </c>
      <c r="D6759" s="183" t="s">
        <v>1565</v>
      </c>
      <c r="E6759" s="126">
        <v>28400.080645161288</v>
      </c>
      <c r="F6759" s="126"/>
      <c r="G6759" s="126">
        <f t="shared" si="110"/>
        <v>-28400.080645161288</v>
      </c>
      <c r="H6759" s="121" t="s">
        <v>4486</v>
      </c>
    </row>
    <row r="6760" spans="1:8" ht="15" customHeight="1" x14ac:dyDescent="0.2">
      <c r="A6760" s="597">
        <v>43497</v>
      </c>
      <c r="B6760" s="63" t="s">
        <v>3946</v>
      </c>
      <c r="C6760" s="63" t="s">
        <v>794</v>
      </c>
      <c r="D6760" s="183" t="s">
        <v>4325</v>
      </c>
      <c r="E6760" s="126">
        <v>17420</v>
      </c>
      <c r="F6760" s="126"/>
      <c r="G6760" s="126">
        <f t="shared" si="110"/>
        <v>-17420</v>
      </c>
      <c r="H6760" s="121" t="s">
        <v>4486</v>
      </c>
    </row>
    <row r="6761" spans="1:8" ht="15" customHeight="1" x14ac:dyDescent="0.2">
      <c r="A6761" s="597">
        <v>43497</v>
      </c>
      <c r="B6761" s="63" t="s">
        <v>1400</v>
      </c>
      <c r="C6761" s="63" t="s">
        <v>794</v>
      </c>
      <c r="D6761" s="183" t="s">
        <v>1858</v>
      </c>
      <c r="E6761" s="126">
        <v>40427.419354838712</v>
      </c>
      <c r="F6761" s="126"/>
      <c r="G6761" s="126">
        <f t="shared" si="110"/>
        <v>-40427.419354838712</v>
      </c>
      <c r="H6761" s="121" t="s">
        <v>4486</v>
      </c>
    </row>
    <row r="6762" spans="1:8" ht="15" customHeight="1" x14ac:dyDescent="0.2">
      <c r="A6762" s="597">
        <v>43497</v>
      </c>
      <c r="B6762" s="63" t="s">
        <v>1400</v>
      </c>
      <c r="C6762" s="63" t="s">
        <v>794</v>
      </c>
      <c r="D6762" s="183" t="s">
        <v>1684</v>
      </c>
      <c r="E6762" s="126">
        <v>5000</v>
      </c>
      <c r="F6762" s="126"/>
      <c r="G6762" s="126">
        <f t="shared" si="110"/>
        <v>-5000</v>
      </c>
      <c r="H6762" s="121" t="s">
        <v>4486</v>
      </c>
    </row>
    <row r="6763" spans="1:8" ht="15" customHeight="1" x14ac:dyDescent="0.2">
      <c r="A6763" s="597">
        <v>43497</v>
      </c>
      <c r="B6763" s="63" t="s">
        <v>1400</v>
      </c>
      <c r="C6763" s="63" t="s">
        <v>794</v>
      </c>
      <c r="D6763" s="183" t="s">
        <v>2482</v>
      </c>
      <c r="E6763" s="126">
        <v>21887.096774193549</v>
      </c>
      <c r="F6763" s="126"/>
      <c r="G6763" s="126">
        <f t="shared" si="110"/>
        <v>-21887.096774193549</v>
      </c>
      <c r="H6763" s="121" t="s">
        <v>4486</v>
      </c>
    </row>
    <row r="6764" spans="1:8" ht="15" customHeight="1" x14ac:dyDescent="0.2">
      <c r="A6764" s="597">
        <v>43497</v>
      </c>
      <c r="B6764" s="63" t="s">
        <v>1400</v>
      </c>
      <c r="C6764" s="63" t="s">
        <v>794</v>
      </c>
      <c r="D6764" s="183" t="s">
        <v>1550</v>
      </c>
      <c r="E6764" s="126">
        <v>20669.354838709678</v>
      </c>
      <c r="F6764" s="126"/>
      <c r="G6764" s="126">
        <f t="shared" si="110"/>
        <v>-20669.354838709678</v>
      </c>
      <c r="H6764" s="121" t="s">
        <v>4486</v>
      </c>
    </row>
    <row r="6765" spans="1:8" ht="15" customHeight="1" x14ac:dyDescent="0.2">
      <c r="A6765" s="597">
        <v>43497</v>
      </c>
      <c r="B6765" s="63" t="s">
        <v>1400</v>
      </c>
      <c r="C6765" s="63" t="s">
        <v>794</v>
      </c>
      <c r="D6765" s="183" t="s">
        <v>1871</v>
      </c>
      <c r="E6765" s="126">
        <v>37000</v>
      </c>
      <c r="F6765" s="126"/>
      <c r="G6765" s="126">
        <f t="shared" si="110"/>
        <v>-37000</v>
      </c>
      <c r="H6765" s="121" t="s">
        <v>4486</v>
      </c>
    </row>
    <row r="6766" spans="1:8" ht="15" customHeight="1" x14ac:dyDescent="0.2">
      <c r="A6766" s="597">
        <v>43497</v>
      </c>
      <c r="B6766" s="63" t="s">
        <v>1400</v>
      </c>
      <c r="C6766" s="63" t="s">
        <v>794</v>
      </c>
      <c r="D6766" s="183" t="s">
        <v>3231</v>
      </c>
      <c r="E6766" s="126">
        <v>33387.096774193546</v>
      </c>
      <c r="F6766" s="126"/>
      <c r="G6766" s="126">
        <f t="shared" si="110"/>
        <v>-33387.096774193546</v>
      </c>
      <c r="H6766" s="121" t="s">
        <v>4486</v>
      </c>
    </row>
    <row r="6767" spans="1:8" ht="15" customHeight="1" x14ac:dyDescent="0.2">
      <c r="A6767" s="597">
        <v>43497</v>
      </c>
      <c r="B6767" s="63" t="s">
        <v>1400</v>
      </c>
      <c r="C6767" s="63" t="s">
        <v>794</v>
      </c>
      <c r="D6767" s="183" t="s">
        <v>3491</v>
      </c>
      <c r="E6767" s="126">
        <v>16580.645161290322</v>
      </c>
      <c r="F6767" s="126"/>
      <c r="G6767" s="126">
        <f t="shared" si="110"/>
        <v>-16580.645161290322</v>
      </c>
      <c r="H6767" s="121" t="s">
        <v>4486</v>
      </c>
    </row>
    <row r="6768" spans="1:8" ht="15" customHeight="1" x14ac:dyDescent="0.2">
      <c r="A6768" s="597">
        <v>43497</v>
      </c>
      <c r="B6768" s="63" t="s">
        <v>1400</v>
      </c>
      <c r="C6768" s="63" t="s">
        <v>794</v>
      </c>
      <c r="D6768" s="183" t="s">
        <v>1542</v>
      </c>
      <c r="E6768" s="126">
        <v>12677.419354838712</v>
      </c>
      <c r="F6768" s="126"/>
      <c r="G6768" s="126">
        <f t="shared" si="110"/>
        <v>-12677.419354838712</v>
      </c>
      <c r="H6768" s="121" t="s">
        <v>4486</v>
      </c>
    </row>
    <row r="6769" spans="1:8" ht="15" customHeight="1" x14ac:dyDescent="0.2">
      <c r="A6769" s="597">
        <v>43497</v>
      </c>
      <c r="B6769" s="63" t="s">
        <v>1400</v>
      </c>
      <c r="C6769" s="63" t="s">
        <v>794</v>
      </c>
      <c r="D6769" s="183" t="s">
        <v>1850</v>
      </c>
      <c r="E6769" s="126">
        <v>4840</v>
      </c>
      <c r="F6769" s="126"/>
      <c r="G6769" s="126">
        <f t="shared" si="110"/>
        <v>-4840</v>
      </c>
      <c r="H6769" s="121" t="s">
        <v>4486</v>
      </c>
    </row>
    <row r="6770" spans="1:8" ht="15" customHeight="1" x14ac:dyDescent="0.2">
      <c r="A6770" s="597">
        <v>43497</v>
      </c>
      <c r="B6770" s="63" t="s">
        <v>1400</v>
      </c>
      <c r="C6770" s="63" t="s">
        <v>794</v>
      </c>
      <c r="D6770" s="183" t="s">
        <v>3492</v>
      </c>
      <c r="E6770" s="126">
        <v>8661.2903225806458</v>
      </c>
      <c r="F6770" s="126"/>
      <c r="G6770" s="126">
        <f t="shared" si="110"/>
        <v>-8661.2903225806458</v>
      </c>
      <c r="H6770" s="121" t="s">
        <v>4486</v>
      </c>
    </row>
    <row r="6771" spans="1:8" ht="15" customHeight="1" x14ac:dyDescent="0.2">
      <c r="A6771" s="597">
        <v>43497</v>
      </c>
      <c r="B6771" s="63" t="s">
        <v>1400</v>
      </c>
      <c r="C6771" s="63" t="s">
        <v>794</v>
      </c>
      <c r="D6771" s="183" t="s">
        <v>3068</v>
      </c>
      <c r="E6771" s="126">
        <v>8451.6129032258068</v>
      </c>
      <c r="F6771" s="126"/>
      <c r="G6771" s="126">
        <f t="shared" si="110"/>
        <v>-8451.6129032258068</v>
      </c>
      <c r="H6771" s="121" t="s">
        <v>4486</v>
      </c>
    </row>
    <row r="6772" spans="1:8" ht="15" customHeight="1" x14ac:dyDescent="0.2">
      <c r="A6772" s="597">
        <v>43497</v>
      </c>
      <c r="B6772" s="63" t="s">
        <v>1400</v>
      </c>
      <c r="C6772" s="63" t="s">
        <v>794</v>
      </c>
      <c r="D6772" s="183" t="s">
        <v>4006</v>
      </c>
      <c r="E6772" s="126">
        <v>4854.8387096774186</v>
      </c>
      <c r="F6772" s="126"/>
      <c r="G6772" s="126">
        <f t="shared" si="110"/>
        <v>-4854.8387096774186</v>
      </c>
      <c r="H6772" s="121" t="s">
        <v>4486</v>
      </c>
    </row>
    <row r="6773" spans="1:8" ht="15" customHeight="1" x14ac:dyDescent="0.2">
      <c r="A6773" s="597">
        <v>43497</v>
      </c>
      <c r="B6773" s="63" t="s">
        <v>1400</v>
      </c>
      <c r="C6773" s="63" t="s">
        <v>794</v>
      </c>
      <c r="D6773" s="183" t="s">
        <v>2927</v>
      </c>
      <c r="E6773" s="126">
        <v>7483.8709677419356</v>
      </c>
      <c r="F6773" s="126"/>
      <c r="G6773" s="126">
        <f t="shared" ref="G6773:G6836" si="111">F6773-E6773</f>
        <v>-7483.8709677419356</v>
      </c>
      <c r="H6773" s="121" t="s">
        <v>4486</v>
      </c>
    </row>
    <row r="6774" spans="1:8" ht="15" x14ac:dyDescent="0.2">
      <c r="A6774" s="597">
        <v>43497</v>
      </c>
      <c r="B6774" s="63" t="s">
        <v>1400</v>
      </c>
      <c r="C6774" s="63" t="s">
        <v>794</v>
      </c>
      <c r="D6774" s="183" t="s">
        <v>2761</v>
      </c>
      <c r="E6774" s="126">
        <v>5875</v>
      </c>
      <c r="F6774" s="126"/>
      <c r="G6774" s="126">
        <f t="shared" si="111"/>
        <v>-5875</v>
      </c>
      <c r="H6774" s="121" t="s">
        <v>4486</v>
      </c>
    </row>
    <row r="6775" spans="1:8" ht="15" x14ac:dyDescent="0.2">
      <c r="A6775" s="597">
        <v>43497</v>
      </c>
      <c r="B6775" s="63" t="s">
        <v>1400</v>
      </c>
      <c r="C6775" s="63" t="s">
        <v>794</v>
      </c>
      <c r="D6775" s="183" t="s">
        <v>2481</v>
      </c>
      <c r="E6775" s="126">
        <v>9790.322580645161</v>
      </c>
      <c r="F6775" s="126"/>
      <c r="G6775" s="126">
        <f t="shared" si="111"/>
        <v>-9790.322580645161</v>
      </c>
      <c r="H6775" s="121" t="s">
        <v>4486</v>
      </c>
    </row>
    <row r="6776" spans="1:8" ht="15" x14ac:dyDescent="0.2">
      <c r="A6776" s="597">
        <v>43497</v>
      </c>
      <c r="B6776" s="41" t="s">
        <v>6516</v>
      </c>
      <c r="C6776" s="63" t="s">
        <v>794</v>
      </c>
      <c r="D6776" s="183" t="s">
        <v>1855</v>
      </c>
      <c r="E6776" s="126">
        <v>24339.717741935485</v>
      </c>
      <c r="F6776" s="126"/>
      <c r="G6776" s="126">
        <f t="shared" si="111"/>
        <v>-24339.717741935485</v>
      </c>
      <c r="H6776" s="121" t="s">
        <v>4486</v>
      </c>
    </row>
    <row r="6777" spans="1:8" ht="15" x14ac:dyDescent="0.2">
      <c r="A6777" s="597">
        <v>43497</v>
      </c>
      <c r="B6777" s="41" t="s">
        <v>6516</v>
      </c>
      <c r="C6777" s="63" t="s">
        <v>794</v>
      </c>
      <c r="D6777" s="183" t="s">
        <v>1861</v>
      </c>
      <c r="E6777" s="126">
        <v>24931.451612903227</v>
      </c>
      <c r="F6777" s="126"/>
      <c r="G6777" s="126">
        <f t="shared" si="111"/>
        <v>-24931.451612903227</v>
      </c>
      <c r="H6777" s="121" t="s">
        <v>4486</v>
      </c>
    </row>
    <row r="6778" spans="1:8" ht="15" x14ac:dyDescent="0.2">
      <c r="A6778" s="597">
        <v>43497</v>
      </c>
      <c r="B6778" s="41" t="s">
        <v>6516</v>
      </c>
      <c r="C6778" s="63" t="s">
        <v>794</v>
      </c>
      <c r="D6778" s="183" t="s">
        <v>1849</v>
      </c>
      <c r="E6778" s="126">
        <v>18209.677419354841</v>
      </c>
      <c r="F6778" s="126"/>
      <c r="G6778" s="126">
        <f t="shared" si="111"/>
        <v>-18209.677419354841</v>
      </c>
      <c r="H6778" s="121" t="s">
        <v>4486</v>
      </c>
    </row>
    <row r="6779" spans="1:8" ht="15" x14ac:dyDescent="0.2">
      <c r="A6779" s="597">
        <v>43497</v>
      </c>
      <c r="B6779" s="41" t="s">
        <v>6516</v>
      </c>
      <c r="C6779" s="63" t="s">
        <v>794</v>
      </c>
      <c r="D6779" s="183" t="s">
        <v>3615</v>
      </c>
      <c r="E6779" s="126">
        <v>14921.774193548386</v>
      </c>
      <c r="F6779" s="126"/>
      <c r="G6779" s="126">
        <f t="shared" si="111"/>
        <v>-14921.774193548386</v>
      </c>
      <c r="H6779" s="121" t="s">
        <v>4486</v>
      </c>
    </row>
    <row r="6780" spans="1:8" ht="15" x14ac:dyDescent="0.2">
      <c r="A6780" s="597">
        <v>43497</v>
      </c>
      <c r="B6780" s="41" t="s">
        <v>6516</v>
      </c>
      <c r="C6780" s="63" t="s">
        <v>794</v>
      </c>
      <c r="D6780" s="183" t="s">
        <v>4196</v>
      </c>
      <c r="E6780" s="126">
        <v>11799.596774193549</v>
      </c>
      <c r="F6780" s="126"/>
      <c r="G6780" s="126">
        <f t="shared" si="111"/>
        <v>-11799.596774193549</v>
      </c>
      <c r="H6780" s="121" t="s">
        <v>4486</v>
      </c>
    </row>
    <row r="6781" spans="1:8" ht="15" x14ac:dyDescent="0.2">
      <c r="A6781" s="597">
        <v>43497</v>
      </c>
      <c r="B6781" s="41" t="s">
        <v>6516</v>
      </c>
      <c r="C6781" s="63" t="s">
        <v>794</v>
      </c>
      <c r="D6781" s="183" t="s">
        <v>4007</v>
      </c>
      <c r="E6781" s="126">
        <v>11169.758064516129</v>
      </c>
      <c r="F6781" s="126"/>
      <c r="G6781" s="126">
        <f t="shared" si="111"/>
        <v>-11169.758064516129</v>
      </c>
      <c r="H6781" s="121" t="s">
        <v>4486</v>
      </c>
    </row>
    <row r="6782" spans="1:8" ht="15" x14ac:dyDescent="0.2">
      <c r="A6782" s="597">
        <v>43497</v>
      </c>
      <c r="B6782" s="63" t="s">
        <v>37</v>
      </c>
      <c r="C6782" s="63" t="s">
        <v>794</v>
      </c>
      <c r="D6782" s="183" t="s">
        <v>1866</v>
      </c>
      <c r="E6782" s="126">
        <v>17709.677419354837</v>
      </c>
      <c r="F6782" s="126"/>
      <c r="G6782" s="126">
        <f t="shared" si="111"/>
        <v>-17709.677419354837</v>
      </c>
      <c r="H6782" s="121" t="s">
        <v>4486</v>
      </c>
    </row>
    <row r="6783" spans="1:8" ht="15" x14ac:dyDescent="0.2">
      <c r="A6783" s="597">
        <v>43497</v>
      </c>
      <c r="B6783" s="63" t="s">
        <v>37</v>
      </c>
      <c r="C6783" s="63" t="s">
        <v>794</v>
      </c>
      <c r="D6783" s="183" t="s">
        <v>1867</v>
      </c>
      <c r="E6783" s="126">
        <v>16550.403225806451</v>
      </c>
      <c r="F6783" s="126"/>
      <c r="G6783" s="126">
        <f t="shared" si="111"/>
        <v>-16550.403225806451</v>
      </c>
      <c r="H6783" s="121" t="s">
        <v>4486</v>
      </c>
    </row>
    <row r="6784" spans="1:8" ht="15" x14ac:dyDescent="0.2">
      <c r="A6784" s="597">
        <v>43497</v>
      </c>
      <c r="B6784" s="63" t="s">
        <v>37</v>
      </c>
      <c r="C6784" s="63" t="s">
        <v>794</v>
      </c>
      <c r="D6784" s="183" t="s">
        <v>1868</v>
      </c>
      <c r="E6784" s="126">
        <v>20849.798387096773</v>
      </c>
      <c r="F6784" s="126"/>
      <c r="G6784" s="126">
        <f t="shared" si="111"/>
        <v>-20849.798387096773</v>
      </c>
      <c r="H6784" s="121" t="s">
        <v>4486</v>
      </c>
    </row>
    <row r="6785" spans="1:8" ht="15" x14ac:dyDescent="0.2">
      <c r="A6785" s="597">
        <v>43497</v>
      </c>
      <c r="B6785" s="63" t="s">
        <v>37</v>
      </c>
      <c r="C6785" s="63" t="s">
        <v>794</v>
      </c>
      <c r="D6785" s="183" t="s">
        <v>4560</v>
      </c>
      <c r="E6785" s="126">
        <v>4790.3225806451619</v>
      </c>
      <c r="F6785" s="126"/>
      <c r="G6785" s="126">
        <f t="shared" si="111"/>
        <v>-4790.3225806451619</v>
      </c>
      <c r="H6785" s="121" t="s">
        <v>4486</v>
      </c>
    </row>
    <row r="6786" spans="1:8" ht="15" x14ac:dyDescent="0.2">
      <c r="A6786" s="597">
        <v>43497</v>
      </c>
      <c r="B6786" s="63" t="s">
        <v>37</v>
      </c>
      <c r="C6786" s="63" t="s">
        <v>794</v>
      </c>
      <c r="D6786" s="183" t="s">
        <v>4561</v>
      </c>
      <c r="E6786" s="126">
        <v>15420</v>
      </c>
      <c r="F6786" s="126"/>
      <c r="G6786" s="126">
        <f t="shared" si="111"/>
        <v>-15420</v>
      </c>
      <c r="H6786" s="121" t="s">
        <v>4486</v>
      </c>
    </row>
    <row r="6787" spans="1:8" ht="15" x14ac:dyDescent="0.2">
      <c r="A6787" s="597">
        <v>43497</v>
      </c>
      <c r="B6787" s="63" t="s">
        <v>37</v>
      </c>
      <c r="C6787" s="63" t="s">
        <v>794</v>
      </c>
      <c r="D6787" s="183" t="s">
        <v>4083</v>
      </c>
      <c r="E6787" s="126">
        <v>2096.7741935483873</v>
      </c>
      <c r="F6787" s="126"/>
      <c r="G6787" s="126">
        <f t="shared" si="111"/>
        <v>-2096.7741935483873</v>
      </c>
      <c r="H6787" s="121" t="s">
        <v>4486</v>
      </c>
    </row>
    <row r="6788" spans="1:8" ht="15" x14ac:dyDescent="0.2">
      <c r="A6788" s="597">
        <v>43497</v>
      </c>
      <c r="B6788" s="63" t="s">
        <v>37</v>
      </c>
      <c r="C6788" s="63" t="s">
        <v>794</v>
      </c>
      <c r="D6788" s="183" t="s">
        <v>3830</v>
      </c>
      <c r="E6788" s="126">
        <v>2806.4516129032263</v>
      </c>
      <c r="F6788" s="126"/>
      <c r="G6788" s="126">
        <f t="shared" si="111"/>
        <v>-2806.4516129032263</v>
      </c>
      <c r="H6788" s="121" t="s">
        <v>4486</v>
      </c>
    </row>
    <row r="6789" spans="1:8" ht="15" x14ac:dyDescent="0.2">
      <c r="A6789" s="597">
        <v>43497</v>
      </c>
      <c r="B6789" s="63" t="s">
        <v>37</v>
      </c>
      <c r="C6789" s="63" t="s">
        <v>794</v>
      </c>
      <c r="D6789" s="183" t="s">
        <v>1240</v>
      </c>
      <c r="E6789" s="126">
        <v>28769.677419354841</v>
      </c>
      <c r="F6789" s="126"/>
      <c r="G6789" s="126">
        <f t="shared" si="111"/>
        <v>-28769.677419354841</v>
      </c>
      <c r="H6789" s="121" t="s">
        <v>4486</v>
      </c>
    </row>
    <row r="6790" spans="1:8" ht="15" x14ac:dyDescent="0.2">
      <c r="A6790" s="597">
        <v>43497</v>
      </c>
      <c r="B6790" s="63" t="s">
        <v>2933</v>
      </c>
      <c r="C6790" s="63" t="s">
        <v>794</v>
      </c>
      <c r="D6790" s="183" t="s">
        <v>1864</v>
      </c>
      <c r="E6790" s="126">
        <v>47435.483870967742</v>
      </c>
      <c r="F6790" s="126"/>
      <c r="G6790" s="126">
        <f t="shared" si="111"/>
        <v>-47435.483870967742</v>
      </c>
      <c r="H6790" s="121" t="s">
        <v>4486</v>
      </c>
    </row>
    <row r="6791" spans="1:8" ht="15" x14ac:dyDescent="0.2">
      <c r="A6791" s="597">
        <v>43497</v>
      </c>
      <c r="B6791" s="63" t="s">
        <v>2933</v>
      </c>
      <c r="C6791" s="63" t="s">
        <v>794</v>
      </c>
      <c r="D6791" s="183" t="s">
        <v>1845</v>
      </c>
      <c r="E6791" s="126">
        <v>23719.516129032258</v>
      </c>
      <c r="F6791" s="126"/>
      <c r="G6791" s="126">
        <f t="shared" si="111"/>
        <v>-23719.516129032258</v>
      </c>
      <c r="H6791" s="121" t="s">
        <v>4486</v>
      </c>
    </row>
    <row r="6792" spans="1:8" ht="15" x14ac:dyDescent="0.2">
      <c r="A6792" s="597">
        <v>43497</v>
      </c>
      <c r="B6792" s="63" t="s">
        <v>2933</v>
      </c>
      <c r="C6792" s="63" t="s">
        <v>794</v>
      </c>
      <c r="D6792" s="183" t="s">
        <v>668</v>
      </c>
      <c r="E6792" s="126">
        <v>18950.16129032258</v>
      </c>
      <c r="F6792" s="126"/>
      <c r="G6792" s="126">
        <f t="shared" si="111"/>
        <v>-18950.16129032258</v>
      </c>
      <c r="H6792" s="121" t="s">
        <v>4486</v>
      </c>
    </row>
    <row r="6793" spans="1:8" ht="15" x14ac:dyDescent="0.2">
      <c r="A6793" s="597">
        <v>43497</v>
      </c>
      <c r="B6793" s="63" t="s">
        <v>2933</v>
      </c>
      <c r="C6793" s="63" t="s">
        <v>794</v>
      </c>
      <c r="D6793" s="183" t="s">
        <v>1852</v>
      </c>
      <c r="E6793" s="126">
        <v>35685.483870967742</v>
      </c>
      <c r="F6793" s="126"/>
      <c r="G6793" s="126">
        <f t="shared" si="111"/>
        <v>-35685.483870967742</v>
      </c>
      <c r="H6793" s="121" t="s">
        <v>4486</v>
      </c>
    </row>
    <row r="6794" spans="1:8" ht="15" x14ac:dyDescent="0.2">
      <c r="A6794" s="597">
        <v>43497</v>
      </c>
      <c r="B6794" s="63" t="s">
        <v>2933</v>
      </c>
      <c r="C6794" s="63" t="s">
        <v>794</v>
      </c>
      <c r="D6794" s="183" t="s">
        <v>3234</v>
      </c>
      <c r="E6794" s="126">
        <v>15840.080645161292</v>
      </c>
      <c r="F6794" s="126"/>
      <c r="G6794" s="126">
        <f t="shared" si="111"/>
        <v>-15840.080645161292</v>
      </c>
      <c r="H6794" s="121" t="s">
        <v>4486</v>
      </c>
    </row>
    <row r="6795" spans="1:8" ht="15" x14ac:dyDescent="0.2">
      <c r="A6795" s="597">
        <v>43497</v>
      </c>
      <c r="B6795" s="63" t="s">
        <v>2933</v>
      </c>
      <c r="C6795" s="63" t="s">
        <v>794</v>
      </c>
      <c r="D6795" s="183" t="s">
        <v>1859</v>
      </c>
      <c r="E6795" s="126">
        <v>16170.201612903227</v>
      </c>
      <c r="F6795" s="126"/>
      <c r="G6795" s="126">
        <f t="shared" si="111"/>
        <v>-16170.201612903227</v>
      </c>
      <c r="H6795" s="121" t="s">
        <v>4486</v>
      </c>
    </row>
    <row r="6796" spans="1:8" ht="15" x14ac:dyDescent="0.2">
      <c r="A6796" s="597">
        <v>43497</v>
      </c>
      <c r="B6796" s="63" t="s">
        <v>2933</v>
      </c>
      <c r="C6796" s="63" t="s">
        <v>794</v>
      </c>
      <c r="D6796" s="183" t="s">
        <v>3490</v>
      </c>
      <c r="E6796" s="126">
        <v>12387.096774193549</v>
      </c>
      <c r="F6796" s="126"/>
      <c r="G6796" s="126">
        <f t="shared" si="111"/>
        <v>-12387.096774193549</v>
      </c>
      <c r="H6796" s="121" t="s">
        <v>4486</v>
      </c>
    </row>
    <row r="6797" spans="1:8" ht="15" x14ac:dyDescent="0.2">
      <c r="A6797" s="597">
        <v>43497</v>
      </c>
      <c r="B6797" s="63" t="s">
        <v>2933</v>
      </c>
      <c r="C6797" s="63" t="s">
        <v>794</v>
      </c>
      <c r="D6797" s="183" t="s">
        <v>352</v>
      </c>
      <c r="E6797" s="126">
        <v>8370.2419354838712</v>
      </c>
      <c r="F6797" s="126"/>
      <c r="G6797" s="126">
        <f t="shared" si="111"/>
        <v>-8370.2419354838712</v>
      </c>
      <c r="H6797" s="121" t="s">
        <v>4486</v>
      </c>
    </row>
    <row r="6798" spans="1:8" ht="15" x14ac:dyDescent="0.2">
      <c r="A6798" s="597">
        <v>43497</v>
      </c>
      <c r="B6798" s="63" t="s">
        <v>2652</v>
      </c>
      <c r="C6798" s="63" t="s">
        <v>794</v>
      </c>
      <c r="D6798" s="183" t="s">
        <v>3616</v>
      </c>
      <c r="E6798" s="126">
        <v>37000</v>
      </c>
      <c r="F6798" s="126"/>
      <c r="G6798" s="126">
        <f t="shared" si="111"/>
        <v>-37000</v>
      </c>
      <c r="H6798" s="121" t="s">
        <v>4486</v>
      </c>
    </row>
    <row r="6799" spans="1:8" ht="15" x14ac:dyDescent="0.2">
      <c r="A6799" s="597">
        <v>43497</v>
      </c>
      <c r="B6799" s="63" t="s">
        <v>2652</v>
      </c>
      <c r="C6799" s="63" t="s">
        <v>794</v>
      </c>
      <c r="D6799" s="183" t="s">
        <v>1847</v>
      </c>
      <c r="E6799" s="126">
        <v>18119.677419354837</v>
      </c>
      <c r="F6799" s="126"/>
      <c r="G6799" s="126">
        <f t="shared" si="111"/>
        <v>-18119.677419354837</v>
      </c>
      <c r="H6799" s="121" t="s">
        <v>4486</v>
      </c>
    </row>
    <row r="6800" spans="1:8" ht="15" x14ac:dyDescent="0.2">
      <c r="A6800" s="597">
        <v>43497</v>
      </c>
      <c r="B6800" s="63" t="s">
        <v>2652</v>
      </c>
      <c r="C6800" s="63" t="s">
        <v>794</v>
      </c>
      <c r="D6800" s="183" t="s">
        <v>2283</v>
      </c>
      <c r="E6800" s="126">
        <v>26100.806451612902</v>
      </c>
      <c r="F6800" s="126"/>
      <c r="G6800" s="126">
        <f t="shared" si="111"/>
        <v>-26100.806451612902</v>
      </c>
      <c r="H6800" s="121" t="s">
        <v>4486</v>
      </c>
    </row>
    <row r="6801" spans="1:8" ht="15" x14ac:dyDescent="0.2">
      <c r="A6801" s="597">
        <v>43497</v>
      </c>
      <c r="B6801" s="63" t="s">
        <v>2652</v>
      </c>
      <c r="C6801" s="63" t="s">
        <v>794</v>
      </c>
      <c r="D6801" s="183" t="s">
        <v>4327</v>
      </c>
      <c r="E6801" s="126">
        <v>11354.838709677419</v>
      </c>
      <c r="F6801" s="126"/>
      <c r="G6801" s="126">
        <f t="shared" si="111"/>
        <v>-11354.838709677419</v>
      </c>
      <c r="H6801" s="121" t="s">
        <v>4486</v>
      </c>
    </row>
    <row r="6802" spans="1:8" ht="15" x14ac:dyDescent="0.2">
      <c r="A6802" s="597">
        <v>43497</v>
      </c>
      <c r="B6802" s="63" t="s">
        <v>2652</v>
      </c>
      <c r="C6802" s="63" t="s">
        <v>794</v>
      </c>
      <c r="D6802" s="183" t="s">
        <v>4328</v>
      </c>
      <c r="E6802" s="126">
        <v>2064.516129032258</v>
      </c>
      <c r="F6802" s="126"/>
      <c r="G6802" s="126">
        <f t="shared" si="111"/>
        <v>-2064.516129032258</v>
      </c>
      <c r="H6802" s="121" t="s">
        <v>4486</v>
      </c>
    </row>
    <row r="6803" spans="1:8" ht="15" x14ac:dyDescent="0.2">
      <c r="A6803" s="597">
        <v>43497</v>
      </c>
      <c r="B6803" s="63" t="s">
        <v>2652</v>
      </c>
      <c r="C6803" s="63" t="s">
        <v>794</v>
      </c>
      <c r="D6803" s="183" t="s">
        <v>2280</v>
      </c>
      <c r="E6803" s="126">
        <v>19399.677419354837</v>
      </c>
      <c r="F6803" s="126"/>
      <c r="G6803" s="126">
        <f t="shared" si="111"/>
        <v>-19399.677419354837</v>
      </c>
      <c r="H6803" s="121" t="s">
        <v>4486</v>
      </c>
    </row>
    <row r="6804" spans="1:8" ht="15" x14ac:dyDescent="0.2">
      <c r="A6804" s="597">
        <v>43497</v>
      </c>
      <c r="B6804" s="63" t="s">
        <v>2652</v>
      </c>
      <c r="C6804" s="63" t="s">
        <v>794</v>
      </c>
      <c r="D6804" s="183" t="s">
        <v>1862</v>
      </c>
      <c r="E6804" s="126">
        <v>16500</v>
      </c>
      <c r="F6804" s="126"/>
      <c r="G6804" s="126">
        <f t="shared" si="111"/>
        <v>-16500</v>
      </c>
      <c r="H6804" s="121" t="s">
        <v>4486</v>
      </c>
    </row>
    <row r="6805" spans="1:8" ht="15" x14ac:dyDescent="0.2">
      <c r="A6805" s="597">
        <v>43497</v>
      </c>
      <c r="B6805" s="63" t="s">
        <v>2652</v>
      </c>
      <c r="C6805" s="63" t="s">
        <v>794</v>
      </c>
      <c r="D6805" s="183" t="s">
        <v>1860</v>
      </c>
      <c r="E6805" s="126">
        <v>13219.919354838708</v>
      </c>
      <c r="F6805" s="126"/>
      <c r="G6805" s="126">
        <f t="shared" si="111"/>
        <v>-13219.919354838708</v>
      </c>
      <c r="H6805" s="121" t="s">
        <v>4486</v>
      </c>
    </row>
    <row r="6806" spans="1:8" ht="15" x14ac:dyDescent="0.2">
      <c r="A6806" s="597">
        <v>43497</v>
      </c>
      <c r="B6806" s="63" t="s">
        <v>2652</v>
      </c>
      <c r="C6806" s="63" t="s">
        <v>794</v>
      </c>
      <c r="D6806" s="183" t="s">
        <v>4562</v>
      </c>
      <c r="E6806" s="126">
        <v>15806.451612903225</v>
      </c>
      <c r="F6806" s="126"/>
      <c r="G6806" s="126">
        <f t="shared" si="111"/>
        <v>-15806.451612903225</v>
      </c>
      <c r="H6806" s="121" t="s">
        <v>4486</v>
      </c>
    </row>
    <row r="6807" spans="1:8" ht="15" x14ac:dyDescent="0.2">
      <c r="A6807" s="597">
        <v>43497</v>
      </c>
      <c r="B6807" s="63" t="s">
        <v>2652</v>
      </c>
      <c r="C6807" s="63" t="s">
        <v>794</v>
      </c>
      <c r="D6807" s="183" t="s">
        <v>4120</v>
      </c>
      <c r="E6807" s="126">
        <v>18150.403225806447</v>
      </c>
      <c r="F6807" s="126"/>
      <c r="G6807" s="126">
        <f t="shared" si="111"/>
        <v>-18150.403225806447</v>
      </c>
      <c r="H6807" s="121" t="s">
        <v>4486</v>
      </c>
    </row>
    <row r="6808" spans="1:8" ht="15" x14ac:dyDescent="0.2">
      <c r="A6808" s="597">
        <v>43497</v>
      </c>
      <c r="B6808" s="63" t="s">
        <v>2652</v>
      </c>
      <c r="C6808" s="63" t="s">
        <v>794</v>
      </c>
      <c r="D6808" s="183" t="s">
        <v>4121</v>
      </c>
      <c r="E6808" s="126">
        <v>21650.120967741932</v>
      </c>
      <c r="F6808" s="126"/>
      <c r="G6808" s="126">
        <f t="shared" si="111"/>
        <v>-21650.120967741932</v>
      </c>
      <c r="H6808" s="121" t="s">
        <v>4486</v>
      </c>
    </row>
    <row r="6809" spans="1:8" ht="15" x14ac:dyDescent="0.2">
      <c r="A6809" s="597">
        <v>43497</v>
      </c>
      <c r="B6809" s="63" t="s">
        <v>11</v>
      </c>
      <c r="C6809" s="63" t="s">
        <v>794</v>
      </c>
      <c r="D6809" s="183" t="s">
        <v>6133</v>
      </c>
      <c r="E6809" s="126">
        <v>1000</v>
      </c>
      <c r="F6809" s="126"/>
      <c r="G6809" s="126">
        <f t="shared" si="111"/>
        <v>-1000</v>
      </c>
      <c r="H6809" s="121"/>
    </row>
    <row r="6810" spans="1:8" ht="15" x14ac:dyDescent="0.2">
      <c r="A6810" s="597">
        <v>43497</v>
      </c>
      <c r="B6810" s="63" t="s">
        <v>82</v>
      </c>
      <c r="C6810" s="63" t="s">
        <v>3145</v>
      </c>
      <c r="D6810" s="183" t="s">
        <v>4521</v>
      </c>
      <c r="E6810" s="126">
        <v>11530</v>
      </c>
      <c r="F6810" s="126"/>
      <c r="G6810" s="126">
        <f t="shared" si="111"/>
        <v>-11530</v>
      </c>
      <c r="H6810" s="121" t="s">
        <v>4486</v>
      </c>
    </row>
    <row r="6811" spans="1:8" ht="15" x14ac:dyDescent="0.2">
      <c r="A6811" s="597">
        <v>43497</v>
      </c>
      <c r="B6811" s="63" t="s">
        <v>2933</v>
      </c>
      <c r="C6811" s="63" t="s">
        <v>3145</v>
      </c>
      <c r="D6811" s="183" t="s">
        <v>4528</v>
      </c>
      <c r="E6811" s="126">
        <v>27000</v>
      </c>
      <c r="F6811" s="126"/>
      <c r="G6811" s="126">
        <f t="shared" si="111"/>
        <v>-27000</v>
      </c>
      <c r="H6811" s="121" t="s">
        <v>4486</v>
      </c>
    </row>
    <row r="6812" spans="1:8" ht="15" x14ac:dyDescent="0.2">
      <c r="A6812" s="597">
        <v>43497</v>
      </c>
      <c r="B6812" s="63" t="s">
        <v>25</v>
      </c>
      <c r="C6812" s="63" t="s">
        <v>256</v>
      </c>
      <c r="D6812" s="183" t="s">
        <v>2360</v>
      </c>
      <c r="E6812" s="126">
        <v>6000</v>
      </c>
      <c r="F6812" s="126"/>
      <c r="G6812" s="126">
        <f t="shared" si="111"/>
        <v>-6000</v>
      </c>
      <c r="H6812" s="121" t="s">
        <v>4486</v>
      </c>
    </row>
    <row r="6813" spans="1:8" ht="15" x14ac:dyDescent="0.2">
      <c r="A6813" s="597">
        <v>43497</v>
      </c>
      <c r="B6813" s="63" t="s">
        <v>37</v>
      </c>
      <c r="C6813" s="63" t="s">
        <v>3145</v>
      </c>
      <c r="D6813" s="183" t="s">
        <v>4529</v>
      </c>
      <c r="E6813" s="126">
        <v>2550</v>
      </c>
      <c r="F6813" s="126"/>
      <c r="G6813" s="126">
        <f t="shared" si="111"/>
        <v>-2550</v>
      </c>
      <c r="H6813" s="121" t="s">
        <v>4486</v>
      </c>
    </row>
    <row r="6814" spans="1:8" ht="15" x14ac:dyDescent="0.2">
      <c r="A6814" s="597">
        <v>43498</v>
      </c>
      <c r="B6814" s="63" t="s">
        <v>2933</v>
      </c>
      <c r="C6814" s="63" t="s">
        <v>3145</v>
      </c>
      <c r="D6814" s="183" t="s">
        <v>3155</v>
      </c>
      <c r="E6814" s="126">
        <v>20150</v>
      </c>
      <c r="F6814" s="126"/>
      <c r="G6814" s="126">
        <f t="shared" si="111"/>
        <v>-20150</v>
      </c>
      <c r="H6814" s="121" t="s">
        <v>4486</v>
      </c>
    </row>
    <row r="6815" spans="1:8" ht="15" x14ac:dyDescent="0.2">
      <c r="A6815" s="597">
        <v>43498</v>
      </c>
      <c r="B6815" s="63" t="s">
        <v>2933</v>
      </c>
      <c r="C6815" s="63" t="s">
        <v>3145</v>
      </c>
      <c r="D6815" s="183" t="s">
        <v>4530</v>
      </c>
      <c r="E6815" s="126">
        <v>10160</v>
      </c>
      <c r="F6815" s="126"/>
      <c r="G6815" s="126">
        <f t="shared" si="111"/>
        <v>-10160</v>
      </c>
      <c r="H6815" s="121" t="s">
        <v>4486</v>
      </c>
    </row>
    <row r="6816" spans="1:8" ht="15" x14ac:dyDescent="0.2">
      <c r="A6816" s="597">
        <v>43498</v>
      </c>
      <c r="B6816" s="63" t="s">
        <v>16</v>
      </c>
      <c r="C6816" s="63" t="s">
        <v>3791</v>
      </c>
      <c r="D6816" s="183" t="s">
        <v>370</v>
      </c>
      <c r="E6816" s="126">
        <v>4150</v>
      </c>
      <c r="F6816" s="126"/>
      <c r="G6816" s="126">
        <f t="shared" si="111"/>
        <v>-4150</v>
      </c>
      <c r="H6816" s="121" t="s">
        <v>4486</v>
      </c>
    </row>
    <row r="6817" spans="1:8" ht="15" x14ac:dyDescent="0.2">
      <c r="A6817" s="597">
        <v>43498</v>
      </c>
      <c r="B6817" s="63" t="s">
        <v>1400</v>
      </c>
      <c r="C6817" s="63" t="s">
        <v>3145</v>
      </c>
      <c r="D6817" s="183" t="s">
        <v>4450</v>
      </c>
      <c r="E6817" s="126">
        <v>49562</v>
      </c>
      <c r="F6817" s="126"/>
      <c r="G6817" s="126">
        <f t="shared" si="111"/>
        <v>-49562</v>
      </c>
      <c r="H6817" s="121" t="s">
        <v>4486</v>
      </c>
    </row>
    <row r="6818" spans="1:8" ht="15" x14ac:dyDescent="0.2">
      <c r="A6818" s="597">
        <v>43500</v>
      </c>
      <c r="B6818" s="63" t="s">
        <v>1400</v>
      </c>
      <c r="C6818" s="63" t="s">
        <v>3145</v>
      </c>
      <c r="D6818" s="183" t="s">
        <v>4283</v>
      </c>
      <c r="E6818" s="126">
        <v>13430</v>
      </c>
      <c r="F6818" s="126"/>
      <c r="G6818" s="126">
        <f t="shared" si="111"/>
        <v>-13430</v>
      </c>
      <c r="H6818" s="121" t="s">
        <v>4486</v>
      </c>
    </row>
    <row r="6819" spans="1:8" ht="15" x14ac:dyDescent="0.2">
      <c r="A6819" s="597">
        <v>43500</v>
      </c>
      <c r="B6819" s="63" t="s">
        <v>25</v>
      </c>
      <c r="C6819" s="63" t="s">
        <v>1894</v>
      </c>
      <c r="D6819" s="183" t="s">
        <v>3588</v>
      </c>
      <c r="E6819" s="126">
        <v>14787</v>
      </c>
      <c r="F6819" s="126"/>
      <c r="G6819" s="126">
        <f t="shared" si="111"/>
        <v>-14787</v>
      </c>
      <c r="H6819" s="121" t="s">
        <v>4486</v>
      </c>
    </row>
    <row r="6820" spans="1:8" ht="15" x14ac:dyDescent="0.2">
      <c r="A6820" s="597">
        <v>43500</v>
      </c>
      <c r="B6820" s="63" t="s">
        <v>2652</v>
      </c>
      <c r="C6820" s="63" t="s">
        <v>3145</v>
      </c>
      <c r="D6820" s="183" t="s">
        <v>4531</v>
      </c>
      <c r="E6820" s="126">
        <v>29200</v>
      </c>
      <c r="F6820" s="126"/>
      <c r="G6820" s="126">
        <f t="shared" si="111"/>
        <v>-29200</v>
      </c>
      <c r="H6820" s="121" t="s">
        <v>4486</v>
      </c>
    </row>
    <row r="6821" spans="1:8" ht="15" x14ac:dyDescent="0.2">
      <c r="A6821" s="597">
        <v>43500</v>
      </c>
      <c r="B6821" s="63" t="s">
        <v>2933</v>
      </c>
      <c r="C6821" s="63" t="s">
        <v>3145</v>
      </c>
      <c r="D6821" s="183" t="s">
        <v>4532</v>
      </c>
      <c r="E6821" s="126">
        <v>4550</v>
      </c>
      <c r="F6821" s="126"/>
      <c r="G6821" s="126">
        <f t="shared" si="111"/>
        <v>-4550</v>
      </c>
      <c r="H6821" s="121" t="s">
        <v>4486</v>
      </c>
    </row>
    <row r="6822" spans="1:8" ht="15" x14ac:dyDescent="0.2">
      <c r="A6822" s="597">
        <v>43502</v>
      </c>
      <c r="B6822" s="63" t="s">
        <v>2652</v>
      </c>
      <c r="C6822" s="63" t="s">
        <v>3145</v>
      </c>
      <c r="D6822" s="183" t="s">
        <v>4284</v>
      </c>
      <c r="E6822" s="126">
        <v>4900</v>
      </c>
      <c r="F6822" s="126"/>
      <c r="G6822" s="126">
        <f t="shared" si="111"/>
        <v>-4900</v>
      </c>
      <c r="H6822" s="121" t="s">
        <v>4486</v>
      </c>
    </row>
    <row r="6823" spans="1:8" ht="15" x14ac:dyDescent="0.2">
      <c r="A6823" s="597">
        <v>43502</v>
      </c>
      <c r="B6823" s="63" t="s">
        <v>2652</v>
      </c>
      <c r="C6823" s="63" t="s">
        <v>3145</v>
      </c>
      <c r="D6823" s="183" t="s">
        <v>4533</v>
      </c>
      <c r="E6823" s="126">
        <v>40350</v>
      </c>
      <c r="F6823" s="126"/>
      <c r="G6823" s="126">
        <f t="shared" si="111"/>
        <v>-40350</v>
      </c>
      <c r="H6823" s="121" t="s">
        <v>4486</v>
      </c>
    </row>
    <row r="6824" spans="1:8" ht="15" x14ac:dyDescent="0.2">
      <c r="A6824" s="597">
        <v>43502</v>
      </c>
      <c r="B6824" s="63" t="s">
        <v>2933</v>
      </c>
      <c r="C6824" s="63" t="s">
        <v>3145</v>
      </c>
      <c r="D6824" s="183" t="s">
        <v>3847</v>
      </c>
      <c r="E6824" s="126">
        <v>5040</v>
      </c>
      <c r="F6824" s="126"/>
      <c r="G6824" s="126">
        <f t="shared" si="111"/>
        <v>-5040</v>
      </c>
      <c r="H6824" s="121" t="s">
        <v>4486</v>
      </c>
    </row>
    <row r="6825" spans="1:8" ht="15" x14ac:dyDescent="0.2">
      <c r="A6825" s="597">
        <v>43502</v>
      </c>
      <c r="B6825" s="63" t="s">
        <v>1400</v>
      </c>
      <c r="C6825" s="63" t="s">
        <v>3145</v>
      </c>
      <c r="D6825" s="183" t="s">
        <v>4450</v>
      </c>
      <c r="E6825" s="126">
        <v>44488</v>
      </c>
      <c r="F6825" s="126"/>
      <c r="G6825" s="126">
        <f t="shared" si="111"/>
        <v>-44488</v>
      </c>
      <c r="H6825" s="121" t="s">
        <v>4486</v>
      </c>
    </row>
    <row r="6826" spans="1:8" ht="15" x14ac:dyDescent="0.2">
      <c r="A6826" s="597">
        <v>43502</v>
      </c>
      <c r="B6826" s="63" t="s">
        <v>82</v>
      </c>
      <c r="C6826" s="63" t="s">
        <v>3145</v>
      </c>
      <c r="D6826" s="183" t="s">
        <v>3795</v>
      </c>
      <c r="E6826" s="126">
        <v>3720</v>
      </c>
      <c r="F6826" s="126"/>
      <c r="G6826" s="126">
        <f t="shared" si="111"/>
        <v>-3720</v>
      </c>
      <c r="H6826" s="121" t="s">
        <v>4486</v>
      </c>
    </row>
    <row r="6827" spans="1:8" ht="15" customHeight="1" x14ac:dyDescent="0.2">
      <c r="A6827" s="597">
        <v>43502</v>
      </c>
      <c r="B6827" s="63" t="s">
        <v>82</v>
      </c>
      <c r="C6827" s="63" t="s">
        <v>3145</v>
      </c>
      <c r="D6827" s="183" t="s">
        <v>3795</v>
      </c>
      <c r="E6827" s="126">
        <v>6160</v>
      </c>
      <c r="F6827" s="126"/>
      <c r="G6827" s="126">
        <f t="shared" si="111"/>
        <v>-6160</v>
      </c>
      <c r="H6827" s="121" t="s">
        <v>4486</v>
      </c>
    </row>
    <row r="6828" spans="1:8" ht="15" x14ac:dyDescent="0.2">
      <c r="A6828" s="597">
        <v>43502</v>
      </c>
      <c r="B6828" s="63" t="s">
        <v>3733</v>
      </c>
      <c r="C6828" s="63" t="s">
        <v>3145</v>
      </c>
      <c r="D6828" s="183" t="s">
        <v>4534</v>
      </c>
      <c r="E6828" s="126">
        <v>7890</v>
      </c>
      <c r="F6828" s="126"/>
      <c r="G6828" s="126">
        <f t="shared" si="111"/>
        <v>-7890</v>
      </c>
      <c r="H6828" s="121" t="s">
        <v>4486</v>
      </c>
    </row>
    <row r="6829" spans="1:8" ht="15" x14ac:dyDescent="0.2">
      <c r="A6829" s="597">
        <v>43502</v>
      </c>
      <c r="B6829" s="63" t="s">
        <v>2933</v>
      </c>
      <c r="C6829" s="63" t="s">
        <v>3145</v>
      </c>
      <c r="D6829" s="183" t="s">
        <v>4535</v>
      </c>
      <c r="E6829" s="126">
        <v>35265</v>
      </c>
      <c r="F6829" s="126"/>
      <c r="G6829" s="126">
        <f t="shared" si="111"/>
        <v>-35265</v>
      </c>
      <c r="H6829" s="121" t="s">
        <v>4486</v>
      </c>
    </row>
    <row r="6830" spans="1:8" ht="15" x14ac:dyDescent="0.2">
      <c r="A6830" s="597">
        <v>43505</v>
      </c>
      <c r="B6830" s="63" t="s">
        <v>2652</v>
      </c>
      <c r="C6830" s="63" t="s">
        <v>3145</v>
      </c>
      <c r="D6830" s="183" t="s">
        <v>4536</v>
      </c>
      <c r="E6830" s="126">
        <v>2000</v>
      </c>
      <c r="F6830" s="126"/>
      <c r="G6830" s="126">
        <f t="shared" si="111"/>
        <v>-2000</v>
      </c>
      <c r="H6830" s="121" t="s">
        <v>4486</v>
      </c>
    </row>
    <row r="6831" spans="1:8" ht="15" x14ac:dyDescent="0.2">
      <c r="A6831" s="597">
        <v>43507</v>
      </c>
      <c r="B6831" s="63" t="s">
        <v>2652</v>
      </c>
      <c r="C6831" s="63" t="s">
        <v>3145</v>
      </c>
      <c r="D6831" s="183" t="s">
        <v>4537</v>
      </c>
      <c r="E6831" s="126">
        <v>1500</v>
      </c>
      <c r="F6831" s="126"/>
      <c r="G6831" s="126">
        <f t="shared" si="111"/>
        <v>-1500</v>
      </c>
      <c r="H6831" s="121" t="s">
        <v>4486</v>
      </c>
    </row>
    <row r="6832" spans="1:8" ht="24" x14ac:dyDescent="0.2">
      <c r="A6832" s="597">
        <v>43507</v>
      </c>
      <c r="B6832" s="63" t="s">
        <v>2933</v>
      </c>
      <c r="C6832" s="63" t="s">
        <v>3145</v>
      </c>
      <c r="D6832" s="183" t="s">
        <v>4538</v>
      </c>
      <c r="E6832" s="126">
        <v>61000</v>
      </c>
      <c r="F6832" s="126"/>
      <c r="G6832" s="126">
        <f t="shared" si="111"/>
        <v>-61000</v>
      </c>
      <c r="H6832" s="121" t="s">
        <v>4486</v>
      </c>
    </row>
    <row r="6833" spans="1:8" ht="15" x14ac:dyDescent="0.2">
      <c r="A6833" s="597">
        <v>43510</v>
      </c>
      <c r="B6833" s="63" t="s">
        <v>2933</v>
      </c>
      <c r="C6833" s="63" t="s">
        <v>286</v>
      </c>
      <c r="D6833" s="183" t="s">
        <v>3787</v>
      </c>
      <c r="E6833" s="126">
        <v>3000</v>
      </c>
      <c r="F6833" s="126"/>
      <c r="G6833" s="126">
        <f t="shared" si="111"/>
        <v>-3000</v>
      </c>
      <c r="H6833" s="121" t="s">
        <v>4486</v>
      </c>
    </row>
    <row r="6834" spans="1:8" ht="15" x14ac:dyDescent="0.2">
      <c r="A6834" s="597">
        <v>43510</v>
      </c>
      <c r="B6834" s="63" t="s">
        <v>2652</v>
      </c>
      <c r="C6834" s="63" t="s">
        <v>286</v>
      </c>
      <c r="D6834" s="183" t="s">
        <v>3787</v>
      </c>
      <c r="E6834" s="126">
        <v>3400</v>
      </c>
      <c r="F6834" s="126"/>
      <c r="G6834" s="126">
        <f t="shared" si="111"/>
        <v>-3400</v>
      </c>
      <c r="H6834" s="121" t="s">
        <v>4486</v>
      </c>
    </row>
    <row r="6835" spans="1:8" ht="15" x14ac:dyDescent="0.2">
      <c r="A6835" s="597">
        <v>43510</v>
      </c>
      <c r="B6835" s="63" t="s">
        <v>2933</v>
      </c>
      <c r="C6835" s="63" t="s">
        <v>3145</v>
      </c>
      <c r="D6835" s="183" t="s">
        <v>4539</v>
      </c>
      <c r="E6835" s="126">
        <v>12400</v>
      </c>
      <c r="F6835" s="126"/>
      <c r="G6835" s="126">
        <f t="shared" si="111"/>
        <v>-12400</v>
      </c>
      <c r="H6835" s="121" t="s">
        <v>4486</v>
      </c>
    </row>
    <row r="6836" spans="1:8" ht="15" x14ac:dyDescent="0.2">
      <c r="A6836" s="597">
        <v>43510</v>
      </c>
      <c r="B6836" s="63" t="s">
        <v>2933</v>
      </c>
      <c r="C6836" s="63" t="s">
        <v>3145</v>
      </c>
      <c r="D6836" s="183" t="s">
        <v>4540</v>
      </c>
      <c r="E6836" s="126">
        <f>7630+14564+7600</f>
        <v>29794</v>
      </c>
      <c r="F6836" s="126"/>
      <c r="G6836" s="126">
        <f t="shared" si="111"/>
        <v>-29794</v>
      </c>
      <c r="H6836" s="121" t="s">
        <v>4486</v>
      </c>
    </row>
    <row r="6837" spans="1:8" ht="15" x14ac:dyDescent="0.2">
      <c r="A6837" s="597">
        <v>43510</v>
      </c>
      <c r="B6837" s="63" t="s">
        <v>1400</v>
      </c>
      <c r="C6837" s="63" t="s">
        <v>3145</v>
      </c>
      <c r="D6837" s="183" t="s">
        <v>4541</v>
      </c>
      <c r="E6837" s="126">
        <v>6400</v>
      </c>
      <c r="F6837" s="126"/>
      <c r="G6837" s="126">
        <f t="shared" ref="G6837:G6900" si="112">F6837-E6837</f>
        <v>-6400</v>
      </c>
      <c r="H6837" s="121" t="s">
        <v>4486</v>
      </c>
    </row>
    <row r="6838" spans="1:8" ht="15" x14ac:dyDescent="0.2">
      <c r="A6838" s="597">
        <v>43511</v>
      </c>
      <c r="B6838" s="63" t="s">
        <v>2933</v>
      </c>
      <c r="C6838" s="63" t="s">
        <v>3145</v>
      </c>
      <c r="D6838" s="183" t="s">
        <v>4542</v>
      </c>
      <c r="E6838" s="126">
        <v>50610</v>
      </c>
      <c r="F6838" s="126"/>
      <c r="G6838" s="126">
        <f t="shared" si="112"/>
        <v>-50610</v>
      </c>
      <c r="H6838" s="121" t="s">
        <v>4486</v>
      </c>
    </row>
    <row r="6839" spans="1:8" ht="15" x14ac:dyDescent="0.2">
      <c r="A6839" s="597">
        <v>43511</v>
      </c>
      <c r="B6839" s="63" t="s">
        <v>16</v>
      </c>
      <c r="C6839" s="63" t="s">
        <v>103</v>
      </c>
      <c r="D6839" s="183" t="s">
        <v>4543</v>
      </c>
      <c r="E6839" s="126">
        <v>1600</v>
      </c>
      <c r="F6839" s="126"/>
      <c r="G6839" s="126">
        <f t="shared" si="112"/>
        <v>-1600</v>
      </c>
      <c r="H6839" s="121" t="s">
        <v>4486</v>
      </c>
    </row>
    <row r="6840" spans="1:8" ht="15" x14ac:dyDescent="0.2">
      <c r="A6840" s="597">
        <v>43511</v>
      </c>
      <c r="B6840" s="63" t="s">
        <v>2652</v>
      </c>
      <c r="C6840" s="63" t="s">
        <v>3145</v>
      </c>
      <c r="D6840" s="183" t="s">
        <v>4544</v>
      </c>
      <c r="E6840" s="126">
        <v>8140</v>
      </c>
      <c r="F6840" s="126"/>
      <c r="G6840" s="126">
        <f t="shared" si="112"/>
        <v>-8140</v>
      </c>
      <c r="H6840" s="121" t="s">
        <v>4486</v>
      </c>
    </row>
    <row r="6841" spans="1:8" ht="15" x14ac:dyDescent="0.2">
      <c r="A6841" s="597">
        <v>43511</v>
      </c>
      <c r="B6841" s="63" t="s">
        <v>2933</v>
      </c>
      <c r="C6841" s="63" t="s">
        <v>3145</v>
      </c>
      <c r="D6841" s="183" t="s">
        <v>4545</v>
      </c>
      <c r="E6841" s="126">
        <f>450+1200+264</f>
        <v>1914</v>
      </c>
      <c r="F6841" s="126"/>
      <c r="G6841" s="126">
        <f t="shared" si="112"/>
        <v>-1914</v>
      </c>
      <c r="H6841" s="121" t="s">
        <v>4486</v>
      </c>
    </row>
    <row r="6842" spans="1:8" ht="24" x14ac:dyDescent="0.2">
      <c r="A6842" s="597">
        <v>43511</v>
      </c>
      <c r="B6842" s="63" t="s">
        <v>2652</v>
      </c>
      <c r="C6842" s="63" t="s">
        <v>3145</v>
      </c>
      <c r="D6842" s="183" t="s">
        <v>4546</v>
      </c>
      <c r="E6842" s="126">
        <f>3325+900+6350+1350+9360</f>
        <v>21285</v>
      </c>
      <c r="F6842" s="126"/>
      <c r="G6842" s="126">
        <f t="shared" si="112"/>
        <v>-21285</v>
      </c>
      <c r="H6842" s="121" t="s">
        <v>4486</v>
      </c>
    </row>
    <row r="6843" spans="1:8" ht="15" customHeight="1" x14ac:dyDescent="0.2">
      <c r="A6843" s="597">
        <v>43511</v>
      </c>
      <c r="B6843" s="63" t="s">
        <v>1400</v>
      </c>
      <c r="C6843" s="63" t="s">
        <v>929</v>
      </c>
      <c r="D6843" s="183" t="s">
        <v>4547</v>
      </c>
      <c r="E6843" s="126">
        <v>20000</v>
      </c>
      <c r="F6843" s="126"/>
      <c r="G6843" s="126">
        <f t="shared" si="112"/>
        <v>-20000</v>
      </c>
      <c r="H6843" s="121" t="s">
        <v>4486</v>
      </c>
    </row>
    <row r="6844" spans="1:8" ht="15" customHeight="1" x14ac:dyDescent="0.2">
      <c r="A6844" s="597">
        <v>43511</v>
      </c>
      <c r="B6844" s="63" t="s">
        <v>2933</v>
      </c>
      <c r="C6844" s="63" t="s">
        <v>3145</v>
      </c>
      <c r="D6844" s="183" t="s">
        <v>4548</v>
      </c>
      <c r="E6844" s="126">
        <v>13000</v>
      </c>
      <c r="F6844" s="126"/>
      <c r="G6844" s="126">
        <f t="shared" si="112"/>
        <v>-13000</v>
      </c>
      <c r="H6844" s="121" t="s">
        <v>4486</v>
      </c>
    </row>
    <row r="6845" spans="1:8" ht="15" customHeight="1" x14ac:dyDescent="0.2">
      <c r="A6845" s="597">
        <v>43511</v>
      </c>
      <c r="B6845" s="63" t="s">
        <v>2933</v>
      </c>
      <c r="C6845" s="63" t="s">
        <v>3145</v>
      </c>
      <c r="D6845" s="183" t="s">
        <v>2108</v>
      </c>
      <c r="E6845" s="126">
        <v>2500</v>
      </c>
      <c r="F6845" s="126"/>
      <c r="G6845" s="126">
        <f t="shared" si="112"/>
        <v>-2500</v>
      </c>
      <c r="H6845" s="121" t="s">
        <v>4486</v>
      </c>
    </row>
    <row r="6846" spans="1:8" ht="15" x14ac:dyDescent="0.2">
      <c r="A6846" s="597">
        <v>43511</v>
      </c>
      <c r="B6846" s="63" t="s">
        <v>2652</v>
      </c>
      <c r="C6846" s="63" t="s">
        <v>3145</v>
      </c>
      <c r="D6846" s="183" t="s">
        <v>2108</v>
      </c>
      <c r="E6846" s="126">
        <v>2500</v>
      </c>
      <c r="F6846" s="126"/>
      <c r="G6846" s="126">
        <f t="shared" si="112"/>
        <v>-2500</v>
      </c>
      <c r="H6846" s="121" t="s">
        <v>4486</v>
      </c>
    </row>
    <row r="6847" spans="1:8" ht="15" x14ac:dyDescent="0.2">
      <c r="A6847" s="597">
        <v>43511</v>
      </c>
      <c r="B6847" s="63" t="s">
        <v>2933</v>
      </c>
      <c r="C6847" s="63" t="s">
        <v>3145</v>
      </c>
      <c r="D6847" s="183" t="s">
        <v>4549</v>
      </c>
      <c r="E6847" s="126">
        <v>48980</v>
      </c>
      <c r="F6847" s="126"/>
      <c r="G6847" s="126">
        <f t="shared" si="112"/>
        <v>-48980</v>
      </c>
      <c r="H6847" s="121" t="s">
        <v>4486</v>
      </c>
    </row>
    <row r="6848" spans="1:8" ht="15" x14ac:dyDescent="0.2">
      <c r="A6848" s="597">
        <v>43511</v>
      </c>
      <c r="B6848" s="63" t="s">
        <v>2933</v>
      </c>
      <c r="C6848" s="63" t="s">
        <v>3145</v>
      </c>
      <c r="D6848" s="183" t="s">
        <v>4550</v>
      </c>
      <c r="E6848" s="126">
        <v>4050</v>
      </c>
      <c r="F6848" s="126"/>
      <c r="G6848" s="126">
        <f t="shared" si="112"/>
        <v>-4050</v>
      </c>
      <c r="H6848" s="121" t="s">
        <v>4486</v>
      </c>
    </row>
    <row r="6849" spans="1:8" ht="15" x14ac:dyDescent="0.2">
      <c r="A6849" s="597">
        <v>43511</v>
      </c>
      <c r="B6849" s="63" t="s">
        <v>16</v>
      </c>
      <c r="C6849" s="63" t="s">
        <v>103</v>
      </c>
      <c r="D6849" s="183" t="s">
        <v>4551</v>
      </c>
      <c r="E6849" s="126">
        <v>500</v>
      </c>
      <c r="F6849" s="126"/>
      <c r="G6849" s="126">
        <f t="shared" si="112"/>
        <v>-500</v>
      </c>
      <c r="H6849" s="121" t="s">
        <v>4486</v>
      </c>
    </row>
    <row r="6850" spans="1:8" ht="15" x14ac:dyDescent="0.2">
      <c r="A6850" s="597">
        <v>43511</v>
      </c>
      <c r="B6850" s="63" t="s">
        <v>25</v>
      </c>
      <c r="C6850" s="63" t="s">
        <v>794</v>
      </c>
      <c r="D6850" s="183" t="s">
        <v>4552</v>
      </c>
      <c r="E6850" s="126">
        <v>18000</v>
      </c>
      <c r="F6850" s="126"/>
      <c r="G6850" s="126">
        <f t="shared" si="112"/>
        <v>-18000</v>
      </c>
      <c r="H6850" s="121" t="s">
        <v>4486</v>
      </c>
    </row>
    <row r="6851" spans="1:8" ht="15" x14ac:dyDescent="0.2">
      <c r="A6851" s="597">
        <v>43511</v>
      </c>
      <c r="B6851" s="63" t="s">
        <v>3733</v>
      </c>
      <c r="C6851" s="63" t="s">
        <v>2160</v>
      </c>
      <c r="D6851" s="183" t="s">
        <v>370</v>
      </c>
      <c r="E6851" s="126">
        <v>25000</v>
      </c>
      <c r="F6851" s="126"/>
      <c r="G6851" s="126">
        <f t="shared" si="112"/>
        <v>-25000</v>
      </c>
      <c r="H6851" s="121" t="s">
        <v>4486</v>
      </c>
    </row>
    <row r="6852" spans="1:8" ht="15" x14ac:dyDescent="0.2">
      <c r="A6852" s="597">
        <v>43511</v>
      </c>
      <c r="B6852" s="63" t="s">
        <v>4553</v>
      </c>
      <c r="C6852" s="63" t="s">
        <v>3145</v>
      </c>
      <c r="D6852" s="183" t="s">
        <v>4554</v>
      </c>
      <c r="E6852" s="126">
        <v>4750</v>
      </c>
      <c r="F6852" s="126"/>
      <c r="G6852" s="126">
        <f t="shared" si="112"/>
        <v>-4750</v>
      </c>
      <c r="H6852" s="121" t="s">
        <v>4486</v>
      </c>
    </row>
    <row r="6853" spans="1:8" ht="15" x14ac:dyDescent="0.2">
      <c r="A6853" s="597">
        <v>43511</v>
      </c>
      <c r="B6853" s="63" t="s">
        <v>3733</v>
      </c>
      <c r="C6853" s="63" t="s">
        <v>3145</v>
      </c>
      <c r="D6853" s="183" t="s">
        <v>4662</v>
      </c>
      <c r="E6853" s="126">
        <v>5025</v>
      </c>
      <c r="F6853" s="126"/>
      <c r="G6853" s="126">
        <f t="shared" si="112"/>
        <v>-5025</v>
      </c>
      <c r="H6853" s="121" t="s">
        <v>4486</v>
      </c>
    </row>
    <row r="6854" spans="1:8" ht="15" x14ac:dyDescent="0.2">
      <c r="A6854" s="597">
        <v>43514</v>
      </c>
      <c r="B6854" s="63" t="s">
        <v>2933</v>
      </c>
      <c r="C6854" s="63" t="s">
        <v>3145</v>
      </c>
      <c r="D6854" s="183" t="s">
        <v>4663</v>
      </c>
      <c r="E6854" s="126">
        <v>49940</v>
      </c>
      <c r="F6854" s="126"/>
      <c r="G6854" s="126">
        <f t="shared" si="112"/>
        <v>-49940</v>
      </c>
      <c r="H6854" s="121" t="s">
        <v>4486</v>
      </c>
    </row>
    <row r="6855" spans="1:8" ht="15" x14ac:dyDescent="0.2">
      <c r="A6855" s="597">
        <v>43515</v>
      </c>
      <c r="B6855" s="63" t="s">
        <v>2933</v>
      </c>
      <c r="C6855" s="63" t="s">
        <v>3149</v>
      </c>
      <c r="D6855" s="183" t="s">
        <v>4664</v>
      </c>
      <c r="E6855" s="126">
        <v>360</v>
      </c>
      <c r="F6855" s="126"/>
      <c r="G6855" s="126">
        <f t="shared" si="112"/>
        <v>-360</v>
      </c>
      <c r="H6855" s="121" t="s">
        <v>4486</v>
      </c>
    </row>
    <row r="6856" spans="1:8" ht="15" x14ac:dyDescent="0.2">
      <c r="A6856" s="597">
        <v>43515</v>
      </c>
      <c r="B6856" s="63" t="s">
        <v>25</v>
      </c>
      <c r="C6856" s="63" t="s">
        <v>1005</v>
      </c>
      <c r="D6856" s="183" t="s">
        <v>3585</v>
      </c>
      <c r="E6856" s="126">
        <v>650</v>
      </c>
      <c r="F6856" s="126"/>
      <c r="G6856" s="126">
        <f t="shared" si="112"/>
        <v>-650</v>
      </c>
      <c r="H6856" s="121" t="s">
        <v>4486</v>
      </c>
    </row>
    <row r="6857" spans="1:8" ht="24" x14ac:dyDescent="0.2">
      <c r="A6857" s="597">
        <v>43515</v>
      </c>
      <c r="B6857" s="63" t="s">
        <v>25</v>
      </c>
      <c r="C6857" s="63" t="s">
        <v>1894</v>
      </c>
      <c r="D6857" s="183" t="s">
        <v>4665</v>
      </c>
      <c r="E6857" s="126">
        <v>28900</v>
      </c>
      <c r="F6857" s="126"/>
      <c r="G6857" s="126">
        <f t="shared" si="112"/>
        <v>-28900</v>
      </c>
      <c r="H6857" s="121" t="s">
        <v>4486</v>
      </c>
    </row>
    <row r="6858" spans="1:8" ht="15" x14ac:dyDescent="0.2">
      <c r="A6858" s="597">
        <v>43515</v>
      </c>
      <c r="B6858" s="63" t="s">
        <v>2933</v>
      </c>
      <c r="C6858" s="63" t="s">
        <v>3145</v>
      </c>
      <c r="D6858" s="183" t="s">
        <v>4666</v>
      </c>
      <c r="E6858" s="126">
        <v>23000</v>
      </c>
      <c r="F6858" s="126"/>
      <c r="G6858" s="126">
        <f t="shared" si="112"/>
        <v>-23000</v>
      </c>
      <c r="H6858" s="121" t="s">
        <v>4486</v>
      </c>
    </row>
    <row r="6859" spans="1:8" ht="15" x14ac:dyDescent="0.2">
      <c r="A6859" s="597">
        <v>43515</v>
      </c>
      <c r="B6859" s="63" t="s">
        <v>1400</v>
      </c>
      <c r="C6859" s="63" t="s">
        <v>3145</v>
      </c>
      <c r="D6859" s="183" t="s">
        <v>4667</v>
      </c>
      <c r="E6859" s="126">
        <f>33800-E6858</f>
        <v>10800</v>
      </c>
      <c r="F6859" s="126"/>
      <c r="G6859" s="126">
        <f t="shared" si="112"/>
        <v>-10800</v>
      </c>
      <c r="H6859" s="121" t="s">
        <v>4486</v>
      </c>
    </row>
    <row r="6860" spans="1:8" ht="15" x14ac:dyDescent="0.2">
      <c r="A6860" s="597">
        <v>43517</v>
      </c>
      <c r="B6860" s="63" t="s">
        <v>2933</v>
      </c>
      <c r="C6860" s="63" t="s">
        <v>3145</v>
      </c>
      <c r="D6860" s="183" t="s">
        <v>4668</v>
      </c>
      <c r="E6860" s="126">
        <v>1300</v>
      </c>
      <c r="F6860" s="126"/>
      <c r="G6860" s="126">
        <f t="shared" si="112"/>
        <v>-1300</v>
      </c>
      <c r="H6860" s="121" t="s">
        <v>4486</v>
      </c>
    </row>
    <row r="6861" spans="1:8" ht="15" x14ac:dyDescent="0.2">
      <c r="A6861" s="597">
        <v>43517</v>
      </c>
      <c r="B6861" s="63" t="s">
        <v>2652</v>
      </c>
      <c r="C6861" s="63" t="s">
        <v>3145</v>
      </c>
      <c r="D6861" s="183" t="s">
        <v>4669</v>
      </c>
      <c r="E6861" s="126">
        <f>15000+5600</f>
        <v>20600</v>
      </c>
      <c r="F6861" s="126"/>
      <c r="G6861" s="126">
        <f t="shared" si="112"/>
        <v>-20600</v>
      </c>
      <c r="H6861" s="121" t="s">
        <v>4486</v>
      </c>
    </row>
    <row r="6862" spans="1:8" ht="24" x14ac:dyDescent="0.2">
      <c r="A6862" s="597">
        <v>43518</v>
      </c>
      <c r="B6862" s="63" t="s">
        <v>25</v>
      </c>
      <c r="C6862" s="63" t="s">
        <v>1894</v>
      </c>
      <c r="D6862" s="183" t="s">
        <v>4670</v>
      </c>
      <c r="E6862" s="126">
        <v>22300</v>
      </c>
      <c r="F6862" s="126"/>
      <c r="G6862" s="126">
        <f t="shared" si="112"/>
        <v>-22300</v>
      </c>
      <c r="H6862" s="121" t="s">
        <v>4486</v>
      </c>
    </row>
    <row r="6863" spans="1:8" ht="15" x14ac:dyDescent="0.2">
      <c r="A6863" s="597">
        <v>43518</v>
      </c>
      <c r="B6863" s="63" t="s">
        <v>2933</v>
      </c>
      <c r="C6863" s="63" t="s">
        <v>3145</v>
      </c>
      <c r="D6863" s="183" t="s">
        <v>4671</v>
      </c>
      <c r="E6863" s="126">
        <v>19040</v>
      </c>
      <c r="F6863" s="126"/>
      <c r="G6863" s="126">
        <f t="shared" si="112"/>
        <v>-19040</v>
      </c>
      <c r="H6863" s="121" t="s">
        <v>4486</v>
      </c>
    </row>
    <row r="6864" spans="1:8" ht="15" x14ac:dyDescent="0.2">
      <c r="A6864" s="597">
        <v>43518</v>
      </c>
      <c r="B6864" s="63" t="s">
        <v>2933</v>
      </c>
      <c r="C6864" s="63" t="s">
        <v>4672</v>
      </c>
      <c r="D6864" s="183" t="s">
        <v>4673</v>
      </c>
      <c r="E6864" s="126">
        <v>5500</v>
      </c>
      <c r="F6864" s="126"/>
      <c r="G6864" s="126">
        <f t="shared" si="112"/>
        <v>-5500</v>
      </c>
      <c r="H6864" s="121" t="s">
        <v>4486</v>
      </c>
    </row>
    <row r="6865" spans="1:9" ht="15" x14ac:dyDescent="0.2">
      <c r="A6865" s="597">
        <v>43518</v>
      </c>
      <c r="B6865" s="63" t="s">
        <v>2933</v>
      </c>
      <c r="C6865" s="63" t="s">
        <v>3145</v>
      </c>
      <c r="D6865" s="183" t="s">
        <v>4674</v>
      </c>
      <c r="E6865" s="126">
        <v>7850</v>
      </c>
      <c r="F6865" s="126"/>
      <c r="G6865" s="126">
        <f t="shared" si="112"/>
        <v>-7850</v>
      </c>
      <c r="H6865" s="121" t="s">
        <v>4486</v>
      </c>
    </row>
    <row r="6866" spans="1:9" ht="15" x14ac:dyDescent="0.2">
      <c r="A6866" s="597">
        <v>43521</v>
      </c>
      <c r="B6866" s="63" t="s">
        <v>25</v>
      </c>
      <c r="C6866" s="63" t="s">
        <v>1894</v>
      </c>
      <c r="D6866" s="183" t="s">
        <v>4675</v>
      </c>
      <c r="E6866" s="126">
        <v>66345</v>
      </c>
      <c r="F6866" s="126"/>
      <c r="G6866" s="126">
        <f t="shared" si="112"/>
        <v>-66345</v>
      </c>
      <c r="H6866" s="121" t="s">
        <v>4486</v>
      </c>
    </row>
    <row r="6867" spans="1:9" ht="15" x14ac:dyDescent="0.2">
      <c r="A6867" s="597">
        <v>43521</v>
      </c>
      <c r="B6867" s="63" t="s">
        <v>2933</v>
      </c>
      <c r="C6867" s="63" t="s">
        <v>3145</v>
      </c>
      <c r="D6867" s="183" t="s">
        <v>4676</v>
      </c>
      <c r="E6867" s="126">
        <v>15915</v>
      </c>
      <c r="F6867" s="126"/>
      <c r="G6867" s="126">
        <f t="shared" si="112"/>
        <v>-15915</v>
      </c>
      <c r="H6867" s="121" t="s">
        <v>4486</v>
      </c>
    </row>
    <row r="6868" spans="1:9" ht="15" x14ac:dyDescent="0.2">
      <c r="A6868" s="597">
        <v>43521</v>
      </c>
      <c r="B6868" s="63" t="s">
        <v>2933</v>
      </c>
      <c r="C6868" s="63" t="s">
        <v>3145</v>
      </c>
      <c r="D6868" s="183" t="s">
        <v>4677</v>
      </c>
      <c r="E6868" s="126">
        <v>19970</v>
      </c>
      <c r="F6868" s="126"/>
      <c r="G6868" s="126">
        <f t="shared" si="112"/>
        <v>-19970</v>
      </c>
      <c r="H6868" s="121" t="s">
        <v>4486</v>
      </c>
    </row>
    <row r="6869" spans="1:9" ht="15" x14ac:dyDescent="0.2">
      <c r="A6869" s="597">
        <v>43522</v>
      </c>
      <c r="B6869" s="63" t="s">
        <v>1400</v>
      </c>
      <c r="C6869" s="63" t="s">
        <v>3145</v>
      </c>
      <c r="D6869" s="183" t="s">
        <v>4678</v>
      </c>
      <c r="E6869" s="126">
        <v>18730</v>
      </c>
      <c r="F6869" s="126"/>
      <c r="G6869" s="126">
        <f t="shared" si="112"/>
        <v>-18730</v>
      </c>
      <c r="H6869" s="121" t="s">
        <v>4486</v>
      </c>
    </row>
    <row r="6870" spans="1:9" ht="15" x14ac:dyDescent="0.2">
      <c r="A6870" s="597">
        <v>43522</v>
      </c>
      <c r="B6870" s="63" t="s">
        <v>1400</v>
      </c>
      <c r="C6870" s="63" t="s">
        <v>3145</v>
      </c>
      <c r="D6870" s="183" t="s">
        <v>4316</v>
      </c>
      <c r="E6870" s="126">
        <v>18214</v>
      </c>
      <c r="F6870" s="126"/>
      <c r="G6870" s="126">
        <f t="shared" si="112"/>
        <v>-18214</v>
      </c>
      <c r="H6870" s="121" t="s">
        <v>4486</v>
      </c>
    </row>
    <row r="6871" spans="1:9" ht="15" x14ac:dyDescent="0.2">
      <c r="A6871" s="597">
        <v>43524</v>
      </c>
      <c r="B6871" s="63" t="s">
        <v>2652</v>
      </c>
      <c r="C6871" s="63" t="s">
        <v>3145</v>
      </c>
      <c r="D6871" s="183" t="s">
        <v>4679</v>
      </c>
      <c r="E6871" s="126">
        <v>4000</v>
      </c>
      <c r="F6871" s="126"/>
      <c r="G6871" s="126">
        <f t="shared" si="112"/>
        <v>-4000</v>
      </c>
      <c r="H6871" s="121" t="s">
        <v>4486</v>
      </c>
    </row>
    <row r="6872" spans="1:9" ht="15" x14ac:dyDescent="0.2">
      <c r="A6872" s="597">
        <v>43524</v>
      </c>
      <c r="B6872" s="63" t="s">
        <v>2652</v>
      </c>
      <c r="C6872" s="63" t="s">
        <v>3145</v>
      </c>
      <c r="D6872" s="183" t="s">
        <v>4680</v>
      </c>
      <c r="E6872" s="126">
        <v>59716</v>
      </c>
      <c r="F6872" s="126"/>
      <c r="G6872" s="126">
        <f t="shared" si="112"/>
        <v>-59716</v>
      </c>
      <c r="H6872" s="121" t="s">
        <v>4486</v>
      </c>
    </row>
    <row r="6873" spans="1:9" ht="15" x14ac:dyDescent="0.2">
      <c r="A6873" s="597">
        <v>43524</v>
      </c>
      <c r="B6873" s="63" t="s">
        <v>25</v>
      </c>
      <c r="C6873" s="63" t="s">
        <v>3145</v>
      </c>
      <c r="D6873" s="183" t="s">
        <v>4681</v>
      </c>
      <c r="E6873" s="126">
        <v>11290</v>
      </c>
      <c r="F6873" s="126"/>
      <c r="G6873" s="126">
        <f t="shared" si="112"/>
        <v>-11290</v>
      </c>
      <c r="H6873" s="121" t="s">
        <v>4486</v>
      </c>
    </row>
    <row r="6874" spans="1:9" ht="15" x14ac:dyDescent="0.2">
      <c r="A6874" s="602">
        <v>43497</v>
      </c>
      <c r="B6874" s="174" t="s">
        <v>1400</v>
      </c>
      <c r="C6874" s="174" t="s">
        <v>929</v>
      </c>
      <c r="D6874" s="118" t="s">
        <v>4482</v>
      </c>
      <c r="E6874" s="236">
        <v>28000</v>
      </c>
      <c r="F6874" s="236"/>
      <c r="G6874" s="236">
        <f t="shared" si="112"/>
        <v>-28000</v>
      </c>
      <c r="H6874" s="244" t="s">
        <v>4486</v>
      </c>
      <c r="I6874" s="40"/>
    </row>
    <row r="6875" spans="1:9" ht="15" x14ac:dyDescent="0.2">
      <c r="A6875" s="602">
        <v>43497</v>
      </c>
      <c r="B6875" s="174" t="s">
        <v>2933</v>
      </c>
      <c r="C6875" s="174" t="s">
        <v>3145</v>
      </c>
      <c r="D6875" s="118" t="s">
        <v>5607</v>
      </c>
      <c r="E6875" s="236">
        <v>100000</v>
      </c>
      <c r="F6875" s="236"/>
      <c r="G6875" s="236">
        <f t="shared" si="112"/>
        <v>-100000</v>
      </c>
      <c r="H6875" s="244" t="s">
        <v>4486</v>
      </c>
      <c r="I6875" s="40"/>
    </row>
    <row r="6876" spans="1:9" ht="15" x14ac:dyDescent="0.2">
      <c r="A6876" s="602">
        <v>43497</v>
      </c>
      <c r="B6876" s="174" t="s">
        <v>2933</v>
      </c>
      <c r="C6876" s="174" t="s">
        <v>4273</v>
      </c>
      <c r="D6876" s="118" t="s">
        <v>4483</v>
      </c>
      <c r="E6876" s="236">
        <v>59000</v>
      </c>
      <c r="F6876" s="236"/>
      <c r="G6876" s="236">
        <f t="shared" si="112"/>
        <v>-59000</v>
      </c>
      <c r="H6876" s="244" t="s">
        <v>4486</v>
      </c>
      <c r="I6876" s="40"/>
    </row>
    <row r="6877" spans="1:9" ht="15" x14ac:dyDescent="0.2">
      <c r="A6877" s="602">
        <v>43497</v>
      </c>
      <c r="B6877" s="174" t="s">
        <v>2933</v>
      </c>
      <c r="C6877" s="174" t="s">
        <v>3085</v>
      </c>
      <c r="D6877" s="118" t="s">
        <v>4483</v>
      </c>
      <c r="E6877" s="236">
        <v>83000</v>
      </c>
      <c r="F6877" s="236"/>
      <c r="G6877" s="236">
        <f t="shared" si="112"/>
        <v>-83000</v>
      </c>
      <c r="H6877" s="244" t="s">
        <v>4486</v>
      </c>
      <c r="I6877" s="40"/>
    </row>
    <row r="6878" spans="1:9" ht="15" x14ac:dyDescent="0.2">
      <c r="A6878" s="602">
        <v>43497</v>
      </c>
      <c r="B6878" s="174" t="s">
        <v>2652</v>
      </c>
      <c r="C6878" s="174" t="s">
        <v>4385</v>
      </c>
      <c r="D6878" s="118" t="s">
        <v>4484</v>
      </c>
      <c r="E6878" s="236">
        <v>50000</v>
      </c>
      <c r="F6878" s="236"/>
      <c r="G6878" s="236">
        <f t="shared" si="112"/>
        <v>-50000</v>
      </c>
      <c r="H6878" s="244" t="s">
        <v>4486</v>
      </c>
      <c r="I6878" s="40"/>
    </row>
    <row r="6879" spans="1:9" ht="15" x14ac:dyDescent="0.2">
      <c r="A6879" s="602">
        <v>43497</v>
      </c>
      <c r="B6879" s="174" t="s">
        <v>3733</v>
      </c>
      <c r="C6879" s="174" t="s">
        <v>3145</v>
      </c>
      <c r="D6879" s="118" t="s">
        <v>4505</v>
      </c>
      <c r="E6879" s="236">
        <v>130000</v>
      </c>
      <c r="F6879" s="236"/>
      <c r="G6879" s="236">
        <f t="shared" si="112"/>
        <v>-130000</v>
      </c>
      <c r="H6879" s="244" t="s">
        <v>4486</v>
      </c>
      <c r="I6879" s="40"/>
    </row>
    <row r="6880" spans="1:9" ht="15" x14ac:dyDescent="0.2">
      <c r="A6880" s="602">
        <v>43497</v>
      </c>
      <c r="B6880" s="174" t="s">
        <v>3733</v>
      </c>
      <c r="C6880" s="174" t="s">
        <v>3145</v>
      </c>
      <c r="D6880" s="118" t="s">
        <v>4506</v>
      </c>
      <c r="E6880" s="236">
        <v>6000</v>
      </c>
      <c r="F6880" s="236"/>
      <c r="G6880" s="236">
        <f t="shared" si="112"/>
        <v>-6000</v>
      </c>
      <c r="H6880" s="244" t="s">
        <v>4486</v>
      </c>
      <c r="I6880" s="40"/>
    </row>
    <row r="6881" spans="1:9" ht="15" x14ac:dyDescent="0.2">
      <c r="A6881" s="602">
        <v>43500</v>
      </c>
      <c r="B6881" s="174" t="s">
        <v>1400</v>
      </c>
      <c r="C6881" s="174" t="s">
        <v>2338</v>
      </c>
      <c r="D6881" s="118" t="s">
        <v>4488</v>
      </c>
      <c r="E6881" s="236">
        <v>53000</v>
      </c>
      <c r="F6881" s="236"/>
      <c r="G6881" s="236">
        <f t="shared" si="112"/>
        <v>-53000</v>
      </c>
      <c r="H6881" s="244" t="s">
        <v>4486</v>
      </c>
      <c r="I6881" s="40"/>
    </row>
    <row r="6882" spans="1:9" ht="15" x14ac:dyDescent="0.2">
      <c r="A6882" s="602">
        <v>43500</v>
      </c>
      <c r="B6882" s="174" t="s">
        <v>1400</v>
      </c>
      <c r="C6882" s="174" t="s">
        <v>2515</v>
      </c>
      <c r="D6882" s="118" t="s">
        <v>4489</v>
      </c>
      <c r="E6882" s="236">
        <v>34000</v>
      </c>
      <c r="F6882" s="236"/>
      <c r="G6882" s="236">
        <f t="shared" si="112"/>
        <v>-34000</v>
      </c>
      <c r="H6882" s="244" t="s">
        <v>4486</v>
      </c>
      <c r="I6882" s="40"/>
    </row>
    <row r="6883" spans="1:9" ht="15" x14ac:dyDescent="0.2">
      <c r="A6883" s="602">
        <v>43500</v>
      </c>
      <c r="B6883" s="174" t="s">
        <v>1400</v>
      </c>
      <c r="C6883" s="174" t="s">
        <v>4444</v>
      </c>
      <c r="D6883" s="118" t="s">
        <v>4490</v>
      </c>
      <c r="E6883" s="236">
        <v>500000</v>
      </c>
      <c r="F6883" s="236"/>
      <c r="G6883" s="236">
        <f t="shared" si="112"/>
        <v>-500000</v>
      </c>
      <c r="H6883" s="244" t="s">
        <v>4486</v>
      </c>
      <c r="I6883" s="40"/>
    </row>
    <row r="6884" spans="1:9" ht="15" x14ac:dyDescent="0.2">
      <c r="A6884" s="602">
        <v>43500</v>
      </c>
      <c r="B6884" s="174" t="s">
        <v>1400</v>
      </c>
      <c r="C6884" s="174" t="s">
        <v>4491</v>
      </c>
      <c r="D6884" s="118" t="s">
        <v>4492</v>
      </c>
      <c r="E6884" s="236">
        <v>35000</v>
      </c>
      <c r="F6884" s="236"/>
      <c r="G6884" s="236">
        <f t="shared" si="112"/>
        <v>-35000</v>
      </c>
      <c r="H6884" s="244" t="s">
        <v>4486</v>
      </c>
      <c r="I6884" s="40"/>
    </row>
    <row r="6885" spans="1:9" ht="15" x14ac:dyDescent="0.2">
      <c r="A6885" s="602">
        <v>43500</v>
      </c>
      <c r="B6885" s="174" t="s">
        <v>1400</v>
      </c>
      <c r="C6885" s="174" t="s">
        <v>1875</v>
      </c>
      <c r="D6885" s="118" t="s">
        <v>4493</v>
      </c>
      <c r="E6885" s="236">
        <v>30000</v>
      </c>
      <c r="F6885" s="236"/>
      <c r="G6885" s="236">
        <f t="shared" si="112"/>
        <v>-30000</v>
      </c>
      <c r="H6885" s="244" t="s">
        <v>4486</v>
      </c>
      <c r="I6885" s="40"/>
    </row>
    <row r="6886" spans="1:9" ht="15" x14ac:dyDescent="0.2">
      <c r="A6886" s="602">
        <v>43503</v>
      </c>
      <c r="B6886" s="174" t="s">
        <v>1400</v>
      </c>
      <c r="C6886" s="174" t="s">
        <v>1875</v>
      </c>
      <c r="D6886" s="118" t="s">
        <v>1157</v>
      </c>
      <c r="E6886" s="236">
        <v>30000</v>
      </c>
      <c r="F6886" s="236"/>
      <c r="G6886" s="236">
        <f t="shared" si="112"/>
        <v>-30000</v>
      </c>
      <c r="H6886" s="244" t="s">
        <v>4486</v>
      </c>
      <c r="I6886" s="40"/>
    </row>
    <row r="6887" spans="1:9" ht="15" x14ac:dyDescent="0.2">
      <c r="A6887" s="602">
        <v>43502</v>
      </c>
      <c r="B6887" s="174" t="s">
        <v>2933</v>
      </c>
      <c r="C6887" s="174" t="s">
        <v>3112</v>
      </c>
      <c r="D6887" s="118" t="s">
        <v>4497</v>
      </c>
      <c r="E6887" s="236">
        <v>250000</v>
      </c>
      <c r="F6887" s="236"/>
      <c r="G6887" s="236">
        <f t="shared" si="112"/>
        <v>-250000</v>
      </c>
      <c r="H6887" s="244" t="s">
        <v>4486</v>
      </c>
      <c r="I6887" s="40"/>
    </row>
    <row r="6888" spans="1:9" ht="24" x14ac:dyDescent="0.2">
      <c r="A6888" s="602">
        <v>43502</v>
      </c>
      <c r="B6888" s="174" t="s">
        <v>2933</v>
      </c>
      <c r="C6888" s="174" t="s">
        <v>4334</v>
      </c>
      <c r="D6888" s="118" t="s">
        <v>4499</v>
      </c>
      <c r="E6888" s="236">
        <v>50000</v>
      </c>
      <c r="F6888" s="236"/>
      <c r="G6888" s="236">
        <f t="shared" si="112"/>
        <v>-50000</v>
      </c>
      <c r="H6888" s="244" t="s">
        <v>4486</v>
      </c>
      <c r="I6888" s="40"/>
    </row>
    <row r="6889" spans="1:9" ht="15" x14ac:dyDescent="0.2">
      <c r="A6889" s="602">
        <v>43502</v>
      </c>
      <c r="B6889" s="174" t="s">
        <v>2652</v>
      </c>
      <c r="C6889" s="174" t="s">
        <v>3958</v>
      </c>
      <c r="D6889" s="118" t="s">
        <v>4498</v>
      </c>
      <c r="E6889" s="236">
        <v>25000</v>
      </c>
      <c r="F6889" s="236"/>
      <c r="G6889" s="236">
        <f t="shared" si="112"/>
        <v>-25000</v>
      </c>
      <c r="H6889" s="244" t="s">
        <v>4486</v>
      </c>
      <c r="I6889" s="40"/>
    </row>
    <row r="6890" spans="1:9" ht="15" x14ac:dyDescent="0.2">
      <c r="A6890" s="602">
        <v>43502</v>
      </c>
      <c r="B6890" s="174" t="s">
        <v>2933</v>
      </c>
      <c r="C6890" s="174" t="s">
        <v>4500</v>
      </c>
      <c r="D6890" s="118" t="s">
        <v>4501</v>
      </c>
      <c r="E6890" s="236">
        <v>42000</v>
      </c>
      <c r="F6890" s="236"/>
      <c r="G6890" s="236">
        <f t="shared" si="112"/>
        <v>-42000</v>
      </c>
      <c r="H6890" s="244" t="s">
        <v>4486</v>
      </c>
      <c r="I6890" s="40"/>
    </row>
    <row r="6891" spans="1:9" ht="15" x14ac:dyDescent="0.2">
      <c r="A6891" s="602">
        <v>43502</v>
      </c>
      <c r="B6891" s="174" t="s">
        <v>2652</v>
      </c>
      <c r="C6891" s="174" t="s">
        <v>4502</v>
      </c>
      <c r="D6891" s="118" t="s">
        <v>4503</v>
      </c>
      <c r="E6891" s="236">
        <v>30000</v>
      </c>
      <c r="F6891" s="236"/>
      <c r="G6891" s="236">
        <f t="shared" si="112"/>
        <v>-30000</v>
      </c>
      <c r="H6891" s="244" t="s">
        <v>4486</v>
      </c>
      <c r="I6891" s="40"/>
    </row>
    <row r="6892" spans="1:9" ht="15" x14ac:dyDescent="0.2">
      <c r="A6892" s="602">
        <v>43502</v>
      </c>
      <c r="B6892" s="174" t="s">
        <v>1400</v>
      </c>
      <c r="C6892" s="174" t="s">
        <v>1875</v>
      </c>
      <c r="D6892" s="118" t="s">
        <v>4508</v>
      </c>
      <c r="E6892" s="236">
        <v>30000</v>
      </c>
      <c r="F6892" s="236"/>
      <c r="G6892" s="236">
        <f t="shared" si="112"/>
        <v>-30000</v>
      </c>
      <c r="H6892" s="244" t="s">
        <v>4486</v>
      </c>
      <c r="I6892" s="40"/>
    </row>
    <row r="6893" spans="1:9" ht="15" x14ac:dyDescent="0.2">
      <c r="A6893" s="602">
        <v>43503</v>
      </c>
      <c r="B6893" s="174" t="s">
        <v>1400</v>
      </c>
      <c r="C6893" s="174" t="s">
        <v>4444</v>
      </c>
      <c r="D6893" s="118" t="s">
        <v>4494</v>
      </c>
      <c r="E6893" s="236">
        <v>500000</v>
      </c>
      <c r="F6893" s="236"/>
      <c r="G6893" s="236">
        <f t="shared" si="112"/>
        <v>-500000</v>
      </c>
      <c r="H6893" s="244" t="s">
        <v>4486</v>
      </c>
      <c r="I6893" s="40"/>
    </row>
    <row r="6894" spans="1:9" ht="15" x14ac:dyDescent="0.2">
      <c r="A6894" s="602">
        <v>43503</v>
      </c>
      <c r="B6894" s="174" t="s">
        <v>2652</v>
      </c>
      <c r="C6894" s="174" t="s">
        <v>4495</v>
      </c>
      <c r="D6894" s="118" t="s">
        <v>4496</v>
      </c>
      <c r="E6894" s="236">
        <v>45000</v>
      </c>
      <c r="F6894" s="236"/>
      <c r="G6894" s="236">
        <f t="shared" si="112"/>
        <v>-45000</v>
      </c>
      <c r="H6894" s="244" t="s">
        <v>4486</v>
      </c>
      <c r="I6894" s="40"/>
    </row>
    <row r="6895" spans="1:9" ht="15" x14ac:dyDescent="0.2">
      <c r="A6895" s="602">
        <v>43507</v>
      </c>
      <c r="B6895" s="174" t="s">
        <v>2933</v>
      </c>
      <c r="C6895" s="174" t="s">
        <v>3112</v>
      </c>
      <c r="D6895" s="118" t="s">
        <v>4509</v>
      </c>
      <c r="E6895" s="236">
        <v>30000</v>
      </c>
      <c r="F6895" s="236"/>
      <c r="G6895" s="236">
        <f t="shared" si="112"/>
        <v>-30000</v>
      </c>
      <c r="H6895" s="244" t="s">
        <v>4486</v>
      </c>
      <c r="I6895" s="40"/>
    </row>
    <row r="6896" spans="1:9" ht="15" x14ac:dyDescent="0.2">
      <c r="A6896" s="602">
        <v>43507</v>
      </c>
      <c r="B6896" s="174" t="s">
        <v>1400</v>
      </c>
      <c r="C6896" s="174" t="s">
        <v>2386</v>
      </c>
      <c r="D6896" s="118" t="s">
        <v>4409</v>
      </c>
      <c r="E6896" s="236">
        <v>60000</v>
      </c>
      <c r="F6896" s="236"/>
      <c r="G6896" s="236">
        <f t="shared" si="112"/>
        <v>-60000</v>
      </c>
      <c r="H6896" s="244" t="s">
        <v>4486</v>
      </c>
      <c r="I6896" s="40"/>
    </row>
    <row r="6897" spans="1:9" ht="15" x14ac:dyDescent="0.2">
      <c r="A6897" s="602">
        <v>43507</v>
      </c>
      <c r="B6897" s="174" t="s">
        <v>2933</v>
      </c>
      <c r="C6897" s="174" t="s">
        <v>778</v>
      </c>
      <c r="D6897" s="118" t="s">
        <v>4510</v>
      </c>
      <c r="E6897" s="236">
        <v>18000</v>
      </c>
      <c r="F6897" s="236"/>
      <c r="G6897" s="236">
        <f t="shared" si="112"/>
        <v>-18000</v>
      </c>
      <c r="H6897" s="244" t="s">
        <v>4486</v>
      </c>
      <c r="I6897" s="40"/>
    </row>
    <row r="6898" spans="1:9" ht="15" x14ac:dyDescent="0.2">
      <c r="A6898" s="602">
        <v>43507</v>
      </c>
      <c r="B6898" s="174" t="s">
        <v>392</v>
      </c>
      <c r="C6898" s="174" t="s">
        <v>3841</v>
      </c>
      <c r="D6898" s="118" t="s">
        <v>4511</v>
      </c>
      <c r="E6898" s="236">
        <v>30000</v>
      </c>
      <c r="F6898" s="236"/>
      <c r="G6898" s="236">
        <f t="shared" si="112"/>
        <v>-30000</v>
      </c>
      <c r="H6898" s="244" t="s">
        <v>4486</v>
      </c>
      <c r="I6898" s="40"/>
    </row>
    <row r="6899" spans="1:9" ht="15" x14ac:dyDescent="0.2">
      <c r="A6899" s="602">
        <v>43507</v>
      </c>
      <c r="B6899" s="174" t="s">
        <v>2933</v>
      </c>
      <c r="C6899" s="174" t="s">
        <v>1875</v>
      </c>
      <c r="D6899" s="118" t="s">
        <v>4512</v>
      </c>
      <c r="E6899" s="236">
        <v>20000</v>
      </c>
      <c r="F6899" s="236"/>
      <c r="G6899" s="236">
        <f t="shared" si="112"/>
        <v>-20000</v>
      </c>
      <c r="H6899" s="244" t="s">
        <v>4486</v>
      </c>
      <c r="I6899" s="40"/>
    </row>
    <row r="6900" spans="1:9" ht="15" x14ac:dyDescent="0.2">
      <c r="A6900" s="602">
        <v>43509</v>
      </c>
      <c r="B6900" s="174" t="s">
        <v>2933</v>
      </c>
      <c r="C6900" s="174" t="s">
        <v>895</v>
      </c>
      <c r="D6900" s="118" t="s">
        <v>4518</v>
      </c>
      <c r="E6900" s="236">
        <v>200000</v>
      </c>
      <c r="F6900" s="236"/>
      <c r="G6900" s="236">
        <f t="shared" si="112"/>
        <v>-200000</v>
      </c>
      <c r="H6900" s="244" t="s">
        <v>4486</v>
      </c>
      <c r="I6900" s="40"/>
    </row>
    <row r="6901" spans="1:9" ht="24" x14ac:dyDescent="0.2">
      <c r="A6901" s="602">
        <v>43509</v>
      </c>
      <c r="B6901" s="174" t="s">
        <v>2933</v>
      </c>
      <c r="C6901" s="174" t="s">
        <v>3772</v>
      </c>
      <c r="D6901" s="118" t="s">
        <v>4653</v>
      </c>
      <c r="E6901" s="236">
        <v>50000</v>
      </c>
      <c r="F6901" s="236"/>
      <c r="G6901" s="236">
        <f t="shared" ref="G6901:G6953" si="113">F6901-E6901</f>
        <v>-50000</v>
      </c>
      <c r="H6901" s="244" t="s">
        <v>4486</v>
      </c>
      <c r="I6901" s="40"/>
    </row>
    <row r="6902" spans="1:9" ht="15" x14ac:dyDescent="0.2">
      <c r="A6902" s="602">
        <v>43510</v>
      </c>
      <c r="B6902" s="174" t="s">
        <v>1400</v>
      </c>
      <c r="C6902" s="174" t="s">
        <v>4444</v>
      </c>
      <c r="D6902" s="118" t="s">
        <v>4518</v>
      </c>
      <c r="E6902" s="236">
        <v>600000</v>
      </c>
      <c r="F6902" s="236"/>
      <c r="G6902" s="236">
        <f t="shared" si="113"/>
        <v>-600000</v>
      </c>
      <c r="H6902" s="244" t="s">
        <v>4486</v>
      </c>
      <c r="I6902" s="40"/>
    </row>
    <row r="6903" spans="1:9" ht="15" x14ac:dyDescent="0.2">
      <c r="A6903" s="602">
        <v>43510</v>
      </c>
      <c r="B6903" s="174" t="s">
        <v>2652</v>
      </c>
      <c r="C6903" s="174" t="s">
        <v>4385</v>
      </c>
      <c r="D6903" s="118" t="s">
        <v>4519</v>
      </c>
      <c r="E6903" s="236">
        <v>50000</v>
      </c>
      <c r="F6903" s="236"/>
      <c r="G6903" s="236">
        <f t="shared" si="113"/>
        <v>-50000</v>
      </c>
      <c r="H6903" s="244" t="s">
        <v>4486</v>
      </c>
      <c r="I6903" s="40"/>
    </row>
    <row r="6904" spans="1:9" ht="15" x14ac:dyDescent="0.2">
      <c r="A6904" s="602">
        <v>43511</v>
      </c>
      <c r="B6904" s="174" t="s">
        <v>1400</v>
      </c>
      <c r="C6904" s="174" t="s">
        <v>3145</v>
      </c>
      <c r="D6904" s="118" t="s">
        <v>3588</v>
      </c>
      <c r="E6904" s="236">
        <v>71949</v>
      </c>
      <c r="F6904" s="236"/>
      <c r="G6904" s="236">
        <f t="shared" si="113"/>
        <v>-71949</v>
      </c>
      <c r="H6904" s="244" t="s">
        <v>4486</v>
      </c>
      <c r="I6904" s="40"/>
    </row>
    <row r="6905" spans="1:9" ht="15" x14ac:dyDescent="0.2">
      <c r="A6905" s="602">
        <v>43512</v>
      </c>
      <c r="B6905" s="174" t="s">
        <v>2652</v>
      </c>
      <c r="C6905" s="174" t="s">
        <v>4331</v>
      </c>
      <c r="D6905" s="118" t="s">
        <v>4563</v>
      </c>
      <c r="E6905" s="236">
        <v>121000</v>
      </c>
      <c r="F6905" s="236"/>
      <c r="G6905" s="236">
        <f t="shared" si="113"/>
        <v>-121000</v>
      </c>
      <c r="H6905" s="244" t="s">
        <v>4486</v>
      </c>
      <c r="I6905" s="40"/>
    </row>
    <row r="6906" spans="1:9" ht="15" x14ac:dyDescent="0.2">
      <c r="A6906" s="602">
        <v>43514</v>
      </c>
      <c r="B6906" s="174" t="s">
        <v>1400</v>
      </c>
      <c r="C6906" s="174" t="s">
        <v>2338</v>
      </c>
      <c r="D6906" s="118" t="s">
        <v>4564</v>
      </c>
      <c r="E6906" s="236">
        <v>83843</v>
      </c>
      <c r="F6906" s="236"/>
      <c r="G6906" s="236">
        <f t="shared" si="113"/>
        <v>-83843</v>
      </c>
      <c r="H6906" s="244" t="s">
        <v>4486</v>
      </c>
      <c r="I6906" s="40"/>
    </row>
    <row r="6907" spans="1:9" ht="24" x14ac:dyDescent="0.2">
      <c r="A6907" s="602">
        <v>43514</v>
      </c>
      <c r="B6907" s="174" t="s">
        <v>2933</v>
      </c>
      <c r="C6907" s="174" t="s">
        <v>6170</v>
      </c>
      <c r="D6907" s="118" t="s">
        <v>4565</v>
      </c>
      <c r="E6907" s="236">
        <v>50000</v>
      </c>
      <c r="F6907" s="236"/>
      <c r="G6907" s="236">
        <f t="shared" si="113"/>
        <v>-50000</v>
      </c>
      <c r="H6907" s="244" t="s">
        <v>4486</v>
      </c>
      <c r="I6907" s="40"/>
    </row>
    <row r="6908" spans="1:9" ht="15" x14ac:dyDescent="0.2">
      <c r="A6908" s="602">
        <v>43514</v>
      </c>
      <c r="B6908" s="174" t="s">
        <v>3622</v>
      </c>
      <c r="C6908" s="174" t="s">
        <v>4566</v>
      </c>
      <c r="D6908" s="118" t="s">
        <v>4567</v>
      </c>
      <c r="E6908" s="236">
        <v>25000</v>
      </c>
      <c r="F6908" s="236"/>
      <c r="G6908" s="236">
        <f t="shared" si="113"/>
        <v>-25000</v>
      </c>
      <c r="H6908" s="244" t="s">
        <v>4486</v>
      </c>
      <c r="I6908" s="40"/>
    </row>
    <row r="6909" spans="1:9" ht="15" x14ac:dyDescent="0.2">
      <c r="A6909" s="602">
        <v>43514</v>
      </c>
      <c r="B6909" s="174" t="s">
        <v>3733</v>
      </c>
      <c r="C6909" s="174" t="s">
        <v>2160</v>
      </c>
      <c r="D6909" s="118" t="s">
        <v>4568</v>
      </c>
      <c r="E6909" s="236">
        <v>23000</v>
      </c>
      <c r="F6909" s="236"/>
      <c r="G6909" s="236">
        <f t="shared" si="113"/>
        <v>-23000</v>
      </c>
      <c r="H6909" s="244" t="s">
        <v>4486</v>
      </c>
      <c r="I6909" s="40"/>
    </row>
    <row r="6910" spans="1:9" ht="15" x14ac:dyDescent="0.2">
      <c r="A6910" s="602">
        <v>43514</v>
      </c>
      <c r="B6910" s="174" t="s">
        <v>1400</v>
      </c>
      <c r="C6910" s="174" t="s">
        <v>4569</v>
      </c>
      <c r="D6910" s="118" t="s">
        <v>4570</v>
      </c>
      <c r="E6910" s="236">
        <v>71000</v>
      </c>
      <c r="F6910" s="236"/>
      <c r="G6910" s="236">
        <f t="shared" si="113"/>
        <v>-71000</v>
      </c>
      <c r="H6910" s="244" t="s">
        <v>4486</v>
      </c>
      <c r="I6910" s="40"/>
    </row>
    <row r="6911" spans="1:9" ht="15" x14ac:dyDescent="0.2">
      <c r="A6911" s="602">
        <v>43515</v>
      </c>
      <c r="B6911" s="174" t="s">
        <v>2652</v>
      </c>
      <c r="C6911" s="174" t="s">
        <v>3011</v>
      </c>
      <c r="D6911" s="118" t="s">
        <v>4577</v>
      </c>
      <c r="E6911" s="236">
        <v>65000</v>
      </c>
      <c r="F6911" s="236"/>
      <c r="G6911" s="236">
        <f t="shared" si="113"/>
        <v>-65000</v>
      </c>
      <c r="H6911" s="244" t="s">
        <v>4486</v>
      </c>
      <c r="I6911" s="40"/>
    </row>
    <row r="6912" spans="1:9" ht="15" x14ac:dyDescent="0.2">
      <c r="A6912" s="602">
        <v>43515</v>
      </c>
      <c r="B6912" s="174" t="s">
        <v>3733</v>
      </c>
      <c r="C6912" s="174" t="s">
        <v>3011</v>
      </c>
      <c r="D6912" s="118" t="s">
        <v>4577</v>
      </c>
      <c r="E6912" s="236">
        <v>135000</v>
      </c>
      <c r="F6912" s="236"/>
      <c r="G6912" s="236">
        <f t="shared" si="113"/>
        <v>-135000</v>
      </c>
      <c r="H6912" s="244" t="s">
        <v>4486</v>
      </c>
      <c r="I6912" s="40"/>
    </row>
    <row r="6913" spans="1:9" ht="15" x14ac:dyDescent="0.2">
      <c r="A6913" s="602">
        <v>43515</v>
      </c>
      <c r="B6913" s="174" t="s">
        <v>2933</v>
      </c>
      <c r="C6913" s="174" t="s">
        <v>2196</v>
      </c>
      <c r="D6913" s="118" t="s">
        <v>4577</v>
      </c>
      <c r="E6913" s="236">
        <v>156834</v>
      </c>
      <c r="F6913" s="236"/>
      <c r="G6913" s="236">
        <f t="shared" si="113"/>
        <v>-156834</v>
      </c>
      <c r="H6913" s="244" t="s">
        <v>4486</v>
      </c>
      <c r="I6913" s="40"/>
    </row>
    <row r="6914" spans="1:9" ht="15" x14ac:dyDescent="0.2">
      <c r="A6914" s="602">
        <v>43515</v>
      </c>
      <c r="B6914" s="174" t="s">
        <v>1400</v>
      </c>
      <c r="C6914" s="174" t="s">
        <v>2196</v>
      </c>
      <c r="D6914" s="118" t="s">
        <v>4577</v>
      </c>
      <c r="E6914" s="236">
        <v>16200</v>
      </c>
      <c r="F6914" s="236"/>
      <c r="G6914" s="236">
        <f t="shared" si="113"/>
        <v>-16200</v>
      </c>
      <c r="H6914" s="244" t="s">
        <v>4486</v>
      </c>
      <c r="I6914" s="40"/>
    </row>
    <row r="6915" spans="1:9" ht="15" x14ac:dyDescent="0.2">
      <c r="A6915" s="602">
        <v>43515</v>
      </c>
      <c r="B6915" s="174" t="s">
        <v>2652</v>
      </c>
      <c r="C6915" s="174" t="s">
        <v>2196</v>
      </c>
      <c r="D6915" s="118" t="s">
        <v>4577</v>
      </c>
      <c r="E6915" s="236">
        <v>4626</v>
      </c>
      <c r="F6915" s="236"/>
      <c r="G6915" s="236">
        <f t="shared" si="113"/>
        <v>-4626</v>
      </c>
      <c r="H6915" s="244" t="s">
        <v>4486</v>
      </c>
      <c r="I6915" s="40"/>
    </row>
    <row r="6916" spans="1:9" ht="15" x14ac:dyDescent="0.2">
      <c r="A6916" s="602">
        <v>43515</v>
      </c>
      <c r="B6916" s="174" t="s">
        <v>2933</v>
      </c>
      <c r="C6916" s="174" t="s">
        <v>573</v>
      </c>
      <c r="D6916" s="118" t="s">
        <v>4579</v>
      </c>
      <c r="E6916" s="236">
        <v>300000</v>
      </c>
      <c r="F6916" s="236"/>
      <c r="G6916" s="236">
        <f t="shared" si="113"/>
        <v>-300000</v>
      </c>
      <c r="H6916" s="244" t="s">
        <v>4486</v>
      </c>
      <c r="I6916" s="40"/>
    </row>
    <row r="6917" spans="1:9" ht="15" x14ac:dyDescent="0.2">
      <c r="A6917" s="602">
        <v>43515</v>
      </c>
      <c r="B6917" s="174" t="s">
        <v>2933</v>
      </c>
      <c r="C6917" s="174" t="s">
        <v>3707</v>
      </c>
      <c r="D6917" s="118" t="s">
        <v>4575</v>
      </c>
      <c r="E6917" s="236">
        <v>400000</v>
      </c>
      <c r="F6917" s="236"/>
      <c r="G6917" s="236">
        <f t="shared" si="113"/>
        <v>-400000</v>
      </c>
      <c r="H6917" s="244" t="s">
        <v>4486</v>
      </c>
      <c r="I6917" s="40"/>
    </row>
    <row r="6918" spans="1:9" ht="15" x14ac:dyDescent="0.2">
      <c r="A6918" s="602">
        <v>43515</v>
      </c>
      <c r="B6918" s="174" t="s">
        <v>1400</v>
      </c>
      <c r="C6918" s="174" t="s">
        <v>379</v>
      </c>
      <c r="D6918" s="118" t="s">
        <v>4574</v>
      </c>
      <c r="E6918" s="236">
        <v>100000</v>
      </c>
      <c r="F6918" s="236"/>
      <c r="G6918" s="236">
        <f t="shared" si="113"/>
        <v>-100000</v>
      </c>
      <c r="H6918" s="244" t="s">
        <v>4486</v>
      </c>
      <c r="I6918" s="40"/>
    </row>
    <row r="6919" spans="1:9" ht="24" x14ac:dyDescent="0.2">
      <c r="A6919" s="602">
        <v>43515</v>
      </c>
      <c r="B6919" s="174" t="s">
        <v>2652</v>
      </c>
      <c r="C6919" s="174" t="s">
        <v>4581</v>
      </c>
      <c r="D6919" s="118" t="s">
        <v>4580</v>
      </c>
      <c r="E6919" s="236">
        <v>180500</v>
      </c>
      <c r="F6919" s="236"/>
      <c r="G6919" s="236">
        <f t="shared" si="113"/>
        <v>-180500</v>
      </c>
      <c r="H6919" s="244" t="s">
        <v>4486</v>
      </c>
      <c r="I6919" s="40"/>
    </row>
    <row r="6920" spans="1:9" ht="15" x14ac:dyDescent="0.2">
      <c r="A6920" s="602">
        <v>43515</v>
      </c>
      <c r="B6920" s="174" t="s">
        <v>2787</v>
      </c>
      <c r="C6920" s="174" t="s">
        <v>359</v>
      </c>
      <c r="D6920" s="118" t="s">
        <v>4576</v>
      </c>
      <c r="E6920" s="236">
        <v>500000</v>
      </c>
      <c r="F6920" s="236"/>
      <c r="G6920" s="236">
        <f t="shared" si="113"/>
        <v>-500000</v>
      </c>
      <c r="H6920" s="244" t="s">
        <v>4486</v>
      </c>
      <c r="I6920" s="40"/>
    </row>
    <row r="6921" spans="1:9" ht="24" x14ac:dyDescent="0.2">
      <c r="A6921" s="602">
        <v>43516</v>
      </c>
      <c r="B6921" s="174" t="s">
        <v>2933</v>
      </c>
      <c r="C6921" s="174" t="s">
        <v>4513</v>
      </c>
      <c r="D6921" s="118" t="s">
        <v>4584</v>
      </c>
      <c r="E6921" s="236">
        <v>111300</v>
      </c>
      <c r="F6921" s="236"/>
      <c r="G6921" s="236">
        <f t="shared" si="113"/>
        <v>-111300</v>
      </c>
      <c r="H6921" s="244" t="s">
        <v>4486</v>
      </c>
      <c r="I6921" s="40"/>
    </row>
    <row r="6922" spans="1:9" ht="15" x14ac:dyDescent="0.2">
      <c r="A6922" s="602">
        <v>43516</v>
      </c>
      <c r="B6922" s="174" t="s">
        <v>1400</v>
      </c>
      <c r="C6922" s="174" t="s">
        <v>4444</v>
      </c>
      <c r="D6922" s="118" t="s">
        <v>4585</v>
      </c>
      <c r="E6922" s="236">
        <v>400000</v>
      </c>
      <c r="F6922" s="236"/>
      <c r="G6922" s="236">
        <f t="shared" si="113"/>
        <v>-400000</v>
      </c>
      <c r="H6922" s="244" t="s">
        <v>4486</v>
      </c>
      <c r="I6922" s="40"/>
    </row>
    <row r="6923" spans="1:9" ht="15" x14ac:dyDescent="0.2">
      <c r="A6923" s="602">
        <v>43516</v>
      </c>
      <c r="B6923" s="174" t="s">
        <v>2933</v>
      </c>
      <c r="C6923" s="174" t="s">
        <v>2128</v>
      </c>
      <c r="D6923" s="118" t="s">
        <v>4586</v>
      </c>
      <c r="E6923" s="236">
        <v>146211</v>
      </c>
      <c r="F6923" s="236"/>
      <c r="G6923" s="236">
        <f t="shared" si="113"/>
        <v>-146211</v>
      </c>
      <c r="H6923" s="244" t="s">
        <v>4486</v>
      </c>
      <c r="I6923" s="40"/>
    </row>
    <row r="6924" spans="1:9" ht="15" x14ac:dyDescent="0.2">
      <c r="A6924" s="602">
        <v>43516</v>
      </c>
      <c r="B6924" s="174" t="s">
        <v>1400</v>
      </c>
      <c r="C6924" s="174" t="s">
        <v>2128</v>
      </c>
      <c r="D6924" s="118" t="s">
        <v>4586</v>
      </c>
      <c r="E6924" s="236">
        <v>19440</v>
      </c>
      <c r="F6924" s="236"/>
      <c r="G6924" s="236">
        <f t="shared" si="113"/>
        <v>-19440</v>
      </c>
      <c r="H6924" s="244" t="s">
        <v>4486</v>
      </c>
      <c r="I6924" s="40"/>
    </row>
    <row r="6925" spans="1:9" ht="15" x14ac:dyDescent="0.2">
      <c r="A6925" s="602">
        <v>43516</v>
      </c>
      <c r="B6925" s="174" t="s">
        <v>3622</v>
      </c>
      <c r="C6925" s="174" t="s">
        <v>2128</v>
      </c>
      <c r="D6925" s="118" t="s">
        <v>4586</v>
      </c>
      <c r="E6925" s="236">
        <v>18480</v>
      </c>
      <c r="F6925" s="236"/>
      <c r="G6925" s="236">
        <f t="shared" si="113"/>
        <v>-18480</v>
      </c>
      <c r="H6925" s="244" t="s">
        <v>4486</v>
      </c>
      <c r="I6925" s="40"/>
    </row>
    <row r="6926" spans="1:9" ht="15" x14ac:dyDescent="0.2">
      <c r="A6926" s="602">
        <v>43516</v>
      </c>
      <c r="B6926" s="174" t="s">
        <v>1400</v>
      </c>
      <c r="C6926" s="174" t="s">
        <v>2128</v>
      </c>
      <c r="D6926" s="118" t="s">
        <v>4586</v>
      </c>
      <c r="E6926" s="236">
        <v>37539</v>
      </c>
      <c r="F6926" s="236"/>
      <c r="G6926" s="236">
        <f t="shared" si="113"/>
        <v>-37539</v>
      </c>
      <c r="H6926" s="244" t="s">
        <v>4486</v>
      </c>
      <c r="I6926" s="40"/>
    </row>
    <row r="6927" spans="1:9" ht="15" x14ac:dyDescent="0.2">
      <c r="A6927" s="602">
        <v>43516</v>
      </c>
      <c r="B6927" s="174" t="s">
        <v>2933</v>
      </c>
      <c r="C6927" s="174" t="s">
        <v>2128</v>
      </c>
      <c r="D6927" s="118" t="s">
        <v>4587</v>
      </c>
      <c r="E6927" s="236">
        <v>300000</v>
      </c>
      <c r="F6927" s="236"/>
      <c r="G6927" s="236">
        <f t="shared" si="113"/>
        <v>-300000</v>
      </c>
      <c r="H6927" s="244" t="s">
        <v>4486</v>
      </c>
      <c r="I6927" s="40"/>
    </row>
    <row r="6928" spans="1:9" ht="15" x14ac:dyDescent="0.2">
      <c r="A6928" s="602">
        <v>43518</v>
      </c>
      <c r="B6928" s="174" t="s">
        <v>2933</v>
      </c>
      <c r="C6928" s="174" t="s">
        <v>3112</v>
      </c>
      <c r="D6928" s="118" t="s">
        <v>4588</v>
      </c>
      <c r="E6928" s="236">
        <v>50000</v>
      </c>
      <c r="F6928" s="236"/>
      <c r="G6928" s="236">
        <f t="shared" si="113"/>
        <v>-50000</v>
      </c>
      <c r="H6928" s="244" t="s">
        <v>4486</v>
      </c>
      <c r="I6928" s="40"/>
    </row>
    <row r="6929" spans="1:9" ht="15" x14ac:dyDescent="0.2">
      <c r="A6929" s="602">
        <v>43518</v>
      </c>
      <c r="B6929" s="174" t="s">
        <v>2933</v>
      </c>
      <c r="C6929" s="174" t="s">
        <v>3112</v>
      </c>
      <c r="D6929" s="118" t="s">
        <v>4589</v>
      </c>
      <c r="E6929" s="236">
        <v>50000</v>
      </c>
      <c r="F6929" s="236"/>
      <c r="G6929" s="236">
        <f t="shared" si="113"/>
        <v>-50000</v>
      </c>
      <c r="H6929" s="244" t="s">
        <v>4486</v>
      </c>
      <c r="I6929" s="40"/>
    </row>
    <row r="6930" spans="1:9" ht="15" x14ac:dyDescent="0.2">
      <c r="A6930" s="602">
        <v>43521</v>
      </c>
      <c r="B6930" s="174" t="s">
        <v>3733</v>
      </c>
      <c r="C6930" s="174" t="s">
        <v>3145</v>
      </c>
      <c r="D6930" s="118" t="s">
        <v>4622</v>
      </c>
      <c r="E6930" s="236">
        <v>21000</v>
      </c>
      <c r="F6930" s="236"/>
      <c r="G6930" s="236">
        <f t="shared" si="113"/>
        <v>-21000</v>
      </c>
      <c r="H6930" s="244" t="s">
        <v>4486</v>
      </c>
      <c r="I6930" s="40"/>
    </row>
    <row r="6931" spans="1:9" ht="15" x14ac:dyDescent="0.2">
      <c r="A6931" s="602">
        <v>43521</v>
      </c>
      <c r="B6931" s="174" t="s">
        <v>1400</v>
      </c>
      <c r="C6931" s="174" t="s">
        <v>929</v>
      </c>
      <c r="D6931" s="118" t="s">
        <v>4623</v>
      </c>
      <c r="E6931" s="236">
        <v>39200</v>
      </c>
      <c r="F6931" s="236"/>
      <c r="G6931" s="236">
        <f t="shared" si="113"/>
        <v>-39200</v>
      </c>
      <c r="H6931" s="244" t="s">
        <v>4486</v>
      </c>
      <c r="I6931" s="40"/>
    </row>
    <row r="6932" spans="1:9" ht="15" x14ac:dyDescent="0.2">
      <c r="A6932" s="602">
        <v>43521</v>
      </c>
      <c r="B6932" s="174" t="s">
        <v>2933</v>
      </c>
      <c r="C6932" s="122" t="s">
        <v>5643</v>
      </c>
      <c r="D6932" s="118" t="s">
        <v>4624</v>
      </c>
      <c r="E6932" s="236">
        <v>50000</v>
      </c>
      <c r="F6932" s="236"/>
      <c r="G6932" s="236">
        <f t="shared" si="113"/>
        <v>-50000</v>
      </c>
      <c r="H6932" s="244" t="s">
        <v>4486</v>
      </c>
      <c r="I6932" s="40"/>
    </row>
    <row r="6933" spans="1:9" ht="15" x14ac:dyDescent="0.2">
      <c r="A6933" s="602">
        <v>43521</v>
      </c>
      <c r="B6933" s="174" t="s">
        <v>2933</v>
      </c>
      <c r="C6933" s="174" t="s">
        <v>256</v>
      </c>
      <c r="D6933" s="118" t="s">
        <v>4625</v>
      </c>
      <c r="E6933" s="236">
        <v>500000</v>
      </c>
      <c r="F6933" s="236"/>
      <c r="G6933" s="236">
        <f t="shared" si="113"/>
        <v>-500000</v>
      </c>
      <c r="H6933" s="244" t="s">
        <v>4486</v>
      </c>
      <c r="I6933" s="40"/>
    </row>
    <row r="6934" spans="1:9" ht="15" x14ac:dyDescent="0.2">
      <c r="A6934" s="602">
        <v>43521</v>
      </c>
      <c r="B6934" s="174" t="s">
        <v>1400</v>
      </c>
      <c r="C6934" s="174" t="s">
        <v>1524</v>
      </c>
      <c r="D6934" s="118" t="s">
        <v>4626</v>
      </c>
      <c r="E6934" s="236">
        <v>300000</v>
      </c>
      <c r="F6934" s="236"/>
      <c r="G6934" s="236">
        <f t="shared" si="113"/>
        <v>-300000</v>
      </c>
      <c r="H6934" s="244" t="s">
        <v>4486</v>
      </c>
      <c r="I6934" s="40"/>
    </row>
    <row r="6935" spans="1:9" ht="15" x14ac:dyDescent="0.2">
      <c r="A6935" s="602">
        <v>43521</v>
      </c>
      <c r="B6935" s="174" t="s">
        <v>1400</v>
      </c>
      <c r="C6935" s="174" t="s">
        <v>4627</v>
      </c>
      <c r="D6935" s="118" t="s">
        <v>4628</v>
      </c>
      <c r="E6935" s="236">
        <v>243600</v>
      </c>
      <c r="F6935" s="236"/>
      <c r="G6935" s="236">
        <f t="shared" si="113"/>
        <v>-243600</v>
      </c>
      <c r="H6935" s="244" t="s">
        <v>4486</v>
      </c>
      <c r="I6935" s="40"/>
    </row>
    <row r="6936" spans="1:9" ht="15" x14ac:dyDescent="0.2">
      <c r="A6936" s="602">
        <v>43521</v>
      </c>
      <c r="B6936" s="174" t="s">
        <v>2933</v>
      </c>
      <c r="C6936" s="174" t="s">
        <v>3285</v>
      </c>
      <c r="D6936" s="118" t="s">
        <v>4629</v>
      </c>
      <c r="E6936" s="236">
        <v>102000</v>
      </c>
      <c r="F6936" s="236"/>
      <c r="G6936" s="236">
        <f t="shared" si="113"/>
        <v>-102000</v>
      </c>
      <c r="H6936" s="244" t="s">
        <v>4486</v>
      </c>
      <c r="I6936" s="40"/>
    </row>
    <row r="6937" spans="1:9" ht="15.75" thickBot="1" x14ac:dyDescent="0.25">
      <c r="A6937" s="602">
        <v>43521</v>
      </c>
      <c r="B6937" s="174" t="s">
        <v>2933</v>
      </c>
      <c r="C6937" s="174" t="s">
        <v>3285</v>
      </c>
      <c r="D6937" s="118" t="s">
        <v>4630</v>
      </c>
      <c r="E6937" s="229">
        <v>100000</v>
      </c>
      <c r="F6937" s="236"/>
      <c r="G6937" s="236">
        <f t="shared" si="113"/>
        <v>-100000</v>
      </c>
      <c r="H6937" s="244" t="s">
        <v>4486</v>
      </c>
      <c r="I6937" s="40"/>
    </row>
    <row r="6938" spans="1:9" ht="24" x14ac:dyDescent="0.2">
      <c r="A6938" s="602">
        <v>43522</v>
      </c>
      <c r="B6938" s="174" t="s">
        <v>2787</v>
      </c>
      <c r="C6938" s="174" t="s">
        <v>2819</v>
      </c>
      <c r="D6938" s="814" t="s">
        <v>4631</v>
      </c>
      <c r="E6938" s="324">
        <v>4500</v>
      </c>
      <c r="F6938" s="323"/>
      <c r="G6938" s="236">
        <f t="shared" si="113"/>
        <v>-4500</v>
      </c>
      <c r="H6938" s="244" t="s">
        <v>4486</v>
      </c>
      <c r="I6938" s="40"/>
    </row>
    <row r="6939" spans="1:9" ht="24" x14ac:dyDescent="0.2">
      <c r="A6939" s="602">
        <v>43522</v>
      </c>
      <c r="B6939" s="174" t="s">
        <v>2933</v>
      </c>
      <c r="C6939" s="174" t="s">
        <v>2819</v>
      </c>
      <c r="D6939" s="814" t="s">
        <v>4631</v>
      </c>
      <c r="E6939" s="325">
        <v>378000</v>
      </c>
      <c r="F6939" s="323"/>
      <c r="G6939" s="236">
        <f t="shared" si="113"/>
        <v>-378000</v>
      </c>
      <c r="H6939" s="244" t="s">
        <v>4486</v>
      </c>
      <c r="I6939" s="40"/>
    </row>
    <row r="6940" spans="1:9" ht="24" x14ac:dyDescent="0.2">
      <c r="A6940" s="602">
        <v>43522</v>
      </c>
      <c r="B6940" s="174" t="s">
        <v>1400</v>
      </c>
      <c r="C6940" s="174" t="s">
        <v>2819</v>
      </c>
      <c r="D6940" s="814" t="s">
        <v>4631</v>
      </c>
      <c r="E6940" s="325">
        <v>327500</v>
      </c>
      <c r="F6940" s="323"/>
      <c r="G6940" s="236">
        <f t="shared" si="113"/>
        <v>-327500</v>
      </c>
      <c r="H6940" s="244" t="s">
        <v>4486</v>
      </c>
      <c r="I6940" s="40"/>
    </row>
    <row r="6941" spans="1:9" ht="24.75" thickBot="1" x14ac:dyDescent="0.25">
      <c r="A6941" s="602">
        <v>43522</v>
      </c>
      <c r="B6941" s="174" t="s">
        <v>2652</v>
      </c>
      <c r="C6941" s="174" t="s">
        <v>2819</v>
      </c>
      <c r="D6941" s="814" t="s">
        <v>4631</v>
      </c>
      <c r="E6941" s="326">
        <v>140000</v>
      </c>
      <c r="F6941" s="323"/>
      <c r="G6941" s="236">
        <f t="shared" si="113"/>
        <v>-140000</v>
      </c>
      <c r="H6941" s="244" t="s">
        <v>4486</v>
      </c>
      <c r="I6941" s="40"/>
    </row>
    <row r="6942" spans="1:9" ht="15" x14ac:dyDescent="0.2">
      <c r="A6942" s="602">
        <v>43522</v>
      </c>
      <c r="B6942" s="174" t="s">
        <v>1400</v>
      </c>
      <c r="C6942" s="174" t="s">
        <v>2819</v>
      </c>
      <c r="D6942" s="118" t="s">
        <v>4632</v>
      </c>
      <c r="E6942" s="241">
        <v>15000</v>
      </c>
      <c r="F6942" s="236"/>
      <c r="G6942" s="236">
        <f t="shared" si="113"/>
        <v>-15000</v>
      </c>
      <c r="H6942" s="244" t="s">
        <v>4486</v>
      </c>
      <c r="I6942" s="40"/>
    </row>
    <row r="6943" spans="1:9" ht="15" x14ac:dyDescent="0.2">
      <c r="A6943" s="602">
        <v>43522</v>
      </c>
      <c r="B6943" s="174" t="s">
        <v>2787</v>
      </c>
      <c r="C6943" s="174" t="s">
        <v>2819</v>
      </c>
      <c r="D6943" s="118" t="s">
        <v>4632</v>
      </c>
      <c r="E6943" s="241">
        <v>11500</v>
      </c>
      <c r="F6943" s="236"/>
      <c r="G6943" s="236">
        <f t="shared" si="113"/>
        <v>-11500</v>
      </c>
      <c r="H6943" s="244" t="s">
        <v>4486</v>
      </c>
      <c r="I6943" s="40"/>
    </row>
    <row r="6944" spans="1:9" ht="15" x14ac:dyDescent="0.2">
      <c r="A6944" s="602">
        <v>43522</v>
      </c>
      <c r="B6944" s="174" t="s">
        <v>3733</v>
      </c>
      <c r="C6944" s="174" t="s">
        <v>2819</v>
      </c>
      <c r="D6944" s="118" t="s">
        <v>4632</v>
      </c>
      <c r="E6944" s="241">
        <v>44000</v>
      </c>
      <c r="F6944" s="236"/>
      <c r="G6944" s="236">
        <f t="shared" si="113"/>
        <v>-44000</v>
      </c>
      <c r="H6944" s="244" t="s">
        <v>4486</v>
      </c>
      <c r="I6944" s="40"/>
    </row>
    <row r="6945" spans="1:9" ht="15" x14ac:dyDescent="0.2">
      <c r="A6945" s="602">
        <v>43522</v>
      </c>
      <c r="B6945" s="174" t="s">
        <v>2652</v>
      </c>
      <c r="C6945" s="174" t="s">
        <v>2819</v>
      </c>
      <c r="D6945" s="118" t="s">
        <v>4632</v>
      </c>
      <c r="E6945" s="236">
        <v>36000</v>
      </c>
      <c r="F6945" s="236"/>
      <c r="G6945" s="236">
        <f t="shared" si="113"/>
        <v>-36000</v>
      </c>
      <c r="H6945" s="244" t="s">
        <v>4486</v>
      </c>
      <c r="I6945" s="40"/>
    </row>
    <row r="6946" spans="1:9" ht="15" x14ac:dyDescent="0.2">
      <c r="A6946" s="602">
        <v>43522</v>
      </c>
      <c r="B6946" s="174" t="s">
        <v>2933</v>
      </c>
      <c r="C6946" s="174" t="s">
        <v>2819</v>
      </c>
      <c r="D6946" s="118" t="s">
        <v>4632</v>
      </c>
      <c r="E6946" s="236">
        <v>263500</v>
      </c>
      <c r="F6946" s="236"/>
      <c r="G6946" s="236">
        <f t="shared" si="113"/>
        <v>-263500</v>
      </c>
      <c r="H6946" s="244" t="s">
        <v>4486</v>
      </c>
      <c r="I6946" s="40"/>
    </row>
    <row r="6947" spans="1:9" ht="15" x14ac:dyDescent="0.2">
      <c r="A6947" s="602">
        <v>43523</v>
      </c>
      <c r="B6947" s="174" t="s">
        <v>2652</v>
      </c>
      <c r="C6947" s="174" t="s">
        <v>4385</v>
      </c>
      <c r="D6947" s="118" t="s">
        <v>4634</v>
      </c>
      <c r="E6947" s="236">
        <v>101000</v>
      </c>
      <c r="F6947" s="236"/>
      <c r="G6947" s="236">
        <f t="shared" si="113"/>
        <v>-101000</v>
      </c>
      <c r="H6947" s="244" t="s">
        <v>4486</v>
      </c>
      <c r="I6947" s="40"/>
    </row>
    <row r="6948" spans="1:9" ht="15" x14ac:dyDescent="0.2">
      <c r="A6948" s="602">
        <v>43523</v>
      </c>
      <c r="B6948" s="174" t="s">
        <v>2933</v>
      </c>
      <c r="C6948" s="174" t="s">
        <v>3335</v>
      </c>
      <c r="D6948" s="118" t="s">
        <v>4635</v>
      </c>
      <c r="E6948" s="236">
        <v>103500</v>
      </c>
      <c r="F6948" s="236"/>
      <c r="G6948" s="236">
        <f t="shared" si="113"/>
        <v>-103500</v>
      </c>
      <c r="H6948" s="244" t="s">
        <v>4486</v>
      </c>
      <c r="I6948" s="40"/>
    </row>
    <row r="6949" spans="1:9" ht="46.15" customHeight="1" x14ac:dyDescent="0.2">
      <c r="A6949" s="599">
        <v>43502</v>
      </c>
      <c r="B6949" s="91" t="s">
        <v>6516</v>
      </c>
      <c r="C6949" s="94" t="s">
        <v>559</v>
      </c>
      <c r="D6949" s="802" t="s">
        <v>4487</v>
      </c>
      <c r="E6949" s="176"/>
      <c r="F6949" s="176">
        <v>720000</v>
      </c>
      <c r="G6949" s="176">
        <f t="shared" si="113"/>
        <v>720000</v>
      </c>
      <c r="H6949" s="261" t="s">
        <v>4486</v>
      </c>
    </row>
    <row r="6950" spans="1:9" ht="36" x14ac:dyDescent="0.2">
      <c r="A6950" s="599">
        <v>43502</v>
      </c>
      <c r="B6950" s="91" t="s">
        <v>6516</v>
      </c>
      <c r="C6950" s="94" t="s">
        <v>559</v>
      </c>
      <c r="D6950" s="802" t="s">
        <v>4507</v>
      </c>
      <c r="E6950" s="176"/>
      <c r="F6950" s="176">
        <v>578815</v>
      </c>
      <c r="G6950" s="176">
        <f t="shared" si="113"/>
        <v>578815</v>
      </c>
      <c r="H6950" s="261" t="s">
        <v>4486</v>
      </c>
    </row>
    <row r="6951" spans="1:9" ht="24" x14ac:dyDescent="0.2">
      <c r="A6951" s="616">
        <v>43504</v>
      </c>
      <c r="B6951" s="297" t="s">
        <v>1400</v>
      </c>
      <c r="C6951" s="297" t="s">
        <v>559</v>
      </c>
      <c r="D6951" s="815" t="s">
        <v>4760</v>
      </c>
      <c r="E6951" s="298"/>
      <c r="F6951" s="298">
        <v>1000000</v>
      </c>
      <c r="G6951" s="298">
        <f t="shared" si="113"/>
        <v>1000000</v>
      </c>
      <c r="H6951" s="299" t="s">
        <v>4486</v>
      </c>
    </row>
    <row r="6952" spans="1:9" ht="24" x14ac:dyDescent="0.2">
      <c r="A6952" s="616">
        <v>43504</v>
      </c>
      <c r="B6952" s="297" t="s">
        <v>1400</v>
      </c>
      <c r="C6952" s="297" t="s">
        <v>559</v>
      </c>
      <c r="D6952" s="815" t="s">
        <v>4760</v>
      </c>
      <c r="E6952" s="298"/>
      <c r="F6952" s="298">
        <v>1000000</v>
      </c>
      <c r="G6952" s="298">
        <f t="shared" si="113"/>
        <v>1000000</v>
      </c>
      <c r="H6952" s="299" t="s">
        <v>4486</v>
      </c>
    </row>
    <row r="6953" spans="1:9" ht="15" x14ac:dyDescent="0.2">
      <c r="A6953" s="599">
        <v>43509</v>
      </c>
      <c r="B6953" s="91" t="s">
        <v>3733</v>
      </c>
      <c r="C6953" s="91" t="s">
        <v>559</v>
      </c>
      <c r="D6953" s="801" t="s">
        <v>4571</v>
      </c>
      <c r="E6953" s="92"/>
      <c r="F6953" s="92">
        <v>1170657</v>
      </c>
      <c r="G6953" s="92">
        <f t="shared" si="113"/>
        <v>1170657</v>
      </c>
      <c r="H6953" s="261" t="s">
        <v>4486</v>
      </c>
    </row>
    <row r="6954" spans="1:9" ht="24" x14ac:dyDescent="0.2">
      <c r="A6954" s="599">
        <v>43509</v>
      </c>
      <c r="B6954" s="91" t="s">
        <v>3946</v>
      </c>
      <c r="C6954" s="91" t="s">
        <v>559</v>
      </c>
      <c r="D6954" s="798" t="s">
        <v>4520</v>
      </c>
      <c r="E6954" s="92"/>
      <c r="F6954" s="92"/>
      <c r="G6954" s="92"/>
      <c r="H6954" s="261"/>
    </row>
    <row r="6955" spans="1:9" ht="15" x14ac:dyDescent="0.2">
      <c r="A6955" s="599">
        <v>43509</v>
      </c>
      <c r="B6955" s="91" t="s">
        <v>40</v>
      </c>
      <c r="C6955" s="91" t="s">
        <v>559</v>
      </c>
      <c r="D6955" s="816" t="s">
        <v>9087</v>
      </c>
      <c r="E6955" s="92"/>
      <c r="F6955" s="92">
        <v>600000</v>
      </c>
      <c r="G6955" s="92">
        <f t="shared" ref="G6955:G7018" si="114">F6955-E6955</f>
        <v>600000</v>
      </c>
      <c r="H6955" s="261" t="s">
        <v>4486</v>
      </c>
    </row>
    <row r="6956" spans="1:9" ht="15" x14ac:dyDescent="0.2">
      <c r="A6956" s="599">
        <v>43509</v>
      </c>
      <c r="B6956" s="91" t="s">
        <v>40</v>
      </c>
      <c r="C6956" s="91" t="s">
        <v>559</v>
      </c>
      <c r="D6956" s="816" t="s">
        <v>9087</v>
      </c>
      <c r="E6956" s="92"/>
      <c r="F6956" s="92">
        <v>600000</v>
      </c>
      <c r="G6956" s="92">
        <f t="shared" si="114"/>
        <v>600000</v>
      </c>
      <c r="H6956" s="261" t="s">
        <v>4486</v>
      </c>
    </row>
    <row r="6957" spans="1:9" ht="15" x14ac:dyDescent="0.2">
      <c r="A6957" s="599">
        <v>43509</v>
      </c>
      <c r="B6957" s="91" t="s">
        <v>40</v>
      </c>
      <c r="C6957" s="91" t="s">
        <v>559</v>
      </c>
      <c r="D6957" s="816" t="s">
        <v>9087</v>
      </c>
      <c r="E6957" s="92"/>
      <c r="F6957" s="92">
        <v>780694</v>
      </c>
      <c r="G6957" s="92">
        <f t="shared" si="114"/>
        <v>780694</v>
      </c>
      <c r="H6957" s="261" t="s">
        <v>4486</v>
      </c>
    </row>
    <row r="6958" spans="1:9" ht="15" x14ac:dyDescent="0.2">
      <c r="A6958" s="599">
        <v>43509</v>
      </c>
      <c r="B6958" s="91" t="s">
        <v>2787</v>
      </c>
      <c r="C6958" s="91" t="s">
        <v>559</v>
      </c>
      <c r="D6958" s="801" t="s">
        <v>4572</v>
      </c>
      <c r="E6958" s="92"/>
      <c r="F6958" s="92">
        <v>710381</v>
      </c>
      <c r="G6958" s="92">
        <f t="shared" si="114"/>
        <v>710381</v>
      </c>
      <c r="H6958" s="261" t="s">
        <v>4486</v>
      </c>
    </row>
    <row r="6959" spans="1:9" ht="15" x14ac:dyDescent="0.2">
      <c r="A6959" s="599">
        <v>43509</v>
      </c>
      <c r="B6959" s="91" t="s">
        <v>2652</v>
      </c>
      <c r="C6959" s="91" t="s">
        <v>559</v>
      </c>
      <c r="D6959" s="801" t="s">
        <v>9088</v>
      </c>
      <c r="E6959" s="92"/>
      <c r="F6959" s="92">
        <v>1745000</v>
      </c>
      <c r="G6959" s="92">
        <f t="shared" si="114"/>
        <v>1745000</v>
      </c>
      <c r="H6959" s="261" t="s">
        <v>4486</v>
      </c>
    </row>
    <row r="6960" spans="1:9" ht="15" x14ac:dyDescent="0.2">
      <c r="A6960" s="599">
        <v>43509</v>
      </c>
      <c r="B6960" s="91" t="s">
        <v>2652</v>
      </c>
      <c r="C6960" s="91" t="s">
        <v>559</v>
      </c>
      <c r="D6960" s="801" t="s">
        <v>9089</v>
      </c>
      <c r="E6960" s="92"/>
      <c r="F6960" s="92">
        <v>1490500</v>
      </c>
      <c r="G6960" s="92">
        <f t="shared" si="114"/>
        <v>1490500</v>
      </c>
      <c r="H6960" s="261" t="s">
        <v>4486</v>
      </c>
    </row>
    <row r="6961" spans="1:8" ht="15" x14ac:dyDescent="0.2">
      <c r="A6961" s="599">
        <v>43509</v>
      </c>
      <c r="B6961" s="91" t="s">
        <v>2652</v>
      </c>
      <c r="C6961" s="91" t="s">
        <v>559</v>
      </c>
      <c r="D6961" s="801" t="s">
        <v>9090</v>
      </c>
      <c r="E6961" s="92"/>
      <c r="F6961" s="92">
        <v>1735200</v>
      </c>
      <c r="G6961" s="92">
        <f t="shared" si="114"/>
        <v>1735200</v>
      </c>
      <c r="H6961" s="261" t="s">
        <v>4486</v>
      </c>
    </row>
    <row r="6962" spans="1:8" ht="15" x14ac:dyDescent="0.2">
      <c r="A6962" s="599">
        <v>43509</v>
      </c>
      <c r="B6962" s="91" t="s">
        <v>2787</v>
      </c>
      <c r="C6962" s="91"/>
      <c r="D6962" s="801" t="s">
        <v>4573</v>
      </c>
      <c r="E6962" s="92"/>
      <c r="F6962" s="92">
        <v>-200000</v>
      </c>
      <c r="G6962" s="92">
        <f t="shared" si="114"/>
        <v>-200000</v>
      </c>
      <c r="H6962" s="261" t="s">
        <v>4486</v>
      </c>
    </row>
    <row r="6963" spans="1:8" ht="24" x14ac:dyDescent="0.2">
      <c r="A6963" s="599">
        <v>43516</v>
      </c>
      <c r="B6963" s="91" t="s">
        <v>82</v>
      </c>
      <c r="C6963" s="91" t="s">
        <v>559</v>
      </c>
      <c r="D6963" s="798" t="s">
        <v>4583</v>
      </c>
      <c r="E6963" s="92"/>
      <c r="F6963" s="92">
        <v>286366</v>
      </c>
      <c r="G6963" s="92">
        <f t="shared" si="114"/>
        <v>286366</v>
      </c>
      <c r="H6963" s="261" t="s">
        <v>4486</v>
      </c>
    </row>
    <row r="6964" spans="1:8" ht="15" x14ac:dyDescent="0.2">
      <c r="A6964" s="599">
        <v>43516</v>
      </c>
      <c r="B6964" s="91" t="s">
        <v>37</v>
      </c>
      <c r="C6964" s="91" t="s">
        <v>559</v>
      </c>
      <c r="D6964" s="801" t="s">
        <v>4582</v>
      </c>
      <c r="E6964" s="92"/>
      <c r="F6964" s="92">
        <v>157140</v>
      </c>
      <c r="G6964" s="92">
        <f t="shared" si="114"/>
        <v>157140</v>
      </c>
      <c r="H6964" s="261" t="s">
        <v>4486</v>
      </c>
    </row>
    <row r="6965" spans="1:8" ht="15" x14ac:dyDescent="0.2">
      <c r="A6965" s="599">
        <v>43521</v>
      </c>
      <c r="B6965" s="91" t="s">
        <v>3945</v>
      </c>
      <c r="C6965" s="91" t="s">
        <v>559</v>
      </c>
      <c r="D6965" s="798" t="s">
        <v>4621</v>
      </c>
      <c r="E6965" s="92"/>
      <c r="F6965" s="92">
        <v>305250</v>
      </c>
      <c r="G6965" s="92">
        <f t="shared" si="114"/>
        <v>305250</v>
      </c>
      <c r="H6965" s="261" t="s">
        <v>4486</v>
      </c>
    </row>
    <row r="6966" spans="1:8" ht="15" x14ac:dyDescent="0.2">
      <c r="A6966" s="597">
        <v>43525</v>
      </c>
      <c r="B6966" s="41" t="s">
        <v>2933</v>
      </c>
      <c r="C6966" s="41" t="s">
        <v>2503</v>
      </c>
      <c r="D6966" s="129" t="s">
        <v>1836</v>
      </c>
      <c r="E6966" s="58">
        <v>25000</v>
      </c>
      <c r="F6966" s="58"/>
      <c r="G6966" s="58">
        <f t="shared" si="114"/>
        <v>-25000</v>
      </c>
      <c r="H6966" s="121" t="s">
        <v>4650</v>
      </c>
    </row>
    <row r="6967" spans="1:8" ht="15" x14ac:dyDescent="0.2">
      <c r="A6967" s="597">
        <v>43525</v>
      </c>
      <c r="B6967" s="41" t="s">
        <v>2652</v>
      </c>
      <c r="C6967" s="41" t="s">
        <v>2503</v>
      </c>
      <c r="D6967" s="129" t="s">
        <v>1836</v>
      </c>
      <c r="E6967" s="58">
        <v>25000</v>
      </c>
      <c r="F6967" s="58"/>
      <c r="G6967" s="58">
        <f t="shared" si="114"/>
        <v>-25000</v>
      </c>
      <c r="H6967" s="121" t="s">
        <v>4650</v>
      </c>
    </row>
    <row r="6968" spans="1:8" ht="15" x14ac:dyDescent="0.2">
      <c r="A6968" s="597">
        <v>43525</v>
      </c>
      <c r="B6968" s="41" t="s">
        <v>1400</v>
      </c>
      <c r="C6968" s="41" t="s">
        <v>2503</v>
      </c>
      <c r="D6968" s="129" t="s">
        <v>1837</v>
      </c>
      <c r="E6968" s="58">
        <v>25000</v>
      </c>
      <c r="F6968" s="58"/>
      <c r="G6968" s="58">
        <f t="shared" si="114"/>
        <v>-25000</v>
      </c>
      <c r="H6968" s="121" t="s">
        <v>4650</v>
      </c>
    </row>
    <row r="6969" spans="1:8" ht="15" x14ac:dyDescent="0.2">
      <c r="A6969" s="597">
        <v>43525</v>
      </c>
      <c r="B6969" s="41" t="s">
        <v>2933</v>
      </c>
      <c r="C6969" s="41" t="s">
        <v>2503</v>
      </c>
      <c r="D6969" s="129" t="s">
        <v>1837</v>
      </c>
      <c r="E6969" s="58">
        <v>25000</v>
      </c>
      <c r="F6969" s="58"/>
      <c r="G6969" s="58">
        <f t="shared" si="114"/>
        <v>-25000</v>
      </c>
      <c r="H6969" s="121" t="s">
        <v>4650</v>
      </c>
    </row>
    <row r="6970" spans="1:8" ht="15" x14ac:dyDescent="0.2">
      <c r="A6970" s="597">
        <v>43525</v>
      </c>
      <c r="B6970" s="41" t="s">
        <v>25</v>
      </c>
      <c r="C6970" s="41" t="s">
        <v>2503</v>
      </c>
      <c r="D6970" s="129" t="s">
        <v>1839</v>
      </c>
      <c r="E6970" s="58">
        <v>10000</v>
      </c>
      <c r="F6970" s="58"/>
      <c r="G6970" s="58">
        <f t="shared" si="114"/>
        <v>-10000</v>
      </c>
      <c r="H6970" s="121" t="s">
        <v>4650</v>
      </c>
    </row>
    <row r="6971" spans="1:8" ht="15" x14ac:dyDescent="0.2">
      <c r="A6971" s="597">
        <v>43525</v>
      </c>
      <c r="B6971" s="41" t="s">
        <v>25</v>
      </c>
      <c r="C6971" s="41" t="s">
        <v>2503</v>
      </c>
      <c r="D6971" s="129" t="s">
        <v>1840</v>
      </c>
      <c r="E6971" s="58">
        <v>10000</v>
      </c>
      <c r="F6971" s="58"/>
      <c r="G6971" s="58">
        <f t="shared" si="114"/>
        <v>-10000</v>
      </c>
      <c r="H6971" s="121" t="s">
        <v>4650</v>
      </c>
    </row>
    <row r="6972" spans="1:8" ht="15" x14ac:dyDescent="0.2">
      <c r="A6972" s="597">
        <v>43525</v>
      </c>
      <c r="B6972" s="41" t="s">
        <v>25</v>
      </c>
      <c r="C6972" s="41" t="s">
        <v>2503</v>
      </c>
      <c r="D6972" s="129" t="s">
        <v>1547</v>
      </c>
      <c r="E6972" s="58">
        <v>10000</v>
      </c>
      <c r="F6972" s="58"/>
      <c r="G6972" s="58">
        <f t="shared" si="114"/>
        <v>-10000</v>
      </c>
      <c r="H6972" s="121" t="s">
        <v>4650</v>
      </c>
    </row>
    <row r="6973" spans="1:8" ht="15" x14ac:dyDescent="0.2">
      <c r="A6973" s="597">
        <v>43525</v>
      </c>
      <c r="B6973" s="41" t="s">
        <v>16</v>
      </c>
      <c r="C6973" s="41" t="s">
        <v>2503</v>
      </c>
      <c r="D6973" s="129" t="s">
        <v>1844</v>
      </c>
      <c r="E6973" s="58">
        <v>28000</v>
      </c>
      <c r="F6973" s="58"/>
      <c r="G6973" s="58">
        <f t="shared" si="114"/>
        <v>-28000</v>
      </c>
      <c r="H6973" s="121" t="s">
        <v>4650</v>
      </c>
    </row>
    <row r="6974" spans="1:8" ht="15" x14ac:dyDescent="0.2">
      <c r="A6974" s="597">
        <v>43525</v>
      </c>
      <c r="B6974" s="41" t="s">
        <v>16</v>
      </c>
      <c r="C6974" s="41" t="s">
        <v>2503</v>
      </c>
      <c r="D6974" s="129" t="s">
        <v>1842</v>
      </c>
      <c r="E6974" s="58">
        <v>29999.999999999996</v>
      </c>
      <c r="F6974" s="58"/>
      <c r="G6974" s="58">
        <f t="shared" si="114"/>
        <v>-29999.999999999996</v>
      </c>
      <c r="H6974" s="121" t="s">
        <v>4650</v>
      </c>
    </row>
    <row r="6975" spans="1:8" ht="15" x14ac:dyDescent="0.2">
      <c r="A6975" s="597">
        <v>43525</v>
      </c>
      <c r="B6975" s="41" t="s">
        <v>16</v>
      </c>
      <c r="C6975" s="41" t="s">
        <v>2503</v>
      </c>
      <c r="D6975" s="129" t="s">
        <v>3230</v>
      </c>
      <c r="E6975" s="58">
        <v>15500</v>
      </c>
      <c r="F6975" s="58"/>
      <c r="G6975" s="58">
        <f t="shared" si="114"/>
        <v>-15500</v>
      </c>
      <c r="H6975" s="121" t="s">
        <v>4650</v>
      </c>
    </row>
    <row r="6976" spans="1:8" ht="15" x14ac:dyDescent="0.2">
      <c r="A6976" s="597">
        <v>43525</v>
      </c>
      <c r="B6976" s="41" t="s">
        <v>16</v>
      </c>
      <c r="C6976" s="41" t="s">
        <v>2503</v>
      </c>
      <c r="D6976" s="129" t="s">
        <v>3611</v>
      </c>
      <c r="E6976" s="58">
        <v>6000</v>
      </c>
      <c r="F6976" s="58"/>
      <c r="G6976" s="58">
        <f t="shared" si="114"/>
        <v>-6000</v>
      </c>
      <c r="H6976" s="121" t="s">
        <v>4650</v>
      </c>
    </row>
    <row r="6977" spans="1:8" ht="15" x14ac:dyDescent="0.2">
      <c r="A6977" s="597">
        <v>43525</v>
      </c>
      <c r="B6977" s="41" t="s">
        <v>3945</v>
      </c>
      <c r="C6977" s="41" t="s">
        <v>2503</v>
      </c>
      <c r="D6977" s="129" t="s">
        <v>2282</v>
      </c>
      <c r="E6977" s="58">
        <v>43906.25</v>
      </c>
      <c r="F6977" s="58"/>
      <c r="G6977" s="58">
        <f t="shared" si="114"/>
        <v>-43906.25</v>
      </c>
      <c r="H6977" s="121" t="s">
        <v>4650</v>
      </c>
    </row>
    <row r="6978" spans="1:8" ht="15" x14ac:dyDescent="0.2">
      <c r="A6978" s="597">
        <v>43525</v>
      </c>
      <c r="B6978" s="41" t="s">
        <v>3945</v>
      </c>
      <c r="C6978" s="41" t="s">
        <v>2503</v>
      </c>
      <c r="D6978" s="129" t="s">
        <v>2758</v>
      </c>
      <c r="E6978" s="58">
        <v>21022.321428571428</v>
      </c>
      <c r="F6978" s="58"/>
      <c r="G6978" s="58">
        <f t="shared" si="114"/>
        <v>-21022.321428571428</v>
      </c>
      <c r="H6978" s="121" t="s">
        <v>4650</v>
      </c>
    </row>
    <row r="6979" spans="1:8" ht="15" x14ac:dyDescent="0.2">
      <c r="A6979" s="597">
        <v>43525</v>
      </c>
      <c r="B6979" s="41" t="s">
        <v>3945</v>
      </c>
      <c r="C6979" s="41" t="s">
        <v>2503</v>
      </c>
      <c r="D6979" s="129" t="s">
        <v>3236</v>
      </c>
      <c r="E6979" s="58">
        <v>17949.776785714283</v>
      </c>
      <c r="F6979" s="58"/>
      <c r="G6979" s="58">
        <f t="shared" si="114"/>
        <v>-17949.776785714283</v>
      </c>
      <c r="H6979" s="121" t="s">
        <v>4650</v>
      </c>
    </row>
    <row r="6980" spans="1:8" ht="15" x14ac:dyDescent="0.2">
      <c r="A6980" s="597">
        <v>43525</v>
      </c>
      <c r="B6980" s="41" t="s">
        <v>3945</v>
      </c>
      <c r="C6980" s="41" t="s">
        <v>2503</v>
      </c>
      <c r="D6980" s="129" t="s">
        <v>4005</v>
      </c>
      <c r="E6980" s="58">
        <v>19151.78571428571</v>
      </c>
      <c r="F6980" s="58"/>
      <c r="G6980" s="58">
        <f t="shared" si="114"/>
        <v>-19151.78571428571</v>
      </c>
      <c r="H6980" s="121" t="s">
        <v>4650</v>
      </c>
    </row>
    <row r="6981" spans="1:8" ht="15" x14ac:dyDescent="0.2">
      <c r="A6981" s="597">
        <v>43525</v>
      </c>
      <c r="B6981" s="41" t="s">
        <v>3945</v>
      </c>
      <c r="C6981" s="41" t="s">
        <v>2503</v>
      </c>
      <c r="D6981" s="129" t="s">
        <v>3841</v>
      </c>
      <c r="E6981" s="58">
        <v>26340.178571428572</v>
      </c>
      <c r="F6981" s="58"/>
      <c r="G6981" s="58">
        <f t="shared" si="114"/>
        <v>-26340.178571428572</v>
      </c>
      <c r="H6981" s="121" t="s">
        <v>4650</v>
      </c>
    </row>
    <row r="6982" spans="1:8" ht="15" x14ac:dyDescent="0.2">
      <c r="A6982" s="597">
        <v>43525</v>
      </c>
      <c r="B6982" s="41" t="s">
        <v>3945</v>
      </c>
      <c r="C6982" s="41" t="s">
        <v>2503</v>
      </c>
      <c r="D6982" s="129" t="s">
        <v>4075</v>
      </c>
      <c r="E6982" s="58">
        <v>17750.223214285714</v>
      </c>
      <c r="F6982" s="58"/>
      <c r="G6982" s="58">
        <f t="shared" si="114"/>
        <v>-17750.223214285714</v>
      </c>
      <c r="H6982" s="121" t="s">
        <v>4650</v>
      </c>
    </row>
    <row r="6983" spans="1:8" ht="15" x14ac:dyDescent="0.2">
      <c r="A6983" s="597">
        <v>43525</v>
      </c>
      <c r="B6983" s="41" t="s">
        <v>3945</v>
      </c>
      <c r="C6983" s="41" t="s">
        <v>2503</v>
      </c>
      <c r="D6983" s="129" t="s">
        <v>4076</v>
      </c>
      <c r="E6983" s="58">
        <v>23142.857142857145</v>
      </c>
      <c r="F6983" s="58"/>
      <c r="G6983" s="58">
        <f t="shared" si="114"/>
        <v>-23142.857142857145</v>
      </c>
      <c r="H6983" s="121" t="s">
        <v>4650</v>
      </c>
    </row>
    <row r="6984" spans="1:8" ht="15" x14ac:dyDescent="0.2">
      <c r="A6984" s="597">
        <v>43525</v>
      </c>
      <c r="B6984" s="41" t="s">
        <v>3946</v>
      </c>
      <c r="C6984" s="41" t="s">
        <v>2503</v>
      </c>
      <c r="D6984" s="129" t="s">
        <v>4077</v>
      </c>
      <c r="E6984" s="58">
        <v>40290.178571428572</v>
      </c>
      <c r="F6984" s="58"/>
      <c r="G6984" s="58">
        <f t="shared" si="114"/>
        <v>-40290.178571428572</v>
      </c>
      <c r="H6984" s="121" t="s">
        <v>4650</v>
      </c>
    </row>
    <row r="6985" spans="1:8" ht="15" x14ac:dyDescent="0.2">
      <c r="A6985" s="597">
        <v>43525</v>
      </c>
      <c r="B6985" s="41" t="s">
        <v>3946</v>
      </c>
      <c r="C6985" s="41" t="s">
        <v>2503</v>
      </c>
      <c r="D6985" s="129" t="s">
        <v>4555</v>
      </c>
      <c r="E6985" s="58">
        <v>31429.553571428572</v>
      </c>
      <c r="F6985" s="58"/>
      <c r="G6985" s="58">
        <f t="shared" si="114"/>
        <v>-31429.553571428572</v>
      </c>
      <c r="H6985" s="121" t="s">
        <v>4650</v>
      </c>
    </row>
    <row r="6986" spans="1:8" ht="15" x14ac:dyDescent="0.2">
      <c r="A6986" s="597">
        <v>43525</v>
      </c>
      <c r="B6986" s="41" t="s">
        <v>3946</v>
      </c>
      <c r="C6986" s="41" t="s">
        <v>2503</v>
      </c>
      <c r="D6986" s="129" t="s">
        <v>4192</v>
      </c>
      <c r="E6986" s="58">
        <v>35649.821428571428</v>
      </c>
      <c r="F6986" s="58"/>
      <c r="G6986" s="58">
        <f t="shared" si="114"/>
        <v>-35649.821428571428</v>
      </c>
      <c r="H6986" s="121" t="s">
        <v>4650</v>
      </c>
    </row>
    <row r="6987" spans="1:8" ht="15" x14ac:dyDescent="0.2">
      <c r="A6987" s="597">
        <v>43525</v>
      </c>
      <c r="B6987" s="41" t="s">
        <v>3946</v>
      </c>
      <c r="C6987" s="41" t="s">
        <v>2503</v>
      </c>
      <c r="D6987" s="129" t="s">
        <v>4556</v>
      </c>
      <c r="E6987" s="58">
        <v>17142.857142857141</v>
      </c>
      <c r="F6987" s="58"/>
      <c r="G6987" s="58">
        <f t="shared" si="114"/>
        <v>-17142.857142857141</v>
      </c>
      <c r="H6987" s="121" t="s">
        <v>4650</v>
      </c>
    </row>
    <row r="6988" spans="1:8" ht="15" x14ac:dyDescent="0.2">
      <c r="A6988" s="597">
        <v>43525</v>
      </c>
      <c r="B6988" s="41" t="s">
        <v>3946</v>
      </c>
      <c r="C6988" s="41" t="s">
        <v>2503</v>
      </c>
      <c r="D6988" s="129" t="s">
        <v>4559</v>
      </c>
      <c r="E6988" s="58">
        <v>17360</v>
      </c>
      <c r="F6988" s="58"/>
      <c r="G6988" s="58">
        <f t="shared" si="114"/>
        <v>-17360</v>
      </c>
      <c r="H6988" s="121" t="s">
        <v>4650</v>
      </c>
    </row>
    <row r="6989" spans="1:8" ht="15" x14ac:dyDescent="0.2">
      <c r="A6989" s="597">
        <v>43525</v>
      </c>
      <c r="B6989" s="41" t="s">
        <v>3946</v>
      </c>
      <c r="C6989" s="41" t="s">
        <v>2503</v>
      </c>
      <c r="D6989" s="129" t="s">
        <v>4557</v>
      </c>
      <c r="E6989" s="58">
        <v>18964.285714285714</v>
      </c>
      <c r="F6989" s="58"/>
      <c r="G6989" s="58">
        <f t="shared" si="114"/>
        <v>-18964.285714285714</v>
      </c>
      <c r="H6989" s="121" t="s">
        <v>4650</v>
      </c>
    </row>
    <row r="6990" spans="1:8" ht="15" x14ac:dyDescent="0.2">
      <c r="A6990" s="597">
        <v>43525</v>
      </c>
      <c r="B6990" s="41" t="s">
        <v>3946</v>
      </c>
      <c r="C6990" s="41" t="s">
        <v>2503</v>
      </c>
      <c r="D6990" s="129" t="s">
        <v>1565</v>
      </c>
      <c r="E6990" s="58">
        <v>30750</v>
      </c>
      <c r="F6990" s="58"/>
      <c r="G6990" s="58">
        <f t="shared" si="114"/>
        <v>-30750</v>
      </c>
      <c r="H6990" s="121" t="s">
        <v>4650</v>
      </c>
    </row>
    <row r="6991" spans="1:8" ht="15" x14ac:dyDescent="0.2">
      <c r="A6991" s="597">
        <v>43525</v>
      </c>
      <c r="B6991" s="41" t="s">
        <v>3946</v>
      </c>
      <c r="C6991" s="41" t="s">
        <v>2503</v>
      </c>
      <c r="D6991" s="129" t="s">
        <v>4325</v>
      </c>
      <c r="E6991" s="58">
        <v>17930</v>
      </c>
      <c r="F6991" s="58"/>
      <c r="G6991" s="58">
        <f t="shared" si="114"/>
        <v>-17930</v>
      </c>
      <c r="H6991" s="121" t="s">
        <v>4650</v>
      </c>
    </row>
    <row r="6992" spans="1:8" ht="15" x14ac:dyDescent="0.2">
      <c r="A6992" s="597">
        <v>43525</v>
      </c>
      <c r="B6992" s="41" t="s">
        <v>1400</v>
      </c>
      <c r="C6992" s="41" t="s">
        <v>2503</v>
      </c>
      <c r="D6992" s="129" t="s">
        <v>1858</v>
      </c>
      <c r="E6992" s="58">
        <v>46542.41071428571</v>
      </c>
      <c r="F6992" s="58"/>
      <c r="G6992" s="58">
        <f t="shared" si="114"/>
        <v>-46542.41071428571</v>
      </c>
      <c r="H6992" s="121" t="s">
        <v>4650</v>
      </c>
    </row>
    <row r="6993" spans="1:8" ht="15" x14ac:dyDescent="0.2">
      <c r="A6993" s="597">
        <v>43525</v>
      </c>
      <c r="B6993" s="41" t="s">
        <v>1400</v>
      </c>
      <c r="C6993" s="41" t="s">
        <v>2503</v>
      </c>
      <c r="D6993" s="129" t="s">
        <v>1684</v>
      </c>
      <c r="E6993" s="58">
        <v>5000</v>
      </c>
      <c r="F6993" s="58"/>
      <c r="G6993" s="58">
        <f t="shared" si="114"/>
        <v>-5000</v>
      </c>
      <c r="H6993" s="121" t="s">
        <v>4650</v>
      </c>
    </row>
    <row r="6994" spans="1:8" ht="15" x14ac:dyDescent="0.2">
      <c r="A6994" s="597">
        <v>43525</v>
      </c>
      <c r="B6994" s="41" t="s">
        <v>1400</v>
      </c>
      <c r="C6994" s="41" t="s">
        <v>2503</v>
      </c>
      <c r="D6994" s="129" t="s">
        <v>2482</v>
      </c>
      <c r="E6994" s="58">
        <v>25071.428571428572</v>
      </c>
      <c r="F6994" s="58"/>
      <c r="G6994" s="58">
        <f t="shared" si="114"/>
        <v>-25071.428571428572</v>
      </c>
      <c r="H6994" s="121" t="s">
        <v>4650</v>
      </c>
    </row>
    <row r="6995" spans="1:8" ht="15" x14ac:dyDescent="0.2">
      <c r="A6995" s="597">
        <v>43525</v>
      </c>
      <c r="B6995" s="41" t="s">
        <v>1400</v>
      </c>
      <c r="C6995" s="41" t="s">
        <v>2503</v>
      </c>
      <c r="D6995" s="129" t="s">
        <v>1550</v>
      </c>
      <c r="E6995" s="58">
        <v>22000</v>
      </c>
      <c r="F6995" s="58"/>
      <c r="G6995" s="58">
        <f t="shared" si="114"/>
        <v>-22000</v>
      </c>
      <c r="H6995" s="121" t="s">
        <v>4650</v>
      </c>
    </row>
    <row r="6996" spans="1:8" ht="15" x14ac:dyDescent="0.2">
      <c r="A6996" s="597">
        <v>43525</v>
      </c>
      <c r="B6996" s="41" t="s">
        <v>1400</v>
      </c>
      <c r="C6996" s="41" t="s">
        <v>2503</v>
      </c>
      <c r="D6996" s="129" t="s">
        <v>1871</v>
      </c>
      <c r="E6996" s="58">
        <v>39000</v>
      </c>
      <c r="F6996" s="58"/>
      <c r="G6996" s="58">
        <f t="shared" si="114"/>
        <v>-39000</v>
      </c>
      <c r="H6996" s="121" t="s">
        <v>4650</v>
      </c>
    </row>
    <row r="6997" spans="1:8" ht="15" x14ac:dyDescent="0.2">
      <c r="A6997" s="597">
        <v>43525</v>
      </c>
      <c r="B6997" s="41" t="s">
        <v>1400</v>
      </c>
      <c r="C6997" s="41" t="s">
        <v>2503</v>
      </c>
      <c r="D6997" s="129" t="s">
        <v>3231</v>
      </c>
      <c r="E6997" s="58">
        <v>36160.714285714283</v>
      </c>
      <c r="F6997" s="58"/>
      <c r="G6997" s="58">
        <f t="shared" si="114"/>
        <v>-36160.714285714283</v>
      </c>
      <c r="H6997" s="121" t="s">
        <v>4650</v>
      </c>
    </row>
    <row r="6998" spans="1:8" ht="15" x14ac:dyDescent="0.2">
      <c r="A6998" s="597">
        <v>43525</v>
      </c>
      <c r="B6998" s="41" t="s">
        <v>1400</v>
      </c>
      <c r="C6998" s="41" t="s">
        <v>2503</v>
      </c>
      <c r="D6998" s="129" t="s">
        <v>3491</v>
      </c>
      <c r="E6998" s="58">
        <v>20000</v>
      </c>
      <c r="F6998" s="58"/>
      <c r="G6998" s="58">
        <f t="shared" si="114"/>
        <v>-20000</v>
      </c>
      <c r="H6998" s="121" t="s">
        <v>4650</v>
      </c>
    </row>
    <row r="6999" spans="1:8" ht="15" x14ac:dyDescent="0.2">
      <c r="A6999" s="597">
        <v>43525</v>
      </c>
      <c r="B6999" s="41" t="s">
        <v>1400</v>
      </c>
      <c r="C6999" s="41" t="s">
        <v>2503</v>
      </c>
      <c r="D6999" s="129" t="s">
        <v>1542</v>
      </c>
      <c r="E6999" s="58">
        <v>19750</v>
      </c>
      <c r="F6999" s="58"/>
      <c r="G6999" s="58">
        <f t="shared" si="114"/>
        <v>-19750</v>
      </c>
      <c r="H6999" s="121" t="s">
        <v>4650</v>
      </c>
    </row>
    <row r="7000" spans="1:8" ht="15" x14ac:dyDescent="0.2">
      <c r="A7000" s="597">
        <v>43525</v>
      </c>
      <c r="B7000" s="41" t="s">
        <v>1400</v>
      </c>
      <c r="C7000" s="41" t="s">
        <v>2503</v>
      </c>
      <c r="D7000" s="129" t="s">
        <v>1850</v>
      </c>
      <c r="E7000" s="58">
        <v>12680</v>
      </c>
      <c r="F7000" s="58"/>
      <c r="G7000" s="58">
        <f t="shared" si="114"/>
        <v>-12680</v>
      </c>
      <c r="H7000" s="121" t="s">
        <v>4650</v>
      </c>
    </row>
    <row r="7001" spans="1:8" ht="15" x14ac:dyDescent="0.2">
      <c r="A7001" s="597">
        <v>43525</v>
      </c>
      <c r="B7001" s="41" t="s">
        <v>1400</v>
      </c>
      <c r="C7001" s="41" t="s">
        <v>2503</v>
      </c>
      <c r="D7001" s="129" t="s">
        <v>3492</v>
      </c>
      <c r="E7001" s="58">
        <v>7429.7321428571431</v>
      </c>
      <c r="F7001" s="58"/>
      <c r="G7001" s="58">
        <f t="shared" si="114"/>
        <v>-7429.7321428571431</v>
      </c>
      <c r="H7001" s="121" t="s">
        <v>4650</v>
      </c>
    </row>
    <row r="7002" spans="1:8" ht="15" x14ac:dyDescent="0.2">
      <c r="A7002" s="597">
        <v>43525</v>
      </c>
      <c r="B7002" s="41" t="s">
        <v>1400</v>
      </c>
      <c r="C7002" s="41" t="s">
        <v>2503</v>
      </c>
      <c r="D7002" s="129" t="s">
        <v>3068</v>
      </c>
      <c r="E7002" s="58">
        <v>8857.1428571428569</v>
      </c>
      <c r="F7002" s="58"/>
      <c r="G7002" s="58">
        <f t="shared" si="114"/>
        <v>-8857.1428571428569</v>
      </c>
      <c r="H7002" s="121" t="s">
        <v>4650</v>
      </c>
    </row>
    <row r="7003" spans="1:8" ht="15" x14ac:dyDescent="0.2">
      <c r="A7003" s="597">
        <v>43525</v>
      </c>
      <c r="B7003" s="41" t="s">
        <v>1400</v>
      </c>
      <c r="C7003" s="41" t="s">
        <v>2503</v>
      </c>
      <c r="D7003" s="129" t="s">
        <v>4006</v>
      </c>
      <c r="E7003" s="58">
        <v>4979.9107142857138</v>
      </c>
      <c r="F7003" s="58"/>
      <c r="G7003" s="58">
        <f t="shared" si="114"/>
        <v>-4979.9107142857138</v>
      </c>
      <c r="H7003" s="121" t="s">
        <v>4650</v>
      </c>
    </row>
    <row r="7004" spans="1:8" ht="15" x14ac:dyDescent="0.2">
      <c r="A7004" s="597">
        <v>43525</v>
      </c>
      <c r="B7004" s="41" t="s">
        <v>1400</v>
      </c>
      <c r="C7004" s="41" t="s">
        <v>2503</v>
      </c>
      <c r="D7004" s="129" t="s">
        <v>2927</v>
      </c>
      <c r="E7004" s="58">
        <v>4214.2857142857147</v>
      </c>
      <c r="F7004" s="58"/>
      <c r="G7004" s="58">
        <f t="shared" si="114"/>
        <v>-4214.2857142857147</v>
      </c>
      <c r="H7004" s="121" t="s">
        <v>4650</v>
      </c>
    </row>
    <row r="7005" spans="1:8" ht="15" x14ac:dyDescent="0.2">
      <c r="A7005" s="597">
        <v>43525</v>
      </c>
      <c r="B7005" s="41" t="s">
        <v>1400</v>
      </c>
      <c r="C7005" s="41" t="s">
        <v>2503</v>
      </c>
      <c r="D7005" s="129" t="s">
        <v>4707</v>
      </c>
      <c r="E7005" s="58">
        <v>15230.089285714286</v>
      </c>
      <c r="F7005" s="58"/>
      <c r="G7005" s="58">
        <f t="shared" si="114"/>
        <v>-15230.089285714286</v>
      </c>
      <c r="H7005" s="121" t="s">
        <v>4650</v>
      </c>
    </row>
    <row r="7006" spans="1:8" ht="15" x14ac:dyDescent="0.2">
      <c r="A7006" s="597">
        <v>43525</v>
      </c>
      <c r="B7006" s="41" t="s">
        <v>1400</v>
      </c>
      <c r="C7006" s="41" t="s">
        <v>2503</v>
      </c>
      <c r="D7006" s="129" t="s">
        <v>4708</v>
      </c>
      <c r="E7006" s="58">
        <v>2321.4285714285716</v>
      </c>
      <c r="F7006" s="58"/>
      <c r="G7006" s="58">
        <f t="shared" si="114"/>
        <v>-2321.4285714285716</v>
      </c>
      <c r="H7006" s="121" t="s">
        <v>4650</v>
      </c>
    </row>
    <row r="7007" spans="1:8" ht="15" x14ac:dyDescent="0.2">
      <c r="A7007" s="597">
        <v>43525</v>
      </c>
      <c r="B7007" s="41" t="s">
        <v>1400</v>
      </c>
      <c r="C7007" s="41" t="s">
        <v>2503</v>
      </c>
      <c r="D7007" s="129" t="s">
        <v>4709</v>
      </c>
      <c r="E7007" s="58">
        <v>6857.1428571428569</v>
      </c>
      <c r="F7007" s="58"/>
      <c r="G7007" s="58">
        <f t="shared" si="114"/>
        <v>-6857.1428571428569</v>
      </c>
      <c r="H7007" s="121" t="s">
        <v>4650</v>
      </c>
    </row>
    <row r="7008" spans="1:8" ht="15" x14ac:dyDescent="0.2">
      <c r="A7008" s="597">
        <v>43525</v>
      </c>
      <c r="B7008" s="41" t="s">
        <v>1400</v>
      </c>
      <c r="C7008" s="41" t="s">
        <v>2503</v>
      </c>
      <c r="D7008" s="129" t="s">
        <v>2761</v>
      </c>
      <c r="E7008" s="58">
        <v>15625</v>
      </c>
      <c r="F7008" s="58"/>
      <c r="G7008" s="58">
        <f t="shared" si="114"/>
        <v>-15625</v>
      </c>
      <c r="H7008" s="121" t="s">
        <v>4650</v>
      </c>
    </row>
    <row r="7009" spans="1:8" ht="15" x14ac:dyDescent="0.2">
      <c r="A7009" s="597">
        <v>43525</v>
      </c>
      <c r="B7009" s="41" t="s">
        <v>1400</v>
      </c>
      <c r="C7009" s="41" t="s">
        <v>2503</v>
      </c>
      <c r="D7009" s="129" t="s">
        <v>2481</v>
      </c>
      <c r="E7009" s="58">
        <v>15453.125</v>
      </c>
      <c r="F7009" s="58"/>
      <c r="G7009" s="58">
        <f t="shared" si="114"/>
        <v>-15453.125</v>
      </c>
      <c r="H7009" s="121" t="s">
        <v>4650</v>
      </c>
    </row>
    <row r="7010" spans="1:8" ht="15" x14ac:dyDescent="0.2">
      <c r="A7010" s="597">
        <v>43525</v>
      </c>
      <c r="B7010" s="41" t="s">
        <v>6516</v>
      </c>
      <c r="C7010" s="41" t="s">
        <v>2503</v>
      </c>
      <c r="D7010" s="129" t="s">
        <v>1855</v>
      </c>
      <c r="E7010" s="58">
        <v>29129.464285714286</v>
      </c>
      <c r="F7010" s="58"/>
      <c r="G7010" s="58">
        <f t="shared" si="114"/>
        <v>-29129.464285714286</v>
      </c>
      <c r="H7010" s="121" t="s">
        <v>4650</v>
      </c>
    </row>
    <row r="7011" spans="1:8" ht="15" x14ac:dyDescent="0.2">
      <c r="A7011" s="597">
        <v>43525</v>
      </c>
      <c r="B7011" s="41" t="s">
        <v>6516</v>
      </c>
      <c r="C7011" s="41" t="s">
        <v>2503</v>
      </c>
      <c r="D7011" s="129" t="s">
        <v>1861</v>
      </c>
      <c r="E7011" s="58">
        <v>21375</v>
      </c>
      <c r="F7011" s="58"/>
      <c r="G7011" s="58">
        <f t="shared" si="114"/>
        <v>-21375</v>
      </c>
      <c r="H7011" s="121" t="s">
        <v>4650</v>
      </c>
    </row>
    <row r="7012" spans="1:8" ht="15" x14ac:dyDescent="0.2">
      <c r="A7012" s="597">
        <v>43525</v>
      </c>
      <c r="B7012" s="41" t="s">
        <v>6516</v>
      </c>
      <c r="C7012" s="41" t="s">
        <v>2503</v>
      </c>
      <c r="D7012" s="129" t="s">
        <v>1849</v>
      </c>
      <c r="E7012" s="58">
        <v>19428.571428571428</v>
      </c>
      <c r="F7012" s="58"/>
      <c r="G7012" s="58">
        <f t="shared" si="114"/>
        <v>-19428.571428571428</v>
      </c>
      <c r="H7012" s="121" t="s">
        <v>4650</v>
      </c>
    </row>
    <row r="7013" spans="1:8" ht="15" x14ac:dyDescent="0.2">
      <c r="A7013" s="597">
        <v>43525</v>
      </c>
      <c r="B7013" s="41" t="s">
        <v>6516</v>
      </c>
      <c r="C7013" s="41" t="s">
        <v>2503</v>
      </c>
      <c r="D7013" s="129" t="s">
        <v>3615</v>
      </c>
      <c r="E7013" s="58">
        <v>12970.982142857141</v>
      </c>
      <c r="F7013" s="58"/>
      <c r="G7013" s="58">
        <f t="shared" si="114"/>
        <v>-12970.982142857141</v>
      </c>
      <c r="H7013" s="121" t="s">
        <v>4650</v>
      </c>
    </row>
    <row r="7014" spans="1:8" ht="15" x14ac:dyDescent="0.2">
      <c r="A7014" s="597">
        <v>43525</v>
      </c>
      <c r="B7014" s="41" t="s">
        <v>6516</v>
      </c>
      <c r="C7014" s="41" t="s">
        <v>2503</v>
      </c>
      <c r="D7014" s="129" t="s">
        <v>4196</v>
      </c>
      <c r="E7014" s="58">
        <v>11852.678571428572</v>
      </c>
      <c r="F7014" s="58"/>
      <c r="G7014" s="58">
        <f t="shared" si="114"/>
        <v>-11852.678571428572</v>
      </c>
      <c r="H7014" s="121" t="s">
        <v>4650</v>
      </c>
    </row>
    <row r="7015" spans="1:8" ht="15" x14ac:dyDescent="0.2">
      <c r="A7015" s="597">
        <v>43525</v>
      </c>
      <c r="B7015" s="41" t="s">
        <v>6516</v>
      </c>
      <c r="C7015" s="41" t="s">
        <v>2503</v>
      </c>
      <c r="D7015" s="129" t="s">
        <v>4710</v>
      </c>
      <c r="E7015" s="58">
        <v>9535.7142857142844</v>
      </c>
      <c r="F7015" s="58"/>
      <c r="G7015" s="58">
        <f t="shared" si="114"/>
        <v>-9535.7142857142844</v>
      </c>
      <c r="H7015" s="121" t="s">
        <v>4650</v>
      </c>
    </row>
    <row r="7016" spans="1:8" ht="15" x14ac:dyDescent="0.2">
      <c r="A7016" s="597">
        <v>43525</v>
      </c>
      <c r="B7016" s="41" t="s">
        <v>37</v>
      </c>
      <c r="C7016" s="41" t="s">
        <v>2503</v>
      </c>
      <c r="D7016" s="129" t="s">
        <v>1866</v>
      </c>
      <c r="E7016" s="58">
        <v>20700.357142857141</v>
      </c>
      <c r="F7016" s="58"/>
      <c r="G7016" s="58">
        <f t="shared" si="114"/>
        <v>-20700.357142857141</v>
      </c>
      <c r="H7016" s="121" t="s">
        <v>4650</v>
      </c>
    </row>
    <row r="7017" spans="1:8" ht="15" x14ac:dyDescent="0.2">
      <c r="A7017" s="597">
        <v>43525</v>
      </c>
      <c r="B7017" s="41" t="s">
        <v>37</v>
      </c>
      <c r="C7017" s="41" t="s">
        <v>2503</v>
      </c>
      <c r="D7017" s="129" t="s">
        <v>1867</v>
      </c>
      <c r="E7017" s="58">
        <v>15049.776785714284</v>
      </c>
      <c r="F7017" s="58"/>
      <c r="G7017" s="58">
        <f t="shared" si="114"/>
        <v>-15049.776785714284</v>
      </c>
      <c r="H7017" s="121" t="s">
        <v>4650</v>
      </c>
    </row>
    <row r="7018" spans="1:8" ht="15" x14ac:dyDescent="0.2">
      <c r="A7018" s="597">
        <v>43525</v>
      </c>
      <c r="B7018" s="41" t="s">
        <v>37</v>
      </c>
      <c r="C7018" s="41" t="s">
        <v>2503</v>
      </c>
      <c r="D7018" s="129" t="s">
        <v>1868</v>
      </c>
      <c r="E7018" s="58">
        <v>21101.5625</v>
      </c>
      <c r="F7018" s="58"/>
      <c r="G7018" s="58">
        <f t="shared" si="114"/>
        <v>-21101.5625</v>
      </c>
      <c r="H7018" s="121" t="s">
        <v>4650</v>
      </c>
    </row>
    <row r="7019" spans="1:8" ht="15" x14ac:dyDescent="0.2">
      <c r="A7019" s="597">
        <v>43525</v>
      </c>
      <c r="B7019" s="41" t="s">
        <v>37</v>
      </c>
      <c r="C7019" s="41" t="s">
        <v>2503</v>
      </c>
      <c r="D7019" s="129" t="s">
        <v>4560</v>
      </c>
      <c r="E7019" s="58">
        <v>12757.5</v>
      </c>
      <c r="F7019" s="58"/>
      <c r="G7019" s="58">
        <f t="shared" ref="G7019:G7082" si="115">F7019-E7019</f>
        <v>-12757.5</v>
      </c>
      <c r="H7019" s="121" t="s">
        <v>4650</v>
      </c>
    </row>
    <row r="7020" spans="1:8" ht="15" x14ac:dyDescent="0.2">
      <c r="A7020" s="597">
        <v>43525</v>
      </c>
      <c r="B7020" s="41" t="s">
        <v>37</v>
      </c>
      <c r="C7020" s="41" t="s">
        <v>2503</v>
      </c>
      <c r="D7020" s="129" t="s">
        <v>4561</v>
      </c>
      <c r="E7020" s="58">
        <v>13714.285714285714</v>
      </c>
      <c r="F7020" s="58"/>
      <c r="G7020" s="58">
        <f t="shared" si="115"/>
        <v>-13714.285714285714</v>
      </c>
      <c r="H7020" s="121" t="s">
        <v>4650</v>
      </c>
    </row>
    <row r="7021" spans="1:8" ht="15" x14ac:dyDescent="0.2">
      <c r="A7021" s="597">
        <v>43525</v>
      </c>
      <c r="B7021" s="41" t="s">
        <v>37</v>
      </c>
      <c r="C7021" s="41" t="s">
        <v>2503</v>
      </c>
      <c r="D7021" s="129" t="s">
        <v>1240</v>
      </c>
      <c r="E7021" s="58">
        <v>23350</v>
      </c>
      <c r="F7021" s="58"/>
      <c r="G7021" s="58">
        <f t="shared" si="115"/>
        <v>-23350</v>
      </c>
      <c r="H7021" s="121" t="s">
        <v>4650</v>
      </c>
    </row>
    <row r="7022" spans="1:8" ht="15" x14ac:dyDescent="0.2">
      <c r="A7022" s="597">
        <v>43525</v>
      </c>
      <c r="B7022" s="41" t="s">
        <v>2933</v>
      </c>
      <c r="C7022" s="41" t="s">
        <v>2503</v>
      </c>
      <c r="D7022" s="129" t="s">
        <v>1864</v>
      </c>
      <c r="E7022" s="58">
        <v>49026.78571428571</v>
      </c>
      <c r="F7022" s="58"/>
      <c r="G7022" s="58">
        <f t="shared" si="115"/>
        <v>-49026.78571428571</v>
      </c>
      <c r="H7022" s="121" t="s">
        <v>4650</v>
      </c>
    </row>
    <row r="7023" spans="1:8" ht="15" x14ac:dyDescent="0.2">
      <c r="A7023" s="597">
        <v>43525</v>
      </c>
      <c r="B7023" s="41" t="s">
        <v>2933</v>
      </c>
      <c r="C7023" s="41" t="s">
        <v>2503</v>
      </c>
      <c r="D7023" s="129" t="s">
        <v>1845</v>
      </c>
      <c r="E7023" s="58">
        <v>27035.714285714286</v>
      </c>
      <c r="F7023" s="58"/>
      <c r="G7023" s="58">
        <f t="shared" si="115"/>
        <v>-27035.714285714286</v>
      </c>
      <c r="H7023" s="121" t="s">
        <v>4650</v>
      </c>
    </row>
    <row r="7024" spans="1:8" ht="15" x14ac:dyDescent="0.2">
      <c r="A7024" s="597">
        <v>43525</v>
      </c>
      <c r="B7024" s="41" t="s">
        <v>2933</v>
      </c>
      <c r="C7024" s="41" t="s">
        <v>2503</v>
      </c>
      <c r="D7024" s="129" t="s">
        <v>668</v>
      </c>
      <c r="E7024" s="58">
        <v>16620.089285714286</v>
      </c>
      <c r="F7024" s="58"/>
      <c r="G7024" s="58">
        <f t="shared" si="115"/>
        <v>-16620.089285714286</v>
      </c>
      <c r="H7024" s="121" t="s">
        <v>4650</v>
      </c>
    </row>
    <row r="7025" spans="1:8" ht="15" x14ac:dyDescent="0.2">
      <c r="A7025" s="597">
        <v>43525</v>
      </c>
      <c r="B7025" s="41" t="s">
        <v>2933</v>
      </c>
      <c r="C7025" s="41" t="s">
        <v>2503</v>
      </c>
      <c r="D7025" s="129" t="s">
        <v>1852</v>
      </c>
      <c r="E7025" s="58">
        <v>39062.5</v>
      </c>
      <c r="F7025" s="58"/>
      <c r="G7025" s="58">
        <f t="shared" si="115"/>
        <v>-39062.5</v>
      </c>
      <c r="H7025" s="121" t="s">
        <v>4650</v>
      </c>
    </row>
    <row r="7026" spans="1:8" ht="15" x14ac:dyDescent="0.2">
      <c r="A7026" s="597">
        <v>43525</v>
      </c>
      <c r="B7026" s="41" t="s">
        <v>2933</v>
      </c>
      <c r="C7026" s="41" t="s">
        <v>2503</v>
      </c>
      <c r="D7026" s="129" t="s">
        <v>3234</v>
      </c>
      <c r="E7026" s="58">
        <v>20075.892857142855</v>
      </c>
      <c r="F7026" s="58"/>
      <c r="G7026" s="58">
        <f t="shared" si="115"/>
        <v>-20075.892857142855</v>
      </c>
      <c r="H7026" s="121" t="s">
        <v>4650</v>
      </c>
    </row>
    <row r="7027" spans="1:8" ht="15" x14ac:dyDescent="0.2">
      <c r="A7027" s="597">
        <v>43525</v>
      </c>
      <c r="B7027" s="41" t="s">
        <v>2933</v>
      </c>
      <c r="C7027" s="41" t="s">
        <v>2503</v>
      </c>
      <c r="D7027" s="129" t="s">
        <v>1859</v>
      </c>
      <c r="E7027" s="58">
        <v>11969.6875</v>
      </c>
      <c r="F7027" s="58"/>
      <c r="G7027" s="58">
        <f t="shared" si="115"/>
        <v>-11969.6875</v>
      </c>
      <c r="H7027" s="121" t="s">
        <v>4650</v>
      </c>
    </row>
    <row r="7028" spans="1:8" ht="15" x14ac:dyDescent="0.2">
      <c r="A7028" s="597">
        <v>43525</v>
      </c>
      <c r="B7028" s="41" t="s">
        <v>2933</v>
      </c>
      <c r="C7028" s="41" t="s">
        <v>2503</v>
      </c>
      <c r="D7028" s="129" t="s">
        <v>3490</v>
      </c>
      <c r="E7028" s="58">
        <v>12000.000000000002</v>
      </c>
      <c r="F7028" s="58"/>
      <c r="G7028" s="58">
        <f t="shared" si="115"/>
        <v>-12000.000000000002</v>
      </c>
      <c r="H7028" s="121" t="s">
        <v>4650</v>
      </c>
    </row>
    <row r="7029" spans="1:8" ht="15" x14ac:dyDescent="0.2">
      <c r="A7029" s="597">
        <v>43525</v>
      </c>
      <c r="B7029" s="41" t="s">
        <v>2933</v>
      </c>
      <c r="C7029" s="41" t="s">
        <v>2503</v>
      </c>
      <c r="D7029" s="129" t="s">
        <v>352</v>
      </c>
      <c r="E7029" s="58">
        <v>10700</v>
      </c>
      <c r="F7029" s="58"/>
      <c r="G7029" s="58">
        <f t="shared" si="115"/>
        <v>-10700</v>
      </c>
      <c r="H7029" s="121" t="s">
        <v>4650</v>
      </c>
    </row>
    <row r="7030" spans="1:8" ht="15" x14ac:dyDescent="0.2">
      <c r="A7030" s="597">
        <v>43525</v>
      </c>
      <c r="B7030" s="41" t="s">
        <v>2652</v>
      </c>
      <c r="C7030" s="41" t="s">
        <v>2503</v>
      </c>
      <c r="D7030" s="129" t="s">
        <v>3616</v>
      </c>
      <c r="E7030" s="58">
        <v>40000</v>
      </c>
      <c r="F7030" s="58"/>
      <c r="G7030" s="58">
        <f t="shared" si="115"/>
        <v>-40000</v>
      </c>
      <c r="H7030" s="121" t="s">
        <v>4650</v>
      </c>
    </row>
    <row r="7031" spans="1:8" ht="15" x14ac:dyDescent="0.2">
      <c r="A7031" s="597">
        <v>43525</v>
      </c>
      <c r="B7031" s="41" t="s">
        <v>2652</v>
      </c>
      <c r="C7031" s="41" t="s">
        <v>2503</v>
      </c>
      <c r="D7031" s="129" t="s">
        <v>1847</v>
      </c>
      <c r="E7031" s="58">
        <v>19187.5</v>
      </c>
      <c r="F7031" s="58"/>
      <c r="G7031" s="58">
        <f t="shared" si="115"/>
        <v>-19187.5</v>
      </c>
      <c r="H7031" s="121" t="s">
        <v>4650</v>
      </c>
    </row>
    <row r="7032" spans="1:8" ht="15" x14ac:dyDescent="0.2">
      <c r="A7032" s="597">
        <v>43525</v>
      </c>
      <c r="B7032" s="41" t="s">
        <v>2652</v>
      </c>
      <c r="C7032" s="41" t="s">
        <v>2503</v>
      </c>
      <c r="D7032" s="129" t="s">
        <v>2283</v>
      </c>
      <c r="E7032" s="58">
        <v>31281.25</v>
      </c>
      <c r="F7032" s="58"/>
      <c r="G7032" s="58">
        <f t="shared" si="115"/>
        <v>-31281.25</v>
      </c>
      <c r="H7032" s="121" t="s">
        <v>4650</v>
      </c>
    </row>
    <row r="7033" spans="1:8" ht="15" x14ac:dyDescent="0.2">
      <c r="A7033" s="597">
        <v>43525</v>
      </c>
      <c r="B7033" s="41" t="s">
        <v>2652</v>
      </c>
      <c r="C7033" s="41" t="s">
        <v>2503</v>
      </c>
      <c r="D7033" s="129" t="s">
        <v>2280</v>
      </c>
      <c r="E7033" s="58">
        <v>20446.428571428572</v>
      </c>
      <c r="F7033" s="58"/>
      <c r="G7033" s="58">
        <f t="shared" si="115"/>
        <v>-20446.428571428572</v>
      </c>
      <c r="H7033" s="121" t="s">
        <v>4650</v>
      </c>
    </row>
    <row r="7034" spans="1:8" ht="15" x14ac:dyDescent="0.2">
      <c r="A7034" s="597">
        <v>43525</v>
      </c>
      <c r="B7034" s="41" t="s">
        <v>2652</v>
      </c>
      <c r="C7034" s="41" t="s">
        <v>2503</v>
      </c>
      <c r="D7034" s="129" t="s">
        <v>1862</v>
      </c>
      <c r="E7034" s="58">
        <v>19803.571428571428</v>
      </c>
      <c r="F7034" s="58"/>
      <c r="G7034" s="58">
        <f t="shared" si="115"/>
        <v>-19803.571428571428</v>
      </c>
      <c r="H7034" s="121" t="s">
        <v>4650</v>
      </c>
    </row>
    <row r="7035" spans="1:8" ht="15" x14ac:dyDescent="0.2">
      <c r="A7035" s="597">
        <v>43525</v>
      </c>
      <c r="B7035" s="41" t="s">
        <v>2652</v>
      </c>
      <c r="C7035" s="41" t="s">
        <v>2503</v>
      </c>
      <c r="D7035" s="129" t="s">
        <v>1860</v>
      </c>
      <c r="E7035" s="58">
        <v>14607.142857142859</v>
      </c>
      <c r="F7035" s="58"/>
      <c r="G7035" s="58">
        <f t="shared" si="115"/>
        <v>-14607.142857142859</v>
      </c>
      <c r="H7035" s="121" t="s">
        <v>4650</v>
      </c>
    </row>
    <row r="7036" spans="1:8" ht="15" x14ac:dyDescent="0.2">
      <c r="A7036" s="597">
        <v>43525</v>
      </c>
      <c r="B7036" s="41" t="s">
        <v>2652</v>
      </c>
      <c r="C7036" s="41" t="s">
        <v>2503</v>
      </c>
      <c r="D7036" s="129" t="s">
        <v>4562</v>
      </c>
      <c r="E7036" s="58">
        <v>18571.428571428572</v>
      </c>
      <c r="F7036" s="58"/>
      <c r="G7036" s="58">
        <f t="shared" si="115"/>
        <v>-18571.428571428572</v>
      </c>
      <c r="H7036" s="121" t="s">
        <v>4650</v>
      </c>
    </row>
    <row r="7037" spans="1:8" ht="15" x14ac:dyDescent="0.2">
      <c r="A7037" s="597">
        <v>43525</v>
      </c>
      <c r="B7037" s="41" t="s">
        <v>2652</v>
      </c>
      <c r="C7037" s="41" t="s">
        <v>2503</v>
      </c>
      <c r="D7037" s="129" t="s">
        <v>4120</v>
      </c>
      <c r="E7037" s="58">
        <v>26616.071428571428</v>
      </c>
      <c r="F7037" s="58"/>
      <c r="G7037" s="58">
        <f t="shared" si="115"/>
        <v>-26616.071428571428</v>
      </c>
      <c r="H7037" s="121" t="s">
        <v>4650</v>
      </c>
    </row>
    <row r="7038" spans="1:8" ht="15" x14ac:dyDescent="0.2">
      <c r="A7038" s="597">
        <v>43525</v>
      </c>
      <c r="B7038" s="41" t="s">
        <v>2652</v>
      </c>
      <c r="C7038" s="41" t="s">
        <v>2503</v>
      </c>
      <c r="D7038" s="129" t="s">
        <v>4121</v>
      </c>
      <c r="E7038" s="58">
        <v>28084.821428571428</v>
      </c>
      <c r="F7038" s="58"/>
      <c r="G7038" s="58">
        <f t="shared" si="115"/>
        <v>-28084.821428571428</v>
      </c>
      <c r="H7038" s="121" t="s">
        <v>4650</v>
      </c>
    </row>
    <row r="7039" spans="1:8" ht="15" x14ac:dyDescent="0.2">
      <c r="A7039" s="597">
        <v>43525</v>
      </c>
      <c r="B7039" s="41" t="s">
        <v>11</v>
      </c>
      <c r="C7039" s="41" t="s">
        <v>2503</v>
      </c>
      <c r="D7039" s="129" t="s">
        <v>6134</v>
      </c>
      <c r="E7039" s="58">
        <v>10000</v>
      </c>
      <c r="F7039" s="58"/>
      <c r="G7039" s="58">
        <f t="shared" si="115"/>
        <v>-10000</v>
      </c>
      <c r="H7039" s="121" t="s">
        <v>4650</v>
      </c>
    </row>
    <row r="7040" spans="1:8" ht="15" x14ac:dyDescent="0.2">
      <c r="A7040" s="597">
        <v>43525</v>
      </c>
      <c r="B7040" s="63" t="s">
        <v>2933</v>
      </c>
      <c r="C7040" s="63" t="s">
        <v>3145</v>
      </c>
      <c r="D7040" s="183" t="s">
        <v>4682</v>
      </c>
      <c r="E7040" s="126">
        <v>10300</v>
      </c>
      <c r="F7040" s="126"/>
      <c r="G7040" s="126">
        <f t="shared" si="115"/>
        <v>-10300</v>
      </c>
      <c r="H7040" s="121" t="s">
        <v>4650</v>
      </c>
    </row>
    <row r="7041" spans="1:8" ht="15" x14ac:dyDescent="0.2">
      <c r="A7041" s="597">
        <v>43525</v>
      </c>
      <c r="B7041" s="63" t="s">
        <v>25</v>
      </c>
      <c r="C7041" s="63" t="s">
        <v>3145</v>
      </c>
      <c r="D7041" s="183" t="s">
        <v>4681</v>
      </c>
      <c r="E7041" s="126">
        <v>21030</v>
      </c>
      <c r="F7041" s="126"/>
      <c r="G7041" s="126">
        <f t="shared" si="115"/>
        <v>-21030</v>
      </c>
      <c r="H7041" s="121" t="s">
        <v>4650</v>
      </c>
    </row>
    <row r="7042" spans="1:8" ht="24" x14ac:dyDescent="0.2">
      <c r="A7042" s="597">
        <v>43530</v>
      </c>
      <c r="B7042" s="63" t="s">
        <v>2933</v>
      </c>
      <c r="C7042" s="63" t="s">
        <v>3145</v>
      </c>
      <c r="D7042" s="183" t="s">
        <v>4688</v>
      </c>
      <c r="E7042" s="126">
        <v>20820</v>
      </c>
      <c r="F7042" s="126"/>
      <c r="G7042" s="126">
        <f t="shared" si="115"/>
        <v>-20820</v>
      </c>
      <c r="H7042" s="121" t="s">
        <v>4650</v>
      </c>
    </row>
    <row r="7043" spans="1:8" ht="15" x14ac:dyDescent="0.2">
      <c r="A7043" s="597">
        <v>43530</v>
      </c>
      <c r="B7043" s="63" t="s">
        <v>3733</v>
      </c>
      <c r="C7043" s="63" t="s">
        <v>3145</v>
      </c>
      <c r="D7043" s="183" t="s">
        <v>4689</v>
      </c>
      <c r="E7043" s="126">
        <v>20000</v>
      </c>
      <c r="F7043" s="126"/>
      <c r="G7043" s="126">
        <f t="shared" si="115"/>
        <v>-20000</v>
      </c>
      <c r="H7043" s="121" t="s">
        <v>4650</v>
      </c>
    </row>
    <row r="7044" spans="1:8" ht="15" x14ac:dyDescent="0.2">
      <c r="A7044" s="597">
        <v>43531</v>
      </c>
      <c r="B7044" s="63" t="s">
        <v>1400</v>
      </c>
      <c r="C7044" s="63" t="s">
        <v>2503</v>
      </c>
      <c r="D7044" s="183" t="s">
        <v>4690</v>
      </c>
      <c r="E7044" s="126">
        <v>5775</v>
      </c>
      <c r="F7044" s="126"/>
      <c r="G7044" s="126">
        <f t="shared" si="115"/>
        <v>-5775</v>
      </c>
      <c r="H7044" s="121" t="s">
        <v>4650</v>
      </c>
    </row>
    <row r="7045" spans="1:8" ht="15" x14ac:dyDescent="0.2">
      <c r="A7045" s="597">
        <v>43531</v>
      </c>
      <c r="B7045" s="63" t="s">
        <v>16</v>
      </c>
      <c r="C7045" s="63" t="s">
        <v>3364</v>
      </c>
      <c r="D7045" s="183" t="s">
        <v>370</v>
      </c>
      <c r="E7045" s="126">
        <v>4170</v>
      </c>
      <c r="F7045" s="126"/>
      <c r="G7045" s="126">
        <f t="shared" si="115"/>
        <v>-4170</v>
      </c>
      <c r="H7045" s="121" t="s">
        <v>4650</v>
      </c>
    </row>
    <row r="7046" spans="1:8" ht="15" x14ac:dyDescent="0.2">
      <c r="A7046" s="597">
        <v>43530</v>
      </c>
      <c r="B7046" s="63" t="s">
        <v>1400</v>
      </c>
      <c r="C7046" s="63" t="s">
        <v>3145</v>
      </c>
      <c r="D7046" s="183" t="s">
        <v>4691</v>
      </c>
      <c r="E7046" s="126">
        <v>16000</v>
      </c>
      <c r="F7046" s="126"/>
      <c r="G7046" s="126">
        <f t="shared" si="115"/>
        <v>-16000</v>
      </c>
      <c r="H7046" s="121" t="s">
        <v>4650</v>
      </c>
    </row>
    <row r="7047" spans="1:8" ht="15" x14ac:dyDescent="0.2">
      <c r="A7047" s="597">
        <v>43530</v>
      </c>
      <c r="B7047" s="63" t="s">
        <v>2652</v>
      </c>
      <c r="C7047" s="63" t="s">
        <v>3145</v>
      </c>
      <c r="D7047" s="183" t="s">
        <v>4692</v>
      </c>
      <c r="E7047" s="126">
        <v>6500</v>
      </c>
      <c r="F7047" s="126"/>
      <c r="G7047" s="126">
        <f t="shared" si="115"/>
        <v>-6500</v>
      </c>
      <c r="H7047" s="121" t="s">
        <v>4650</v>
      </c>
    </row>
    <row r="7048" spans="1:8" ht="15" x14ac:dyDescent="0.2">
      <c r="A7048" s="597">
        <v>43530</v>
      </c>
      <c r="B7048" s="63" t="s">
        <v>2933</v>
      </c>
      <c r="C7048" s="63" t="s">
        <v>3145</v>
      </c>
      <c r="D7048" s="183" t="s">
        <v>4693</v>
      </c>
      <c r="E7048" s="126">
        <v>7500</v>
      </c>
      <c r="F7048" s="126"/>
      <c r="G7048" s="126">
        <f t="shared" si="115"/>
        <v>-7500</v>
      </c>
      <c r="H7048" s="121" t="s">
        <v>4650</v>
      </c>
    </row>
    <row r="7049" spans="1:8" ht="15" x14ac:dyDescent="0.2">
      <c r="A7049" s="597">
        <v>43530</v>
      </c>
      <c r="B7049" s="63" t="s">
        <v>4553</v>
      </c>
      <c r="C7049" s="63" t="s">
        <v>3145</v>
      </c>
      <c r="D7049" s="183" t="s">
        <v>4694</v>
      </c>
      <c r="E7049" s="126">
        <v>25290</v>
      </c>
      <c r="F7049" s="126"/>
      <c r="G7049" s="126">
        <f t="shared" si="115"/>
        <v>-25290</v>
      </c>
      <c r="H7049" s="121" t="s">
        <v>4650</v>
      </c>
    </row>
    <row r="7050" spans="1:8" ht="15" x14ac:dyDescent="0.2">
      <c r="A7050" s="597">
        <v>43530</v>
      </c>
      <c r="B7050" s="63" t="s">
        <v>2933</v>
      </c>
      <c r="C7050" s="63" t="s">
        <v>3145</v>
      </c>
      <c r="D7050" s="183" t="s">
        <v>4694</v>
      </c>
      <c r="E7050" s="126">
        <v>10100</v>
      </c>
      <c r="F7050" s="126"/>
      <c r="G7050" s="126">
        <f t="shared" si="115"/>
        <v>-10100</v>
      </c>
      <c r="H7050" s="121" t="s">
        <v>4650</v>
      </c>
    </row>
    <row r="7051" spans="1:8" ht="15" x14ac:dyDescent="0.2">
      <c r="A7051" s="597">
        <v>43530</v>
      </c>
      <c r="B7051" s="63" t="s">
        <v>2652</v>
      </c>
      <c r="C7051" s="63" t="s">
        <v>3145</v>
      </c>
      <c r="D7051" s="183" t="s">
        <v>4694</v>
      </c>
      <c r="E7051" s="126">
        <v>7000</v>
      </c>
      <c r="F7051" s="126"/>
      <c r="G7051" s="126">
        <f t="shared" si="115"/>
        <v>-7000</v>
      </c>
      <c r="H7051" s="121" t="s">
        <v>4650</v>
      </c>
    </row>
    <row r="7052" spans="1:8" ht="15" x14ac:dyDescent="0.2">
      <c r="A7052" s="597">
        <v>43530</v>
      </c>
      <c r="B7052" s="63" t="s">
        <v>1400</v>
      </c>
      <c r="C7052" s="63" t="s">
        <v>3145</v>
      </c>
      <c r="D7052" s="183" t="s">
        <v>4694</v>
      </c>
      <c r="E7052" s="126">
        <v>23466</v>
      </c>
      <c r="F7052" s="126"/>
      <c r="G7052" s="126">
        <f t="shared" si="115"/>
        <v>-23466</v>
      </c>
      <c r="H7052" s="121" t="s">
        <v>4650</v>
      </c>
    </row>
    <row r="7053" spans="1:8" ht="15" x14ac:dyDescent="0.2">
      <c r="A7053" s="597">
        <v>43532</v>
      </c>
      <c r="B7053" s="63" t="s">
        <v>4553</v>
      </c>
      <c r="C7053" s="63" t="s">
        <v>3145</v>
      </c>
      <c r="D7053" s="183" t="s">
        <v>4695</v>
      </c>
      <c r="E7053" s="126">
        <v>1532</v>
      </c>
      <c r="F7053" s="126"/>
      <c r="G7053" s="126">
        <f t="shared" si="115"/>
        <v>-1532</v>
      </c>
      <c r="H7053" s="121" t="s">
        <v>4650</v>
      </c>
    </row>
    <row r="7054" spans="1:8" ht="15" x14ac:dyDescent="0.2">
      <c r="A7054" s="597">
        <v>43532</v>
      </c>
      <c r="B7054" s="63" t="s">
        <v>2933</v>
      </c>
      <c r="C7054" s="63" t="s">
        <v>3145</v>
      </c>
      <c r="D7054" s="183" t="s">
        <v>4696</v>
      </c>
      <c r="E7054" s="126">
        <v>9000</v>
      </c>
      <c r="F7054" s="126"/>
      <c r="G7054" s="126">
        <f t="shared" si="115"/>
        <v>-9000</v>
      </c>
      <c r="H7054" s="121" t="s">
        <v>4650</v>
      </c>
    </row>
    <row r="7055" spans="1:8" ht="15" x14ac:dyDescent="0.2">
      <c r="A7055" s="597">
        <v>43532</v>
      </c>
      <c r="B7055" s="63" t="s">
        <v>2933</v>
      </c>
      <c r="C7055" s="63" t="s">
        <v>3145</v>
      </c>
      <c r="D7055" s="183" t="s">
        <v>1495</v>
      </c>
      <c r="E7055" s="126">
        <v>4400</v>
      </c>
      <c r="F7055" s="126"/>
      <c r="G7055" s="126">
        <f t="shared" si="115"/>
        <v>-4400</v>
      </c>
      <c r="H7055" s="121" t="s">
        <v>4650</v>
      </c>
    </row>
    <row r="7056" spans="1:8" ht="15" x14ac:dyDescent="0.2">
      <c r="A7056" s="597">
        <v>43532</v>
      </c>
      <c r="B7056" s="63" t="s">
        <v>25</v>
      </c>
      <c r="C7056" s="63" t="s">
        <v>2428</v>
      </c>
      <c r="D7056" s="183" t="s">
        <v>4697</v>
      </c>
      <c r="E7056" s="126">
        <v>59000</v>
      </c>
      <c r="F7056" s="126"/>
      <c r="G7056" s="126">
        <f t="shared" si="115"/>
        <v>-59000</v>
      </c>
      <c r="H7056" s="121" t="s">
        <v>4650</v>
      </c>
    </row>
    <row r="7057" spans="1:8" ht="15" x14ac:dyDescent="0.2">
      <c r="A7057" s="597">
        <v>43532</v>
      </c>
      <c r="B7057" s="63" t="s">
        <v>1400</v>
      </c>
      <c r="C7057" s="63" t="s">
        <v>4698</v>
      </c>
      <c r="D7057" s="183" t="s">
        <v>1001</v>
      </c>
      <c r="E7057" s="126">
        <v>360</v>
      </c>
      <c r="F7057" s="126"/>
      <c r="G7057" s="126">
        <f t="shared" si="115"/>
        <v>-360</v>
      </c>
      <c r="H7057" s="121" t="s">
        <v>4650</v>
      </c>
    </row>
    <row r="7058" spans="1:8" ht="15" x14ac:dyDescent="0.2">
      <c r="A7058" s="597">
        <v>43533</v>
      </c>
      <c r="B7058" s="63" t="s">
        <v>2933</v>
      </c>
      <c r="C7058" s="63" t="s">
        <v>3145</v>
      </c>
      <c r="D7058" s="183" t="s">
        <v>4699</v>
      </c>
      <c r="E7058" s="126">
        <v>11668</v>
      </c>
      <c r="F7058" s="126"/>
      <c r="G7058" s="126">
        <f t="shared" si="115"/>
        <v>-11668</v>
      </c>
      <c r="H7058" s="121" t="s">
        <v>4650</v>
      </c>
    </row>
    <row r="7059" spans="1:8" ht="15" x14ac:dyDescent="0.2">
      <c r="A7059" s="597">
        <v>43535</v>
      </c>
      <c r="B7059" s="63" t="s">
        <v>25</v>
      </c>
      <c r="C7059" s="63" t="s">
        <v>2428</v>
      </c>
      <c r="D7059" s="183" t="s">
        <v>4700</v>
      </c>
      <c r="E7059" s="126">
        <v>32020</v>
      </c>
      <c r="F7059" s="126"/>
      <c r="G7059" s="126">
        <f t="shared" si="115"/>
        <v>-32020</v>
      </c>
      <c r="H7059" s="121" t="s">
        <v>4650</v>
      </c>
    </row>
    <row r="7060" spans="1:8" ht="15" x14ac:dyDescent="0.2">
      <c r="A7060" s="597">
        <v>43537</v>
      </c>
      <c r="B7060" s="63" t="s">
        <v>1400</v>
      </c>
      <c r="C7060" s="63" t="s">
        <v>3145</v>
      </c>
      <c r="D7060" s="183" t="s">
        <v>3279</v>
      </c>
      <c r="E7060" s="126">
        <v>6650</v>
      </c>
      <c r="F7060" s="126"/>
      <c r="G7060" s="126">
        <f t="shared" si="115"/>
        <v>-6650</v>
      </c>
      <c r="H7060" s="121" t="s">
        <v>4650</v>
      </c>
    </row>
    <row r="7061" spans="1:8" ht="15" x14ac:dyDescent="0.2">
      <c r="A7061" s="597">
        <v>43537</v>
      </c>
      <c r="B7061" s="63" t="s">
        <v>1400</v>
      </c>
      <c r="C7061" s="63" t="s">
        <v>3145</v>
      </c>
      <c r="D7061" s="183" t="s">
        <v>4316</v>
      </c>
      <c r="E7061" s="126">
        <v>90466</v>
      </c>
      <c r="F7061" s="126"/>
      <c r="G7061" s="126">
        <f t="shared" si="115"/>
        <v>-90466</v>
      </c>
      <c r="H7061" s="121" t="s">
        <v>4650</v>
      </c>
    </row>
    <row r="7062" spans="1:8" ht="15" x14ac:dyDescent="0.2">
      <c r="A7062" s="597">
        <v>43537</v>
      </c>
      <c r="B7062" s="63" t="s">
        <v>1400</v>
      </c>
      <c r="C7062" s="63" t="s">
        <v>929</v>
      </c>
      <c r="D7062" s="183" t="s">
        <v>370</v>
      </c>
      <c r="E7062" s="126">
        <v>5000</v>
      </c>
      <c r="F7062" s="126"/>
      <c r="G7062" s="126">
        <f t="shared" si="115"/>
        <v>-5000</v>
      </c>
      <c r="H7062" s="121" t="s">
        <v>4650</v>
      </c>
    </row>
    <row r="7063" spans="1:8" ht="15" x14ac:dyDescent="0.2">
      <c r="A7063" s="597">
        <v>43537</v>
      </c>
      <c r="B7063" s="63" t="s">
        <v>3622</v>
      </c>
      <c r="C7063" s="63" t="s">
        <v>790</v>
      </c>
      <c r="D7063" s="183" t="s">
        <v>3369</v>
      </c>
      <c r="E7063" s="126">
        <v>240</v>
      </c>
      <c r="F7063" s="126"/>
      <c r="G7063" s="126">
        <f t="shared" si="115"/>
        <v>-240</v>
      </c>
      <c r="H7063" s="121" t="s">
        <v>4650</v>
      </c>
    </row>
    <row r="7064" spans="1:8" ht="15" x14ac:dyDescent="0.2">
      <c r="A7064" s="597">
        <v>43537</v>
      </c>
      <c r="B7064" s="63" t="s">
        <v>2652</v>
      </c>
      <c r="C7064" s="63" t="s">
        <v>790</v>
      </c>
      <c r="D7064" s="183" t="s">
        <v>3369</v>
      </c>
      <c r="E7064" s="126">
        <v>100</v>
      </c>
      <c r="F7064" s="126"/>
      <c r="G7064" s="126">
        <f t="shared" si="115"/>
        <v>-100</v>
      </c>
      <c r="H7064" s="121" t="s">
        <v>4650</v>
      </c>
    </row>
    <row r="7065" spans="1:8" ht="15" x14ac:dyDescent="0.2">
      <c r="A7065" s="597">
        <v>43538</v>
      </c>
      <c r="B7065" s="63" t="s">
        <v>2652</v>
      </c>
      <c r="C7065" s="63" t="s">
        <v>3145</v>
      </c>
      <c r="D7065" s="183" t="s">
        <v>4701</v>
      </c>
      <c r="E7065" s="126">
        <v>16000</v>
      </c>
      <c r="F7065" s="126"/>
      <c r="G7065" s="126">
        <f t="shared" si="115"/>
        <v>-16000</v>
      </c>
      <c r="H7065" s="121" t="s">
        <v>4650</v>
      </c>
    </row>
    <row r="7066" spans="1:8" ht="15" x14ac:dyDescent="0.2">
      <c r="A7066" s="597">
        <v>43539</v>
      </c>
      <c r="B7066" s="63" t="s">
        <v>2933</v>
      </c>
      <c r="C7066" s="63" t="s">
        <v>3145</v>
      </c>
      <c r="D7066" s="183" t="s">
        <v>4702</v>
      </c>
      <c r="E7066" s="126">
        <f>960+2500+6000</f>
        <v>9460</v>
      </c>
      <c r="F7066" s="126"/>
      <c r="G7066" s="126">
        <f t="shared" si="115"/>
        <v>-9460</v>
      </c>
      <c r="H7066" s="121" t="s">
        <v>4650</v>
      </c>
    </row>
    <row r="7067" spans="1:8" ht="15" x14ac:dyDescent="0.2">
      <c r="A7067" s="597">
        <v>43539</v>
      </c>
      <c r="B7067" s="63" t="s">
        <v>2652</v>
      </c>
      <c r="C7067" s="63" t="s">
        <v>3145</v>
      </c>
      <c r="D7067" s="183" t="s">
        <v>4702</v>
      </c>
      <c r="E7067" s="126">
        <f>19864-E7066</f>
        <v>10404</v>
      </c>
      <c r="F7067" s="126"/>
      <c r="G7067" s="126">
        <f t="shared" si="115"/>
        <v>-10404</v>
      </c>
      <c r="H7067" s="121" t="s">
        <v>4650</v>
      </c>
    </row>
    <row r="7068" spans="1:8" ht="15" x14ac:dyDescent="0.2">
      <c r="A7068" s="597">
        <v>43539</v>
      </c>
      <c r="B7068" s="63" t="s">
        <v>1400</v>
      </c>
      <c r="C7068" s="63" t="s">
        <v>3145</v>
      </c>
      <c r="D7068" s="183" t="s">
        <v>4678</v>
      </c>
      <c r="E7068" s="126">
        <v>11850</v>
      </c>
      <c r="F7068" s="126"/>
      <c r="G7068" s="126">
        <f t="shared" si="115"/>
        <v>-11850</v>
      </c>
      <c r="H7068" s="121" t="s">
        <v>4650</v>
      </c>
    </row>
    <row r="7069" spans="1:8" ht="15" x14ac:dyDescent="0.2">
      <c r="A7069" s="597">
        <v>43539</v>
      </c>
      <c r="B7069" s="63" t="s">
        <v>1400</v>
      </c>
      <c r="C7069" s="63" t="s">
        <v>3145</v>
      </c>
      <c r="D7069" s="183" t="s">
        <v>4678</v>
      </c>
      <c r="E7069" s="126">
        <v>13900</v>
      </c>
      <c r="F7069" s="126"/>
      <c r="G7069" s="126">
        <f t="shared" si="115"/>
        <v>-13900</v>
      </c>
      <c r="H7069" s="121" t="s">
        <v>4650</v>
      </c>
    </row>
    <row r="7070" spans="1:8" ht="15" x14ac:dyDescent="0.2">
      <c r="A7070" s="597">
        <v>43539</v>
      </c>
      <c r="B7070" s="63" t="s">
        <v>2652</v>
      </c>
      <c r="C7070" s="63" t="s">
        <v>3145</v>
      </c>
      <c r="D7070" s="183" t="s">
        <v>4703</v>
      </c>
      <c r="E7070" s="126">
        <v>30000</v>
      </c>
      <c r="F7070" s="126"/>
      <c r="G7070" s="126">
        <f t="shared" si="115"/>
        <v>-30000</v>
      </c>
      <c r="H7070" s="121" t="s">
        <v>4650</v>
      </c>
    </row>
    <row r="7071" spans="1:8" ht="15" x14ac:dyDescent="0.2">
      <c r="A7071" s="597">
        <v>43539</v>
      </c>
      <c r="B7071" s="63" t="s">
        <v>25</v>
      </c>
      <c r="C7071" s="63" t="s">
        <v>2428</v>
      </c>
      <c r="D7071" s="183" t="s">
        <v>4704</v>
      </c>
      <c r="E7071" s="126">
        <v>10598</v>
      </c>
      <c r="F7071" s="126"/>
      <c r="G7071" s="126">
        <f t="shared" si="115"/>
        <v>-10598</v>
      </c>
      <c r="H7071" s="121" t="s">
        <v>4650</v>
      </c>
    </row>
    <row r="7072" spans="1:8" ht="15" x14ac:dyDescent="0.2">
      <c r="A7072" s="597">
        <v>43539</v>
      </c>
      <c r="B7072" s="63" t="s">
        <v>3733</v>
      </c>
      <c r="C7072" s="63" t="s">
        <v>3145</v>
      </c>
      <c r="D7072" s="183" t="s">
        <v>3787</v>
      </c>
      <c r="E7072" s="126">
        <v>7550</v>
      </c>
      <c r="F7072" s="126"/>
      <c r="G7072" s="126">
        <f t="shared" si="115"/>
        <v>-7550</v>
      </c>
      <c r="H7072" s="121" t="s">
        <v>4650</v>
      </c>
    </row>
    <row r="7073" spans="1:8" ht="15" x14ac:dyDescent="0.2">
      <c r="A7073" s="597">
        <v>43539</v>
      </c>
      <c r="B7073" s="63" t="s">
        <v>2933</v>
      </c>
      <c r="C7073" s="63" t="s">
        <v>3145</v>
      </c>
      <c r="D7073" s="183" t="s">
        <v>3974</v>
      </c>
      <c r="E7073" s="126">
        <f>8140/2</f>
        <v>4070</v>
      </c>
      <c r="F7073" s="126"/>
      <c r="G7073" s="126">
        <f t="shared" si="115"/>
        <v>-4070</v>
      </c>
      <c r="H7073" s="121" t="s">
        <v>4650</v>
      </c>
    </row>
    <row r="7074" spans="1:8" ht="15" x14ac:dyDescent="0.2">
      <c r="A7074" s="597">
        <v>43539</v>
      </c>
      <c r="B7074" s="63" t="s">
        <v>2652</v>
      </c>
      <c r="C7074" s="63" t="s">
        <v>3145</v>
      </c>
      <c r="D7074" s="183" t="s">
        <v>3974</v>
      </c>
      <c r="E7074" s="126">
        <f>8140/2</f>
        <v>4070</v>
      </c>
      <c r="F7074" s="126"/>
      <c r="G7074" s="126">
        <f t="shared" si="115"/>
        <v>-4070</v>
      </c>
      <c r="H7074" s="121" t="s">
        <v>4650</v>
      </c>
    </row>
    <row r="7075" spans="1:8" ht="15" x14ac:dyDescent="0.2">
      <c r="A7075" s="597">
        <v>43540</v>
      </c>
      <c r="B7075" s="63" t="s">
        <v>2933</v>
      </c>
      <c r="C7075" s="63" t="s">
        <v>3145</v>
      </c>
      <c r="D7075" s="183" t="s">
        <v>4705</v>
      </c>
      <c r="E7075" s="126">
        <v>8400</v>
      </c>
      <c r="F7075" s="126"/>
      <c r="G7075" s="126">
        <f t="shared" si="115"/>
        <v>-8400</v>
      </c>
      <c r="H7075" s="121" t="s">
        <v>4650</v>
      </c>
    </row>
    <row r="7076" spans="1:8" ht="15" x14ac:dyDescent="0.2">
      <c r="A7076" s="597">
        <v>43540</v>
      </c>
      <c r="B7076" s="63" t="s">
        <v>2652</v>
      </c>
      <c r="C7076" s="63" t="s">
        <v>4385</v>
      </c>
      <c r="D7076" s="183" t="s">
        <v>4706</v>
      </c>
      <c r="E7076" s="126">
        <v>10000</v>
      </c>
      <c r="F7076" s="126"/>
      <c r="G7076" s="126">
        <f t="shared" si="115"/>
        <v>-10000</v>
      </c>
      <c r="H7076" s="121" t="s">
        <v>4650</v>
      </c>
    </row>
    <row r="7077" spans="1:8" ht="15" x14ac:dyDescent="0.2">
      <c r="A7077" s="597">
        <v>43540</v>
      </c>
      <c r="B7077" s="63" t="s">
        <v>2933</v>
      </c>
      <c r="C7077" s="63" t="s">
        <v>3145</v>
      </c>
      <c r="D7077" s="183" t="s">
        <v>4291</v>
      </c>
      <c r="E7077" s="126">
        <v>60000</v>
      </c>
      <c r="F7077" s="126"/>
      <c r="G7077" s="126">
        <f t="shared" si="115"/>
        <v>-60000</v>
      </c>
      <c r="H7077" s="121" t="s">
        <v>4650</v>
      </c>
    </row>
    <row r="7078" spans="1:8" ht="15" x14ac:dyDescent="0.2">
      <c r="A7078" s="597">
        <v>43540</v>
      </c>
      <c r="B7078" s="63" t="s">
        <v>82</v>
      </c>
      <c r="C7078" s="63" t="s">
        <v>3145</v>
      </c>
      <c r="D7078" s="183" t="s">
        <v>4872</v>
      </c>
      <c r="E7078" s="126">
        <f>1200</f>
        <v>1200</v>
      </c>
      <c r="F7078" s="126"/>
      <c r="G7078" s="126">
        <f t="shared" si="115"/>
        <v>-1200</v>
      </c>
      <c r="H7078" s="121" t="s">
        <v>4650</v>
      </c>
    </row>
    <row r="7079" spans="1:8" ht="15" x14ac:dyDescent="0.2">
      <c r="A7079" s="597">
        <v>43542</v>
      </c>
      <c r="B7079" s="63" t="s">
        <v>2652</v>
      </c>
      <c r="C7079" s="63" t="s">
        <v>3145</v>
      </c>
      <c r="D7079" s="183" t="s">
        <v>4873</v>
      </c>
      <c r="E7079" s="126">
        <v>8340</v>
      </c>
      <c r="F7079" s="126"/>
      <c r="G7079" s="126">
        <f t="shared" si="115"/>
        <v>-8340</v>
      </c>
      <c r="H7079" s="121" t="s">
        <v>4650</v>
      </c>
    </row>
    <row r="7080" spans="1:8" ht="15" x14ac:dyDescent="0.2">
      <c r="A7080" s="597">
        <v>43545</v>
      </c>
      <c r="B7080" s="63" t="s">
        <v>1400</v>
      </c>
      <c r="C7080" s="63" t="s">
        <v>3145</v>
      </c>
      <c r="D7080" s="183" t="s">
        <v>4874</v>
      </c>
      <c r="E7080" s="126">
        <v>1440</v>
      </c>
      <c r="F7080" s="126"/>
      <c r="G7080" s="126">
        <f t="shared" si="115"/>
        <v>-1440</v>
      </c>
      <c r="H7080" s="121" t="s">
        <v>4650</v>
      </c>
    </row>
    <row r="7081" spans="1:8" ht="15" x14ac:dyDescent="0.2">
      <c r="A7081" s="597">
        <v>43545</v>
      </c>
      <c r="B7081" s="63" t="s">
        <v>25</v>
      </c>
      <c r="C7081" s="63" t="s">
        <v>2428</v>
      </c>
      <c r="D7081" s="183" t="s">
        <v>3056</v>
      </c>
      <c r="E7081" s="126">
        <v>34382</v>
      </c>
      <c r="F7081" s="126"/>
      <c r="G7081" s="126">
        <f t="shared" si="115"/>
        <v>-34382</v>
      </c>
      <c r="H7081" s="121" t="s">
        <v>4650</v>
      </c>
    </row>
    <row r="7082" spans="1:8" ht="15" x14ac:dyDescent="0.2">
      <c r="A7082" s="597">
        <v>43545</v>
      </c>
      <c r="B7082" s="63" t="s">
        <v>1400</v>
      </c>
      <c r="C7082" s="63" t="s">
        <v>3145</v>
      </c>
      <c r="D7082" s="183" t="s">
        <v>4875</v>
      </c>
      <c r="E7082" s="126">
        <v>45348</v>
      </c>
      <c r="F7082" s="126"/>
      <c r="G7082" s="126">
        <f t="shared" si="115"/>
        <v>-45348</v>
      </c>
      <c r="H7082" s="121" t="s">
        <v>4650</v>
      </c>
    </row>
    <row r="7083" spans="1:8" ht="15" x14ac:dyDescent="0.2">
      <c r="A7083" s="597">
        <v>43545</v>
      </c>
      <c r="B7083" s="63" t="s">
        <v>1400</v>
      </c>
      <c r="C7083" s="63" t="s">
        <v>3145</v>
      </c>
      <c r="D7083" s="183" t="s">
        <v>4875</v>
      </c>
      <c r="E7083" s="126">
        <v>53795</v>
      </c>
      <c r="F7083" s="126"/>
      <c r="G7083" s="126">
        <f t="shared" ref="G7083:G7146" si="116">F7083-E7083</f>
        <v>-53795</v>
      </c>
      <c r="H7083" s="121" t="s">
        <v>4650</v>
      </c>
    </row>
    <row r="7084" spans="1:8" ht="15" x14ac:dyDescent="0.2">
      <c r="A7084" s="597">
        <v>43547</v>
      </c>
      <c r="B7084" s="63" t="s">
        <v>2933</v>
      </c>
      <c r="C7084" s="63" t="s">
        <v>286</v>
      </c>
      <c r="D7084" s="183" t="s">
        <v>2431</v>
      </c>
      <c r="E7084" s="126">
        <v>5000</v>
      </c>
      <c r="F7084" s="126"/>
      <c r="G7084" s="126">
        <f t="shared" si="116"/>
        <v>-5000</v>
      </c>
      <c r="H7084" s="121" t="s">
        <v>4650</v>
      </c>
    </row>
    <row r="7085" spans="1:8" ht="15" x14ac:dyDescent="0.2">
      <c r="A7085" s="597">
        <v>43551</v>
      </c>
      <c r="B7085" s="63" t="s">
        <v>1400</v>
      </c>
      <c r="C7085" s="63" t="s">
        <v>286</v>
      </c>
      <c r="D7085" s="183" t="s">
        <v>2431</v>
      </c>
      <c r="E7085" s="126">
        <v>5000</v>
      </c>
      <c r="F7085" s="126"/>
      <c r="G7085" s="126">
        <f t="shared" si="116"/>
        <v>-5000</v>
      </c>
      <c r="H7085" s="121" t="s">
        <v>4650</v>
      </c>
    </row>
    <row r="7086" spans="1:8" ht="15" x14ac:dyDescent="0.2">
      <c r="A7086" s="597">
        <v>43551</v>
      </c>
      <c r="B7086" s="63" t="s">
        <v>4553</v>
      </c>
      <c r="C7086" s="63" t="s">
        <v>4876</v>
      </c>
      <c r="D7086" s="183" t="s">
        <v>4877</v>
      </c>
      <c r="E7086" s="126">
        <v>7000</v>
      </c>
      <c r="F7086" s="126"/>
      <c r="G7086" s="126">
        <f t="shared" si="116"/>
        <v>-7000</v>
      </c>
      <c r="H7086" s="121" t="s">
        <v>4650</v>
      </c>
    </row>
    <row r="7087" spans="1:8" ht="15" x14ac:dyDescent="0.2">
      <c r="A7087" s="597">
        <v>43551</v>
      </c>
      <c r="B7087" s="63" t="s">
        <v>4553</v>
      </c>
      <c r="C7087" s="63" t="s">
        <v>3145</v>
      </c>
      <c r="D7087" s="183" t="s">
        <v>4878</v>
      </c>
      <c r="E7087" s="126">
        <v>45125</v>
      </c>
      <c r="F7087" s="126"/>
      <c r="G7087" s="126">
        <f t="shared" si="116"/>
        <v>-45125</v>
      </c>
      <c r="H7087" s="121" t="s">
        <v>4650</v>
      </c>
    </row>
    <row r="7088" spans="1:8" ht="15" x14ac:dyDescent="0.2">
      <c r="A7088" s="597">
        <v>43552</v>
      </c>
      <c r="B7088" s="63" t="s">
        <v>2652</v>
      </c>
      <c r="C7088" s="63" t="s">
        <v>3145</v>
      </c>
      <c r="D7088" s="183" t="s">
        <v>4879</v>
      </c>
      <c r="E7088" s="126">
        <v>12250</v>
      </c>
      <c r="F7088" s="126"/>
      <c r="G7088" s="126">
        <f t="shared" si="116"/>
        <v>-12250</v>
      </c>
      <c r="H7088" s="121" t="s">
        <v>4650</v>
      </c>
    </row>
    <row r="7089" spans="1:9" ht="15" x14ac:dyDescent="0.2">
      <c r="A7089" s="597">
        <v>43552</v>
      </c>
      <c r="B7089" s="63" t="s">
        <v>2933</v>
      </c>
      <c r="C7089" s="63" t="s">
        <v>3145</v>
      </c>
      <c r="D7089" s="183" t="s">
        <v>4880</v>
      </c>
      <c r="E7089" s="126">
        <v>8364</v>
      </c>
      <c r="F7089" s="126"/>
      <c r="G7089" s="126">
        <f t="shared" si="116"/>
        <v>-8364</v>
      </c>
      <c r="H7089" s="121" t="s">
        <v>4650</v>
      </c>
    </row>
    <row r="7090" spans="1:9" ht="24" x14ac:dyDescent="0.2">
      <c r="A7090" s="597">
        <v>43552</v>
      </c>
      <c r="B7090" s="63" t="s">
        <v>16</v>
      </c>
      <c r="C7090" s="63" t="s">
        <v>463</v>
      </c>
      <c r="D7090" s="183" t="s">
        <v>4935</v>
      </c>
      <c r="E7090" s="126">
        <v>39884</v>
      </c>
      <c r="F7090" s="126"/>
      <c r="G7090" s="126">
        <f t="shared" si="116"/>
        <v>-39884</v>
      </c>
      <c r="H7090" s="121" t="s">
        <v>4650</v>
      </c>
    </row>
    <row r="7091" spans="1:9" ht="15" x14ac:dyDescent="0.2">
      <c r="A7091" s="597">
        <v>43552</v>
      </c>
      <c r="B7091" s="63" t="s">
        <v>2933</v>
      </c>
      <c r="C7091" s="63" t="s">
        <v>3145</v>
      </c>
      <c r="D7091" s="183" t="s">
        <v>4880</v>
      </c>
      <c r="E7091" s="126">
        <v>19300</v>
      </c>
      <c r="F7091" s="126"/>
      <c r="G7091" s="126">
        <f t="shared" si="116"/>
        <v>-19300</v>
      </c>
      <c r="H7091" s="121" t="s">
        <v>4650</v>
      </c>
    </row>
    <row r="7092" spans="1:9" ht="15" x14ac:dyDescent="0.2">
      <c r="A7092" s="597">
        <v>43552</v>
      </c>
      <c r="B7092" s="63" t="s">
        <v>3622</v>
      </c>
      <c r="C7092" s="63" t="s">
        <v>2190</v>
      </c>
      <c r="D7092" s="183" t="s">
        <v>3369</v>
      </c>
      <c r="E7092" s="126">
        <v>1000</v>
      </c>
      <c r="F7092" s="126"/>
      <c r="G7092" s="126">
        <f t="shared" si="116"/>
        <v>-1000</v>
      </c>
      <c r="H7092" s="121" t="s">
        <v>4650</v>
      </c>
    </row>
    <row r="7093" spans="1:9" ht="15" x14ac:dyDescent="0.2">
      <c r="A7093" s="602">
        <v>43526</v>
      </c>
      <c r="B7093" s="174" t="s">
        <v>2933</v>
      </c>
      <c r="C7093" s="174" t="s">
        <v>2338</v>
      </c>
      <c r="D7093" s="118" t="s">
        <v>4636</v>
      </c>
      <c r="E7093" s="236">
        <v>23000</v>
      </c>
      <c r="F7093" s="236"/>
      <c r="G7093" s="236">
        <f t="shared" si="116"/>
        <v>-23000</v>
      </c>
      <c r="H7093" s="244" t="s">
        <v>4650</v>
      </c>
      <c r="I7093" s="40"/>
    </row>
    <row r="7094" spans="1:9" ht="15" x14ac:dyDescent="0.2">
      <c r="A7094" s="602">
        <v>43526</v>
      </c>
      <c r="B7094" s="174" t="s">
        <v>2933</v>
      </c>
      <c r="C7094" s="174" t="s">
        <v>2338</v>
      </c>
      <c r="D7094" s="118" t="s">
        <v>4637</v>
      </c>
      <c r="E7094" s="236">
        <v>83880</v>
      </c>
      <c r="F7094" s="236"/>
      <c r="G7094" s="236">
        <f t="shared" si="116"/>
        <v>-83880</v>
      </c>
      <c r="H7094" s="244" t="s">
        <v>4650</v>
      </c>
      <c r="I7094" s="40"/>
    </row>
    <row r="7095" spans="1:9" ht="15" x14ac:dyDescent="0.2">
      <c r="A7095" s="602">
        <v>43528</v>
      </c>
      <c r="B7095" s="174" t="s">
        <v>1400</v>
      </c>
      <c r="C7095" s="174" t="s">
        <v>4444</v>
      </c>
      <c r="D7095" s="118" t="s">
        <v>4638</v>
      </c>
      <c r="E7095" s="236">
        <v>67000</v>
      </c>
      <c r="F7095" s="236"/>
      <c r="G7095" s="236">
        <f t="shared" si="116"/>
        <v>-67000</v>
      </c>
      <c r="H7095" s="244" t="s">
        <v>4650</v>
      </c>
      <c r="I7095" s="40"/>
    </row>
    <row r="7096" spans="1:9" ht="15" x14ac:dyDescent="0.2">
      <c r="A7096" s="602">
        <v>43528</v>
      </c>
      <c r="B7096" s="174" t="s">
        <v>2933</v>
      </c>
      <c r="C7096" s="174" t="s">
        <v>4444</v>
      </c>
      <c r="D7096" s="118" t="s">
        <v>4638</v>
      </c>
      <c r="E7096" s="236">
        <v>65000</v>
      </c>
      <c r="F7096" s="236"/>
      <c r="G7096" s="236">
        <f t="shared" si="116"/>
        <v>-65000</v>
      </c>
      <c r="H7096" s="244" t="s">
        <v>4650</v>
      </c>
      <c r="I7096" s="40"/>
    </row>
    <row r="7097" spans="1:9" ht="15" x14ac:dyDescent="0.2">
      <c r="A7097" s="602">
        <v>43528</v>
      </c>
      <c r="B7097" s="174" t="s">
        <v>2652</v>
      </c>
      <c r="C7097" s="174" t="s">
        <v>3958</v>
      </c>
      <c r="D7097" s="118" t="s">
        <v>4639</v>
      </c>
      <c r="E7097" s="236">
        <v>40000</v>
      </c>
      <c r="F7097" s="236"/>
      <c r="G7097" s="236">
        <f t="shared" si="116"/>
        <v>-40000</v>
      </c>
      <c r="H7097" s="244" t="s">
        <v>4650</v>
      </c>
      <c r="I7097" s="40"/>
    </row>
    <row r="7098" spans="1:9" ht="15" x14ac:dyDescent="0.2">
      <c r="A7098" s="602">
        <v>43529</v>
      </c>
      <c r="B7098" s="174" t="s">
        <v>2652</v>
      </c>
      <c r="C7098" s="174" t="s">
        <v>2310</v>
      </c>
      <c r="D7098" s="118" t="s">
        <v>4640</v>
      </c>
      <c r="E7098" s="236">
        <v>16260</v>
      </c>
      <c r="F7098" s="236"/>
      <c r="G7098" s="236">
        <f t="shared" si="116"/>
        <v>-16260</v>
      </c>
      <c r="H7098" s="244" t="s">
        <v>4650</v>
      </c>
      <c r="I7098" s="40"/>
    </row>
    <row r="7099" spans="1:9" ht="15" x14ac:dyDescent="0.2">
      <c r="A7099" s="602">
        <v>43530</v>
      </c>
      <c r="B7099" s="174" t="s">
        <v>3946</v>
      </c>
      <c r="C7099" s="174" t="s">
        <v>4651</v>
      </c>
      <c r="D7099" s="118" t="s">
        <v>4652</v>
      </c>
      <c r="E7099" s="236">
        <v>40000</v>
      </c>
      <c r="F7099" s="236"/>
      <c r="G7099" s="236">
        <f t="shared" si="116"/>
        <v>-40000</v>
      </c>
      <c r="H7099" s="244" t="s">
        <v>4650</v>
      </c>
      <c r="I7099" s="40"/>
    </row>
    <row r="7100" spans="1:9" ht="15" x14ac:dyDescent="0.2">
      <c r="A7100" s="602">
        <v>43529</v>
      </c>
      <c r="B7100" s="174" t="s">
        <v>6516</v>
      </c>
      <c r="C7100" s="174" t="s">
        <v>379</v>
      </c>
      <c r="D7100" s="118" t="s">
        <v>4646</v>
      </c>
      <c r="E7100" s="236">
        <v>1743</v>
      </c>
      <c r="F7100" s="236"/>
      <c r="G7100" s="236">
        <f t="shared" si="116"/>
        <v>-1743</v>
      </c>
      <c r="H7100" s="244" t="s">
        <v>4650</v>
      </c>
      <c r="I7100" s="40"/>
    </row>
    <row r="7101" spans="1:9" ht="15" x14ac:dyDescent="0.2">
      <c r="A7101" s="602">
        <v>43529</v>
      </c>
      <c r="B7101" s="174" t="s">
        <v>11</v>
      </c>
      <c r="C7101" s="174" t="s">
        <v>379</v>
      </c>
      <c r="D7101" s="118" t="s">
        <v>4646</v>
      </c>
      <c r="E7101" s="236">
        <v>5815</v>
      </c>
      <c r="F7101" s="236"/>
      <c r="G7101" s="236">
        <f t="shared" si="116"/>
        <v>-5815</v>
      </c>
      <c r="H7101" s="244" t="s">
        <v>4650</v>
      </c>
      <c r="I7101" s="40"/>
    </row>
    <row r="7102" spans="1:9" ht="15" x14ac:dyDescent="0.2">
      <c r="A7102" s="602">
        <v>43529</v>
      </c>
      <c r="B7102" s="174" t="s">
        <v>392</v>
      </c>
      <c r="C7102" s="174" t="s">
        <v>379</v>
      </c>
      <c r="D7102" s="118" t="s">
        <v>4646</v>
      </c>
      <c r="E7102" s="236">
        <v>900</v>
      </c>
      <c r="F7102" s="236"/>
      <c r="G7102" s="236">
        <f t="shared" si="116"/>
        <v>-900</v>
      </c>
      <c r="H7102" s="244" t="s">
        <v>4650</v>
      </c>
      <c r="I7102" s="40"/>
    </row>
    <row r="7103" spans="1:9" ht="15" x14ac:dyDescent="0.2">
      <c r="A7103" s="602">
        <v>43529</v>
      </c>
      <c r="B7103" s="174" t="s">
        <v>1400</v>
      </c>
      <c r="C7103" s="174" t="s">
        <v>379</v>
      </c>
      <c r="D7103" s="118" t="s">
        <v>4646</v>
      </c>
      <c r="E7103" s="236">
        <v>66542</v>
      </c>
      <c r="F7103" s="236"/>
      <c r="G7103" s="236">
        <f t="shared" si="116"/>
        <v>-66542</v>
      </c>
      <c r="H7103" s="244" t="s">
        <v>4650</v>
      </c>
      <c r="I7103" s="40"/>
    </row>
    <row r="7104" spans="1:9" ht="15" x14ac:dyDescent="0.2">
      <c r="A7104" s="602">
        <v>43529</v>
      </c>
      <c r="B7104" s="174" t="s">
        <v>2933</v>
      </c>
      <c r="C7104" s="174" t="s">
        <v>318</v>
      </c>
      <c r="D7104" s="118" t="s">
        <v>4237</v>
      </c>
      <c r="E7104" s="236">
        <f>58900+24500+8418</f>
        <v>91818</v>
      </c>
      <c r="F7104" s="236"/>
      <c r="G7104" s="236">
        <f t="shared" si="116"/>
        <v>-91818</v>
      </c>
      <c r="H7104" s="244" t="s">
        <v>4650</v>
      </c>
      <c r="I7104" s="40"/>
    </row>
    <row r="7105" spans="1:9" ht="15" x14ac:dyDescent="0.2">
      <c r="A7105" s="602">
        <v>43529</v>
      </c>
      <c r="B7105" s="174" t="s">
        <v>1400</v>
      </c>
      <c r="C7105" s="174" t="s">
        <v>318</v>
      </c>
      <c r="D7105" s="118" t="s">
        <v>4237</v>
      </c>
      <c r="E7105" s="236">
        <v>56800</v>
      </c>
      <c r="F7105" s="236"/>
      <c r="G7105" s="236">
        <f t="shared" si="116"/>
        <v>-56800</v>
      </c>
      <c r="H7105" s="244" t="s">
        <v>4650</v>
      </c>
      <c r="I7105" s="40"/>
    </row>
    <row r="7106" spans="1:9" ht="15" x14ac:dyDescent="0.2">
      <c r="A7106" s="602">
        <v>43529</v>
      </c>
      <c r="B7106" s="174" t="s">
        <v>2652</v>
      </c>
      <c r="C7106" s="174" t="s">
        <v>318</v>
      </c>
      <c r="D7106" s="118" t="s">
        <v>4237</v>
      </c>
      <c r="E7106" s="236">
        <v>20350</v>
      </c>
      <c r="F7106" s="236"/>
      <c r="G7106" s="236">
        <f t="shared" si="116"/>
        <v>-20350</v>
      </c>
      <c r="H7106" s="244" t="s">
        <v>4650</v>
      </c>
      <c r="I7106" s="40"/>
    </row>
    <row r="7107" spans="1:9" ht="15" x14ac:dyDescent="0.2">
      <c r="A7107" s="602">
        <v>43529</v>
      </c>
      <c r="B7107" s="174" t="s">
        <v>2933</v>
      </c>
      <c r="C7107" s="174" t="s">
        <v>256</v>
      </c>
      <c r="D7107" s="118" t="s">
        <v>4644</v>
      </c>
      <c r="E7107" s="236">
        <v>300000</v>
      </c>
      <c r="F7107" s="236"/>
      <c r="G7107" s="236">
        <f t="shared" si="116"/>
        <v>-300000</v>
      </c>
      <c r="H7107" s="244" t="s">
        <v>4650</v>
      </c>
      <c r="I7107" s="40"/>
    </row>
    <row r="7108" spans="1:9" ht="15" x14ac:dyDescent="0.2">
      <c r="A7108" s="602">
        <v>43529</v>
      </c>
      <c r="B7108" s="174" t="s">
        <v>1400</v>
      </c>
      <c r="C7108" s="174" t="s">
        <v>1815</v>
      </c>
      <c r="D7108" s="118" t="s">
        <v>4643</v>
      </c>
      <c r="E7108" s="236">
        <v>300000</v>
      </c>
      <c r="F7108" s="236"/>
      <c r="G7108" s="236">
        <f t="shared" si="116"/>
        <v>-300000</v>
      </c>
      <c r="H7108" s="244" t="s">
        <v>4650</v>
      </c>
      <c r="I7108" s="40"/>
    </row>
    <row r="7109" spans="1:9" ht="15" x14ac:dyDescent="0.2">
      <c r="A7109" s="602">
        <v>43529</v>
      </c>
      <c r="B7109" s="174" t="s">
        <v>1400</v>
      </c>
      <c r="C7109" s="174" t="s">
        <v>705</v>
      </c>
      <c r="D7109" s="118" t="s">
        <v>4642</v>
      </c>
      <c r="E7109" s="236">
        <v>100000</v>
      </c>
      <c r="F7109" s="236"/>
      <c r="G7109" s="236">
        <f t="shared" si="116"/>
        <v>-100000</v>
      </c>
      <c r="H7109" s="244" t="s">
        <v>4650</v>
      </c>
      <c r="I7109" s="40"/>
    </row>
    <row r="7110" spans="1:9" ht="15" x14ac:dyDescent="0.2">
      <c r="A7110" s="602">
        <v>43529</v>
      </c>
      <c r="B7110" s="174" t="s">
        <v>2933</v>
      </c>
      <c r="C7110" s="174" t="s">
        <v>3772</v>
      </c>
      <c r="D7110" s="118" t="s">
        <v>4654</v>
      </c>
      <c r="E7110" s="236">
        <v>65000</v>
      </c>
      <c r="F7110" s="236"/>
      <c r="G7110" s="236">
        <f t="shared" si="116"/>
        <v>-65000</v>
      </c>
      <c r="H7110" s="244" t="s">
        <v>4650</v>
      </c>
      <c r="I7110" s="40"/>
    </row>
    <row r="7111" spans="1:9" ht="15" x14ac:dyDescent="0.2">
      <c r="A7111" s="602">
        <v>43529</v>
      </c>
      <c r="B7111" s="174" t="s">
        <v>2933</v>
      </c>
      <c r="C7111" s="174" t="s">
        <v>1509</v>
      </c>
      <c r="D7111" s="118" t="s">
        <v>4655</v>
      </c>
      <c r="E7111" s="236">
        <v>136000</v>
      </c>
      <c r="F7111" s="236"/>
      <c r="G7111" s="236">
        <f t="shared" si="116"/>
        <v>-136000</v>
      </c>
      <c r="H7111" s="244" t="s">
        <v>4650</v>
      </c>
      <c r="I7111" s="40"/>
    </row>
    <row r="7112" spans="1:9" ht="15" x14ac:dyDescent="0.2">
      <c r="A7112" s="602">
        <v>43531</v>
      </c>
      <c r="B7112" s="174" t="s">
        <v>2933</v>
      </c>
      <c r="C7112" s="174" t="s">
        <v>3931</v>
      </c>
      <c r="D7112" s="118" t="s">
        <v>4656</v>
      </c>
      <c r="E7112" s="236">
        <v>150000</v>
      </c>
      <c r="F7112" s="236"/>
      <c r="G7112" s="236">
        <f t="shared" si="116"/>
        <v>-150000</v>
      </c>
      <c r="H7112" s="244" t="s">
        <v>4650</v>
      </c>
      <c r="I7112" s="40"/>
    </row>
    <row r="7113" spans="1:9" ht="15" x14ac:dyDescent="0.2">
      <c r="A7113" s="602">
        <v>43531</v>
      </c>
      <c r="B7113" s="174" t="s">
        <v>2933</v>
      </c>
      <c r="C7113" s="174" t="s">
        <v>3931</v>
      </c>
      <c r="D7113" s="118" t="s">
        <v>4657</v>
      </c>
      <c r="E7113" s="236">
        <v>100000</v>
      </c>
      <c r="F7113" s="236"/>
      <c r="G7113" s="236">
        <f t="shared" si="116"/>
        <v>-100000</v>
      </c>
      <c r="H7113" s="244" t="s">
        <v>4650</v>
      </c>
      <c r="I7113" s="40"/>
    </row>
    <row r="7114" spans="1:9" ht="24" x14ac:dyDescent="0.2">
      <c r="A7114" s="602">
        <v>43531</v>
      </c>
      <c r="B7114" s="174" t="s">
        <v>2933</v>
      </c>
      <c r="C7114" s="174" t="s">
        <v>3011</v>
      </c>
      <c r="D7114" s="118" t="s">
        <v>4658</v>
      </c>
      <c r="E7114" s="236">
        <v>41000</v>
      </c>
      <c r="F7114" s="236"/>
      <c r="G7114" s="236">
        <f t="shared" si="116"/>
        <v>-41000</v>
      </c>
      <c r="H7114" s="244" t="s">
        <v>4650</v>
      </c>
      <c r="I7114" s="40"/>
    </row>
    <row r="7115" spans="1:9" ht="24" x14ac:dyDescent="0.2">
      <c r="A7115" s="602">
        <v>43531</v>
      </c>
      <c r="B7115" s="174" t="s">
        <v>3733</v>
      </c>
      <c r="C7115" s="174" t="s">
        <v>3011</v>
      </c>
      <c r="D7115" s="118" t="s">
        <v>4658</v>
      </c>
      <c r="E7115" s="236">
        <v>134000</v>
      </c>
      <c r="F7115" s="236"/>
      <c r="G7115" s="236">
        <f t="shared" si="116"/>
        <v>-134000</v>
      </c>
      <c r="H7115" s="244" t="s">
        <v>4650</v>
      </c>
      <c r="I7115" s="40"/>
    </row>
    <row r="7116" spans="1:9" ht="24" x14ac:dyDescent="0.2">
      <c r="A7116" s="602">
        <v>43531</v>
      </c>
      <c r="B7116" s="174" t="s">
        <v>2652</v>
      </c>
      <c r="C7116" s="174" t="s">
        <v>3011</v>
      </c>
      <c r="D7116" s="118" t="s">
        <v>4658</v>
      </c>
      <c r="E7116" s="236">
        <v>25000</v>
      </c>
      <c r="F7116" s="236"/>
      <c r="G7116" s="236">
        <f t="shared" si="116"/>
        <v>-25000</v>
      </c>
      <c r="H7116" s="244" t="s">
        <v>4650</v>
      </c>
      <c r="I7116" s="40"/>
    </row>
    <row r="7117" spans="1:9" ht="15" x14ac:dyDescent="0.2">
      <c r="A7117" s="602">
        <v>43531</v>
      </c>
      <c r="B7117" s="174" t="s">
        <v>2933</v>
      </c>
      <c r="C7117" s="174" t="s">
        <v>3428</v>
      </c>
      <c r="D7117" s="118" t="s">
        <v>4659</v>
      </c>
      <c r="E7117" s="236">
        <v>100000</v>
      </c>
      <c r="F7117" s="236"/>
      <c r="G7117" s="236">
        <f t="shared" si="116"/>
        <v>-100000</v>
      </c>
      <c r="H7117" s="244" t="s">
        <v>4650</v>
      </c>
      <c r="I7117" s="40"/>
    </row>
    <row r="7118" spans="1:9" ht="15" x14ac:dyDescent="0.2">
      <c r="A7118" s="602">
        <v>43531</v>
      </c>
      <c r="B7118" s="174" t="s">
        <v>2933</v>
      </c>
      <c r="C7118" s="174" t="s">
        <v>3428</v>
      </c>
      <c r="D7118" s="118" t="s">
        <v>4660</v>
      </c>
      <c r="E7118" s="236">
        <v>50000</v>
      </c>
      <c r="F7118" s="236"/>
      <c r="G7118" s="236">
        <f t="shared" si="116"/>
        <v>-50000</v>
      </c>
      <c r="H7118" s="244" t="s">
        <v>4650</v>
      </c>
      <c r="I7118" s="40"/>
    </row>
    <row r="7119" spans="1:9" ht="15" x14ac:dyDescent="0.2">
      <c r="A7119" s="602">
        <v>43531</v>
      </c>
      <c r="B7119" s="174" t="s">
        <v>2933</v>
      </c>
      <c r="C7119" s="174" t="s">
        <v>5187</v>
      </c>
      <c r="D7119" s="118" t="s">
        <v>4661</v>
      </c>
      <c r="E7119" s="236">
        <v>200000</v>
      </c>
      <c r="F7119" s="236"/>
      <c r="G7119" s="236">
        <f t="shared" si="116"/>
        <v>-200000</v>
      </c>
      <c r="H7119" s="244" t="s">
        <v>4650</v>
      </c>
      <c r="I7119" s="40"/>
    </row>
    <row r="7120" spans="1:9" ht="15" x14ac:dyDescent="0.2">
      <c r="A7120" s="602">
        <v>43536</v>
      </c>
      <c r="B7120" s="174" t="s">
        <v>2933</v>
      </c>
      <c r="C7120" s="174" t="s">
        <v>3112</v>
      </c>
      <c r="D7120" s="118" t="s">
        <v>4683</v>
      </c>
      <c r="E7120" s="236">
        <v>250000</v>
      </c>
      <c r="F7120" s="236"/>
      <c r="G7120" s="236">
        <f t="shared" si="116"/>
        <v>-250000</v>
      </c>
      <c r="H7120" s="244" t="s">
        <v>4650</v>
      </c>
      <c r="I7120" s="40"/>
    </row>
    <row r="7121" spans="1:9" ht="15" x14ac:dyDescent="0.2">
      <c r="A7121" s="602">
        <v>43536</v>
      </c>
      <c r="B7121" s="174" t="s">
        <v>2652</v>
      </c>
      <c r="C7121" s="174" t="s">
        <v>4684</v>
      </c>
      <c r="D7121" s="118" t="s">
        <v>4685</v>
      </c>
      <c r="E7121" s="236">
        <v>39500</v>
      </c>
      <c r="F7121" s="236"/>
      <c r="G7121" s="236">
        <f t="shared" si="116"/>
        <v>-39500</v>
      </c>
      <c r="H7121" s="244" t="s">
        <v>4650</v>
      </c>
      <c r="I7121" s="40"/>
    </row>
    <row r="7122" spans="1:9" ht="15" x14ac:dyDescent="0.2">
      <c r="A7122" s="602">
        <v>43539</v>
      </c>
      <c r="B7122" s="174" t="s">
        <v>1400</v>
      </c>
      <c r="C7122" s="174" t="s">
        <v>929</v>
      </c>
      <c r="D7122" s="118" t="s">
        <v>4686</v>
      </c>
      <c r="E7122" s="236">
        <v>20200</v>
      </c>
      <c r="F7122" s="236"/>
      <c r="G7122" s="236">
        <f t="shared" si="116"/>
        <v>-20200</v>
      </c>
      <c r="H7122" s="244" t="s">
        <v>4650</v>
      </c>
      <c r="I7122" s="40"/>
    </row>
    <row r="7123" spans="1:9" ht="15" x14ac:dyDescent="0.2">
      <c r="A7123" s="602">
        <v>43543</v>
      </c>
      <c r="B7123" s="174" t="s">
        <v>3733</v>
      </c>
      <c r="C7123" s="174" t="s">
        <v>3145</v>
      </c>
      <c r="D7123" s="118" t="s">
        <v>4716</v>
      </c>
      <c r="E7123" s="236">
        <v>34250</v>
      </c>
      <c r="F7123" s="236"/>
      <c r="G7123" s="236">
        <f t="shared" si="116"/>
        <v>-34250</v>
      </c>
      <c r="H7123" s="244" t="s">
        <v>4650</v>
      </c>
      <c r="I7123" s="40"/>
    </row>
    <row r="7124" spans="1:9" ht="15" x14ac:dyDescent="0.2">
      <c r="A7124" s="602">
        <v>43543</v>
      </c>
      <c r="B7124" s="174" t="s">
        <v>4721</v>
      </c>
      <c r="C7124" s="174" t="s">
        <v>3145</v>
      </c>
      <c r="D7124" s="118" t="s">
        <v>4717</v>
      </c>
      <c r="E7124" s="236">
        <v>15000</v>
      </c>
      <c r="F7124" s="236"/>
      <c r="G7124" s="236">
        <f t="shared" si="116"/>
        <v>-15000</v>
      </c>
      <c r="H7124" s="244" t="s">
        <v>4650</v>
      </c>
      <c r="I7124" s="40"/>
    </row>
    <row r="7125" spans="1:9" ht="15" x14ac:dyDescent="0.2">
      <c r="A7125" s="602">
        <v>43543</v>
      </c>
      <c r="B7125" s="174" t="s">
        <v>4721</v>
      </c>
      <c r="C7125" s="174" t="s">
        <v>3145</v>
      </c>
      <c r="D7125" s="118" t="s">
        <v>4718</v>
      </c>
      <c r="E7125" s="236">
        <v>47000</v>
      </c>
      <c r="F7125" s="236"/>
      <c r="G7125" s="236">
        <f t="shared" si="116"/>
        <v>-47000</v>
      </c>
      <c r="H7125" s="244" t="s">
        <v>4650</v>
      </c>
      <c r="I7125" s="40"/>
    </row>
    <row r="7126" spans="1:9" ht="15" x14ac:dyDescent="0.2">
      <c r="A7126" s="602">
        <v>43543</v>
      </c>
      <c r="B7126" s="174" t="s">
        <v>1400</v>
      </c>
      <c r="C7126" s="174" t="s">
        <v>929</v>
      </c>
      <c r="D7126" s="118" t="s">
        <v>4719</v>
      </c>
      <c r="E7126" s="236">
        <v>20000</v>
      </c>
      <c r="F7126" s="236"/>
      <c r="G7126" s="236">
        <f t="shared" si="116"/>
        <v>-20000</v>
      </c>
      <c r="H7126" s="244" t="s">
        <v>4650</v>
      </c>
      <c r="I7126" s="40"/>
    </row>
    <row r="7127" spans="1:9" ht="15" x14ac:dyDescent="0.2">
      <c r="A7127" s="602">
        <v>43543</v>
      </c>
      <c r="B7127" s="174" t="s">
        <v>1400</v>
      </c>
      <c r="C7127" s="174" t="s">
        <v>2515</v>
      </c>
      <c r="D7127" s="118" t="s">
        <v>4720</v>
      </c>
      <c r="E7127" s="236">
        <v>28000</v>
      </c>
      <c r="F7127" s="236"/>
      <c r="G7127" s="236">
        <f t="shared" si="116"/>
        <v>-28000</v>
      </c>
      <c r="H7127" s="244" t="s">
        <v>4650</v>
      </c>
      <c r="I7127" s="40"/>
    </row>
    <row r="7128" spans="1:9" ht="15" x14ac:dyDescent="0.2">
      <c r="A7128" s="602">
        <v>43544</v>
      </c>
      <c r="B7128" s="174" t="s">
        <v>3733</v>
      </c>
      <c r="C7128" s="174" t="s">
        <v>3145</v>
      </c>
      <c r="D7128" s="118" t="s">
        <v>4722</v>
      </c>
      <c r="E7128" s="236">
        <v>15700</v>
      </c>
      <c r="F7128" s="236"/>
      <c r="G7128" s="236">
        <f t="shared" si="116"/>
        <v>-15700</v>
      </c>
      <c r="H7128" s="244" t="s">
        <v>4650</v>
      </c>
      <c r="I7128" s="40"/>
    </row>
    <row r="7129" spans="1:9" ht="15" x14ac:dyDescent="0.2">
      <c r="A7129" s="602">
        <v>43544</v>
      </c>
      <c r="B7129" s="174" t="s">
        <v>2652</v>
      </c>
      <c r="C7129" s="174" t="s">
        <v>4385</v>
      </c>
      <c r="D7129" s="118" t="s">
        <v>4723</v>
      </c>
      <c r="E7129" s="236">
        <v>40000</v>
      </c>
      <c r="F7129" s="236"/>
      <c r="G7129" s="236">
        <f t="shared" si="116"/>
        <v>-40000</v>
      </c>
      <c r="H7129" s="244" t="s">
        <v>4650</v>
      </c>
      <c r="I7129" s="40"/>
    </row>
    <row r="7130" spans="1:9" ht="15" x14ac:dyDescent="0.2">
      <c r="A7130" s="602">
        <v>43544</v>
      </c>
      <c r="B7130" s="174" t="s">
        <v>2933</v>
      </c>
      <c r="C7130" s="174" t="s">
        <v>3772</v>
      </c>
      <c r="D7130" s="118" t="s">
        <v>4724</v>
      </c>
      <c r="E7130" s="236">
        <v>30000</v>
      </c>
      <c r="F7130" s="236"/>
      <c r="G7130" s="236">
        <f t="shared" si="116"/>
        <v>-30000</v>
      </c>
      <c r="H7130" s="244" t="s">
        <v>4650</v>
      </c>
      <c r="I7130" s="40"/>
    </row>
    <row r="7131" spans="1:9" ht="15" x14ac:dyDescent="0.2">
      <c r="A7131" s="602">
        <v>43546</v>
      </c>
      <c r="B7131" s="174" t="s">
        <v>4721</v>
      </c>
      <c r="C7131" s="174" t="s">
        <v>4725</v>
      </c>
      <c r="D7131" s="118" t="s">
        <v>4726</v>
      </c>
      <c r="E7131" s="236">
        <v>50000</v>
      </c>
      <c r="F7131" s="236"/>
      <c r="G7131" s="236">
        <f t="shared" si="116"/>
        <v>-50000</v>
      </c>
      <c r="H7131" s="244" t="s">
        <v>4650</v>
      </c>
      <c r="I7131" s="40"/>
    </row>
    <row r="7132" spans="1:9" ht="15" x14ac:dyDescent="0.2">
      <c r="A7132" s="602">
        <v>43546</v>
      </c>
      <c r="B7132" s="174" t="s">
        <v>1400</v>
      </c>
      <c r="C7132" s="174" t="s">
        <v>4727</v>
      </c>
      <c r="D7132" s="118" t="s">
        <v>4728</v>
      </c>
      <c r="E7132" s="236">
        <v>200000</v>
      </c>
      <c r="F7132" s="236"/>
      <c r="G7132" s="236">
        <f t="shared" si="116"/>
        <v>-200000</v>
      </c>
      <c r="H7132" s="244" t="s">
        <v>4650</v>
      </c>
      <c r="I7132" s="40"/>
    </row>
    <row r="7133" spans="1:9" ht="15" x14ac:dyDescent="0.2">
      <c r="A7133" s="602">
        <v>43546</v>
      </c>
      <c r="B7133" s="174" t="s">
        <v>4721</v>
      </c>
      <c r="C7133" s="174" t="s">
        <v>4725</v>
      </c>
      <c r="D7133" s="118" t="s">
        <v>4729</v>
      </c>
      <c r="E7133" s="236">
        <v>19200</v>
      </c>
      <c r="F7133" s="236"/>
      <c r="G7133" s="236">
        <f t="shared" si="116"/>
        <v>-19200</v>
      </c>
      <c r="H7133" s="244" t="s">
        <v>4650</v>
      </c>
      <c r="I7133" s="40"/>
    </row>
    <row r="7134" spans="1:9" ht="15" x14ac:dyDescent="0.2">
      <c r="A7134" s="602">
        <v>43546</v>
      </c>
      <c r="B7134" s="174" t="s">
        <v>4721</v>
      </c>
      <c r="C7134" s="174" t="s">
        <v>4730</v>
      </c>
      <c r="D7134" s="118" t="s">
        <v>4731</v>
      </c>
      <c r="E7134" s="236">
        <v>7500</v>
      </c>
      <c r="F7134" s="236"/>
      <c r="G7134" s="236">
        <f t="shared" si="116"/>
        <v>-7500</v>
      </c>
      <c r="H7134" s="244" t="s">
        <v>4650</v>
      </c>
      <c r="I7134" s="40"/>
    </row>
    <row r="7135" spans="1:9" ht="15" x14ac:dyDescent="0.2">
      <c r="A7135" s="602">
        <v>43546</v>
      </c>
      <c r="B7135" s="174" t="s">
        <v>1400</v>
      </c>
      <c r="C7135" s="174" t="s">
        <v>4730</v>
      </c>
      <c r="D7135" s="118" t="s">
        <v>4732</v>
      </c>
      <c r="E7135" s="236">
        <f>25000-E7134</f>
        <v>17500</v>
      </c>
      <c r="F7135" s="236"/>
      <c r="G7135" s="236">
        <f t="shared" si="116"/>
        <v>-17500</v>
      </c>
      <c r="H7135" s="244" t="s">
        <v>4650</v>
      </c>
      <c r="I7135" s="40"/>
    </row>
    <row r="7136" spans="1:9" ht="15" x14ac:dyDescent="0.2">
      <c r="A7136" s="602">
        <v>43549</v>
      </c>
      <c r="B7136" s="174" t="s">
        <v>2933</v>
      </c>
      <c r="C7136" s="174" t="s">
        <v>3772</v>
      </c>
      <c r="D7136" s="118" t="s">
        <v>4736</v>
      </c>
      <c r="E7136" s="236">
        <v>40000</v>
      </c>
      <c r="F7136" s="236"/>
      <c r="G7136" s="236">
        <f t="shared" si="116"/>
        <v>-40000</v>
      </c>
      <c r="H7136" s="244" t="s">
        <v>4650</v>
      </c>
      <c r="I7136" s="40"/>
    </row>
    <row r="7137" spans="1:9" ht="15" x14ac:dyDescent="0.2">
      <c r="A7137" s="602">
        <v>43549</v>
      </c>
      <c r="B7137" s="174" t="s">
        <v>1400</v>
      </c>
      <c r="C7137" s="174" t="s">
        <v>4495</v>
      </c>
      <c r="D7137" s="118" t="s">
        <v>4737</v>
      </c>
      <c r="E7137" s="236">
        <v>80500</v>
      </c>
      <c r="F7137" s="236"/>
      <c r="G7137" s="236">
        <f t="shared" si="116"/>
        <v>-80500</v>
      </c>
      <c r="H7137" s="244" t="s">
        <v>4650</v>
      </c>
      <c r="I7137" s="40"/>
    </row>
    <row r="7138" spans="1:9" ht="15" x14ac:dyDescent="0.2">
      <c r="A7138" s="602">
        <v>43549</v>
      </c>
      <c r="B7138" s="174" t="s">
        <v>2933</v>
      </c>
      <c r="C7138" s="174" t="s">
        <v>895</v>
      </c>
      <c r="D7138" s="118" t="s">
        <v>4738</v>
      </c>
      <c r="E7138" s="236">
        <v>130000</v>
      </c>
      <c r="F7138" s="236"/>
      <c r="G7138" s="236">
        <f t="shared" si="116"/>
        <v>-130000</v>
      </c>
      <c r="H7138" s="244" t="s">
        <v>4650</v>
      </c>
      <c r="I7138" s="40"/>
    </row>
    <row r="7139" spans="1:9" ht="15" x14ac:dyDescent="0.2">
      <c r="A7139" s="602">
        <v>43549</v>
      </c>
      <c r="B7139" s="174" t="s">
        <v>25</v>
      </c>
      <c r="C7139" s="174" t="s">
        <v>4739</v>
      </c>
      <c r="D7139" s="118" t="s">
        <v>4740</v>
      </c>
      <c r="E7139" s="236">
        <v>50000</v>
      </c>
      <c r="F7139" s="236"/>
      <c r="G7139" s="236">
        <f t="shared" si="116"/>
        <v>-50000</v>
      </c>
      <c r="H7139" s="244" t="s">
        <v>4650</v>
      </c>
      <c r="I7139" s="40"/>
    </row>
    <row r="7140" spans="1:9" ht="15" x14ac:dyDescent="0.2">
      <c r="A7140" s="602">
        <v>43549</v>
      </c>
      <c r="B7140" s="174" t="s">
        <v>25</v>
      </c>
      <c r="C7140" s="174" t="s">
        <v>4741</v>
      </c>
      <c r="D7140" s="118" t="s">
        <v>4742</v>
      </c>
      <c r="E7140" s="236">
        <v>50000</v>
      </c>
      <c r="F7140" s="236"/>
      <c r="G7140" s="236">
        <f t="shared" si="116"/>
        <v>-50000</v>
      </c>
      <c r="H7140" s="244" t="s">
        <v>4650</v>
      </c>
      <c r="I7140" s="40"/>
    </row>
    <row r="7141" spans="1:9" ht="15" x14ac:dyDescent="0.2">
      <c r="A7141" s="602">
        <v>43549</v>
      </c>
      <c r="B7141" s="174" t="s">
        <v>25</v>
      </c>
      <c r="C7141" s="174" t="s">
        <v>4741</v>
      </c>
      <c r="D7141" s="118" t="s">
        <v>4743</v>
      </c>
      <c r="E7141" s="236">
        <v>17000</v>
      </c>
      <c r="F7141" s="236"/>
      <c r="G7141" s="236">
        <f t="shared" si="116"/>
        <v>-17000</v>
      </c>
      <c r="H7141" s="244" t="s">
        <v>4650</v>
      </c>
      <c r="I7141" s="40"/>
    </row>
    <row r="7142" spans="1:9" ht="15" x14ac:dyDescent="0.2">
      <c r="A7142" s="602">
        <v>43549</v>
      </c>
      <c r="B7142" s="174" t="s">
        <v>3733</v>
      </c>
      <c r="C7142" s="174" t="s">
        <v>1355</v>
      </c>
      <c r="D7142" s="118" t="s">
        <v>4753</v>
      </c>
      <c r="E7142" s="236">
        <v>50000</v>
      </c>
      <c r="F7142" s="236"/>
      <c r="G7142" s="236">
        <f t="shared" si="116"/>
        <v>-50000</v>
      </c>
      <c r="H7142" s="244" t="s">
        <v>4650</v>
      </c>
      <c r="I7142" s="40"/>
    </row>
    <row r="7143" spans="1:9" ht="15" x14ac:dyDescent="0.2">
      <c r="A7143" s="602">
        <v>43549</v>
      </c>
      <c r="B7143" s="174" t="s">
        <v>3733</v>
      </c>
      <c r="C7143" s="174" t="s">
        <v>1803</v>
      </c>
      <c r="D7143" s="118" t="s">
        <v>4754</v>
      </c>
      <c r="E7143" s="236">
        <v>2039</v>
      </c>
      <c r="F7143" s="236"/>
      <c r="G7143" s="236">
        <f t="shared" si="116"/>
        <v>-2039</v>
      </c>
      <c r="H7143" s="244" t="s">
        <v>4650</v>
      </c>
      <c r="I7143" s="40"/>
    </row>
    <row r="7144" spans="1:9" ht="15" x14ac:dyDescent="0.2">
      <c r="A7144" s="602">
        <v>43549</v>
      </c>
      <c r="B7144" s="174" t="s">
        <v>2933</v>
      </c>
      <c r="C7144" s="174" t="s">
        <v>1803</v>
      </c>
      <c r="D7144" s="118" t="s">
        <v>4754</v>
      </c>
      <c r="E7144" s="236">
        <v>151493</v>
      </c>
      <c r="F7144" s="236"/>
      <c r="G7144" s="236">
        <f t="shared" si="116"/>
        <v>-151493</v>
      </c>
      <c r="H7144" s="244" t="s">
        <v>4650</v>
      </c>
      <c r="I7144" s="40"/>
    </row>
    <row r="7145" spans="1:9" ht="15" x14ac:dyDescent="0.2">
      <c r="A7145" s="602">
        <v>43549</v>
      </c>
      <c r="B7145" s="174" t="s">
        <v>4553</v>
      </c>
      <c r="C7145" s="174" t="s">
        <v>1803</v>
      </c>
      <c r="D7145" s="118" t="s">
        <v>4754</v>
      </c>
      <c r="E7145" s="236">
        <v>1189</v>
      </c>
      <c r="F7145" s="236"/>
      <c r="G7145" s="236">
        <f t="shared" si="116"/>
        <v>-1189</v>
      </c>
      <c r="H7145" s="244" t="s">
        <v>4650</v>
      </c>
      <c r="I7145" s="40"/>
    </row>
    <row r="7146" spans="1:9" ht="15" x14ac:dyDescent="0.2">
      <c r="A7146" s="602">
        <v>43549</v>
      </c>
      <c r="B7146" s="174" t="s">
        <v>1400</v>
      </c>
      <c r="C7146" s="174" t="s">
        <v>1803</v>
      </c>
      <c r="D7146" s="118" t="s">
        <v>4754</v>
      </c>
      <c r="E7146" s="236">
        <v>212956</v>
      </c>
      <c r="F7146" s="236"/>
      <c r="G7146" s="236">
        <f t="shared" si="116"/>
        <v>-212956</v>
      </c>
      <c r="H7146" s="244" t="s">
        <v>4650</v>
      </c>
      <c r="I7146" s="40"/>
    </row>
    <row r="7147" spans="1:9" ht="15" x14ac:dyDescent="0.2">
      <c r="A7147" s="602">
        <v>43549</v>
      </c>
      <c r="B7147" s="174" t="s">
        <v>2652</v>
      </c>
      <c r="C7147" s="174" t="s">
        <v>1803</v>
      </c>
      <c r="D7147" s="118" t="s">
        <v>4754</v>
      </c>
      <c r="E7147" s="236">
        <v>132323</v>
      </c>
      <c r="F7147" s="236"/>
      <c r="G7147" s="236">
        <f t="shared" ref="G7147:G7210" si="117">F7147-E7147</f>
        <v>-132323</v>
      </c>
      <c r="H7147" s="244" t="s">
        <v>4650</v>
      </c>
      <c r="I7147" s="40"/>
    </row>
    <row r="7148" spans="1:9" ht="15" x14ac:dyDescent="0.2">
      <c r="A7148" s="602">
        <v>43549</v>
      </c>
      <c r="B7148" s="174" t="s">
        <v>2652</v>
      </c>
      <c r="C7148" s="174" t="s">
        <v>1803</v>
      </c>
      <c r="D7148" s="118" t="s">
        <v>4754</v>
      </c>
      <c r="E7148" s="236">
        <v>500000</v>
      </c>
      <c r="F7148" s="236"/>
      <c r="G7148" s="236">
        <f t="shared" si="117"/>
        <v>-500000</v>
      </c>
      <c r="H7148" s="244" t="s">
        <v>4650</v>
      </c>
      <c r="I7148" s="40"/>
    </row>
    <row r="7149" spans="1:9" ht="15" x14ac:dyDescent="0.2">
      <c r="A7149" s="602">
        <v>43549</v>
      </c>
      <c r="B7149" s="174" t="s">
        <v>16</v>
      </c>
      <c r="C7149" s="174" t="s">
        <v>4882</v>
      </c>
      <c r="D7149" s="118" t="s">
        <v>4883</v>
      </c>
      <c r="E7149" s="236">
        <v>12000</v>
      </c>
      <c r="F7149" s="236"/>
      <c r="G7149" s="236">
        <f t="shared" si="117"/>
        <v>-12000</v>
      </c>
      <c r="H7149" s="244" t="s">
        <v>4650</v>
      </c>
      <c r="I7149" s="40"/>
    </row>
    <row r="7150" spans="1:9" ht="15" x14ac:dyDescent="0.2">
      <c r="A7150" s="602">
        <v>43551</v>
      </c>
      <c r="B7150" s="174" t="s">
        <v>25</v>
      </c>
      <c r="C7150" s="174" t="s">
        <v>4739</v>
      </c>
      <c r="D7150" s="118" t="s">
        <v>4756</v>
      </c>
      <c r="E7150" s="236">
        <v>32000</v>
      </c>
      <c r="F7150" s="236"/>
      <c r="G7150" s="236">
        <f t="shared" si="117"/>
        <v>-32000</v>
      </c>
      <c r="H7150" s="244" t="s">
        <v>4650</v>
      </c>
      <c r="I7150" s="40"/>
    </row>
    <row r="7151" spans="1:9" ht="15" x14ac:dyDescent="0.2">
      <c r="A7151" s="602">
        <v>43551</v>
      </c>
      <c r="B7151" s="174" t="s">
        <v>4721</v>
      </c>
      <c r="C7151" s="174" t="s">
        <v>3145</v>
      </c>
      <c r="D7151" s="118" t="s">
        <v>4757</v>
      </c>
      <c r="E7151" s="236">
        <v>22000</v>
      </c>
      <c r="F7151" s="236"/>
      <c r="G7151" s="236">
        <f t="shared" si="117"/>
        <v>-22000</v>
      </c>
      <c r="H7151" s="244" t="s">
        <v>4650</v>
      </c>
      <c r="I7151" s="40"/>
    </row>
    <row r="7152" spans="1:9" ht="15" x14ac:dyDescent="0.2">
      <c r="A7152" s="602">
        <v>43551</v>
      </c>
      <c r="B7152" s="174" t="s">
        <v>25</v>
      </c>
      <c r="C7152" s="174" t="s">
        <v>4758</v>
      </c>
      <c r="D7152" s="118" t="s">
        <v>4759</v>
      </c>
      <c r="E7152" s="236">
        <v>200000</v>
      </c>
      <c r="F7152" s="236"/>
      <c r="G7152" s="236">
        <f t="shared" si="117"/>
        <v>-200000</v>
      </c>
      <c r="H7152" s="244" t="s">
        <v>4650</v>
      </c>
      <c r="I7152" s="40"/>
    </row>
    <row r="7153" spans="1:9" ht="15" x14ac:dyDescent="0.2">
      <c r="A7153" s="602">
        <v>43551</v>
      </c>
      <c r="B7153" s="174" t="s">
        <v>3733</v>
      </c>
      <c r="C7153" s="174" t="s">
        <v>3145</v>
      </c>
      <c r="D7153" s="118" t="s">
        <v>4771</v>
      </c>
      <c r="E7153" s="236">
        <v>15410</v>
      </c>
      <c r="F7153" s="236"/>
      <c r="G7153" s="236">
        <f t="shared" si="117"/>
        <v>-15410</v>
      </c>
      <c r="H7153" s="244" t="s">
        <v>4650</v>
      </c>
      <c r="I7153" s="40"/>
    </row>
    <row r="7154" spans="1:9" ht="15" x14ac:dyDescent="0.2">
      <c r="A7154" s="602">
        <v>43551</v>
      </c>
      <c r="B7154" s="174" t="s">
        <v>4721</v>
      </c>
      <c r="C7154" s="174" t="s">
        <v>2857</v>
      </c>
      <c r="D7154" s="118" t="s">
        <v>4772</v>
      </c>
      <c r="E7154" s="236">
        <v>115500</v>
      </c>
      <c r="F7154" s="236"/>
      <c r="G7154" s="236">
        <f t="shared" si="117"/>
        <v>-115500</v>
      </c>
      <c r="H7154" s="244" t="s">
        <v>4650</v>
      </c>
      <c r="I7154" s="40"/>
    </row>
    <row r="7155" spans="1:9" ht="24" x14ac:dyDescent="0.2">
      <c r="A7155" s="602">
        <v>43553</v>
      </c>
      <c r="B7155" s="174" t="s">
        <v>2933</v>
      </c>
      <c r="C7155" s="174" t="s">
        <v>2310</v>
      </c>
      <c r="D7155" s="118" t="s">
        <v>4773</v>
      </c>
      <c r="E7155" s="236">
        <v>95580</v>
      </c>
      <c r="F7155" s="236"/>
      <c r="G7155" s="236">
        <f t="shared" si="117"/>
        <v>-95580</v>
      </c>
      <c r="H7155" s="244" t="s">
        <v>4650</v>
      </c>
      <c r="I7155" s="40"/>
    </row>
    <row r="7156" spans="1:9" ht="24" x14ac:dyDescent="0.2">
      <c r="A7156" s="602">
        <v>43553</v>
      </c>
      <c r="B7156" s="174" t="s">
        <v>4721</v>
      </c>
      <c r="C7156" s="174" t="s">
        <v>2310</v>
      </c>
      <c r="D7156" s="118" t="s">
        <v>4773</v>
      </c>
      <c r="E7156" s="236">
        <v>605305</v>
      </c>
      <c r="F7156" s="236"/>
      <c r="G7156" s="236">
        <f t="shared" si="117"/>
        <v>-605305</v>
      </c>
      <c r="H7156" s="244" t="s">
        <v>4650</v>
      </c>
      <c r="I7156" s="40"/>
    </row>
    <row r="7157" spans="1:9" ht="15" x14ac:dyDescent="0.2">
      <c r="A7157" s="599">
        <v>43532</v>
      </c>
      <c r="B7157" s="91" t="s">
        <v>2787</v>
      </c>
      <c r="C7157" s="91"/>
      <c r="D7157" s="801" t="s">
        <v>4649</v>
      </c>
      <c r="E7157" s="92"/>
      <c r="F7157" s="92">
        <v>-200000</v>
      </c>
      <c r="G7157" s="92">
        <f t="shared" si="117"/>
        <v>-200000</v>
      </c>
      <c r="H7157" s="261" t="s">
        <v>4650</v>
      </c>
    </row>
    <row r="7158" spans="1:9" ht="15" x14ac:dyDescent="0.2">
      <c r="A7158" s="599">
        <v>43540</v>
      </c>
      <c r="B7158" s="91" t="s">
        <v>3622</v>
      </c>
      <c r="C7158" s="91" t="s">
        <v>559</v>
      </c>
      <c r="D7158" s="801" t="s">
        <v>4687</v>
      </c>
      <c r="E7158" s="92"/>
      <c r="F7158" s="92">
        <v>500000</v>
      </c>
      <c r="G7158" s="92">
        <f t="shared" si="117"/>
        <v>500000</v>
      </c>
      <c r="H7158" s="261" t="s">
        <v>4650</v>
      </c>
    </row>
    <row r="7159" spans="1:9" ht="15" x14ac:dyDescent="0.2">
      <c r="A7159" s="599">
        <v>43540</v>
      </c>
      <c r="B7159" s="91" t="s">
        <v>3622</v>
      </c>
      <c r="C7159" s="91" t="s">
        <v>559</v>
      </c>
      <c r="D7159" s="801" t="s">
        <v>4687</v>
      </c>
      <c r="E7159" s="92"/>
      <c r="F7159" s="92">
        <v>500000</v>
      </c>
      <c r="G7159" s="92">
        <f t="shared" si="117"/>
        <v>500000</v>
      </c>
      <c r="H7159" s="261" t="s">
        <v>4650</v>
      </c>
    </row>
    <row r="7160" spans="1:9" ht="15" x14ac:dyDescent="0.2">
      <c r="A7160" s="599">
        <v>43540</v>
      </c>
      <c r="B7160" s="91" t="s">
        <v>3622</v>
      </c>
      <c r="C7160" s="91" t="s">
        <v>559</v>
      </c>
      <c r="D7160" s="801" t="s">
        <v>9091</v>
      </c>
      <c r="E7160" s="92"/>
      <c r="F7160" s="92">
        <v>300000</v>
      </c>
      <c r="G7160" s="92">
        <f t="shared" si="117"/>
        <v>300000</v>
      </c>
      <c r="H7160" s="261" t="s">
        <v>4650</v>
      </c>
    </row>
    <row r="7161" spans="1:9" ht="24" x14ac:dyDescent="0.2">
      <c r="A7161" s="599">
        <v>43540</v>
      </c>
      <c r="B7161" s="91" t="s">
        <v>3622</v>
      </c>
      <c r="C7161" s="91" t="s">
        <v>559</v>
      </c>
      <c r="D7161" s="798" t="s">
        <v>9092</v>
      </c>
      <c r="E7161" s="92"/>
      <c r="F7161" s="92">
        <v>300000</v>
      </c>
      <c r="G7161" s="92">
        <f t="shared" si="117"/>
        <v>300000</v>
      </c>
      <c r="H7161" s="261" t="s">
        <v>4650</v>
      </c>
    </row>
    <row r="7162" spans="1:9" ht="24" x14ac:dyDescent="0.2">
      <c r="A7162" s="599">
        <v>43540</v>
      </c>
      <c r="B7162" s="91" t="s">
        <v>3622</v>
      </c>
      <c r="C7162" s="91" t="s">
        <v>559</v>
      </c>
      <c r="D7162" s="798" t="s">
        <v>9093</v>
      </c>
      <c r="E7162" s="92"/>
      <c r="F7162" s="92">
        <v>800000</v>
      </c>
      <c r="G7162" s="92">
        <f t="shared" si="117"/>
        <v>800000</v>
      </c>
      <c r="H7162" s="261" t="s">
        <v>4650</v>
      </c>
    </row>
    <row r="7163" spans="1:9" ht="15" x14ac:dyDescent="0.2">
      <c r="A7163" s="599">
        <v>43540</v>
      </c>
      <c r="B7163" s="91" t="s">
        <v>3622</v>
      </c>
      <c r="C7163" s="91" t="s">
        <v>559</v>
      </c>
      <c r="D7163" s="801" t="s">
        <v>9094</v>
      </c>
      <c r="E7163" s="92"/>
      <c r="F7163" s="92">
        <v>344486</v>
      </c>
      <c r="G7163" s="92">
        <f t="shared" si="117"/>
        <v>344486</v>
      </c>
      <c r="H7163" s="261" t="s">
        <v>4650</v>
      </c>
    </row>
    <row r="7164" spans="1:9" ht="15" x14ac:dyDescent="0.2">
      <c r="A7164" s="597">
        <v>43556</v>
      </c>
      <c r="B7164" s="41" t="s">
        <v>2933</v>
      </c>
      <c r="C7164" s="41" t="s">
        <v>2503</v>
      </c>
      <c r="D7164" s="108" t="s">
        <v>1836</v>
      </c>
      <c r="E7164" s="58">
        <v>25000</v>
      </c>
      <c r="F7164" s="58"/>
      <c r="G7164" s="58">
        <f t="shared" si="117"/>
        <v>-25000</v>
      </c>
      <c r="H7164" s="121" t="s">
        <v>4761</v>
      </c>
    </row>
    <row r="7165" spans="1:9" ht="15" x14ac:dyDescent="0.2">
      <c r="A7165" s="597">
        <v>43556</v>
      </c>
      <c r="B7165" s="41" t="s">
        <v>1400</v>
      </c>
      <c r="C7165" s="41" t="s">
        <v>2503</v>
      </c>
      <c r="D7165" s="108" t="s">
        <v>1836</v>
      </c>
      <c r="E7165" s="58">
        <v>25000</v>
      </c>
      <c r="F7165" s="58"/>
      <c r="G7165" s="58">
        <f t="shared" si="117"/>
        <v>-25000</v>
      </c>
      <c r="H7165" s="121" t="s">
        <v>4761</v>
      </c>
    </row>
    <row r="7166" spans="1:9" ht="15" x14ac:dyDescent="0.2">
      <c r="A7166" s="597">
        <v>43556</v>
      </c>
      <c r="B7166" s="41" t="s">
        <v>2933</v>
      </c>
      <c r="C7166" s="41" t="s">
        <v>2503</v>
      </c>
      <c r="D7166" s="108" t="s">
        <v>1837</v>
      </c>
      <c r="E7166" s="58">
        <v>25000</v>
      </c>
      <c r="F7166" s="58"/>
      <c r="G7166" s="58">
        <f t="shared" si="117"/>
        <v>-25000</v>
      </c>
      <c r="H7166" s="121" t="s">
        <v>4761</v>
      </c>
    </row>
    <row r="7167" spans="1:9" ht="15" x14ac:dyDescent="0.2">
      <c r="A7167" s="597">
        <v>43556</v>
      </c>
      <c r="B7167" s="41" t="s">
        <v>2652</v>
      </c>
      <c r="C7167" s="41" t="s">
        <v>2503</v>
      </c>
      <c r="D7167" s="108" t="s">
        <v>1837</v>
      </c>
      <c r="E7167" s="58">
        <v>25000</v>
      </c>
      <c r="F7167" s="58"/>
      <c r="G7167" s="58">
        <f t="shared" si="117"/>
        <v>-25000</v>
      </c>
      <c r="H7167" s="121" t="s">
        <v>4761</v>
      </c>
    </row>
    <row r="7168" spans="1:9" ht="15" x14ac:dyDescent="0.2">
      <c r="A7168" s="597">
        <v>43556</v>
      </c>
      <c r="B7168" s="41" t="s">
        <v>25</v>
      </c>
      <c r="C7168" s="41" t="s">
        <v>2503</v>
      </c>
      <c r="D7168" s="108" t="s">
        <v>1839</v>
      </c>
      <c r="E7168" s="58">
        <v>10000</v>
      </c>
      <c r="F7168" s="58"/>
      <c r="G7168" s="58">
        <f t="shared" si="117"/>
        <v>-10000</v>
      </c>
      <c r="H7168" s="121" t="s">
        <v>4761</v>
      </c>
    </row>
    <row r="7169" spans="1:8" ht="15" x14ac:dyDescent="0.2">
      <c r="A7169" s="597">
        <v>43556</v>
      </c>
      <c r="B7169" s="41" t="s">
        <v>25</v>
      </c>
      <c r="C7169" s="41" t="s">
        <v>2503</v>
      </c>
      <c r="D7169" s="108" t="s">
        <v>2183</v>
      </c>
      <c r="E7169" s="58">
        <v>20000</v>
      </c>
      <c r="F7169" s="58"/>
      <c r="G7169" s="58">
        <f t="shared" si="117"/>
        <v>-20000</v>
      </c>
      <c r="H7169" s="121" t="s">
        <v>4761</v>
      </c>
    </row>
    <row r="7170" spans="1:8" ht="15" x14ac:dyDescent="0.2">
      <c r="A7170" s="597">
        <v>43556</v>
      </c>
      <c r="B7170" s="41" t="s">
        <v>25</v>
      </c>
      <c r="C7170" s="41" t="s">
        <v>2503</v>
      </c>
      <c r="D7170" s="108" t="s">
        <v>1840</v>
      </c>
      <c r="E7170" s="58">
        <v>10000</v>
      </c>
      <c r="F7170" s="58"/>
      <c r="G7170" s="58">
        <f t="shared" si="117"/>
        <v>-10000</v>
      </c>
      <c r="H7170" s="121" t="s">
        <v>4761</v>
      </c>
    </row>
    <row r="7171" spans="1:8" ht="15" x14ac:dyDescent="0.2">
      <c r="A7171" s="597">
        <v>43556</v>
      </c>
      <c r="B7171" s="41" t="s">
        <v>25</v>
      </c>
      <c r="C7171" s="41" t="s">
        <v>2503</v>
      </c>
      <c r="D7171" s="108" t="s">
        <v>1547</v>
      </c>
      <c r="E7171" s="58">
        <v>10000</v>
      </c>
      <c r="F7171" s="58"/>
      <c r="G7171" s="58">
        <f t="shared" si="117"/>
        <v>-10000</v>
      </c>
      <c r="H7171" s="121" t="s">
        <v>4761</v>
      </c>
    </row>
    <row r="7172" spans="1:8" ht="15" x14ac:dyDescent="0.2">
      <c r="A7172" s="597">
        <v>43556</v>
      </c>
      <c r="B7172" s="41" t="s">
        <v>16</v>
      </c>
      <c r="C7172" s="41" t="s">
        <v>2503</v>
      </c>
      <c r="D7172" s="108" t="s">
        <v>1844</v>
      </c>
      <c r="E7172" s="58">
        <v>28000</v>
      </c>
      <c r="F7172" s="58"/>
      <c r="G7172" s="58">
        <f t="shared" si="117"/>
        <v>-28000</v>
      </c>
      <c r="H7172" s="121" t="s">
        <v>4761</v>
      </c>
    </row>
    <row r="7173" spans="1:8" ht="15" x14ac:dyDescent="0.2">
      <c r="A7173" s="597">
        <v>43556</v>
      </c>
      <c r="B7173" s="41" t="s">
        <v>16</v>
      </c>
      <c r="C7173" s="41" t="s">
        <v>2503</v>
      </c>
      <c r="D7173" s="108" t="s">
        <v>1842</v>
      </c>
      <c r="E7173" s="58">
        <v>30000</v>
      </c>
      <c r="F7173" s="58"/>
      <c r="G7173" s="58">
        <f t="shared" si="117"/>
        <v>-30000</v>
      </c>
      <c r="H7173" s="121" t="s">
        <v>4761</v>
      </c>
    </row>
    <row r="7174" spans="1:8" ht="15" customHeight="1" x14ac:dyDescent="0.2">
      <c r="A7174" s="597">
        <v>43556</v>
      </c>
      <c r="B7174" s="41" t="s">
        <v>16</v>
      </c>
      <c r="C7174" s="41" t="s">
        <v>2503</v>
      </c>
      <c r="D7174" s="108" t="s">
        <v>3611</v>
      </c>
      <c r="E7174" s="58">
        <v>4000</v>
      </c>
      <c r="F7174" s="58"/>
      <c r="G7174" s="58">
        <f t="shared" si="117"/>
        <v>-4000</v>
      </c>
      <c r="H7174" s="121" t="s">
        <v>4761</v>
      </c>
    </row>
    <row r="7175" spans="1:8" ht="15" customHeight="1" x14ac:dyDescent="0.2">
      <c r="A7175" s="597">
        <v>43556</v>
      </c>
      <c r="B7175" s="41" t="s">
        <v>3945</v>
      </c>
      <c r="C7175" s="41" t="s">
        <v>2503</v>
      </c>
      <c r="D7175" s="108" t="s">
        <v>2282</v>
      </c>
      <c r="E7175" s="58">
        <v>44032.258064516129</v>
      </c>
      <c r="F7175" s="58"/>
      <c r="G7175" s="58">
        <f t="shared" si="117"/>
        <v>-44032.258064516129</v>
      </c>
      <c r="H7175" s="121" t="s">
        <v>4761</v>
      </c>
    </row>
    <row r="7176" spans="1:8" ht="15" x14ac:dyDescent="0.2">
      <c r="A7176" s="597">
        <v>43556</v>
      </c>
      <c r="B7176" s="41" t="s">
        <v>3945</v>
      </c>
      <c r="C7176" s="41" t="s">
        <v>2503</v>
      </c>
      <c r="D7176" s="108" t="s">
        <v>2758</v>
      </c>
      <c r="E7176" s="58">
        <v>20500.080645161292</v>
      </c>
      <c r="F7176" s="58"/>
      <c r="G7176" s="58">
        <f t="shared" si="117"/>
        <v>-20500.080645161292</v>
      </c>
      <c r="H7176" s="121" t="s">
        <v>4761</v>
      </c>
    </row>
    <row r="7177" spans="1:8" ht="15" x14ac:dyDescent="0.2">
      <c r="A7177" s="597">
        <v>43556</v>
      </c>
      <c r="B7177" s="41" t="s">
        <v>3945</v>
      </c>
      <c r="C7177" s="41" t="s">
        <v>2503</v>
      </c>
      <c r="D7177" s="108" t="s">
        <v>3236</v>
      </c>
      <c r="E7177" s="58">
        <v>18114.919354838708</v>
      </c>
      <c r="F7177" s="58"/>
      <c r="G7177" s="58">
        <f t="shared" si="117"/>
        <v>-18114.919354838708</v>
      </c>
      <c r="H7177" s="121" t="s">
        <v>4761</v>
      </c>
    </row>
    <row r="7178" spans="1:8" ht="15" x14ac:dyDescent="0.2">
      <c r="A7178" s="597">
        <v>43556</v>
      </c>
      <c r="B7178" s="41" t="s">
        <v>3945</v>
      </c>
      <c r="C7178" s="41" t="s">
        <v>2503</v>
      </c>
      <c r="D7178" s="108" t="s">
        <v>4005</v>
      </c>
      <c r="E7178" s="58">
        <v>19556.451612903227</v>
      </c>
      <c r="F7178" s="58"/>
      <c r="G7178" s="58">
        <f t="shared" si="117"/>
        <v>-19556.451612903227</v>
      </c>
      <c r="H7178" s="121" t="s">
        <v>4761</v>
      </c>
    </row>
    <row r="7179" spans="1:8" ht="15" x14ac:dyDescent="0.2">
      <c r="A7179" s="597">
        <v>43556</v>
      </c>
      <c r="B7179" s="41" t="s">
        <v>3945</v>
      </c>
      <c r="C7179" s="41" t="s">
        <v>2503</v>
      </c>
      <c r="D7179" s="108" t="s">
        <v>3841</v>
      </c>
      <c r="E7179" s="58">
        <v>22016.129032258064</v>
      </c>
      <c r="F7179" s="58"/>
      <c r="G7179" s="58">
        <f t="shared" si="117"/>
        <v>-22016.129032258064</v>
      </c>
      <c r="H7179" s="121" t="s">
        <v>4761</v>
      </c>
    </row>
    <row r="7180" spans="1:8" ht="15" x14ac:dyDescent="0.2">
      <c r="A7180" s="597">
        <v>43556</v>
      </c>
      <c r="B7180" s="41" t="s">
        <v>3945</v>
      </c>
      <c r="C7180" s="41" t="s">
        <v>2503</v>
      </c>
      <c r="D7180" s="108" t="s">
        <v>4075</v>
      </c>
      <c r="E7180" s="58">
        <v>17056.451612903227</v>
      </c>
      <c r="F7180" s="58"/>
      <c r="G7180" s="58">
        <f t="shared" si="117"/>
        <v>-17056.451612903227</v>
      </c>
      <c r="H7180" s="121" t="s">
        <v>4761</v>
      </c>
    </row>
    <row r="7181" spans="1:8" ht="15" x14ac:dyDescent="0.2">
      <c r="A7181" s="597">
        <v>43556</v>
      </c>
      <c r="B7181" s="41" t="s">
        <v>3945</v>
      </c>
      <c r="C7181" s="41" t="s">
        <v>2503</v>
      </c>
      <c r="D7181" s="108" t="s">
        <v>4076</v>
      </c>
      <c r="E7181" s="58">
        <v>20322.580645161292</v>
      </c>
      <c r="F7181" s="58"/>
      <c r="G7181" s="58">
        <f t="shared" si="117"/>
        <v>-20322.580645161292</v>
      </c>
      <c r="H7181" s="121" t="s">
        <v>4761</v>
      </c>
    </row>
    <row r="7182" spans="1:8" ht="15" x14ac:dyDescent="0.2">
      <c r="A7182" s="597">
        <v>43556</v>
      </c>
      <c r="B7182" s="41" t="s">
        <v>3946</v>
      </c>
      <c r="C7182" s="41" t="s">
        <v>2503</v>
      </c>
      <c r="D7182" s="108" t="s">
        <v>4077</v>
      </c>
      <c r="E7182" s="58">
        <v>38609.879032258061</v>
      </c>
      <c r="F7182" s="58"/>
      <c r="G7182" s="58">
        <f t="shared" si="117"/>
        <v>-38609.879032258061</v>
      </c>
      <c r="H7182" s="121" t="s">
        <v>4761</v>
      </c>
    </row>
    <row r="7183" spans="1:8" ht="15" x14ac:dyDescent="0.2">
      <c r="A7183" s="597">
        <v>43556</v>
      </c>
      <c r="B7183" s="41" t="s">
        <v>3946</v>
      </c>
      <c r="C7183" s="41" t="s">
        <v>2503</v>
      </c>
      <c r="D7183" s="108" t="s">
        <v>4555</v>
      </c>
      <c r="E7183" s="58">
        <v>24129.919354838708</v>
      </c>
      <c r="F7183" s="58"/>
      <c r="G7183" s="58">
        <f t="shared" si="117"/>
        <v>-24129.919354838708</v>
      </c>
      <c r="H7183" s="121" t="s">
        <v>4761</v>
      </c>
    </row>
    <row r="7184" spans="1:8" ht="15" x14ac:dyDescent="0.2">
      <c r="A7184" s="597">
        <v>43556</v>
      </c>
      <c r="B7184" s="41" t="s">
        <v>3946</v>
      </c>
      <c r="C7184" s="41" t="s">
        <v>2503</v>
      </c>
      <c r="D7184" s="108" t="s">
        <v>4192</v>
      </c>
      <c r="E7184" s="58">
        <v>28300.16129032258</v>
      </c>
      <c r="F7184" s="58"/>
      <c r="G7184" s="58">
        <f t="shared" si="117"/>
        <v>-28300.16129032258</v>
      </c>
      <c r="H7184" s="121" t="s">
        <v>4761</v>
      </c>
    </row>
    <row r="7185" spans="1:8" ht="15" x14ac:dyDescent="0.2">
      <c r="A7185" s="597">
        <v>43556</v>
      </c>
      <c r="B7185" s="41" t="s">
        <v>3946</v>
      </c>
      <c r="C7185" s="41" t="s">
        <v>2503</v>
      </c>
      <c r="D7185" s="108" t="s">
        <v>4556</v>
      </c>
      <c r="E7185" s="58">
        <v>16260</v>
      </c>
      <c r="F7185" s="58"/>
      <c r="G7185" s="58">
        <f t="shared" si="117"/>
        <v>-16260</v>
      </c>
      <c r="H7185" s="121" t="s">
        <v>4761</v>
      </c>
    </row>
    <row r="7186" spans="1:8" ht="15" x14ac:dyDescent="0.2">
      <c r="A7186" s="597">
        <v>43556</v>
      </c>
      <c r="B7186" s="41" t="s">
        <v>3946</v>
      </c>
      <c r="C7186" s="41" t="s">
        <v>2503</v>
      </c>
      <c r="D7186" s="108" t="s">
        <v>4559</v>
      </c>
      <c r="E7186" s="58">
        <v>17354.83870967742</v>
      </c>
      <c r="F7186" s="58"/>
      <c r="G7186" s="58">
        <f t="shared" si="117"/>
        <v>-17354.83870967742</v>
      </c>
      <c r="H7186" s="121" t="s">
        <v>4761</v>
      </c>
    </row>
    <row r="7187" spans="1:8" ht="15" x14ac:dyDescent="0.2">
      <c r="A7187" s="597">
        <v>43556</v>
      </c>
      <c r="B7187" s="41" t="s">
        <v>3946</v>
      </c>
      <c r="C7187" s="41" t="s">
        <v>2503</v>
      </c>
      <c r="D7187" s="108" t="s">
        <v>4557</v>
      </c>
      <c r="E7187" s="58">
        <v>18580.645161290322</v>
      </c>
      <c r="F7187" s="58"/>
      <c r="G7187" s="58">
        <f t="shared" si="117"/>
        <v>-18580.645161290322</v>
      </c>
      <c r="H7187" s="121" t="s">
        <v>4761</v>
      </c>
    </row>
    <row r="7188" spans="1:8" ht="15" x14ac:dyDescent="0.2">
      <c r="A7188" s="597">
        <v>43556</v>
      </c>
      <c r="B7188" s="41" t="s">
        <v>3946</v>
      </c>
      <c r="C7188" s="41" t="s">
        <v>2503</v>
      </c>
      <c r="D7188" s="108" t="s">
        <v>1565</v>
      </c>
      <c r="E7188" s="58">
        <v>23564.516129032258</v>
      </c>
      <c r="F7188" s="58"/>
      <c r="G7188" s="58">
        <f t="shared" si="117"/>
        <v>-23564.516129032258</v>
      </c>
      <c r="H7188" s="121" t="s">
        <v>4761</v>
      </c>
    </row>
    <row r="7189" spans="1:8" ht="15" x14ac:dyDescent="0.2">
      <c r="A7189" s="597">
        <v>43556</v>
      </c>
      <c r="B7189" s="41" t="s">
        <v>3946</v>
      </c>
      <c r="C7189" s="41" t="s">
        <v>2503</v>
      </c>
      <c r="D7189" s="108" t="s">
        <v>4325</v>
      </c>
      <c r="E7189" s="58">
        <v>14580.645161290324</v>
      </c>
      <c r="F7189" s="58"/>
      <c r="G7189" s="58">
        <f t="shared" si="117"/>
        <v>-14580.645161290324</v>
      </c>
      <c r="H7189" s="121" t="s">
        <v>4761</v>
      </c>
    </row>
    <row r="7190" spans="1:8" ht="15" x14ac:dyDescent="0.2">
      <c r="A7190" s="597">
        <v>43556</v>
      </c>
      <c r="B7190" s="41" t="s">
        <v>1400</v>
      </c>
      <c r="C7190" s="41" t="s">
        <v>2503</v>
      </c>
      <c r="D7190" s="108" t="s">
        <v>1858</v>
      </c>
      <c r="E7190" s="58">
        <v>45022.177419354841</v>
      </c>
      <c r="F7190" s="58"/>
      <c r="G7190" s="58">
        <f t="shared" si="117"/>
        <v>-45022.177419354841</v>
      </c>
      <c r="H7190" s="121" t="s">
        <v>4761</v>
      </c>
    </row>
    <row r="7191" spans="1:8" ht="15" x14ac:dyDescent="0.2">
      <c r="A7191" s="597">
        <v>43556</v>
      </c>
      <c r="B7191" s="41" t="s">
        <v>1400</v>
      </c>
      <c r="C7191" s="41" t="s">
        <v>2503</v>
      </c>
      <c r="D7191" s="108" t="s">
        <v>1684</v>
      </c>
      <c r="E7191" s="58">
        <v>3500</v>
      </c>
      <c r="F7191" s="58"/>
      <c r="G7191" s="58">
        <f t="shared" si="117"/>
        <v>-3500</v>
      </c>
      <c r="H7191" s="121" t="s">
        <v>4761</v>
      </c>
    </row>
    <row r="7192" spans="1:8" ht="15" x14ac:dyDescent="0.2">
      <c r="A7192" s="597">
        <v>43556</v>
      </c>
      <c r="B7192" s="41" t="s">
        <v>1400</v>
      </c>
      <c r="C7192" s="41" t="s">
        <v>2503</v>
      </c>
      <c r="D7192" s="108" t="s">
        <v>2482</v>
      </c>
      <c r="E7192" s="58">
        <v>24439.83870967742</v>
      </c>
      <c r="F7192" s="58"/>
      <c r="G7192" s="58">
        <f t="shared" si="117"/>
        <v>-24439.83870967742</v>
      </c>
      <c r="H7192" s="121" t="s">
        <v>4761</v>
      </c>
    </row>
    <row r="7193" spans="1:8" ht="15" x14ac:dyDescent="0.2">
      <c r="A7193" s="597">
        <v>43556</v>
      </c>
      <c r="B7193" s="41" t="s">
        <v>1400</v>
      </c>
      <c r="C7193" s="41" t="s">
        <v>2503</v>
      </c>
      <c r="D7193" s="108" t="s">
        <v>1550</v>
      </c>
      <c r="E7193" s="58">
        <v>21822.580645161288</v>
      </c>
      <c r="F7193" s="58"/>
      <c r="G7193" s="58">
        <f t="shared" si="117"/>
        <v>-21822.580645161288</v>
      </c>
      <c r="H7193" s="121" t="s">
        <v>4761</v>
      </c>
    </row>
    <row r="7194" spans="1:8" ht="15" x14ac:dyDescent="0.2">
      <c r="A7194" s="597">
        <v>43556</v>
      </c>
      <c r="B7194" s="41" t="s">
        <v>1400</v>
      </c>
      <c r="C7194" s="41" t="s">
        <v>2503</v>
      </c>
      <c r="D7194" s="108" t="s">
        <v>1871</v>
      </c>
      <c r="E7194" s="58">
        <v>40354.838709677417</v>
      </c>
      <c r="F7194" s="58"/>
      <c r="G7194" s="58">
        <f t="shared" si="117"/>
        <v>-40354.838709677417</v>
      </c>
      <c r="H7194" s="121" t="s">
        <v>4761</v>
      </c>
    </row>
    <row r="7195" spans="1:8" ht="15" x14ac:dyDescent="0.2">
      <c r="A7195" s="597">
        <v>43556</v>
      </c>
      <c r="B7195" s="41" t="s">
        <v>1400</v>
      </c>
      <c r="C7195" s="41" t="s">
        <v>2503</v>
      </c>
      <c r="D7195" s="108" t="s">
        <v>3231</v>
      </c>
      <c r="E7195" s="58">
        <v>36900</v>
      </c>
      <c r="F7195" s="58"/>
      <c r="G7195" s="58">
        <f t="shared" si="117"/>
        <v>-36900</v>
      </c>
      <c r="H7195" s="121" t="s">
        <v>4761</v>
      </c>
    </row>
    <row r="7196" spans="1:8" ht="15" x14ac:dyDescent="0.2">
      <c r="A7196" s="597">
        <v>43556</v>
      </c>
      <c r="B7196" s="41" t="s">
        <v>1400</v>
      </c>
      <c r="C7196" s="41" t="s">
        <v>2503</v>
      </c>
      <c r="D7196" s="108" t="s">
        <v>3491</v>
      </c>
      <c r="E7196" s="58">
        <v>20580.645161290322</v>
      </c>
      <c r="F7196" s="58"/>
      <c r="G7196" s="58">
        <f t="shared" si="117"/>
        <v>-20580.645161290322</v>
      </c>
      <c r="H7196" s="121" t="s">
        <v>4761</v>
      </c>
    </row>
    <row r="7197" spans="1:8" ht="15" x14ac:dyDescent="0.2">
      <c r="A7197" s="597">
        <v>43556</v>
      </c>
      <c r="B7197" s="41" t="s">
        <v>1400</v>
      </c>
      <c r="C7197" s="41" t="s">
        <v>2503</v>
      </c>
      <c r="D7197" s="108" t="s">
        <v>1542</v>
      </c>
      <c r="E7197" s="58">
        <v>22951.612903225807</v>
      </c>
      <c r="F7197" s="58"/>
      <c r="G7197" s="58">
        <f t="shared" si="117"/>
        <v>-22951.612903225807</v>
      </c>
      <c r="H7197" s="121" t="s">
        <v>4761</v>
      </c>
    </row>
    <row r="7198" spans="1:8" ht="15" x14ac:dyDescent="0.2">
      <c r="A7198" s="597">
        <v>43556</v>
      </c>
      <c r="B7198" s="41" t="s">
        <v>1400</v>
      </c>
      <c r="C7198" s="41" t="s">
        <v>2503</v>
      </c>
      <c r="D7198" s="108" t="s">
        <v>1850</v>
      </c>
      <c r="E7198" s="58">
        <v>8389.677419354839</v>
      </c>
      <c r="F7198" s="58"/>
      <c r="G7198" s="58">
        <f t="shared" si="117"/>
        <v>-8389.677419354839</v>
      </c>
      <c r="H7198" s="121" t="s">
        <v>4761</v>
      </c>
    </row>
    <row r="7199" spans="1:8" ht="15" x14ac:dyDescent="0.2">
      <c r="A7199" s="597">
        <v>43556</v>
      </c>
      <c r="B7199" s="41" t="s">
        <v>1400</v>
      </c>
      <c r="C7199" s="41" t="s">
        <v>2503</v>
      </c>
      <c r="D7199" s="108" t="s">
        <v>3492</v>
      </c>
      <c r="E7199" s="58">
        <v>2919.8790322580644</v>
      </c>
      <c r="F7199" s="58"/>
      <c r="G7199" s="58">
        <f t="shared" si="117"/>
        <v>-2919.8790322580644</v>
      </c>
      <c r="H7199" s="121" t="s">
        <v>4761</v>
      </c>
    </row>
    <row r="7200" spans="1:8" ht="15" x14ac:dyDescent="0.2">
      <c r="A7200" s="597">
        <v>43556</v>
      </c>
      <c r="B7200" s="41" t="s">
        <v>1400</v>
      </c>
      <c r="C7200" s="41" t="s">
        <v>2503</v>
      </c>
      <c r="D7200" s="108" t="s">
        <v>3068</v>
      </c>
      <c r="E7200" s="58">
        <v>5550.322580645161</v>
      </c>
      <c r="F7200" s="58"/>
      <c r="G7200" s="58">
        <f t="shared" si="117"/>
        <v>-5550.322580645161</v>
      </c>
      <c r="H7200" s="121" t="s">
        <v>4761</v>
      </c>
    </row>
    <row r="7201" spans="1:8" ht="15" x14ac:dyDescent="0.2">
      <c r="A7201" s="597">
        <v>43556</v>
      </c>
      <c r="B7201" s="41" t="s">
        <v>1400</v>
      </c>
      <c r="C7201" s="41" t="s">
        <v>2503</v>
      </c>
      <c r="D7201" s="108" t="s">
        <v>4707</v>
      </c>
      <c r="E7201" s="58">
        <v>14225.806451612903</v>
      </c>
      <c r="F7201" s="58"/>
      <c r="G7201" s="58">
        <f t="shared" si="117"/>
        <v>-14225.806451612903</v>
      </c>
      <c r="H7201" s="121" t="s">
        <v>4761</v>
      </c>
    </row>
    <row r="7202" spans="1:8" ht="15" x14ac:dyDescent="0.2">
      <c r="A7202" s="597">
        <v>43556</v>
      </c>
      <c r="B7202" s="41" t="s">
        <v>1400</v>
      </c>
      <c r="C7202" s="41" t="s">
        <v>2503</v>
      </c>
      <c r="D7202" s="108" t="s">
        <v>2238</v>
      </c>
      <c r="E7202" s="58">
        <v>15000</v>
      </c>
      <c r="F7202" s="58"/>
      <c r="G7202" s="58">
        <f t="shared" si="117"/>
        <v>-15000</v>
      </c>
      <c r="H7202" s="121" t="s">
        <v>4761</v>
      </c>
    </row>
    <row r="7203" spans="1:8" ht="15" x14ac:dyDescent="0.2">
      <c r="A7203" s="597">
        <v>43556</v>
      </c>
      <c r="B7203" s="41" t="s">
        <v>4721</v>
      </c>
      <c r="C7203" s="41" t="s">
        <v>2503</v>
      </c>
      <c r="D7203" s="108" t="s">
        <v>4709</v>
      </c>
      <c r="E7203" s="58">
        <v>19354.83870967742</v>
      </c>
      <c r="F7203" s="58"/>
      <c r="G7203" s="58">
        <f t="shared" si="117"/>
        <v>-19354.83870967742</v>
      </c>
      <c r="H7203" s="121" t="s">
        <v>4761</v>
      </c>
    </row>
    <row r="7204" spans="1:8" ht="15" x14ac:dyDescent="0.2">
      <c r="A7204" s="597">
        <v>43556</v>
      </c>
      <c r="B7204" s="41" t="s">
        <v>4721</v>
      </c>
      <c r="C7204" s="41" t="s">
        <v>2503</v>
      </c>
      <c r="D7204" s="108" t="s">
        <v>1086</v>
      </c>
      <c r="E7204" s="58">
        <v>18675</v>
      </c>
      <c r="F7204" s="58"/>
      <c r="G7204" s="58">
        <f t="shared" si="117"/>
        <v>-18675</v>
      </c>
      <c r="H7204" s="121" t="s">
        <v>4761</v>
      </c>
    </row>
    <row r="7205" spans="1:8" ht="15" x14ac:dyDescent="0.2">
      <c r="A7205" s="597">
        <v>43556</v>
      </c>
      <c r="B7205" s="41" t="s">
        <v>4721</v>
      </c>
      <c r="C7205" s="41" t="s">
        <v>2503</v>
      </c>
      <c r="D7205" s="108" t="s">
        <v>2761</v>
      </c>
      <c r="E7205" s="58">
        <v>18125</v>
      </c>
      <c r="F7205" s="58"/>
      <c r="G7205" s="58">
        <f t="shared" si="117"/>
        <v>-18125</v>
      </c>
      <c r="H7205" s="121" t="s">
        <v>4761</v>
      </c>
    </row>
    <row r="7206" spans="1:8" ht="15" x14ac:dyDescent="0.2">
      <c r="A7206" s="597">
        <v>43556</v>
      </c>
      <c r="B7206" s="41" t="s">
        <v>4721</v>
      </c>
      <c r="C7206" s="41" t="s">
        <v>2503</v>
      </c>
      <c r="D7206" s="108" t="s">
        <v>2481</v>
      </c>
      <c r="E7206" s="58">
        <v>11779.637096774193</v>
      </c>
      <c r="F7206" s="58"/>
      <c r="G7206" s="58">
        <f t="shared" si="117"/>
        <v>-11779.637096774193</v>
      </c>
      <c r="H7206" s="121" t="s">
        <v>4761</v>
      </c>
    </row>
    <row r="7207" spans="1:8" ht="15" x14ac:dyDescent="0.2">
      <c r="A7207" s="597">
        <v>43556</v>
      </c>
      <c r="B7207" s="41" t="s">
        <v>6516</v>
      </c>
      <c r="C7207" s="41" t="s">
        <v>2503</v>
      </c>
      <c r="D7207" s="108" t="s">
        <v>1855</v>
      </c>
      <c r="E7207" s="58">
        <v>23310.483870967742</v>
      </c>
      <c r="F7207" s="58"/>
      <c r="G7207" s="58">
        <f t="shared" si="117"/>
        <v>-23310.483870967742</v>
      </c>
      <c r="H7207" s="121" t="s">
        <v>4761</v>
      </c>
    </row>
    <row r="7208" spans="1:8" ht="15" x14ac:dyDescent="0.2">
      <c r="A7208" s="597">
        <v>43556</v>
      </c>
      <c r="B7208" s="41" t="s">
        <v>6516</v>
      </c>
      <c r="C7208" s="41" t="s">
        <v>2503</v>
      </c>
      <c r="D7208" s="108" t="s">
        <v>1861</v>
      </c>
      <c r="E7208" s="58">
        <v>20759.516129032258</v>
      </c>
      <c r="F7208" s="58"/>
      <c r="G7208" s="58">
        <f t="shared" si="117"/>
        <v>-20759.516129032258</v>
      </c>
      <c r="H7208" s="121" t="s">
        <v>4761</v>
      </c>
    </row>
    <row r="7209" spans="1:8" ht="15" x14ac:dyDescent="0.2">
      <c r="A7209" s="597">
        <v>43556</v>
      </c>
      <c r="B7209" s="41" t="s">
        <v>6516</v>
      </c>
      <c r="C7209" s="41" t="s">
        <v>2503</v>
      </c>
      <c r="D7209" s="108" t="s">
        <v>1849</v>
      </c>
      <c r="E7209" s="58">
        <v>19390.322580645159</v>
      </c>
      <c r="F7209" s="58"/>
      <c r="G7209" s="58">
        <f t="shared" si="117"/>
        <v>-19390.322580645159</v>
      </c>
      <c r="H7209" s="121" t="s">
        <v>4761</v>
      </c>
    </row>
    <row r="7210" spans="1:8" ht="15" x14ac:dyDescent="0.2">
      <c r="A7210" s="597">
        <v>43556</v>
      </c>
      <c r="B7210" s="41" t="s">
        <v>6516</v>
      </c>
      <c r="C7210" s="41" t="s">
        <v>2503</v>
      </c>
      <c r="D7210" s="108" t="s">
        <v>3615</v>
      </c>
      <c r="E7210" s="58">
        <v>15133.06451612903</v>
      </c>
      <c r="F7210" s="58"/>
      <c r="G7210" s="58">
        <f t="shared" si="117"/>
        <v>-15133.06451612903</v>
      </c>
      <c r="H7210" s="121" t="s">
        <v>4761</v>
      </c>
    </row>
    <row r="7211" spans="1:8" ht="15" x14ac:dyDescent="0.2">
      <c r="A7211" s="597">
        <v>43556</v>
      </c>
      <c r="B7211" s="41" t="s">
        <v>6516</v>
      </c>
      <c r="C7211" s="41" t="s">
        <v>2503</v>
      </c>
      <c r="D7211" s="108" t="s">
        <v>4929</v>
      </c>
      <c r="E7211" s="58">
        <v>8064.5161290322576</v>
      </c>
      <c r="F7211" s="58"/>
      <c r="G7211" s="58">
        <f t="shared" ref="G7211:G7274" si="118">F7211-E7211</f>
        <v>-8064.5161290322576</v>
      </c>
      <c r="H7211" s="121" t="s">
        <v>4761</v>
      </c>
    </row>
    <row r="7212" spans="1:8" ht="15" x14ac:dyDescent="0.2">
      <c r="A7212" s="597">
        <v>43556</v>
      </c>
      <c r="B7212" s="41" t="s">
        <v>6516</v>
      </c>
      <c r="C7212" s="41" t="s">
        <v>2503</v>
      </c>
      <c r="D7212" s="108" t="s">
        <v>4710</v>
      </c>
      <c r="E7212" s="58">
        <v>13306.451612903227</v>
      </c>
      <c r="F7212" s="58"/>
      <c r="G7212" s="58">
        <f t="shared" si="118"/>
        <v>-13306.451612903227</v>
      </c>
      <c r="H7212" s="121" t="s">
        <v>4761</v>
      </c>
    </row>
    <row r="7213" spans="1:8" ht="15" x14ac:dyDescent="0.2">
      <c r="A7213" s="597">
        <v>43556</v>
      </c>
      <c r="B7213" s="41" t="s">
        <v>37</v>
      </c>
      <c r="C7213" s="41" t="s">
        <v>2503</v>
      </c>
      <c r="D7213" s="108" t="s">
        <v>1866</v>
      </c>
      <c r="E7213" s="58">
        <v>17089.596774193549</v>
      </c>
      <c r="F7213" s="58"/>
      <c r="G7213" s="58">
        <f t="shared" si="118"/>
        <v>-17089.596774193549</v>
      </c>
      <c r="H7213" s="121" t="s">
        <v>4761</v>
      </c>
    </row>
    <row r="7214" spans="1:8" ht="15" x14ac:dyDescent="0.2">
      <c r="A7214" s="597">
        <v>43556</v>
      </c>
      <c r="B7214" s="41" t="s">
        <v>37</v>
      </c>
      <c r="C7214" s="41" t="s">
        <v>2503</v>
      </c>
      <c r="D7214" s="108" t="s">
        <v>1867</v>
      </c>
      <c r="E7214" s="58">
        <v>14500</v>
      </c>
      <c r="F7214" s="58"/>
      <c r="G7214" s="58">
        <f t="shared" si="118"/>
        <v>-14500</v>
      </c>
      <c r="H7214" s="121" t="s">
        <v>4761</v>
      </c>
    </row>
    <row r="7215" spans="1:8" ht="15" x14ac:dyDescent="0.2">
      <c r="A7215" s="597">
        <v>43556</v>
      </c>
      <c r="B7215" s="41" t="s">
        <v>37</v>
      </c>
      <c r="C7215" s="41" t="s">
        <v>2503</v>
      </c>
      <c r="D7215" s="108" t="s">
        <v>1868</v>
      </c>
      <c r="E7215" s="58">
        <v>18500</v>
      </c>
      <c r="F7215" s="58"/>
      <c r="G7215" s="58">
        <f t="shared" si="118"/>
        <v>-18500</v>
      </c>
      <c r="H7215" s="121" t="s">
        <v>4761</v>
      </c>
    </row>
    <row r="7216" spans="1:8" ht="15" x14ac:dyDescent="0.2">
      <c r="A7216" s="597">
        <v>43556</v>
      </c>
      <c r="B7216" s="41" t="s">
        <v>37</v>
      </c>
      <c r="C7216" s="41" t="s">
        <v>2503</v>
      </c>
      <c r="D7216" s="108" t="s">
        <v>4560</v>
      </c>
      <c r="E7216" s="58">
        <v>12200.322580645161</v>
      </c>
      <c r="F7216" s="58"/>
      <c r="G7216" s="58">
        <f t="shared" si="118"/>
        <v>-12200.322580645161</v>
      </c>
      <c r="H7216" s="121" t="s">
        <v>4761</v>
      </c>
    </row>
    <row r="7217" spans="1:8" ht="15" x14ac:dyDescent="0.2">
      <c r="A7217" s="597">
        <v>43556</v>
      </c>
      <c r="B7217" s="41" t="s">
        <v>37</v>
      </c>
      <c r="C7217" s="41" t="s">
        <v>2503</v>
      </c>
      <c r="D7217" s="108" t="s">
        <v>4561</v>
      </c>
      <c r="E7217" s="58">
        <v>10838.709677419354</v>
      </c>
      <c r="F7217" s="58"/>
      <c r="G7217" s="58">
        <f t="shared" si="118"/>
        <v>-10838.709677419354</v>
      </c>
      <c r="H7217" s="121" t="s">
        <v>4761</v>
      </c>
    </row>
    <row r="7218" spans="1:8" ht="15" x14ac:dyDescent="0.2">
      <c r="A7218" s="597">
        <v>43556</v>
      </c>
      <c r="B7218" s="41" t="s">
        <v>37</v>
      </c>
      <c r="C7218" s="41" t="s">
        <v>2503</v>
      </c>
      <c r="D7218" s="108" t="s">
        <v>1240</v>
      </c>
      <c r="E7218" s="58">
        <v>24389.677419354841</v>
      </c>
      <c r="F7218" s="58"/>
      <c r="G7218" s="58">
        <f t="shared" si="118"/>
        <v>-24389.677419354841</v>
      </c>
      <c r="H7218" s="121" t="s">
        <v>4761</v>
      </c>
    </row>
    <row r="7219" spans="1:8" ht="15" x14ac:dyDescent="0.2">
      <c r="A7219" s="597">
        <v>43556</v>
      </c>
      <c r="B7219" s="41" t="s">
        <v>2933</v>
      </c>
      <c r="C7219" s="41" t="s">
        <v>2503</v>
      </c>
      <c r="D7219" s="108" t="s">
        <v>1864</v>
      </c>
      <c r="E7219" s="58">
        <v>35645.161290322583</v>
      </c>
      <c r="F7219" s="58"/>
      <c r="G7219" s="58">
        <f t="shared" si="118"/>
        <v>-35645.161290322583</v>
      </c>
      <c r="H7219" s="121" t="s">
        <v>4761</v>
      </c>
    </row>
    <row r="7220" spans="1:8" ht="15" x14ac:dyDescent="0.2">
      <c r="A7220" s="597">
        <v>43556</v>
      </c>
      <c r="B7220" s="41" t="s">
        <v>2933</v>
      </c>
      <c r="C7220" s="41" t="s">
        <v>2503</v>
      </c>
      <c r="D7220" s="108" t="s">
        <v>1845</v>
      </c>
      <c r="E7220" s="58">
        <v>22469.83870967742</v>
      </c>
      <c r="F7220" s="58"/>
      <c r="G7220" s="58">
        <f t="shared" si="118"/>
        <v>-22469.83870967742</v>
      </c>
      <c r="H7220" s="121" t="s">
        <v>4761</v>
      </c>
    </row>
    <row r="7221" spans="1:8" ht="15" x14ac:dyDescent="0.2">
      <c r="A7221" s="597">
        <v>43556</v>
      </c>
      <c r="B7221" s="41" t="s">
        <v>2933</v>
      </c>
      <c r="C7221" s="41" t="s">
        <v>2503</v>
      </c>
      <c r="D7221" s="108" t="s">
        <v>1852</v>
      </c>
      <c r="E7221" s="58">
        <v>29435.483870967742</v>
      </c>
      <c r="F7221" s="58"/>
      <c r="G7221" s="58">
        <f t="shared" si="118"/>
        <v>-29435.483870967742</v>
      </c>
      <c r="H7221" s="121" t="s">
        <v>4761</v>
      </c>
    </row>
    <row r="7222" spans="1:8" ht="15" x14ac:dyDescent="0.2">
      <c r="A7222" s="597">
        <v>43556</v>
      </c>
      <c r="B7222" s="41" t="s">
        <v>2933</v>
      </c>
      <c r="C7222" s="41" t="s">
        <v>2503</v>
      </c>
      <c r="D7222" s="108" t="s">
        <v>3234</v>
      </c>
      <c r="E7222" s="58">
        <v>15570.967741935485</v>
      </c>
      <c r="F7222" s="58"/>
      <c r="G7222" s="58">
        <f t="shared" si="118"/>
        <v>-15570.967741935485</v>
      </c>
      <c r="H7222" s="121" t="s">
        <v>4761</v>
      </c>
    </row>
    <row r="7223" spans="1:8" ht="15" x14ac:dyDescent="0.2">
      <c r="A7223" s="597">
        <v>43556</v>
      </c>
      <c r="B7223" s="41" t="s">
        <v>2933</v>
      </c>
      <c r="C7223" s="41" t="s">
        <v>2503</v>
      </c>
      <c r="D7223" s="108" t="s">
        <v>1859</v>
      </c>
      <c r="E7223" s="58">
        <v>11259.758064516129</v>
      </c>
      <c r="F7223" s="58"/>
      <c r="G7223" s="58">
        <f t="shared" si="118"/>
        <v>-11259.758064516129</v>
      </c>
      <c r="H7223" s="121" t="s">
        <v>4761</v>
      </c>
    </row>
    <row r="7224" spans="1:8" ht="15" x14ac:dyDescent="0.2">
      <c r="A7224" s="597">
        <v>43556</v>
      </c>
      <c r="B7224" s="41" t="s">
        <v>2933</v>
      </c>
      <c r="C7224" s="41" t="s">
        <v>2503</v>
      </c>
      <c r="D7224" s="108" t="s">
        <v>4930</v>
      </c>
      <c r="E7224" s="58">
        <v>12580.645161290322</v>
      </c>
      <c r="F7224" s="58"/>
      <c r="G7224" s="58">
        <f t="shared" si="118"/>
        <v>-12580.645161290322</v>
      </c>
      <c r="H7224" s="121" t="s">
        <v>4761</v>
      </c>
    </row>
    <row r="7225" spans="1:8" ht="15" x14ac:dyDescent="0.2">
      <c r="A7225" s="597">
        <v>43556</v>
      </c>
      <c r="B7225" s="41" t="s">
        <v>2933</v>
      </c>
      <c r="C7225" s="41" t="s">
        <v>2503</v>
      </c>
      <c r="D7225" s="108" t="s">
        <v>4931</v>
      </c>
      <c r="E7225" s="58">
        <v>12580.645161290322</v>
      </c>
      <c r="F7225" s="58"/>
      <c r="G7225" s="58">
        <f t="shared" si="118"/>
        <v>-12580.645161290322</v>
      </c>
      <c r="H7225" s="121" t="s">
        <v>4761</v>
      </c>
    </row>
    <row r="7226" spans="1:8" ht="15" x14ac:dyDescent="0.2">
      <c r="A7226" s="597">
        <v>43556</v>
      </c>
      <c r="B7226" s="41" t="s">
        <v>2933</v>
      </c>
      <c r="C7226" s="41" t="s">
        <v>2503</v>
      </c>
      <c r="D7226" s="108" t="s">
        <v>3490</v>
      </c>
      <c r="E7226" s="58">
        <v>12989.677419354839</v>
      </c>
      <c r="F7226" s="58"/>
      <c r="G7226" s="58">
        <f t="shared" si="118"/>
        <v>-12989.677419354839</v>
      </c>
      <c r="H7226" s="121" t="s">
        <v>4761</v>
      </c>
    </row>
    <row r="7227" spans="1:8" ht="15" x14ac:dyDescent="0.2">
      <c r="A7227" s="597">
        <v>43556</v>
      </c>
      <c r="B7227" s="41" t="s">
        <v>2652</v>
      </c>
      <c r="C7227" s="41" t="s">
        <v>2503</v>
      </c>
      <c r="D7227" s="108" t="s">
        <v>3616</v>
      </c>
      <c r="E7227" s="58">
        <v>41050</v>
      </c>
      <c r="F7227" s="58"/>
      <c r="G7227" s="58">
        <f t="shared" si="118"/>
        <v>-41050</v>
      </c>
      <c r="H7227" s="121" t="s">
        <v>4761</v>
      </c>
    </row>
    <row r="7228" spans="1:8" ht="15" x14ac:dyDescent="0.2">
      <c r="A7228" s="597">
        <v>43556</v>
      </c>
      <c r="B7228" s="41" t="s">
        <v>2652</v>
      </c>
      <c r="C7228" s="41" t="s">
        <v>2503</v>
      </c>
      <c r="D7228" s="108" t="s">
        <v>1847</v>
      </c>
      <c r="E7228" s="58">
        <v>18570.16129032258</v>
      </c>
      <c r="F7228" s="58"/>
      <c r="G7228" s="58">
        <f t="shared" si="118"/>
        <v>-18570.16129032258</v>
      </c>
      <c r="H7228" s="121" t="s">
        <v>4761</v>
      </c>
    </row>
    <row r="7229" spans="1:8" ht="15" x14ac:dyDescent="0.2">
      <c r="A7229" s="597">
        <v>43556</v>
      </c>
      <c r="B7229" s="41" t="s">
        <v>2652</v>
      </c>
      <c r="C7229" s="41" t="s">
        <v>2503</v>
      </c>
      <c r="D7229" s="108" t="s">
        <v>2283</v>
      </c>
      <c r="E7229" s="58">
        <v>28520.322580645163</v>
      </c>
      <c r="F7229" s="58"/>
      <c r="G7229" s="58">
        <f t="shared" si="118"/>
        <v>-28520.322580645163</v>
      </c>
      <c r="H7229" s="121" t="s">
        <v>4761</v>
      </c>
    </row>
    <row r="7230" spans="1:8" ht="15" x14ac:dyDescent="0.2">
      <c r="A7230" s="597">
        <v>43556</v>
      </c>
      <c r="B7230" s="41" t="s">
        <v>2652</v>
      </c>
      <c r="C7230" s="41" t="s">
        <v>2503</v>
      </c>
      <c r="D7230" s="108" t="s">
        <v>2280</v>
      </c>
      <c r="E7230" s="58">
        <v>21229.677419354837</v>
      </c>
      <c r="F7230" s="58"/>
      <c r="G7230" s="58">
        <f t="shared" si="118"/>
        <v>-21229.677419354837</v>
      </c>
      <c r="H7230" s="121" t="s">
        <v>4761</v>
      </c>
    </row>
    <row r="7231" spans="1:8" ht="15" x14ac:dyDescent="0.2">
      <c r="A7231" s="597">
        <v>43556</v>
      </c>
      <c r="B7231" s="41" t="s">
        <v>2652</v>
      </c>
      <c r="C7231" s="41" t="s">
        <v>2503</v>
      </c>
      <c r="D7231" s="108" t="s">
        <v>1862</v>
      </c>
      <c r="E7231" s="58">
        <v>19100.806451612902</v>
      </c>
      <c r="F7231" s="58"/>
      <c r="G7231" s="58">
        <f t="shared" si="118"/>
        <v>-19100.806451612902</v>
      </c>
      <c r="H7231" s="121" t="s">
        <v>4761</v>
      </c>
    </row>
    <row r="7232" spans="1:8" ht="15" x14ac:dyDescent="0.2">
      <c r="A7232" s="597">
        <v>43556</v>
      </c>
      <c r="B7232" s="41" t="s">
        <v>2652</v>
      </c>
      <c r="C7232" s="41" t="s">
        <v>2503</v>
      </c>
      <c r="D7232" s="108" t="s">
        <v>1860</v>
      </c>
      <c r="E7232" s="58">
        <v>15469.919354838708</v>
      </c>
      <c r="F7232" s="58"/>
      <c r="G7232" s="58">
        <f t="shared" si="118"/>
        <v>-15469.919354838708</v>
      </c>
      <c r="H7232" s="121" t="s">
        <v>4761</v>
      </c>
    </row>
    <row r="7233" spans="1:8" ht="15" x14ac:dyDescent="0.2">
      <c r="A7233" s="597">
        <v>43556</v>
      </c>
      <c r="B7233" s="41" t="s">
        <v>2652</v>
      </c>
      <c r="C7233" s="41" t="s">
        <v>2503</v>
      </c>
      <c r="D7233" s="108" t="s">
        <v>4562</v>
      </c>
      <c r="E7233" s="58">
        <v>16780</v>
      </c>
      <c r="F7233" s="58"/>
      <c r="G7233" s="58">
        <f t="shared" si="118"/>
        <v>-16780</v>
      </c>
      <c r="H7233" s="121" t="s">
        <v>4761</v>
      </c>
    </row>
    <row r="7234" spans="1:8" ht="15" x14ac:dyDescent="0.2">
      <c r="A7234" s="597">
        <v>43556</v>
      </c>
      <c r="B7234" s="41" t="s">
        <v>2652</v>
      </c>
      <c r="C7234" s="41" t="s">
        <v>2503</v>
      </c>
      <c r="D7234" s="108" t="s">
        <v>4120</v>
      </c>
      <c r="E7234" s="58">
        <v>22069.838709677417</v>
      </c>
      <c r="F7234" s="58"/>
      <c r="G7234" s="58">
        <f t="shared" si="118"/>
        <v>-22069.838709677417</v>
      </c>
      <c r="H7234" s="121" t="s">
        <v>4761</v>
      </c>
    </row>
    <row r="7235" spans="1:8" ht="15" x14ac:dyDescent="0.2">
      <c r="A7235" s="597">
        <v>43556</v>
      </c>
      <c r="B7235" s="41" t="s">
        <v>2652</v>
      </c>
      <c r="C7235" s="41" t="s">
        <v>2503</v>
      </c>
      <c r="D7235" s="108" t="s">
        <v>4121</v>
      </c>
      <c r="E7235" s="58">
        <v>24950.362903225803</v>
      </c>
      <c r="F7235" s="58"/>
      <c r="G7235" s="58">
        <f t="shared" si="118"/>
        <v>-24950.362903225803</v>
      </c>
      <c r="H7235" s="121" t="s">
        <v>4761</v>
      </c>
    </row>
    <row r="7236" spans="1:8" ht="15" x14ac:dyDescent="0.2">
      <c r="A7236" s="597">
        <v>43556</v>
      </c>
      <c r="B7236" s="41" t="s">
        <v>2933</v>
      </c>
      <c r="C7236" s="41" t="s">
        <v>2503</v>
      </c>
      <c r="D7236" s="108" t="s">
        <v>668</v>
      </c>
      <c r="E7236" s="58">
        <v>10533.870967741936</v>
      </c>
      <c r="F7236" s="58"/>
      <c r="G7236" s="58">
        <f t="shared" si="118"/>
        <v>-10533.870967741936</v>
      </c>
      <c r="H7236" s="121" t="s">
        <v>4761</v>
      </c>
    </row>
    <row r="7237" spans="1:8" ht="15" x14ac:dyDescent="0.2">
      <c r="A7237" s="597">
        <v>43556</v>
      </c>
      <c r="B7237" s="41" t="s">
        <v>2933</v>
      </c>
      <c r="C7237" s="41" t="s">
        <v>2503</v>
      </c>
      <c r="D7237" s="108" t="s">
        <v>352</v>
      </c>
      <c r="E7237" s="58">
        <v>10193.548387096775</v>
      </c>
      <c r="F7237" s="58"/>
      <c r="G7237" s="58">
        <f t="shared" si="118"/>
        <v>-10193.548387096775</v>
      </c>
      <c r="H7237" s="121" t="s">
        <v>4761</v>
      </c>
    </row>
    <row r="7238" spans="1:8" ht="15" x14ac:dyDescent="0.2">
      <c r="A7238" s="597">
        <v>43556</v>
      </c>
      <c r="B7238" s="41" t="s">
        <v>3733</v>
      </c>
      <c r="C7238" s="41" t="s">
        <v>3878</v>
      </c>
      <c r="D7238" s="108" t="s">
        <v>370</v>
      </c>
      <c r="E7238" s="58">
        <v>20000</v>
      </c>
      <c r="F7238" s="58"/>
      <c r="G7238" s="58">
        <f t="shared" si="118"/>
        <v>-20000</v>
      </c>
      <c r="H7238" s="121" t="s">
        <v>4761</v>
      </c>
    </row>
    <row r="7239" spans="1:8" ht="15" x14ac:dyDescent="0.2">
      <c r="A7239" s="597">
        <v>43556</v>
      </c>
      <c r="B7239" s="41" t="s">
        <v>25</v>
      </c>
      <c r="C7239" s="41" t="s">
        <v>2428</v>
      </c>
      <c r="D7239" s="108" t="s">
        <v>4887</v>
      </c>
      <c r="E7239" s="58">
        <v>5500</v>
      </c>
      <c r="F7239" s="58"/>
      <c r="G7239" s="58">
        <f t="shared" si="118"/>
        <v>-5500</v>
      </c>
      <c r="H7239" s="121" t="s">
        <v>4761</v>
      </c>
    </row>
    <row r="7240" spans="1:8" ht="15" x14ac:dyDescent="0.2">
      <c r="A7240" s="597">
        <v>43556</v>
      </c>
      <c r="B7240" s="41" t="s">
        <v>1400</v>
      </c>
      <c r="C7240" s="41" t="s">
        <v>3145</v>
      </c>
      <c r="D7240" s="108" t="s">
        <v>4888</v>
      </c>
      <c r="E7240" s="58">
        <v>90800</v>
      </c>
      <c r="F7240" s="58"/>
      <c r="G7240" s="58">
        <f t="shared" si="118"/>
        <v>-90800</v>
      </c>
      <c r="H7240" s="121" t="s">
        <v>4761</v>
      </c>
    </row>
    <row r="7241" spans="1:8" ht="15" x14ac:dyDescent="0.2">
      <c r="A7241" s="597">
        <v>43556</v>
      </c>
      <c r="B7241" s="41" t="s">
        <v>25</v>
      </c>
      <c r="C7241" s="41" t="s">
        <v>2428</v>
      </c>
      <c r="D7241" s="108" t="s">
        <v>4889</v>
      </c>
      <c r="E7241" s="58">
        <v>13500</v>
      </c>
      <c r="F7241" s="58"/>
      <c r="G7241" s="58">
        <f t="shared" si="118"/>
        <v>-13500</v>
      </c>
      <c r="H7241" s="121" t="s">
        <v>4761</v>
      </c>
    </row>
    <row r="7242" spans="1:8" ht="15" x14ac:dyDescent="0.2">
      <c r="A7242" s="597">
        <v>43556</v>
      </c>
      <c r="B7242" s="41" t="s">
        <v>2933</v>
      </c>
      <c r="C7242" s="41" t="s">
        <v>3145</v>
      </c>
      <c r="D7242" s="108" t="s">
        <v>392</v>
      </c>
      <c r="E7242" s="58">
        <v>1140</v>
      </c>
      <c r="F7242" s="58"/>
      <c r="G7242" s="58">
        <f t="shared" si="118"/>
        <v>-1140</v>
      </c>
      <c r="H7242" s="121" t="s">
        <v>4761</v>
      </c>
    </row>
    <row r="7243" spans="1:8" ht="15" x14ac:dyDescent="0.2">
      <c r="A7243" s="597">
        <v>43556</v>
      </c>
      <c r="B7243" s="41" t="s">
        <v>1400</v>
      </c>
      <c r="C7243" s="41" t="s">
        <v>3145</v>
      </c>
      <c r="D7243" s="108" t="s">
        <v>4694</v>
      </c>
      <c r="E7243" s="58">
        <v>3440</v>
      </c>
      <c r="F7243" s="58"/>
      <c r="G7243" s="58">
        <f t="shared" si="118"/>
        <v>-3440</v>
      </c>
      <c r="H7243" s="121" t="s">
        <v>4761</v>
      </c>
    </row>
    <row r="7244" spans="1:8" ht="15" x14ac:dyDescent="0.2">
      <c r="A7244" s="597">
        <v>43556</v>
      </c>
      <c r="B7244" s="41" t="s">
        <v>2933</v>
      </c>
      <c r="C7244" s="41" t="s">
        <v>3145</v>
      </c>
      <c r="D7244" s="108" t="s">
        <v>4694</v>
      </c>
      <c r="E7244" s="58">
        <v>43100</v>
      </c>
      <c r="F7244" s="58"/>
      <c r="G7244" s="58">
        <f t="shared" si="118"/>
        <v>-43100</v>
      </c>
      <c r="H7244" s="121" t="s">
        <v>4761</v>
      </c>
    </row>
    <row r="7245" spans="1:8" ht="15" x14ac:dyDescent="0.2">
      <c r="A7245" s="597">
        <v>43556</v>
      </c>
      <c r="B7245" s="41" t="s">
        <v>2933</v>
      </c>
      <c r="C7245" s="41" t="s">
        <v>3145</v>
      </c>
      <c r="D7245" s="108" t="s">
        <v>1495</v>
      </c>
      <c r="E7245" s="58">
        <v>5520</v>
      </c>
      <c r="F7245" s="58"/>
      <c r="G7245" s="58">
        <f t="shared" si="118"/>
        <v>-5520</v>
      </c>
      <c r="H7245" s="121" t="s">
        <v>4761</v>
      </c>
    </row>
    <row r="7246" spans="1:8" ht="15" x14ac:dyDescent="0.2">
      <c r="A7246" s="597">
        <v>43556</v>
      </c>
      <c r="B7246" s="41" t="s">
        <v>2652</v>
      </c>
      <c r="C7246" s="41" t="s">
        <v>3145</v>
      </c>
      <c r="D7246" s="108" t="s">
        <v>4694</v>
      </c>
      <c r="E7246" s="58">
        <v>4350</v>
      </c>
      <c r="F7246" s="58"/>
      <c r="G7246" s="58">
        <f t="shared" si="118"/>
        <v>-4350</v>
      </c>
      <c r="H7246" s="121" t="s">
        <v>4761</v>
      </c>
    </row>
    <row r="7247" spans="1:8" ht="15" x14ac:dyDescent="0.2">
      <c r="A7247" s="597">
        <v>43556</v>
      </c>
      <c r="B7247" s="41" t="s">
        <v>2652</v>
      </c>
      <c r="C7247" s="41" t="s">
        <v>286</v>
      </c>
      <c r="D7247" s="108" t="s">
        <v>4890</v>
      </c>
      <c r="E7247" s="58">
        <v>6000</v>
      </c>
      <c r="F7247" s="58"/>
      <c r="G7247" s="58">
        <f t="shared" si="118"/>
        <v>-6000</v>
      </c>
      <c r="H7247" s="121" t="s">
        <v>4761</v>
      </c>
    </row>
    <row r="7248" spans="1:8" ht="15" x14ac:dyDescent="0.2">
      <c r="A7248" s="597">
        <v>43556</v>
      </c>
      <c r="B7248" s="41" t="s">
        <v>2933</v>
      </c>
      <c r="C7248" s="41" t="s">
        <v>286</v>
      </c>
      <c r="D7248" s="108" t="s">
        <v>4890</v>
      </c>
      <c r="E7248" s="58">
        <v>6000</v>
      </c>
      <c r="F7248" s="58"/>
      <c r="G7248" s="58">
        <f t="shared" si="118"/>
        <v>-6000</v>
      </c>
      <c r="H7248" s="121" t="s">
        <v>4761</v>
      </c>
    </row>
    <row r="7249" spans="1:8" ht="15" x14ac:dyDescent="0.2">
      <c r="A7249" s="597">
        <v>43556</v>
      </c>
      <c r="B7249" s="41" t="s">
        <v>1400</v>
      </c>
      <c r="C7249" s="41" t="s">
        <v>286</v>
      </c>
      <c r="D7249" s="108" t="s">
        <v>4890</v>
      </c>
      <c r="E7249" s="58">
        <v>4000</v>
      </c>
      <c r="F7249" s="58"/>
      <c r="G7249" s="58">
        <f t="shared" si="118"/>
        <v>-4000</v>
      </c>
      <c r="H7249" s="121" t="s">
        <v>4761</v>
      </c>
    </row>
    <row r="7250" spans="1:8" ht="15" x14ac:dyDescent="0.2">
      <c r="A7250" s="597">
        <v>43556</v>
      </c>
      <c r="B7250" s="41" t="s">
        <v>3622</v>
      </c>
      <c r="C7250" s="41" t="s">
        <v>790</v>
      </c>
      <c r="D7250" s="108" t="s">
        <v>3369</v>
      </c>
      <c r="E7250" s="58">
        <v>900</v>
      </c>
      <c r="F7250" s="58"/>
      <c r="G7250" s="58">
        <f t="shared" si="118"/>
        <v>-900</v>
      </c>
      <c r="H7250" s="121" t="s">
        <v>4761</v>
      </c>
    </row>
    <row r="7251" spans="1:8" ht="15" x14ac:dyDescent="0.2">
      <c r="A7251" s="597">
        <v>43556</v>
      </c>
      <c r="B7251" s="41" t="s">
        <v>2933</v>
      </c>
      <c r="C7251" s="41" t="s">
        <v>3145</v>
      </c>
      <c r="D7251" s="108" t="s">
        <v>4874</v>
      </c>
      <c r="E7251" s="58">
        <v>1000</v>
      </c>
      <c r="F7251" s="58"/>
      <c r="G7251" s="58">
        <f t="shared" si="118"/>
        <v>-1000</v>
      </c>
      <c r="H7251" s="121" t="s">
        <v>4761</v>
      </c>
    </row>
    <row r="7252" spans="1:8" ht="15" x14ac:dyDescent="0.2">
      <c r="A7252" s="597">
        <v>43556</v>
      </c>
      <c r="B7252" s="41" t="s">
        <v>1400</v>
      </c>
      <c r="C7252" s="41" t="s">
        <v>3145</v>
      </c>
      <c r="D7252" s="108" t="s">
        <v>4694</v>
      </c>
      <c r="E7252" s="58">
        <v>8500</v>
      </c>
      <c r="F7252" s="58"/>
      <c r="G7252" s="58">
        <f t="shared" si="118"/>
        <v>-8500</v>
      </c>
      <c r="H7252" s="121" t="s">
        <v>4761</v>
      </c>
    </row>
    <row r="7253" spans="1:8" ht="15" x14ac:dyDescent="0.2">
      <c r="A7253" s="597">
        <v>43556</v>
      </c>
      <c r="B7253" s="41" t="s">
        <v>2933</v>
      </c>
      <c r="C7253" s="41" t="s">
        <v>3145</v>
      </c>
      <c r="D7253" s="108" t="s">
        <v>4694</v>
      </c>
      <c r="E7253" s="58">
        <v>13700</v>
      </c>
      <c r="F7253" s="58"/>
      <c r="G7253" s="58">
        <f t="shared" si="118"/>
        <v>-13700</v>
      </c>
      <c r="H7253" s="121" t="s">
        <v>4761</v>
      </c>
    </row>
    <row r="7254" spans="1:8" ht="15" x14ac:dyDescent="0.2">
      <c r="A7254" s="597">
        <v>43563</v>
      </c>
      <c r="B7254" s="41" t="s">
        <v>4721</v>
      </c>
      <c r="C7254" s="41" t="s">
        <v>3145</v>
      </c>
      <c r="D7254" s="108" t="s">
        <v>4283</v>
      </c>
      <c r="E7254" s="58">
        <v>56062</v>
      </c>
      <c r="F7254" s="58"/>
      <c r="G7254" s="58">
        <f t="shared" si="118"/>
        <v>-56062</v>
      </c>
      <c r="H7254" s="121" t="s">
        <v>4761</v>
      </c>
    </row>
    <row r="7255" spans="1:8" ht="15" x14ac:dyDescent="0.2">
      <c r="A7255" s="597">
        <v>43563</v>
      </c>
      <c r="B7255" s="41" t="s">
        <v>2652</v>
      </c>
      <c r="C7255" s="41" t="s">
        <v>3145</v>
      </c>
      <c r="D7255" s="108" t="s">
        <v>3650</v>
      </c>
      <c r="E7255" s="58">
        <v>45000</v>
      </c>
      <c r="F7255" s="58"/>
      <c r="G7255" s="58">
        <f t="shared" si="118"/>
        <v>-45000</v>
      </c>
      <c r="H7255" s="121" t="s">
        <v>4761</v>
      </c>
    </row>
    <row r="7256" spans="1:8" ht="15" x14ac:dyDescent="0.2">
      <c r="A7256" s="597">
        <v>43563</v>
      </c>
      <c r="B7256" s="41" t="s">
        <v>1400</v>
      </c>
      <c r="C7256" s="41" t="s">
        <v>790</v>
      </c>
      <c r="D7256" s="108" t="s">
        <v>3369</v>
      </c>
      <c r="E7256" s="58">
        <v>2160</v>
      </c>
      <c r="F7256" s="58"/>
      <c r="G7256" s="58">
        <f t="shared" si="118"/>
        <v>-2160</v>
      </c>
      <c r="H7256" s="121" t="s">
        <v>4761</v>
      </c>
    </row>
    <row r="7257" spans="1:8" ht="15" x14ac:dyDescent="0.2">
      <c r="A7257" s="597">
        <v>43563</v>
      </c>
      <c r="B7257" s="41" t="s">
        <v>25</v>
      </c>
      <c r="C7257" s="41" t="s">
        <v>2428</v>
      </c>
      <c r="D7257" s="108" t="s">
        <v>3056</v>
      </c>
      <c r="E7257" s="58">
        <v>16663</v>
      </c>
      <c r="F7257" s="58"/>
      <c r="G7257" s="58">
        <f t="shared" si="118"/>
        <v>-16663</v>
      </c>
      <c r="H7257" s="121" t="s">
        <v>4761</v>
      </c>
    </row>
    <row r="7258" spans="1:8" ht="15" x14ac:dyDescent="0.2">
      <c r="A7258" s="597">
        <v>43568</v>
      </c>
      <c r="B7258" s="41" t="s">
        <v>1400</v>
      </c>
      <c r="C7258" s="41" t="s">
        <v>3145</v>
      </c>
      <c r="D7258" s="108" t="s">
        <v>4888</v>
      </c>
      <c r="E7258" s="58">
        <v>82896</v>
      </c>
      <c r="F7258" s="58"/>
      <c r="G7258" s="58">
        <f t="shared" si="118"/>
        <v>-82896</v>
      </c>
      <c r="H7258" s="121" t="s">
        <v>4761</v>
      </c>
    </row>
    <row r="7259" spans="1:8" ht="15" x14ac:dyDescent="0.2">
      <c r="A7259" s="597">
        <v>43568</v>
      </c>
      <c r="B7259" s="41" t="s">
        <v>2933</v>
      </c>
      <c r="C7259" s="41" t="s">
        <v>3145</v>
      </c>
      <c r="D7259" s="108" t="s">
        <v>3056</v>
      </c>
      <c r="E7259" s="58">
        <v>9170</v>
      </c>
      <c r="F7259" s="58"/>
      <c r="G7259" s="58">
        <f t="shared" si="118"/>
        <v>-9170</v>
      </c>
      <c r="H7259" s="121" t="s">
        <v>4761</v>
      </c>
    </row>
    <row r="7260" spans="1:8" ht="15" x14ac:dyDescent="0.2">
      <c r="A7260" s="597">
        <v>43568</v>
      </c>
      <c r="B7260" s="41" t="s">
        <v>25</v>
      </c>
      <c r="C7260" s="41" t="s">
        <v>2428</v>
      </c>
      <c r="D7260" s="108" t="s">
        <v>3056</v>
      </c>
      <c r="E7260" s="58">
        <v>6620</v>
      </c>
      <c r="F7260" s="58"/>
      <c r="G7260" s="58">
        <f t="shared" si="118"/>
        <v>-6620</v>
      </c>
      <c r="H7260" s="121" t="s">
        <v>4761</v>
      </c>
    </row>
    <row r="7261" spans="1:8" ht="15" x14ac:dyDescent="0.2">
      <c r="A7261" s="597">
        <v>43568</v>
      </c>
      <c r="B7261" s="41" t="s">
        <v>25</v>
      </c>
      <c r="C7261" s="41" t="s">
        <v>4428</v>
      </c>
      <c r="D7261" s="108" t="s">
        <v>370</v>
      </c>
      <c r="E7261" s="58">
        <v>670</v>
      </c>
      <c r="F7261" s="58"/>
      <c r="G7261" s="58">
        <f t="shared" si="118"/>
        <v>-670</v>
      </c>
      <c r="H7261" s="121" t="s">
        <v>4761</v>
      </c>
    </row>
    <row r="7262" spans="1:8" ht="15" x14ac:dyDescent="0.2">
      <c r="A7262" s="597">
        <v>43573</v>
      </c>
      <c r="B7262" s="41" t="s">
        <v>1400</v>
      </c>
      <c r="C7262" s="41" t="s">
        <v>3033</v>
      </c>
      <c r="D7262" s="108" t="s">
        <v>370</v>
      </c>
      <c r="E7262" s="58">
        <v>4000</v>
      </c>
      <c r="F7262" s="58"/>
      <c r="G7262" s="58">
        <f t="shared" si="118"/>
        <v>-4000</v>
      </c>
      <c r="H7262" s="121" t="s">
        <v>4761</v>
      </c>
    </row>
    <row r="7263" spans="1:8" ht="15" x14ac:dyDescent="0.2">
      <c r="A7263" s="597">
        <v>43573</v>
      </c>
      <c r="B7263" s="41" t="s">
        <v>2933</v>
      </c>
      <c r="C7263" s="41" t="s">
        <v>3145</v>
      </c>
      <c r="D7263" s="108" t="s">
        <v>900</v>
      </c>
      <c r="E7263" s="58">
        <v>1600</v>
      </c>
      <c r="F7263" s="58"/>
      <c r="G7263" s="58">
        <f t="shared" si="118"/>
        <v>-1600</v>
      </c>
      <c r="H7263" s="121" t="s">
        <v>4761</v>
      </c>
    </row>
    <row r="7264" spans="1:8" ht="15" x14ac:dyDescent="0.2">
      <c r="A7264" s="597">
        <v>43573</v>
      </c>
      <c r="B7264" s="41" t="s">
        <v>2652</v>
      </c>
      <c r="C7264" s="41" t="s">
        <v>3145</v>
      </c>
      <c r="D7264" s="108" t="s">
        <v>4891</v>
      </c>
      <c r="E7264" s="58">
        <v>1430</v>
      </c>
      <c r="F7264" s="58"/>
      <c r="G7264" s="58">
        <f t="shared" si="118"/>
        <v>-1430</v>
      </c>
      <c r="H7264" s="121" t="s">
        <v>4761</v>
      </c>
    </row>
    <row r="7265" spans="1:8" ht="15" x14ac:dyDescent="0.2">
      <c r="A7265" s="597">
        <v>43574</v>
      </c>
      <c r="B7265" s="41" t="s">
        <v>16</v>
      </c>
      <c r="C7265" s="41" t="s">
        <v>3364</v>
      </c>
      <c r="D7265" s="108" t="s">
        <v>370</v>
      </c>
      <c r="E7265" s="58">
        <v>4200</v>
      </c>
      <c r="F7265" s="58"/>
      <c r="G7265" s="58">
        <f t="shared" si="118"/>
        <v>-4200</v>
      </c>
      <c r="H7265" s="121" t="s">
        <v>4761</v>
      </c>
    </row>
    <row r="7266" spans="1:8" ht="15" x14ac:dyDescent="0.2">
      <c r="A7266" s="597">
        <v>43574</v>
      </c>
      <c r="B7266" s="41" t="s">
        <v>2933</v>
      </c>
      <c r="C7266" s="41" t="s">
        <v>4672</v>
      </c>
      <c r="D7266" s="108" t="s">
        <v>4892</v>
      </c>
      <c r="E7266" s="58">
        <v>6000</v>
      </c>
      <c r="F7266" s="58"/>
      <c r="G7266" s="58">
        <f t="shared" si="118"/>
        <v>-6000</v>
      </c>
      <c r="H7266" s="121" t="s">
        <v>4761</v>
      </c>
    </row>
    <row r="7267" spans="1:8" ht="15" x14ac:dyDescent="0.2">
      <c r="A7267" s="597">
        <v>43575</v>
      </c>
      <c r="B7267" s="41" t="s">
        <v>2652</v>
      </c>
      <c r="C7267" s="41" t="s">
        <v>3145</v>
      </c>
      <c r="D7267" s="108" t="s">
        <v>4893</v>
      </c>
      <c r="E7267" s="58">
        <v>50000</v>
      </c>
      <c r="F7267" s="58"/>
      <c r="G7267" s="58">
        <f t="shared" si="118"/>
        <v>-50000</v>
      </c>
      <c r="H7267" s="121" t="s">
        <v>4761</v>
      </c>
    </row>
    <row r="7268" spans="1:8" ht="15" x14ac:dyDescent="0.2">
      <c r="A7268" s="597">
        <v>43575</v>
      </c>
      <c r="B7268" s="41" t="s">
        <v>4553</v>
      </c>
      <c r="C7268" s="41" t="s">
        <v>3145</v>
      </c>
      <c r="D7268" s="108" t="s">
        <v>4893</v>
      </c>
      <c r="E7268" s="58">
        <v>10902</v>
      </c>
      <c r="F7268" s="58"/>
      <c r="G7268" s="58">
        <f t="shared" si="118"/>
        <v>-10902</v>
      </c>
      <c r="H7268" s="121" t="s">
        <v>4761</v>
      </c>
    </row>
    <row r="7269" spans="1:8" ht="15" x14ac:dyDescent="0.2">
      <c r="A7269" s="597">
        <v>43575</v>
      </c>
      <c r="B7269" s="41" t="s">
        <v>25</v>
      </c>
      <c r="C7269" s="41" t="s">
        <v>2428</v>
      </c>
      <c r="D7269" s="108" t="s">
        <v>4894</v>
      </c>
      <c r="E7269" s="58">
        <v>2650</v>
      </c>
      <c r="F7269" s="58"/>
      <c r="G7269" s="58">
        <f t="shared" si="118"/>
        <v>-2650</v>
      </c>
      <c r="H7269" s="121" t="s">
        <v>4761</v>
      </c>
    </row>
    <row r="7270" spans="1:8" ht="15" x14ac:dyDescent="0.2">
      <c r="A7270" s="597">
        <v>43575</v>
      </c>
      <c r="B7270" s="41" t="s">
        <v>2933</v>
      </c>
      <c r="C7270" s="41" t="s">
        <v>3145</v>
      </c>
      <c r="D7270" s="108" t="s">
        <v>4895</v>
      </c>
      <c r="E7270" s="58">
        <v>9200</v>
      </c>
      <c r="F7270" s="58"/>
      <c r="G7270" s="58">
        <f t="shared" si="118"/>
        <v>-9200</v>
      </c>
      <c r="H7270" s="121" t="s">
        <v>4761</v>
      </c>
    </row>
    <row r="7271" spans="1:8" ht="15" x14ac:dyDescent="0.2">
      <c r="A7271" s="597">
        <v>43575</v>
      </c>
      <c r="B7271" s="41" t="s">
        <v>2652</v>
      </c>
      <c r="C7271" s="41" t="s">
        <v>3145</v>
      </c>
      <c r="D7271" s="108" t="s">
        <v>4895</v>
      </c>
      <c r="E7271" s="58">
        <v>17000</v>
      </c>
      <c r="F7271" s="58"/>
      <c r="G7271" s="58">
        <f t="shared" si="118"/>
        <v>-17000</v>
      </c>
      <c r="H7271" s="121" t="s">
        <v>4761</v>
      </c>
    </row>
    <row r="7272" spans="1:8" ht="15" x14ac:dyDescent="0.2">
      <c r="A7272" s="597">
        <v>43575</v>
      </c>
      <c r="B7272" s="41" t="s">
        <v>37</v>
      </c>
      <c r="C7272" s="41" t="s">
        <v>3145</v>
      </c>
      <c r="D7272" s="108" t="s">
        <v>4895</v>
      </c>
      <c r="E7272" s="58">
        <v>2000</v>
      </c>
      <c r="F7272" s="58"/>
      <c r="G7272" s="58">
        <f t="shared" si="118"/>
        <v>-2000</v>
      </c>
      <c r="H7272" s="121" t="s">
        <v>4761</v>
      </c>
    </row>
    <row r="7273" spans="1:8" ht="15" x14ac:dyDescent="0.2">
      <c r="A7273" s="597">
        <v>43575</v>
      </c>
      <c r="B7273" s="41" t="s">
        <v>4721</v>
      </c>
      <c r="C7273" s="41" t="s">
        <v>3145</v>
      </c>
      <c r="D7273" s="108" t="s">
        <v>4875</v>
      </c>
      <c r="E7273" s="58">
        <v>45225</v>
      </c>
      <c r="F7273" s="58"/>
      <c r="G7273" s="58">
        <f t="shared" si="118"/>
        <v>-45225</v>
      </c>
      <c r="H7273" s="121" t="s">
        <v>4761</v>
      </c>
    </row>
    <row r="7274" spans="1:8" ht="15" x14ac:dyDescent="0.2">
      <c r="A7274" s="597">
        <v>43578</v>
      </c>
      <c r="B7274" s="41" t="s">
        <v>2933</v>
      </c>
      <c r="C7274" s="41" t="s">
        <v>3145</v>
      </c>
      <c r="D7274" s="108" t="s">
        <v>4896</v>
      </c>
      <c r="E7274" s="58">
        <v>6000</v>
      </c>
      <c r="F7274" s="58"/>
      <c r="G7274" s="58">
        <f t="shared" si="118"/>
        <v>-6000</v>
      </c>
      <c r="H7274" s="121" t="s">
        <v>4761</v>
      </c>
    </row>
    <row r="7275" spans="1:8" ht="15" x14ac:dyDescent="0.2">
      <c r="A7275" s="597">
        <v>43578</v>
      </c>
      <c r="B7275" s="41" t="s">
        <v>2933</v>
      </c>
      <c r="C7275" s="41" t="s">
        <v>3145</v>
      </c>
      <c r="D7275" s="108" t="s">
        <v>4897</v>
      </c>
      <c r="E7275" s="58">
        <v>22000</v>
      </c>
      <c r="F7275" s="58"/>
      <c r="G7275" s="58">
        <f t="shared" ref="G7275:G7338" si="119">F7275-E7275</f>
        <v>-22000</v>
      </c>
      <c r="H7275" s="121" t="s">
        <v>4761</v>
      </c>
    </row>
    <row r="7276" spans="1:8" ht="15" x14ac:dyDescent="0.2">
      <c r="A7276" s="597">
        <v>43578</v>
      </c>
      <c r="B7276" s="41" t="s">
        <v>2652</v>
      </c>
      <c r="C7276" s="41" t="s">
        <v>3145</v>
      </c>
      <c r="D7276" s="108" t="s">
        <v>4898</v>
      </c>
      <c r="E7276" s="58">
        <v>72600</v>
      </c>
      <c r="F7276" s="58"/>
      <c r="G7276" s="58">
        <f t="shared" si="119"/>
        <v>-72600</v>
      </c>
      <c r="H7276" s="121" t="s">
        <v>4761</v>
      </c>
    </row>
    <row r="7277" spans="1:8" ht="15" x14ac:dyDescent="0.2">
      <c r="A7277" s="597">
        <v>43580</v>
      </c>
      <c r="B7277" s="41" t="s">
        <v>2652</v>
      </c>
      <c r="C7277" s="41" t="s">
        <v>3145</v>
      </c>
      <c r="D7277" s="108" t="s">
        <v>392</v>
      </c>
      <c r="E7277" s="58">
        <v>5750</v>
      </c>
      <c r="F7277" s="58"/>
      <c r="G7277" s="58">
        <f t="shared" si="119"/>
        <v>-5750</v>
      </c>
      <c r="H7277" s="121" t="s">
        <v>4761</v>
      </c>
    </row>
    <row r="7278" spans="1:8" ht="15" x14ac:dyDescent="0.2">
      <c r="A7278" s="597">
        <v>43580</v>
      </c>
      <c r="B7278" s="41" t="s">
        <v>2933</v>
      </c>
      <c r="C7278" s="41" t="s">
        <v>3145</v>
      </c>
      <c r="D7278" s="108" t="s">
        <v>4899</v>
      </c>
      <c r="E7278" s="58">
        <v>5000</v>
      </c>
      <c r="F7278" s="58"/>
      <c r="G7278" s="58">
        <f t="shared" si="119"/>
        <v>-5000</v>
      </c>
      <c r="H7278" s="121" t="s">
        <v>4761</v>
      </c>
    </row>
    <row r="7279" spans="1:8" ht="15" x14ac:dyDescent="0.2">
      <c r="A7279" s="597">
        <v>43580</v>
      </c>
      <c r="B7279" s="41" t="s">
        <v>2933</v>
      </c>
      <c r="C7279" s="41" t="s">
        <v>3145</v>
      </c>
      <c r="D7279" s="108" t="s">
        <v>2118</v>
      </c>
      <c r="E7279" s="58">
        <v>1000</v>
      </c>
      <c r="F7279" s="58"/>
      <c r="G7279" s="58">
        <f t="shared" si="119"/>
        <v>-1000</v>
      </c>
      <c r="H7279" s="121" t="s">
        <v>4761</v>
      </c>
    </row>
    <row r="7280" spans="1:8" ht="15" x14ac:dyDescent="0.2">
      <c r="A7280" s="597">
        <v>43580</v>
      </c>
      <c r="B7280" s="41" t="s">
        <v>1400</v>
      </c>
      <c r="C7280" s="41" t="s">
        <v>3033</v>
      </c>
      <c r="D7280" s="108" t="s">
        <v>370</v>
      </c>
      <c r="E7280" s="58">
        <v>4000</v>
      </c>
      <c r="F7280" s="58"/>
      <c r="G7280" s="58">
        <f t="shared" si="119"/>
        <v>-4000</v>
      </c>
      <c r="H7280" s="121" t="s">
        <v>4761</v>
      </c>
    </row>
    <row r="7281" spans="1:9" ht="15" x14ac:dyDescent="0.2">
      <c r="A7281" s="597">
        <v>43580</v>
      </c>
      <c r="B7281" s="41" t="s">
        <v>1400</v>
      </c>
      <c r="C7281" s="41" t="s">
        <v>790</v>
      </c>
      <c r="D7281" s="108" t="s">
        <v>3369</v>
      </c>
      <c r="E7281" s="58">
        <v>540</v>
      </c>
      <c r="F7281" s="58"/>
      <c r="G7281" s="58">
        <f t="shared" si="119"/>
        <v>-540</v>
      </c>
      <c r="H7281" s="121" t="s">
        <v>4761</v>
      </c>
    </row>
    <row r="7282" spans="1:9" ht="15" x14ac:dyDescent="0.2">
      <c r="A7282" s="597">
        <v>43580</v>
      </c>
      <c r="B7282" s="41" t="s">
        <v>4721</v>
      </c>
      <c r="C7282" s="41" t="s">
        <v>3145</v>
      </c>
      <c r="D7282" s="108" t="s">
        <v>3977</v>
      </c>
      <c r="E7282" s="58">
        <v>6250</v>
      </c>
      <c r="F7282" s="58"/>
      <c r="G7282" s="58">
        <f t="shared" si="119"/>
        <v>-6250</v>
      </c>
      <c r="H7282" s="121" t="s">
        <v>4761</v>
      </c>
    </row>
    <row r="7283" spans="1:9" ht="15" x14ac:dyDescent="0.2">
      <c r="A7283" s="597">
        <v>43584</v>
      </c>
      <c r="B7283" s="41" t="s">
        <v>2933</v>
      </c>
      <c r="C7283" s="41" t="s">
        <v>3145</v>
      </c>
      <c r="D7283" s="108" t="s">
        <v>4900</v>
      </c>
      <c r="E7283" s="58">
        <v>23000</v>
      </c>
      <c r="F7283" s="58"/>
      <c r="G7283" s="58">
        <f t="shared" si="119"/>
        <v>-23000</v>
      </c>
      <c r="H7283" s="121" t="s">
        <v>4761</v>
      </c>
    </row>
    <row r="7284" spans="1:9" ht="15" x14ac:dyDescent="0.2">
      <c r="A7284" s="597">
        <v>43584</v>
      </c>
      <c r="B7284" s="41" t="s">
        <v>2933</v>
      </c>
      <c r="C7284" s="41" t="s">
        <v>286</v>
      </c>
      <c r="D7284" s="108" t="s">
        <v>4901</v>
      </c>
      <c r="E7284" s="58">
        <v>2500</v>
      </c>
      <c r="F7284" s="58"/>
      <c r="G7284" s="58">
        <f t="shared" si="119"/>
        <v>-2500</v>
      </c>
      <c r="H7284" s="121" t="s">
        <v>4761</v>
      </c>
    </row>
    <row r="7285" spans="1:9" ht="15" x14ac:dyDescent="0.2">
      <c r="A7285" s="597">
        <v>43584</v>
      </c>
      <c r="B7285" s="41" t="s">
        <v>2652</v>
      </c>
      <c r="C7285" s="41" t="s">
        <v>286</v>
      </c>
      <c r="D7285" s="108" t="s">
        <v>4901</v>
      </c>
      <c r="E7285" s="58">
        <v>2500</v>
      </c>
      <c r="F7285" s="58"/>
      <c r="G7285" s="58">
        <f t="shared" si="119"/>
        <v>-2500</v>
      </c>
      <c r="H7285" s="121" t="s">
        <v>4761</v>
      </c>
    </row>
    <row r="7286" spans="1:9" ht="15" x14ac:dyDescent="0.2">
      <c r="A7286" s="597">
        <v>43585</v>
      </c>
      <c r="B7286" s="41" t="s">
        <v>2933</v>
      </c>
      <c r="C7286" s="41" t="s">
        <v>3145</v>
      </c>
      <c r="D7286" s="108" t="s">
        <v>4535</v>
      </c>
      <c r="E7286" s="58">
        <v>76800</v>
      </c>
      <c r="F7286" s="58"/>
      <c r="G7286" s="58">
        <f t="shared" si="119"/>
        <v>-76800</v>
      </c>
      <c r="H7286" s="121" t="s">
        <v>4761</v>
      </c>
    </row>
    <row r="7287" spans="1:9" ht="15" x14ac:dyDescent="0.2">
      <c r="A7287" s="597">
        <v>43585</v>
      </c>
      <c r="B7287" s="41" t="s">
        <v>2933</v>
      </c>
      <c r="C7287" s="41" t="s">
        <v>3145</v>
      </c>
      <c r="D7287" s="108" t="s">
        <v>4535</v>
      </c>
      <c r="E7287" s="58">
        <v>70550</v>
      </c>
      <c r="F7287" s="58"/>
      <c r="G7287" s="58">
        <f t="shared" si="119"/>
        <v>-70550</v>
      </c>
      <c r="H7287" s="121" t="s">
        <v>4761</v>
      </c>
    </row>
    <row r="7288" spans="1:9" ht="15" x14ac:dyDescent="0.2">
      <c r="A7288" s="602">
        <v>43557</v>
      </c>
      <c r="B7288" s="174" t="s">
        <v>1400</v>
      </c>
      <c r="C7288" s="174" t="s">
        <v>2338</v>
      </c>
      <c r="D7288" s="118" t="s">
        <v>4774</v>
      </c>
      <c r="E7288" s="236">
        <v>100000</v>
      </c>
      <c r="F7288" s="236"/>
      <c r="G7288" s="236">
        <f t="shared" si="119"/>
        <v>-100000</v>
      </c>
      <c r="H7288" s="244" t="s">
        <v>4761</v>
      </c>
      <c r="I7288" s="40"/>
    </row>
    <row r="7289" spans="1:9" ht="15" x14ac:dyDescent="0.2">
      <c r="A7289" s="602">
        <v>43557</v>
      </c>
      <c r="B7289" s="174" t="s">
        <v>1400</v>
      </c>
      <c r="C7289" s="174" t="s">
        <v>2338</v>
      </c>
      <c r="D7289" s="118" t="s">
        <v>4775</v>
      </c>
      <c r="E7289" s="236">
        <v>100000</v>
      </c>
      <c r="F7289" s="236"/>
      <c r="G7289" s="236">
        <f t="shared" si="119"/>
        <v>-100000</v>
      </c>
      <c r="H7289" s="244" t="s">
        <v>4761</v>
      </c>
      <c r="I7289" s="40"/>
    </row>
    <row r="7290" spans="1:9" ht="15" x14ac:dyDescent="0.2">
      <c r="A7290" s="602">
        <v>43558</v>
      </c>
      <c r="B7290" s="174" t="s">
        <v>2933</v>
      </c>
      <c r="C7290" s="174" t="s">
        <v>1875</v>
      </c>
      <c r="D7290" s="118" t="s">
        <v>4777</v>
      </c>
      <c r="E7290" s="236">
        <v>40000</v>
      </c>
      <c r="F7290" s="236"/>
      <c r="G7290" s="236">
        <f t="shared" si="119"/>
        <v>-40000</v>
      </c>
      <c r="H7290" s="244" t="s">
        <v>4761</v>
      </c>
      <c r="I7290" s="40"/>
    </row>
    <row r="7291" spans="1:9" ht="15" x14ac:dyDescent="0.2">
      <c r="A7291" s="602">
        <v>43558</v>
      </c>
      <c r="B7291" s="174" t="s">
        <v>1400</v>
      </c>
      <c r="C7291" s="174" t="s">
        <v>1875</v>
      </c>
      <c r="D7291" s="118" t="s">
        <v>4776</v>
      </c>
      <c r="E7291" s="236">
        <v>35000</v>
      </c>
      <c r="F7291" s="236"/>
      <c r="G7291" s="236">
        <f t="shared" si="119"/>
        <v>-35000</v>
      </c>
      <c r="H7291" s="244" t="s">
        <v>4761</v>
      </c>
      <c r="I7291" s="40"/>
    </row>
    <row r="7292" spans="1:9" ht="24" x14ac:dyDescent="0.2">
      <c r="A7292" s="602">
        <v>43558</v>
      </c>
      <c r="B7292" s="174" t="s">
        <v>2652</v>
      </c>
      <c r="C7292" s="174" t="s">
        <v>4385</v>
      </c>
      <c r="D7292" s="118" t="s">
        <v>4778</v>
      </c>
      <c r="E7292" s="236">
        <v>25000</v>
      </c>
      <c r="F7292" s="236"/>
      <c r="G7292" s="236">
        <f t="shared" si="119"/>
        <v>-25000</v>
      </c>
      <c r="H7292" s="244" t="s">
        <v>4761</v>
      </c>
      <c r="I7292" s="40"/>
    </row>
    <row r="7293" spans="1:9" ht="15" x14ac:dyDescent="0.2">
      <c r="A7293" s="602">
        <v>43564</v>
      </c>
      <c r="B7293" s="174" t="s">
        <v>1400</v>
      </c>
      <c r="C7293" s="174" t="s">
        <v>4727</v>
      </c>
      <c r="D7293" s="118" t="s">
        <v>4782</v>
      </c>
      <c r="E7293" s="236">
        <v>200000</v>
      </c>
      <c r="F7293" s="236"/>
      <c r="G7293" s="236">
        <f t="shared" si="119"/>
        <v>-200000</v>
      </c>
      <c r="H7293" s="244" t="s">
        <v>4761</v>
      </c>
      <c r="I7293" s="40"/>
    </row>
    <row r="7294" spans="1:9" ht="15" x14ac:dyDescent="0.2">
      <c r="A7294" s="602">
        <v>43564</v>
      </c>
      <c r="B7294" s="174" t="s">
        <v>4721</v>
      </c>
      <c r="C7294" s="174" t="s">
        <v>4725</v>
      </c>
      <c r="D7294" s="118" t="s">
        <v>4829</v>
      </c>
      <c r="E7294" s="236">
        <v>72000</v>
      </c>
      <c r="F7294" s="236"/>
      <c r="G7294" s="236">
        <f t="shared" si="119"/>
        <v>-72000</v>
      </c>
      <c r="H7294" s="244" t="s">
        <v>4761</v>
      </c>
      <c r="I7294" s="40"/>
    </row>
    <row r="7295" spans="1:9" ht="24" x14ac:dyDescent="0.2">
      <c r="A7295" s="602">
        <v>43565</v>
      </c>
      <c r="B7295" s="174" t="s">
        <v>4721</v>
      </c>
      <c r="C7295" s="174" t="s">
        <v>2515</v>
      </c>
      <c r="D7295" s="118" t="s">
        <v>4853</v>
      </c>
      <c r="E7295" s="236">
        <v>124000</v>
      </c>
      <c r="F7295" s="236"/>
      <c r="G7295" s="236">
        <f t="shared" si="119"/>
        <v>-124000</v>
      </c>
      <c r="H7295" s="244" t="s">
        <v>4761</v>
      </c>
      <c r="I7295" s="40"/>
    </row>
    <row r="7296" spans="1:9" ht="15" x14ac:dyDescent="0.2">
      <c r="A7296" s="602">
        <v>43565</v>
      </c>
      <c r="B7296" s="174" t="s">
        <v>2933</v>
      </c>
      <c r="C7296" s="174" t="s">
        <v>4334</v>
      </c>
      <c r="D7296" s="118" t="s">
        <v>4783</v>
      </c>
      <c r="E7296" s="236">
        <v>76800</v>
      </c>
      <c r="F7296" s="236"/>
      <c r="G7296" s="236">
        <f t="shared" si="119"/>
        <v>-76800</v>
      </c>
      <c r="H7296" s="244" t="s">
        <v>4761</v>
      </c>
      <c r="I7296" s="40"/>
    </row>
    <row r="7297" spans="1:9" ht="15" x14ac:dyDescent="0.2">
      <c r="A7297" s="602">
        <v>43565</v>
      </c>
      <c r="B7297" s="174" t="s">
        <v>1400</v>
      </c>
      <c r="C7297" s="174" t="s">
        <v>2104</v>
      </c>
      <c r="D7297" s="118" t="s">
        <v>4784</v>
      </c>
      <c r="E7297" s="236">
        <v>73700</v>
      </c>
      <c r="F7297" s="236"/>
      <c r="G7297" s="236">
        <f t="shared" si="119"/>
        <v>-73700</v>
      </c>
      <c r="H7297" s="244" t="s">
        <v>4761</v>
      </c>
      <c r="I7297" s="40"/>
    </row>
    <row r="7298" spans="1:9" ht="15" x14ac:dyDescent="0.2">
      <c r="A7298" s="602">
        <v>43565</v>
      </c>
      <c r="B7298" s="174" t="s">
        <v>1400</v>
      </c>
      <c r="C7298" s="174" t="s">
        <v>4444</v>
      </c>
      <c r="D7298" s="118" t="s">
        <v>4785</v>
      </c>
      <c r="E7298" s="236">
        <v>300000</v>
      </c>
      <c r="F7298" s="236"/>
      <c r="G7298" s="236">
        <f t="shared" si="119"/>
        <v>-300000</v>
      </c>
      <c r="H7298" s="244" t="s">
        <v>4761</v>
      </c>
      <c r="I7298" s="40"/>
    </row>
    <row r="7299" spans="1:9" ht="15" x14ac:dyDescent="0.2">
      <c r="A7299" s="602">
        <v>43565</v>
      </c>
      <c r="B7299" s="174" t="s">
        <v>2933</v>
      </c>
      <c r="C7299" s="174" t="s">
        <v>6170</v>
      </c>
      <c r="D7299" s="118" t="s">
        <v>4786</v>
      </c>
      <c r="E7299" s="236">
        <v>28300</v>
      </c>
      <c r="F7299" s="236"/>
      <c r="G7299" s="236">
        <f t="shared" si="119"/>
        <v>-28300</v>
      </c>
      <c r="H7299" s="244" t="s">
        <v>4761</v>
      </c>
      <c r="I7299" s="40"/>
    </row>
    <row r="7300" spans="1:9" ht="15" x14ac:dyDescent="0.2">
      <c r="A7300" s="602">
        <v>43565</v>
      </c>
      <c r="B7300" s="174" t="s">
        <v>1400</v>
      </c>
      <c r="C7300" s="174" t="s">
        <v>929</v>
      </c>
      <c r="D7300" s="118" t="s">
        <v>4787</v>
      </c>
      <c r="E7300" s="236">
        <v>49540</v>
      </c>
      <c r="F7300" s="236"/>
      <c r="G7300" s="236">
        <f t="shared" si="119"/>
        <v>-49540</v>
      </c>
      <c r="H7300" s="244" t="s">
        <v>4761</v>
      </c>
      <c r="I7300" s="40"/>
    </row>
    <row r="7301" spans="1:9" ht="15" x14ac:dyDescent="0.2">
      <c r="A7301" s="602">
        <v>43565</v>
      </c>
      <c r="B7301" s="174" t="s">
        <v>4721</v>
      </c>
      <c r="C7301" s="174" t="s">
        <v>1875</v>
      </c>
      <c r="D7301" s="118" t="s">
        <v>4788</v>
      </c>
      <c r="E7301" s="236">
        <v>20000</v>
      </c>
      <c r="F7301" s="236"/>
      <c r="G7301" s="236">
        <f t="shared" si="119"/>
        <v>-20000</v>
      </c>
      <c r="H7301" s="244" t="s">
        <v>4761</v>
      </c>
      <c r="I7301" s="40"/>
    </row>
    <row r="7302" spans="1:9" ht="15" x14ac:dyDescent="0.2">
      <c r="A7302" s="602">
        <v>43570</v>
      </c>
      <c r="B7302" s="174" t="s">
        <v>4721</v>
      </c>
      <c r="C7302" s="174" t="s">
        <v>4684</v>
      </c>
      <c r="D7302" s="118" t="s">
        <v>4797</v>
      </c>
      <c r="E7302" s="236">
        <v>64000</v>
      </c>
      <c r="F7302" s="236"/>
      <c r="G7302" s="236">
        <f t="shared" si="119"/>
        <v>-64000</v>
      </c>
      <c r="H7302" s="244" t="s">
        <v>4761</v>
      </c>
      <c r="I7302" s="40"/>
    </row>
    <row r="7303" spans="1:9" ht="15" x14ac:dyDescent="0.2">
      <c r="A7303" s="602">
        <v>43570</v>
      </c>
      <c r="B7303" s="174" t="s">
        <v>4721</v>
      </c>
      <c r="C7303" s="174" t="s">
        <v>4798</v>
      </c>
      <c r="D7303" s="118" t="s">
        <v>4799</v>
      </c>
      <c r="E7303" s="236">
        <v>70000</v>
      </c>
      <c r="F7303" s="236"/>
      <c r="G7303" s="236">
        <f t="shared" si="119"/>
        <v>-70000</v>
      </c>
      <c r="H7303" s="244" t="s">
        <v>4761</v>
      </c>
      <c r="I7303" s="40"/>
    </row>
    <row r="7304" spans="1:9" ht="15" x14ac:dyDescent="0.2">
      <c r="A7304" s="602">
        <v>43570</v>
      </c>
      <c r="B7304" s="174" t="s">
        <v>2933</v>
      </c>
      <c r="C7304" s="174" t="s">
        <v>3011</v>
      </c>
      <c r="D7304" s="118" t="s">
        <v>4800</v>
      </c>
      <c r="E7304" s="236">
        <v>157740</v>
      </c>
      <c r="F7304" s="236"/>
      <c r="G7304" s="236">
        <f t="shared" si="119"/>
        <v>-157740</v>
      </c>
      <c r="H7304" s="244" t="s">
        <v>4761</v>
      </c>
      <c r="I7304" s="40"/>
    </row>
    <row r="7305" spans="1:9" ht="15" x14ac:dyDescent="0.2">
      <c r="A7305" s="602">
        <v>43570</v>
      </c>
      <c r="B7305" s="174" t="s">
        <v>2652</v>
      </c>
      <c r="C7305" s="174" t="s">
        <v>3011</v>
      </c>
      <c r="D7305" s="118" t="s">
        <v>4800</v>
      </c>
      <c r="E7305" s="236">
        <v>6800</v>
      </c>
      <c r="F7305" s="236"/>
      <c r="G7305" s="236">
        <f t="shared" si="119"/>
        <v>-6800</v>
      </c>
      <c r="H7305" s="244" t="s">
        <v>4761</v>
      </c>
      <c r="I7305" s="40"/>
    </row>
    <row r="7306" spans="1:9" ht="15" customHeight="1" x14ac:dyDescent="0.2">
      <c r="A7306" s="602">
        <v>43570</v>
      </c>
      <c r="B7306" s="174" t="s">
        <v>2652</v>
      </c>
      <c r="C7306" s="174" t="s">
        <v>3011</v>
      </c>
      <c r="D7306" s="118" t="s">
        <v>4800</v>
      </c>
      <c r="E7306" s="236">
        <v>-540</v>
      </c>
      <c r="F7306" s="236"/>
      <c r="G7306" s="236">
        <f t="shared" si="119"/>
        <v>540</v>
      </c>
      <c r="H7306" s="244" t="s">
        <v>4761</v>
      </c>
      <c r="I7306" s="40"/>
    </row>
    <row r="7307" spans="1:9" ht="15" customHeight="1" x14ac:dyDescent="0.2">
      <c r="A7307" s="602">
        <v>43570</v>
      </c>
      <c r="B7307" s="174" t="s">
        <v>1400</v>
      </c>
      <c r="C7307" s="174" t="s">
        <v>2338</v>
      </c>
      <c r="D7307" s="118" t="s">
        <v>4801</v>
      </c>
      <c r="E7307" s="236">
        <v>66000</v>
      </c>
      <c r="F7307" s="236"/>
      <c r="G7307" s="236">
        <f t="shared" si="119"/>
        <v>-66000</v>
      </c>
      <c r="H7307" s="244" t="s">
        <v>4761</v>
      </c>
      <c r="I7307" s="40"/>
    </row>
    <row r="7308" spans="1:9" ht="15" x14ac:dyDescent="0.2">
      <c r="A7308" s="602">
        <v>43570</v>
      </c>
      <c r="B7308" s="174" t="s">
        <v>2933</v>
      </c>
      <c r="C7308" s="174" t="s">
        <v>895</v>
      </c>
      <c r="D7308" s="118" t="s">
        <v>4802</v>
      </c>
      <c r="E7308" s="236">
        <v>47000</v>
      </c>
      <c r="F7308" s="236"/>
      <c r="G7308" s="236">
        <f t="shared" si="119"/>
        <v>-47000</v>
      </c>
      <c r="H7308" s="244" t="s">
        <v>4761</v>
      </c>
      <c r="I7308" s="40"/>
    </row>
    <row r="7309" spans="1:9" ht="15" x14ac:dyDescent="0.2">
      <c r="A7309" s="602">
        <v>43571</v>
      </c>
      <c r="B7309" s="174" t="s">
        <v>2933</v>
      </c>
      <c r="C7309" s="174" t="s">
        <v>573</v>
      </c>
      <c r="D7309" s="118" t="s">
        <v>4804</v>
      </c>
      <c r="E7309" s="236">
        <v>250000</v>
      </c>
      <c r="F7309" s="236"/>
      <c r="G7309" s="236">
        <f t="shared" si="119"/>
        <v>-250000</v>
      </c>
      <c r="H7309" s="244" t="s">
        <v>4761</v>
      </c>
      <c r="I7309" s="40"/>
    </row>
    <row r="7310" spans="1:9" ht="15" x14ac:dyDescent="0.2">
      <c r="A7310" s="602">
        <v>43571</v>
      </c>
      <c r="B7310" s="174" t="s">
        <v>2933</v>
      </c>
      <c r="C7310" s="174" t="s">
        <v>3707</v>
      </c>
      <c r="D7310" s="118" t="s">
        <v>4805</v>
      </c>
      <c r="E7310" s="236">
        <v>350000</v>
      </c>
      <c r="F7310" s="236"/>
      <c r="G7310" s="236">
        <f t="shared" si="119"/>
        <v>-350000</v>
      </c>
      <c r="H7310" s="244" t="s">
        <v>4761</v>
      </c>
      <c r="I7310" s="40"/>
    </row>
    <row r="7311" spans="1:9" ht="15" x14ac:dyDescent="0.2">
      <c r="A7311" s="602">
        <v>43571</v>
      </c>
      <c r="B7311" s="174" t="s">
        <v>2787</v>
      </c>
      <c r="C7311" s="174" t="s">
        <v>359</v>
      </c>
      <c r="D7311" s="118" t="s">
        <v>4806</v>
      </c>
      <c r="E7311" s="236">
        <v>200000</v>
      </c>
      <c r="F7311" s="236"/>
      <c r="G7311" s="236">
        <f t="shared" si="119"/>
        <v>-200000</v>
      </c>
      <c r="H7311" s="244" t="s">
        <v>4761</v>
      </c>
      <c r="I7311" s="40"/>
    </row>
    <row r="7312" spans="1:9" ht="15" x14ac:dyDescent="0.2">
      <c r="A7312" s="602">
        <v>43571</v>
      </c>
      <c r="B7312" s="174" t="s">
        <v>2933</v>
      </c>
      <c r="C7312" s="174" t="s">
        <v>256</v>
      </c>
      <c r="D7312" s="118" t="s">
        <v>4807</v>
      </c>
      <c r="E7312" s="236">
        <v>400000</v>
      </c>
      <c r="F7312" s="236"/>
      <c r="G7312" s="236">
        <f t="shared" si="119"/>
        <v>-400000</v>
      </c>
      <c r="H7312" s="244" t="s">
        <v>4761</v>
      </c>
      <c r="I7312" s="40"/>
    </row>
    <row r="7313" spans="1:9" ht="15" x14ac:dyDescent="0.2">
      <c r="A7313" s="602">
        <v>43571</v>
      </c>
      <c r="B7313" s="174" t="s">
        <v>2652</v>
      </c>
      <c r="C7313" s="174" t="s">
        <v>2196</v>
      </c>
      <c r="D7313" s="118" t="s">
        <v>4808</v>
      </c>
      <c r="E7313" s="236">
        <v>150000</v>
      </c>
      <c r="F7313" s="236"/>
      <c r="G7313" s="236">
        <f t="shared" si="119"/>
        <v>-150000</v>
      </c>
      <c r="H7313" s="244" t="s">
        <v>4761</v>
      </c>
      <c r="I7313" s="40"/>
    </row>
    <row r="7314" spans="1:9" ht="15" x14ac:dyDescent="0.2">
      <c r="A7314" s="602">
        <v>43571</v>
      </c>
      <c r="B7314" s="174" t="s">
        <v>2933</v>
      </c>
      <c r="C7314" s="174" t="s">
        <v>716</v>
      </c>
      <c r="D7314" s="118" t="s">
        <v>4809</v>
      </c>
      <c r="E7314" s="236">
        <v>200000</v>
      </c>
      <c r="F7314" s="236"/>
      <c r="G7314" s="236">
        <f t="shared" si="119"/>
        <v>-200000</v>
      </c>
      <c r="H7314" s="244" t="s">
        <v>4761</v>
      </c>
      <c r="I7314" s="40"/>
    </row>
    <row r="7315" spans="1:9" ht="15" x14ac:dyDescent="0.2">
      <c r="A7315" s="602">
        <v>43571</v>
      </c>
      <c r="B7315" s="174" t="s">
        <v>1400</v>
      </c>
      <c r="C7315" s="174" t="s">
        <v>1815</v>
      </c>
      <c r="D7315" s="118" t="s">
        <v>4810</v>
      </c>
      <c r="E7315" s="236">
        <v>300000</v>
      </c>
      <c r="F7315" s="236"/>
      <c r="G7315" s="236">
        <f t="shared" si="119"/>
        <v>-300000</v>
      </c>
      <c r="H7315" s="244" t="s">
        <v>4761</v>
      </c>
      <c r="I7315" s="40"/>
    </row>
    <row r="7316" spans="1:9" ht="15" x14ac:dyDescent="0.2">
      <c r="A7316" s="602">
        <v>43571</v>
      </c>
      <c r="B7316" s="174" t="s">
        <v>1400</v>
      </c>
      <c r="C7316" s="174" t="s">
        <v>4444</v>
      </c>
      <c r="D7316" s="118" t="s">
        <v>4811</v>
      </c>
      <c r="E7316" s="236">
        <v>200000</v>
      </c>
      <c r="F7316" s="236"/>
      <c r="G7316" s="236">
        <f t="shared" si="119"/>
        <v>-200000</v>
      </c>
      <c r="H7316" s="244" t="s">
        <v>4761</v>
      </c>
      <c r="I7316" s="40"/>
    </row>
    <row r="7317" spans="1:9" ht="15" x14ac:dyDescent="0.2">
      <c r="A7317" s="602">
        <v>43571</v>
      </c>
      <c r="B7317" s="174" t="s">
        <v>1400</v>
      </c>
      <c r="C7317" s="174" t="s">
        <v>379</v>
      </c>
      <c r="D7317" s="118" t="s">
        <v>4812</v>
      </c>
      <c r="E7317" s="236">
        <v>35000</v>
      </c>
      <c r="F7317" s="236"/>
      <c r="G7317" s="236">
        <f t="shared" si="119"/>
        <v>-35000</v>
      </c>
      <c r="H7317" s="244" t="s">
        <v>4761</v>
      </c>
      <c r="I7317" s="40"/>
    </row>
    <row r="7318" spans="1:9" ht="15" x14ac:dyDescent="0.2">
      <c r="A7318" s="602">
        <v>43573</v>
      </c>
      <c r="B7318" s="174" t="s">
        <v>2933</v>
      </c>
      <c r="C7318" s="174" t="s">
        <v>3772</v>
      </c>
      <c r="D7318" s="118" t="s">
        <v>4815</v>
      </c>
      <c r="E7318" s="236">
        <v>5000</v>
      </c>
      <c r="F7318" s="236"/>
      <c r="G7318" s="236">
        <f t="shared" si="119"/>
        <v>-5000</v>
      </c>
      <c r="H7318" s="244" t="s">
        <v>4761</v>
      </c>
      <c r="I7318" s="40"/>
    </row>
    <row r="7319" spans="1:9" ht="15" x14ac:dyDescent="0.2">
      <c r="A7319" s="602">
        <v>43573</v>
      </c>
      <c r="B7319" s="174" t="s">
        <v>2933</v>
      </c>
      <c r="C7319" s="174" t="s">
        <v>3772</v>
      </c>
      <c r="D7319" s="118" t="s">
        <v>4816</v>
      </c>
      <c r="E7319" s="236">
        <v>17500</v>
      </c>
      <c r="F7319" s="236"/>
      <c r="G7319" s="236">
        <f t="shared" si="119"/>
        <v>-17500</v>
      </c>
      <c r="H7319" s="244" t="s">
        <v>4761</v>
      </c>
      <c r="I7319" s="40"/>
    </row>
    <row r="7320" spans="1:9" ht="24" x14ac:dyDescent="0.2">
      <c r="A7320" s="602">
        <v>43573</v>
      </c>
      <c r="B7320" s="174" t="s">
        <v>2652</v>
      </c>
      <c r="C7320" s="174" t="s">
        <v>4385</v>
      </c>
      <c r="D7320" s="118" t="s">
        <v>4817</v>
      </c>
      <c r="E7320" s="236">
        <v>30000</v>
      </c>
      <c r="F7320" s="236"/>
      <c r="G7320" s="236">
        <f t="shared" si="119"/>
        <v>-30000</v>
      </c>
      <c r="H7320" s="244" t="s">
        <v>4761</v>
      </c>
      <c r="I7320" s="40"/>
    </row>
    <row r="7321" spans="1:9" ht="15" x14ac:dyDescent="0.2">
      <c r="A7321" s="602">
        <v>43573</v>
      </c>
      <c r="B7321" s="174" t="s">
        <v>3622</v>
      </c>
      <c r="C7321" s="174" t="s">
        <v>251</v>
      </c>
      <c r="D7321" s="118" t="s">
        <v>4818</v>
      </c>
      <c r="E7321" s="236">
        <v>35000</v>
      </c>
      <c r="F7321" s="236"/>
      <c r="G7321" s="236">
        <f t="shared" si="119"/>
        <v>-35000</v>
      </c>
      <c r="H7321" s="244" t="s">
        <v>4761</v>
      </c>
      <c r="I7321" s="40"/>
    </row>
    <row r="7322" spans="1:9" ht="15" x14ac:dyDescent="0.2">
      <c r="A7322" s="602">
        <v>43573</v>
      </c>
      <c r="B7322" s="174" t="s">
        <v>3733</v>
      </c>
      <c r="C7322" s="174" t="s">
        <v>2160</v>
      </c>
      <c r="D7322" s="118" t="s">
        <v>4819</v>
      </c>
      <c r="E7322" s="236">
        <v>25000</v>
      </c>
      <c r="F7322" s="236"/>
      <c r="G7322" s="236">
        <f t="shared" si="119"/>
        <v>-25000</v>
      </c>
      <c r="H7322" s="244" t="s">
        <v>4761</v>
      </c>
      <c r="I7322" s="40"/>
    </row>
    <row r="7323" spans="1:9" ht="15" x14ac:dyDescent="0.2">
      <c r="A7323" s="602">
        <v>43573</v>
      </c>
      <c r="B7323" s="174" t="s">
        <v>1400</v>
      </c>
      <c r="C7323" s="174" t="s">
        <v>3226</v>
      </c>
      <c r="D7323" s="118" t="s">
        <v>4820</v>
      </c>
      <c r="E7323" s="236">
        <v>600000</v>
      </c>
      <c r="F7323" s="236"/>
      <c r="G7323" s="236">
        <f t="shared" si="119"/>
        <v>-600000</v>
      </c>
      <c r="H7323" s="244" t="s">
        <v>4761</v>
      </c>
      <c r="I7323" s="40"/>
    </row>
    <row r="7324" spans="1:9" ht="15" x14ac:dyDescent="0.2">
      <c r="A7324" s="602">
        <v>43573</v>
      </c>
      <c r="B7324" s="174" t="s">
        <v>1400</v>
      </c>
      <c r="C7324" s="174" t="s">
        <v>3226</v>
      </c>
      <c r="D7324" s="118" t="s">
        <v>4821</v>
      </c>
      <c r="E7324" s="236">
        <v>400000</v>
      </c>
      <c r="F7324" s="236"/>
      <c r="G7324" s="236">
        <f t="shared" si="119"/>
        <v>-400000</v>
      </c>
      <c r="H7324" s="244" t="s">
        <v>4761</v>
      </c>
      <c r="I7324" s="40"/>
    </row>
    <row r="7325" spans="1:9" ht="15" x14ac:dyDescent="0.2">
      <c r="A7325" s="602">
        <v>43573</v>
      </c>
      <c r="B7325" s="174" t="s">
        <v>4721</v>
      </c>
      <c r="C7325" s="174" t="s">
        <v>4822</v>
      </c>
      <c r="D7325" s="118" t="s">
        <v>4824</v>
      </c>
      <c r="E7325" s="236">
        <v>50000</v>
      </c>
      <c r="F7325" s="236"/>
      <c r="G7325" s="236">
        <f t="shared" si="119"/>
        <v>-50000</v>
      </c>
      <c r="H7325" s="244" t="s">
        <v>4761</v>
      </c>
      <c r="I7325" s="40"/>
    </row>
    <row r="7326" spans="1:9" ht="15" x14ac:dyDescent="0.2">
      <c r="A7326" s="602">
        <v>43573</v>
      </c>
      <c r="B7326" s="174" t="s">
        <v>4721</v>
      </c>
      <c r="C7326" s="174" t="s">
        <v>4823</v>
      </c>
      <c r="D7326" s="118" t="s">
        <v>4825</v>
      </c>
      <c r="E7326" s="236">
        <v>15000</v>
      </c>
      <c r="F7326" s="236"/>
      <c r="G7326" s="236">
        <f t="shared" si="119"/>
        <v>-15000</v>
      </c>
      <c r="H7326" s="244" t="s">
        <v>4761</v>
      </c>
      <c r="I7326" s="40"/>
    </row>
    <row r="7327" spans="1:9" ht="15" x14ac:dyDescent="0.2">
      <c r="A7327" s="602">
        <v>43574</v>
      </c>
      <c r="B7327" s="174" t="s">
        <v>2933</v>
      </c>
      <c r="C7327" s="174" t="s">
        <v>3145</v>
      </c>
      <c r="D7327" s="118" t="s">
        <v>4830</v>
      </c>
      <c r="E7327" s="236">
        <v>26900</v>
      </c>
      <c r="F7327" s="236"/>
      <c r="G7327" s="236">
        <f t="shared" si="119"/>
        <v>-26900</v>
      </c>
      <c r="H7327" s="244" t="s">
        <v>4761</v>
      </c>
      <c r="I7327" s="40"/>
    </row>
    <row r="7328" spans="1:9" ht="15" x14ac:dyDescent="0.2">
      <c r="A7328" s="602">
        <v>43574</v>
      </c>
      <c r="B7328" s="174" t="s">
        <v>2933</v>
      </c>
      <c r="C7328" s="174" t="s">
        <v>3112</v>
      </c>
      <c r="D7328" s="118" t="s">
        <v>3517</v>
      </c>
      <c r="E7328" s="236">
        <v>100000</v>
      </c>
      <c r="F7328" s="236"/>
      <c r="G7328" s="236">
        <f t="shared" si="119"/>
        <v>-100000</v>
      </c>
      <c r="H7328" s="244" t="s">
        <v>4761</v>
      </c>
      <c r="I7328" s="40"/>
    </row>
    <row r="7329" spans="1:9" ht="15" x14ac:dyDescent="0.2">
      <c r="A7329" s="602">
        <v>43574</v>
      </c>
      <c r="B7329" s="174" t="s">
        <v>82</v>
      </c>
      <c r="C7329" s="174" t="s">
        <v>4831</v>
      </c>
      <c r="D7329" s="118" t="s">
        <v>4832</v>
      </c>
      <c r="E7329" s="236">
        <v>150000</v>
      </c>
      <c r="F7329" s="236"/>
      <c r="G7329" s="236">
        <f t="shared" si="119"/>
        <v>-150000</v>
      </c>
      <c r="H7329" s="244" t="s">
        <v>4761</v>
      </c>
      <c r="I7329" s="40"/>
    </row>
    <row r="7330" spans="1:9" ht="15" x14ac:dyDescent="0.2">
      <c r="A7330" s="602">
        <v>43578</v>
      </c>
      <c r="B7330" s="174" t="s">
        <v>4721</v>
      </c>
      <c r="C7330" s="174" t="s">
        <v>2310</v>
      </c>
      <c r="D7330" s="118" t="s">
        <v>4833</v>
      </c>
      <c r="E7330" s="236">
        <v>91050</v>
      </c>
      <c r="F7330" s="236"/>
      <c r="G7330" s="236">
        <f t="shared" si="119"/>
        <v>-91050</v>
      </c>
      <c r="H7330" s="244" t="s">
        <v>4761</v>
      </c>
      <c r="I7330" s="40"/>
    </row>
    <row r="7331" spans="1:9" ht="15" x14ac:dyDescent="0.2">
      <c r="A7331" s="602">
        <v>43578</v>
      </c>
      <c r="B7331" s="174" t="s">
        <v>1400</v>
      </c>
      <c r="C7331" s="174" t="s">
        <v>4834</v>
      </c>
      <c r="D7331" s="118" t="s">
        <v>4836</v>
      </c>
      <c r="E7331" s="236">
        <v>22000</v>
      </c>
      <c r="F7331" s="236"/>
      <c r="G7331" s="236">
        <f t="shared" si="119"/>
        <v>-22000</v>
      </c>
      <c r="H7331" s="244" t="s">
        <v>4761</v>
      </c>
      <c r="I7331" s="40"/>
    </row>
    <row r="7332" spans="1:9" ht="15" x14ac:dyDescent="0.2">
      <c r="A7332" s="602">
        <v>43578</v>
      </c>
      <c r="B7332" s="174" t="s">
        <v>4553</v>
      </c>
      <c r="C7332" s="174" t="s">
        <v>170</v>
      </c>
      <c r="D7332" s="118" t="s">
        <v>4835</v>
      </c>
      <c r="E7332" s="236">
        <v>13000</v>
      </c>
      <c r="F7332" s="236"/>
      <c r="G7332" s="236">
        <f t="shared" si="119"/>
        <v>-13000</v>
      </c>
      <c r="H7332" s="244" t="s">
        <v>4761</v>
      </c>
      <c r="I7332" s="40"/>
    </row>
    <row r="7333" spans="1:9" ht="15" x14ac:dyDescent="0.2">
      <c r="A7333" s="602">
        <v>43579</v>
      </c>
      <c r="B7333" s="174" t="s">
        <v>4721</v>
      </c>
      <c r="C7333" s="174" t="s">
        <v>4725</v>
      </c>
      <c r="D7333" s="118" t="s">
        <v>4837</v>
      </c>
      <c r="E7333" s="236">
        <v>40680</v>
      </c>
      <c r="F7333" s="236"/>
      <c r="G7333" s="236">
        <f t="shared" si="119"/>
        <v>-40680</v>
      </c>
      <c r="H7333" s="244" t="s">
        <v>4761</v>
      </c>
      <c r="I7333" s="40"/>
    </row>
    <row r="7334" spans="1:9" ht="15" x14ac:dyDescent="0.2">
      <c r="A7334" s="602">
        <v>43579</v>
      </c>
      <c r="B7334" s="174" t="s">
        <v>2933</v>
      </c>
      <c r="C7334" s="174" t="s">
        <v>3446</v>
      </c>
      <c r="D7334" s="118" t="s">
        <v>4838</v>
      </c>
      <c r="E7334" s="236">
        <v>25000</v>
      </c>
      <c r="F7334" s="236"/>
      <c r="G7334" s="236">
        <f t="shared" si="119"/>
        <v>-25000</v>
      </c>
      <c r="H7334" s="244" t="s">
        <v>4761</v>
      </c>
      <c r="I7334" s="40"/>
    </row>
    <row r="7335" spans="1:9" ht="15" x14ac:dyDescent="0.2">
      <c r="A7335" s="602">
        <v>43579</v>
      </c>
      <c r="B7335" s="174" t="s">
        <v>2652</v>
      </c>
      <c r="C7335" s="174" t="s">
        <v>4331</v>
      </c>
      <c r="D7335" s="118" t="s">
        <v>4839</v>
      </c>
      <c r="E7335" s="236">
        <v>50000</v>
      </c>
      <c r="F7335" s="236"/>
      <c r="G7335" s="236">
        <f t="shared" si="119"/>
        <v>-50000</v>
      </c>
      <c r="H7335" s="244" t="s">
        <v>4761</v>
      </c>
      <c r="I7335" s="40"/>
    </row>
    <row r="7336" spans="1:9" ht="15" x14ac:dyDescent="0.2">
      <c r="A7336" s="602">
        <v>43579</v>
      </c>
      <c r="B7336" s="174" t="s">
        <v>2652</v>
      </c>
      <c r="C7336" s="174" t="s">
        <v>3011</v>
      </c>
      <c r="D7336" s="118" t="s">
        <v>4844</v>
      </c>
      <c r="E7336" s="236">
        <v>82500</v>
      </c>
      <c r="F7336" s="236"/>
      <c r="G7336" s="236">
        <f t="shared" si="119"/>
        <v>-82500</v>
      </c>
      <c r="H7336" s="244" t="s">
        <v>4761</v>
      </c>
      <c r="I7336" s="40"/>
    </row>
    <row r="7337" spans="1:9" ht="15" x14ac:dyDescent="0.2">
      <c r="A7337" s="602">
        <v>43579</v>
      </c>
      <c r="B7337" s="174" t="s">
        <v>2933</v>
      </c>
      <c r="C7337" s="174" t="s">
        <v>4846</v>
      </c>
      <c r="D7337" s="118" t="s">
        <v>4847</v>
      </c>
      <c r="E7337" s="236">
        <v>13400</v>
      </c>
      <c r="F7337" s="236"/>
      <c r="G7337" s="236">
        <f t="shared" si="119"/>
        <v>-13400</v>
      </c>
      <c r="H7337" s="244" t="s">
        <v>4761</v>
      </c>
      <c r="I7337" s="40"/>
    </row>
    <row r="7338" spans="1:9" ht="15" x14ac:dyDescent="0.2">
      <c r="A7338" s="602">
        <v>43580</v>
      </c>
      <c r="B7338" s="174" t="s">
        <v>2933</v>
      </c>
      <c r="C7338" s="174" t="s">
        <v>4798</v>
      </c>
      <c r="D7338" s="118" t="s">
        <v>4848</v>
      </c>
      <c r="E7338" s="236">
        <v>120000</v>
      </c>
      <c r="F7338" s="236"/>
      <c r="G7338" s="236">
        <f t="shared" si="119"/>
        <v>-120000</v>
      </c>
      <c r="H7338" s="244" t="s">
        <v>4761</v>
      </c>
      <c r="I7338" s="40"/>
    </row>
    <row r="7339" spans="1:9" ht="15" x14ac:dyDescent="0.2">
      <c r="A7339" s="602">
        <v>43580</v>
      </c>
      <c r="B7339" s="174" t="s">
        <v>1400</v>
      </c>
      <c r="C7339" s="174" t="s">
        <v>4798</v>
      </c>
      <c r="D7339" s="118" t="s">
        <v>4848</v>
      </c>
      <c r="E7339" s="236">
        <v>60000</v>
      </c>
      <c r="F7339" s="236"/>
      <c r="G7339" s="236">
        <f t="shared" ref="G7339:G7402" si="120">F7339-E7339</f>
        <v>-60000</v>
      </c>
      <c r="H7339" s="244" t="s">
        <v>4761</v>
      </c>
      <c r="I7339" s="40"/>
    </row>
    <row r="7340" spans="1:9" ht="15" x14ac:dyDescent="0.2">
      <c r="A7340" s="602">
        <v>43580</v>
      </c>
      <c r="B7340" s="174" t="s">
        <v>2933</v>
      </c>
      <c r="C7340" s="174" t="s">
        <v>256</v>
      </c>
      <c r="D7340" s="118" t="s">
        <v>4849</v>
      </c>
      <c r="E7340" s="236">
        <v>250000</v>
      </c>
      <c r="F7340" s="236"/>
      <c r="G7340" s="236">
        <f t="shared" si="120"/>
        <v>-250000</v>
      </c>
      <c r="H7340" s="244" t="s">
        <v>4761</v>
      </c>
      <c r="I7340" s="40"/>
    </row>
    <row r="7341" spans="1:9" ht="15" x14ac:dyDescent="0.2">
      <c r="A7341" s="602">
        <v>43581</v>
      </c>
      <c r="B7341" s="174" t="s">
        <v>2933</v>
      </c>
      <c r="C7341" s="174" t="s">
        <v>3112</v>
      </c>
      <c r="D7341" s="118" t="s">
        <v>4851</v>
      </c>
      <c r="E7341" s="236">
        <v>200000</v>
      </c>
      <c r="F7341" s="236"/>
      <c r="G7341" s="236">
        <f t="shared" si="120"/>
        <v>-200000</v>
      </c>
      <c r="H7341" s="244" t="s">
        <v>4761</v>
      </c>
      <c r="I7341" s="40"/>
    </row>
    <row r="7342" spans="1:9" ht="24" x14ac:dyDescent="0.2">
      <c r="A7342" s="602">
        <v>43581</v>
      </c>
      <c r="B7342" s="174" t="s">
        <v>2933</v>
      </c>
      <c r="C7342" s="174" t="s">
        <v>3428</v>
      </c>
      <c r="D7342" s="118" t="s">
        <v>4852</v>
      </c>
      <c r="E7342" s="236">
        <v>63000</v>
      </c>
      <c r="F7342" s="236"/>
      <c r="G7342" s="236">
        <f t="shared" si="120"/>
        <v>-63000</v>
      </c>
      <c r="H7342" s="244" t="s">
        <v>4761</v>
      </c>
      <c r="I7342" s="40"/>
    </row>
    <row r="7343" spans="1:9" ht="15" x14ac:dyDescent="0.2">
      <c r="A7343" s="602">
        <v>43581</v>
      </c>
      <c r="B7343" s="174" t="s">
        <v>2933</v>
      </c>
      <c r="C7343" s="174" t="s">
        <v>2310</v>
      </c>
      <c r="D7343" s="118" t="s">
        <v>4861</v>
      </c>
      <c r="E7343" s="236">
        <v>40000</v>
      </c>
      <c r="F7343" s="236"/>
      <c r="G7343" s="236">
        <f t="shared" si="120"/>
        <v>-40000</v>
      </c>
      <c r="H7343" s="244" t="s">
        <v>4761</v>
      </c>
      <c r="I7343" s="40"/>
    </row>
    <row r="7344" spans="1:9" ht="15" x14ac:dyDescent="0.2">
      <c r="A7344" s="602">
        <v>43584</v>
      </c>
      <c r="B7344" s="174" t="s">
        <v>4721</v>
      </c>
      <c r="C7344" s="174" t="s">
        <v>4334</v>
      </c>
      <c r="D7344" s="118" t="s">
        <v>4862</v>
      </c>
      <c r="E7344" s="236">
        <v>150000</v>
      </c>
      <c r="F7344" s="236"/>
      <c r="G7344" s="236">
        <f t="shared" si="120"/>
        <v>-150000</v>
      </c>
      <c r="H7344" s="244" t="s">
        <v>4761</v>
      </c>
      <c r="I7344" s="40"/>
    </row>
    <row r="7345" spans="1:9" ht="15" x14ac:dyDescent="0.2">
      <c r="A7345" s="602">
        <v>43585</v>
      </c>
      <c r="B7345" s="174" t="s">
        <v>2787</v>
      </c>
      <c r="C7345" s="174" t="s">
        <v>6857</v>
      </c>
      <c r="D7345" s="118" t="s">
        <v>2655</v>
      </c>
      <c r="E7345" s="236">
        <v>75000</v>
      </c>
      <c r="F7345" s="236"/>
      <c r="G7345" s="236">
        <f t="shared" si="120"/>
        <v>-75000</v>
      </c>
      <c r="H7345" s="244" t="s">
        <v>4761</v>
      </c>
      <c r="I7345" s="40"/>
    </row>
    <row r="7346" spans="1:9" ht="15" x14ac:dyDescent="0.2">
      <c r="A7346" s="599">
        <v>43556</v>
      </c>
      <c r="B7346" s="91" t="s">
        <v>37</v>
      </c>
      <c r="C7346" s="91" t="s">
        <v>559</v>
      </c>
      <c r="D7346" s="801" t="s">
        <v>4763</v>
      </c>
      <c r="E7346" s="92"/>
      <c r="F7346" s="92">
        <v>159570</v>
      </c>
      <c r="G7346" s="92">
        <f t="shared" si="120"/>
        <v>159570</v>
      </c>
      <c r="H7346" s="261" t="s">
        <v>4761</v>
      </c>
    </row>
    <row r="7347" spans="1:9" ht="15" x14ac:dyDescent="0.2">
      <c r="A7347" s="599">
        <v>43556</v>
      </c>
      <c r="B7347" s="91" t="s">
        <v>37</v>
      </c>
      <c r="C7347" s="91" t="s">
        <v>559</v>
      </c>
      <c r="D7347" s="801" t="s">
        <v>4762</v>
      </c>
      <c r="E7347" s="92"/>
      <c r="F7347" s="92">
        <v>157140</v>
      </c>
      <c r="G7347" s="92">
        <f t="shared" si="120"/>
        <v>157140</v>
      </c>
      <c r="H7347" s="261" t="s">
        <v>4761</v>
      </c>
    </row>
    <row r="7348" spans="1:9" ht="24" x14ac:dyDescent="0.2">
      <c r="A7348" s="599">
        <v>43560</v>
      </c>
      <c r="B7348" s="91" t="s">
        <v>3945</v>
      </c>
      <c r="C7348" s="91" t="s">
        <v>559</v>
      </c>
      <c r="D7348" s="798" t="s">
        <v>4779</v>
      </c>
      <c r="E7348" s="92"/>
      <c r="F7348" s="92">
        <v>185000</v>
      </c>
      <c r="G7348" s="92">
        <f t="shared" si="120"/>
        <v>185000</v>
      </c>
      <c r="H7348" s="261" t="s">
        <v>4761</v>
      </c>
    </row>
    <row r="7349" spans="1:9" ht="24" x14ac:dyDescent="0.2">
      <c r="A7349" s="617">
        <v>43561</v>
      </c>
      <c r="B7349" s="338" t="s">
        <v>1400</v>
      </c>
      <c r="C7349" s="338" t="s">
        <v>559</v>
      </c>
      <c r="D7349" s="798" t="s">
        <v>9095</v>
      </c>
      <c r="E7349" s="339"/>
      <c r="F7349" s="339">
        <v>300000</v>
      </c>
      <c r="G7349" s="92">
        <f t="shared" si="120"/>
        <v>300000</v>
      </c>
      <c r="H7349" s="261" t="s">
        <v>4761</v>
      </c>
    </row>
    <row r="7350" spans="1:9" ht="24" x14ac:dyDescent="0.2">
      <c r="A7350" s="617">
        <v>43561</v>
      </c>
      <c r="B7350" s="338" t="s">
        <v>1400</v>
      </c>
      <c r="C7350" s="338" t="s">
        <v>559</v>
      </c>
      <c r="D7350" s="798" t="s">
        <v>9095</v>
      </c>
      <c r="E7350" s="339"/>
      <c r="F7350" s="339">
        <v>300000</v>
      </c>
      <c r="G7350" s="92">
        <f t="shared" si="120"/>
        <v>300000</v>
      </c>
      <c r="H7350" s="261" t="s">
        <v>4761</v>
      </c>
    </row>
    <row r="7351" spans="1:9" ht="24" x14ac:dyDescent="0.2">
      <c r="A7351" s="617">
        <v>43561</v>
      </c>
      <c r="B7351" s="338" t="s">
        <v>1400</v>
      </c>
      <c r="C7351" s="338" t="s">
        <v>559</v>
      </c>
      <c r="D7351" s="798" t="s">
        <v>9095</v>
      </c>
      <c r="E7351" s="339"/>
      <c r="F7351" s="339">
        <v>300000</v>
      </c>
      <c r="G7351" s="92">
        <f t="shared" si="120"/>
        <v>300000</v>
      </c>
      <c r="H7351" s="261" t="s">
        <v>4761</v>
      </c>
    </row>
    <row r="7352" spans="1:9" ht="15" x14ac:dyDescent="0.2">
      <c r="A7352" s="617">
        <v>43561</v>
      </c>
      <c r="B7352" s="338" t="s">
        <v>1400</v>
      </c>
      <c r="C7352" s="338" t="s">
        <v>559</v>
      </c>
      <c r="D7352" s="801" t="s">
        <v>9096</v>
      </c>
      <c r="E7352" s="339"/>
      <c r="F7352" s="339">
        <v>300000</v>
      </c>
      <c r="G7352" s="92">
        <f t="shared" si="120"/>
        <v>300000</v>
      </c>
      <c r="H7352" s="261" t="s">
        <v>4761</v>
      </c>
    </row>
    <row r="7353" spans="1:9" ht="24" x14ac:dyDescent="0.2">
      <c r="A7353" s="617">
        <v>43561</v>
      </c>
      <c r="B7353" s="338" t="s">
        <v>1400</v>
      </c>
      <c r="C7353" s="338" t="s">
        <v>559</v>
      </c>
      <c r="D7353" s="798" t="s">
        <v>9097</v>
      </c>
      <c r="E7353" s="339"/>
      <c r="F7353" s="339">
        <v>300000</v>
      </c>
      <c r="G7353" s="92">
        <f t="shared" si="120"/>
        <v>300000</v>
      </c>
      <c r="H7353" s="261" t="s">
        <v>4761</v>
      </c>
    </row>
    <row r="7354" spans="1:9" ht="24" x14ac:dyDescent="0.2">
      <c r="A7354" s="599">
        <v>43563</v>
      </c>
      <c r="B7354" s="91" t="s">
        <v>3946</v>
      </c>
      <c r="C7354" s="91" t="s">
        <v>559</v>
      </c>
      <c r="D7354" s="798" t="s">
        <v>4779</v>
      </c>
      <c r="E7354" s="92"/>
      <c r="F7354" s="92">
        <v>185000</v>
      </c>
      <c r="G7354" s="92">
        <f t="shared" si="120"/>
        <v>185000</v>
      </c>
      <c r="H7354" s="261" t="s">
        <v>4761</v>
      </c>
    </row>
    <row r="7355" spans="1:9" ht="15" x14ac:dyDescent="0.2">
      <c r="A7355" s="599">
        <v>43568</v>
      </c>
      <c r="B7355" s="91" t="s">
        <v>3945</v>
      </c>
      <c r="C7355" s="91" t="s">
        <v>559</v>
      </c>
      <c r="D7355" s="798" t="s">
        <v>4789</v>
      </c>
      <c r="E7355" s="92"/>
      <c r="F7355" s="92">
        <v>185000</v>
      </c>
      <c r="G7355" s="92">
        <f t="shared" si="120"/>
        <v>185000</v>
      </c>
      <c r="H7355" s="261" t="s">
        <v>4761</v>
      </c>
    </row>
    <row r="7356" spans="1:9" ht="24" x14ac:dyDescent="0.2">
      <c r="A7356" s="599">
        <v>43572</v>
      </c>
      <c r="B7356" s="91" t="s">
        <v>154</v>
      </c>
      <c r="C7356" s="91" t="s">
        <v>559</v>
      </c>
      <c r="D7356" s="798" t="s">
        <v>4793</v>
      </c>
      <c r="E7356" s="92"/>
      <c r="F7356" s="92">
        <v>143704</v>
      </c>
      <c r="G7356" s="92">
        <f t="shared" si="120"/>
        <v>143704</v>
      </c>
      <c r="H7356" s="261" t="s">
        <v>4761</v>
      </c>
    </row>
    <row r="7357" spans="1:9" ht="15" x14ac:dyDescent="0.2">
      <c r="A7357" s="599">
        <v>43577</v>
      </c>
      <c r="B7357" s="91" t="s">
        <v>3622</v>
      </c>
      <c r="C7357" s="91" t="s">
        <v>559</v>
      </c>
      <c r="D7357" s="801" t="s">
        <v>9098</v>
      </c>
      <c r="E7357" s="92"/>
      <c r="F7357" s="92">
        <v>567540</v>
      </c>
      <c r="G7357" s="92">
        <f t="shared" si="120"/>
        <v>567540</v>
      </c>
      <c r="H7357" s="261" t="s">
        <v>4761</v>
      </c>
    </row>
    <row r="7358" spans="1:9" ht="15" x14ac:dyDescent="0.2">
      <c r="A7358" s="599">
        <v>43580</v>
      </c>
      <c r="B7358" s="91" t="s">
        <v>3733</v>
      </c>
      <c r="C7358" s="91" t="s">
        <v>559</v>
      </c>
      <c r="D7358" s="801" t="s">
        <v>4841</v>
      </c>
      <c r="E7358" s="92"/>
      <c r="F7358" s="92">
        <v>1136255</v>
      </c>
      <c r="G7358" s="92">
        <f t="shared" si="120"/>
        <v>1136255</v>
      </c>
      <c r="H7358" s="261" t="s">
        <v>4761</v>
      </c>
    </row>
    <row r="7359" spans="1:9" ht="15" x14ac:dyDescent="0.2">
      <c r="A7359" s="599">
        <v>43580</v>
      </c>
      <c r="B7359" s="91" t="s">
        <v>3946</v>
      </c>
      <c r="C7359" s="91" t="s">
        <v>559</v>
      </c>
      <c r="D7359" s="798" t="s">
        <v>4842</v>
      </c>
      <c r="E7359" s="92"/>
      <c r="F7359" s="92"/>
      <c r="G7359" s="92">
        <f t="shared" si="120"/>
        <v>0</v>
      </c>
      <c r="H7359" s="261" t="s">
        <v>4761</v>
      </c>
    </row>
    <row r="7360" spans="1:9" ht="15" x14ac:dyDescent="0.2">
      <c r="A7360" s="599">
        <v>43580</v>
      </c>
      <c r="B7360" s="91" t="s">
        <v>2933</v>
      </c>
      <c r="C7360" s="91" t="s">
        <v>559</v>
      </c>
      <c r="D7360" s="801" t="s">
        <v>4843</v>
      </c>
      <c r="E7360" s="92"/>
      <c r="F7360" s="92">
        <v>12136291</v>
      </c>
      <c r="G7360" s="92">
        <f t="shared" si="120"/>
        <v>12136291</v>
      </c>
      <c r="H7360" s="261" t="s">
        <v>4761</v>
      </c>
    </row>
    <row r="7361" spans="1:8" ht="15" customHeight="1" x14ac:dyDescent="0.2">
      <c r="A7361" s="597">
        <v>43586</v>
      </c>
      <c r="B7361" s="41" t="s">
        <v>2933</v>
      </c>
      <c r="C7361" s="41" t="s">
        <v>2503</v>
      </c>
      <c r="D7361" s="108" t="s">
        <v>1836</v>
      </c>
      <c r="E7361" s="58">
        <v>25000</v>
      </c>
      <c r="F7361" s="58"/>
      <c r="G7361" s="58">
        <f t="shared" si="120"/>
        <v>-25000</v>
      </c>
      <c r="H7361" s="121" t="s">
        <v>4855</v>
      </c>
    </row>
    <row r="7362" spans="1:8" ht="15" customHeight="1" x14ac:dyDescent="0.2">
      <c r="A7362" s="597">
        <v>43586</v>
      </c>
      <c r="B7362" s="41" t="s">
        <v>2652</v>
      </c>
      <c r="C7362" s="41" t="s">
        <v>2503</v>
      </c>
      <c r="D7362" s="108" t="s">
        <v>1836</v>
      </c>
      <c r="E7362" s="58">
        <v>25000</v>
      </c>
      <c r="F7362" s="58"/>
      <c r="G7362" s="58">
        <f t="shared" si="120"/>
        <v>-25000</v>
      </c>
      <c r="H7362" s="121" t="s">
        <v>4855</v>
      </c>
    </row>
    <row r="7363" spans="1:8" ht="15" customHeight="1" x14ac:dyDescent="0.2">
      <c r="A7363" s="597">
        <v>43586</v>
      </c>
      <c r="B7363" s="41" t="s">
        <v>1400</v>
      </c>
      <c r="C7363" s="41" t="s">
        <v>2503</v>
      </c>
      <c r="D7363" s="108" t="s">
        <v>1837</v>
      </c>
      <c r="E7363" s="58">
        <v>25000</v>
      </c>
      <c r="F7363" s="58"/>
      <c r="G7363" s="58">
        <f t="shared" si="120"/>
        <v>-25000</v>
      </c>
      <c r="H7363" s="121" t="s">
        <v>4855</v>
      </c>
    </row>
    <row r="7364" spans="1:8" ht="15" x14ac:dyDescent="0.2">
      <c r="A7364" s="597">
        <v>43586</v>
      </c>
      <c r="B7364" s="41" t="s">
        <v>2933</v>
      </c>
      <c r="C7364" s="41" t="s">
        <v>2503</v>
      </c>
      <c r="D7364" s="108" t="s">
        <v>1837</v>
      </c>
      <c r="E7364" s="58">
        <v>25000</v>
      </c>
      <c r="F7364" s="58"/>
      <c r="G7364" s="58">
        <f t="shared" si="120"/>
        <v>-25000</v>
      </c>
      <c r="H7364" s="121" t="s">
        <v>4855</v>
      </c>
    </row>
    <row r="7365" spans="1:8" ht="15" x14ac:dyDescent="0.2">
      <c r="A7365" s="597">
        <v>43586</v>
      </c>
      <c r="B7365" s="41" t="s">
        <v>25</v>
      </c>
      <c r="C7365" s="41" t="s">
        <v>2503</v>
      </c>
      <c r="D7365" s="108" t="s">
        <v>1839</v>
      </c>
      <c r="E7365" s="58">
        <v>10000</v>
      </c>
      <c r="F7365" s="58"/>
      <c r="G7365" s="58">
        <f t="shared" si="120"/>
        <v>-10000</v>
      </c>
      <c r="H7365" s="121" t="s">
        <v>4855</v>
      </c>
    </row>
    <row r="7366" spans="1:8" ht="15" customHeight="1" x14ac:dyDescent="0.2">
      <c r="A7366" s="597">
        <v>43586</v>
      </c>
      <c r="B7366" s="41" t="s">
        <v>25</v>
      </c>
      <c r="C7366" s="41" t="s">
        <v>2503</v>
      </c>
      <c r="D7366" s="108" t="s">
        <v>2183</v>
      </c>
      <c r="E7366" s="58">
        <v>20000</v>
      </c>
      <c r="F7366" s="58"/>
      <c r="G7366" s="58">
        <f t="shared" si="120"/>
        <v>-20000</v>
      </c>
      <c r="H7366" s="121" t="s">
        <v>4855</v>
      </c>
    </row>
    <row r="7367" spans="1:8" ht="15" x14ac:dyDescent="0.2">
      <c r="A7367" s="597">
        <v>43586</v>
      </c>
      <c r="B7367" s="41" t="s">
        <v>25</v>
      </c>
      <c r="C7367" s="41" t="s">
        <v>2503</v>
      </c>
      <c r="D7367" s="108" t="s">
        <v>1840</v>
      </c>
      <c r="E7367" s="58">
        <v>10000</v>
      </c>
      <c r="F7367" s="58"/>
      <c r="G7367" s="58">
        <f t="shared" si="120"/>
        <v>-10000</v>
      </c>
      <c r="H7367" s="121" t="s">
        <v>4855</v>
      </c>
    </row>
    <row r="7368" spans="1:8" ht="15" x14ac:dyDescent="0.2">
      <c r="A7368" s="597">
        <v>43586</v>
      </c>
      <c r="B7368" s="41" t="s">
        <v>25</v>
      </c>
      <c r="C7368" s="41" t="s">
        <v>2503</v>
      </c>
      <c r="D7368" s="108" t="s">
        <v>1547</v>
      </c>
      <c r="E7368" s="58">
        <v>10000</v>
      </c>
      <c r="F7368" s="58"/>
      <c r="G7368" s="58">
        <f t="shared" si="120"/>
        <v>-10000</v>
      </c>
      <c r="H7368" s="121" t="s">
        <v>4855</v>
      </c>
    </row>
    <row r="7369" spans="1:8" ht="15" x14ac:dyDescent="0.2">
      <c r="A7369" s="597">
        <v>43586</v>
      </c>
      <c r="B7369" s="41" t="s">
        <v>16</v>
      </c>
      <c r="C7369" s="41" t="s">
        <v>2503</v>
      </c>
      <c r="D7369" s="108" t="s">
        <v>1844</v>
      </c>
      <c r="E7369" s="58">
        <v>31000.291666666668</v>
      </c>
      <c r="F7369" s="58"/>
      <c r="G7369" s="58">
        <f t="shared" si="120"/>
        <v>-31000.291666666668</v>
      </c>
      <c r="H7369" s="121" t="s">
        <v>4855</v>
      </c>
    </row>
    <row r="7370" spans="1:8" ht="15" x14ac:dyDescent="0.2">
      <c r="A7370" s="597">
        <v>43586</v>
      </c>
      <c r="B7370" s="41" t="s">
        <v>16</v>
      </c>
      <c r="C7370" s="41" t="s">
        <v>2503</v>
      </c>
      <c r="D7370" s="108" t="s">
        <v>1842</v>
      </c>
      <c r="E7370" s="58">
        <v>30000</v>
      </c>
      <c r="F7370" s="58"/>
      <c r="G7370" s="58">
        <f t="shared" si="120"/>
        <v>-30000</v>
      </c>
      <c r="H7370" s="121" t="s">
        <v>4855</v>
      </c>
    </row>
    <row r="7371" spans="1:8" ht="15" x14ac:dyDescent="0.2">
      <c r="A7371" s="597">
        <v>43586</v>
      </c>
      <c r="B7371" s="41" t="s">
        <v>16</v>
      </c>
      <c r="C7371" s="41" t="s">
        <v>2503</v>
      </c>
      <c r="D7371" s="108" t="s">
        <v>3230</v>
      </c>
      <c r="E7371" s="58">
        <v>15499.999999999998</v>
      </c>
      <c r="F7371" s="58"/>
      <c r="G7371" s="58">
        <f t="shared" si="120"/>
        <v>-15499.999999999998</v>
      </c>
      <c r="H7371" s="121" t="s">
        <v>4855</v>
      </c>
    </row>
    <row r="7372" spans="1:8" ht="15" x14ac:dyDescent="0.2">
      <c r="A7372" s="597">
        <v>43586</v>
      </c>
      <c r="B7372" s="41" t="s">
        <v>16</v>
      </c>
      <c r="C7372" s="41" t="s">
        <v>2503</v>
      </c>
      <c r="D7372" s="108" t="s">
        <v>3611</v>
      </c>
      <c r="E7372" s="58">
        <v>5000</v>
      </c>
      <c r="F7372" s="58"/>
      <c r="G7372" s="58">
        <f t="shared" si="120"/>
        <v>-5000</v>
      </c>
      <c r="H7372" s="121" t="s">
        <v>4855</v>
      </c>
    </row>
    <row r="7373" spans="1:8" ht="15" x14ac:dyDescent="0.2">
      <c r="A7373" s="597">
        <v>43586</v>
      </c>
      <c r="B7373" s="41" t="s">
        <v>3945</v>
      </c>
      <c r="C7373" s="41" t="s">
        <v>2503</v>
      </c>
      <c r="D7373" s="108" t="s">
        <v>2282</v>
      </c>
      <c r="E7373" s="58">
        <v>46959.791666666672</v>
      </c>
      <c r="F7373" s="58"/>
      <c r="G7373" s="58">
        <f t="shared" si="120"/>
        <v>-46959.791666666672</v>
      </c>
      <c r="H7373" s="121" t="s">
        <v>4855</v>
      </c>
    </row>
    <row r="7374" spans="1:8" ht="15" x14ac:dyDescent="0.2">
      <c r="A7374" s="597">
        <v>43586</v>
      </c>
      <c r="B7374" s="41" t="s">
        <v>3945</v>
      </c>
      <c r="C7374" s="41" t="s">
        <v>2503</v>
      </c>
      <c r="D7374" s="108" t="s">
        <v>3236</v>
      </c>
      <c r="E7374" s="58">
        <v>15000</v>
      </c>
      <c r="F7374" s="58"/>
      <c r="G7374" s="58">
        <f t="shared" si="120"/>
        <v>-15000</v>
      </c>
      <c r="H7374" s="121" t="s">
        <v>4855</v>
      </c>
    </row>
    <row r="7375" spans="1:8" ht="15" x14ac:dyDescent="0.2">
      <c r="A7375" s="597">
        <v>43586</v>
      </c>
      <c r="B7375" s="41" t="s">
        <v>3945</v>
      </c>
      <c r="C7375" s="41" t="s">
        <v>2503</v>
      </c>
      <c r="D7375" s="108" t="s">
        <v>4005</v>
      </c>
      <c r="E7375" s="58">
        <v>15000</v>
      </c>
      <c r="F7375" s="58"/>
      <c r="G7375" s="58">
        <f t="shared" si="120"/>
        <v>-15000</v>
      </c>
      <c r="H7375" s="121" t="s">
        <v>4855</v>
      </c>
    </row>
    <row r="7376" spans="1:8" ht="15" x14ac:dyDescent="0.2">
      <c r="A7376" s="597">
        <v>43586</v>
      </c>
      <c r="B7376" s="41" t="s">
        <v>3945</v>
      </c>
      <c r="C7376" s="41" t="s">
        <v>2503</v>
      </c>
      <c r="D7376" s="108" t="s">
        <v>3841</v>
      </c>
      <c r="E7376" s="58">
        <v>24750</v>
      </c>
      <c r="F7376" s="58"/>
      <c r="G7376" s="58">
        <f t="shared" si="120"/>
        <v>-24750</v>
      </c>
      <c r="H7376" s="121" t="s">
        <v>4855</v>
      </c>
    </row>
    <row r="7377" spans="1:8" ht="15" x14ac:dyDescent="0.2">
      <c r="A7377" s="597">
        <v>43586</v>
      </c>
      <c r="B7377" s="41" t="s">
        <v>3945</v>
      </c>
      <c r="C7377" s="41" t="s">
        <v>2503</v>
      </c>
      <c r="D7377" s="108" t="s">
        <v>4932</v>
      </c>
      <c r="E7377" s="58">
        <v>3200</v>
      </c>
      <c r="F7377" s="58"/>
      <c r="G7377" s="58">
        <f t="shared" si="120"/>
        <v>-3200</v>
      </c>
      <c r="H7377" s="121" t="s">
        <v>4855</v>
      </c>
    </row>
    <row r="7378" spans="1:8" ht="15" x14ac:dyDescent="0.2">
      <c r="A7378" s="597">
        <v>43586</v>
      </c>
      <c r="B7378" s="41" t="s">
        <v>3945</v>
      </c>
      <c r="C7378" s="41" t="s">
        <v>2503</v>
      </c>
      <c r="D7378" s="108" t="s">
        <v>4075</v>
      </c>
      <c r="E7378" s="58">
        <v>15000</v>
      </c>
      <c r="F7378" s="58"/>
      <c r="G7378" s="58">
        <f t="shared" si="120"/>
        <v>-15000</v>
      </c>
      <c r="H7378" s="121" t="s">
        <v>4855</v>
      </c>
    </row>
    <row r="7379" spans="1:8" ht="15" x14ac:dyDescent="0.2">
      <c r="A7379" s="597">
        <v>43586</v>
      </c>
      <c r="B7379" s="41" t="s">
        <v>3945</v>
      </c>
      <c r="C7379" s="41" t="s">
        <v>2503</v>
      </c>
      <c r="D7379" s="108" t="s">
        <v>4076</v>
      </c>
      <c r="E7379" s="58">
        <v>18000</v>
      </c>
      <c r="F7379" s="58"/>
      <c r="G7379" s="58">
        <f t="shared" si="120"/>
        <v>-18000</v>
      </c>
      <c r="H7379" s="121" t="s">
        <v>4855</v>
      </c>
    </row>
    <row r="7380" spans="1:8" ht="15" x14ac:dyDescent="0.2">
      <c r="A7380" s="597">
        <v>43586</v>
      </c>
      <c r="B7380" s="41" t="s">
        <v>3946</v>
      </c>
      <c r="C7380" s="41" t="s">
        <v>2503</v>
      </c>
      <c r="D7380" s="108" t="s">
        <v>4077</v>
      </c>
      <c r="E7380" s="58">
        <v>38750</v>
      </c>
      <c r="F7380" s="58"/>
      <c r="G7380" s="58">
        <f t="shared" si="120"/>
        <v>-38750</v>
      </c>
      <c r="H7380" s="121" t="s">
        <v>4855</v>
      </c>
    </row>
    <row r="7381" spans="1:8" ht="15" x14ac:dyDescent="0.2">
      <c r="A7381" s="597">
        <v>43586</v>
      </c>
      <c r="B7381" s="41" t="s">
        <v>3946</v>
      </c>
      <c r="C7381" s="41" t="s">
        <v>2503</v>
      </c>
      <c r="D7381" s="108" t="s">
        <v>4555</v>
      </c>
      <c r="E7381" s="58">
        <v>29520.333333333336</v>
      </c>
      <c r="F7381" s="58"/>
      <c r="G7381" s="58">
        <f t="shared" si="120"/>
        <v>-29520.333333333336</v>
      </c>
      <c r="H7381" s="121" t="s">
        <v>4855</v>
      </c>
    </row>
    <row r="7382" spans="1:8" ht="15" x14ac:dyDescent="0.2">
      <c r="A7382" s="597">
        <v>43586</v>
      </c>
      <c r="B7382" s="41" t="s">
        <v>3946</v>
      </c>
      <c r="C7382" s="41" t="s">
        <v>2503</v>
      </c>
      <c r="D7382" s="108" t="s">
        <v>2758</v>
      </c>
      <c r="E7382" s="58">
        <v>21391.666666666664</v>
      </c>
      <c r="F7382" s="58"/>
      <c r="G7382" s="58">
        <f t="shared" si="120"/>
        <v>-21391.666666666664</v>
      </c>
      <c r="H7382" s="121" t="s">
        <v>4855</v>
      </c>
    </row>
    <row r="7383" spans="1:8" ht="15" x14ac:dyDescent="0.2">
      <c r="A7383" s="597">
        <v>43586</v>
      </c>
      <c r="B7383" s="41" t="s">
        <v>3946</v>
      </c>
      <c r="C7383" s="41" t="s">
        <v>2503</v>
      </c>
      <c r="D7383" s="108" t="s">
        <v>4325</v>
      </c>
      <c r="E7383" s="58">
        <v>21000</v>
      </c>
      <c r="F7383" s="58"/>
      <c r="G7383" s="58">
        <f t="shared" si="120"/>
        <v>-21000</v>
      </c>
      <c r="H7383" s="121" t="s">
        <v>4855</v>
      </c>
    </row>
    <row r="7384" spans="1:8" ht="15" x14ac:dyDescent="0.2">
      <c r="A7384" s="597">
        <v>43586</v>
      </c>
      <c r="B7384" s="41" t="s">
        <v>3946</v>
      </c>
      <c r="C7384" s="41" t="s">
        <v>2503</v>
      </c>
      <c r="D7384" s="108" t="s">
        <v>4192</v>
      </c>
      <c r="E7384" s="58">
        <v>36208.333333333336</v>
      </c>
      <c r="F7384" s="58"/>
      <c r="G7384" s="58">
        <f t="shared" si="120"/>
        <v>-36208.333333333336</v>
      </c>
      <c r="H7384" s="121" t="s">
        <v>4855</v>
      </c>
    </row>
    <row r="7385" spans="1:8" ht="15" x14ac:dyDescent="0.2">
      <c r="A7385" s="597">
        <v>43586</v>
      </c>
      <c r="B7385" s="41" t="s">
        <v>3946</v>
      </c>
      <c r="C7385" s="41" t="s">
        <v>2503</v>
      </c>
      <c r="D7385" s="108" t="s">
        <v>4933</v>
      </c>
      <c r="E7385" s="58">
        <v>14733.333333333334</v>
      </c>
      <c r="F7385" s="58"/>
      <c r="G7385" s="58">
        <f t="shared" si="120"/>
        <v>-14733.333333333334</v>
      </c>
      <c r="H7385" s="121" t="s">
        <v>4855</v>
      </c>
    </row>
    <row r="7386" spans="1:8" ht="15" x14ac:dyDescent="0.2">
      <c r="A7386" s="597">
        <v>43586</v>
      </c>
      <c r="B7386" s="41" t="s">
        <v>1400</v>
      </c>
      <c r="C7386" s="41" t="s">
        <v>2503</v>
      </c>
      <c r="D7386" s="108" t="s">
        <v>1858</v>
      </c>
      <c r="E7386" s="58">
        <v>42660.125</v>
      </c>
      <c r="F7386" s="58"/>
      <c r="G7386" s="58">
        <f t="shared" si="120"/>
        <v>-42660.125</v>
      </c>
      <c r="H7386" s="121" t="s">
        <v>4855</v>
      </c>
    </row>
    <row r="7387" spans="1:8" ht="15" x14ac:dyDescent="0.2">
      <c r="A7387" s="597">
        <v>43586</v>
      </c>
      <c r="B7387" s="41" t="s">
        <v>1400</v>
      </c>
      <c r="C7387" s="41" t="s">
        <v>2503</v>
      </c>
      <c r="D7387" s="108" t="s">
        <v>1684</v>
      </c>
      <c r="E7387" s="58">
        <v>35000</v>
      </c>
      <c r="F7387" s="58"/>
      <c r="G7387" s="58">
        <f t="shared" si="120"/>
        <v>-35000</v>
      </c>
      <c r="H7387" s="121" t="s">
        <v>4855</v>
      </c>
    </row>
    <row r="7388" spans="1:8" ht="15" x14ac:dyDescent="0.2">
      <c r="A7388" s="597">
        <v>43586</v>
      </c>
      <c r="B7388" s="41" t="s">
        <v>1400</v>
      </c>
      <c r="C7388" s="41" t="s">
        <v>2503</v>
      </c>
      <c r="D7388" s="108" t="s">
        <v>2482</v>
      </c>
      <c r="E7388" s="58">
        <v>18300</v>
      </c>
      <c r="F7388" s="58"/>
      <c r="G7388" s="58">
        <f t="shared" si="120"/>
        <v>-18300</v>
      </c>
      <c r="H7388" s="121" t="s">
        <v>4855</v>
      </c>
    </row>
    <row r="7389" spans="1:8" ht="15" x14ac:dyDescent="0.2">
      <c r="A7389" s="597">
        <v>43586</v>
      </c>
      <c r="B7389" s="41" t="s">
        <v>1400</v>
      </c>
      <c r="C7389" s="41" t="s">
        <v>2503</v>
      </c>
      <c r="D7389" s="108" t="s">
        <v>1550</v>
      </c>
      <c r="E7389" s="58">
        <v>10266.666666666668</v>
      </c>
      <c r="F7389" s="58"/>
      <c r="G7389" s="58">
        <f t="shared" si="120"/>
        <v>-10266.666666666668</v>
      </c>
      <c r="H7389" s="121" t="s">
        <v>4855</v>
      </c>
    </row>
    <row r="7390" spans="1:8" ht="15" x14ac:dyDescent="0.2">
      <c r="A7390" s="597">
        <v>43586</v>
      </c>
      <c r="B7390" s="41" t="s">
        <v>1400</v>
      </c>
      <c r="C7390" s="41" t="s">
        <v>2503</v>
      </c>
      <c r="D7390" s="108" t="s">
        <v>1871</v>
      </c>
      <c r="E7390" s="58">
        <v>39000</v>
      </c>
      <c r="F7390" s="58"/>
      <c r="G7390" s="58">
        <f t="shared" si="120"/>
        <v>-39000</v>
      </c>
      <c r="H7390" s="121" t="s">
        <v>4855</v>
      </c>
    </row>
    <row r="7391" spans="1:8" ht="15" customHeight="1" x14ac:dyDescent="0.2">
      <c r="A7391" s="597">
        <v>43586</v>
      </c>
      <c r="B7391" s="41" t="s">
        <v>1400</v>
      </c>
      <c r="C7391" s="41" t="s">
        <v>2503</v>
      </c>
      <c r="D7391" s="108" t="s">
        <v>3231</v>
      </c>
      <c r="E7391" s="58">
        <v>38310</v>
      </c>
      <c r="F7391" s="58"/>
      <c r="G7391" s="58">
        <f t="shared" si="120"/>
        <v>-38310</v>
      </c>
      <c r="H7391" s="121" t="s">
        <v>4855</v>
      </c>
    </row>
    <row r="7392" spans="1:8" ht="15" x14ac:dyDescent="0.2">
      <c r="A7392" s="597">
        <v>43586</v>
      </c>
      <c r="B7392" s="41" t="s">
        <v>1400</v>
      </c>
      <c r="C7392" s="41" t="s">
        <v>2503</v>
      </c>
      <c r="D7392" s="108" t="s">
        <v>3491</v>
      </c>
      <c r="E7392" s="58">
        <v>6133.3333333333339</v>
      </c>
      <c r="F7392" s="58"/>
      <c r="G7392" s="58">
        <f t="shared" si="120"/>
        <v>-6133.3333333333339</v>
      </c>
      <c r="H7392" s="121" t="s">
        <v>4855</v>
      </c>
    </row>
    <row r="7393" spans="1:8" ht="15" x14ac:dyDescent="0.2">
      <c r="A7393" s="597">
        <v>43586</v>
      </c>
      <c r="B7393" s="41" t="s">
        <v>1400</v>
      </c>
      <c r="C7393" s="41" t="s">
        <v>2503</v>
      </c>
      <c r="D7393" s="108" t="s">
        <v>1542</v>
      </c>
      <c r="E7393" s="58">
        <v>7200</v>
      </c>
      <c r="F7393" s="58"/>
      <c r="G7393" s="58">
        <f t="shared" si="120"/>
        <v>-7200</v>
      </c>
      <c r="H7393" s="121" t="s">
        <v>4855</v>
      </c>
    </row>
    <row r="7394" spans="1:8" ht="15" x14ac:dyDescent="0.2">
      <c r="A7394" s="597">
        <v>43586</v>
      </c>
      <c r="B7394" s="41" t="s">
        <v>1400</v>
      </c>
      <c r="C7394" s="41" t="s">
        <v>2503</v>
      </c>
      <c r="D7394" s="108" t="s">
        <v>1850</v>
      </c>
      <c r="E7394" s="58">
        <v>6933.3333333333339</v>
      </c>
      <c r="F7394" s="58"/>
      <c r="G7394" s="58">
        <f t="shared" si="120"/>
        <v>-6933.3333333333339</v>
      </c>
      <c r="H7394" s="121" t="s">
        <v>4855</v>
      </c>
    </row>
    <row r="7395" spans="1:8" ht="15" x14ac:dyDescent="0.2">
      <c r="A7395" s="597">
        <v>43586</v>
      </c>
      <c r="B7395" s="41" t="s">
        <v>1400</v>
      </c>
      <c r="C7395" s="41" t="s">
        <v>2503</v>
      </c>
      <c r="D7395" s="108" t="s">
        <v>3492</v>
      </c>
      <c r="E7395" s="58">
        <v>1537.5</v>
      </c>
      <c r="F7395" s="58"/>
      <c r="G7395" s="58">
        <f t="shared" si="120"/>
        <v>-1537.5</v>
      </c>
      <c r="H7395" s="121" t="s">
        <v>4855</v>
      </c>
    </row>
    <row r="7396" spans="1:8" ht="15" x14ac:dyDescent="0.2">
      <c r="A7396" s="597">
        <v>43586</v>
      </c>
      <c r="B7396" s="41" t="s">
        <v>1400</v>
      </c>
      <c r="C7396" s="41" t="s">
        <v>2503</v>
      </c>
      <c r="D7396" s="108" t="s">
        <v>3068</v>
      </c>
      <c r="E7396" s="58">
        <v>7066.6666666666679</v>
      </c>
      <c r="F7396" s="58"/>
      <c r="G7396" s="58">
        <f t="shared" si="120"/>
        <v>-7066.6666666666679</v>
      </c>
      <c r="H7396" s="121" t="s">
        <v>4855</v>
      </c>
    </row>
    <row r="7397" spans="1:8" ht="15" x14ac:dyDescent="0.2">
      <c r="A7397" s="597">
        <v>43586</v>
      </c>
      <c r="B7397" s="41" t="s">
        <v>4721</v>
      </c>
      <c r="C7397" s="41" t="s">
        <v>2503</v>
      </c>
      <c r="D7397" s="108" t="s">
        <v>4707</v>
      </c>
      <c r="E7397" s="58">
        <v>16350</v>
      </c>
      <c r="F7397" s="58"/>
      <c r="G7397" s="58">
        <f t="shared" si="120"/>
        <v>-16350</v>
      </c>
      <c r="H7397" s="121" t="s">
        <v>4855</v>
      </c>
    </row>
    <row r="7398" spans="1:8" ht="15" x14ac:dyDescent="0.2">
      <c r="A7398" s="597">
        <v>43586</v>
      </c>
      <c r="B7398" s="41" t="s">
        <v>4721</v>
      </c>
      <c r="C7398" s="41" t="s">
        <v>2503</v>
      </c>
      <c r="D7398" s="108" t="s">
        <v>2238</v>
      </c>
      <c r="E7398" s="58">
        <v>26850</v>
      </c>
      <c r="F7398" s="58"/>
      <c r="G7398" s="58">
        <f t="shared" si="120"/>
        <v>-26850</v>
      </c>
      <c r="H7398" s="121" t="s">
        <v>4855</v>
      </c>
    </row>
    <row r="7399" spans="1:8" ht="15" x14ac:dyDescent="0.2">
      <c r="A7399" s="597">
        <v>43586</v>
      </c>
      <c r="B7399" s="41" t="s">
        <v>4721</v>
      </c>
      <c r="C7399" s="41" t="s">
        <v>2503</v>
      </c>
      <c r="D7399" s="108" t="s">
        <v>4709</v>
      </c>
      <c r="E7399" s="58">
        <v>16400</v>
      </c>
      <c r="F7399" s="58"/>
      <c r="G7399" s="58">
        <f t="shared" si="120"/>
        <v>-16400</v>
      </c>
      <c r="H7399" s="121" t="s">
        <v>4855</v>
      </c>
    </row>
    <row r="7400" spans="1:8" ht="15" x14ac:dyDescent="0.2">
      <c r="A7400" s="597">
        <v>43586</v>
      </c>
      <c r="B7400" s="41" t="s">
        <v>4721</v>
      </c>
      <c r="C7400" s="41" t="s">
        <v>2503</v>
      </c>
      <c r="D7400" s="108" t="s">
        <v>1086</v>
      </c>
      <c r="E7400" s="58">
        <v>23250</v>
      </c>
      <c r="F7400" s="58"/>
      <c r="G7400" s="58">
        <f t="shared" si="120"/>
        <v>-23250</v>
      </c>
      <c r="H7400" s="121" t="s">
        <v>4855</v>
      </c>
    </row>
    <row r="7401" spans="1:8" ht="15" x14ac:dyDescent="0.2">
      <c r="A7401" s="597">
        <v>43586</v>
      </c>
      <c r="B7401" s="41" t="s">
        <v>4721</v>
      </c>
      <c r="C7401" s="41" t="s">
        <v>2503</v>
      </c>
      <c r="D7401" s="108" t="s">
        <v>2761</v>
      </c>
      <c r="E7401" s="58">
        <v>21190</v>
      </c>
      <c r="F7401" s="58"/>
      <c r="G7401" s="58">
        <f t="shared" si="120"/>
        <v>-21190</v>
      </c>
      <c r="H7401" s="121" t="s">
        <v>4855</v>
      </c>
    </row>
    <row r="7402" spans="1:8" ht="15" x14ac:dyDescent="0.2">
      <c r="A7402" s="597">
        <v>43586</v>
      </c>
      <c r="B7402" s="41" t="s">
        <v>4721</v>
      </c>
      <c r="C7402" s="41" t="s">
        <v>2503</v>
      </c>
      <c r="D7402" s="108" t="s">
        <v>2481</v>
      </c>
      <c r="E7402" s="58">
        <v>13299.875</v>
      </c>
      <c r="F7402" s="58"/>
      <c r="G7402" s="58">
        <f t="shared" si="120"/>
        <v>-13299.875</v>
      </c>
      <c r="H7402" s="121" t="s">
        <v>4855</v>
      </c>
    </row>
    <row r="7403" spans="1:8" ht="15" x14ac:dyDescent="0.2">
      <c r="A7403" s="597">
        <v>43586</v>
      </c>
      <c r="B7403" s="41" t="s">
        <v>6516</v>
      </c>
      <c r="C7403" s="41" t="s">
        <v>2503</v>
      </c>
      <c r="D7403" s="108" t="s">
        <v>1855</v>
      </c>
      <c r="E7403" s="58">
        <v>25000</v>
      </c>
      <c r="F7403" s="58"/>
      <c r="G7403" s="58">
        <f t="shared" ref="G7403:G7466" si="121">F7403-E7403</f>
        <v>-25000</v>
      </c>
      <c r="H7403" s="121" t="s">
        <v>4855</v>
      </c>
    </row>
    <row r="7404" spans="1:8" ht="15" x14ac:dyDescent="0.2">
      <c r="A7404" s="597">
        <v>43586</v>
      </c>
      <c r="B7404" s="41" t="s">
        <v>6516</v>
      </c>
      <c r="C7404" s="41" t="s">
        <v>2503</v>
      </c>
      <c r="D7404" s="108" t="s">
        <v>1861</v>
      </c>
      <c r="E7404" s="58">
        <v>20325</v>
      </c>
      <c r="F7404" s="58"/>
      <c r="G7404" s="58">
        <f t="shared" si="121"/>
        <v>-20325</v>
      </c>
      <c r="H7404" s="121" t="s">
        <v>4855</v>
      </c>
    </row>
    <row r="7405" spans="1:8" ht="15" x14ac:dyDescent="0.2">
      <c r="A7405" s="597">
        <v>43586</v>
      </c>
      <c r="B7405" s="41" t="s">
        <v>6516</v>
      </c>
      <c r="C7405" s="41" t="s">
        <v>2503</v>
      </c>
      <c r="D7405" s="108" t="s">
        <v>1849</v>
      </c>
      <c r="E7405" s="58">
        <v>19975</v>
      </c>
      <c r="F7405" s="58"/>
      <c r="G7405" s="58">
        <f t="shared" si="121"/>
        <v>-19975</v>
      </c>
      <c r="H7405" s="121" t="s">
        <v>4855</v>
      </c>
    </row>
    <row r="7406" spans="1:8" ht="15" x14ac:dyDescent="0.2">
      <c r="A7406" s="597">
        <v>43586</v>
      </c>
      <c r="B7406" s="41" t="s">
        <v>6516</v>
      </c>
      <c r="C7406" s="41" t="s">
        <v>2503</v>
      </c>
      <c r="D7406" s="108" t="s">
        <v>3615</v>
      </c>
      <c r="E7406" s="58">
        <v>14850</v>
      </c>
      <c r="F7406" s="58"/>
      <c r="G7406" s="58">
        <f t="shared" si="121"/>
        <v>-14850</v>
      </c>
      <c r="H7406" s="121" t="s">
        <v>4855</v>
      </c>
    </row>
    <row r="7407" spans="1:8" ht="15" x14ac:dyDescent="0.2">
      <c r="A7407" s="597">
        <v>43586</v>
      </c>
      <c r="B7407" s="41" t="s">
        <v>6516</v>
      </c>
      <c r="C7407" s="41" t="s">
        <v>2503</v>
      </c>
      <c r="D7407" s="108" t="s">
        <v>4934</v>
      </c>
      <c r="E7407" s="58">
        <v>3222.9166666666665</v>
      </c>
      <c r="F7407" s="58"/>
      <c r="G7407" s="58">
        <f t="shared" si="121"/>
        <v>-3222.9166666666665</v>
      </c>
      <c r="H7407" s="121" t="s">
        <v>4855</v>
      </c>
    </row>
    <row r="7408" spans="1:8" ht="15" x14ac:dyDescent="0.2">
      <c r="A7408" s="597">
        <v>43586</v>
      </c>
      <c r="B7408" s="41" t="s">
        <v>6516</v>
      </c>
      <c r="C7408" s="41" t="s">
        <v>2503</v>
      </c>
      <c r="D7408" s="108" t="s">
        <v>4710</v>
      </c>
      <c r="E7408" s="58">
        <v>12500</v>
      </c>
      <c r="F7408" s="58"/>
      <c r="G7408" s="58">
        <f t="shared" si="121"/>
        <v>-12500</v>
      </c>
      <c r="H7408" s="121" t="s">
        <v>4855</v>
      </c>
    </row>
    <row r="7409" spans="1:8" ht="15" x14ac:dyDescent="0.2">
      <c r="A7409" s="597">
        <v>43586</v>
      </c>
      <c r="B7409" s="41" t="s">
        <v>37</v>
      </c>
      <c r="C7409" s="41" t="s">
        <v>2503</v>
      </c>
      <c r="D7409" s="108" t="s">
        <v>1866</v>
      </c>
      <c r="E7409" s="58">
        <v>23100</v>
      </c>
      <c r="F7409" s="58"/>
      <c r="G7409" s="58">
        <f t="shared" si="121"/>
        <v>-23100</v>
      </c>
      <c r="H7409" s="121" t="s">
        <v>4855</v>
      </c>
    </row>
    <row r="7410" spans="1:8" ht="15" x14ac:dyDescent="0.2">
      <c r="A7410" s="597">
        <v>43586</v>
      </c>
      <c r="B7410" s="41" t="s">
        <v>37</v>
      </c>
      <c r="C7410" s="41" t="s">
        <v>2503</v>
      </c>
      <c r="D7410" s="108" t="s">
        <v>1867</v>
      </c>
      <c r="E7410" s="58">
        <v>14940</v>
      </c>
      <c r="F7410" s="58"/>
      <c r="G7410" s="58">
        <f t="shared" si="121"/>
        <v>-14940</v>
      </c>
      <c r="H7410" s="121" t="s">
        <v>4855</v>
      </c>
    </row>
    <row r="7411" spans="1:8" ht="15" x14ac:dyDescent="0.2">
      <c r="A7411" s="597">
        <v>43586</v>
      </c>
      <c r="B7411" s="41" t="s">
        <v>37</v>
      </c>
      <c r="C7411" s="41" t="s">
        <v>2503</v>
      </c>
      <c r="D7411" s="108" t="s">
        <v>1868</v>
      </c>
      <c r="E7411" s="58">
        <v>16920</v>
      </c>
      <c r="F7411" s="58"/>
      <c r="G7411" s="58">
        <f t="shared" si="121"/>
        <v>-16920</v>
      </c>
      <c r="H7411" s="121" t="s">
        <v>4855</v>
      </c>
    </row>
    <row r="7412" spans="1:8" ht="15" x14ac:dyDescent="0.2">
      <c r="A7412" s="597">
        <v>43586</v>
      </c>
      <c r="B7412" s="41" t="s">
        <v>37</v>
      </c>
      <c r="C7412" s="41" t="s">
        <v>2503</v>
      </c>
      <c r="D7412" s="108" t="s">
        <v>4560</v>
      </c>
      <c r="E7412" s="58">
        <v>13541.666666666666</v>
      </c>
      <c r="F7412" s="58"/>
      <c r="G7412" s="58">
        <f t="shared" si="121"/>
        <v>-13541.666666666666</v>
      </c>
      <c r="H7412" s="121" t="s">
        <v>4855</v>
      </c>
    </row>
    <row r="7413" spans="1:8" ht="15" x14ac:dyDescent="0.2">
      <c r="A7413" s="597">
        <v>43586</v>
      </c>
      <c r="B7413" s="41" t="s">
        <v>37</v>
      </c>
      <c r="C7413" s="41" t="s">
        <v>2503</v>
      </c>
      <c r="D7413" s="108" t="s">
        <v>4561</v>
      </c>
      <c r="E7413" s="58">
        <v>11866.666666666668</v>
      </c>
      <c r="F7413" s="58"/>
      <c r="G7413" s="58">
        <f t="shared" si="121"/>
        <v>-11866.666666666668</v>
      </c>
      <c r="H7413" s="121" t="s">
        <v>4855</v>
      </c>
    </row>
    <row r="7414" spans="1:8" ht="15" x14ac:dyDescent="0.2">
      <c r="A7414" s="597">
        <v>43586</v>
      </c>
      <c r="B7414" s="41" t="s">
        <v>37</v>
      </c>
      <c r="C7414" s="41" t="s">
        <v>2503</v>
      </c>
      <c r="D7414" s="108" t="s">
        <v>1240</v>
      </c>
      <c r="E7414" s="58">
        <v>26470.000000000004</v>
      </c>
      <c r="F7414" s="58"/>
      <c r="G7414" s="58">
        <f t="shared" si="121"/>
        <v>-26470.000000000004</v>
      </c>
      <c r="H7414" s="121" t="s">
        <v>4855</v>
      </c>
    </row>
    <row r="7415" spans="1:8" ht="15" x14ac:dyDescent="0.2">
      <c r="A7415" s="597">
        <v>43586</v>
      </c>
      <c r="B7415" s="41" t="s">
        <v>2933</v>
      </c>
      <c r="C7415" s="41" t="s">
        <v>2503</v>
      </c>
      <c r="D7415" s="108" t="s">
        <v>1864</v>
      </c>
      <c r="E7415" s="58">
        <v>38391.666666666664</v>
      </c>
      <c r="F7415" s="58"/>
      <c r="G7415" s="58">
        <f t="shared" si="121"/>
        <v>-38391.666666666664</v>
      </c>
      <c r="H7415" s="121" t="s">
        <v>4855</v>
      </c>
    </row>
    <row r="7416" spans="1:8" ht="15" x14ac:dyDescent="0.2">
      <c r="A7416" s="597">
        <v>43586</v>
      </c>
      <c r="B7416" s="41" t="s">
        <v>2933</v>
      </c>
      <c r="C7416" s="41" t="s">
        <v>2503</v>
      </c>
      <c r="D7416" s="108" t="s">
        <v>1845</v>
      </c>
      <c r="E7416" s="58">
        <v>24469.916666666668</v>
      </c>
      <c r="F7416" s="58"/>
      <c r="G7416" s="58">
        <f t="shared" si="121"/>
        <v>-24469.916666666668</v>
      </c>
      <c r="H7416" s="121" t="s">
        <v>4855</v>
      </c>
    </row>
    <row r="7417" spans="1:8" ht="15" x14ac:dyDescent="0.2">
      <c r="A7417" s="597">
        <v>43586</v>
      </c>
      <c r="B7417" s="41" t="s">
        <v>2933</v>
      </c>
      <c r="C7417" s="41" t="s">
        <v>2503</v>
      </c>
      <c r="D7417" s="108" t="s">
        <v>1852</v>
      </c>
      <c r="E7417" s="58">
        <v>28800</v>
      </c>
      <c r="F7417" s="58"/>
      <c r="G7417" s="58">
        <f t="shared" si="121"/>
        <v>-28800</v>
      </c>
      <c r="H7417" s="121" t="s">
        <v>4855</v>
      </c>
    </row>
    <row r="7418" spans="1:8" ht="15" customHeight="1" x14ac:dyDescent="0.2">
      <c r="A7418" s="597">
        <v>43586</v>
      </c>
      <c r="B7418" s="41" t="s">
        <v>2933</v>
      </c>
      <c r="C7418" s="41" t="s">
        <v>2503</v>
      </c>
      <c r="D7418" s="108" t="s">
        <v>3234</v>
      </c>
      <c r="E7418" s="58">
        <v>19059.916666666668</v>
      </c>
      <c r="F7418" s="58"/>
      <c r="G7418" s="58">
        <f t="shared" si="121"/>
        <v>-19059.916666666668</v>
      </c>
      <c r="H7418" s="121" t="s">
        <v>4855</v>
      </c>
    </row>
    <row r="7419" spans="1:8" ht="15" customHeight="1" x14ac:dyDescent="0.2">
      <c r="A7419" s="597">
        <v>43586</v>
      </c>
      <c r="B7419" s="41" t="s">
        <v>2933</v>
      </c>
      <c r="C7419" s="41" t="s">
        <v>2503</v>
      </c>
      <c r="D7419" s="108" t="s">
        <v>1859</v>
      </c>
      <c r="E7419" s="58">
        <v>16000</v>
      </c>
      <c r="F7419" s="58"/>
      <c r="G7419" s="58">
        <f t="shared" si="121"/>
        <v>-16000</v>
      </c>
      <c r="H7419" s="121" t="s">
        <v>4855</v>
      </c>
    </row>
    <row r="7420" spans="1:8" ht="15" customHeight="1" x14ac:dyDescent="0.2">
      <c r="A7420" s="597">
        <v>43586</v>
      </c>
      <c r="B7420" s="41" t="s">
        <v>2933</v>
      </c>
      <c r="C7420" s="41" t="s">
        <v>2503</v>
      </c>
      <c r="D7420" s="108" t="s">
        <v>4930</v>
      </c>
      <c r="E7420" s="58">
        <v>14440</v>
      </c>
      <c r="F7420" s="58"/>
      <c r="G7420" s="58">
        <f t="shared" si="121"/>
        <v>-14440</v>
      </c>
      <c r="H7420" s="121" t="s">
        <v>4855</v>
      </c>
    </row>
    <row r="7421" spans="1:8" ht="15" customHeight="1" x14ac:dyDescent="0.2">
      <c r="A7421" s="597">
        <v>43586</v>
      </c>
      <c r="B7421" s="41" t="s">
        <v>2933</v>
      </c>
      <c r="C7421" s="41" t="s">
        <v>2503</v>
      </c>
      <c r="D7421" s="108" t="s">
        <v>4931</v>
      </c>
      <c r="E7421" s="58">
        <v>13200</v>
      </c>
      <c r="F7421" s="58"/>
      <c r="G7421" s="58">
        <f t="shared" si="121"/>
        <v>-13200</v>
      </c>
      <c r="H7421" s="121" t="s">
        <v>4855</v>
      </c>
    </row>
    <row r="7422" spans="1:8" ht="15" x14ac:dyDescent="0.2">
      <c r="A7422" s="597">
        <v>43586</v>
      </c>
      <c r="B7422" s="41" t="s">
        <v>2933</v>
      </c>
      <c r="C7422" s="41" t="s">
        <v>2503</v>
      </c>
      <c r="D7422" s="108" t="s">
        <v>668</v>
      </c>
      <c r="E7422" s="58">
        <v>15800</v>
      </c>
      <c r="F7422" s="58"/>
      <c r="G7422" s="58">
        <f t="shared" si="121"/>
        <v>-15800</v>
      </c>
      <c r="H7422" s="121" t="s">
        <v>4855</v>
      </c>
    </row>
    <row r="7423" spans="1:8" ht="15" x14ac:dyDescent="0.2">
      <c r="A7423" s="597">
        <v>43586</v>
      </c>
      <c r="B7423" s="41" t="s">
        <v>2933</v>
      </c>
      <c r="C7423" s="41" t="s">
        <v>2503</v>
      </c>
      <c r="D7423" s="108" t="s">
        <v>352</v>
      </c>
      <c r="E7423" s="58">
        <v>6112.5</v>
      </c>
      <c r="F7423" s="58"/>
      <c r="G7423" s="58">
        <f t="shared" si="121"/>
        <v>-6112.5</v>
      </c>
      <c r="H7423" s="121" t="s">
        <v>4855</v>
      </c>
    </row>
    <row r="7424" spans="1:8" ht="15" x14ac:dyDescent="0.2">
      <c r="A7424" s="597">
        <v>43586</v>
      </c>
      <c r="B7424" s="41" t="s">
        <v>2933</v>
      </c>
      <c r="C7424" s="41" t="s">
        <v>2503</v>
      </c>
      <c r="D7424" s="108" t="s">
        <v>61</v>
      </c>
      <c r="E7424" s="58">
        <v>8450</v>
      </c>
      <c r="F7424" s="58"/>
      <c r="G7424" s="58">
        <f t="shared" si="121"/>
        <v>-8450</v>
      </c>
      <c r="H7424" s="121" t="s">
        <v>4855</v>
      </c>
    </row>
    <row r="7425" spans="1:8" ht="15" x14ac:dyDescent="0.2">
      <c r="A7425" s="597">
        <v>43586</v>
      </c>
      <c r="B7425" s="41" t="s">
        <v>2933</v>
      </c>
      <c r="C7425" s="41" t="s">
        <v>2503</v>
      </c>
      <c r="D7425" s="108" t="s">
        <v>3490</v>
      </c>
      <c r="E7425" s="58">
        <v>10770.000000000002</v>
      </c>
      <c r="F7425" s="58"/>
      <c r="G7425" s="58">
        <f t="shared" si="121"/>
        <v>-10770.000000000002</v>
      </c>
      <c r="H7425" s="121" t="s">
        <v>4855</v>
      </c>
    </row>
    <row r="7426" spans="1:8" ht="15" x14ac:dyDescent="0.2">
      <c r="A7426" s="597">
        <v>43586</v>
      </c>
      <c r="B7426" s="41" t="s">
        <v>2652</v>
      </c>
      <c r="C7426" s="41" t="s">
        <v>2503</v>
      </c>
      <c r="D7426" s="108" t="s">
        <v>3616</v>
      </c>
      <c r="E7426" s="58">
        <v>40000</v>
      </c>
      <c r="F7426" s="58"/>
      <c r="G7426" s="58">
        <f t="shared" si="121"/>
        <v>-40000</v>
      </c>
      <c r="H7426" s="121" t="s">
        <v>4855</v>
      </c>
    </row>
    <row r="7427" spans="1:8" ht="15" x14ac:dyDescent="0.2">
      <c r="A7427" s="597">
        <v>43586</v>
      </c>
      <c r="B7427" s="41" t="s">
        <v>2652</v>
      </c>
      <c r="C7427" s="41" t="s">
        <v>2503</v>
      </c>
      <c r="D7427" s="108" t="s">
        <v>1847</v>
      </c>
      <c r="E7427" s="58">
        <v>18000</v>
      </c>
      <c r="F7427" s="58"/>
      <c r="G7427" s="58">
        <f t="shared" si="121"/>
        <v>-18000</v>
      </c>
      <c r="H7427" s="121" t="s">
        <v>4855</v>
      </c>
    </row>
    <row r="7428" spans="1:8" ht="15" x14ac:dyDescent="0.2">
      <c r="A7428" s="597">
        <v>43586</v>
      </c>
      <c r="B7428" s="41" t="s">
        <v>2652</v>
      </c>
      <c r="C7428" s="41" t="s">
        <v>2503</v>
      </c>
      <c r="D7428" s="108" t="s">
        <v>2283</v>
      </c>
      <c r="E7428" s="58">
        <v>23000</v>
      </c>
      <c r="F7428" s="58"/>
      <c r="G7428" s="58">
        <f t="shared" si="121"/>
        <v>-23000</v>
      </c>
      <c r="H7428" s="121" t="s">
        <v>4855</v>
      </c>
    </row>
    <row r="7429" spans="1:8" ht="15" x14ac:dyDescent="0.2">
      <c r="A7429" s="597">
        <v>43586</v>
      </c>
      <c r="B7429" s="41" t="s">
        <v>2652</v>
      </c>
      <c r="C7429" s="41" t="s">
        <v>2503</v>
      </c>
      <c r="D7429" s="108" t="s">
        <v>2280</v>
      </c>
      <c r="E7429" s="58">
        <v>19000</v>
      </c>
      <c r="F7429" s="58"/>
      <c r="G7429" s="58">
        <f t="shared" si="121"/>
        <v>-19000</v>
      </c>
      <c r="H7429" s="121" t="s">
        <v>4855</v>
      </c>
    </row>
    <row r="7430" spans="1:8" ht="15" x14ac:dyDescent="0.2">
      <c r="A7430" s="597">
        <v>43586</v>
      </c>
      <c r="B7430" s="41" t="s">
        <v>2652</v>
      </c>
      <c r="C7430" s="41" t="s">
        <v>2503</v>
      </c>
      <c r="D7430" s="108" t="s">
        <v>1862</v>
      </c>
      <c r="E7430" s="58">
        <v>16500</v>
      </c>
      <c r="F7430" s="58"/>
      <c r="G7430" s="58">
        <f t="shared" si="121"/>
        <v>-16500</v>
      </c>
      <c r="H7430" s="121" t="s">
        <v>4855</v>
      </c>
    </row>
    <row r="7431" spans="1:8" ht="15" x14ac:dyDescent="0.2">
      <c r="A7431" s="597">
        <v>43586</v>
      </c>
      <c r="B7431" s="41" t="s">
        <v>2652</v>
      </c>
      <c r="C7431" s="41" t="s">
        <v>2503</v>
      </c>
      <c r="D7431" s="108" t="s">
        <v>1860</v>
      </c>
      <c r="E7431" s="58">
        <v>13200.25</v>
      </c>
      <c r="F7431" s="58"/>
      <c r="G7431" s="58">
        <f t="shared" si="121"/>
        <v>-13200.25</v>
      </c>
      <c r="H7431" s="121" t="s">
        <v>4855</v>
      </c>
    </row>
    <row r="7432" spans="1:8" ht="15" x14ac:dyDescent="0.2">
      <c r="A7432" s="597">
        <v>43586</v>
      </c>
      <c r="B7432" s="41" t="s">
        <v>2652</v>
      </c>
      <c r="C7432" s="41" t="s">
        <v>2503</v>
      </c>
      <c r="D7432" s="108" t="s">
        <v>4562</v>
      </c>
      <c r="E7432" s="58">
        <v>15000.333333333334</v>
      </c>
      <c r="F7432" s="58"/>
      <c r="G7432" s="58">
        <f t="shared" si="121"/>
        <v>-15000.333333333334</v>
      </c>
      <c r="H7432" s="121" t="s">
        <v>4855</v>
      </c>
    </row>
    <row r="7433" spans="1:8" ht="15" x14ac:dyDescent="0.2">
      <c r="A7433" s="597">
        <v>43586</v>
      </c>
      <c r="B7433" s="41" t="s">
        <v>2652</v>
      </c>
      <c r="C7433" s="41" t="s">
        <v>2503</v>
      </c>
      <c r="D7433" s="108" t="s">
        <v>4120</v>
      </c>
      <c r="E7433" s="58">
        <v>20100</v>
      </c>
      <c r="F7433" s="58"/>
      <c r="G7433" s="58">
        <f t="shared" si="121"/>
        <v>-20100</v>
      </c>
      <c r="H7433" s="121" t="s">
        <v>4855</v>
      </c>
    </row>
    <row r="7434" spans="1:8" ht="15" x14ac:dyDescent="0.2">
      <c r="A7434" s="597">
        <v>43586</v>
      </c>
      <c r="B7434" s="41" t="s">
        <v>2652</v>
      </c>
      <c r="C7434" s="41" t="s">
        <v>2503</v>
      </c>
      <c r="D7434" s="108" t="s">
        <v>4121</v>
      </c>
      <c r="E7434" s="58">
        <v>22712.5</v>
      </c>
      <c r="F7434" s="58"/>
      <c r="G7434" s="58">
        <f t="shared" si="121"/>
        <v>-22712.5</v>
      </c>
      <c r="H7434" s="121" t="s">
        <v>4855</v>
      </c>
    </row>
    <row r="7435" spans="1:8" ht="15" x14ac:dyDescent="0.2">
      <c r="A7435" s="597">
        <v>43587</v>
      </c>
      <c r="B7435" s="41" t="s">
        <v>4553</v>
      </c>
      <c r="C7435" s="41" t="s">
        <v>3145</v>
      </c>
      <c r="D7435" s="108" t="s">
        <v>4902</v>
      </c>
      <c r="E7435" s="58">
        <v>5500</v>
      </c>
      <c r="F7435" s="58"/>
      <c r="G7435" s="58">
        <f t="shared" si="121"/>
        <v>-5500</v>
      </c>
      <c r="H7435" s="121" t="s">
        <v>4855</v>
      </c>
    </row>
    <row r="7436" spans="1:8" ht="15" x14ac:dyDescent="0.2">
      <c r="A7436" s="597">
        <v>43587</v>
      </c>
      <c r="B7436" s="41" t="s">
        <v>22</v>
      </c>
      <c r="C7436" s="41" t="s">
        <v>3145</v>
      </c>
      <c r="D7436" s="108" t="s">
        <v>4903</v>
      </c>
      <c r="E7436" s="58">
        <v>37200</v>
      </c>
      <c r="F7436" s="58"/>
      <c r="G7436" s="58">
        <f t="shared" si="121"/>
        <v>-37200</v>
      </c>
      <c r="H7436" s="121" t="s">
        <v>4855</v>
      </c>
    </row>
    <row r="7437" spans="1:8" ht="15" x14ac:dyDescent="0.2">
      <c r="A7437" s="597">
        <v>43587</v>
      </c>
      <c r="B7437" s="41" t="s">
        <v>25</v>
      </c>
      <c r="C7437" s="41" t="s">
        <v>2428</v>
      </c>
      <c r="D7437" s="108" t="s">
        <v>392</v>
      </c>
      <c r="E7437" s="58">
        <v>8000</v>
      </c>
      <c r="F7437" s="58"/>
      <c r="G7437" s="58">
        <f t="shared" si="121"/>
        <v>-8000</v>
      </c>
      <c r="H7437" s="121" t="s">
        <v>4855</v>
      </c>
    </row>
    <row r="7438" spans="1:8" ht="15" x14ac:dyDescent="0.2">
      <c r="A7438" s="597">
        <v>43587</v>
      </c>
      <c r="B7438" s="41" t="s">
        <v>25</v>
      </c>
      <c r="C7438" s="41" t="s">
        <v>286</v>
      </c>
      <c r="D7438" s="108" t="s">
        <v>4904</v>
      </c>
      <c r="E7438" s="58">
        <v>400</v>
      </c>
      <c r="F7438" s="58"/>
      <c r="G7438" s="58">
        <f t="shared" si="121"/>
        <v>-400</v>
      </c>
      <c r="H7438" s="121" t="s">
        <v>4855</v>
      </c>
    </row>
    <row r="7439" spans="1:8" ht="15" x14ac:dyDescent="0.2">
      <c r="A7439" s="597">
        <v>43587</v>
      </c>
      <c r="B7439" s="41" t="s">
        <v>37</v>
      </c>
      <c r="C7439" s="41" t="s">
        <v>3145</v>
      </c>
      <c r="D7439" s="108" t="s">
        <v>4905</v>
      </c>
      <c r="E7439" s="58">
        <v>2000</v>
      </c>
      <c r="F7439" s="58"/>
      <c r="G7439" s="58">
        <f t="shared" si="121"/>
        <v>-2000</v>
      </c>
      <c r="H7439" s="121" t="s">
        <v>4855</v>
      </c>
    </row>
    <row r="7440" spans="1:8" ht="15" x14ac:dyDescent="0.2">
      <c r="A7440" s="597">
        <v>43587</v>
      </c>
      <c r="B7440" s="41" t="s">
        <v>2652</v>
      </c>
      <c r="C7440" s="41" t="s">
        <v>3145</v>
      </c>
      <c r="D7440" s="108" t="s">
        <v>4906</v>
      </c>
      <c r="E7440" s="58">
        <v>4815</v>
      </c>
      <c r="F7440" s="58"/>
      <c r="G7440" s="58">
        <f t="shared" si="121"/>
        <v>-4815</v>
      </c>
      <c r="H7440" s="121" t="s">
        <v>4855</v>
      </c>
    </row>
    <row r="7441" spans="1:8" ht="15" x14ac:dyDescent="0.2">
      <c r="A7441" s="597">
        <v>43587</v>
      </c>
      <c r="B7441" s="41" t="s">
        <v>4721</v>
      </c>
      <c r="C7441" s="41" t="s">
        <v>3145</v>
      </c>
      <c r="D7441" s="108" t="s">
        <v>4907</v>
      </c>
      <c r="E7441" s="58">
        <v>5760</v>
      </c>
      <c r="F7441" s="58"/>
      <c r="G7441" s="58">
        <f t="shared" si="121"/>
        <v>-5760</v>
      </c>
      <c r="H7441" s="121" t="s">
        <v>4855</v>
      </c>
    </row>
    <row r="7442" spans="1:8" ht="15" x14ac:dyDescent="0.2">
      <c r="A7442" s="597">
        <v>43587</v>
      </c>
      <c r="B7442" s="41" t="s">
        <v>1400</v>
      </c>
      <c r="C7442" s="41" t="s">
        <v>4908</v>
      </c>
      <c r="D7442" s="108" t="s">
        <v>3276</v>
      </c>
      <c r="E7442" s="58">
        <v>28000</v>
      </c>
      <c r="F7442" s="58"/>
      <c r="G7442" s="58">
        <f t="shared" si="121"/>
        <v>-28000</v>
      </c>
      <c r="H7442" s="121" t="s">
        <v>4855</v>
      </c>
    </row>
    <row r="7443" spans="1:8" ht="15" x14ac:dyDescent="0.2">
      <c r="A7443" s="597">
        <v>43587</v>
      </c>
      <c r="B7443" s="41" t="s">
        <v>2652</v>
      </c>
      <c r="C7443" s="41" t="s">
        <v>4385</v>
      </c>
      <c r="D7443" s="108" t="s">
        <v>4706</v>
      </c>
      <c r="E7443" s="58">
        <v>35000</v>
      </c>
      <c r="F7443" s="58"/>
      <c r="G7443" s="58">
        <f t="shared" si="121"/>
        <v>-35000</v>
      </c>
      <c r="H7443" s="121" t="s">
        <v>4855</v>
      </c>
    </row>
    <row r="7444" spans="1:8" ht="15" x14ac:dyDescent="0.2">
      <c r="A7444" s="597">
        <v>43587</v>
      </c>
      <c r="B7444" s="41" t="s">
        <v>2933</v>
      </c>
      <c r="C7444" s="41" t="s">
        <v>4908</v>
      </c>
      <c r="D7444" s="108" t="s">
        <v>370</v>
      </c>
      <c r="E7444" s="58">
        <v>20000</v>
      </c>
      <c r="F7444" s="58"/>
      <c r="G7444" s="58">
        <f t="shared" si="121"/>
        <v>-20000</v>
      </c>
      <c r="H7444" s="121" t="s">
        <v>4855</v>
      </c>
    </row>
    <row r="7445" spans="1:8" ht="15" x14ac:dyDescent="0.2">
      <c r="A7445" s="597">
        <v>43588</v>
      </c>
      <c r="B7445" s="41" t="s">
        <v>2933</v>
      </c>
      <c r="C7445" s="41" t="s">
        <v>3145</v>
      </c>
      <c r="D7445" s="108" t="s">
        <v>4909</v>
      </c>
      <c r="E7445" s="58">
        <v>12430</v>
      </c>
      <c r="F7445" s="58"/>
      <c r="G7445" s="58">
        <f t="shared" si="121"/>
        <v>-12430</v>
      </c>
      <c r="H7445" s="121" t="s">
        <v>4855</v>
      </c>
    </row>
    <row r="7446" spans="1:8" ht="15" x14ac:dyDescent="0.2">
      <c r="A7446" s="597">
        <v>43588</v>
      </c>
      <c r="B7446" s="41" t="s">
        <v>1400</v>
      </c>
      <c r="C7446" s="41" t="s">
        <v>3145</v>
      </c>
      <c r="D7446" s="108" t="s">
        <v>4910</v>
      </c>
      <c r="E7446" s="58">
        <v>57804</v>
      </c>
      <c r="F7446" s="58"/>
      <c r="G7446" s="58">
        <f t="shared" si="121"/>
        <v>-57804</v>
      </c>
      <c r="H7446" s="121" t="s">
        <v>4855</v>
      </c>
    </row>
    <row r="7447" spans="1:8" ht="15" x14ac:dyDescent="0.2">
      <c r="A7447" s="597">
        <v>43588</v>
      </c>
      <c r="B7447" s="41" t="s">
        <v>16</v>
      </c>
      <c r="C7447" s="41" t="s">
        <v>2334</v>
      </c>
      <c r="D7447" s="108" t="s">
        <v>4911</v>
      </c>
      <c r="E7447" s="58">
        <v>6000</v>
      </c>
      <c r="F7447" s="58"/>
      <c r="G7447" s="58">
        <f t="shared" si="121"/>
        <v>-6000</v>
      </c>
      <c r="H7447" s="121" t="s">
        <v>4855</v>
      </c>
    </row>
    <row r="7448" spans="1:8" ht="15" x14ac:dyDescent="0.2">
      <c r="A7448" s="597">
        <v>43590</v>
      </c>
      <c r="B7448" s="41" t="s">
        <v>16</v>
      </c>
      <c r="C7448" s="41" t="s">
        <v>3364</v>
      </c>
      <c r="D7448" s="108" t="s">
        <v>370</v>
      </c>
      <c r="E7448" s="58">
        <v>4200</v>
      </c>
      <c r="F7448" s="58"/>
      <c r="G7448" s="58">
        <f t="shared" si="121"/>
        <v>-4200</v>
      </c>
      <c r="H7448" s="121" t="s">
        <v>4855</v>
      </c>
    </row>
    <row r="7449" spans="1:8" ht="15" x14ac:dyDescent="0.2">
      <c r="A7449" s="597">
        <v>43590</v>
      </c>
      <c r="B7449" s="41" t="s">
        <v>16</v>
      </c>
      <c r="C7449" s="41" t="s">
        <v>4912</v>
      </c>
      <c r="D7449" s="108" t="s">
        <v>4913</v>
      </c>
      <c r="E7449" s="58">
        <v>10000</v>
      </c>
      <c r="F7449" s="58"/>
      <c r="G7449" s="58">
        <f t="shared" si="121"/>
        <v>-10000</v>
      </c>
      <c r="H7449" s="121" t="s">
        <v>4855</v>
      </c>
    </row>
    <row r="7450" spans="1:8" ht="15" x14ac:dyDescent="0.2">
      <c r="A7450" s="597">
        <v>43590</v>
      </c>
      <c r="B7450" s="41" t="s">
        <v>2933</v>
      </c>
      <c r="C7450" s="41" t="s">
        <v>3145</v>
      </c>
      <c r="D7450" s="108" t="s">
        <v>4914</v>
      </c>
      <c r="E7450" s="58">
        <v>10385</v>
      </c>
      <c r="F7450" s="58"/>
      <c r="G7450" s="58">
        <f t="shared" si="121"/>
        <v>-10385</v>
      </c>
      <c r="H7450" s="121" t="s">
        <v>4855</v>
      </c>
    </row>
    <row r="7451" spans="1:8" ht="15" x14ac:dyDescent="0.2">
      <c r="A7451" s="597">
        <v>43590</v>
      </c>
      <c r="B7451" s="41" t="s">
        <v>1400</v>
      </c>
      <c r="C7451" s="41" t="s">
        <v>3145</v>
      </c>
      <c r="D7451" s="108" t="s">
        <v>4915</v>
      </c>
      <c r="E7451" s="58">
        <v>11100</v>
      </c>
      <c r="F7451" s="58"/>
      <c r="G7451" s="58">
        <f t="shared" si="121"/>
        <v>-11100</v>
      </c>
      <c r="H7451" s="121" t="s">
        <v>4855</v>
      </c>
    </row>
    <row r="7452" spans="1:8" ht="15" x14ac:dyDescent="0.2">
      <c r="A7452" s="597">
        <v>43590</v>
      </c>
      <c r="B7452" s="41" t="s">
        <v>16</v>
      </c>
      <c r="C7452" s="41" t="s">
        <v>3145</v>
      </c>
      <c r="D7452" s="108" t="s">
        <v>4916</v>
      </c>
      <c r="E7452" s="58">
        <v>5000</v>
      </c>
      <c r="F7452" s="58"/>
      <c r="G7452" s="58">
        <f t="shared" si="121"/>
        <v>-5000</v>
      </c>
      <c r="H7452" s="121" t="s">
        <v>4855</v>
      </c>
    </row>
    <row r="7453" spans="1:8" ht="15" x14ac:dyDescent="0.2">
      <c r="A7453" s="597">
        <v>43592</v>
      </c>
      <c r="B7453" s="41" t="s">
        <v>25</v>
      </c>
      <c r="C7453" s="41" t="s">
        <v>2428</v>
      </c>
      <c r="D7453" s="108" t="s">
        <v>4917</v>
      </c>
      <c r="E7453" s="58">
        <v>29468</v>
      </c>
      <c r="F7453" s="58"/>
      <c r="G7453" s="58">
        <f t="shared" si="121"/>
        <v>-29468</v>
      </c>
      <c r="H7453" s="121" t="s">
        <v>4855</v>
      </c>
    </row>
    <row r="7454" spans="1:8" ht="15" x14ac:dyDescent="0.2">
      <c r="A7454" s="597">
        <v>43592</v>
      </c>
      <c r="B7454" s="41" t="s">
        <v>16</v>
      </c>
      <c r="C7454" s="41" t="s">
        <v>3145</v>
      </c>
      <c r="D7454" s="108" t="s">
        <v>4918</v>
      </c>
      <c r="E7454" s="58">
        <v>3735</v>
      </c>
      <c r="F7454" s="58"/>
      <c r="G7454" s="58">
        <f t="shared" si="121"/>
        <v>-3735</v>
      </c>
      <c r="H7454" s="121" t="s">
        <v>4855</v>
      </c>
    </row>
    <row r="7455" spans="1:8" ht="15" x14ac:dyDescent="0.2">
      <c r="A7455" s="597">
        <v>43593</v>
      </c>
      <c r="B7455" s="41" t="s">
        <v>2933</v>
      </c>
      <c r="C7455" s="41" t="s">
        <v>3145</v>
      </c>
      <c r="D7455" s="108" t="s">
        <v>4919</v>
      </c>
      <c r="E7455" s="58">
        <v>50245</v>
      </c>
      <c r="F7455" s="58"/>
      <c r="G7455" s="58">
        <f t="shared" si="121"/>
        <v>-50245</v>
      </c>
      <c r="H7455" s="121" t="s">
        <v>4855</v>
      </c>
    </row>
    <row r="7456" spans="1:8" ht="15" x14ac:dyDescent="0.2">
      <c r="A7456" s="597">
        <v>43593</v>
      </c>
      <c r="B7456" s="41" t="s">
        <v>2933</v>
      </c>
      <c r="C7456" s="41" t="s">
        <v>3145</v>
      </c>
      <c r="D7456" s="108" t="s">
        <v>4919</v>
      </c>
      <c r="E7456" s="58">
        <v>41322</v>
      </c>
      <c r="F7456" s="58"/>
      <c r="G7456" s="58">
        <f t="shared" si="121"/>
        <v>-41322</v>
      </c>
      <c r="H7456" s="121" t="s">
        <v>4855</v>
      </c>
    </row>
    <row r="7457" spans="1:8" ht="15" x14ac:dyDescent="0.2">
      <c r="A7457" s="597">
        <v>43593</v>
      </c>
      <c r="B7457" s="41" t="s">
        <v>2933</v>
      </c>
      <c r="C7457" s="41" t="s">
        <v>3145</v>
      </c>
      <c r="D7457" s="108" t="s">
        <v>4920</v>
      </c>
      <c r="E7457" s="58">
        <v>14000</v>
      </c>
      <c r="F7457" s="58"/>
      <c r="G7457" s="58">
        <f t="shared" si="121"/>
        <v>-14000</v>
      </c>
      <c r="H7457" s="121" t="s">
        <v>4855</v>
      </c>
    </row>
    <row r="7458" spans="1:8" ht="15" x14ac:dyDescent="0.2">
      <c r="A7458" s="597">
        <v>43593</v>
      </c>
      <c r="B7458" s="41" t="s">
        <v>2652</v>
      </c>
      <c r="C7458" s="41" t="s">
        <v>3145</v>
      </c>
      <c r="D7458" s="108" t="s">
        <v>3797</v>
      </c>
      <c r="E7458" s="58">
        <v>1000</v>
      </c>
      <c r="F7458" s="58"/>
      <c r="G7458" s="58">
        <f t="shared" si="121"/>
        <v>-1000</v>
      </c>
      <c r="H7458" s="121" t="s">
        <v>4855</v>
      </c>
    </row>
    <row r="7459" spans="1:8" ht="15" x14ac:dyDescent="0.2">
      <c r="A7459" s="597">
        <v>43593</v>
      </c>
      <c r="B7459" s="41" t="s">
        <v>2933</v>
      </c>
      <c r="C7459" s="41" t="s">
        <v>3145</v>
      </c>
      <c r="D7459" s="108" t="s">
        <v>4921</v>
      </c>
      <c r="E7459" s="58">
        <v>25500</v>
      </c>
      <c r="F7459" s="58"/>
      <c r="G7459" s="58">
        <f t="shared" si="121"/>
        <v>-25500</v>
      </c>
      <c r="H7459" s="121" t="s">
        <v>4855</v>
      </c>
    </row>
    <row r="7460" spans="1:8" ht="15" x14ac:dyDescent="0.2">
      <c r="A7460" s="597">
        <v>43593</v>
      </c>
      <c r="B7460" s="41" t="s">
        <v>2652</v>
      </c>
      <c r="C7460" s="41" t="s">
        <v>3145</v>
      </c>
      <c r="D7460" s="108" t="s">
        <v>4922</v>
      </c>
      <c r="E7460" s="58">
        <v>6600</v>
      </c>
      <c r="F7460" s="58"/>
      <c r="G7460" s="58">
        <f t="shared" si="121"/>
        <v>-6600</v>
      </c>
      <c r="H7460" s="121" t="s">
        <v>4855</v>
      </c>
    </row>
    <row r="7461" spans="1:8" ht="15" x14ac:dyDescent="0.2">
      <c r="A7461" s="597">
        <v>43593</v>
      </c>
      <c r="B7461" s="41" t="s">
        <v>2933</v>
      </c>
      <c r="C7461" s="41" t="s">
        <v>3145</v>
      </c>
      <c r="D7461" s="108" t="s">
        <v>4923</v>
      </c>
      <c r="E7461" s="58">
        <v>4200</v>
      </c>
      <c r="F7461" s="58"/>
      <c r="G7461" s="58">
        <f t="shared" si="121"/>
        <v>-4200</v>
      </c>
      <c r="H7461" s="121" t="s">
        <v>4855</v>
      </c>
    </row>
    <row r="7462" spans="1:8" ht="15" x14ac:dyDescent="0.2">
      <c r="A7462" s="597">
        <v>43593</v>
      </c>
      <c r="B7462" s="41" t="s">
        <v>2652</v>
      </c>
      <c r="C7462" s="41" t="s">
        <v>3145</v>
      </c>
      <c r="D7462" s="108" t="s">
        <v>4923</v>
      </c>
      <c r="E7462" s="58">
        <v>4200</v>
      </c>
      <c r="F7462" s="58"/>
      <c r="G7462" s="58">
        <f t="shared" si="121"/>
        <v>-4200</v>
      </c>
      <c r="H7462" s="121" t="s">
        <v>4855</v>
      </c>
    </row>
    <row r="7463" spans="1:8" ht="15" x14ac:dyDescent="0.2">
      <c r="A7463" s="597">
        <v>43595</v>
      </c>
      <c r="B7463" s="41" t="s">
        <v>16</v>
      </c>
      <c r="C7463" s="41" t="s">
        <v>3145</v>
      </c>
      <c r="D7463" s="108" t="s">
        <v>4924</v>
      </c>
      <c r="E7463" s="58">
        <v>720</v>
      </c>
      <c r="F7463" s="58"/>
      <c r="G7463" s="58">
        <f t="shared" si="121"/>
        <v>-720</v>
      </c>
      <c r="H7463" s="121" t="s">
        <v>4855</v>
      </c>
    </row>
    <row r="7464" spans="1:8" ht="60" x14ac:dyDescent="0.2">
      <c r="A7464" s="597">
        <v>43596</v>
      </c>
      <c r="B7464" s="63" t="s">
        <v>2933</v>
      </c>
      <c r="C7464" s="63" t="s">
        <v>3145</v>
      </c>
      <c r="D7464" s="183" t="s">
        <v>4925</v>
      </c>
      <c r="E7464" s="126">
        <v>550105</v>
      </c>
      <c r="F7464" s="126"/>
      <c r="G7464" s="126">
        <f t="shared" si="121"/>
        <v>-550105</v>
      </c>
      <c r="H7464" s="121" t="s">
        <v>4855</v>
      </c>
    </row>
    <row r="7465" spans="1:8" ht="15" x14ac:dyDescent="0.2">
      <c r="A7465" s="597">
        <v>43596</v>
      </c>
      <c r="B7465" s="41" t="s">
        <v>25</v>
      </c>
      <c r="C7465" s="41" t="s">
        <v>2428</v>
      </c>
      <c r="D7465" s="108" t="s">
        <v>4917</v>
      </c>
      <c r="E7465" s="58">
        <v>5650</v>
      </c>
      <c r="F7465" s="58"/>
      <c r="G7465" s="58">
        <f t="shared" si="121"/>
        <v>-5650</v>
      </c>
      <c r="H7465" s="121" t="s">
        <v>4855</v>
      </c>
    </row>
    <row r="7466" spans="1:8" ht="15" x14ac:dyDescent="0.2">
      <c r="A7466" s="597">
        <v>43596</v>
      </c>
      <c r="B7466" s="41" t="s">
        <v>2933</v>
      </c>
      <c r="C7466" s="41" t="s">
        <v>1495</v>
      </c>
      <c r="D7466" s="108" t="s">
        <v>370</v>
      </c>
      <c r="E7466" s="58">
        <v>7940</v>
      </c>
      <c r="F7466" s="58"/>
      <c r="G7466" s="58">
        <f t="shared" si="121"/>
        <v>-7940</v>
      </c>
      <c r="H7466" s="121" t="s">
        <v>4855</v>
      </c>
    </row>
    <row r="7467" spans="1:8" ht="15" x14ac:dyDescent="0.2">
      <c r="A7467" s="597">
        <v>43596</v>
      </c>
      <c r="B7467" s="41" t="s">
        <v>25</v>
      </c>
      <c r="C7467" s="41" t="s">
        <v>4065</v>
      </c>
      <c r="D7467" s="108" t="s">
        <v>4963</v>
      </c>
      <c r="E7467" s="58">
        <v>5000</v>
      </c>
      <c r="F7467" s="58"/>
      <c r="G7467" s="58">
        <f t="shared" ref="G7467:G7530" si="122">F7467-E7467</f>
        <v>-5000</v>
      </c>
      <c r="H7467" s="121" t="s">
        <v>4855</v>
      </c>
    </row>
    <row r="7468" spans="1:8" ht="15" x14ac:dyDescent="0.2">
      <c r="A7468" s="597">
        <v>43596</v>
      </c>
      <c r="B7468" s="41" t="s">
        <v>6516</v>
      </c>
      <c r="C7468" s="41" t="s">
        <v>3145</v>
      </c>
      <c r="D7468" s="108" t="s">
        <v>4964</v>
      </c>
      <c r="E7468" s="58">
        <v>800</v>
      </c>
      <c r="F7468" s="58"/>
      <c r="G7468" s="58">
        <f t="shared" si="122"/>
        <v>-800</v>
      </c>
      <c r="H7468" s="121" t="s">
        <v>4855</v>
      </c>
    </row>
    <row r="7469" spans="1:8" ht="15" customHeight="1" x14ac:dyDescent="0.2">
      <c r="A7469" s="597">
        <v>43598</v>
      </c>
      <c r="B7469" s="41" t="s">
        <v>6516</v>
      </c>
      <c r="C7469" s="41" t="s">
        <v>3145</v>
      </c>
      <c r="D7469" s="108" t="s">
        <v>4965</v>
      </c>
      <c r="E7469" s="58">
        <v>6252</v>
      </c>
      <c r="F7469" s="58"/>
      <c r="G7469" s="58">
        <f t="shared" si="122"/>
        <v>-6252</v>
      </c>
      <c r="H7469" s="121" t="s">
        <v>4855</v>
      </c>
    </row>
    <row r="7470" spans="1:8" ht="15" x14ac:dyDescent="0.2">
      <c r="A7470" s="597">
        <v>43601</v>
      </c>
      <c r="B7470" s="41" t="s">
        <v>2933</v>
      </c>
      <c r="C7470" s="41" t="s">
        <v>3145</v>
      </c>
      <c r="D7470" s="108" t="s">
        <v>4966</v>
      </c>
      <c r="E7470" s="58">
        <v>2400</v>
      </c>
      <c r="F7470" s="58"/>
      <c r="G7470" s="58">
        <f t="shared" si="122"/>
        <v>-2400</v>
      </c>
      <c r="H7470" s="121" t="s">
        <v>4855</v>
      </c>
    </row>
    <row r="7471" spans="1:8" ht="15" x14ac:dyDescent="0.2">
      <c r="A7471" s="597">
        <v>43601</v>
      </c>
      <c r="B7471" s="41" t="s">
        <v>1400</v>
      </c>
      <c r="C7471" s="41" t="s">
        <v>3145</v>
      </c>
      <c r="D7471" s="108" t="s">
        <v>4967</v>
      </c>
      <c r="E7471" s="58">
        <v>5000</v>
      </c>
      <c r="F7471" s="58"/>
      <c r="G7471" s="58">
        <f t="shared" si="122"/>
        <v>-5000</v>
      </c>
      <c r="H7471" s="121" t="s">
        <v>4855</v>
      </c>
    </row>
    <row r="7472" spans="1:8" ht="15" customHeight="1" x14ac:dyDescent="0.2">
      <c r="A7472" s="597">
        <v>43601</v>
      </c>
      <c r="B7472" s="41" t="s">
        <v>1400</v>
      </c>
      <c r="C7472" s="41" t="s">
        <v>286</v>
      </c>
      <c r="D7472" s="108" t="s">
        <v>4901</v>
      </c>
      <c r="E7472" s="58">
        <v>6000</v>
      </c>
      <c r="F7472" s="58"/>
      <c r="G7472" s="58">
        <f t="shared" si="122"/>
        <v>-6000</v>
      </c>
      <c r="H7472" s="121" t="s">
        <v>4855</v>
      </c>
    </row>
    <row r="7473" spans="1:8" ht="15" customHeight="1" x14ac:dyDescent="0.2">
      <c r="A7473" s="597">
        <v>43601</v>
      </c>
      <c r="B7473" s="41" t="s">
        <v>2933</v>
      </c>
      <c r="C7473" s="41" t="s">
        <v>286</v>
      </c>
      <c r="D7473" s="108" t="s">
        <v>4901</v>
      </c>
      <c r="E7473" s="58">
        <v>5000</v>
      </c>
      <c r="F7473" s="58"/>
      <c r="G7473" s="58">
        <f t="shared" si="122"/>
        <v>-5000</v>
      </c>
      <c r="H7473" s="121" t="s">
        <v>4855</v>
      </c>
    </row>
    <row r="7474" spans="1:8" ht="15" x14ac:dyDescent="0.2">
      <c r="A7474" s="597">
        <v>43601</v>
      </c>
      <c r="B7474" s="41" t="s">
        <v>2652</v>
      </c>
      <c r="C7474" s="41" t="s">
        <v>286</v>
      </c>
      <c r="D7474" s="108" t="s">
        <v>4901</v>
      </c>
      <c r="E7474" s="58">
        <v>3000</v>
      </c>
      <c r="F7474" s="58"/>
      <c r="G7474" s="58">
        <f t="shared" si="122"/>
        <v>-3000</v>
      </c>
      <c r="H7474" s="121" t="s">
        <v>4855</v>
      </c>
    </row>
    <row r="7475" spans="1:8" ht="15" x14ac:dyDescent="0.2">
      <c r="A7475" s="597">
        <v>43601</v>
      </c>
      <c r="B7475" s="41" t="s">
        <v>25</v>
      </c>
      <c r="C7475" s="41" t="s">
        <v>4065</v>
      </c>
      <c r="D7475" s="108" t="s">
        <v>2431</v>
      </c>
      <c r="E7475" s="58">
        <v>1000</v>
      </c>
      <c r="F7475" s="58"/>
      <c r="G7475" s="58">
        <f t="shared" si="122"/>
        <v>-1000</v>
      </c>
      <c r="H7475" s="121" t="s">
        <v>4855</v>
      </c>
    </row>
    <row r="7476" spans="1:8" ht="15" x14ac:dyDescent="0.2">
      <c r="A7476" s="597">
        <v>43602</v>
      </c>
      <c r="B7476" s="41" t="s">
        <v>25</v>
      </c>
      <c r="C7476" s="41" t="s">
        <v>2428</v>
      </c>
      <c r="D7476" s="108" t="s">
        <v>392</v>
      </c>
      <c r="E7476" s="58">
        <v>8200</v>
      </c>
      <c r="F7476" s="58"/>
      <c r="G7476" s="58">
        <f t="shared" si="122"/>
        <v>-8200</v>
      </c>
      <c r="H7476" s="121" t="s">
        <v>4855</v>
      </c>
    </row>
    <row r="7477" spans="1:8" ht="15" x14ac:dyDescent="0.2">
      <c r="A7477" s="597">
        <v>43602</v>
      </c>
      <c r="B7477" s="41" t="s">
        <v>25</v>
      </c>
      <c r="C7477" s="41" t="s">
        <v>2428</v>
      </c>
      <c r="D7477" s="108" t="s">
        <v>4968</v>
      </c>
      <c r="E7477" s="58">
        <v>24200</v>
      </c>
      <c r="F7477" s="58"/>
      <c r="G7477" s="58">
        <f t="shared" si="122"/>
        <v>-24200</v>
      </c>
      <c r="H7477" s="121" t="s">
        <v>4855</v>
      </c>
    </row>
    <row r="7478" spans="1:8" ht="15" x14ac:dyDescent="0.2">
      <c r="A7478" s="597">
        <v>43602</v>
      </c>
      <c r="B7478" s="41" t="s">
        <v>2652</v>
      </c>
      <c r="C7478" s="41" t="s">
        <v>2190</v>
      </c>
      <c r="D7478" s="108" t="s">
        <v>4176</v>
      </c>
      <c r="E7478" s="58">
        <v>120</v>
      </c>
      <c r="F7478" s="58"/>
      <c r="G7478" s="58">
        <f t="shared" si="122"/>
        <v>-120</v>
      </c>
      <c r="H7478" s="121" t="s">
        <v>4855</v>
      </c>
    </row>
    <row r="7479" spans="1:8" ht="15" x14ac:dyDescent="0.2">
      <c r="A7479" s="597">
        <v>43602</v>
      </c>
      <c r="B7479" s="41" t="s">
        <v>2652</v>
      </c>
      <c r="C7479" s="41" t="s">
        <v>2190</v>
      </c>
      <c r="D7479" s="108" t="s">
        <v>4176</v>
      </c>
      <c r="E7479" s="58">
        <v>180</v>
      </c>
      <c r="F7479" s="58"/>
      <c r="G7479" s="58">
        <f t="shared" si="122"/>
        <v>-180</v>
      </c>
      <c r="H7479" s="121" t="s">
        <v>4855</v>
      </c>
    </row>
    <row r="7480" spans="1:8" ht="15" customHeight="1" x14ac:dyDescent="0.2">
      <c r="A7480" s="597">
        <v>43606</v>
      </c>
      <c r="B7480" s="41" t="s">
        <v>2652</v>
      </c>
      <c r="C7480" s="41" t="s">
        <v>4385</v>
      </c>
      <c r="D7480" s="108" t="s">
        <v>4706</v>
      </c>
      <c r="E7480" s="58">
        <v>30000</v>
      </c>
      <c r="F7480" s="58"/>
      <c r="G7480" s="58">
        <f t="shared" si="122"/>
        <v>-30000</v>
      </c>
      <c r="H7480" s="121" t="s">
        <v>4855</v>
      </c>
    </row>
    <row r="7481" spans="1:8" ht="15" customHeight="1" x14ac:dyDescent="0.2">
      <c r="A7481" s="597">
        <v>43607</v>
      </c>
      <c r="B7481" s="41" t="s">
        <v>2933</v>
      </c>
      <c r="C7481" s="41" t="s">
        <v>4908</v>
      </c>
      <c r="D7481" s="108" t="s">
        <v>4969</v>
      </c>
      <c r="E7481" s="58">
        <v>20000</v>
      </c>
      <c r="F7481" s="58"/>
      <c r="G7481" s="58">
        <f t="shared" si="122"/>
        <v>-20000</v>
      </c>
      <c r="H7481" s="121" t="s">
        <v>4855</v>
      </c>
    </row>
    <row r="7482" spans="1:8" ht="15" x14ac:dyDescent="0.2">
      <c r="A7482" s="597">
        <v>43607</v>
      </c>
      <c r="B7482" s="41" t="s">
        <v>25</v>
      </c>
      <c r="C7482" s="41" t="s">
        <v>3145</v>
      </c>
      <c r="D7482" s="108" t="s">
        <v>5005</v>
      </c>
      <c r="E7482" s="58">
        <v>73000</v>
      </c>
      <c r="F7482" s="58"/>
      <c r="G7482" s="58">
        <f t="shared" si="122"/>
        <v>-73000</v>
      </c>
      <c r="H7482" s="121" t="s">
        <v>4855</v>
      </c>
    </row>
    <row r="7483" spans="1:8" ht="15" x14ac:dyDescent="0.2">
      <c r="A7483" s="597">
        <v>43607</v>
      </c>
      <c r="B7483" s="41" t="s">
        <v>2933</v>
      </c>
      <c r="C7483" s="41" t="s">
        <v>286</v>
      </c>
      <c r="D7483" s="108" t="s">
        <v>3787</v>
      </c>
      <c r="E7483" s="58">
        <v>2500</v>
      </c>
      <c r="F7483" s="58"/>
      <c r="G7483" s="58">
        <f t="shared" si="122"/>
        <v>-2500</v>
      </c>
      <c r="H7483" s="121" t="s">
        <v>4855</v>
      </c>
    </row>
    <row r="7484" spans="1:8" ht="15" x14ac:dyDescent="0.2">
      <c r="A7484" s="597">
        <v>43607</v>
      </c>
      <c r="B7484" s="41" t="s">
        <v>2652</v>
      </c>
      <c r="C7484" s="41" t="s">
        <v>286</v>
      </c>
      <c r="D7484" s="108" t="s">
        <v>3787</v>
      </c>
      <c r="E7484" s="58">
        <v>1000</v>
      </c>
      <c r="F7484" s="58"/>
      <c r="G7484" s="58">
        <f t="shared" si="122"/>
        <v>-1000</v>
      </c>
      <c r="H7484" s="121" t="s">
        <v>4855</v>
      </c>
    </row>
    <row r="7485" spans="1:8" ht="15" x14ac:dyDescent="0.2">
      <c r="A7485" s="597">
        <v>43607</v>
      </c>
      <c r="B7485" s="41" t="s">
        <v>2933</v>
      </c>
      <c r="C7485" s="41" t="s">
        <v>286</v>
      </c>
      <c r="D7485" s="108" t="s">
        <v>3787</v>
      </c>
      <c r="E7485" s="58">
        <v>2500</v>
      </c>
      <c r="F7485" s="58"/>
      <c r="G7485" s="58">
        <f t="shared" si="122"/>
        <v>-2500</v>
      </c>
      <c r="H7485" s="121" t="s">
        <v>4855</v>
      </c>
    </row>
    <row r="7486" spans="1:8" ht="15" x14ac:dyDescent="0.2">
      <c r="A7486" s="597">
        <v>43607</v>
      </c>
      <c r="B7486" s="41" t="s">
        <v>2652</v>
      </c>
      <c r="C7486" s="41" t="s">
        <v>286</v>
      </c>
      <c r="D7486" s="108" t="s">
        <v>3787</v>
      </c>
      <c r="E7486" s="58">
        <v>3000</v>
      </c>
      <c r="F7486" s="58"/>
      <c r="G7486" s="58">
        <f t="shared" si="122"/>
        <v>-3000</v>
      </c>
      <c r="H7486" s="121" t="s">
        <v>4855</v>
      </c>
    </row>
    <row r="7487" spans="1:8" ht="15" x14ac:dyDescent="0.2">
      <c r="A7487" s="597">
        <v>43607</v>
      </c>
      <c r="B7487" s="41" t="s">
        <v>1400</v>
      </c>
      <c r="C7487" s="41" t="s">
        <v>286</v>
      </c>
      <c r="D7487" s="108" t="s">
        <v>3787</v>
      </c>
      <c r="E7487" s="58">
        <v>3000</v>
      </c>
      <c r="F7487" s="58"/>
      <c r="G7487" s="58">
        <f t="shared" si="122"/>
        <v>-3000</v>
      </c>
      <c r="H7487" s="121" t="s">
        <v>4855</v>
      </c>
    </row>
    <row r="7488" spans="1:8" ht="15" x14ac:dyDescent="0.2">
      <c r="A7488" s="597">
        <v>43607</v>
      </c>
      <c r="B7488" s="41" t="s">
        <v>1400</v>
      </c>
      <c r="C7488" s="41" t="s">
        <v>3145</v>
      </c>
      <c r="D7488" s="108" t="s">
        <v>5006</v>
      </c>
      <c r="E7488" s="58">
        <v>20000</v>
      </c>
      <c r="F7488" s="58"/>
      <c r="G7488" s="58">
        <f t="shared" si="122"/>
        <v>-20000</v>
      </c>
      <c r="H7488" s="121" t="s">
        <v>4855</v>
      </c>
    </row>
    <row r="7489" spans="1:8" ht="15" x14ac:dyDescent="0.2">
      <c r="A7489" s="597">
        <v>43607</v>
      </c>
      <c r="B7489" s="41" t="s">
        <v>1400</v>
      </c>
      <c r="C7489" s="41" t="s">
        <v>3145</v>
      </c>
      <c r="D7489" s="108" t="s">
        <v>5007</v>
      </c>
      <c r="E7489" s="58">
        <v>10000</v>
      </c>
      <c r="F7489" s="58"/>
      <c r="G7489" s="58">
        <f t="shared" si="122"/>
        <v>-10000</v>
      </c>
      <c r="H7489" s="121" t="s">
        <v>4855</v>
      </c>
    </row>
    <row r="7490" spans="1:8" ht="15" x14ac:dyDescent="0.2">
      <c r="A7490" s="597">
        <v>43607</v>
      </c>
      <c r="B7490" s="41" t="s">
        <v>2652</v>
      </c>
      <c r="C7490" s="41" t="s">
        <v>286</v>
      </c>
      <c r="D7490" s="108" t="s">
        <v>3787</v>
      </c>
      <c r="E7490" s="58">
        <v>5000</v>
      </c>
      <c r="F7490" s="58"/>
      <c r="G7490" s="58">
        <f t="shared" si="122"/>
        <v>-5000</v>
      </c>
      <c r="H7490" s="121" t="s">
        <v>4855</v>
      </c>
    </row>
    <row r="7491" spans="1:8" ht="15" x14ac:dyDescent="0.2">
      <c r="A7491" s="597">
        <v>43607</v>
      </c>
      <c r="B7491" s="41" t="s">
        <v>2933</v>
      </c>
      <c r="C7491" s="41" t="s">
        <v>3145</v>
      </c>
      <c r="D7491" s="108" t="s">
        <v>5008</v>
      </c>
      <c r="E7491" s="58">
        <v>22250</v>
      </c>
      <c r="F7491" s="58"/>
      <c r="G7491" s="58">
        <f t="shared" si="122"/>
        <v>-22250</v>
      </c>
      <c r="H7491" s="121" t="s">
        <v>4855</v>
      </c>
    </row>
    <row r="7492" spans="1:8" ht="15" x14ac:dyDescent="0.2">
      <c r="A7492" s="597">
        <v>43607</v>
      </c>
      <c r="B7492" s="41" t="s">
        <v>25</v>
      </c>
      <c r="C7492" s="41" t="s">
        <v>2428</v>
      </c>
      <c r="D7492" s="108" t="s">
        <v>392</v>
      </c>
      <c r="E7492" s="58">
        <v>1360</v>
      </c>
      <c r="F7492" s="58"/>
      <c r="G7492" s="58">
        <f t="shared" si="122"/>
        <v>-1360</v>
      </c>
      <c r="H7492" s="121" t="s">
        <v>4855</v>
      </c>
    </row>
    <row r="7493" spans="1:8" ht="15" x14ac:dyDescent="0.2">
      <c r="A7493" s="597">
        <v>43607</v>
      </c>
      <c r="B7493" s="41" t="s">
        <v>25</v>
      </c>
      <c r="C7493" s="41" t="s">
        <v>2428</v>
      </c>
      <c r="D7493" s="108" t="s">
        <v>392</v>
      </c>
      <c r="E7493" s="58">
        <v>542</v>
      </c>
      <c r="F7493" s="58"/>
      <c r="G7493" s="58">
        <f t="shared" si="122"/>
        <v>-542</v>
      </c>
      <c r="H7493" s="121" t="s">
        <v>4855</v>
      </c>
    </row>
    <row r="7494" spans="1:8" ht="15" x14ac:dyDescent="0.2">
      <c r="A7494" s="597">
        <v>43607</v>
      </c>
      <c r="B7494" s="41" t="s">
        <v>37</v>
      </c>
      <c r="C7494" s="41" t="s">
        <v>4908</v>
      </c>
      <c r="D7494" s="108" t="s">
        <v>5009</v>
      </c>
      <c r="E7494" s="58">
        <v>10000</v>
      </c>
      <c r="F7494" s="58"/>
      <c r="G7494" s="58">
        <f t="shared" si="122"/>
        <v>-10000</v>
      </c>
      <c r="H7494" s="121" t="s">
        <v>4855</v>
      </c>
    </row>
    <row r="7495" spans="1:8" ht="15" x14ac:dyDescent="0.2">
      <c r="A7495" s="597">
        <v>43607</v>
      </c>
      <c r="B7495" s="41" t="s">
        <v>1400</v>
      </c>
      <c r="C7495" s="41" t="s">
        <v>3145</v>
      </c>
      <c r="D7495" s="108" t="s">
        <v>5010</v>
      </c>
      <c r="E7495" s="58">
        <v>45639</v>
      </c>
      <c r="F7495" s="58"/>
      <c r="G7495" s="58">
        <f t="shared" si="122"/>
        <v>-45639</v>
      </c>
      <c r="H7495" s="121" t="s">
        <v>4855</v>
      </c>
    </row>
    <row r="7496" spans="1:8" ht="15" x14ac:dyDescent="0.2">
      <c r="A7496" s="597">
        <v>43612</v>
      </c>
      <c r="B7496" s="41" t="s">
        <v>2652</v>
      </c>
      <c r="C7496" s="41" t="s">
        <v>3145</v>
      </c>
      <c r="D7496" s="108" t="s">
        <v>5011</v>
      </c>
      <c r="E7496" s="58">
        <v>27254</v>
      </c>
      <c r="F7496" s="58"/>
      <c r="G7496" s="58">
        <f t="shared" si="122"/>
        <v>-27254</v>
      </c>
      <c r="H7496" s="121" t="s">
        <v>4855</v>
      </c>
    </row>
    <row r="7497" spans="1:8" ht="15" x14ac:dyDescent="0.2">
      <c r="A7497" s="597">
        <v>43612</v>
      </c>
      <c r="B7497" s="41" t="s">
        <v>25</v>
      </c>
      <c r="C7497" s="41" t="s">
        <v>4428</v>
      </c>
      <c r="D7497" s="108" t="s">
        <v>370</v>
      </c>
      <c r="E7497" s="58">
        <v>650</v>
      </c>
      <c r="F7497" s="58"/>
      <c r="G7497" s="58">
        <f t="shared" si="122"/>
        <v>-650</v>
      </c>
      <c r="H7497" s="121" t="s">
        <v>4855</v>
      </c>
    </row>
    <row r="7498" spans="1:8" ht="15" x14ac:dyDescent="0.2">
      <c r="A7498" s="597">
        <v>43612</v>
      </c>
      <c r="B7498" s="41" t="s">
        <v>1400</v>
      </c>
      <c r="C7498" s="41" t="s">
        <v>929</v>
      </c>
      <c r="D7498" s="108" t="s">
        <v>734</v>
      </c>
      <c r="E7498" s="58">
        <v>20300</v>
      </c>
      <c r="F7498" s="58"/>
      <c r="G7498" s="58">
        <f t="shared" si="122"/>
        <v>-20300</v>
      </c>
      <c r="H7498" s="121" t="s">
        <v>4855</v>
      </c>
    </row>
    <row r="7499" spans="1:8" ht="15" x14ac:dyDescent="0.2">
      <c r="A7499" s="597">
        <v>43612</v>
      </c>
      <c r="B7499" s="41" t="s">
        <v>2933</v>
      </c>
      <c r="C7499" s="41" t="s">
        <v>3145</v>
      </c>
      <c r="D7499" s="108" t="s">
        <v>5012</v>
      </c>
      <c r="E7499" s="58">
        <v>7730</v>
      </c>
      <c r="F7499" s="58"/>
      <c r="G7499" s="58">
        <f t="shared" si="122"/>
        <v>-7730</v>
      </c>
      <c r="H7499" s="121" t="s">
        <v>4855</v>
      </c>
    </row>
    <row r="7500" spans="1:8" ht="15" x14ac:dyDescent="0.2">
      <c r="A7500" s="597">
        <v>43612</v>
      </c>
      <c r="B7500" s="41" t="s">
        <v>37</v>
      </c>
      <c r="C7500" s="41" t="s">
        <v>3145</v>
      </c>
      <c r="D7500" s="108" t="s">
        <v>5013</v>
      </c>
      <c r="E7500" s="58">
        <v>2600</v>
      </c>
      <c r="F7500" s="58"/>
      <c r="G7500" s="58">
        <f t="shared" si="122"/>
        <v>-2600</v>
      </c>
      <c r="H7500" s="121" t="s">
        <v>4855</v>
      </c>
    </row>
    <row r="7501" spans="1:8" ht="15" x14ac:dyDescent="0.2">
      <c r="A7501" s="597">
        <v>43612</v>
      </c>
      <c r="B7501" s="41" t="s">
        <v>37</v>
      </c>
      <c r="C7501" s="41" t="s">
        <v>3145</v>
      </c>
      <c r="D7501" s="108" t="s">
        <v>5014</v>
      </c>
      <c r="E7501" s="58">
        <v>4100</v>
      </c>
      <c r="F7501" s="58"/>
      <c r="G7501" s="58">
        <f t="shared" si="122"/>
        <v>-4100</v>
      </c>
      <c r="H7501" s="121" t="s">
        <v>4855</v>
      </c>
    </row>
    <row r="7502" spans="1:8" ht="15" x14ac:dyDescent="0.2">
      <c r="A7502" s="597">
        <v>43612</v>
      </c>
      <c r="B7502" s="41" t="s">
        <v>2933</v>
      </c>
      <c r="C7502" s="41" t="s">
        <v>286</v>
      </c>
      <c r="D7502" s="108" t="s">
        <v>5015</v>
      </c>
      <c r="E7502" s="58">
        <v>2000</v>
      </c>
      <c r="F7502" s="58"/>
      <c r="G7502" s="58">
        <f t="shared" si="122"/>
        <v>-2000</v>
      </c>
      <c r="H7502" s="121" t="s">
        <v>4855</v>
      </c>
    </row>
    <row r="7503" spans="1:8" ht="15" x14ac:dyDescent="0.2">
      <c r="A7503" s="597">
        <v>43612</v>
      </c>
      <c r="B7503" s="41" t="s">
        <v>6516</v>
      </c>
      <c r="C7503" s="41" t="s">
        <v>286</v>
      </c>
      <c r="D7503" s="108" t="s">
        <v>5015</v>
      </c>
      <c r="E7503" s="58">
        <v>1000</v>
      </c>
      <c r="F7503" s="58"/>
      <c r="G7503" s="58">
        <f t="shared" si="122"/>
        <v>-1000</v>
      </c>
      <c r="H7503" s="121" t="s">
        <v>4855</v>
      </c>
    </row>
    <row r="7504" spans="1:8" ht="15" x14ac:dyDescent="0.2">
      <c r="A7504" s="597">
        <v>43612</v>
      </c>
      <c r="B7504" s="41" t="s">
        <v>2652</v>
      </c>
      <c r="C7504" s="41" t="s">
        <v>286</v>
      </c>
      <c r="D7504" s="108" t="s">
        <v>5015</v>
      </c>
      <c r="E7504" s="58">
        <v>1000</v>
      </c>
      <c r="F7504" s="58"/>
      <c r="G7504" s="58">
        <f t="shared" si="122"/>
        <v>-1000</v>
      </c>
      <c r="H7504" s="121" t="s">
        <v>4855</v>
      </c>
    </row>
    <row r="7505" spans="1:9" ht="15" x14ac:dyDescent="0.2">
      <c r="A7505" s="597">
        <v>43612</v>
      </c>
      <c r="B7505" s="41" t="s">
        <v>2933</v>
      </c>
      <c r="C7505" s="41" t="s">
        <v>3145</v>
      </c>
      <c r="D7505" s="108" t="s">
        <v>5016</v>
      </c>
      <c r="E7505" s="58">
        <v>49500</v>
      </c>
      <c r="F7505" s="58"/>
      <c r="G7505" s="58">
        <f t="shared" si="122"/>
        <v>-49500</v>
      </c>
      <c r="H7505" s="121" t="s">
        <v>4855</v>
      </c>
    </row>
    <row r="7506" spans="1:9" ht="15" x14ac:dyDescent="0.2">
      <c r="A7506" s="597">
        <v>43615</v>
      </c>
      <c r="B7506" s="41" t="s">
        <v>25</v>
      </c>
      <c r="C7506" s="41" t="s">
        <v>2428</v>
      </c>
      <c r="D7506" s="108" t="s">
        <v>3461</v>
      </c>
      <c r="E7506" s="58">
        <v>17000</v>
      </c>
      <c r="F7506" s="58"/>
      <c r="G7506" s="58">
        <f t="shared" si="122"/>
        <v>-17000</v>
      </c>
      <c r="H7506" s="121" t="s">
        <v>4855</v>
      </c>
    </row>
    <row r="7507" spans="1:9" ht="15" x14ac:dyDescent="0.2">
      <c r="A7507" s="597">
        <v>43615</v>
      </c>
      <c r="B7507" s="41" t="s">
        <v>25</v>
      </c>
      <c r="C7507" s="41" t="s">
        <v>3145</v>
      </c>
      <c r="D7507" s="108" t="s">
        <v>5017</v>
      </c>
      <c r="E7507" s="58">
        <v>13500</v>
      </c>
      <c r="F7507" s="58"/>
      <c r="G7507" s="58">
        <f t="shared" si="122"/>
        <v>-13500</v>
      </c>
      <c r="H7507" s="121" t="s">
        <v>4855</v>
      </c>
    </row>
    <row r="7508" spans="1:9" ht="15" x14ac:dyDescent="0.2">
      <c r="A7508" s="597">
        <v>43615</v>
      </c>
      <c r="B7508" s="41" t="s">
        <v>2933</v>
      </c>
      <c r="C7508" s="41" t="s">
        <v>286</v>
      </c>
      <c r="D7508" s="108" t="s">
        <v>3787</v>
      </c>
      <c r="E7508" s="58">
        <v>2500</v>
      </c>
      <c r="F7508" s="58"/>
      <c r="G7508" s="58">
        <f t="shared" si="122"/>
        <v>-2500</v>
      </c>
      <c r="H7508" s="121" t="s">
        <v>4855</v>
      </c>
    </row>
    <row r="7509" spans="1:9" ht="15" x14ac:dyDescent="0.2">
      <c r="A7509" s="597">
        <v>43615</v>
      </c>
      <c r="B7509" s="41" t="s">
        <v>2652</v>
      </c>
      <c r="C7509" s="41" t="s">
        <v>286</v>
      </c>
      <c r="D7509" s="108" t="s">
        <v>3787</v>
      </c>
      <c r="E7509" s="58">
        <v>1000</v>
      </c>
      <c r="F7509" s="58"/>
      <c r="G7509" s="58">
        <f t="shared" si="122"/>
        <v>-1000</v>
      </c>
      <c r="H7509" s="121" t="s">
        <v>4855</v>
      </c>
    </row>
    <row r="7510" spans="1:9" ht="24" x14ac:dyDescent="0.2">
      <c r="A7510" s="597">
        <v>43615</v>
      </c>
      <c r="B7510" s="41" t="s">
        <v>16</v>
      </c>
      <c r="C7510" s="41" t="s">
        <v>463</v>
      </c>
      <c r="D7510" s="129" t="s">
        <v>5018</v>
      </c>
      <c r="E7510" s="58">
        <v>17925</v>
      </c>
      <c r="F7510" s="58"/>
      <c r="G7510" s="58">
        <f t="shared" si="122"/>
        <v>-17925</v>
      </c>
      <c r="H7510" s="121" t="s">
        <v>4855</v>
      </c>
    </row>
    <row r="7511" spans="1:9" ht="15" x14ac:dyDescent="0.2">
      <c r="A7511" s="602">
        <v>43588</v>
      </c>
      <c r="B7511" s="174" t="s">
        <v>1400</v>
      </c>
      <c r="C7511" s="174" t="s">
        <v>2515</v>
      </c>
      <c r="D7511" s="118" t="s">
        <v>4863</v>
      </c>
      <c r="E7511" s="236">
        <v>100000</v>
      </c>
      <c r="F7511" s="236"/>
      <c r="G7511" s="236">
        <f t="shared" si="122"/>
        <v>-100000</v>
      </c>
      <c r="H7511" s="244" t="s">
        <v>4855</v>
      </c>
      <c r="I7511" s="40"/>
    </row>
    <row r="7512" spans="1:9" ht="15" x14ac:dyDescent="0.2">
      <c r="A7512" s="602">
        <v>43588</v>
      </c>
      <c r="B7512" s="174" t="s">
        <v>4721</v>
      </c>
      <c r="C7512" s="174" t="s">
        <v>3335</v>
      </c>
      <c r="D7512" s="118" t="s">
        <v>4864</v>
      </c>
      <c r="E7512" s="236">
        <v>18000</v>
      </c>
      <c r="F7512" s="236"/>
      <c r="G7512" s="236">
        <f t="shared" si="122"/>
        <v>-18000</v>
      </c>
      <c r="H7512" s="244" t="s">
        <v>4855</v>
      </c>
      <c r="I7512" s="40"/>
    </row>
    <row r="7513" spans="1:9" ht="15" x14ac:dyDescent="0.2">
      <c r="A7513" s="602">
        <v>43588</v>
      </c>
      <c r="B7513" s="174" t="s">
        <v>1400</v>
      </c>
      <c r="C7513" s="174" t="s">
        <v>3335</v>
      </c>
      <c r="D7513" s="118" t="s">
        <v>4864</v>
      </c>
      <c r="E7513" s="236">
        <v>36500</v>
      </c>
      <c r="F7513" s="236"/>
      <c r="G7513" s="236">
        <f t="shared" si="122"/>
        <v>-36500</v>
      </c>
      <c r="H7513" s="244" t="s">
        <v>4855</v>
      </c>
      <c r="I7513" s="40"/>
    </row>
    <row r="7514" spans="1:9" ht="15" x14ac:dyDescent="0.2">
      <c r="A7514" s="602">
        <v>43588</v>
      </c>
      <c r="B7514" s="174" t="s">
        <v>2933</v>
      </c>
      <c r="C7514" s="174" t="s">
        <v>6170</v>
      </c>
      <c r="D7514" s="118" t="s">
        <v>4865</v>
      </c>
      <c r="E7514" s="236">
        <v>44900</v>
      </c>
      <c r="F7514" s="236"/>
      <c r="G7514" s="236">
        <f t="shared" si="122"/>
        <v>-44900</v>
      </c>
      <c r="H7514" s="244" t="s">
        <v>4855</v>
      </c>
      <c r="I7514" s="40"/>
    </row>
    <row r="7515" spans="1:9" ht="15" x14ac:dyDescent="0.2">
      <c r="A7515" s="602">
        <v>43588</v>
      </c>
      <c r="B7515" s="174" t="s">
        <v>2933</v>
      </c>
      <c r="C7515" s="174" t="s">
        <v>4834</v>
      </c>
      <c r="D7515" s="118" t="s">
        <v>4866</v>
      </c>
      <c r="E7515" s="236">
        <v>11000</v>
      </c>
      <c r="F7515" s="236"/>
      <c r="G7515" s="236">
        <f t="shared" si="122"/>
        <v>-11000</v>
      </c>
      <c r="H7515" s="244" t="s">
        <v>4855</v>
      </c>
      <c r="I7515" s="40"/>
    </row>
    <row r="7516" spans="1:9" ht="15" x14ac:dyDescent="0.2">
      <c r="A7516" s="602">
        <v>43591</v>
      </c>
      <c r="B7516" s="174" t="s">
        <v>1400</v>
      </c>
      <c r="C7516" s="174" t="s">
        <v>4331</v>
      </c>
      <c r="D7516" s="118" t="s">
        <v>4867</v>
      </c>
      <c r="E7516" s="236">
        <v>52000</v>
      </c>
      <c r="F7516" s="236"/>
      <c r="G7516" s="236">
        <f t="shared" si="122"/>
        <v>-52000</v>
      </c>
      <c r="H7516" s="244" t="s">
        <v>4855</v>
      </c>
      <c r="I7516" s="40"/>
    </row>
    <row r="7517" spans="1:9" ht="15" x14ac:dyDescent="0.2">
      <c r="A7517" s="602">
        <v>43591</v>
      </c>
      <c r="B7517" s="174" t="s">
        <v>2933</v>
      </c>
      <c r="C7517" s="122" t="s">
        <v>5643</v>
      </c>
      <c r="D7517" s="118" t="s">
        <v>4859</v>
      </c>
      <c r="E7517" s="236">
        <v>250000</v>
      </c>
      <c r="F7517" s="236"/>
      <c r="G7517" s="236">
        <f t="shared" si="122"/>
        <v>-250000</v>
      </c>
      <c r="H7517" s="244" t="s">
        <v>4855</v>
      </c>
      <c r="I7517" s="40"/>
    </row>
    <row r="7518" spans="1:9" ht="15" x14ac:dyDescent="0.2">
      <c r="A7518" s="602">
        <v>43591</v>
      </c>
      <c r="B7518" s="174" t="s">
        <v>2933</v>
      </c>
      <c r="C7518" s="122" t="s">
        <v>5643</v>
      </c>
      <c r="D7518" s="118" t="s">
        <v>4860</v>
      </c>
      <c r="E7518" s="236">
        <v>250000</v>
      </c>
      <c r="F7518" s="236"/>
      <c r="G7518" s="236">
        <f t="shared" si="122"/>
        <v>-250000</v>
      </c>
      <c r="H7518" s="244" t="s">
        <v>4855</v>
      </c>
      <c r="I7518" s="40"/>
    </row>
    <row r="7519" spans="1:9" ht="15" x14ac:dyDescent="0.2">
      <c r="A7519" s="602">
        <v>43591</v>
      </c>
      <c r="B7519" s="174" t="s">
        <v>1400</v>
      </c>
      <c r="C7519" s="174" t="s">
        <v>4444</v>
      </c>
      <c r="D7519" s="118" t="s">
        <v>4868</v>
      </c>
      <c r="E7519" s="236">
        <v>20000</v>
      </c>
      <c r="F7519" s="236"/>
      <c r="G7519" s="236">
        <f t="shared" si="122"/>
        <v>-20000</v>
      </c>
      <c r="H7519" s="244" t="s">
        <v>4855</v>
      </c>
      <c r="I7519" s="40"/>
    </row>
    <row r="7520" spans="1:9" ht="15" x14ac:dyDescent="0.2">
      <c r="A7520" s="602">
        <v>43591</v>
      </c>
      <c r="B7520" s="174" t="s">
        <v>2933</v>
      </c>
      <c r="C7520" s="174" t="s">
        <v>4444</v>
      </c>
      <c r="D7520" s="118" t="s">
        <v>4868</v>
      </c>
      <c r="E7520" s="236">
        <v>130000</v>
      </c>
      <c r="F7520" s="236"/>
      <c r="G7520" s="236">
        <f t="shared" si="122"/>
        <v>-130000</v>
      </c>
      <c r="H7520" s="244" t="s">
        <v>4855</v>
      </c>
      <c r="I7520" s="40"/>
    </row>
    <row r="7521" spans="1:9" ht="15" x14ac:dyDescent="0.2">
      <c r="A7521" s="602">
        <v>43591</v>
      </c>
      <c r="B7521" s="174" t="s">
        <v>4721</v>
      </c>
      <c r="C7521" s="174" t="s">
        <v>2515</v>
      </c>
      <c r="D7521" s="118" t="s">
        <v>4869</v>
      </c>
      <c r="E7521" s="236">
        <v>60000</v>
      </c>
      <c r="F7521" s="236"/>
      <c r="G7521" s="236">
        <f t="shared" si="122"/>
        <v>-60000</v>
      </c>
      <c r="H7521" s="244" t="s">
        <v>4855</v>
      </c>
      <c r="I7521" s="40"/>
    </row>
    <row r="7522" spans="1:9" ht="24" x14ac:dyDescent="0.2">
      <c r="A7522" s="602">
        <v>43591</v>
      </c>
      <c r="B7522" s="174" t="s">
        <v>2652</v>
      </c>
      <c r="C7522" s="174" t="s">
        <v>4870</v>
      </c>
      <c r="D7522" s="118" t="s">
        <v>4871</v>
      </c>
      <c r="E7522" s="236">
        <v>89000</v>
      </c>
      <c r="F7522" s="236"/>
      <c r="G7522" s="236">
        <f t="shared" si="122"/>
        <v>-89000</v>
      </c>
      <c r="H7522" s="244" t="s">
        <v>4855</v>
      </c>
      <c r="I7522" s="40"/>
    </row>
    <row r="7523" spans="1:9" ht="15" x14ac:dyDescent="0.2">
      <c r="A7523" s="602">
        <v>43593</v>
      </c>
      <c r="B7523" s="59" t="s">
        <v>22</v>
      </c>
      <c r="C7523" s="174" t="s">
        <v>4948</v>
      </c>
      <c r="D7523" s="118" t="s">
        <v>4949</v>
      </c>
      <c r="E7523" s="236">
        <v>45460</v>
      </c>
      <c r="F7523" s="236"/>
      <c r="G7523" s="236">
        <f t="shared" si="122"/>
        <v>-45460</v>
      </c>
      <c r="H7523" s="244" t="s">
        <v>4855</v>
      </c>
      <c r="I7523" s="40"/>
    </row>
    <row r="7524" spans="1:9" ht="15" x14ac:dyDescent="0.2">
      <c r="A7524" s="602">
        <v>43595</v>
      </c>
      <c r="B7524" s="174" t="s">
        <v>1400</v>
      </c>
      <c r="C7524" s="174" t="s">
        <v>2310</v>
      </c>
      <c r="D7524" s="118" t="s">
        <v>4950</v>
      </c>
      <c r="E7524" s="236">
        <v>72660</v>
      </c>
      <c r="F7524" s="236"/>
      <c r="G7524" s="236">
        <f t="shared" si="122"/>
        <v>-72660</v>
      </c>
      <c r="H7524" s="244" t="s">
        <v>4855</v>
      </c>
      <c r="I7524" s="40"/>
    </row>
    <row r="7525" spans="1:9" ht="15" x14ac:dyDescent="0.2">
      <c r="A7525" s="602">
        <v>43595</v>
      </c>
      <c r="B7525" s="174" t="s">
        <v>2933</v>
      </c>
      <c r="C7525" s="174" t="s">
        <v>2310</v>
      </c>
      <c r="D7525" s="118" t="s">
        <v>4950</v>
      </c>
      <c r="E7525" s="236">
        <v>31900</v>
      </c>
      <c r="F7525" s="236"/>
      <c r="G7525" s="236">
        <f t="shared" si="122"/>
        <v>-31900</v>
      </c>
      <c r="H7525" s="244" t="s">
        <v>4855</v>
      </c>
      <c r="I7525" s="40"/>
    </row>
    <row r="7526" spans="1:9" ht="15" x14ac:dyDescent="0.2">
      <c r="A7526" s="602">
        <v>43595</v>
      </c>
      <c r="B7526" s="174" t="s">
        <v>37</v>
      </c>
      <c r="C7526" s="174" t="s">
        <v>3003</v>
      </c>
      <c r="D7526" s="118" t="s">
        <v>4951</v>
      </c>
      <c r="E7526" s="236">
        <v>27896</v>
      </c>
      <c r="F7526" s="236"/>
      <c r="G7526" s="236">
        <f t="shared" si="122"/>
        <v>-27896</v>
      </c>
      <c r="H7526" s="244" t="s">
        <v>4855</v>
      </c>
      <c r="I7526" s="40"/>
    </row>
    <row r="7527" spans="1:9" ht="15" x14ac:dyDescent="0.2">
      <c r="A7527" s="602">
        <v>43596</v>
      </c>
      <c r="B7527" s="174" t="s">
        <v>2933</v>
      </c>
      <c r="C7527" s="174" t="s">
        <v>2386</v>
      </c>
      <c r="D7527" s="118" t="s">
        <v>4885</v>
      </c>
      <c r="E7527" s="236">
        <v>30000</v>
      </c>
      <c r="F7527" s="236"/>
      <c r="G7527" s="236">
        <f t="shared" si="122"/>
        <v>-30000</v>
      </c>
      <c r="H7527" s="244" t="s">
        <v>4855</v>
      </c>
      <c r="I7527" s="40"/>
    </row>
    <row r="7528" spans="1:9" ht="24" x14ac:dyDescent="0.2">
      <c r="A7528" s="602">
        <v>43599</v>
      </c>
      <c r="B7528" s="174" t="s">
        <v>4721</v>
      </c>
      <c r="C7528" s="174" t="s">
        <v>2104</v>
      </c>
      <c r="D7528" s="118" t="s">
        <v>4952</v>
      </c>
      <c r="E7528" s="236">
        <v>50000</v>
      </c>
      <c r="F7528" s="236"/>
      <c r="G7528" s="236">
        <f t="shared" si="122"/>
        <v>-50000</v>
      </c>
      <c r="H7528" s="244" t="s">
        <v>4855</v>
      </c>
      <c r="I7528" s="40"/>
    </row>
    <row r="7529" spans="1:9" ht="15" x14ac:dyDescent="0.2">
      <c r="A7529" s="602">
        <v>43602</v>
      </c>
      <c r="B7529" s="174" t="s">
        <v>1400</v>
      </c>
      <c r="C7529" s="174" t="s">
        <v>4953</v>
      </c>
      <c r="D7529" s="118" t="s">
        <v>4954</v>
      </c>
      <c r="E7529" s="236">
        <v>200000</v>
      </c>
      <c r="F7529" s="236"/>
      <c r="G7529" s="236">
        <f t="shared" si="122"/>
        <v>-200000</v>
      </c>
      <c r="H7529" s="244" t="s">
        <v>4855</v>
      </c>
      <c r="I7529" s="40"/>
    </row>
    <row r="7530" spans="1:9" ht="15" x14ac:dyDescent="0.2">
      <c r="A7530" s="602">
        <v>43602</v>
      </c>
      <c r="B7530" s="174" t="s">
        <v>2933</v>
      </c>
      <c r="C7530" s="174" t="s">
        <v>3112</v>
      </c>
      <c r="D7530" s="118" t="s">
        <v>4955</v>
      </c>
      <c r="E7530" s="236">
        <v>150000</v>
      </c>
      <c r="F7530" s="236"/>
      <c r="G7530" s="236">
        <f t="shared" si="122"/>
        <v>-150000</v>
      </c>
      <c r="H7530" s="244" t="s">
        <v>4855</v>
      </c>
      <c r="I7530" s="40"/>
    </row>
    <row r="7531" spans="1:9" ht="15" x14ac:dyDescent="0.2">
      <c r="A7531" s="602">
        <v>43603</v>
      </c>
      <c r="B7531" s="174" t="s">
        <v>4721</v>
      </c>
      <c r="C7531" s="174" t="s">
        <v>1355</v>
      </c>
      <c r="D7531" s="118" t="s">
        <v>4956</v>
      </c>
      <c r="E7531" s="236">
        <v>10000</v>
      </c>
      <c r="F7531" s="236"/>
      <c r="G7531" s="236">
        <f t="shared" ref="G7531:G7594" si="123">F7531-E7531</f>
        <v>-10000</v>
      </c>
      <c r="H7531" s="244" t="s">
        <v>4855</v>
      </c>
      <c r="I7531" s="40"/>
    </row>
    <row r="7532" spans="1:9" ht="15" x14ac:dyDescent="0.2">
      <c r="A7532" s="602">
        <v>43603</v>
      </c>
      <c r="B7532" s="174" t="s">
        <v>4721</v>
      </c>
      <c r="C7532" s="174" t="s">
        <v>2104</v>
      </c>
      <c r="D7532" s="118" t="s">
        <v>4957</v>
      </c>
      <c r="E7532" s="236">
        <v>17700</v>
      </c>
      <c r="F7532" s="236"/>
      <c r="G7532" s="236">
        <f t="shared" si="123"/>
        <v>-17700</v>
      </c>
      <c r="H7532" s="244" t="s">
        <v>4855</v>
      </c>
      <c r="I7532" s="40"/>
    </row>
    <row r="7533" spans="1:9" ht="15" x14ac:dyDescent="0.2">
      <c r="A7533" s="602">
        <v>43603</v>
      </c>
      <c r="B7533" s="174" t="s">
        <v>2933</v>
      </c>
      <c r="C7533" s="174" t="s">
        <v>4834</v>
      </c>
      <c r="D7533" s="118" t="s">
        <v>4958</v>
      </c>
      <c r="E7533" s="236">
        <v>22550</v>
      </c>
      <c r="F7533" s="236"/>
      <c r="G7533" s="236">
        <f t="shared" si="123"/>
        <v>-22550</v>
      </c>
      <c r="H7533" s="244" t="s">
        <v>4855</v>
      </c>
      <c r="I7533" s="40"/>
    </row>
    <row r="7534" spans="1:9" ht="15" x14ac:dyDescent="0.2">
      <c r="A7534" s="602">
        <v>43606</v>
      </c>
      <c r="B7534" s="174" t="s">
        <v>1400</v>
      </c>
      <c r="C7534" s="174" t="s">
        <v>6170</v>
      </c>
      <c r="D7534" s="118" t="s">
        <v>4959</v>
      </c>
      <c r="E7534" s="236">
        <v>256680</v>
      </c>
      <c r="F7534" s="236"/>
      <c r="G7534" s="236">
        <f t="shared" si="123"/>
        <v>-256680</v>
      </c>
      <c r="H7534" s="244" t="s">
        <v>4855</v>
      </c>
      <c r="I7534" s="40"/>
    </row>
    <row r="7535" spans="1:9" ht="15" x14ac:dyDescent="0.2">
      <c r="A7535" s="602">
        <v>43606</v>
      </c>
      <c r="B7535" s="174" t="s">
        <v>1400</v>
      </c>
      <c r="C7535" s="174" t="s">
        <v>4725</v>
      </c>
      <c r="D7535" s="118" t="s">
        <v>4960</v>
      </c>
      <c r="E7535" s="236">
        <v>24000</v>
      </c>
      <c r="F7535" s="236"/>
      <c r="G7535" s="236">
        <f t="shared" si="123"/>
        <v>-24000</v>
      </c>
      <c r="H7535" s="244" t="s">
        <v>4855</v>
      </c>
      <c r="I7535" s="40"/>
    </row>
    <row r="7536" spans="1:9" ht="15" x14ac:dyDescent="0.2">
      <c r="A7536" s="602">
        <v>43607</v>
      </c>
      <c r="B7536" s="174" t="s">
        <v>2933</v>
      </c>
      <c r="C7536" s="174" t="s">
        <v>1509</v>
      </c>
      <c r="D7536" s="118" t="s">
        <v>4961</v>
      </c>
      <c r="E7536" s="236">
        <v>100000</v>
      </c>
      <c r="F7536" s="236"/>
      <c r="G7536" s="236">
        <f t="shared" si="123"/>
        <v>-100000</v>
      </c>
      <c r="H7536" s="244" t="s">
        <v>4855</v>
      </c>
      <c r="I7536" s="40"/>
    </row>
    <row r="7537" spans="1:9" ht="24" x14ac:dyDescent="0.2">
      <c r="A7537" s="602">
        <v>43608</v>
      </c>
      <c r="B7537" s="174" t="s">
        <v>1400</v>
      </c>
      <c r="C7537" s="174" t="s">
        <v>3226</v>
      </c>
      <c r="D7537" s="118" t="s">
        <v>4962</v>
      </c>
      <c r="E7537" s="236">
        <v>300000</v>
      </c>
      <c r="F7537" s="236"/>
      <c r="G7537" s="236">
        <f t="shared" si="123"/>
        <v>-300000</v>
      </c>
      <c r="H7537" s="244" t="s">
        <v>4855</v>
      </c>
      <c r="I7537" s="40"/>
    </row>
    <row r="7538" spans="1:9" ht="24" x14ac:dyDescent="0.2">
      <c r="A7538" s="602">
        <v>43608</v>
      </c>
      <c r="B7538" s="174" t="s">
        <v>1400</v>
      </c>
      <c r="C7538" s="174" t="s">
        <v>3226</v>
      </c>
      <c r="D7538" s="118" t="s">
        <v>4962</v>
      </c>
      <c r="E7538" s="236">
        <v>300000</v>
      </c>
      <c r="F7538" s="236"/>
      <c r="G7538" s="236">
        <f t="shared" si="123"/>
        <v>-300000</v>
      </c>
      <c r="H7538" s="244" t="s">
        <v>4855</v>
      </c>
      <c r="I7538" s="40"/>
    </row>
    <row r="7539" spans="1:9" ht="24" x14ac:dyDescent="0.2">
      <c r="A7539" s="602">
        <v>43608</v>
      </c>
      <c r="B7539" s="174" t="s">
        <v>1400</v>
      </c>
      <c r="C7539" s="174" t="s">
        <v>3226</v>
      </c>
      <c r="D7539" s="118" t="s">
        <v>4962</v>
      </c>
      <c r="E7539" s="236">
        <v>300000</v>
      </c>
      <c r="F7539" s="236"/>
      <c r="G7539" s="236">
        <f t="shared" si="123"/>
        <v>-300000</v>
      </c>
      <c r="H7539" s="244" t="s">
        <v>4855</v>
      </c>
      <c r="I7539" s="40"/>
    </row>
    <row r="7540" spans="1:9" ht="15" x14ac:dyDescent="0.2">
      <c r="A7540" s="602">
        <v>43610</v>
      </c>
      <c r="B7540" s="174" t="s">
        <v>2652</v>
      </c>
      <c r="C7540" s="174" t="s">
        <v>4972</v>
      </c>
      <c r="D7540" s="118" t="s">
        <v>4973</v>
      </c>
      <c r="E7540" s="236">
        <v>60000</v>
      </c>
      <c r="F7540" s="236"/>
      <c r="G7540" s="236">
        <f t="shared" si="123"/>
        <v>-60000</v>
      </c>
      <c r="H7540" s="244" t="s">
        <v>4855</v>
      </c>
      <c r="I7540" s="40"/>
    </row>
    <row r="7541" spans="1:9" ht="15" x14ac:dyDescent="0.2">
      <c r="A7541" s="602">
        <v>43610</v>
      </c>
      <c r="B7541" s="174" t="s">
        <v>2652</v>
      </c>
      <c r="C7541" s="174" t="s">
        <v>4331</v>
      </c>
      <c r="D7541" s="118" t="s">
        <v>4974</v>
      </c>
      <c r="E7541" s="236">
        <v>50000</v>
      </c>
      <c r="F7541" s="236"/>
      <c r="G7541" s="236">
        <f t="shared" si="123"/>
        <v>-50000</v>
      </c>
      <c r="H7541" s="244" t="s">
        <v>4855</v>
      </c>
      <c r="I7541" s="40"/>
    </row>
    <row r="7542" spans="1:9" ht="15" x14ac:dyDescent="0.2">
      <c r="A7542" s="602">
        <v>43610</v>
      </c>
      <c r="B7542" s="174" t="s">
        <v>4721</v>
      </c>
      <c r="C7542" s="174" t="s">
        <v>4684</v>
      </c>
      <c r="D7542" s="118" t="s">
        <v>4975</v>
      </c>
      <c r="E7542" s="236">
        <v>15000</v>
      </c>
      <c r="F7542" s="236"/>
      <c r="G7542" s="236">
        <f t="shared" si="123"/>
        <v>-15000</v>
      </c>
      <c r="H7542" s="244" t="s">
        <v>4855</v>
      </c>
      <c r="I7542" s="40"/>
    </row>
    <row r="7543" spans="1:9" ht="15" x14ac:dyDescent="0.2">
      <c r="A7543" s="602">
        <v>43610</v>
      </c>
      <c r="B7543" s="174" t="s">
        <v>37</v>
      </c>
      <c r="C7543" s="174" t="s">
        <v>4684</v>
      </c>
      <c r="D7543" s="118" t="s">
        <v>4975</v>
      </c>
      <c r="E7543" s="236">
        <v>15000</v>
      </c>
      <c r="F7543" s="236"/>
      <c r="G7543" s="236">
        <f t="shared" si="123"/>
        <v>-15000</v>
      </c>
      <c r="H7543" s="244" t="s">
        <v>4855</v>
      </c>
      <c r="I7543" s="40"/>
    </row>
    <row r="7544" spans="1:9" ht="15" x14ac:dyDescent="0.2">
      <c r="A7544" s="602">
        <v>43610</v>
      </c>
      <c r="B7544" s="174" t="s">
        <v>3733</v>
      </c>
      <c r="C7544" s="174" t="s">
        <v>4684</v>
      </c>
      <c r="D7544" s="118" t="s">
        <v>4975</v>
      </c>
      <c r="E7544" s="236">
        <v>20000</v>
      </c>
      <c r="F7544" s="236"/>
      <c r="G7544" s="236">
        <f t="shared" si="123"/>
        <v>-20000</v>
      </c>
      <c r="H7544" s="244" t="s">
        <v>4855</v>
      </c>
      <c r="I7544" s="40"/>
    </row>
    <row r="7545" spans="1:9" ht="15" x14ac:dyDescent="0.2">
      <c r="A7545" s="602">
        <v>43610</v>
      </c>
      <c r="B7545" s="174" t="s">
        <v>2933</v>
      </c>
      <c r="C7545" s="174" t="s">
        <v>4273</v>
      </c>
      <c r="D7545" s="118" t="s">
        <v>4976</v>
      </c>
      <c r="E7545" s="236">
        <v>161000</v>
      </c>
      <c r="F7545" s="236"/>
      <c r="G7545" s="236">
        <f t="shared" si="123"/>
        <v>-161000</v>
      </c>
      <c r="H7545" s="244" t="s">
        <v>4855</v>
      </c>
      <c r="I7545" s="40"/>
    </row>
    <row r="7546" spans="1:9" ht="15" x14ac:dyDescent="0.2">
      <c r="A7546" s="602">
        <v>43613</v>
      </c>
      <c r="B7546" s="174" t="s">
        <v>2933</v>
      </c>
      <c r="C7546" s="174" t="s">
        <v>3145</v>
      </c>
      <c r="D7546" s="118" t="s">
        <v>5608</v>
      </c>
      <c r="E7546" s="236">
        <v>25000</v>
      </c>
      <c r="F7546" s="236"/>
      <c r="G7546" s="236">
        <f t="shared" si="123"/>
        <v>-25000</v>
      </c>
      <c r="H7546" s="244" t="s">
        <v>4855</v>
      </c>
      <c r="I7546" s="40"/>
    </row>
    <row r="7547" spans="1:9" ht="15" x14ac:dyDescent="0.2">
      <c r="A7547" s="602">
        <v>43613</v>
      </c>
      <c r="B7547" s="174" t="s">
        <v>2933</v>
      </c>
      <c r="C7547" s="174" t="s">
        <v>3446</v>
      </c>
      <c r="D7547" s="118" t="s">
        <v>5329</v>
      </c>
      <c r="E7547" s="236">
        <v>100000</v>
      </c>
      <c r="F7547" s="236"/>
      <c r="G7547" s="236">
        <f t="shared" si="123"/>
        <v>-100000</v>
      </c>
      <c r="H7547" s="244" t="s">
        <v>4855</v>
      </c>
      <c r="I7547" s="40"/>
    </row>
    <row r="7548" spans="1:9" ht="15" x14ac:dyDescent="0.2">
      <c r="A7548" s="602">
        <v>43613</v>
      </c>
      <c r="B7548" s="174" t="s">
        <v>2933</v>
      </c>
      <c r="C7548" s="174" t="s">
        <v>3446</v>
      </c>
      <c r="D7548" s="118" t="s">
        <v>5329</v>
      </c>
      <c r="E7548" s="236">
        <v>50000</v>
      </c>
      <c r="F7548" s="236"/>
      <c r="G7548" s="236">
        <f t="shared" si="123"/>
        <v>-50000</v>
      </c>
      <c r="H7548" s="244" t="s">
        <v>4855</v>
      </c>
      <c r="I7548" s="40"/>
    </row>
    <row r="7549" spans="1:9" ht="15" x14ac:dyDescent="0.2">
      <c r="A7549" s="602">
        <v>43613</v>
      </c>
      <c r="B7549" s="174" t="s">
        <v>3622</v>
      </c>
      <c r="C7549" s="174" t="s">
        <v>4387</v>
      </c>
      <c r="D7549" s="118" t="s">
        <v>370</v>
      </c>
      <c r="E7549" s="236">
        <v>60000</v>
      </c>
      <c r="F7549" s="236"/>
      <c r="G7549" s="236">
        <f t="shared" si="123"/>
        <v>-60000</v>
      </c>
      <c r="H7549" s="244" t="s">
        <v>4855</v>
      </c>
      <c r="I7549" s="40"/>
    </row>
    <row r="7550" spans="1:9" ht="15" x14ac:dyDescent="0.2">
      <c r="A7550" s="602">
        <v>43613</v>
      </c>
      <c r="B7550" s="174" t="s">
        <v>37</v>
      </c>
      <c r="C7550" s="174" t="s">
        <v>2310</v>
      </c>
      <c r="D7550" s="118" t="s">
        <v>370</v>
      </c>
      <c r="E7550" s="236">
        <v>13800</v>
      </c>
      <c r="F7550" s="236"/>
      <c r="G7550" s="236">
        <f t="shared" si="123"/>
        <v>-13800</v>
      </c>
      <c r="H7550" s="244" t="s">
        <v>4855</v>
      </c>
      <c r="I7550" s="40"/>
    </row>
    <row r="7551" spans="1:9" ht="24" x14ac:dyDescent="0.2">
      <c r="A7551" s="602">
        <v>43613</v>
      </c>
      <c r="B7551" s="174" t="s">
        <v>1400</v>
      </c>
      <c r="C7551" s="174" t="s">
        <v>379</v>
      </c>
      <c r="D7551" s="118" t="s">
        <v>5047</v>
      </c>
      <c r="E7551" s="236">
        <v>108607</v>
      </c>
      <c r="F7551" s="236"/>
      <c r="G7551" s="236">
        <f t="shared" si="123"/>
        <v>-108607</v>
      </c>
      <c r="H7551" s="244" t="s">
        <v>4855</v>
      </c>
      <c r="I7551" s="40"/>
    </row>
    <row r="7552" spans="1:9" ht="24" x14ac:dyDescent="0.2">
      <c r="A7552" s="602">
        <v>43613</v>
      </c>
      <c r="B7552" s="174" t="s">
        <v>1400</v>
      </c>
      <c r="C7552" s="174" t="s">
        <v>379</v>
      </c>
      <c r="D7552" s="118" t="s">
        <v>5047</v>
      </c>
      <c r="E7552" s="236">
        <v>191393</v>
      </c>
      <c r="F7552" s="236"/>
      <c r="G7552" s="236">
        <f t="shared" si="123"/>
        <v>-191393</v>
      </c>
      <c r="H7552" s="244" t="s">
        <v>4855</v>
      </c>
      <c r="I7552" s="40"/>
    </row>
    <row r="7553" spans="1:9" ht="15" x14ac:dyDescent="0.2">
      <c r="A7553" s="602">
        <v>43613</v>
      </c>
      <c r="B7553" s="174" t="s">
        <v>1400</v>
      </c>
      <c r="C7553" s="174" t="s">
        <v>4444</v>
      </c>
      <c r="D7553" s="118" t="s">
        <v>370</v>
      </c>
      <c r="E7553" s="236">
        <v>150000</v>
      </c>
      <c r="F7553" s="236"/>
      <c r="G7553" s="236">
        <f t="shared" si="123"/>
        <v>-150000</v>
      </c>
      <c r="H7553" s="244" t="s">
        <v>4855</v>
      </c>
      <c r="I7553" s="40"/>
    </row>
    <row r="7554" spans="1:9" ht="15" x14ac:dyDescent="0.2">
      <c r="A7554" s="602">
        <v>43613</v>
      </c>
      <c r="B7554" s="174" t="s">
        <v>2933</v>
      </c>
      <c r="C7554" s="174" t="s">
        <v>573</v>
      </c>
      <c r="D7554" s="118" t="s">
        <v>370</v>
      </c>
      <c r="E7554" s="236">
        <v>200000</v>
      </c>
      <c r="F7554" s="236"/>
      <c r="G7554" s="236">
        <f t="shared" si="123"/>
        <v>-200000</v>
      </c>
      <c r="H7554" s="244" t="s">
        <v>4855</v>
      </c>
      <c r="I7554" s="40"/>
    </row>
    <row r="7555" spans="1:9" ht="15" x14ac:dyDescent="0.2">
      <c r="A7555" s="602">
        <v>43613</v>
      </c>
      <c r="B7555" s="174" t="s">
        <v>3622</v>
      </c>
      <c r="C7555" s="174" t="s">
        <v>895</v>
      </c>
      <c r="D7555" s="118" t="s">
        <v>370</v>
      </c>
      <c r="E7555" s="236">
        <v>35970</v>
      </c>
      <c r="F7555" s="236"/>
      <c r="G7555" s="236">
        <f t="shared" si="123"/>
        <v>-35970</v>
      </c>
      <c r="H7555" s="244" t="s">
        <v>4855</v>
      </c>
      <c r="I7555" s="40"/>
    </row>
    <row r="7556" spans="1:9" ht="15" x14ac:dyDescent="0.2">
      <c r="A7556" s="602">
        <v>43613</v>
      </c>
      <c r="B7556" s="174" t="s">
        <v>3733</v>
      </c>
      <c r="C7556" s="174" t="s">
        <v>4984</v>
      </c>
      <c r="D7556" s="118" t="s">
        <v>4985</v>
      </c>
      <c r="E7556" s="236">
        <v>62000</v>
      </c>
      <c r="F7556" s="236"/>
      <c r="G7556" s="236">
        <f t="shared" si="123"/>
        <v>-62000</v>
      </c>
      <c r="H7556" s="244" t="s">
        <v>4855</v>
      </c>
      <c r="I7556" s="40"/>
    </row>
    <row r="7557" spans="1:9" ht="15" x14ac:dyDescent="0.2">
      <c r="A7557" s="602">
        <v>43614</v>
      </c>
      <c r="B7557" s="174" t="s">
        <v>2933</v>
      </c>
      <c r="C7557" s="174" t="s">
        <v>359</v>
      </c>
      <c r="D7557" s="118" t="s">
        <v>370</v>
      </c>
      <c r="E7557" s="236">
        <v>275885</v>
      </c>
      <c r="F7557" s="236"/>
      <c r="G7557" s="236">
        <f t="shared" si="123"/>
        <v>-275885</v>
      </c>
      <c r="H7557" s="244" t="s">
        <v>4855</v>
      </c>
      <c r="I7557" s="40"/>
    </row>
    <row r="7558" spans="1:9" ht="15" x14ac:dyDescent="0.2">
      <c r="A7558" s="602">
        <v>43614</v>
      </c>
      <c r="B7558" s="174" t="s">
        <v>1400</v>
      </c>
      <c r="C7558" s="174" t="s">
        <v>1815</v>
      </c>
      <c r="D7558" s="118" t="s">
        <v>370</v>
      </c>
      <c r="E7558" s="236">
        <v>300000</v>
      </c>
      <c r="F7558" s="236"/>
      <c r="G7558" s="236">
        <f t="shared" si="123"/>
        <v>-300000</v>
      </c>
      <c r="H7558" s="244" t="s">
        <v>4855</v>
      </c>
      <c r="I7558" s="40"/>
    </row>
    <row r="7559" spans="1:9" ht="15" x14ac:dyDescent="0.2">
      <c r="A7559" s="602">
        <v>43614</v>
      </c>
      <c r="B7559" s="174" t="s">
        <v>1400</v>
      </c>
      <c r="C7559" s="174" t="s">
        <v>166</v>
      </c>
      <c r="D7559" s="118" t="s">
        <v>370</v>
      </c>
      <c r="E7559" s="236">
        <v>25524</v>
      </c>
      <c r="F7559" s="236"/>
      <c r="G7559" s="236">
        <f t="shared" si="123"/>
        <v>-25524</v>
      </c>
      <c r="H7559" s="244" t="s">
        <v>4855</v>
      </c>
      <c r="I7559" s="40"/>
    </row>
    <row r="7560" spans="1:9" ht="15" x14ac:dyDescent="0.2">
      <c r="A7560" s="602">
        <v>43614</v>
      </c>
      <c r="B7560" s="174" t="s">
        <v>2933</v>
      </c>
      <c r="C7560" s="174" t="s">
        <v>166</v>
      </c>
      <c r="D7560" s="118" t="s">
        <v>370</v>
      </c>
      <c r="E7560" s="236">
        <v>82400</v>
      </c>
      <c r="F7560" s="236"/>
      <c r="G7560" s="236">
        <f t="shared" si="123"/>
        <v>-82400</v>
      </c>
      <c r="H7560" s="244" t="s">
        <v>4855</v>
      </c>
      <c r="I7560" s="40"/>
    </row>
    <row r="7561" spans="1:9" ht="15" x14ac:dyDescent="0.2">
      <c r="A7561" s="602">
        <v>43614</v>
      </c>
      <c r="B7561" s="174" t="s">
        <v>2652</v>
      </c>
      <c r="C7561" s="174" t="s">
        <v>166</v>
      </c>
      <c r="D7561" s="118" t="s">
        <v>370</v>
      </c>
      <c r="E7561" s="236">
        <v>28500</v>
      </c>
      <c r="F7561" s="236"/>
      <c r="G7561" s="236">
        <f t="shared" si="123"/>
        <v>-28500</v>
      </c>
      <c r="H7561" s="244" t="s">
        <v>4855</v>
      </c>
      <c r="I7561" s="40"/>
    </row>
    <row r="7562" spans="1:9" ht="15" x14ac:dyDescent="0.2">
      <c r="A7562" s="602">
        <v>43614</v>
      </c>
      <c r="B7562" s="174" t="s">
        <v>1400</v>
      </c>
      <c r="C7562" s="174" t="s">
        <v>166</v>
      </c>
      <c r="D7562" s="118" t="s">
        <v>370</v>
      </c>
      <c r="E7562" s="236">
        <v>165176</v>
      </c>
      <c r="F7562" s="236"/>
      <c r="G7562" s="236">
        <f t="shared" si="123"/>
        <v>-165176</v>
      </c>
      <c r="H7562" s="244" t="s">
        <v>4855</v>
      </c>
      <c r="I7562" s="40"/>
    </row>
    <row r="7563" spans="1:9" ht="15" x14ac:dyDescent="0.2">
      <c r="A7563" s="602">
        <v>43614</v>
      </c>
      <c r="B7563" s="174" t="s">
        <v>1400</v>
      </c>
      <c r="C7563" s="174" t="s">
        <v>4986</v>
      </c>
      <c r="D7563" s="118" t="s">
        <v>370</v>
      </c>
      <c r="E7563" s="236">
        <v>40000</v>
      </c>
      <c r="F7563" s="236"/>
      <c r="G7563" s="236">
        <f t="shared" si="123"/>
        <v>-40000</v>
      </c>
      <c r="H7563" s="244" t="s">
        <v>4855</v>
      </c>
      <c r="I7563" s="40"/>
    </row>
    <row r="7564" spans="1:9" ht="15" x14ac:dyDescent="0.2">
      <c r="A7564" s="602">
        <v>43614</v>
      </c>
      <c r="B7564" s="174" t="s">
        <v>2933</v>
      </c>
      <c r="C7564" s="174" t="s">
        <v>1509</v>
      </c>
      <c r="D7564" s="118" t="s">
        <v>370</v>
      </c>
      <c r="E7564" s="236">
        <v>66000</v>
      </c>
      <c r="F7564" s="236"/>
      <c r="G7564" s="236">
        <f t="shared" si="123"/>
        <v>-66000</v>
      </c>
      <c r="H7564" s="244" t="s">
        <v>4855</v>
      </c>
      <c r="I7564" s="40"/>
    </row>
    <row r="7565" spans="1:9" ht="15" x14ac:dyDescent="0.2">
      <c r="A7565" s="602">
        <v>43615</v>
      </c>
      <c r="B7565" s="174" t="s">
        <v>1400</v>
      </c>
      <c r="C7565" s="174" t="s">
        <v>4988</v>
      </c>
      <c r="D7565" s="118" t="s">
        <v>370</v>
      </c>
      <c r="E7565" s="236">
        <v>54000</v>
      </c>
      <c r="F7565" s="236"/>
      <c r="G7565" s="236">
        <f t="shared" si="123"/>
        <v>-54000</v>
      </c>
      <c r="H7565" s="244" t="s">
        <v>4855</v>
      </c>
      <c r="I7565" s="40"/>
    </row>
    <row r="7566" spans="1:9" ht="15" x14ac:dyDescent="0.2">
      <c r="A7566" s="602">
        <v>43614</v>
      </c>
      <c r="B7566" s="174" t="s">
        <v>2652</v>
      </c>
      <c r="C7566" s="174" t="s">
        <v>4987</v>
      </c>
      <c r="D7566" s="118" t="s">
        <v>370</v>
      </c>
      <c r="E7566" s="236">
        <v>21000</v>
      </c>
      <c r="F7566" s="236"/>
      <c r="G7566" s="236">
        <f t="shared" si="123"/>
        <v>-21000</v>
      </c>
      <c r="H7566" s="244" t="s">
        <v>4855</v>
      </c>
      <c r="I7566" s="40"/>
    </row>
    <row r="7567" spans="1:9" ht="15" x14ac:dyDescent="0.2">
      <c r="A7567" s="602">
        <v>43614</v>
      </c>
      <c r="B7567" s="174" t="s">
        <v>2933</v>
      </c>
      <c r="C7567" s="174" t="s">
        <v>3112</v>
      </c>
      <c r="D7567" s="118" t="s">
        <v>4466</v>
      </c>
      <c r="E7567" s="236">
        <v>100000</v>
      </c>
      <c r="F7567" s="236"/>
      <c r="G7567" s="236">
        <f t="shared" si="123"/>
        <v>-100000</v>
      </c>
      <c r="H7567" s="244" t="s">
        <v>4855</v>
      </c>
      <c r="I7567" s="40"/>
    </row>
    <row r="7568" spans="1:9" ht="15" x14ac:dyDescent="0.2">
      <c r="A7568" s="602">
        <v>43615</v>
      </c>
      <c r="B7568" s="174" t="s">
        <v>1400</v>
      </c>
      <c r="C7568" s="174" t="s">
        <v>1524</v>
      </c>
      <c r="D7568" s="817" t="s">
        <v>4983</v>
      </c>
      <c r="E7568" s="236">
        <v>1335500</v>
      </c>
      <c r="F7568" s="236"/>
      <c r="G7568" s="236">
        <f t="shared" si="123"/>
        <v>-1335500</v>
      </c>
      <c r="H7568" s="244" t="s">
        <v>4855</v>
      </c>
      <c r="I7568" s="40"/>
    </row>
    <row r="7569" spans="1:8" ht="15" x14ac:dyDescent="0.2">
      <c r="A7569" s="599">
        <v>43588</v>
      </c>
      <c r="B7569" s="91" t="s">
        <v>2787</v>
      </c>
      <c r="C7569" s="91" t="s">
        <v>559</v>
      </c>
      <c r="D7569" s="801" t="s">
        <v>4854</v>
      </c>
      <c r="E7569" s="92"/>
      <c r="F7569" s="92">
        <v>1419312</v>
      </c>
      <c r="G7569" s="92">
        <f t="shared" si="123"/>
        <v>1419312</v>
      </c>
      <c r="H7569" s="261" t="s">
        <v>4855</v>
      </c>
    </row>
    <row r="7570" spans="1:8" ht="15" x14ac:dyDescent="0.2">
      <c r="A7570" s="599">
        <v>43589</v>
      </c>
      <c r="B7570" s="91" t="s">
        <v>37</v>
      </c>
      <c r="C7570" s="91" t="s">
        <v>559</v>
      </c>
      <c r="D7570" s="801" t="s">
        <v>4856</v>
      </c>
      <c r="E7570" s="92"/>
      <c r="F7570" s="92">
        <v>157140</v>
      </c>
      <c r="G7570" s="92">
        <f t="shared" si="123"/>
        <v>157140</v>
      </c>
      <c r="H7570" s="261" t="s">
        <v>4855</v>
      </c>
    </row>
    <row r="7571" spans="1:8" ht="15" x14ac:dyDescent="0.2">
      <c r="A7571" s="599">
        <v>43596</v>
      </c>
      <c r="B7571" s="91" t="s">
        <v>1400</v>
      </c>
      <c r="C7571" s="91" t="s">
        <v>559</v>
      </c>
      <c r="D7571" s="801" t="s">
        <v>4886</v>
      </c>
      <c r="E7571" s="92"/>
      <c r="F7571" s="92">
        <v>459824</v>
      </c>
      <c r="G7571" s="92">
        <f t="shared" si="123"/>
        <v>459824</v>
      </c>
      <c r="H7571" s="261" t="s">
        <v>4855</v>
      </c>
    </row>
    <row r="7572" spans="1:8" ht="36" x14ac:dyDescent="0.2">
      <c r="A7572" s="599">
        <v>43598</v>
      </c>
      <c r="B7572" s="91" t="s">
        <v>6516</v>
      </c>
      <c r="C7572" s="91" t="s">
        <v>559</v>
      </c>
      <c r="D7572" s="802" t="s">
        <v>4926</v>
      </c>
      <c r="E7572" s="92"/>
      <c r="F7572" s="92">
        <v>539174</v>
      </c>
      <c r="G7572" s="92">
        <f t="shared" si="123"/>
        <v>539174</v>
      </c>
      <c r="H7572" s="261" t="s">
        <v>4855</v>
      </c>
    </row>
    <row r="7573" spans="1:8" ht="15" x14ac:dyDescent="0.2">
      <c r="A7573" s="599">
        <v>43598</v>
      </c>
      <c r="B7573" s="91" t="s">
        <v>4553</v>
      </c>
      <c r="C7573" s="91" t="s">
        <v>559</v>
      </c>
      <c r="D7573" s="801" t="s">
        <v>4927</v>
      </c>
      <c r="E7573" s="92"/>
      <c r="F7573" s="92">
        <v>300000</v>
      </c>
      <c r="G7573" s="92">
        <f t="shared" si="123"/>
        <v>300000</v>
      </c>
      <c r="H7573" s="261" t="s">
        <v>4855</v>
      </c>
    </row>
    <row r="7574" spans="1:8" ht="15" x14ac:dyDescent="0.2">
      <c r="A7574" s="599">
        <v>43602</v>
      </c>
      <c r="B7574" s="91" t="s">
        <v>4553</v>
      </c>
      <c r="C7574" s="91" t="s">
        <v>559</v>
      </c>
      <c r="D7574" s="801" t="s">
        <v>4927</v>
      </c>
      <c r="E7574" s="92"/>
      <c r="F7574" s="92">
        <v>40000</v>
      </c>
      <c r="G7574" s="92">
        <f t="shared" si="123"/>
        <v>40000</v>
      </c>
      <c r="H7574" s="261" t="s">
        <v>4855</v>
      </c>
    </row>
    <row r="7575" spans="1:8" ht="15" x14ac:dyDescent="0.2">
      <c r="A7575" s="599">
        <v>43602</v>
      </c>
      <c r="B7575" s="91" t="s">
        <v>4553</v>
      </c>
      <c r="C7575" s="91" t="s">
        <v>559</v>
      </c>
      <c r="D7575" s="801" t="s">
        <v>4927</v>
      </c>
      <c r="E7575" s="92"/>
      <c r="F7575" s="92">
        <v>140000</v>
      </c>
      <c r="G7575" s="92">
        <f t="shared" si="123"/>
        <v>140000</v>
      </c>
      <c r="H7575" s="261" t="s">
        <v>4855</v>
      </c>
    </row>
    <row r="7576" spans="1:8" ht="15" x14ac:dyDescent="0.2">
      <c r="A7576" s="599">
        <v>43605</v>
      </c>
      <c r="B7576" s="91" t="s">
        <v>22</v>
      </c>
      <c r="C7576" s="91" t="s">
        <v>559</v>
      </c>
      <c r="D7576" s="801" t="s">
        <v>4941</v>
      </c>
      <c r="E7576" s="92"/>
      <c r="F7576" s="92">
        <v>127000</v>
      </c>
      <c r="G7576" s="92">
        <f t="shared" si="123"/>
        <v>127000</v>
      </c>
      <c r="H7576" s="261" t="s">
        <v>4855</v>
      </c>
    </row>
    <row r="7577" spans="1:8" ht="15" x14ac:dyDescent="0.2">
      <c r="A7577" s="599">
        <v>43605</v>
      </c>
      <c r="B7577" s="91" t="s">
        <v>3946</v>
      </c>
      <c r="C7577" s="91" t="s">
        <v>559</v>
      </c>
      <c r="D7577" s="801" t="s">
        <v>4946</v>
      </c>
      <c r="E7577" s="92"/>
      <c r="F7577" s="92">
        <v>213875</v>
      </c>
      <c r="G7577" s="92">
        <f t="shared" si="123"/>
        <v>213875</v>
      </c>
      <c r="H7577" s="261" t="s">
        <v>4855</v>
      </c>
    </row>
    <row r="7578" spans="1:8" ht="15" x14ac:dyDescent="0.2">
      <c r="A7578" s="599">
        <v>43605</v>
      </c>
      <c r="B7578" s="91" t="s">
        <v>2652</v>
      </c>
      <c r="C7578" s="91" t="s">
        <v>559</v>
      </c>
      <c r="D7578" s="801" t="s">
        <v>9099</v>
      </c>
      <c r="E7578" s="92"/>
      <c r="F7578" s="92">
        <v>1200000</v>
      </c>
      <c r="G7578" s="92">
        <f t="shared" si="123"/>
        <v>1200000</v>
      </c>
      <c r="H7578" s="261" t="s">
        <v>4855</v>
      </c>
    </row>
    <row r="7579" spans="1:8" ht="15" x14ac:dyDescent="0.2">
      <c r="A7579" s="599">
        <v>43605</v>
      </c>
      <c r="B7579" s="91" t="s">
        <v>2652</v>
      </c>
      <c r="C7579" s="91" t="s">
        <v>559</v>
      </c>
      <c r="D7579" s="801" t="s">
        <v>9099</v>
      </c>
      <c r="E7579" s="92"/>
      <c r="F7579" s="92">
        <v>1465500</v>
      </c>
      <c r="G7579" s="92">
        <f t="shared" si="123"/>
        <v>1465500</v>
      </c>
      <c r="H7579" s="261" t="s">
        <v>4855</v>
      </c>
    </row>
    <row r="7580" spans="1:8" ht="15" x14ac:dyDescent="0.2">
      <c r="A7580" s="599">
        <v>43605</v>
      </c>
      <c r="B7580" s="91" t="s">
        <v>2652</v>
      </c>
      <c r="C7580" s="91" t="s">
        <v>559</v>
      </c>
      <c r="D7580" s="801" t="s">
        <v>9100</v>
      </c>
      <c r="E7580" s="92"/>
      <c r="F7580" s="92">
        <v>1335500</v>
      </c>
      <c r="G7580" s="92">
        <f t="shared" si="123"/>
        <v>1335500</v>
      </c>
      <c r="H7580" s="261" t="s">
        <v>4855</v>
      </c>
    </row>
    <row r="7581" spans="1:8" ht="15" x14ac:dyDescent="0.2">
      <c r="A7581" s="599">
        <v>43607</v>
      </c>
      <c r="B7581" s="91" t="s">
        <v>3945</v>
      </c>
      <c r="C7581" s="91" t="s">
        <v>559</v>
      </c>
      <c r="D7581" s="801" t="s">
        <v>4946</v>
      </c>
      <c r="E7581" s="92"/>
      <c r="F7581" s="92">
        <v>226625</v>
      </c>
      <c r="G7581" s="92">
        <f t="shared" si="123"/>
        <v>226625</v>
      </c>
      <c r="H7581" s="261" t="s">
        <v>4855</v>
      </c>
    </row>
    <row r="7582" spans="1:8" ht="15" customHeight="1" x14ac:dyDescent="0.2">
      <c r="A7582" s="599">
        <v>43607</v>
      </c>
      <c r="B7582" s="91" t="s">
        <v>37</v>
      </c>
      <c r="C7582" s="91" t="s">
        <v>559</v>
      </c>
      <c r="D7582" s="801" t="s">
        <v>4947</v>
      </c>
      <c r="E7582" s="92"/>
      <c r="F7582" s="92">
        <v>157140</v>
      </c>
      <c r="G7582" s="92">
        <f t="shared" si="123"/>
        <v>157140</v>
      </c>
      <c r="H7582" s="261" t="s">
        <v>4855</v>
      </c>
    </row>
    <row r="7583" spans="1:8" ht="15" x14ac:dyDescent="0.2">
      <c r="A7583" s="599">
        <v>43614</v>
      </c>
      <c r="B7583" s="91" t="s">
        <v>1400</v>
      </c>
      <c r="C7583" s="91" t="s">
        <v>559</v>
      </c>
      <c r="D7583" s="801" t="s">
        <v>9101</v>
      </c>
      <c r="E7583" s="92"/>
      <c r="F7583" s="92">
        <v>500000</v>
      </c>
      <c r="G7583" s="92">
        <f t="shared" si="123"/>
        <v>500000</v>
      </c>
      <c r="H7583" s="261" t="s">
        <v>4855</v>
      </c>
    </row>
    <row r="7584" spans="1:8" ht="15" x14ac:dyDescent="0.2">
      <c r="A7584" s="599">
        <v>43614</v>
      </c>
      <c r="B7584" s="91" t="s">
        <v>1400</v>
      </c>
      <c r="C7584" s="91" t="s">
        <v>559</v>
      </c>
      <c r="D7584" s="801" t="s">
        <v>9102</v>
      </c>
      <c r="E7584" s="92"/>
      <c r="F7584" s="92">
        <v>300000</v>
      </c>
      <c r="G7584" s="92">
        <f t="shared" si="123"/>
        <v>300000</v>
      </c>
      <c r="H7584" s="261" t="s">
        <v>4855</v>
      </c>
    </row>
    <row r="7585" spans="1:8" ht="15" customHeight="1" x14ac:dyDescent="0.2">
      <c r="A7585" s="599">
        <v>43614</v>
      </c>
      <c r="B7585" s="91" t="s">
        <v>1400</v>
      </c>
      <c r="C7585" s="91" t="s">
        <v>559</v>
      </c>
      <c r="D7585" s="801" t="s">
        <v>9103</v>
      </c>
      <c r="E7585" s="92"/>
      <c r="F7585" s="92">
        <v>275885</v>
      </c>
      <c r="G7585" s="92">
        <f t="shared" si="123"/>
        <v>275885</v>
      </c>
      <c r="H7585" s="261" t="s">
        <v>4855</v>
      </c>
    </row>
    <row r="7586" spans="1:8" ht="15" x14ac:dyDescent="0.2">
      <c r="A7586" s="599">
        <v>43614</v>
      </c>
      <c r="B7586" s="91" t="s">
        <v>1400</v>
      </c>
      <c r="C7586" s="91" t="s">
        <v>559</v>
      </c>
      <c r="D7586" s="801" t="s">
        <v>9104</v>
      </c>
      <c r="E7586" s="92"/>
      <c r="F7586" s="92">
        <v>1333250</v>
      </c>
      <c r="G7586" s="92">
        <f t="shared" si="123"/>
        <v>1333250</v>
      </c>
      <c r="H7586" s="261" t="s">
        <v>4855</v>
      </c>
    </row>
    <row r="7587" spans="1:8" ht="15" x14ac:dyDescent="0.2">
      <c r="A7587" s="597">
        <v>43617</v>
      </c>
      <c r="B7587" s="41" t="s">
        <v>1400</v>
      </c>
      <c r="C7587" s="41" t="s">
        <v>2503</v>
      </c>
      <c r="D7587" s="108" t="s">
        <v>940</v>
      </c>
      <c r="E7587" s="58">
        <v>25000</v>
      </c>
      <c r="F7587" s="58"/>
      <c r="G7587" s="58">
        <f t="shared" si="123"/>
        <v>-25000</v>
      </c>
      <c r="H7587" s="121" t="s">
        <v>5026</v>
      </c>
    </row>
    <row r="7588" spans="1:8" ht="15" x14ac:dyDescent="0.2">
      <c r="A7588" s="597">
        <v>43617</v>
      </c>
      <c r="B7588" s="41" t="s">
        <v>2652</v>
      </c>
      <c r="C7588" s="41" t="s">
        <v>2503</v>
      </c>
      <c r="D7588" s="108" t="s">
        <v>940</v>
      </c>
      <c r="E7588" s="58">
        <v>25000</v>
      </c>
      <c r="F7588" s="58"/>
      <c r="G7588" s="58">
        <f t="shared" si="123"/>
        <v>-25000</v>
      </c>
      <c r="H7588" s="121" t="s">
        <v>5026</v>
      </c>
    </row>
    <row r="7589" spans="1:8" ht="15" x14ac:dyDescent="0.2">
      <c r="A7589" s="597">
        <v>43617</v>
      </c>
      <c r="B7589" s="41" t="s">
        <v>2933</v>
      </c>
      <c r="C7589" s="41" t="s">
        <v>2503</v>
      </c>
      <c r="D7589" s="108" t="s">
        <v>939</v>
      </c>
      <c r="E7589" s="58">
        <v>25000</v>
      </c>
      <c r="F7589" s="58"/>
      <c r="G7589" s="58">
        <f t="shared" si="123"/>
        <v>-25000</v>
      </c>
      <c r="H7589" s="121" t="s">
        <v>5026</v>
      </c>
    </row>
    <row r="7590" spans="1:8" ht="15" x14ac:dyDescent="0.2">
      <c r="A7590" s="597">
        <v>43617</v>
      </c>
      <c r="B7590" s="41" t="s">
        <v>2652</v>
      </c>
      <c r="C7590" s="41" t="s">
        <v>2503</v>
      </c>
      <c r="D7590" s="108" t="s">
        <v>939</v>
      </c>
      <c r="E7590" s="58">
        <v>25000</v>
      </c>
      <c r="F7590" s="58"/>
      <c r="G7590" s="58">
        <f t="shared" si="123"/>
        <v>-25000</v>
      </c>
      <c r="H7590" s="121" t="s">
        <v>5026</v>
      </c>
    </row>
    <row r="7591" spans="1:8" ht="15" x14ac:dyDescent="0.2">
      <c r="A7591" s="597">
        <v>43617</v>
      </c>
      <c r="B7591" s="41" t="s">
        <v>25</v>
      </c>
      <c r="C7591" s="41" t="s">
        <v>2503</v>
      </c>
      <c r="D7591" s="108" t="s">
        <v>5019</v>
      </c>
      <c r="E7591" s="58">
        <v>30000</v>
      </c>
      <c r="F7591" s="58"/>
      <c r="G7591" s="58">
        <f t="shared" si="123"/>
        <v>-30000</v>
      </c>
      <c r="H7591" s="121" t="s">
        <v>5026</v>
      </c>
    </row>
    <row r="7592" spans="1:8" ht="15" x14ac:dyDescent="0.2">
      <c r="A7592" s="597">
        <v>43617</v>
      </c>
      <c r="B7592" s="41" t="s">
        <v>16</v>
      </c>
      <c r="C7592" s="41" t="s">
        <v>2503</v>
      </c>
      <c r="D7592" s="108" t="s">
        <v>16</v>
      </c>
      <c r="E7592" s="58">
        <v>86181.451612903227</v>
      </c>
      <c r="F7592" s="58"/>
      <c r="G7592" s="58">
        <f t="shared" si="123"/>
        <v>-86181.451612903227</v>
      </c>
      <c r="H7592" s="121" t="s">
        <v>5026</v>
      </c>
    </row>
    <row r="7593" spans="1:8" ht="15" x14ac:dyDescent="0.2">
      <c r="A7593" s="597">
        <v>43617</v>
      </c>
      <c r="B7593" s="41" t="s">
        <v>3945</v>
      </c>
      <c r="C7593" s="41" t="s">
        <v>2503</v>
      </c>
      <c r="D7593" s="108" t="s">
        <v>5020</v>
      </c>
      <c r="E7593" s="58">
        <v>133486.29032258064</v>
      </c>
      <c r="F7593" s="58"/>
      <c r="G7593" s="58">
        <f t="shared" si="123"/>
        <v>-133486.29032258064</v>
      </c>
      <c r="H7593" s="121" t="s">
        <v>5026</v>
      </c>
    </row>
    <row r="7594" spans="1:8" ht="15" x14ac:dyDescent="0.2">
      <c r="A7594" s="597">
        <v>43617</v>
      </c>
      <c r="B7594" s="41" t="s">
        <v>3946</v>
      </c>
      <c r="C7594" s="41" t="s">
        <v>2503</v>
      </c>
      <c r="D7594" s="108" t="s">
        <v>5021</v>
      </c>
      <c r="E7594" s="58">
        <v>142197.5806451613</v>
      </c>
      <c r="F7594" s="58"/>
      <c r="G7594" s="58">
        <f t="shared" si="123"/>
        <v>-142197.5806451613</v>
      </c>
      <c r="H7594" s="121" t="s">
        <v>5026</v>
      </c>
    </row>
    <row r="7595" spans="1:8" ht="15" x14ac:dyDescent="0.2">
      <c r="A7595" s="597">
        <v>43617</v>
      </c>
      <c r="B7595" s="41" t="s">
        <v>1400</v>
      </c>
      <c r="C7595" s="41" t="s">
        <v>2503</v>
      </c>
      <c r="D7595" s="108" t="s">
        <v>1084</v>
      </c>
      <c r="E7595" s="58">
        <v>270000</v>
      </c>
      <c r="F7595" s="58"/>
      <c r="G7595" s="58">
        <f t="shared" ref="G7595:G7658" si="124">F7595-E7595</f>
        <v>-270000</v>
      </c>
      <c r="H7595" s="121" t="s">
        <v>5026</v>
      </c>
    </row>
    <row r="7596" spans="1:8" ht="15" x14ac:dyDescent="0.2">
      <c r="A7596" s="597">
        <v>43617</v>
      </c>
      <c r="B7596" s="41" t="s">
        <v>4721</v>
      </c>
      <c r="C7596" s="41" t="s">
        <v>2503</v>
      </c>
      <c r="D7596" s="108" t="s">
        <v>5027</v>
      </c>
      <c r="E7596" s="58">
        <f>321950-E7595</f>
        <v>51950</v>
      </c>
      <c r="F7596" s="58"/>
      <c r="G7596" s="58">
        <f t="shared" si="124"/>
        <v>-51950</v>
      </c>
      <c r="H7596" s="121" t="s">
        <v>5026</v>
      </c>
    </row>
    <row r="7597" spans="1:8" ht="15" x14ac:dyDescent="0.2">
      <c r="A7597" s="597">
        <v>43617</v>
      </c>
      <c r="B7597" s="41" t="s">
        <v>6516</v>
      </c>
      <c r="C7597" s="41" t="s">
        <v>2503</v>
      </c>
      <c r="D7597" s="108" t="s">
        <v>5022</v>
      </c>
      <c r="E7597" s="58">
        <v>113572.05645161291</v>
      </c>
      <c r="F7597" s="58"/>
      <c r="G7597" s="58">
        <f t="shared" si="124"/>
        <v>-113572.05645161291</v>
      </c>
      <c r="H7597" s="121" t="s">
        <v>5026</v>
      </c>
    </row>
    <row r="7598" spans="1:8" ht="15" customHeight="1" x14ac:dyDescent="0.2">
      <c r="A7598" s="597">
        <v>43617</v>
      </c>
      <c r="B7598" s="41" t="s">
        <v>37</v>
      </c>
      <c r="C7598" s="41" t="s">
        <v>2503</v>
      </c>
      <c r="D7598" s="108" t="s">
        <v>5023</v>
      </c>
      <c r="E7598" s="58">
        <v>107599.51612903224</v>
      </c>
      <c r="F7598" s="58"/>
      <c r="G7598" s="58">
        <f t="shared" si="124"/>
        <v>-107599.51612903224</v>
      </c>
      <c r="H7598" s="121" t="s">
        <v>5026</v>
      </c>
    </row>
    <row r="7599" spans="1:8" ht="15" x14ac:dyDescent="0.2">
      <c r="A7599" s="597">
        <v>43617</v>
      </c>
      <c r="B7599" s="41" t="s">
        <v>2933</v>
      </c>
      <c r="C7599" s="41" t="s">
        <v>2503</v>
      </c>
      <c r="D7599" s="108" t="s">
        <v>5024</v>
      </c>
      <c r="E7599" s="58">
        <v>238790.56451612906</v>
      </c>
      <c r="F7599" s="58"/>
      <c r="G7599" s="58">
        <f t="shared" si="124"/>
        <v>-238790.56451612906</v>
      </c>
      <c r="H7599" s="121" t="s">
        <v>5026</v>
      </c>
    </row>
    <row r="7600" spans="1:8" ht="15" customHeight="1" x14ac:dyDescent="0.2">
      <c r="A7600" s="597">
        <v>43617</v>
      </c>
      <c r="B7600" s="41" t="s">
        <v>2652</v>
      </c>
      <c r="C7600" s="41" t="s">
        <v>2503</v>
      </c>
      <c r="D7600" s="108" t="s">
        <v>5025</v>
      </c>
      <c r="E7600" s="58">
        <v>217650.67540322582</v>
      </c>
      <c r="F7600" s="58"/>
      <c r="G7600" s="58">
        <f t="shared" si="124"/>
        <v>-217650.67540322582</v>
      </c>
      <c r="H7600" s="121" t="s">
        <v>5026</v>
      </c>
    </row>
    <row r="7601" spans="1:8" ht="15" customHeight="1" x14ac:dyDescent="0.2">
      <c r="A7601" s="597">
        <v>43617</v>
      </c>
      <c r="B7601" s="41" t="s">
        <v>2652</v>
      </c>
      <c r="C7601" s="41" t="s">
        <v>4385</v>
      </c>
      <c r="D7601" s="108" t="s">
        <v>5028</v>
      </c>
      <c r="E7601" s="58">
        <v>60450</v>
      </c>
      <c r="F7601" s="58"/>
      <c r="G7601" s="58">
        <f t="shared" si="124"/>
        <v>-60450</v>
      </c>
      <c r="H7601" s="121" t="s">
        <v>5026</v>
      </c>
    </row>
    <row r="7602" spans="1:8" ht="15" customHeight="1" x14ac:dyDescent="0.2">
      <c r="A7602" s="597">
        <v>43619</v>
      </c>
      <c r="B7602" s="41" t="s">
        <v>16</v>
      </c>
      <c r="C7602" s="41" t="s">
        <v>939</v>
      </c>
      <c r="D7602" s="108" t="s">
        <v>5059</v>
      </c>
      <c r="E7602" s="58">
        <v>4800</v>
      </c>
      <c r="F7602" s="58"/>
      <c r="G7602" s="58">
        <f t="shared" si="124"/>
        <v>-4800</v>
      </c>
      <c r="H7602" s="121" t="s">
        <v>5026</v>
      </c>
    </row>
    <row r="7603" spans="1:8" ht="15" customHeight="1" x14ac:dyDescent="0.2">
      <c r="A7603" s="597">
        <v>43619</v>
      </c>
      <c r="B7603" s="41" t="s">
        <v>16</v>
      </c>
      <c r="E7603" s="58">
        <v>4200</v>
      </c>
      <c r="F7603" s="58"/>
      <c r="G7603" s="58">
        <f t="shared" si="124"/>
        <v>-4200</v>
      </c>
      <c r="H7603" s="121" t="s">
        <v>5026</v>
      </c>
    </row>
    <row r="7604" spans="1:8" ht="15" customHeight="1" x14ac:dyDescent="0.2">
      <c r="A7604" s="597">
        <v>43619</v>
      </c>
      <c r="B7604" s="41" t="s">
        <v>16</v>
      </c>
      <c r="E7604" s="58">
        <v>680</v>
      </c>
      <c r="F7604" s="58"/>
      <c r="G7604" s="58">
        <f t="shared" si="124"/>
        <v>-680</v>
      </c>
      <c r="H7604" s="121" t="s">
        <v>5026</v>
      </c>
    </row>
    <row r="7605" spans="1:8" ht="15" x14ac:dyDescent="0.2">
      <c r="A7605" s="597">
        <v>43619</v>
      </c>
      <c r="B7605" s="41" t="s">
        <v>1400</v>
      </c>
      <c r="E7605" s="58">
        <v>13000</v>
      </c>
      <c r="F7605" s="58"/>
      <c r="G7605" s="58">
        <f t="shared" si="124"/>
        <v>-13000</v>
      </c>
      <c r="H7605" s="121" t="s">
        <v>5026</v>
      </c>
    </row>
    <row r="7606" spans="1:8" ht="15" x14ac:dyDescent="0.2">
      <c r="A7606" s="597">
        <v>43619</v>
      </c>
      <c r="B7606" s="41" t="s">
        <v>37</v>
      </c>
      <c r="E7606" s="58">
        <v>1000</v>
      </c>
      <c r="F7606" s="58"/>
      <c r="G7606" s="58">
        <f t="shared" si="124"/>
        <v>-1000</v>
      </c>
      <c r="H7606" s="121" t="s">
        <v>5026</v>
      </c>
    </row>
    <row r="7607" spans="1:8" ht="15" x14ac:dyDescent="0.2">
      <c r="A7607" s="597">
        <v>43619</v>
      </c>
      <c r="B7607" s="41" t="s">
        <v>1400</v>
      </c>
      <c r="E7607" s="58">
        <v>20000</v>
      </c>
      <c r="F7607" s="58"/>
      <c r="G7607" s="58">
        <f t="shared" si="124"/>
        <v>-20000</v>
      </c>
      <c r="H7607" s="121" t="s">
        <v>5026</v>
      </c>
    </row>
    <row r="7608" spans="1:8" ht="15" x14ac:dyDescent="0.2">
      <c r="A7608" s="597">
        <v>43619</v>
      </c>
      <c r="B7608" s="41" t="s">
        <v>2652</v>
      </c>
      <c r="E7608" s="58">
        <v>5000</v>
      </c>
      <c r="F7608" s="58"/>
      <c r="G7608" s="58">
        <f t="shared" si="124"/>
        <v>-5000</v>
      </c>
      <c r="H7608" s="121" t="s">
        <v>5026</v>
      </c>
    </row>
    <row r="7609" spans="1:8" ht="15" x14ac:dyDescent="0.2">
      <c r="A7609" s="597">
        <v>43619</v>
      </c>
      <c r="B7609" s="41" t="s">
        <v>2933</v>
      </c>
      <c r="E7609" s="58">
        <v>10000</v>
      </c>
      <c r="F7609" s="58"/>
      <c r="G7609" s="58">
        <f t="shared" si="124"/>
        <v>-10000</v>
      </c>
      <c r="H7609" s="121" t="s">
        <v>5026</v>
      </c>
    </row>
    <row r="7610" spans="1:8" ht="15" x14ac:dyDescent="0.2">
      <c r="A7610" s="597">
        <v>43619</v>
      </c>
      <c r="B7610" s="41" t="s">
        <v>25</v>
      </c>
      <c r="E7610" s="58">
        <v>19500</v>
      </c>
      <c r="F7610" s="58"/>
      <c r="G7610" s="58">
        <f t="shared" si="124"/>
        <v>-19500</v>
      </c>
      <c r="H7610" s="121" t="s">
        <v>5026</v>
      </c>
    </row>
    <row r="7611" spans="1:8" ht="15" x14ac:dyDescent="0.2">
      <c r="A7611" s="597">
        <v>43619</v>
      </c>
      <c r="B7611" s="41" t="s">
        <v>2652</v>
      </c>
      <c r="C7611" s="41" t="s">
        <v>4870</v>
      </c>
      <c r="D7611" s="108" t="s">
        <v>5060</v>
      </c>
      <c r="E7611" s="58">
        <v>83970</v>
      </c>
      <c r="F7611" s="58"/>
      <c r="G7611" s="58">
        <f t="shared" si="124"/>
        <v>-83970</v>
      </c>
      <c r="H7611" s="121" t="s">
        <v>5026</v>
      </c>
    </row>
    <row r="7612" spans="1:8" ht="15" x14ac:dyDescent="0.2">
      <c r="A7612" s="597">
        <v>43619</v>
      </c>
      <c r="B7612" s="41" t="s">
        <v>2933</v>
      </c>
      <c r="E7612" s="58">
        <v>2640</v>
      </c>
      <c r="F7612" s="58"/>
      <c r="G7612" s="58">
        <f t="shared" si="124"/>
        <v>-2640</v>
      </c>
      <c r="H7612" s="121" t="s">
        <v>5026</v>
      </c>
    </row>
    <row r="7613" spans="1:8" ht="15" x14ac:dyDescent="0.2">
      <c r="A7613" s="597">
        <v>43619</v>
      </c>
      <c r="B7613" s="41" t="s">
        <v>1400</v>
      </c>
      <c r="E7613" s="58">
        <v>22900</v>
      </c>
      <c r="F7613" s="58"/>
      <c r="G7613" s="58">
        <f t="shared" si="124"/>
        <v>-22900</v>
      </c>
      <c r="H7613" s="121" t="s">
        <v>5026</v>
      </c>
    </row>
    <row r="7614" spans="1:8" ht="15" x14ac:dyDescent="0.2">
      <c r="A7614" s="597">
        <v>43619</v>
      </c>
      <c r="B7614" s="41" t="s">
        <v>2652</v>
      </c>
      <c r="E7614" s="58">
        <v>540</v>
      </c>
      <c r="F7614" s="58"/>
      <c r="G7614" s="58">
        <f t="shared" si="124"/>
        <v>-540</v>
      </c>
      <c r="H7614" s="121" t="s">
        <v>5026</v>
      </c>
    </row>
    <row r="7615" spans="1:8" ht="15" x14ac:dyDescent="0.2">
      <c r="A7615" s="597">
        <v>43619</v>
      </c>
      <c r="B7615" s="41" t="s">
        <v>1400</v>
      </c>
      <c r="E7615" s="58">
        <v>360</v>
      </c>
      <c r="F7615" s="58"/>
      <c r="G7615" s="58">
        <f t="shared" si="124"/>
        <v>-360</v>
      </c>
      <c r="H7615" s="121" t="s">
        <v>5026</v>
      </c>
    </row>
    <row r="7616" spans="1:8" ht="15" x14ac:dyDescent="0.2">
      <c r="A7616" s="597">
        <v>43619</v>
      </c>
      <c r="B7616" s="41" t="s">
        <v>2652</v>
      </c>
      <c r="C7616" s="41" t="s">
        <v>5061</v>
      </c>
      <c r="D7616" s="108" t="s">
        <v>5062</v>
      </c>
      <c r="E7616" s="58">
        <v>15000</v>
      </c>
      <c r="F7616" s="58"/>
      <c r="G7616" s="58">
        <f t="shared" si="124"/>
        <v>-15000</v>
      </c>
      <c r="H7616" s="121" t="s">
        <v>5026</v>
      </c>
    </row>
    <row r="7617" spans="1:8" ht="15" x14ac:dyDescent="0.2">
      <c r="A7617" s="597">
        <v>43619</v>
      </c>
      <c r="B7617" s="41" t="s">
        <v>2652</v>
      </c>
      <c r="C7617" s="41" t="s">
        <v>2190</v>
      </c>
      <c r="D7617" s="108" t="s">
        <v>3369</v>
      </c>
      <c r="E7617" s="58">
        <f>360+150</f>
        <v>510</v>
      </c>
      <c r="F7617" s="58"/>
      <c r="G7617" s="58">
        <f t="shared" si="124"/>
        <v>-510</v>
      </c>
      <c r="H7617" s="121" t="s">
        <v>5026</v>
      </c>
    </row>
    <row r="7618" spans="1:8" ht="15" x14ac:dyDescent="0.2">
      <c r="A7618" s="597">
        <v>43619</v>
      </c>
      <c r="B7618" s="41" t="s">
        <v>2652</v>
      </c>
      <c r="C7618" s="41" t="s">
        <v>2190</v>
      </c>
      <c r="D7618" s="108" t="s">
        <v>3369</v>
      </c>
      <c r="E7618" s="58">
        <v>180</v>
      </c>
      <c r="F7618" s="58"/>
      <c r="G7618" s="58">
        <f t="shared" si="124"/>
        <v>-180</v>
      </c>
      <c r="H7618" s="121" t="s">
        <v>5026</v>
      </c>
    </row>
    <row r="7619" spans="1:8" ht="15" x14ac:dyDescent="0.2">
      <c r="A7619" s="597">
        <v>43619</v>
      </c>
      <c r="B7619" s="41" t="s">
        <v>2652</v>
      </c>
      <c r="C7619" s="41" t="s">
        <v>286</v>
      </c>
      <c r="D7619" s="108" t="s">
        <v>940</v>
      </c>
      <c r="E7619" s="58">
        <v>6000</v>
      </c>
      <c r="F7619" s="58"/>
      <c r="G7619" s="58">
        <f t="shared" si="124"/>
        <v>-6000</v>
      </c>
      <c r="H7619" s="121" t="s">
        <v>5026</v>
      </c>
    </row>
    <row r="7620" spans="1:8" ht="15" x14ac:dyDescent="0.2">
      <c r="A7620" s="597">
        <v>43619</v>
      </c>
      <c r="B7620" s="41" t="s">
        <v>2652</v>
      </c>
      <c r="C7620" s="41" t="s">
        <v>286</v>
      </c>
      <c r="D7620" s="108" t="s">
        <v>940</v>
      </c>
      <c r="E7620" s="58">
        <v>6000</v>
      </c>
      <c r="F7620" s="58"/>
      <c r="G7620" s="58">
        <f t="shared" si="124"/>
        <v>-6000</v>
      </c>
      <c r="H7620" s="121" t="s">
        <v>5026</v>
      </c>
    </row>
    <row r="7621" spans="1:8" ht="15" x14ac:dyDescent="0.2">
      <c r="A7621" s="597">
        <v>43633</v>
      </c>
      <c r="B7621" s="41" t="s">
        <v>4553</v>
      </c>
      <c r="C7621" s="41" t="s">
        <v>3145</v>
      </c>
      <c r="D7621" s="108" t="s">
        <v>5063</v>
      </c>
      <c r="E7621" s="58">
        <v>23610</v>
      </c>
      <c r="F7621" s="58"/>
      <c r="G7621" s="58">
        <f t="shared" si="124"/>
        <v>-23610</v>
      </c>
      <c r="H7621" s="121" t="s">
        <v>5026</v>
      </c>
    </row>
    <row r="7622" spans="1:8" ht="15" x14ac:dyDescent="0.2">
      <c r="A7622" s="597">
        <v>43633</v>
      </c>
      <c r="B7622" s="41" t="s">
        <v>2652</v>
      </c>
      <c r="C7622" s="41" t="s">
        <v>3145</v>
      </c>
      <c r="D7622" s="108" t="s">
        <v>5063</v>
      </c>
      <c r="E7622" s="58">
        <v>11390</v>
      </c>
      <c r="F7622" s="58"/>
      <c r="G7622" s="58">
        <f t="shared" si="124"/>
        <v>-11390</v>
      </c>
      <c r="H7622" s="121" t="s">
        <v>5026</v>
      </c>
    </row>
    <row r="7623" spans="1:8" ht="15" x14ac:dyDescent="0.2">
      <c r="A7623" s="597">
        <v>43634</v>
      </c>
      <c r="B7623" s="41" t="s">
        <v>2652</v>
      </c>
      <c r="C7623" s="41" t="s">
        <v>3033</v>
      </c>
      <c r="E7623" s="58">
        <v>2500</v>
      </c>
      <c r="F7623" s="58"/>
      <c r="G7623" s="58">
        <f t="shared" si="124"/>
        <v>-2500</v>
      </c>
      <c r="H7623" s="121" t="s">
        <v>5026</v>
      </c>
    </row>
    <row r="7624" spans="1:8" ht="15" x14ac:dyDescent="0.2">
      <c r="A7624" s="597">
        <v>43634</v>
      </c>
      <c r="B7624" s="41" t="s">
        <v>1400</v>
      </c>
      <c r="C7624" s="41" t="s">
        <v>3033</v>
      </c>
      <c r="E7624" s="58">
        <v>4500</v>
      </c>
      <c r="F7624" s="58"/>
      <c r="G7624" s="58">
        <f t="shared" si="124"/>
        <v>-4500</v>
      </c>
      <c r="H7624" s="121" t="s">
        <v>5026</v>
      </c>
    </row>
    <row r="7625" spans="1:8" ht="15" x14ac:dyDescent="0.2">
      <c r="A7625" s="597">
        <v>43634</v>
      </c>
      <c r="B7625" s="41" t="s">
        <v>1400</v>
      </c>
      <c r="C7625" s="41" t="s">
        <v>3033</v>
      </c>
      <c r="E7625" s="58">
        <v>4000</v>
      </c>
      <c r="F7625" s="58"/>
      <c r="G7625" s="58">
        <f t="shared" si="124"/>
        <v>-4000</v>
      </c>
      <c r="H7625" s="121" t="s">
        <v>5026</v>
      </c>
    </row>
    <row r="7626" spans="1:8" ht="15" x14ac:dyDescent="0.2">
      <c r="A7626" s="597">
        <v>43634</v>
      </c>
      <c r="B7626" s="41" t="s">
        <v>1400</v>
      </c>
      <c r="C7626" s="41" t="s">
        <v>3033</v>
      </c>
      <c r="E7626" s="58">
        <v>2000</v>
      </c>
      <c r="F7626" s="58"/>
      <c r="G7626" s="58">
        <f t="shared" si="124"/>
        <v>-2000</v>
      </c>
      <c r="H7626" s="121" t="s">
        <v>5026</v>
      </c>
    </row>
    <row r="7627" spans="1:8" ht="15" x14ac:dyDescent="0.2">
      <c r="A7627" s="597">
        <v>43634</v>
      </c>
      <c r="B7627" s="41" t="s">
        <v>2652</v>
      </c>
      <c r="C7627" s="41" t="s">
        <v>3145</v>
      </c>
      <c r="D7627" s="108" t="s">
        <v>5064</v>
      </c>
      <c r="E7627" s="58">
        <v>2760</v>
      </c>
      <c r="F7627" s="58"/>
      <c r="G7627" s="58">
        <f t="shared" si="124"/>
        <v>-2760</v>
      </c>
      <c r="H7627" s="121" t="s">
        <v>5026</v>
      </c>
    </row>
    <row r="7628" spans="1:8" ht="15" x14ac:dyDescent="0.2">
      <c r="A7628" s="597">
        <v>43644</v>
      </c>
      <c r="B7628" s="41" t="s">
        <v>2652</v>
      </c>
      <c r="C7628" s="41" t="s">
        <v>3145</v>
      </c>
      <c r="D7628" s="108" t="s">
        <v>5063</v>
      </c>
      <c r="E7628" s="58">
        <v>16700</v>
      </c>
      <c r="F7628" s="58"/>
      <c r="G7628" s="58">
        <f t="shared" si="124"/>
        <v>-16700</v>
      </c>
      <c r="H7628" s="121" t="s">
        <v>5026</v>
      </c>
    </row>
    <row r="7629" spans="1:8" ht="15" x14ac:dyDescent="0.2">
      <c r="A7629" s="597">
        <v>43644</v>
      </c>
      <c r="B7629" s="41" t="s">
        <v>2652</v>
      </c>
      <c r="C7629" s="41" t="s">
        <v>3145</v>
      </c>
      <c r="D7629" s="108" t="s">
        <v>5063</v>
      </c>
      <c r="E7629" s="58">
        <v>755</v>
      </c>
      <c r="F7629" s="58"/>
      <c r="G7629" s="58">
        <f t="shared" si="124"/>
        <v>-755</v>
      </c>
      <c r="H7629" s="121" t="s">
        <v>5026</v>
      </c>
    </row>
    <row r="7630" spans="1:8" ht="15" x14ac:dyDescent="0.2">
      <c r="A7630" s="597">
        <v>43644</v>
      </c>
      <c r="B7630" s="41" t="s">
        <v>25</v>
      </c>
      <c r="E7630" s="58">
        <v>9130</v>
      </c>
      <c r="F7630" s="58"/>
      <c r="G7630" s="58">
        <f t="shared" si="124"/>
        <v>-9130</v>
      </c>
      <c r="H7630" s="121" t="s">
        <v>5026</v>
      </c>
    </row>
    <row r="7631" spans="1:8" ht="15" x14ac:dyDescent="0.2">
      <c r="A7631" s="597">
        <v>43644</v>
      </c>
      <c r="B7631" s="41" t="s">
        <v>5052</v>
      </c>
      <c r="E7631" s="58">
        <v>600</v>
      </c>
      <c r="F7631" s="58"/>
      <c r="G7631" s="58">
        <f t="shared" si="124"/>
        <v>-600</v>
      </c>
      <c r="H7631" s="121" t="s">
        <v>5026</v>
      </c>
    </row>
    <row r="7632" spans="1:8" ht="15" x14ac:dyDescent="0.2">
      <c r="A7632" s="597">
        <v>43644</v>
      </c>
      <c r="B7632" s="41" t="s">
        <v>5052</v>
      </c>
      <c r="E7632" s="58">
        <v>49</v>
      </c>
      <c r="F7632" s="58"/>
      <c r="G7632" s="58">
        <f t="shared" si="124"/>
        <v>-49</v>
      </c>
      <c r="H7632" s="121" t="s">
        <v>5026</v>
      </c>
    </row>
    <row r="7633" spans="1:9" ht="15" x14ac:dyDescent="0.2">
      <c r="A7633" s="597">
        <v>43644</v>
      </c>
      <c r="B7633" s="41" t="s">
        <v>5052</v>
      </c>
      <c r="C7633" s="41" t="s">
        <v>2190</v>
      </c>
      <c r="D7633" s="108" t="s">
        <v>3369</v>
      </c>
      <c r="E7633" s="58">
        <v>2520</v>
      </c>
      <c r="F7633" s="58"/>
      <c r="G7633" s="58">
        <f t="shared" si="124"/>
        <v>-2520</v>
      </c>
      <c r="H7633" s="121" t="s">
        <v>5026</v>
      </c>
    </row>
    <row r="7634" spans="1:9" ht="15" x14ac:dyDescent="0.2">
      <c r="A7634" s="597">
        <v>43644</v>
      </c>
      <c r="B7634" s="41" t="s">
        <v>3733</v>
      </c>
      <c r="C7634" s="41" t="s">
        <v>3145</v>
      </c>
      <c r="D7634" s="108" t="s">
        <v>5088</v>
      </c>
      <c r="E7634" s="58">
        <v>2450</v>
      </c>
      <c r="F7634" s="58"/>
      <c r="G7634" s="58">
        <f t="shared" si="124"/>
        <v>-2450</v>
      </c>
      <c r="H7634" s="121" t="s">
        <v>5026</v>
      </c>
    </row>
    <row r="7635" spans="1:9" ht="15" x14ac:dyDescent="0.2">
      <c r="A7635" s="597">
        <v>43644</v>
      </c>
      <c r="B7635" s="41" t="s">
        <v>2652</v>
      </c>
      <c r="C7635" s="41" t="s">
        <v>3145</v>
      </c>
      <c r="D7635" s="108" t="s">
        <v>5064</v>
      </c>
      <c r="E7635" s="58">
        <v>620</v>
      </c>
      <c r="F7635" s="58"/>
      <c r="G7635" s="58">
        <f t="shared" si="124"/>
        <v>-620</v>
      </c>
      <c r="H7635" s="121" t="s">
        <v>5026</v>
      </c>
    </row>
    <row r="7636" spans="1:9" ht="15" x14ac:dyDescent="0.2">
      <c r="A7636" s="597">
        <v>43634</v>
      </c>
      <c r="B7636" s="41" t="s">
        <v>1400</v>
      </c>
      <c r="C7636" s="41" t="s">
        <v>3145</v>
      </c>
      <c r="D7636" s="108" t="s">
        <v>4450</v>
      </c>
      <c r="E7636" s="58">
        <v>59450</v>
      </c>
      <c r="F7636" s="58"/>
      <c r="G7636" s="58">
        <f t="shared" si="124"/>
        <v>-59450</v>
      </c>
      <c r="H7636" s="121" t="s">
        <v>5026</v>
      </c>
    </row>
    <row r="7637" spans="1:9" ht="15" x14ac:dyDescent="0.2">
      <c r="A7637" s="597">
        <v>43644</v>
      </c>
      <c r="B7637" s="41" t="s">
        <v>4553</v>
      </c>
      <c r="C7637" s="41" t="s">
        <v>5065</v>
      </c>
      <c r="D7637" s="108" t="s">
        <v>370</v>
      </c>
      <c r="E7637" s="58">
        <v>7000</v>
      </c>
      <c r="F7637" s="58"/>
      <c r="G7637" s="58">
        <f t="shared" si="124"/>
        <v>-7000</v>
      </c>
      <c r="H7637" s="121" t="s">
        <v>5026</v>
      </c>
    </row>
    <row r="7638" spans="1:9" ht="15" x14ac:dyDescent="0.2">
      <c r="A7638" s="597">
        <v>43644</v>
      </c>
      <c r="B7638" s="41" t="s">
        <v>2933</v>
      </c>
      <c r="E7638" s="58">
        <v>11500</v>
      </c>
      <c r="F7638" s="58"/>
      <c r="G7638" s="58">
        <f t="shared" si="124"/>
        <v>-11500</v>
      </c>
      <c r="H7638" s="121" t="s">
        <v>5026</v>
      </c>
    </row>
    <row r="7639" spans="1:9" ht="24" x14ac:dyDescent="0.2">
      <c r="A7639" s="597">
        <v>43644</v>
      </c>
      <c r="B7639" s="41" t="s">
        <v>16</v>
      </c>
      <c r="C7639" s="41" t="s">
        <v>463</v>
      </c>
      <c r="D7639" s="129" t="s">
        <v>5066</v>
      </c>
      <c r="E7639" s="58">
        <v>18079</v>
      </c>
      <c r="F7639" s="58"/>
      <c r="G7639" s="58">
        <f t="shared" si="124"/>
        <v>-18079</v>
      </c>
      <c r="H7639" s="121" t="s">
        <v>5026</v>
      </c>
    </row>
    <row r="7640" spans="1:9" ht="24" x14ac:dyDescent="0.2">
      <c r="A7640" s="602">
        <v>43617</v>
      </c>
      <c r="B7640" s="174" t="s">
        <v>2933</v>
      </c>
      <c r="C7640" s="174" t="s">
        <v>3707</v>
      </c>
      <c r="D7640" s="818" t="s">
        <v>5004</v>
      </c>
      <c r="E7640" s="236">
        <v>100000</v>
      </c>
      <c r="F7640" s="236"/>
      <c r="G7640" s="236">
        <f t="shared" si="124"/>
        <v>-100000</v>
      </c>
      <c r="H7640" s="244" t="s">
        <v>5026</v>
      </c>
      <c r="I7640" s="40"/>
    </row>
    <row r="7641" spans="1:9" ht="24" x14ac:dyDescent="0.2">
      <c r="A7641" s="602">
        <v>43617</v>
      </c>
      <c r="B7641" s="174" t="s">
        <v>2933</v>
      </c>
      <c r="C7641" s="174" t="s">
        <v>3707</v>
      </c>
      <c r="D7641" s="818" t="s">
        <v>5004</v>
      </c>
      <c r="E7641" s="236">
        <v>100000</v>
      </c>
      <c r="F7641" s="236"/>
      <c r="G7641" s="236">
        <f t="shared" si="124"/>
        <v>-100000</v>
      </c>
      <c r="H7641" s="244" t="s">
        <v>5026</v>
      </c>
      <c r="I7641" s="40"/>
    </row>
    <row r="7642" spans="1:9" ht="15" x14ac:dyDescent="0.2">
      <c r="A7642" s="602">
        <v>43619</v>
      </c>
      <c r="B7642" s="174" t="s">
        <v>1400</v>
      </c>
      <c r="C7642" s="174" t="s">
        <v>2515</v>
      </c>
      <c r="D7642" s="818" t="s">
        <v>5029</v>
      </c>
      <c r="E7642" s="236">
        <v>90000</v>
      </c>
      <c r="F7642" s="236"/>
      <c r="G7642" s="236">
        <f t="shared" si="124"/>
        <v>-90000</v>
      </c>
      <c r="H7642" s="244" t="s">
        <v>5026</v>
      </c>
      <c r="I7642" s="40"/>
    </row>
    <row r="7643" spans="1:9" ht="15" x14ac:dyDescent="0.2">
      <c r="A7643" s="602">
        <v>43626</v>
      </c>
      <c r="B7643" s="174" t="s">
        <v>3733</v>
      </c>
      <c r="C7643" s="174" t="s">
        <v>251</v>
      </c>
      <c r="D7643" s="818" t="s">
        <v>4961</v>
      </c>
      <c r="E7643" s="236">
        <v>50000</v>
      </c>
      <c r="F7643" s="236"/>
      <c r="G7643" s="236">
        <f t="shared" si="124"/>
        <v>-50000</v>
      </c>
      <c r="H7643" s="244" t="s">
        <v>5026</v>
      </c>
      <c r="I7643" s="40"/>
    </row>
    <row r="7644" spans="1:9" ht="24" x14ac:dyDescent="0.2">
      <c r="A7644" s="602">
        <v>43626</v>
      </c>
      <c r="B7644" s="174" t="s">
        <v>1400</v>
      </c>
      <c r="C7644" s="174" t="s">
        <v>4334</v>
      </c>
      <c r="D7644" s="818" t="s">
        <v>5004</v>
      </c>
      <c r="E7644" s="236">
        <v>100000</v>
      </c>
      <c r="F7644" s="236"/>
      <c r="G7644" s="236">
        <f t="shared" si="124"/>
        <v>-100000</v>
      </c>
      <c r="H7644" s="244" t="s">
        <v>5026</v>
      </c>
      <c r="I7644" s="40"/>
    </row>
    <row r="7645" spans="1:9" ht="15" x14ac:dyDescent="0.2">
      <c r="A7645" s="602">
        <v>43626</v>
      </c>
      <c r="B7645" s="174" t="s">
        <v>1400</v>
      </c>
      <c r="C7645" s="174" t="s">
        <v>2515</v>
      </c>
      <c r="D7645" s="818" t="s">
        <v>5032</v>
      </c>
      <c r="E7645" s="236">
        <v>10000</v>
      </c>
      <c r="F7645" s="236"/>
      <c r="G7645" s="236">
        <f t="shared" si="124"/>
        <v>-10000</v>
      </c>
      <c r="H7645" s="244" t="s">
        <v>5026</v>
      </c>
      <c r="I7645" s="40"/>
    </row>
    <row r="7646" spans="1:9" ht="15" x14ac:dyDescent="0.2">
      <c r="A7646" s="602">
        <v>43628</v>
      </c>
      <c r="B7646" s="174" t="s">
        <v>2933</v>
      </c>
      <c r="C7646" s="174" t="s">
        <v>5034</v>
      </c>
      <c r="D7646" s="818" t="s">
        <v>5035</v>
      </c>
      <c r="E7646" s="236">
        <v>25000</v>
      </c>
      <c r="F7646" s="236"/>
      <c r="G7646" s="236">
        <f t="shared" si="124"/>
        <v>-25000</v>
      </c>
      <c r="H7646" s="244" t="s">
        <v>5026</v>
      </c>
      <c r="I7646" s="40"/>
    </row>
    <row r="7647" spans="1:9" ht="15" x14ac:dyDescent="0.2">
      <c r="A7647" s="602">
        <v>43628</v>
      </c>
      <c r="B7647" s="174" t="s">
        <v>2652</v>
      </c>
      <c r="C7647" s="174" t="s">
        <v>5034</v>
      </c>
      <c r="D7647" s="818" t="s">
        <v>5036</v>
      </c>
      <c r="E7647" s="236">
        <v>25000</v>
      </c>
      <c r="F7647" s="236"/>
      <c r="G7647" s="236">
        <f t="shared" si="124"/>
        <v>-25000</v>
      </c>
      <c r="H7647" s="244" t="s">
        <v>5026</v>
      </c>
      <c r="I7647" s="40"/>
    </row>
    <row r="7648" spans="1:9" ht="15" x14ac:dyDescent="0.2">
      <c r="A7648" s="602">
        <v>43628</v>
      </c>
      <c r="B7648" s="174" t="s">
        <v>16</v>
      </c>
      <c r="C7648" s="174" t="s">
        <v>5034</v>
      </c>
      <c r="D7648" s="818" t="s">
        <v>5033</v>
      </c>
      <c r="E7648" s="236">
        <v>49000</v>
      </c>
      <c r="F7648" s="236"/>
      <c r="G7648" s="236">
        <f t="shared" si="124"/>
        <v>-49000</v>
      </c>
      <c r="H7648" s="244" t="s">
        <v>5026</v>
      </c>
      <c r="I7648" s="40"/>
    </row>
    <row r="7649" spans="1:9" ht="15" x14ac:dyDescent="0.2">
      <c r="A7649" s="602">
        <v>43628</v>
      </c>
      <c r="B7649" s="174" t="s">
        <v>3945</v>
      </c>
      <c r="C7649" s="174" t="s">
        <v>5034</v>
      </c>
      <c r="D7649" s="818" t="s">
        <v>5033</v>
      </c>
      <c r="E7649" s="236">
        <v>51500</v>
      </c>
      <c r="F7649" s="236"/>
      <c r="G7649" s="236">
        <f t="shared" si="124"/>
        <v>-51500</v>
      </c>
      <c r="H7649" s="244" t="s">
        <v>5026</v>
      </c>
      <c r="I7649" s="40"/>
    </row>
    <row r="7650" spans="1:9" ht="15" x14ac:dyDescent="0.2">
      <c r="A7650" s="602">
        <v>43628</v>
      </c>
      <c r="B7650" s="174" t="s">
        <v>3946</v>
      </c>
      <c r="C7650" s="174" t="s">
        <v>5034</v>
      </c>
      <c r="D7650" s="818" t="s">
        <v>5033</v>
      </c>
      <c r="E7650" s="236">
        <v>18000</v>
      </c>
      <c r="F7650" s="236"/>
      <c r="G7650" s="236">
        <f t="shared" si="124"/>
        <v>-18000</v>
      </c>
      <c r="H7650" s="244" t="s">
        <v>5026</v>
      </c>
      <c r="I7650" s="40"/>
    </row>
    <row r="7651" spans="1:9" ht="15" x14ac:dyDescent="0.2">
      <c r="A7651" s="602">
        <v>43628</v>
      </c>
      <c r="B7651" s="174" t="s">
        <v>1400</v>
      </c>
      <c r="C7651" s="174" t="s">
        <v>5034</v>
      </c>
      <c r="D7651" s="818" t="s">
        <v>5033</v>
      </c>
      <c r="E7651" s="236">
        <v>137500</v>
      </c>
      <c r="F7651" s="236"/>
      <c r="G7651" s="236">
        <f t="shared" si="124"/>
        <v>-137500</v>
      </c>
      <c r="H7651" s="244" t="s">
        <v>5026</v>
      </c>
      <c r="I7651" s="40"/>
    </row>
    <row r="7652" spans="1:9" ht="15" x14ac:dyDescent="0.2">
      <c r="A7652" s="602">
        <v>43628</v>
      </c>
      <c r="B7652" s="174" t="s">
        <v>6516</v>
      </c>
      <c r="C7652" s="174" t="s">
        <v>5034</v>
      </c>
      <c r="D7652" s="818" t="s">
        <v>5033</v>
      </c>
      <c r="E7652" s="236">
        <v>46000</v>
      </c>
      <c r="F7652" s="236"/>
      <c r="G7652" s="236">
        <f t="shared" si="124"/>
        <v>-46000</v>
      </c>
      <c r="H7652" s="244" t="s">
        <v>5026</v>
      </c>
      <c r="I7652" s="40"/>
    </row>
    <row r="7653" spans="1:9" ht="15" x14ac:dyDescent="0.2">
      <c r="A7653" s="602">
        <v>43628</v>
      </c>
      <c r="B7653" s="174" t="s">
        <v>37</v>
      </c>
      <c r="C7653" s="174" t="s">
        <v>5034</v>
      </c>
      <c r="D7653" s="818" t="s">
        <v>5033</v>
      </c>
      <c r="E7653" s="236">
        <v>42500</v>
      </c>
      <c r="F7653" s="236"/>
      <c r="G7653" s="236">
        <f t="shared" si="124"/>
        <v>-42500</v>
      </c>
      <c r="H7653" s="244" t="s">
        <v>5026</v>
      </c>
      <c r="I7653" s="40"/>
    </row>
    <row r="7654" spans="1:9" ht="15" x14ac:dyDescent="0.2">
      <c r="A7654" s="602">
        <v>43628</v>
      </c>
      <c r="B7654" s="174" t="s">
        <v>2933</v>
      </c>
      <c r="C7654" s="174" t="s">
        <v>5034</v>
      </c>
      <c r="D7654" s="818" t="s">
        <v>5033</v>
      </c>
      <c r="E7654" s="236">
        <v>90500</v>
      </c>
      <c r="F7654" s="236"/>
      <c r="G7654" s="236">
        <f t="shared" si="124"/>
        <v>-90500</v>
      </c>
      <c r="H7654" s="244" t="s">
        <v>5026</v>
      </c>
      <c r="I7654" s="40"/>
    </row>
    <row r="7655" spans="1:9" ht="15" x14ac:dyDescent="0.2">
      <c r="A7655" s="602">
        <v>43628</v>
      </c>
      <c r="B7655" s="174" t="s">
        <v>2652</v>
      </c>
      <c r="C7655" s="174" t="s">
        <v>5034</v>
      </c>
      <c r="D7655" s="818" t="s">
        <v>5033</v>
      </c>
      <c r="E7655" s="236">
        <v>108500</v>
      </c>
      <c r="F7655" s="236"/>
      <c r="G7655" s="236">
        <f t="shared" si="124"/>
        <v>-108500</v>
      </c>
      <c r="H7655" s="244" t="s">
        <v>5026</v>
      </c>
      <c r="I7655" s="40"/>
    </row>
    <row r="7656" spans="1:9" ht="15" x14ac:dyDescent="0.2">
      <c r="A7656" s="602">
        <v>43628</v>
      </c>
      <c r="B7656" s="174" t="s">
        <v>6516</v>
      </c>
      <c r="C7656" s="174" t="s">
        <v>3003</v>
      </c>
      <c r="D7656" s="818" t="s">
        <v>5037</v>
      </c>
      <c r="E7656" s="236">
        <v>56583</v>
      </c>
      <c r="F7656" s="236"/>
      <c r="G7656" s="236">
        <f t="shared" si="124"/>
        <v>-56583</v>
      </c>
      <c r="H7656" s="244" t="s">
        <v>5026</v>
      </c>
      <c r="I7656" s="40"/>
    </row>
    <row r="7657" spans="1:9" ht="15" x14ac:dyDescent="0.2">
      <c r="A7657" s="602">
        <v>43628</v>
      </c>
      <c r="B7657" s="174" t="s">
        <v>37</v>
      </c>
      <c r="C7657" s="174" t="s">
        <v>3003</v>
      </c>
      <c r="D7657" s="818" t="s">
        <v>5037</v>
      </c>
      <c r="E7657" s="236">
        <v>25920</v>
      </c>
      <c r="F7657" s="236"/>
      <c r="G7657" s="236">
        <f t="shared" si="124"/>
        <v>-25920</v>
      </c>
      <c r="H7657" s="244" t="s">
        <v>5026</v>
      </c>
      <c r="I7657" s="40"/>
    </row>
    <row r="7658" spans="1:9" ht="15" customHeight="1" x14ac:dyDescent="0.2">
      <c r="A7658" s="602">
        <v>43635</v>
      </c>
      <c r="B7658" s="174" t="s">
        <v>3733</v>
      </c>
      <c r="C7658" s="174" t="s">
        <v>3145</v>
      </c>
      <c r="D7658" s="818" t="s">
        <v>5053</v>
      </c>
      <c r="E7658" s="236">
        <v>85000</v>
      </c>
      <c r="F7658" s="236"/>
      <c r="G7658" s="236">
        <f t="shared" si="124"/>
        <v>-85000</v>
      </c>
      <c r="H7658" s="244" t="s">
        <v>5026</v>
      </c>
      <c r="I7658" s="40"/>
    </row>
    <row r="7659" spans="1:9" ht="96" x14ac:dyDescent="0.2">
      <c r="A7659" s="602">
        <v>43635</v>
      </c>
      <c r="B7659" s="174" t="s">
        <v>2652</v>
      </c>
      <c r="C7659" s="174" t="s">
        <v>1803</v>
      </c>
      <c r="D7659" s="818" t="s">
        <v>5040</v>
      </c>
      <c r="E7659" s="236">
        <v>500000</v>
      </c>
      <c r="F7659" s="236"/>
      <c r="G7659" s="236">
        <f t="shared" ref="G7659:G7722" si="125">F7659-E7659</f>
        <v>-500000</v>
      </c>
      <c r="H7659" s="244" t="s">
        <v>5026</v>
      </c>
      <c r="I7659" s="40"/>
    </row>
    <row r="7660" spans="1:9" ht="15" x14ac:dyDescent="0.2">
      <c r="A7660" s="602">
        <v>43635</v>
      </c>
      <c r="B7660" s="174" t="s">
        <v>2933</v>
      </c>
      <c r="C7660" s="174" t="s">
        <v>3112</v>
      </c>
      <c r="D7660" s="818" t="s">
        <v>4466</v>
      </c>
      <c r="E7660" s="236">
        <v>75000</v>
      </c>
      <c r="F7660" s="236"/>
      <c r="G7660" s="236">
        <f t="shared" si="125"/>
        <v>-75000</v>
      </c>
      <c r="H7660" s="244" t="s">
        <v>5026</v>
      </c>
      <c r="I7660" s="40"/>
    </row>
    <row r="7661" spans="1:9" ht="15" x14ac:dyDescent="0.2">
      <c r="A7661" s="602">
        <v>43636</v>
      </c>
      <c r="B7661" s="174" t="s">
        <v>3733</v>
      </c>
      <c r="C7661" s="174" t="s">
        <v>3145</v>
      </c>
      <c r="D7661" s="818" t="s">
        <v>5054</v>
      </c>
      <c r="E7661" s="236">
        <v>43000</v>
      </c>
      <c r="F7661" s="236"/>
      <c r="G7661" s="236">
        <f t="shared" si="125"/>
        <v>-43000</v>
      </c>
      <c r="H7661" s="244" t="s">
        <v>5026</v>
      </c>
      <c r="I7661" s="40"/>
    </row>
    <row r="7662" spans="1:9" ht="15" x14ac:dyDescent="0.2">
      <c r="A7662" s="602">
        <v>43641</v>
      </c>
      <c r="B7662" s="174" t="s">
        <v>2933</v>
      </c>
      <c r="C7662" s="174" t="s">
        <v>3145</v>
      </c>
      <c r="D7662" s="818" t="s">
        <v>5055</v>
      </c>
      <c r="E7662" s="236">
        <v>22550</v>
      </c>
      <c r="F7662" s="236"/>
      <c r="G7662" s="236">
        <f t="shared" si="125"/>
        <v>-22550</v>
      </c>
      <c r="H7662" s="244" t="s">
        <v>5026</v>
      </c>
      <c r="I7662" s="40"/>
    </row>
    <row r="7663" spans="1:9" ht="24" x14ac:dyDescent="0.2">
      <c r="A7663" s="602">
        <v>43641</v>
      </c>
      <c r="B7663" s="174" t="s">
        <v>1400</v>
      </c>
      <c r="C7663" s="174" t="s">
        <v>4334</v>
      </c>
      <c r="D7663" s="818" t="s">
        <v>5056</v>
      </c>
      <c r="E7663" s="236">
        <v>88000</v>
      </c>
      <c r="F7663" s="236"/>
      <c r="G7663" s="236">
        <f t="shared" si="125"/>
        <v>-88000</v>
      </c>
      <c r="H7663" s="244" t="s">
        <v>5026</v>
      </c>
      <c r="I7663" s="40"/>
    </row>
    <row r="7664" spans="1:9" ht="15" x14ac:dyDescent="0.2">
      <c r="A7664" s="602">
        <v>43641</v>
      </c>
      <c r="B7664" s="174" t="s">
        <v>1400</v>
      </c>
      <c r="C7664" s="174" t="s">
        <v>4953</v>
      </c>
      <c r="D7664" s="818" t="s">
        <v>5057</v>
      </c>
      <c r="E7664" s="236">
        <v>128000</v>
      </c>
      <c r="F7664" s="236"/>
      <c r="G7664" s="236">
        <f t="shared" si="125"/>
        <v>-128000</v>
      </c>
      <c r="H7664" s="244" t="s">
        <v>5026</v>
      </c>
      <c r="I7664" s="40"/>
    </row>
    <row r="7665" spans="1:9" ht="15" x14ac:dyDescent="0.2">
      <c r="A7665" s="602">
        <v>43642</v>
      </c>
      <c r="B7665" s="174" t="s">
        <v>25</v>
      </c>
      <c r="C7665" s="174" t="s">
        <v>1689</v>
      </c>
      <c r="D7665" s="818" t="s">
        <v>5058</v>
      </c>
      <c r="E7665" s="236">
        <v>58706</v>
      </c>
      <c r="F7665" s="236"/>
      <c r="G7665" s="236">
        <f t="shared" si="125"/>
        <v>-58706</v>
      </c>
      <c r="H7665" s="244" t="s">
        <v>5026</v>
      </c>
      <c r="I7665" s="40"/>
    </row>
    <row r="7666" spans="1:9" ht="15" x14ac:dyDescent="0.2">
      <c r="A7666" s="602">
        <v>43642</v>
      </c>
      <c r="B7666" s="174" t="s">
        <v>16</v>
      </c>
      <c r="C7666" s="174" t="s">
        <v>1689</v>
      </c>
      <c r="D7666" s="818" t="s">
        <v>5058</v>
      </c>
      <c r="E7666" s="236">
        <v>6850</v>
      </c>
      <c r="F7666" s="236"/>
      <c r="G7666" s="236">
        <f t="shared" si="125"/>
        <v>-6850</v>
      </c>
      <c r="H7666" s="244" t="s">
        <v>5026</v>
      </c>
      <c r="I7666" s="40"/>
    </row>
    <row r="7667" spans="1:9" ht="24" x14ac:dyDescent="0.2">
      <c r="A7667" s="602">
        <v>43645</v>
      </c>
      <c r="B7667" s="174" t="s">
        <v>2933</v>
      </c>
      <c r="C7667" s="174" t="s">
        <v>3145</v>
      </c>
      <c r="D7667" s="818" t="s">
        <v>5609</v>
      </c>
      <c r="E7667" s="236">
        <v>62925</v>
      </c>
      <c r="F7667" s="236"/>
      <c r="G7667" s="236">
        <f t="shared" si="125"/>
        <v>-62925</v>
      </c>
      <c r="H7667" s="244" t="s">
        <v>5026</v>
      </c>
      <c r="I7667" s="40"/>
    </row>
    <row r="7668" spans="1:9" ht="15" x14ac:dyDescent="0.2">
      <c r="A7668" s="599">
        <v>43627</v>
      </c>
      <c r="B7668" s="91" t="s">
        <v>3945</v>
      </c>
      <c r="C7668" s="91" t="s">
        <v>559</v>
      </c>
      <c r="D7668" s="801" t="s">
        <v>5031</v>
      </c>
      <c r="E7668" s="92"/>
      <c r="F7668" s="92">
        <v>198875</v>
      </c>
      <c r="G7668" s="92">
        <f t="shared" si="125"/>
        <v>198875</v>
      </c>
      <c r="H7668" s="261" t="s">
        <v>5026</v>
      </c>
    </row>
    <row r="7669" spans="1:9" ht="15" x14ac:dyDescent="0.2">
      <c r="A7669" s="599">
        <v>43627</v>
      </c>
      <c r="B7669" s="91" t="s">
        <v>1400</v>
      </c>
      <c r="C7669" s="91" t="s">
        <v>559</v>
      </c>
      <c r="D7669" s="801" t="s">
        <v>5038</v>
      </c>
      <c r="E7669" s="92"/>
      <c r="F7669" s="92">
        <v>1000000</v>
      </c>
      <c r="G7669" s="92">
        <f t="shared" si="125"/>
        <v>1000000</v>
      </c>
      <c r="H7669" s="261" t="s">
        <v>5026</v>
      </c>
    </row>
    <row r="7670" spans="1:9" ht="15" customHeight="1" x14ac:dyDescent="0.2">
      <c r="A7670" s="599">
        <v>43637</v>
      </c>
      <c r="B7670" s="91" t="s">
        <v>1400</v>
      </c>
      <c r="C7670" s="91" t="s">
        <v>5043</v>
      </c>
      <c r="D7670" s="801" t="s">
        <v>5044</v>
      </c>
      <c r="E7670" s="92"/>
      <c r="F7670" s="92">
        <v>-12000</v>
      </c>
      <c r="G7670" s="92">
        <f t="shared" si="125"/>
        <v>-12000</v>
      </c>
      <c r="H7670" s="261" t="s">
        <v>5026</v>
      </c>
    </row>
    <row r="7671" spans="1:9" ht="15" customHeight="1" x14ac:dyDescent="0.2">
      <c r="A7671" s="599">
        <v>43637</v>
      </c>
      <c r="B7671" s="91" t="s">
        <v>2933</v>
      </c>
      <c r="C7671" s="91" t="s">
        <v>5043</v>
      </c>
      <c r="D7671" s="801" t="s">
        <v>5045</v>
      </c>
      <c r="E7671" s="92"/>
      <c r="F7671" s="92">
        <v>-4000</v>
      </c>
      <c r="G7671" s="92">
        <f t="shared" si="125"/>
        <v>-4000</v>
      </c>
      <c r="H7671" s="261" t="s">
        <v>5026</v>
      </c>
    </row>
    <row r="7672" spans="1:9" ht="15" customHeight="1" x14ac:dyDescent="0.2">
      <c r="A7672" s="599">
        <v>43638</v>
      </c>
      <c r="B7672" s="91" t="s">
        <v>37</v>
      </c>
      <c r="C7672" s="91" t="s">
        <v>559</v>
      </c>
      <c r="D7672" s="801" t="s">
        <v>5046</v>
      </c>
      <c r="E7672" s="92"/>
      <c r="F7672" s="92">
        <v>157140</v>
      </c>
      <c r="G7672" s="92">
        <f t="shared" si="125"/>
        <v>157140</v>
      </c>
      <c r="H7672" s="261" t="s">
        <v>5026</v>
      </c>
    </row>
    <row r="7673" spans="1:9" ht="15" x14ac:dyDescent="0.2">
      <c r="A7673" s="599">
        <v>43644</v>
      </c>
      <c r="B7673" s="91" t="s">
        <v>2652</v>
      </c>
      <c r="C7673" s="91" t="s">
        <v>559</v>
      </c>
      <c r="D7673" s="816" t="s">
        <v>5260</v>
      </c>
      <c r="E7673" s="92"/>
      <c r="F7673" s="92">
        <v>1500000</v>
      </c>
      <c r="G7673" s="92">
        <f t="shared" si="125"/>
        <v>1500000</v>
      </c>
      <c r="H7673" s="261" t="s">
        <v>5026</v>
      </c>
    </row>
    <row r="7674" spans="1:9" ht="24" x14ac:dyDescent="0.2">
      <c r="A7674" s="599">
        <v>43644</v>
      </c>
      <c r="B7674" s="91" t="s">
        <v>2652</v>
      </c>
      <c r="C7674" s="91" t="s">
        <v>559</v>
      </c>
      <c r="D7674" s="819" t="s">
        <v>5261</v>
      </c>
      <c r="E7674" s="92"/>
      <c r="F7674" s="92">
        <v>1525500</v>
      </c>
      <c r="G7674" s="92">
        <f t="shared" si="125"/>
        <v>1525500</v>
      </c>
      <c r="H7674" s="261" t="s">
        <v>5026</v>
      </c>
    </row>
    <row r="7675" spans="1:9" ht="15" x14ac:dyDescent="0.2">
      <c r="A7675" s="597">
        <v>43647</v>
      </c>
      <c r="B7675" s="41" t="s">
        <v>2933</v>
      </c>
      <c r="C7675" s="41" t="s">
        <v>2503</v>
      </c>
      <c r="D7675" s="787" t="s">
        <v>940</v>
      </c>
      <c r="E7675" s="58">
        <v>25000</v>
      </c>
      <c r="F7675" s="58"/>
      <c r="G7675" s="58">
        <f t="shared" si="125"/>
        <v>-25000</v>
      </c>
      <c r="H7675" s="121" t="s">
        <v>5067</v>
      </c>
    </row>
    <row r="7676" spans="1:9" ht="15" x14ac:dyDescent="0.2">
      <c r="A7676" s="597">
        <v>43647</v>
      </c>
      <c r="B7676" s="41" t="s">
        <v>1400</v>
      </c>
      <c r="C7676" s="41" t="s">
        <v>2503</v>
      </c>
      <c r="D7676" s="787" t="s">
        <v>940</v>
      </c>
      <c r="E7676" s="58">
        <v>25000</v>
      </c>
      <c r="F7676" s="58"/>
      <c r="G7676" s="58">
        <f t="shared" si="125"/>
        <v>-25000</v>
      </c>
      <c r="H7676" s="121" t="s">
        <v>5067</v>
      </c>
    </row>
    <row r="7677" spans="1:9" ht="15" x14ac:dyDescent="0.2">
      <c r="A7677" s="597">
        <v>43647</v>
      </c>
      <c r="B7677" s="41" t="s">
        <v>2652</v>
      </c>
      <c r="C7677" s="41" t="s">
        <v>2503</v>
      </c>
      <c r="D7677" s="787" t="s">
        <v>939</v>
      </c>
      <c r="E7677" s="58">
        <v>25000</v>
      </c>
      <c r="F7677" s="58"/>
      <c r="G7677" s="58">
        <f t="shared" si="125"/>
        <v>-25000</v>
      </c>
      <c r="H7677" s="121" t="s">
        <v>5067</v>
      </c>
    </row>
    <row r="7678" spans="1:9" ht="15" x14ac:dyDescent="0.2">
      <c r="A7678" s="597">
        <v>43647</v>
      </c>
      <c r="B7678" s="41" t="s">
        <v>4721</v>
      </c>
      <c r="C7678" s="41" t="s">
        <v>2503</v>
      </c>
      <c r="D7678" s="787" t="s">
        <v>939</v>
      </c>
      <c r="E7678" s="58">
        <v>25000</v>
      </c>
      <c r="F7678" s="58"/>
      <c r="G7678" s="58">
        <f t="shared" si="125"/>
        <v>-25000</v>
      </c>
      <c r="H7678" s="121" t="s">
        <v>5067</v>
      </c>
    </row>
    <row r="7679" spans="1:9" ht="15" x14ac:dyDescent="0.2">
      <c r="A7679" s="597">
        <v>43647</v>
      </c>
      <c r="B7679" s="41" t="s">
        <v>25</v>
      </c>
      <c r="C7679" s="41" t="s">
        <v>2503</v>
      </c>
      <c r="D7679" s="787" t="s">
        <v>5019</v>
      </c>
      <c r="E7679" s="58">
        <v>30000</v>
      </c>
      <c r="F7679" s="58"/>
      <c r="G7679" s="58">
        <f t="shared" si="125"/>
        <v>-30000</v>
      </c>
      <c r="H7679" s="121" t="s">
        <v>5067</v>
      </c>
    </row>
    <row r="7680" spans="1:9" ht="15" x14ac:dyDescent="0.2">
      <c r="A7680" s="597">
        <v>43647</v>
      </c>
      <c r="B7680" s="41" t="s">
        <v>16</v>
      </c>
      <c r="C7680" s="41" t="s">
        <v>2503</v>
      </c>
      <c r="D7680" s="787" t="s">
        <v>16</v>
      </c>
      <c r="E7680" s="58">
        <v>91400</v>
      </c>
      <c r="F7680" s="58"/>
      <c r="G7680" s="58">
        <f t="shared" si="125"/>
        <v>-91400</v>
      </c>
      <c r="H7680" s="121" t="s">
        <v>5067</v>
      </c>
    </row>
    <row r="7681" spans="1:8" ht="15" x14ac:dyDescent="0.2">
      <c r="A7681" s="597">
        <v>43647</v>
      </c>
      <c r="B7681" s="41" t="s">
        <v>3945</v>
      </c>
      <c r="C7681" s="41" t="s">
        <v>2503</v>
      </c>
      <c r="D7681" s="787" t="s">
        <v>5020</v>
      </c>
      <c r="E7681" s="58">
        <v>173726.75000000003</v>
      </c>
      <c r="F7681" s="58"/>
      <c r="G7681" s="58">
        <f t="shared" si="125"/>
        <v>-173726.75000000003</v>
      </c>
      <c r="H7681" s="121" t="s">
        <v>5067</v>
      </c>
    </row>
    <row r="7682" spans="1:8" ht="15" x14ac:dyDescent="0.2">
      <c r="A7682" s="597">
        <v>43647</v>
      </c>
      <c r="B7682" s="41" t="s">
        <v>3946</v>
      </c>
      <c r="C7682" s="41" t="s">
        <v>2503</v>
      </c>
      <c r="D7682" s="787" t="s">
        <v>5021</v>
      </c>
      <c r="E7682" s="58">
        <v>187618.16666666666</v>
      </c>
      <c r="F7682" s="58"/>
      <c r="G7682" s="58">
        <f t="shared" si="125"/>
        <v>-187618.16666666666</v>
      </c>
      <c r="H7682" s="121" t="s">
        <v>5067</v>
      </c>
    </row>
    <row r="7683" spans="1:8" ht="15" x14ac:dyDescent="0.2">
      <c r="A7683" s="597">
        <v>43647</v>
      </c>
      <c r="B7683" s="41" t="s">
        <v>1400</v>
      </c>
      <c r="C7683" s="41" t="s">
        <v>2503</v>
      </c>
      <c r="D7683" s="787" t="s">
        <v>1084</v>
      </c>
      <c r="E7683" s="58">
        <v>200000</v>
      </c>
      <c r="F7683" s="58"/>
      <c r="G7683" s="58">
        <f t="shared" si="125"/>
        <v>-200000</v>
      </c>
      <c r="H7683" s="121" t="s">
        <v>5067</v>
      </c>
    </row>
    <row r="7684" spans="1:8" ht="15" x14ac:dyDescent="0.2">
      <c r="A7684" s="597">
        <v>43647</v>
      </c>
      <c r="B7684" s="41" t="s">
        <v>4721</v>
      </c>
      <c r="C7684" s="41" t="s">
        <v>2503</v>
      </c>
      <c r="D7684" s="787" t="s">
        <v>1084</v>
      </c>
      <c r="E7684" s="58">
        <v>56682</v>
      </c>
      <c r="F7684" s="58"/>
      <c r="G7684" s="58">
        <f t="shared" si="125"/>
        <v>-56682</v>
      </c>
      <c r="H7684" s="121" t="s">
        <v>5067</v>
      </c>
    </row>
    <row r="7685" spans="1:8" ht="15" x14ac:dyDescent="0.2">
      <c r="A7685" s="597">
        <v>43647</v>
      </c>
      <c r="B7685" s="41" t="s">
        <v>6516</v>
      </c>
      <c r="C7685" s="41" t="s">
        <v>2503</v>
      </c>
      <c r="D7685" s="787" t="s">
        <v>5022</v>
      </c>
      <c r="E7685" s="58">
        <v>117585.08333333333</v>
      </c>
      <c r="F7685" s="58"/>
      <c r="G7685" s="58">
        <f t="shared" si="125"/>
        <v>-117585.08333333333</v>
      </c>
      <c r="H7685" s="121" t="s">
        <v>5067</v>
      </c>
    </row>
    <row r="7686" spans="1:8" ht="15" x14ac:dyDescent="0.2">
      <c r="A7686" s="597">
        <v>43647</v>
      </c>
      <c r="B7686" s="41" t="s">
        <v>37</v>
      </c>
      <c r="C7686" s="41" t="s">
        <v>2503</v>
      </c>
      <c r="D7686" s="787" t="s">
        <v>5023</v>
      </c>
      <c r="E7686" s="58">
        <v>79654.166666666672</v>
      </c>
      <c r="F7686" s="58"/>
      <c r="G7686" s="58">
        <f t="shared" si="125"/>
        <v>-79654.166666666672</v>
      </c>
      <c r="H7686" s="121" t="s">
        <v>5067</v>
      </c>
    </row>
    <row r="7687" spans="1:8" ht="15" x14ac:dyDescent="0.2">
      <c r="A7687" s="597">
        <v>43647</v>
      </c>
      <c r="B7687" s="41" t="s">
        <v>2933</v>
      </c>
      <c r="C7687" s="41" t="s">
        <v>2503</v>
      </c>
      <c r="D7687" s="787" t="s">
        <v>5024</v>
      </c>
      <c r="E7687" s="58">
        <v>186895</v>
      </c>
      <c r="F7687" s="58"/>
      <c r="G7687" s="58">
        <f t="shared" si="125"/>
        <v>-186895</v>
      </c>
      <c r="H7687" s="121" t="s">
        <v>5067</v>
      </c>
    </row>
    <row r="7688" spans="1:8" ht="15" x14ac:dyDescent="0.2">
      <c r="A7688" s="597">
        <v>43647</v>
      </c>
      <c r="B7688" s="41" t="s">
        <v>2652</v>
      </c>
      <c r="C7688" s="41" t="s">
        <v>2503</v>
      </c>
      <c r="D7688" s="787" t="s">
        <v>5025</v>
      </c>
      <c r="E7688" s="58">
        <v>181088.54166666666</v>
      </c>
      <c r="F7688" s="58"/>
      <c r="G7688" s="58">
        <f t="shared" si="125"/>
        <v>-181088.54166666666</v>
      </c>
      <c r="H7688" s="121" t="s">
        <v>5067</v>
      </c>
    </row>
    <row r="7689" spans="1:8" ht="15" x14ac:dyDescent="0.2">
      <c r="A7689" s="597">
        <v>43647</v>
      </c>
      <c r="B7689" s="41" t="s">
        <v>5052</v>
      </c>
      <c r="C7689" s="41" t="s">
        <v>2503</v>
      </c>
      <c r="D7689" s="787" t="s">
        <v>5131</v>
      </c>
      <c r="E7689" s="58">
        <v>50000</v>
      </c>
      <c r="F7689" s="58"/>
      <c r="G7689" s="58">
        <f t="shared" si="125"/>
        <v>-50000</v>
      </c>
      <c r="H7689" s="121" t="s">
        <v>5067</v>
      </c>
    </row>
    <row r="7690" spans="1:8" ht="15" x14ac:dyDescent="0.2">
      <c r="A7690" s="597">
        <v>43648</v>
      </c>
      <c r="B7690" s="41" t="s">
        <v>2652</v>
      </c>
      <c r="C7690" s="41" t="s">
        <v>3145</v>
      </c>
      <c r="D7690" s="787" t="s">
        <v>5132</v>
      </c>
      <c r="E7690" s="58">
        <v>87000</v>
      </c>
      <c r="F7690" s="58"/>
      <c r="G7690" s="58">
        <f t="shared" si="125"/>
        <v>-87000</v>
      </c>
      <c r="H7690" s="121" t="s">
        <v>5067</v>
      </c>
    </row>
    <row r="7691" spans="1:8" ht="15" x14ac:dyDescent="0.2">
      <c r="A7691" s="597">
        <v>43648</v>
      </c>
      <c r="B7691" s="41" t="s">
        <v>5052</v>
      </c>
      <c r="C7691" s="41" t="s">
        <v>3145</v>
      </c>
      <c r="D7691" s="787" t="s">
        <v>392</v>
      </c>
      <c r="E7691" s="58">
        <v>980</v>
      </c>
      <c r="F7691" s="58"/>
      <c r="G7691" s="58">
        <f t="shared" si="125"/>
        <v>-980</v>
      </c>
      <c r="H7691" s="121" t="s">
        <v>5067</v>
      </c>
    </row>
    <row r="7692" spans="1:8" ht="15" x14ac:dyDescent="0.2">
      <c r="A7692" s="597">
        <v>43648</v>
      </c>
      <c r="B7692" s="41" t="s">
        <v>37</v>
      </c>
      <c r="C7692" s="41" t="s">
        <v>3145</v>
      </c>
      <c r="D7692" s="787" t="s">
        <v>5133</v>
      </c>
      <c r="E7692" s="58">
        <v>2000</v>
      </c>
      <c r="F7692" s="58"/>
      <c r="G7692" s="58">
        <f t="shared" si="125"/>
        <v>-2000</v>
      </c>
      <c r="H7692" s="121" t="s">
        <v>5067</v>
      </c>
    </row>
    <row r="7693" spans="1:8" ht="15" x14ac:dyDescent="0.2">
      <c r="A7693" s="597">
        <v>43648</v>
      </c>
      <c r="B7693" s="41" t="s">
        <v>2933</v>
      </c>
      <c r="C7693" s="41" t="s">
        <v>3145</v>
      </c>
      <c r="D7693" s="787" t="s">
        <v>5133</v>
      </c>
      <c r="E7693" s="58">
        <v>3000</v>
      </c>
      <c r="F7693" s="58"/>
      <c r="G7693" s="58">
        <f t="shared" si="125"/>
        <v>-3000</v>
      </c>
      <c r="H7693" s="121" t="s">
        <v>5067</v>
      </c>
    </row>
    <row r="7694" spans="1:8" ht="15" x14ac:dyDescent="0.2">
      <c r="A7694" s="597">
        <v>43648</v>
      </c>
      <c r="B7694" s="41" t="s">
        <v>1400</v>
      </c>
      <c r="C7694" s="41" t="s">
        <v>3145</v>
      </c>
      <c r="D7694" s="787" t="s">
        <v>5133</v>
      </c>
      <c r="E7694" s="58">
        <v>2000</v>
      </c>
      <c r="F7694" s="58"/>
      <c r="G7694" s="58">
        <f t="shared" si="125"/>
        <v>-2000</v>
      </c>
      <c r="H7694" s="121" t="s">
        <v>5067</v>
      </c>
    </row>
    <row r="7695" spans="1:8" ht="15" x14ac:dyDescent="0.2">
      <c r="A7695" s="597">
        <v>43648</v>
      </c>
      <c r="B7695" s="41" t="s">
        <v>2652</v>
      </c>
      <c r="C7695" s="41" t="s">
        <v>3145</v>
      </c>
      <c r="D7695" s="787" t="s">
        <v>5133</v>
      </c>
      <c r="E7695" s="58">
        <v>1000</v>
      </c>
      <c r="F7695" s="58"/>
      <c r="G7695" s="58">
        <f t="shared" si="125"/>
        <v>-1000</v>
      </c>
      <c r="H7695" s="121" t="s">
        <v>5067</v>
      </c>
    </row>
    <row r="7696" spans="1:8" ht="15" x14ac:dyDescent="0.2">
      <c r="A7696" s="597">
        <v>43648</v>
      </c>
      <c r="B7696" s="41" t="s">
        <v>5052</v>
      </c>
      <c r="C7696" s="41" t="s">
        <v>3145</v>
      </c>
      <c r="D7696" s="787" t="s">
        <v>5134</v>
      </c>
      <c r="E7696" s="58">
        <v>14733</v>
      </c>
      <c r="F7696" s="58"/>
      <c r="G7696" s="58">
        <f t="shared" si="125"/>
        <v>-14733</v>
      </c>
      <c r="H7696" s="121" t="s">
        <v>5067</v>
      </c>
    </row>
    <row r="7697" spans="1:8" ht="15" x14ac:dyDescent="0.2">
      <c r="A7697" s="597">
        <v>43648</v>
      </c>
      <c r="B7697" s="41" t="s">
        <v>6516</v>
      </c>
      <c r="C7697" s="41" t="s">
        <v>3145</v>
      </c>
      <c r="D7697" s="787" t="s">
        <v>5135</v>
      </c>
      <c r="E7697" s="58">
        <v>1500</v>
      </c>
      <c r="F7697" s="58"/>
      <c r="G7697" s="58">
        <f t="shared" si="125"/>
        <v>-1500</v>
      </c>
      <c r="H7697" s="121" t="s">
        <v>5067</v>
      </c>
    </row>
    <row r="7698" spans="1:8" ht="15" x14ac:dyDescent="0.2">
      <c r="A7698" s="597">
        <v>43648</v>
      </c>
      <c r="B7698" s="41" t="s">
        <v>5052</v>
      </c>
      <c r="C7698" s="41" t="s">
        <v>3145</v>
      </c>
      <c r="D7698" s="787" t="s">
        <v>392</v>
      </c>
      <c r="E7698" s="58">
        <v>356</v>
      </c>
      <c r="F7698" s="58"/>
      <c r="G7698" s="58">
        <f t="shared" si="125"/>
        <v>-356</v>
      </c>
      <c r="H7698" s="121" t="s">
        <v>5067</v>
      </c>
    </row>
    <row r="7699" spans="1:8" ht="15" x14ac:dyDescent="0.2">
      <c r="A7699" s="597">
        <v>43648</v>
      </c>
      <c r="B7699" s="41" t="s">
        <v>1400</v>
      </c>
      <c r="C7699" s="41" t="s">
        <v>3145</v>
      </c>
      <c r="D7699" s="787" t="s">
        <v>5136</v>
      </c>
      <c r="E7699" s="58">
        <v>27336</v>
      </c>
      <c r="F7699" s="58"/>
      <c r="G7699" s="58">
        <f t="shared" si="125"/>
        <v>-27336</v>
      </c>
      <c r="H7699" s="121" t="s">
        <v>5067</v>
      </c>
    </row>
    <row r="7700" spans="1:8" ht="15" x14ac:dyDescent="0.2">
      <c r="A7700" s="597">
        <v>43649</v>
      </c>
      <c r="B7700" s="41" t="s">
        <v>1400</v>
      </c>
      <c r="C7700" s="41" t="s">
        <v>3145</v>
      </c>
      <c r="D7700" s="787" t="s">
        <v>5137</v>
      </c>
      <c r="E7700" s="58">
        <v>53382</v>
      </c>
      <c r="F7700" s="58"/>
      <c r="G7700" s="58">
        <f t="shared" si="125"/>
        <v>-53382</v>
      </c>
      <c r="H7700" s="121" t="s">
        <v>5067</v>
      </c>
    </row>
    <row r="7701" spans="1:8" ht="15" x14ac:dyDescent="0.2">
      <c r="A7701" s="597">
        <v>43649</v>
      </c>
      <c r="B7701" s="41" t="s">
        <v>2652</v>
      </c>
      <c r="C7701" s="41" t="s">
        <v>3145</v>
      </c>
      <c r="D7701" s="787" t="s">
        <v>5138</v>
      </c>
      <c r="E7701" s="58">
        <v>14010</v>
      </c>
      <c r="F7701" s="58"/>
      <c r="G7701" s="58">
        <f t="shared" si="125"/>
        <v>-14010</v>
      </c>
      <c r="H7701" s="121" t="s">
        <v>5067</v>
      </c>
    </row>
    <row r="7702" spans="1:8" ht="15" x14ac:dyDescent="0.2">
      <c r="A7702" s="597">
        <v>43649</v>
      </c>
      <c r="B7702" s="41" t="s">
        <v>5052</v>
      </c>
      <c r="C7702" s="41" t="s">
        <v>2190</v>
      </c>
      <c r="D7702" s="787" t="s">
        <v>3369</v>
      </c>
      <c r="E7702" s="58">
        <v>1800</v>
      </c>
      <c r="F7702" s="58"/>
      <c r="G7702" s="58">
        <f t="shared" si="125"/>
        <v>-1800</v>
      </c>
      <c r="H7702" s="121" t="s">
        <v>5067</v>
      </c>
    </row>
    <row r="7703" spans="1:8" ht="15" x14ac:dyDescent="0.2">
      <c r="A7703" s="597">
        <v>43649</v>
      </c>
      <c r="B7703" s="41" t="s">
        <v>5052</v>
      </c>
      <c r="C7703" s="41" t="s">
        <v>3145</v>
      </c>
      <c r="D7703" s="787" t="s">
        <v>392</v>
      </c>
      <c r="E7703" s="58">
        <v>1050</v>
      </c>
      <c r="F7703" s="58"/>
      <c r="G7703" s="58">
        <f t="shared" si="125"/>
        <v>-1050</v>
      </c>
      <c r="H7703" s="121" t="s">
        <v>5067</v>
      </c>
    </row>
    <row r="7704" spans="1:8" ht="15" x14ac:dyDescent="0.2">
      <c r="A7704" s="597">
        <v>43649</v>
      </c>
      <c r="B7704" s="41" t="s">
        <v>2652</v>
      </c>
      <c r="C7704" s="41" t="s">
        <v>3145</v>
      </c>
      <c r="D7704" s="787" t="s">
        <v>5139</v>
      </c>
      <c r="E7704" s="58">
        <v>18730</v>
      </c>
      <c r="F7704" s="58"/>
      <c r="G7704" s="58">
        <f t="shared" si="125"/>
        <v>-18730</v>
      </c>
      <c r="H7704" s="121" t="s">
        <v>5067</v>
      </c>
    </row>
    <row r="7705" spans="1:8" ht="15" x14ac:dyDescent="0.2">
      <c r="A7705" s="597">
        <v>43650</v>
      </c>
      <c r="B7705" s="41" t="s">
        <v>2652</v>
      </c>
      <c r="C7705" s="41" t="s">
        <v>3145</v>
      </c>
      <c r="D7705" s="787" t="s">
        <v>5140</v>
      </c>
      <c r="E7705" s="58">
        <v>9100</v>
      </c>
      <c r="F7705" s="58"/>
      <c r="G7705" s="58">
        <f t="shared" si="125"/>
        <v>-9100</v>
      </c>
      <c r="H7705" s="121" t="s">
        <v>5067</v>
      </c>
    </row>
    <row r="7706" spans="1:8" ht="15" x14ac:dyDescent="0.2">
      <c r="A7706" s="597">
        <v>43650</v>
      </c>
      <c r="B7706" s="41" t="s">
        <v>2933</v>
      </c>
      <c r="C7706" s="41" t="s">
        <v>3145</v>
      </c>
      <c r="D7706" s="787" t="s">
        <v>4228</v>
      </c>
      <c r="E7706" s="58">
        <f>6440-E7707</f>
        <v>5540</v>
      </c>
      <c r="F7706" s="58"/>
      <c r="G7706" s="58">
        <f t="shared" si="125"/>
        <v>-5540</v>
      </c>
      <c r="H7706" s="121" t="s">
        <v>5067</v>
      </c>
    </row>
    <row r="7707" spans="1:8" ht="15" x14ac:dyDescent="0.2">
      <c r="A7707" s="597">
        <v>43650</v>
      </c>
      <c r="B7707" s="41" t="s">
        <v>5052</v>
      </c>
      <c r="C7707" s="41" t="s">
        <v>3145</v>
      </c>
      <c r="D7707" s="787" t="s">
        <v>4228</v>
      </c>
      <c r="E7707" s="58">
        <v>900</v>
      </c>
      <c r="F7707" s="58"/>
      <c r="G7707" s="58">
        <f t="shared" si="125"/>
        <v>-900</v>
      </c>
      <c r="H7707" s="121" t="s">
        <v>5067</v>
      </c>
    </row>
    <row r="7708" spans="1:8" ht="15" x14ac:dyDescent="0.2">
      <c r="A7708" s="597">
        <v>43651</v>
      </c>
      <c r="B7708" s="41" t="s">
        <v>5052</v>
      </c>
      <c r="C7708" s="41" t="s">
        <v>3145</v>
      </c>
      <c r="D7708" s="787" t="s">
        <v>5141</v>
      </c>
      <c r="E7708" s="58">
        <v>19000</v>
      </c>
      <c r="F7708" s="58"/>
      <c r="G7708" s="58">
        <f t="shared" si="125"/>
        <v>-19000</v>
      </c>
      <c r="H7708" s="121" t="s">
        <v>5067</v>
      </c>
    </row>
    <row r="7709" spans="1:8" ht="15" x14ac:dyDescent="0.2">
      <c r="A7709" s="597">
        <v>43651</v>
      </c>
      <c r="B7709" s="41" t="s">
        <v>2933</v>
      </c>
      <c r="C7709" s="41" t="s">
        <v>3145</v>
      </c>
      <c r="D7709" s="787" t="s">
        <v>4228</v>
      </c>
      <c r="E7709" s="58">
        <v>2090</v>
      </c>
      <c r="F7709" s="58"/>
      <c r="G7709" s="58">
        <f t="shared" si="125"/>
        <v>-2090</v>
      </c>
      <c r="H7709" s="121" t="s">
        <v>5067</v>
      </c>
    </row>
    <row r="7710" spans="1:8" ht="15" x14ac:dyDescent="0.2">
      <c r="A7710" s="597">
        <v>43651</v>
      </c>
      <c r="B7710" s="41" t="s">
        <v>25</v>
      </c>
      <c r="C7710" s="41" t="s">
        <v>2428</v>
      </c>
      <c r="D7710" s="787" t="s">
        <v>5142</v>
      </c>
      <c r="E7710" s="58">
        <v>38917</v>
      </c>
      <c r="F7710" s="58"/>
      <c r="G7710" s="58">
        <f t="shared" si="125"/>
        <v>-38917</v>
      </c>
      <c r="H7710" s="121" t="s">
        <v>5067</v>
      </c>
    </row>
    <row r="7711" spans="1:8" ht="15" x14ac:dyDescent="0.2">
      <c r="A7711" s="597">
        <v>43654</v>
      </c>
      <c r="B7711" s="41" t="s">
        <v>4553</v>
      </c>
      <c r="C7711" s="41" t="s">
        <v>170</v>
      </c>
      <c r="D7711" s="787" t="s">
        <v>5202</v>
      </c>
      <c r="E7711" s="58">
        <v>16000</v>
      </c>
      <c r="F7711" s="58"/>
      <c r="G7711" s="58">
        <f t="shared" si="125"/>
        <v>-16000</v>
      </c>
      <c r="H7711" s="121" t="s">
        <v>5067</v>
      </c>
    </row>
    <row r="7712" spans="1:8" ht="15" x14ac:dyDescent="0.2">
      <c r="A7712" s="597">
        <v>43654</v>
      </c>
      <c r="B7712" s="41" t="s">
        <v>5052</v>
      </c>
      <c r="C7712" s="41" t="s">
        <v>3145</v>
      </c>
      <c r="D7712" s="787" t="s">
        <v>392</v>
      </c>
      <c r="E7712" s="58">
        <v>1275</v>
      </c>
      <c r="F7712" s="58"/>
      <c r="G7712" s="58">
        <f t="shared" si="125"/>
        <v>-1275</v>
      </c>
      <c r="H7712" s="121" t="s">
        <v>5067</v>
      </c>
    </row>
    <row r="7713" spans="1:8" ht="15" x14ac:dyDescent="0.2">
      <c r="A7713" s="597">
        <v>43654</v>
      </c>
      <c r="B7713" s="41" t="s">
        <v>2933</v>
      </c>
      <c r="C7713" s="41" t="s">
        <v>1495</v>
      </c>
      <c r="D7713" s="787" t="s">
        <v>370</v>
      </c>
      <c r="E7713" s="58">
        <v>2080</v>
      </c>
      <c r="F7713" s="58"/>
      <c r="G7713" s="58">
        <f t="shared" si="125"/>
        <v>-2080</v>
      </c>
      <c r="H7713" s="121" t="s">
        <v>5067</v>
      </c>
    </row>
    <row r="7714" spans="1:8" ht="15" x14ac:dyDescent="0.2">
      <c r="A7714" s="597">
        <v>43654</v>
      </c>
      <c r="B7714" s="41" t="s">
        <v>5052</v>
      </c>
      <c r="C7714" s="41" t="s">
        <v>3145</v>
      </c>
      <c r="D7714" s="787" t="s">
        <v>5143</v>
      </c>
      <c r="E7714" s="58">
        <v>15200</v>
      </c>
      <c r="F7714" s="58"/>
      <c r="G7714" s="58">
        <f t="shared" si="125"/>
        <v>-15200</v>
      </c>
      <c r="H7714" s="121" t="s">
        <v>5067</v>
      </c>
    </row>
    <row r="7715" spans="1:8" ht="15" x14ac:dyDescent="0.2">
      <c r="A7715" s="597">
        <v>43654</v>
      </c>
      <c r="B7715" s="41" t="s">
        <v>5052</v>
      </c>
      <c r="C7715" s="41" t="s">
        <v>3145</v>
      </c>
      <c r="D7715" s="787" t="s">
        <v>5144</v>
      </c>
      <c r="E7715" s="58">
        <v>10036</v>
      </c>
      <c r="F7715" s="58"/>
      <c r="G7715" s="58">
        <f t="shared" si="125"/>
        <v>-10036</v>
      </c>
      <c r="H7715" s="121" t="s">
        <v>5067</v>
      </c>
    </row>
    <row r="7716" spans="1:8" ht="15" x14ac:dyDescent="0.2">
      <c r="A7716" s="597">
        <v>43654</v>
      </c>
      <c r="B7716" s="41" t="s">
        <v>5052</v>
      </c>
      <c r="C7716" s="41" t="s">
        <v>3145</v>
      </c>
      <c r="D7716" s="787" t="s">
        <v>5145</v>
      </c>
      <c r="E7716" s="58">
        <f>1275+750+1000+800+300+500+150+200</f>
        <v>4975</v>
      </c>
      <c r="F7716" s="58"/>
      <c r="G7716" s="58">
        <f t="shared" si="125"/>
        <v>-4975</v>
      </c>
      <c r="H7716" s="121" t="s">
        <v>5067</v>
      </c>
    </row>
    <row r="7717" spans="1:8" ht="15" x14ac:dyDescent="0.2">
      <c r="A7717" s="597">
        <v>43656</v>
      </c>
      <c r="B7717" s="41" t="s">
        <v>1400</v>
      </c>
      <c r="C7717" s="41" t="s">
        <v>3145</v>
      </c>
      <c r="D7717" s="787" t="s">
        <v>4228</v>
      </c>
      <c r="E7717" s="58">
        <v>1875</v>
      </c>
      <c r="F7717" s="58"/>
      <c r="G7717" s="58">
        <f t="shared" si="125"/>
        <v>-1875</v>
      </c>
      <c r="H7717" s="121" t="s">
        <v>5067</v>
      </c>
    </row>
    <row r="7718" spans="1:8" ht="15" x14ac:dyDescent="0.2">
      <c r="A7718" s="597">
        <v>43656</v>
      </c>
      <c r="B7718" s="41" t="s">
        <v>2933</v>
      </c>
      <c r="C7718" s="41" t="s">
        <v>3145</v>
      </c>
      <c r="D7718" s="787" t="s">
        <v>4228</v>
      </c>
      <c r="E7718" s="58">
        <v>1010</v>
      </c>
      <c r="F7718" s="58"/>
      <c r="G7718" s="58">
        <f t="shared" si="125"/>
        <v>-1010</v>
      </c>
      <c r="H7718" s="121" t="s">
        <v>5067</v>
      </c>
    </row>
    <row r="7719" spans="1:8" ht="15" x14ac:dyDescent="0.2">
      <c r="A7719" s="597">
        <v>43656</v>
      </c>
      <c r="B7719" s="41" t="s">
        <v>2652</v>
      </c>
      <c r="C7719" s="41" t="s">
        <v>3145</v>
      </c>
      <c r="D7719" s="787" t="s">
        <v>4228</v>
      </c>
      <c r="E7719" s="58">
        <v>4200</v>
      </c>
      <c r="F7719" s="58"/>
      <c r="G7719" s="58">
        <f t="shared" si="125"/>
        <v>-4200</v>
      </c>
      <c r="H7719" s="121" t="s">
        <v>5067</v>
      </c>
    </row>
    <row r="7720" spans="1:8" ht="15" x14ac:dyDescent="0.2">
      <c r="A7720" s="597">
        <v>43656</v>
      </c>
      <c r="B7720" s="41" t="s">
        <v>5052</v>
      </c>
      <c r="C7720" s="41" t="s">
        <v>3145</v>
      </c>
      <c r="D7720" s="787" t="s">
        <v>5146</v>
      </c>
      <c r="E7720" s="58">
        <v>16000</v>
      </c>
      <c r="F7720" s="58"/>
      <c r="G7720" s="58">
        <f t="shared" si="125"/>
        <v>-16000</v>
      </c>
      <c r="H7720" s="121" t="s">
        <v>5067</v>
      </c>
    </row>
    <row r="7721" spans="1:8" ht="15" x14ac:dyDescent="0.2">
      <c r="A7721" s="597">
        <v>43656</v>
      </c>
      <c r="B7721" s="41" t="s">
        <v>5052</v>
      </c>
      <c r="C7721" s="41" t="s">
        <v>3145</v>
      </c>
      <c r="D7721" s="787" t="s">
        <v>4228</v>
      </c>
      <c r="E7721" s="58">
        <v>6420</v>
      </c>
      <c r="F7721" s="58"/>
      <c r="G7721" s="58">
        <f t="shared" si="125"/>
        <v>-6420</v>
      </c>
      <c r="H7721" s="121" t="s">
        <v>5067</v>
      </c>
    </row>
    <row r="7722" spans="1:8" ht="15" x14ac:dyDescent="0.2">
      <c r="A7722" s="597">
        <v>43656</v>
      </c>
      <c r="B7722" s="41" t="s">
        <v>37</v>
      </c>
      <c r="C7722" s="41" t="s">
        <v>3003</v>
      </c>
      <c r="D7722" s="787" t="s">
        <v>5147</v>
      </c>
      <c r="E7722" s="58">
        <v>12960</v>
      </c>
      <c r="F7722" s="58"/>
      <c r="G7722" s="58">
        <f t="shared" si="125"/>
        <v>-12960</v>
      </c>
      <c r="H7722" s="121" t="s">
        <v>5067</v>
      </c>
    </row>
    <row r="7723" spans="1:8" ht="15" x14ac:dyDescent="0.2">
      <c r="A7723" s="597">
        <v>43657</v>
      </c>
      <c r="B7723" s="41" t="s">
        <v>1400</v>
      </c>
      <c r="C7723" s="41" t="s">
        <v>5148</v>
      </c>
      <c r="D7723" s="787" t="s">
        <v>5149</v>
      </c>
      <c r="E7723" s="58">
        <v>15000</v>
      </c>
      <c r="F7723" s="58"/>
      <c r="G7723" s="58">
        <f t="shared" ref="G7723:G7786" si="126">F7723-E7723</f>
        <v>-15000</v>
      </c>
      <c r="H7723" s="121" t="s">
        <v>5067</v>
      </c>
    </row>
    <row r="7724" spans="1:8" ht="15" x14ac:dyDescent="0.2">
      <c r="A7724" s="597">
        <v>43657</v>
      </c>
      <c r="B7724" s="41" t="s">
        <v>5052</v>
      </c>
      <c r="C7724" s="41" t="s">
        <v>2190</v>
      </c>
      <c r="D7724" s="787"/>
      <c r="E7724" s="58">
        <v>720</v>
      </c>
      <c r="F7724" s="58"/>
      <c r="G7724" s="58">
        <f t="shared" si="126"/>
        <v>-720</v>
      </c>
      <c r="H7724" s="121" t="s">
        <v>5067</v>
      </c>
    </row>
    <row r="7725" spans="1:8" ht="15" x14ac:dyDescent="0.2">
      <c r="A7725" s="597">
        <v>43657</v>
      </c>
      <c r="B7725" s="41" t="s">
        <v>5052</v>
      </c>
      <c r="C7725" s="41" t="s">
        <v>2190</v>
      </c>
      <c r="D7725" s="787"/>
      <c r="E7725" s="58">
        <v>120</v>
      </c>
      <c r="F7725" s="58"/>
      <c r="G7725" s="58">
        <f t="shared" si="126"/>
        <v>-120</v>
      </c>
      <c r="H7725" s="121" t="s">
        <v>5067</v>
      </c>
    </row>
    <row r="7726" spans="1:8" ht="15" x14ac:dyDescent="0.2">
      <c r="A7726" s="597">
        <v>43658</v>
      </c>
      <c r="B7726" s="41" t="s">
        <v>5052</v>
      </c>
      <c r="C7726" s="41" t="s">
        <v>3145</v>
      </c>
      <c r="D7726" s="820" t="s">
        <v>4228</v>
      </c>
      <c r="E7726" s="58">
        <v>20070</v>
      </c>
      <c r="F7726" s="58"/>
      <c r="G7726" s="58">
        <f t="shared" si="126"/>
        <v>-20070</v>
      </c>
      <c r="H7726" s="121" t="s">
        <v>5067</v>
      </c>
    </row>
    <row r="7727" spans="1:8" ht="15" x14ac:dyDescent="0.2">
      <c r="A7727" s="597">
        <v>43658</v>
      </c>
      <c r="B7727" s="41" t="s">
        <v>5052</v>
      </c>
      <c r="C7727" s="41" t="s">
        <v>3145</v>
      </c>
      <c r="D7727" s="787" t="s">
        <v>4228</v>
      </c>
      <c r="E7727" s="58">
        <v>5100</v>
      </c>
      <c r="F7727" s="58"/>
      <c r="G7727" s="58">
        <f t="shared" si="126"/>
        <v>-5100</v>
      </c>
      <c r="H7727" s="121" t="s">
        <v>5067</v>
      </c>
    </row>
    <row r="7728" spans="1:8" ht="15" x14ac:dyDescent="0.2">
      <c r="A7728" s="597">
        <v>43662</v>
      </c>
      <c r="B7728" s="41" t="s">
        <v>392</v>
      </c>
      <c r="C7728" s="41" t="s">
        <v>4908</v>
      </c>
      <c r="D7728" s="787" t="s">
        <v>5150</v>
      </c>
      <c r="E7728" s="58">
        <v>10000</v>
      </c>
      <c r="F7728" s="58"/>
      <c r="G7728" s="58">
        <f t="shared" si="126"/>
        <v>-10000</v>
      </c>
      <c r="H7728" s="121" t="s">
        <v>5067</v>
      </c>
    </row>
    <row r="7729" spans="1:8" ht="15" x14ac:dyDescent="0.2">
      <c r="A7729" s="597">
        <v>43662</v>
      </c>
      <c r="B7729" s="41" t="s">
        <v>5052</v>
      </c>
      <c r="C7729" s="41" t="s">
        <v>3145</v>
      </c>
      <c r="D7729" s="787" t="s">
        <v>5145</v>
      </c>
      <c r="E7729" s="58">
        <v>5130</v>
      </c>
      <c r="F7729" s="58"/>
      <c r="G7729" s="58">
        <f t="shared" si="126"/>
        <v>-5130</v>
      </c>
      <c r="H7729" s="121" t="s">
        <v>5067</v>
      </c>
    </row>
    <row r="7730" spans="1:8" ht="15" x14ac:dyDescent="0.2">
      <c r="A7730" s="597">
        <v>43662</v>
      </c>
      <c r="B7730" s="41" t="s">
        <v>5052</v>
      </c>
      <c r="C7730" s="41" t="s">
        <v>2190</v>
      </c>
      <c r="D7730" s="787"/>
      <c r="E7730" s="58">
        <f>540+200</f>
        <v>740</v>
      </c>
      <c r="F7730" s="58"/>
      <c r="G7730" s="58">
        <f t="shared" si="126"/>
        <v>-740</v>
      </c>
      <c r="H7730" s="121" t="s">
        <v>5067</v>
      </c>
    </row>
    <row r="7731" spans="1:8" ht="15" x14ac:dyDescent="0.2">
      <c r="A7731" s="597">
        <v>43662</v>
      </c>
      <c r="B7731" s="41" t="s">
        <v>1400</v>
      </c>
      <c r="C7731" s="41" t="s">
        <v>3145</v>
      </c>
      <c r="D7731" s="787" t="s">
        <v>5151</v>
      </c>
      <c r="E7731" s="58">
        <v>4000</v>
      </c>
      <c r="F7731" s="58"/>
      <c r="G7731" s="58">
        <f t="shared" si="126"/>
        <v>-4000</v>
      </c>
      <c r="H7731" s="121" t="s">
        <v>5067</v>
      </c>
    </row>
    <row r="7732" spans="1:8" ht="15" x14ac:dyDescent="0.2">
      <c r="A7732" s="597">
        <v>43662</v>
      </c>
      <c r="B7732" s="41" t="s">
        <v>3733</v>
      </c>
      <c r="C7732" s="41" t="s">
        <v>3145</v>
      </c>
      <c r="D7732" s="787" t="s">
        <v>5153</v>
      </c>
      <c r="E7732" s="58">
        <v>16000</v>
      </c>
      <c r="F7732" s="58"/>
      <c r="G7732" s="58">
        <f t="shared" si="126"/>
        <v>-16000</v>
      </c>
      <c r="H7732" s="121" t="s">
        <v>5067</v>
      </c>
    </row>
    <row r="7733" spans="1:8" ht="15" x14ac:dyDescent="0.2">
      <c r="A7733" s="597">
        <v>43662</v>
      </c>
      <c r="B7733" s="41" t="s">
        <v>5052</v>
      </c>
      <c r="C7733" s="41" t="s">
        <v>3145</v>
      </c>
      <c r="D7733" s="787" t="s">
        <v>5152</v>
      </c>
      <c r="E7733" s="58">
        <v>15500</v>
      </c>
      <c r="F7733" s="58"/>
      <c r="G7733" s="58">
        <f t="shared" si="126"/>
        <v>-15500</v>
      </c>
      <c r="H7733" s="121" t="s">
        <v>5067</v>
      </c>
    </row>
    <row r="7734" spans="1:8" ht="15" x14ac:dyDescent="0.2">
      <c r="A7734" s="597">
        <v>43662</v>
      </c>
      <c r="B7734" s="41" t="s">
        <v>25</v>
      </c>
      <c r="C7734" s="41" t="s">
        <v>2428</v>
      </c>
      <c r="D7734" s="787" t="s">
        <v>392</v>
      </c>
      <c r="E7734" s="58">
        <v>16997</v>
      </c>
      <c r="F7734" s="58"/>
      <c r="G7734" s="58">
        <f t="shared" si="126"/>
        <v>-16997</v>
      </c>
      <c r="H7734" s="121" t="s">
        <v>5067</v>
      </c>
    </row>
    <row r="7735" spans="1:8" ht="15" x14ac:dyDescent="0.2">
      <c r="A7735" s="597">
        <v>43662</v>
      </c>
      <c r="B7735" s="41" t="s">
        <v>2652</v>
      </c>
      <c r="C7735" s="41" t="s">
        <v>2190</v>
      </c>
      <c r="D7735" s="787"/>
      <c r="E7735" s="58">
        <v>120</v>
      </c>
      <c r="F7735" s="58"/>
      <c r="G7735" s="58">
        <f t="shared" si="126"/>
        <v>-120</v>
      </c>
      <c r="H7735" s="121" t="s">
        <v>5067</v>
      </c>
    </row>
    <row r="7736" spans="1:8" ht="15" x14ac:dyDescent="0.2">
      <c r="A7736" s="597">
        <v>43663</v>
      </c>
      <c r="B7736" s="41" t="s">
        <v>5052</v>
      </c>
      <c r="C7736" s="41" t="s">
        <v>3145</v>
      </c>
      <c r="D7736" s="787" t="s">
        <v>392</v>
      </c>
      <c r="E7736" s="58">
        <v>1288</v>
      </c>
      <c r="F7736" s="58"/>
      <c r="G7736" s="58">
        <f t="shared" si="126"/>
        <v>-1288</v>
      </c>
      <c r="H7736" s="121" t="s">
        <v>5067</v>
      </c>
    </row>
    <row r="7737" spans="1:8" ht="15" x14ac:dyDescent="0.2">
      <c r="A7737" s="597">
        <v>43665</v>
      </c>
      <c r="B7737" s="41" t="s">
        <v>5052</v>
      </c>
      <c r="C7737" s="41" t="s">
        <v>3145</v>
      </c>
      <c r="D7737" s="787" t="s">
        <v>5206</v>
      </c>
      <c r="E7737" s="58">
        <v>16100</v>
      </c>
      <c r="F7737" s="58"/>
      <c r="G7737" s="58">
        <f t="shared" si="126"/>
        <v>-16100</v>
      </c>
      <c r="H7737" s="121" t="s">
        <v>5067</v>
      </c>
    </row>
    <row r="7738" spans="1:8" ht="15" x14ac:dyDescent="0.2">
      <c r="A7738" s="597">
        <v>43665</v>
      </c>
      <c r="B7738" s="41" t="s">
        <v>5052</v>
      </c>
      <c r="C7738" s="41" t="s">
        <v>3145</v>
      </c>
      <c r="D7738" s="787" t="s">
        <v>5207</v>
      </c>
      <c r="E7738" s="58">
        <v>7225</v>
      </c>
      <c r="F7738" s="58"/>
      <c r="G7738" s="58">
        <f t="shared" si="126"/>
        <v>-7225</v>
      </c>
      <c r="H7738" s="121" t="s">
        <v>5067</v>
      </c>
    </row>
    <row r="7739" spans="1:8" ht="15" x14ac:dyDescent="0.2">
      <c r="A7739" s="597">
        <v>43665</v>
      </c>
      <c r="B7739" s="41" t="s">
        <v>2652</v>
      </c>
      <c r="C7739" s="41" t="s">
        <v>3145</v>
      </c>
      <c r="D7739" s="787" t="s">
        <v>5209</v>
      </c>
      <c r="E7739" s="58">
        <f>1875+2800+50</f>
        <v>4725</v>
      </c>
      <c r="F7739" s="58"/>
      <c r="G7739" s="58">
        <f t="shared" si="126"/>
        <v>-4725</v>
      </c>
      <c r="H7739" s="121" t="s">
        <v>5067</v>
      </c>
    </row>
    <row r="7740" spans="1:8" ht="15" x14ac:dyDescent="0.2">
      <c r="A7740" s="597">
        <v>43665</v>
      </c>
      <c r="B7740" s="41" t="s">
        <v>2933</v>
      </c>
      <c r="C7740" s="41" t="s">
        <v>3145</v>
      </c>
      <c r="D7740" s="787" t="s">
        <v>5209</v>
      </c>
      <c r="E7740" s="58">
        <v>2360</v>
      </c>
      <c r="F7740" s="58"/>
      <c r="G7740" s="58">
        <f t="shared" si="126"/>
        <v>-2360</v>
      </c>
      <c r="H7740" s="121" t="s">
        <v>5067</v>
      </c>
    </row>
    <row r="7741" spans="1:8" ht="15" x14ac:dyDescent="0.2">
      <c r="A7741" s="597">
        <v>43665</v>
      </c>
      <c r="B7741" s="41" t="s">
        <v>5052</v>
      </c>
      <c r="C7741" s="41" t="s">
        <v>3145</v>
      </c>
      <c r="D7741" s="787" t="s">
        <v>5209</v>
      </c>
      <c r="E7741" s="58">
        <v>6000</v>
      </c>
      <c r="F7741" s="58"/>
      <c r="G7741" s="58">
        <f t="shared" si="126"/>
        <v>-6000</v>
      </c>
      <c r="H7741" s="121" t="s">
        <v>5067</v>
      </c>
    </row>
    <row r="7742" spans="1:8" ht="15" x14ac:dyDescent="0.2">
      <c r="A7742" s="597">
        <v>43665</v>
      </c>
      <c r="B7742" s="41" t="s">
        <v>2652</v>
      </c>
      <c r="C7742" s="41" t="s">
        <v>3145</v>
      </c>
      <c r="D7742" s="787" t="s">
        <v>5209</v>
      </c>
      <c r="E7742" s="58">
        <v>4850</v>
      </c>
      <c r="F7742" s="58"/>
      <c r="G7742" s="58">
        <f t="shared" si="126"/>
        <v>-4850</v>
      </c>
      <c r="H7742" s="121" t="s">
        <v>5067</v>
      </c>
    </row>
    <row r="7743" spans="1:8" ht="15" x14ac:dyDescent="0.2">
      <c r="A7743" s="597">
        <v>43668</v>
      </c>
      <c r="B7743" s="41" t="s">
        <v>2652</v>
      </c>
      <c r="C7743" s="41" t="s">
        <v>3145</v>
      </c>
      <c r="D7743" s="787" t="s">
        <v>5210</v>
      </c>
      <c r="E7743" s="58">
        <v>9000</v>
      </c>
      <c r="F7743" s="58"/>
      <c r="G7743" s="58">
        <f t="shared" si="126"/>
        <v>-9000</v>
      </c>
      <c r="H7743" s="121" t="s">
        <v>5067</v>
      </c>
    </row>
    <row r="7744" spans="1:8" ht="15" x14ac:dyDescent="0.2">
      <c r="A7744" s="597">
        <v>43668</v>
      </c>
      <c r="B7744" s="41" t="s">
        <v>16</v>
      </c>
      <c r="C7744" s="41" t="s">
        <v>939</v>
      </c>
      <c r="D7744" s="787" t="s">
        <v>5211</v>
      </c>
      <c r="E7744" s="58">
        <v>4000</v>
      </c>
      <c r="F7744" s="58"/>
      <c r="G7744" s="58">
        <f t="shared" si="126"/>
        <v>-4000</v>
      </c>
      <c r="H7744" s="121" t="s">
        <v>5067</v>
      </c>
    </row>
    <row r="7745" spans="1:8" ht="15" x14ac:dyDescent="0.2">
      <c r="A7745" s="597">
        <v>43668</v>
      </c>
      <c r="B7745" s="41" t="s">
        <v>16</v>
      </c>
      <c r="C7745" s="41" t="s">
        <v>5212</v>
      </c>
      <c r="D7745" s="787" t="s">
        <v>5213</v>
      </c>
      <c r="E7745" s="58">
        <v>21000</v>
      </c>
      <c r="F7745" s="58"/>
      <c r="G7745" s="58">
        <f t="shared" si="126"/>
        <v>-21000</v>
      </c>
      <c r="H7745" s="121" t="s">
        <v>5067</v>
      </c>
    </row>
    <row r="7746" spans="1:8" ht="15" x14ac:dyDescent="0.2">
      <c r="A7746" s="597">
        <v>43668</v>
      </c>
      <c r="B7746" s="41" t="s">
        <v>1400</v>
      </c>
      <c r="C7746" s="41" t="s">
        <v>2190</v>
      </c>
      <c r="D7746" s="787"/>
      <c r="E7746" s="58">
        <v>640</v>
      </c>
      <c r="F7746" s="58"/>
      <c r="G7746" s="58">
        <f t="shared" si="126"/>
        <v>-640</v>
      </c>
      <c r="H7746" s="121" t="s">
        <v>5067</v>
      </c>
    </row>
    <row r="7747" spans="1:8" ht="15" x14ac:dyDescent="0.2">
      <c r="A7747" s="597">
        <v>43668</v>
      </c>
      <c r="B7747" s="41" t="s">
        <v>5052</v>
      </c>
      <c r="C7747" s="41" t="s">
        <v>3145</v>
      </c>
      <c r="D7747" s="787" t="s">
        <v>392</v>
      </c>
      <c r="E7747" s="58">
        <v>370</v>
      </c>
      <c r="F7747" s="58"/>
      <c r="G7747" s="58">
        <f t="shared" si="126"/>
        <v>-370</v>
      </c>
      <c r="H7747" s="121" t="s">
        <v>5067</v>
      </c>
    </row>
    <row r="7748" spans="1:8" ht="15" x14ac:dyDescent="0.2">
      <c r="A7748" s="597">
        <v>43668</v>
      </c>
      <c r="B7748" s="41" t="s">
        <v>5052</v>
      </c>
      <c r="C7748" s="41" t="s">
        <v>3145</v>
      </c>
      <c r="D7748" s="787" t="s">
        <v>392</v>
      </c>
      <c r="E7748" s="58">
        <v>1560</v>
      </c>
      <c r="F7748" s="58"/>
      <c r="G7748" s="58">
        <f t="shared" si="126"/>
        <v>-1560</v>
      </c>
      <c r="H7748" s="121" t="s">
        <v>5067</v>
      </c>
    </row>
    <row r="7749" spans="1:8" ht="15" x14ac:dyDescent="0.2">
      <c r="A7749" s="597">
        <v>43668</v>
      </c>
      <c r="B7749" s="41" t="s">
        <v>2652</v>
      </c>
      <c r="C7749" s="41" t="s">
        <v>2190</v>
      </c>
      <c r="D7749" s="787"/>
      <c r="E7749" s="58">
        <v>360</v>
      </c>
      <c r="F7749" s="58"/>
      <c r="G7749" s="58">
        <f t="shared" si="126"/>
        <v>-360</v>
      </c>
      <c r="H7749" s="121" t="s">
        <v>5067</v>
      </c>
    </row>
    <row r="7750" spans="1:8" ht="15" x14ac:dyDescent="0.2">
      <c r="A7750" s="597">
        <v>43668</v>
      </c>
      <c r="B7750" s="41" t="s">
        <v>16</v>
      </c>
      <c r="C7750" s="41" t="s">
        <v>3364</v>
      </c>
      <c r="D7750" s="787" t="s">
        <v>370</v>
      </c>
      <c r="E7750" s="58">
        <v>4180</v>
      </c>
      <c r="F7750" s="58"/>
      <c r="G7750" s="58">
        <f t="shared" si="126"/>
        <v>-4180</v>
      </c>
      <c r="H7750" s="121" t="s">
        <v>5067</v>
      </c>
    </row>
    <row r="7751" spans="1:8" ht="15" x14ac:dyDescent="0.2">
      <c r="A7751" s="597">
        <v>43668</v>
      </c>
      <c r="B7751" s="41" t="s">
        <v>2933</v>
      </c>
      <c r="C7751" s="41" t="s">
        <v>3145</v>
      </c>
      <c r="D7751" s="787" t="s">
        <v>5214</v>
      </c>
      <c r="E7751" s="58">
        <v>86974</v>
      </c>
      <c r="F7751" s="58"/>
      <c r="G7751" s="58">
        <f t="shared" si="126"/>
        <v>-86974</v>
      </c>
      <c r="H7751" s="121" t="s">
        <v>5067</v>
      </c>
    </row>
    <row r="7752" spans="1:8" ht="15" x14ac:dyDescent="0.2">
      <c r="A7752" s="597">
        <v>43668</v>
      </c>
      <c r="B7752" s="41" t="s">
        <v>5052</v>
      </c>
      <c r="C7752" s="41" t="s">
        <v>3145</v>
      </c>
      <c r="D7752" s="787" t="s">
        <v>392</v>
      </c>
      <c r="E7752" s="58">
        <v>880</v>
      </c>
      <c r="F7752" s="58"/>
      <c r="G7752" s="58">
        <f t="shared" si="126"/>
        <v>-880</v>
      </c>
      <c r="H7752" s="121" t="s">
        <v>5067</v>
      </c>
    </row>
    <row r="7753" spans="1:8" ht="15" x14ac:dyDescent="0.2">
      <c r="A7753" s="597">
        <v>43668</v>
      </c>
      <c r="B7753" s="41" t="s">
        <v>5052</v>
      </c>
      <c r="C7753" s="41" t="s">
        <v>3145</v>
      </c>
      <c r="D7753" s="787" t="s">
        <v>392</v>
      </c>
      <c r="E7753" s="58">
        <v>740</v>
      </c>
      <c r="F7753" s="58"/>
      <c r="G7753" s="58">
        <f t="shared" si="126"/>
        <v>-740</v>
      </c>
      <c r="H7753" s="121" t="s">
        <v>5067</v>
      </c>
    </row>
    <row r="7754" spans="1:8" ht="15" x14ac:dyDescent="0.2">
      <c r="A7754" s="597">
        <v>43668</v>
      </c>
      <c r="B7754" s="41" t="s">
        <v>1400</v>
      </c>
      <c r="C7754" s="41" t="s">
        <v>3145</v>
      </c>
      <c r="D7754" s="787" t="s">
        <v>5136</v>
      </c>
      <c r="E7754" s="58">
        <v>39171</v>
      </c>
      <c r="F7754" s="58"/>
      <c r="G7754" s="58">
        <f t="shared" si="126"/>
        <v>-39171</v>
      </c>
      <c r="H7754" s="121" t="s">
        <v>5067</v>
      </c>
    </row>
    <row r="7755" spans="1:8" ht="15" x14ac:dyDescent="0.2">
      <c r="A7755" s="597">
        <v>43669</v>
      </c>
      <c r="B7755" s="41" t="s">
        <v>1400</v>
      </c>
      <c r="C7755" s="41" t="s">
        <v>2190</v>
      </c>
      <c r="D7755" s="787"/>
      <c r="E7755" s="58">
        <v>1080</v>
      </c>
      <c r="F7755" s="58"/>
      <c r="G7755" s="58">
        <f t="shared" si="126"/>
        <v>-1080</v>
      </c>
      <c r="H7755" s="121" t="s">
        <v>5067</v>
      </c>
    </row>
    <row r="7756" spans="1:8" ht="15" x14ac:dyDescent="0.2">
      <c r="A7756" s="597">
        <v>43669</v>
      </c>
      <c r="B7756" s="41" t="s">
        <v>5052</v>
      </c>
      <c r="C7756" s="41" t="s">
        <v>3145</v>
      </c>
      <c r="D7756" s="787" t="s">
        <v>392</v>
      </c>
      <c r="E7756" s="58">
        <v>280</v>
      </c>
      <c r="F7756" s="58"/>
      <c r="G7756" s="58">
        <f t="shared" si="126"/>
        <v>-280</v>
      </c>
      <c r="H7756" s="121" t="s">
        <v>5067</v>
      </c>
    </row>
    <row r="7757" spans="1:8" ht="15" x14ac:dyDescent="0.2">
      <c r="A7757" s="597">
        <v>43670</v>
      </c>
      <c r="B7757" s="41" t="s">
        <v>2652</v>
      </c>
      <c r="C7757" s="41" t="s">
        <v>3145</v>
      </c>
      <c r="D7757" s="787" t="s">
        <v>392</v>
      </c>
      <c r="E7757" s="58">
        <v>1220</v>
      </c>
      <c r="F7757" s="58"/>
      <c r="G7757" s="58">
        <f t="shared" si="126"/>
        <v>-1220</v>
      </c>
      <c r="H7757" s="121" t="s">
        <v>5067</v>
      </c>
    </row>
    <row r="7758" spans="1:8" ht="15" x14ac:dyDescent="0.2">
      <c r="A7758" s="597">
        <v>43671</v>
      </c>
      <c r="B7758" s="41" t="s">
        <v>5052</v>
      </c>
      <c r="C7758" s="41" t="s">
        <v>3145</v>
      </c>
      <c r="D7758" s="787" t="s">
        <v>5209</v>
      </c>
      <c r="E7758" s="58">
        <v>5075</v>
      </c>
      <c r="F7758" s="58"/>
      <c r="G7758" s="58">
        <f t="shared" si="126"/>
        <v>-5075</v>
      </c>
      <c r="H7758" s="121" t="s">
        <v>5067</v>
      </c>
    </row>
    <row r="7759" spans="1:8" ht="15" x14ac:dyDescent="0.2">
      <c r="A7759" s="597">
        <v>43672</v>
      </c>
      <c r="B7759" s="41" t="s">
        <v>16</v>
      </c>
      <c r="C7759" s="41" t="s">
        <v>2428</v>
      </c>
      <c r="D7759" s="787" t="s">
        <v>5215</v>
      </c>
      <c r="E7759" s="58">
        <v>15000</v>
      </c>
      <c r="F7759" s="58"/>
      <c r="G7759" s="58">
        <f t="shared" si="126"/>
        <v>-15000</v>
      </c>
      <c r="H7759" s="121" t="s">
        <v>5067</v>
      </c>
    </row>
    <row r="7760" spans="1:8" ht="15" x14ac:dyDescent="0.2">
      <c r="A7760" s="597">
        <v>43672</v>
      </c>
      <c r="B7760" s="41" t="s">
        <v>5052</v>
      </c>
      <c r="C7760" s="41" t="s">
        <v>3145</v>
      </c>
      <c r="D7760" s="787" t="s">
        <v>392</v>
      </c>
      <c r="E7760" s="58">
        <v>1930</v>
      </c>
      <c r="F7760" s="58"/>
      <c r="G7760" s="58">
        <f t="shared" si="126"/>
        <v>-1930</v>
      </c>
      <c r="H7760" s="121" t="s">
        <v>5067</v>
      </c>
    </row>
    <row r="7761" spans="1:9" ht="15" x14ac:dyDescent="0.2">
      <c r="A7761" s="597">
        <v>43672</v>
      </c>
      <c r="B7761" s="41" t="s">
        <v>1400</v>
      </c>
      <c r="C7761" s="41" t="s">
        <v>3145</v>
      </c>
      <c r="D7761" s="787" t="s">
        <v>3977</v>
      </c>
      <c r="E7761" s="58">
        <v>35441</v>
      </c>
      <c r="F7761" s="58"/>
      <c r="G7761" s="58">
        <f t="shared" si="126"/>
        <v>-35441</v>
      </c>
      <c r="H7761" s="121" t="s">
        <v>5067</v>
      </c>
    </row>
    <row r="7762" spans="1:9" ht="15" x14ac:dyDescent="0.2">
      <c r="A7762" s="597">
        <v>43672</v>
      </c>
      <c r="B7762" s="41" t="s">
        <v>5052</v>
      </c>
      <c r="C7762" s="41" t="s">
        <v>3145</v>
      </c>
      <c r="D7762" s="787" t="s">
        <v>392</v>
      </c>
      <c r="E7762" s="58">
        <v>8820</v>
      </c>
      <c r="F7762" s="58"/>
      <c r="G7762" s="58">
        <f t="shared" si="126"/>
        <v>-8820</v>
      </c>
      <c r="H7762" s="121" t="s">
        <v>5067</v>
      </c>
    </row>
    <row r="7763" spans="1:9" ht="15" x14ac:dyDescent="0.2">
      <c r="A7763" s="597">
        <v>43672</v>
      </c>
      <c r="B7763" s="41" t="s">
        <v>5052</v>
      </c>
      <c r="C7763" s="41" t="s">
        <v>3145</v>
      </c>
      <c r="D7763" s="787" t="s">
        <v>392</v>
      </c>
      <c r="E7763" s="58">
        <v>1400</v>
      </c>
      <c r="F7763" s="58"/>
      <c r="G7763" s="58">
        <f t="shared" si="126"/>
        <v>-1400</v>
      </c>
      <c r="H7763" s="121" t="s">
        <v>5067</v>
      </c>
    </row>
    <row r="7764" spans="1:9" ht="15" x14ac:dyDescent="0.2">
      <c r="A7764" s="597">
        <v>43672</v>
      </c>
      <c r="B7764" s="41" t="s">
        <v>2933</v>
      </c>
      <c r="C7764" s="41" t="s">
        <v>3145</v>
      </c>
      <c r="D7764" s="787" t="s">
        <v>3794</v>
      </c>
      <c r="E7764" s="58">
        <v>1000</v>
      </c>
      <c r="F7764" s="58"/>
      <c r="G7764" s="58">
        <f t="shared" si="126"/>
        <v>-1000</v>
      </c>
      <c r="H7764" s="121" t="s">
        <v>5067</v>
      </c>
    </row>
    <row r="7765" spans="1:9" ht="15" x14ac:dyDescent="0.2">
      <c r="A7765" s="597">
        <v>43672</v>
      </c>
      <c r="B7765" s="41" t="s">
        <v>2652</v>
      </c>
      <c r="C7765" s="41" t="s">
        <v>3145</v>
      </c>
      <c r="D7765" s="787" t="s">
        <v>3794</v>
      </c>
      <c r="E7765" s="58">
        <v>2000</v>
      </c>
      <c r="F7765" s="58"/>
      <c r="G7765" s="58">
        <f t="shared" si="126"/>
        <v>-2000</v>
      </c>
      <c r="H7765" s="121" t="s">
        <v>5067</v>
      </c>
    </row>
    <row r="7766" spans="1:9" ht="15" x14ac:dyDescent="0.2">
      <c r="A7766" s="597">
        <v>43672</v>
      </c>
      <c r="B7766" s="41" t="s">
        <v>1400</v>
      </c>
      <c r="C7766" s="41" t="s">
        <v>3145</v>
      </c>
      <c r="D7766" s="787" t="s">
        <v>3794</v>
      </c>
      <c r="E7766" s="58">
        <f>1000+1480+1000+4500+4200</f>
        <v>12180</v>
      </c>
      <c r="F7766" s="58"/>
      <c r="G7766" s="58">
        <f t="shared" si="126"/>
        <v>-12180</v>
      </c>
      <c r="H7766" s="121" t="s">
        <v>5067</v>
      </c>
    </row>
    <row r="7767" spans="1:9" ht="15" x14ac:dyDescent="0.2">
      <c r="A7767" s="597">
        <v>43672</v>
      </c>
      <c r="B7767" s="41" t="s">
        <v>5052</v>
      </c>
      <c r="C7767" s="41" t="s">
        <v>3145</v>
      </c>
      <c r="D7767" s="787" t="s">
        <v>3794</v>
      </c>
      <c r="E7767" s="58">
        <f>5500+3100</f>
        <v>8600</v>
      </c>
      <c r="F7767" s="58"/>
      <c r="G7767" s="58">
        <f t="shared" si="126"/>
        <v>-8600</v>
      </c>
      <c r="H7767" s="121" t="s">
        <v>5067</v>
      </c>
    </row>
    <row r="7768" spans="1:9" ht="15" x14ac:dyDescent="0.2">
      <c r="A7768" s="597">
        <v>43673</v>
      </c>
      <c r="B7768" s="41" t="s">
        <v>5052</v>
      </c>
      <c r="C7768" s="41" t="s">
        <v>3145</v>
      </c>
      <c r="D7768" s="787" t="s">
        <v>5209</v>
      </c>
      <c r="E7768" s="58">
        <v>9300</v>
      </c>
      <c r="F7768" s="58"/>
      <c r="G7768" s="58">
        <f t="shared" si="126"/>
        <v>-9300</v>
      </c>
      <c r="H7768" s="121" t="s">
        <v>5067</v>
      </c>
    </row>
    <row r="7769" spans="1:9" ht="15" x14ac:dyDescent="0.2">
      <c r="A7769" s="597">
        <v>43673</v>
      </c>
      <c r="B7769" s="41" t="s">
        <v>5052</v>
      </c>
      <c r="C7769" s="41" t="s">
        <v>3145</v>
      </c>
      <c r="D7769" s="787" t="s">
        <v>5209</v>
      </c>
      <c r="E7769" s="58">
        <v>8465</v>
      </c>
      <c r="F7769" s="58"/>
      <c r="G7769" s="58">
        <f t="shared" si="126"/>
        <v>-8465</v>
      </c>
      <c r="H7769" s="121" t="s">
        <v>5067</v>
      </c>
    </row>
    <row r="7770" spans="1:9" ht="15" x14ac:dyDescent="0.2">
      <c r="A7770" s="597">
        <v>43676</v>
      </c>
      <c r="B7770" s="41" t="s">
        <v>3733</v>
      </c>
      <c r="C7770" s="41" t="s">
        <v>5216</v>
      </c>
      <c r="D7770" s="787" t="s">
        <v>5217</v>
      </c>
      <c r="E7770" s="58">
        <v>10000</v>
      </c>
      <c r="F7770" s="58"/>
      <c r="G7770" s="58">
        <f t="shared" si="126"/>
        <v>-10000</v>
      </c>
      <c r="H7770" s="121" t="s">
        <v>5067</v>
      </c>
    </row>
    <row r="7771" spans="1:9" ht="15" x14ac:dyDescent="0.2">
      <c r="A7771" s="597">
        <v>43677</v>
      </c>
      <c r="B7771" s="41" t="s">
        <v>2933</v>
      </c>
      <c r="C7771" s="41" t="s">
        <v>3145</v>
      </c>
      <c r="D7771" s="787" t="s">
        <v>5209</v>
      </c>
      <c r="E7771" s="58">
        <f>8550</f>
        <v>8550</v>
      </c>
      <c r="F7771" s="58"/>
      <c r="G7771" s="58">
        <f t="shared" si="126"/>
        <v>-8550</v>
      </c>
      <c r="H7771" s="121" t="s">
        <v>5067</v>
      </c>
    </row>
    <row r="7772" spans="1:9" ht="15" x14ac:dyDescent="0.2">
      <c r="A7772" s="597">
        <v>43677</v>
      </c>
      <c r="B7772" s="41" t="s">
        <v>2652</v>
      </c>
      <c r="C7772" s="41" t="s">
        <v>3145</v>
      </c>
      <c r="D7772" s="787" t="s">
        <v>5209</v>
      </c>
      <c r="E7772" s="58">
        <v>3700</v>
      </c>
      <c r="F7772" s="58"/>
      <c r="G7772" s="58">
        <f t="shared" si="126"/>
        <v>-3700</v>
      </c>
      <c r="H7772" s="121" t="s">
        <v>5067</v>
      </c>
    </row>
    <row r="7773" spans="1:9" ht="15" x14ac:dyDescent="0.2">
      <c r="A7773" s="597">
        <v>43677</v>
      </c>
      <c r="B7773" s="41" t="s">
        <v>16</v>
      </c>
      <c r="C7773" s="41" t="s">
        <v>463</v>
      </c>
      <c r="D7773" s="787" t="s">
        <v>5218</v>
      </c>
      <c r="E7773" s="58">
        <v>13763</v>
      </c>
      <c r="F7773" s="58"/>
      <c r="G7773" s="58">
        <f t="shared" si="126"/>
        <v>-13763</v>
      </c>
      <c r="H7773" s="121" t="s">
        <v>5067</v>
      </c>
    </row>
    <row r="7774" spans="1:9" ht="15" x14ac:dyDescent="0.2">
      <c r="A7774" s="602">
        <v>43649</v>
      </c>
      <c r="B7774" s="174" t="s">
        <v>5052</v>
      </c>
      <c r="C7774" s="174" t="s">
        <v>4725</v>
      </c>
      <c r="D7774" s="818" t="s">
        <v>5073</v>
      </c>
      <c r="E7774" s="236">
        <v>78000</v>
      </c>
      <c r="F7774" s="236"/>
      <c r="G7774" s="236">
        <f t="shared" si="126"/>
        <v>-78000</v>
      </c>
      <c r="H7774" s="244" t="s">
        <v>5067</v>
      </c>
      <c r="I7774" s="40"/>
    </row>
    <row r="7775" spans="1:9" ht="15" x14ac:dyDescent="0.2">
      <c r="A7775" s="602">
        <v>43649</v>
      </c>
      <c r="B7775" s="174" t="s">
        <v>5052</v>
      </c>
      <c r="C7775" s="174" t="s">
        <v>2338</v>
      </c>
      <c r="D7775" s="818" t="s">
        <v>5110</v>
      </c>
      <c r="E7775" s="236">
        <v>100000</v>
      </c>
      <c r="F7775" s="236"/>
      <c r="G7775" s="236">
        <f t="shared" si="126"/>
        <v>-100000</v>
      </c>
      <c r="H7775" s="244" t="s">
        <v>5067</v>
      </c>
      <c r="I7775" s="40"/>
    </row>
    <row r="7776" spans="1:9" ht="15" x14ac:dyDescent="0.2">
      <c r="A7776" s="602">
        <v>43649</v>
      </c>
      <c r="B7776" s="174" t="s">
        <v>1400</v>
      </c>
      <c r="C7776" s="174" t="s">
        <v>1524</v>
      </c>
      <c r="D7776" s="818" t="s">
        <v>5074</v>
      </c>
      <c r="E7776" s="236">
        <v>1499515</v>
      </c>
      <c r="F7776" s="236"/>
      <c r="G7776" s="236">
        <f t="shared" si="126"/>
        <v>-1499515</v>
      </c>
      <c r="H7776" s="244" t="s">
        <v>5067</v>
      </c>
      <c r="I7776" s="40"/>
    </row>
    <row r="7777" spans="1:9" ht="24" x14ac:dyDescent="0.2">
      <c r="A7777" s="602">
        <v>43649</v>
      </c>
      <c r="B7777" s="174" t="s">
        <v>1400</v>
      </c>
      <c r="C7777" s="174" t="s">
        <v>6170</v>
      </c>
      <c r="D7777" s="818" t="s">
        <v>5076</v>
      </c>
      <c r="E7777" s="236">
        <v>100000</v>
      </c>
      <c r="F7777" s="236"/>
      <c r="G7777" s="236">
        <f t="shared" si="126"/>
        <v>-100000</v>
      </c>
      <c r="H7777" s="244" t="s">
        <v>5067</v>
      </c>
      <c r="I7777" s="40"/>
    </row>
    <row r="7778" spans="1:9" ht="15" x14ac:dyDescent="0.2">
      <c r="A7778" s="602">
        <v>43651</v>
      </c>
      <c r="B7778" s="174" t="s">
        <v>1400</v>
      </c>
      <c r="C7778" s="174" t="s">
        <v>4870</v>
      </c>
      <c r="D7778" s="818" t="s">
        <v>5075</v>
      </c>
      <c r="E7778" s="236">
        <v>101305</v>
      </c>
      <c r="F7778" s="236"/>
      <c r="G7778" s="236">
        <f t="shared" si="126"/>
        <v>-101305</v>
      </c>
      <c r="H7778" s="244" t="s">
        <v>5067</v>
      </c>
      <c r="I7778" s="40"/>
    </row>
    <row r="7779" spans="1:9" ht="15" x14ac:dyDescent="0.2">
      <c r="A7779" s="602">
        <v>43651</v>
      </c>
      <c r="B7779" s="174" t="s">
        <v>2652</v>
      </c>
      <c r="C7779" s="174" t="s">
        <v>4385</v>
      </c>
      <c r="D7779" s="818" t="s">
        <v>370</v>
      </c>
      <c r="E7779" s="236">
        <v>15000</v>
      </c>
      <c r="F7779" s="236"/>
      <c r="G7779" s="236">
        <f t="shared" si="126"/>
        <v>-15000</v>
      </c>
      <c r="H7779" s="244" t="s">
        <v>5067</v>
      </c>
      <c r="I7779" s="40"/>
    </row>
    <row r="7780" spans="1:9" ht="24" x14ac:dyDescent="0.2">
      <c r="A7780" s="602">
        <v>43655</v>
      </c>
      <c r="B7780" s="174" t="s">
        <v>5052</v>
      </c>
      <c r="C7780" s="174" t="s">
        <v>5229</v>
      </c>
      <c r="D7780" s="818" t="s">
        <v>5077</v>
      </c>
      <c r="E7780" s="236">
        <v>742560</v>
      </c>
      <c r="F7780" s="236"/>
      <c r="G7780" s="236">
        <f t="shared" si="126"/>
        <v>-742560</v>
      </c>
      <c r="H7780" s="244" t="s">
        <v>5067</v>
      </c>
      <c r="I7780" s="40"/>
    </row>
    <row r="7781" spans="1:9" ht="15" x14ac:dyDescent="0.2">
      <c r="A7781" s="602">
        <v>43655</v>
      </c>
      <c r="B7781" s="174" t="s">
        <v>5052</v>
      </c>
      <c r="C7781" s="174" t="s">
        <v>5078</v>
      </c>
      <c r="D7781" s="818" t="s">
        <v>5079</v>
      </c>
      <c r="E7781" s="236">
        <v>147491</v>
      </c>
      <c r="F7781" s="236"/>
      <c r="G7781" s="236">
        <f t="shared" si="126"/>
        <v>-147491</v>
      </c>
      <c r="H7781" s="244" t="s">
        <v>5067</v>
      </c>
      <c r="I7781" s="40"/>
    </row>
    <row r="7782" spans="1:9" ht="15" x14ac:dyDescent="0.2">
      <c r="A7782" s="602">
        <v>43655</v>
      </c>
      <c r="B7782" s="174" t="s">
        <v>5052</v>
      </c>
      <c r="C7782" s="174" t="s">
        <v>5080</v>
      </c>
      <c r="D7782" s="818" t="s">
        <v>5081</v>
      </c>
      <c r="E7782" s="236">
        <v>104500</v>
      </c>
      <c r="F7782" s="236"/>
      <c r="G7782" s="236">
        <f t="shared" si="126"/>
        <v>-104500</v>
      </c>
      <c r="H7782" s="244" t="s">
        <v>5067</v>
      </c>
      <c r="I7782" s="40"/>
    </row>
    <row r="7783" spans="1:9" ht="15" x14ac:dyDescent="0.2">
      <c r="A7783" s="602">
        <v>43655</v>
      </c>
      <c r="B7783" s="174" t="s">
        <v>5052</v>
      </c>
      <c r="C7783" s="174" t="s">
        <v>5082</v>
      </c>
      <c r="D7783" s="818" t="s">
        <v>5083</v>
      </c>
      <c r="E7783" s="236">
        <v>30000</v>
      </c>
      <c r="F7783" s="236"/>
      <c r="G7783" s="236">
        <f t="shared" si="126"/>
        <v>-30000</v>
      </c>
      <c r="H7783" s="244" t="s">
        <v>5067</v>
      </c>
      <c r="I7783" s="40"/>
    </row>
    <row r="7784" spans="1:9" ht="15" x14ac:dyDescent="0.2">
      <c r="A7784" s="602">
        <v>43655</v>
      </c>
      <c r="B7784" s="174" t="s">
        <v>2652</v>
      </c>
      <c r="C7784" s="174" t="s">
        <v>4385</v>
      </c>
      <c r="D7784" s="818" t="s">
        <v>5084</v>
      </c>
      <c r="E7784" s="236">
        <v>34000</v>
      </c>
      <c r="F7784" s="236"/>
      <c r="G7784" s="236">
        <f t="shared" si="126"/>
        <v>-34000</v>
      </c>
      <c r="H7784" s="244" t="s">
        <v>5067</v>
      </c>
      <c r="I7784" s="40"/>
    </row>
    <row r="7785" spans="1:9" ht="15" x14ac:dyDescent="0.2">
      <c r="A7785" s="602">
        <v>43663</v>
      </c>
      <c r="B7785" s="174" t="s">
        <v>5052</v>
      </c>
      <c r="C7785" s="174" t="s">
        <v>5090</v>
      </c>
      <c r="D7785" s="818" t="s">
        <v>5091</v>
      </c>
      <c r="E7785" s="236">
        <v>78500</v>
      </c>
      <c r="F7785" s="236"/>
      <c r="G7785" s="236">
        <f t="shared" si="126"/>
        <v>-78500</v>
      </c>
      <c r="H7785" s="244" t="s">
        <v>5067</v>
      </c>
      <c r="I7785" s="40"/>
    </row>
    <row r="7786" spans="1:9" ht="15" x14ac:dyDescent="0.2">
      <c r="A7786" s="602">
        <v>43663</v>
      </c>
      <c r="B7786" s="174" t="s">
        <v>5052</v>
      </c>
      <c r="C7786" s="174" t="s">
        <v>2386</v>
      </c>
      <c r="D7786" s="818" t="s">
        <v>5092</v>
      </c>
      <c r="E7786" s="236">
        <v>39460</v>
      </c>
      <c r="F7786" s="236"/>
      <c r="G7786" s="236">
        <f t="shared" si="126"/>
        <v>-39460</v>
      </c>
      <c r="H7786" s="244" t="s">
        <v>5067</v>
      </c>
      <c r="I7786" s="40"/>
    </row>
    <row r="7787" spans="1:9" ht="15" x14ac:dyDescent="0.2">
      <c r="A7787" s="602">
        <v>43663</v>
      </c>
      <c r="B7787" s="174" t="s">
        <v>1400</v>
      </c>
      <c r="C7787" s="174" t="s">
        <v>2386</v>
      </c>
      <c r="D7787" s="818" t="s">
        <v>5092</v>
      </c>
      <c r="E7787" s="236">
        <v>10540</v>
      </c>
      <c r="F7787" s="236"/>
      <c r="G7787" s="236">
        <f t="shared" ref="G7787:G7850" si="127">F7787-E7787</f>
        <v>-10540</v>
      </c>
      <c r="H7787" s="244" t="s">
        <v>5067</v>
      </c>
      <c r="I7787" s="40"/>
    </row>
    <row r="7788" spans="1:9" ht="36" x14ac:dyDescent="0.2">
      <c r="A7788" s="602">
        <v>43663</v>
      </c>
      <c r="B7788" s="174" t="s">
        <v>1400</v>
      </c>
      <c r="C7788" s="174" t="s">
        <v>379</v>
      </c>
      <c r="D7788" s="818" t="s">
        <v>5097</v>
      </c>
      <c r="E7788" s="236">
        <v>50000</v>
      </c>
      <c r="F7788" s="236"/>
      <c r="G7788" s="236">
        <f t="shared" si="127"/>
        <v>-50000</v>
      </c>
      <c r="H7788" s="244" t="s">
        <v>5067</v>
      </c>
      <c r="I7788" s="40"/>
    </row>
    <row r="7789" spans="1:9" ht="15" x14ac:dyDescent="0.2">
      <c r="A7789" s="602">
        <v>43663</v>
      </c>
      <c r="B7789" s="174" t="s">
        <v>2652</v>
      </c>
      <c r="C7789" s="174" t="s">
        <v>5061</v>
      </c>
      <c r="D7789" s="818" t="s">
        <v>5099</v>
      </c>
      <c r="E7789" s="236">
        <v>15000</v>
      </c>
      <c r="F7789" s="236"/>
      <c r="G7789" s="236">
        <f t="shared" si="127"/>
        <v>-15000</v>
      </c>
      <c r="H7789" s="244" t="s">
        <v>5067</v>
      </c>
      <c r="I7789" s="40"/>
    </row>
    <row r="7790" spans="1:9" ht="15" x14ac:dyDescent="0.2">
      <c r="A7790" s="602">
        <v>43663</v>
      </c>
      <c r="B7790" s="174" t="s">
        <v>2652</v>
      </c>
      <c r="C7790" s="174" t="s">
        <v>3335</v>
      </c>
      <c r="D7790" s="818" t="s">
        <v>5100</v>
      </c>
      <c r="E7790" s="236">
        <v>70000</v>
      </c>
      <c r="F7790" s="236"/>
      <c r="G7790" s="236">
        <f t="shared" si="127"/>
        <v>-70000</v>
      </c>
      <c r="H7790" s="244" t="s">
        <v>5067</v>
      </c>
      <c r="I7790" s="40"/>
    </row>
    <row r="7791" spans="1:9" ht="15" x14ac:dyDescent="0.2">
      <c r="A7791" s="602">
        <v>43663</v>
      </c>
      <c r="B7791" s="174" t="s">
        <v>1400</v>
      </c>
      <c r="C7791" s="174" t="s">
        <v>4834</v>
      </c>
      <c r="D7791" s="818" t="s">
        <v>5101</v>
      </c>
      <c r="E7791" s="236">
        <v>36550</v>
      </c>
      <c r="F7791" s="236"/>
      <c r="G7791" s="236">
        <f t="shared" si="127"/>
        <v>-36550</v>
      </c>
      <c r="H7791" s="244" t="s">
        <v>5067</v>
      </c>
      <c r="I7791" s="40"/>
    </row>
    <row r="7792" spans="1:9" ht="15" x14ac:dyDescent="0.2">
      <c r="A7792" s="602">
        <v>43665</v>
      </c>
      <c r="B7792" s="174" t="s">
        <v>2933</v>
      </c>
      <c r="C7792" s="174" t="s">
        <v>3112</v>
      </c>
      <c r="D7792" s="818" t="s">
        <v>5102</v>
      </c>
      <c r="E7792" s="236">
        <v>200000</v>
      </c>
      <c r="F7792" s="236"/>
      <c r="G7792" s="236">
        <f t="shared" si="127"/>
        <v>-200000</v>
      </c>
      <c r="H7792" s="244" t="s">
        <v>5067</v>
      </c>
      <c r="I7792" s="40"/>
    </row>
    <row r="7793" spans="1:9" ht="15" x14ac:dyDescent="0.2">
      <c r="A7793" s="602">
        <v>43665</v>
      </c>
      <c r="B7793" s="174" t="s">
        <v>2933</v>
      </c>
      <c r="C7793" s="174" t="s">
        <v>3112</v>
      </c>
      <c r="D7793" s="818" t="s">
        <v>5103</v>
      </c>
      <c r="E7793" s="236">
        <v>150000</v>
      </c>
      <c r="F7793" s="236"/>
      <c r="G7793" s="236">
        <f t="shared" si="127"/>
        <v>-150000</v>
      </c>
      <c r="H7793" s="244" t="s">
        <v>5067</v>
      </c>
      <c r="I7793" s="40"/>
    </row>
    <row r="7794" spans="1:9" ht="15" x14ac:dyDescent="0.2">
      <c r="A7794" s="602">
        <v>43665</v>
      </c>
      <c r="B7794" s="174" t="s">
        <v>1400</v>
      </c>
      <c r="C7794" s="174" t="s">
        <v>2515</v>
      </c>
      <c r="D7794" s="818" t="s">
        <v>5104</v>
      </c>
      <c r="E7794" s="236">
        <v>66000</v>
      </c>
      <c r="F7794" s="236"/>
      <c r="G7794" s="236">
        <f t="shared" si="127"/>
        <v>-66000</v>
      </c>
      <c r="H7794" s="244" t="s">
        <v>5067</v>
      </c>
      <c r="I7794" s="40"/>
    </row>
    <row r="7795" spans="1:9" ht="24" x14ac:dyDescent="0.2">
      <c r="A7795" s="602">
        <v>43665</v>
      </c>
      <c r="B7795" s="174" t="s">
        <v>2933</v>
      </c>
      <c r="C7795" s="174" t="s">
        <v>3145</v>
      </c>
      <c r="D7795" s="818" t="s">
        <v>5105</v>
      </c>
      <c r="E7795" s="236">
        <f>125500/2</f>
        <v>62750</v>
      </c>
      <c r="F7795" s="236"/>
      <c r="G7795" s="236">
        <f t="shared" si="127"/>
        <v>-62750</v>
      </c>
      <c r="H7795" s="244" t="s">
        <v>5067</v>
      </c>
      <c r="I7795" s="40"/>
    </row>
    <row r="7796" spans="1:9" ht="24" x14ac:dyDescent="0.2">
      <c r="A7796" s="602">
        <v>43665</v>
      </c>
      <c r="B7796" s="174" t="s">
        <v>1400</v>
      </c>
      <c r="C7796" s="174" t="s">
        <v>3145</v>
      </c>
      <c r="D7796" s="818" t="s">
        <v>5105</v>
      </c>
      <c r="E7796" s="236">
        <f>125500/2</f>
        <v>62750</v>
      </c>
      <c r="F7796" s="236"/>
      <c r="G7796" s="236">
        <f t="shared" si="127"/>
        <v>-62750</v>
      </c>
      <c r="H7796" s="244" t="s">
        <v>5067</v>
      </c>
      <c r="I7796" s="40"/>
    </row>
    <row r="7797" spans="1:9" ht="24" x14ac:dyDescent="0.2">
      <c r="A7797" s="602">
        <v>43665</v>
      </c>
      <c r="B7797" s="174" t="s">
        <v>5052</v>
      </c>
      <c r="C7797" s="174" t="s">
        <v>705</v>
      </c>
      <c r="D7797" s="818" t="s">
        <v>5108</v>
      </c>
      <c r="E7797" s="236">
        <v>170644</v>
      </c>
      <c r="F7797" s="236"/>
      <c r="G7797" s="236">
        <f t="shared" si="127"/>
        <v>-170644</v>
      </c>
      <c r="H7797" s="244" t="s">
        <v>5067</v>
      </c>
      <c r="I7797" s="40"/>
    </row>
    <row r="7798" spans="1:9" ht="24" x14ac:dyDescent="0.2">
      <c r="A7798" s="602">
        <v>43665</v>
      </c>
      <c r="B7798" s="174" t="s">
        <v>1400</v>
      </c>
      <c r="C7798" s="174" t="s">
        <v>705</v>
      </c>
      <c r="D7798" s="818" t="s">
        <v>5108</v>
      </c>
      <c r="E7798" s="236">
        <v>18333</v>
      </c>
      <c r="F7798" s="236"/>
      <c r="G7798" s="236">
        <f t="shared" si="127"/>
        <v>-18333</v>
      </c>
      <c r="H7798" s="244" t="s">
        <v>5067</v>
      </c>
      <c r="I7798" s="40"/>
    </row>
    <row r="7799" spans="1:9" ht="24" x14ac:dyDescent="0.2">
      <c r="A7799" s="602">
        <v>43665</v>
      </c>
      <c r="B7799" s="174" t="s">
        <v>2652</v>
      </c>
      <c r="C7799" s="174" t="s">
        <v>705</v>
      </c>
      <c r="D7799" s="818" t="s">
        <v>5108</v>
      </c>
      <c r="E7799" s="236">
        <v>111023</v>
      </c>
      <c r="F7799" s="236"/>
      <c r="G7799" s="236">
        <f t="shared" si="127"/>
        <v>-111023</v>
      </c>
      <c r="H7799" s="244" t="s">
        <v>5067</v>
      </c>
      <c r="I7799" s="40"/>
    </row>
    <row r="7800" spans="1:9" ht="24" x14ac:dyDescent="0.2">
      <c r="A7800" s="602">
        <v>43665</v>
      </c>
      <c r="B7800" s="174" t="s">
        <v>5052</v>
      </c>
      <c r="C7800" s="174" t="s">
        <v>256</v>
      </c>
      <c r="D7800" s="818" t="s">
        <v>5109</v>
      </c>
      <c r="E7800" s="236">
        <v>194454</v>
      </c>
      <c r="F7800" s="236"/>
      <c r="G7800" s="236">
        <f t="shared" si="127"/>
        <v>-194454</v>
      </c>
      <c r="H7800" s="244" t="s">
        <v>5067</v>
      </c>
      <c r="I7800" s="40"/>
    </row>
    <row r="7801" spans="1:9" ht="15" x14ac:dyDescent="0.2">
      <c r="A7801" s="602">
        <v>43665</v>
      </c>
      <c r="B7801" s="174" t="s">
        <v>2933</v>
      </c>
      <c r="C7801" s="174" t="s">
        <v>359</v>
      </c>
      <c r="D7801" s="818" t="s">
        <v>5111</v>
      </c>
      <c r="E7801" s="236">
        <v>487221</v>
      </c>
      <c r="F7801" s="236"/>
      <c r="G7801" s="236">
        <f t="shared" si="127"/>
        <v>-487221</v>
      </c>
      <c r="H7801" s="244" t="s">
        <v>5067</v>
      </c>
      <c r="I7801" s="40"/>
    </row>
    <row r="7802" spans="1:9" ht="36" x14ac:dyDescent="0.2">
      <c r="A7802" s="602">
        <v>43665</v>
      </c>
      <c r="B7802" s="174" t="s">
        <v>2933</v>
      </c>
      <c r="C7802" s="174" t="s">
        <v>5112</v>
      </c>
      <c r="D7802" s="818" t="s">
        <v>5113</v>
      </c>
      <c r="E7802" s="236">
        <v>2281500</v>
      </c>
      <c r="F7802" s="236"/>
      <c r="G7802" s="236">
        <f t="shared" si="127"/>
        <v>-2281500</v>
      </c>
      <c r="H7802" s="244" t="s">
        <v>5067</v>
      </c>
      <c r="I7802" s="40"/>
    </row>
    <row r="7803" spans="1:9" ht="36" x14ac:dyDescent="0.2">
      <c r="A7803" s="602">
        <v>43665</v>
      </c>
      <c r="B7803" s="174" t="s">
        <v>4721</v>
      </c>
      <c r="C7803" s="174" t="s">
        <v>2310</v>
      </c>
      <c r="D7803" s="818" t="s">
        <v>5114</v>
      </c>
      <c r="E7803" s="236">
        <v>587910</v>
      </c>
      <c r="F7803" s="236"/>
      <c r="G7803" s="236">
        <f t="shared" si="127"/>
        <v>-587910</v>
      </c>
      <c r="H7803" s="244" t="s">
        <v>5067</v>
      </c>
      <c r="I7803" s="40"/>
    </row>
    <row r="7804" spans="1:9" ht="24" x14ac:dyDescent="0.2">
      <c r="A7804" s="602">
        <v>43668</v>
      </c>
      <c r="B7804" s="174" t="s">
        <v>82</v>
      </c>
      <c r="C7804" s="174" t="s">
        <v>4831</v>
      </c>
      <c r="D7804" s="818" t="s">
        <v>5119</v>
      </c>
      <c r="E7804" s="236">
        <v>150000</v>
      </c>
      <c r="F7804" s="236"/>
      <c r="G7804" s="236">
        <f t="shared" si="127"/>
        <v>-150000</v>
      </c>
      <c r="H7804" s="244" t="s">
        <v>5067</v>
      </c>
      <c r="I7804" s="40"/>
    </row>
    <row r="7805" spans="1:9" ht="24" x14ac:dyDescent="0.2">
      <c r="A7805" s="602">
        <v>43668</v>
      </c>
      <c r="B7805" s="174" t="s">
        <v>2933</v>
      </c>
      <c r="C7805" s="174" t="s">
        <v>3112</v>
      </c>
      <c r="D7805" s="818" t="s">
        <v>5118</v>
      </c>
      <c r="E7805" s="236">
        <v>50000</v>
      </c>
      <c r="F7805" s="236"/>
      <c r="G7805" s="236">
        <f t="shared" si="127"/>
        <v>-50000</v>
      </c>
      <c r="H7805" s="244" t="s">
        <v>5067</v>
      </c>
      <c r="I7805" s="40"/>
    </row>
    <row r="7806" spans="1:9" ht="15" x14ac:dyDescent="0.2">
      <c r="A7806" s="602">
        <v>43668</v>
      </c>
      <c r="B7806" s="174" t="s">
        <v>2652</v>
      </c>
      <c r="C7806" s="174" t="s">
        <v>251</v>
      </c>
      <c r="D7806" s="818" t="s">
        <v>2711</v>
      </c>
      <c r="E7806" s="236">
        <v>10000</v>
      </c>
      <c r="F7806" s="236"/>
      <c r="G7806" s="236">
        <f t="shared" si="127"/>
        <v>-10000</v>
      </c>
      <c r="H7806" s="244" t="s">
        <v>5067</v>
      </c>
      <c r="I7806" s="40"/>
    </row>
    <row r="7807" spans="1:9" ht="15" x14ac:dyDescent="0.2">
      <c r="A7807" s="602">
        <v>43669</v>
      </c>
      <c r="B7807" s="174" t="s">
        <v>5052</v>
      </c>
      <c r="C7807" s="174" t="s">
        <v>4725</v>
      </c>
      <c r="D7807" s="818" t="s">
        <v>5120</v>
      </c>
      <c r="E7807" s="236">
        <v>78000</v>
      </c>
      <c r="F7807" s="236"/>
      <c r="G7807" s="236">
        <f t="shared" si="127"/>
        <v>-78000</v>
      </c>
      <c r="H7807" s="244" t="s">
        <v>5067</v>
      </c>
      <c r="I7807" s="40"/>
    </row>
    <row r="7808" spans="1:9" ht="24.75" thickBot="1" x14ac:dyDescent="0.25">
      <c r="A7808" s="602">
        <v>43669</v>
      </c>
      <c r="B7808" s="174" t="s">
        <v>2652</v>
      </c>
      <c r="C7808" s="237" t="s">
        <v>2196</v>
      </c>
      <c r="D7808" s="821" t="s">
        <v>5118</v>
      </c>
      <c r="E7808" s="229">
        <v>206090</v>
      </c>
      <c r="F7808" s="236"/>
      <c r="G7808" s="236">
        <f t="shared" si="127"/>
        <v>-206090</v>
      </c>
      <c r="H7808" s="244" t="s">
        <v>5067</v>
      </c>
      <c r="I7808" s="40"/>
    </row>
    <row r="7809" spans="1:9" ht="24" x14ac:dyDescent="0.2">
      <c r="A7809" s="602">
        <v>43669</v>
      </c>
      <c r="B7809" s="436" t="s">
        <v>5227</v>
      </c>
      <c r="C7809" s="452" t="s">
        <v>318</v>
      </c>
      <c r="D7809" s="822" t="s">
        <v>5118</v>
      </c>
      <c r="E7809" s="453">
        <v>20870</v>
      </c>
      <c r="F7809" s="323"/>
      <c r="G7809" s="236">
        <f t="shared" si="127"/>
        <v>-20870</v>
      </c>
      <c r="H7809" s="244" t="s">
        <v>5067</v>
      </c>
      <c r="I7809" s="40"/>
    </row>
    <row r="7810" spans="1:9" ht="24" x14ac:dyDescent="0.2">
      <c r="A7810" s="602">
        <v>43669</v>
      </c>
      <c r="B7810" s="436" t="s">
        <v>3733</v>
      </c>
      <c r="C7810" s="454" t="s">
        <v>318</v>
      </c>
      <c r="D7810" s="818" t="s">
        <v>5118</v>
      </c>
      <c r="E7810" s="455">
        <v>9420</v>
      </c>
      <c r="F7810" s="323"/>
      <c r="G7810" s="236">
        <f t="shared" si="127"/>
        <v>-9420</v>
      </c>
      <c r="H7810" s="244" t="s">
        <v>5067</v>
      </c>
      <c r="I7810" s="40"/>
    </row>
    <row r="7811" spans="1:9" ht="24" x14ac:dyDescent="0.2">
      <c r="A7811" s="602">
        <v>43669</v>
      </c>
      <c r="B7811" s="436" t="s">
        <v>5544</v>
      </c>
      <c r="C7811" s="454" t="s">
        <v>318</v>
      </c>
      <c r="D7811" s="818" t="s">
        <v>5118</v>
      </c>
      <c r="E7811" s="455">
        <v>31560</v>
      </c>
      <c r="F7811" s="323"/>
      <c r="G7811" s="236">
        <f t="shared" si="127"/>
        <v>-31560</v>
      </c>
      <c r="H7811" s="244" t="s">
        <v>5067</v>
      </c>
      <c r="I7811" s="40"/>
    </row>
    <row r="7812" spans="1:9" ht="24" x14ac:dyDescent="0.2">
      <c r="A7812" s="602">
        <v>43669</v>
      </c>
      <c r="B7812" s="436" t="s">
        <v>2933</v>
      </c>
      <c r="C7812" s="454" t="s">
        <v>318</v>
      </c>
      <c r="D7812" s="818" t="s">
        <v>5118</v>
      </c>
      <c r="E7812" s="455">
        <v>116260</v>
      </c>
      <c r="F7812" s="323"/>
      <c r="G7812" s="236">
        <f t="shared" si="127"/>
        <v>-116260</v>
      </c>
      <c r="H7812" s="244" t="s">
        <v>5067</v>
      </c>
      <c r="I7812" s="40"/>
    </row>
    <row r="7813" spans="1:9" ht="24" x14ac:dyDescent="0.2">
      <c r="A7813" s="602">
        <v>43669</v>
      </c>
      <c r="B7813" s="436" t="s">
        <v>2652</v>
      </c>
      <c r="C7813" s="454" t="s">
        <v>318</v>
      </c>
      <c r="D7813" s="818" t="s">
        <v>5118</v>
      </c>
      <c r="E7813" s="455">
        <v>35800</v>
      </c>
      <c r="F7813" s="323"/>
      <c r="G7813" s="236">
        <f t="shared" si="127"/>
        <v>-35800</v>
      </c>
      <c r="H7813" s="244" t="s">
        <v>5067</v>
      </c>
      <c r="I7813" s="40"/>
    </row>
    <row r="7814" spans="1:9" ht="24.75" thickBot="1" x14ac:dyDescent="0.25">
      <c r="A7814" s="602">
        <v>43669</v>
      </c>
      <c r="B7814" s="436" t="s">
        <v>2652</v>
      </c>
      <c r="C7814" s="456" t="s">
        <v>318</v>
      </c>
      <c r="D7814" s="823" t="s">
        <v>5118</v>
      </c>
      <c r="E7814" s="457">
        <v>36000</v>
      </c>
      <c r="F7814" s="323"/>
      <c r="G7814" s="236">
        <f t="shared" si="127"/>
        <v>-36000</v>
      </c>
      <c r="H7814" s="244" t="s">
        <v>5067</v>
      </c>
      <c r="I7814" s="40"/>
    </row>
    <row r="7815" spans="1:9" ht="24" x14ac:dyDescent="0.2">
      <c r="A7815" s="602">
        <v>43669</v>
      </c>
      <c r="B7815" s="174" t="s">
        <v>2787</v>
      </c>
      <c r="C7815" s="240" t="s">
        <v>359</v>
      </c>
      <c r="D7815" s="824" t="s">
        <v>5121</v>
      </c>
      <c r="E7815" s="241">
        <v>148899</v>
      </c>
      <c r="F7815" s="236"/>
      <c r="G7815" s="236">
        <f t="shared" si="127"/>
        <v>-148899</v>
      </c>
      <c r="H7815" s="244" t="s">
        <v>5067</v>
      </c>
      <c r="I7815" s="40"/>
    </row>
    <row r="7816" spans="1:9" ht="24" x14ac:dyDescent="0.2">
      <c r="A7816" s="602">
        <v>43669</v>
      </c>
      <c r="B7816" s="174" t="s">
        <v>3733</v>
      </c>
      <c r="C7816" s="174" t="s">
        <v>359</v>
      </c>
      <c r="D7816" s="818" t="s">
        <v>5121</v>
      </c>
      <c r="E7816" s="236">
        <v>35376</v>
      </c>
      <c r="F7816" s="236"/>
      <c r="G7816" s="236">
        <f t="shared" si="127"/>
        <v>-35376</v>
      </c>
      <c r="H7816" s="244" t="s">
        <v>5067</v>
      </c>
      <c r="I7816" s="40"/>
    </row>
    <row r="7817" spans="1:9" ht="24" x14ac:dyDescent="0.2">
      <c r="A7817" s="602">
        <v>43669</v>
      </c>
      <c r="B7817" s="174" t="s">
        <v>3733</v>
      </c>
      <c r="C7817" s="174" t="s">
        <v>359</v>
      </c>
      <c r="D7817" s="818" t="s">
        <v>5121</v>
      </c>
      <c r="E7817" s="236">
        <v>35376</v>
      </c>
      <c r="F7817" s="236"/>
      <c r="G7817" s="236">
        <f t="shared" si="127"/>
        <v>-35376</v>
      </c>
      <c r="H7817" s="244" t="s">
        <v>5067</v>
      </c>
      <c r="I7817" s="40"/>
    </row>
    <row r="7818" spans="1:9" ht="24" x14ac:dyDescent="0.2">
      <c r="A7818" s="602">
        <v>43669</v>
      </c>
      <c r="B7818" s="174" t="s">
        <v>2933</v>
      </c>
      <c r="C7818" s="174" t="s">
        <v>256</v>
      </c>
      <c r="D7818" s="818" t="s">
        <v>5118</v>
      </c>
      <c r="E7818" s="236">
        <v>130000</v>
      </c>
      <c r="F7818" s="236"/>
      <c r="G7818" s="236">
        <f t="shared" si="127"/>
        <v>-130000</v>
      </c>
      <c r="H7818" s="244" t="s">
        <v>5067</v>
      </c>
      <c r="I7818" s="40"/>
    </row>
    <row r="7819" spans="1:9" ht="24" x14ac:dyDescent="0.2">
      <c r="A7819" s="602">
        <v>43669</v>
      </c>
      <c r="B7819" s="174" t="s">
        <v>2657</v>
      </c>
      <c r="C7819" s="174" t="s">
        <v>5123</v>
      </c>
      <c r="D7819" s="818" t="s">
        <v>5118</v>
      </c>
      <c r="E7819" s="236">
        <v>100000</v>
      </c>
      <c r="F7819" s="236"/>
      <c r="G7819" s="236">
        <f t="shared" si="127"/>
        <v>-100000</v>
      </c>
      <c r="H7819" s="244" t="s">
        <v>5067</v>
      </c>
      <c r="I7819" s="40"/>
    </row>
    <row r="7820" spans="1:9" ht="24" x14ac:dyDescent="0.2">
      <c r="A7820" s="602">
        <v>43669</v>
      </c>
      <c r="B7820" s="174" t="s">
        <v>2933</v>
      </c>
      <c r="C7820" s="174" t="s">
        <v>256</v>
      </c>
      <c r="D7820" s="818" t="s">
        <v>5124</v>
      </c>
      <c r="E7820" s="236">
        <v>50614</v>
      </c>
      <c r="F7820" s="236"/>
      <c r="G7820" s="236">
        <f t="shared" si="127"/>
        <v>-50614</v>
      </c>
      <c r="H7820" s="244" t="s">
        <v>5067</v>
      </c>
      <c r="I7820" s="40"/>
    </row>
    <row r="7821" spans="1:9" ht="15" x14ac:dyDescent="0.2">
      <c r="A7821" s="602">
        <v>43669</v>
      </c>
      <c r="B7821" s="174" t="s">
        <v>5052</v>
      </c>
      <c r="C7821" s="174" t="s">
        <v>5125</v>
      </c>
      <c r="D7821" s="818" t="s">
        <v>5126</v>
      </c>
      <c r="E7821" s="236">
        <v>25634</v>
      </c>
      <c r="F7821" s="236"/>
      <c r="G7821" s="236">
        <f t="shared" si="127"/>
        <v>-25634</v>
      </c>
      <c r="H7821" s="244" t="s">
        <v>5067</v>
      </c>
      <c r="I7821" s="40"/>
    </row>
    <row r="7822" spans="1:9" ht="36" x14ac:dyDescent="0.2">
      <c r="A7822" s="602">
        <v>43672</v>
      </c>
      <c r="B7822" s="174" t="s">
        <v>2652</v>
      </c>
      <c r="C7822" s="174" t="s">
        <v>1803</v>
      </c>
      <c r="D7822" s="818" t="s">
        <v>5128</v>
      </c>
      <c r="E7822" s="236">
        <v>500000</v>
      </c>
      <c r="F7822" s="236"/>
      <c r="G7822" s="236">
        <f t="shared" si="127"/>
        <v>-500000</v>
      </c>
      <c r="H7822" s="244" t="s">
        <v>5067</v>
      </c>
      <c r="I7822" s="40"/>
    </row>
    <row r="7823" spans="1:9" ht="15" x14ac:dyDescent="0.2">
      <c r="A7823" s="602">
        <v>43672</v>
      </c>
      <c r="B7823" s="174" t="s">
        <v>2652</v>
      </c>
      <c r="C7823" s="174" t="s">
        <v>3145</v>
      </c>
      <c r="D7823" s="818" t="s">
        <v>5129</v>
      </c>
      <c r="E7823" s="236">
        <v>21896</v>
      </c>
      <c r="F7823" s="236"/>
      <c r="G7823" s="236">
        <f t="shared" si="127"/>
        <v>-21896</v>
      </c>
      <c r="H7823" s="244" t="s">
        <v>5067</v>
      </c>
      <c r="I7823" s="40"/>
    </row>
    <row r="7824" spans="1:9" ht="15" x14ac:dyDescent="0.2">
      <c r="A7824" s="602">
        <v>43672</v>
      </c>
      <c r="B7824" s="174" t="s">
        <v>5052</v>
      </c>
      <c r="C7824" s="174" t="s">
        <v>3145</v>
      </c>
      <c r="D7824" s="818" t="s">
        <v>5130</v>
      </c>
      <c r="E7824" s="236">
        <v>49000</v>
      </c>
      <c r="F7824" s="236"/>
      <c r="G7824" s="236">
        <f t="shared" si="127"/>
        <v>-49000</v>
      </c>
      <c r="H7824" s="244" t="s">
        <v>5067</v>
      </c>
      <c r="I7824" s="40"/>
    </row>
    <row r="7825" spans="1:9" ht="15" x14ac:dyDescent="0.2">
      <c r="A7825" s="602">
        <v>43677</v>
      </c>
      <c r="B7825" s="174" t="s">
        <v>5052</v>
      </c>
      <c r="C7825" s="174" t="s">
        <v>5229</v>
      </c>
      <c r="D7825" s="818" t="s">
        <v>5155</v>
      </c>
      <c r="E7825" s="236">
        <v>125500</v>
      </c>
      <c r="F7825" s="236"/>
      <c r="G7825" s="236">
        <f t="shared" si="127"/>
        <v>-125500</v>
      </c>
      <c r="H7825" s="244" t="s">
        <v>5067</v>
      </c>
      <c r="I7825" s="40"/>
    </row>
    <row r="7826" spans="1:9" ht="15" x14ac:dyDescent="0.2">
      <c r="A7826" s="602">
        <v>43677</v>
      </c>
      <c r="B7826" s="174" t="s">
        <v>5052</v>
      </c>
      <c r="C7826" s="174" t="s">
        <v>5229</v>
      </c>
      <c r="D7826" s="818" t="s">
        <v>5156</v>
      </c>
      <c r="E7826" s="236">
        <v>163000</v>
      </c>
      <c r="F7826" s="236"/>
      <c r="G7826" s="236">
        <f t="shared" si="127"/>
        <v>-163000</v>
      </c>
      <c r="H7826" s="244" t="s">
        <v>5067</v>
      </c>
      <c r="I7826" s="40"/>
    </row>
    <row r="7827" spans="1:9" ht="15" x14ac:dyDescent="0.2">
      <c r="A7827" s="599">
        <v>43648</v>
      </c>
      <c r="B7827" s="91" t="s">
        <v>3946</v>
      </c>
      <c r="C7827" s="91" t="s">
        <v>559</v>
      </c>
      <c r="D7827" s="801" t="s">
        <v>5031</v>
      </c>
      <c r="E7827" s="92"/>
      <c r="F7827" s="92">
        <v>198875</v>
      </c>
      <c r="G7827" s="92">
        <f t="shared" si="127"/>
        <v>198875</v>
      </c>
      <c r="H7827" s="261" t="s">
        <v>5067</v>
      </c>
    </row>
    <row r="7828" spans="1:9" ht="15" x14ac:dyDescent="0.2">
      <c r="A7828" s="599">
        <v>43649</v>
      </c>
      <c r="B7828" s="91" t="s">
        <v>1400</v>
      </c>
      <c r="C7828" s="91" t="s">
        <v>559</v>
      </c>
      <c r="D7828" s="801" t="s">
        <v>5068</v>
      </c>
      <c r="E7828" s="92"/>
      <c r="F7828" s="92">
        <v>1499515</v>
      </c>
      <c r="G7828" s="92">
        <f t="shared" si="127"/>
        <v>1499515</v>
      </c>
      <c r="H7828" s="261" t="s">
        <v>5067</v>
      </c>
    </row>
    <row r="7829" spans="1:9" ht="24" x14ac:dyDescent="0.2">
      <c r="A7829" s="599">
        <v>43655</v>
      </c>
      <c r="B7829" s="91" t="s">
        <v>4721</v>
      </c>
      <c r="C7829" s="91" t="s">
        <v>559</v>
      </c>
      <c r="D7829" s="798" t="s">
        <v>5071</v>
      </c>
      <c r="E7829" s="92"/>
      <c r="F7829" s="92">
        <v>742560</v>
      </c>
      <c r="G7829" s="92">
        <f t="shared" si="127"/>
        <v>742560</v>
      </c>
      <c r="H7829" s="261" t="s">
        <v>5067</v>
      </c>
    </row>
    <row r="7830" spans="1:9" ht="15" x14ac:dyDescent="0.2">
      <c r="A7830" s="599">
        <v>43657</v>
      </c>
      <c r="B7830" s="91" t="s">
        <v>3945</v>
      </c>
      <c r="C7830" s="91" t="s">
        <v>559</v>
      </c>
      <c r="D7830" s="801" t="s">
        <v>5085</v>
      </c>
      <c r="E7830" s="92"/>
      <c r="F7830" s="92">
        <v>305250</v>
      </c>
      <c r="G7830" s="92">
        <f t="shared" si="127"/>
        <v>305250</v>
      </c>
      <c r="H7830" s="261" t="s">
        <v>5067</v>
      </c>
    </row>
    <row r="7831" spans="1:9" ht="24" x14ac:dyDescent="0.2">
      <c r="A7831" s="599">
        <v>43658</v>
      </c>
      <c r="B7831" s="91" t="s">
        <v>4721</v>
      </c>
      <c r="C7831" s="91" t="s">
        <v>559</v>
      </c>
      <c r="D7831" s="798" t="s">
        <v>5086</v>
      </c>
      <c r="E7831" s="92"/>
      <c r="F7831" s="92">
        <v>194454</v>
      </c>
      <c r="G7831" s="92">
        <f t="shared" si="127"/>
        <v>194454</v>
      </c>
      <c r="H7831" s="261" t="s">
        <v>5067</v>
      </c>
    </row>
    <row r="7832" spans="1:9" ht="24" x14ac:dyDescent="0.2">
      <c r="A7832" s="599">
        <v>43658</v>
      </c>
      <c r="B7832" s="91" t="s">
        <v>4721</v>
      </c>
      <c r="C7832" s="91" t="s">
        <v>559</v>
      </c>
      <c r="D7832" s="798" t="s">
        <v>5087</v>
      </c>
      <c r="E7832" s="92"/>
      <c r="F7832" s="92">
        <v>500000</v>
      </c>
      <c r="G7832" s="92">
        <f t="shared" si="127"/>
        <v>500000</v>
      </c>
      <c r="H7832" s="261" t="s">
        <v>5067</v>
      </c>
    </row>
    <row r="7833" spans="1:9" ht="24" x14ac:dyDescent="0.2">
      <c r="A7833" s="599">
        <v>43658</v>
      </c>
      <c r="B7833" s="91" t="s">
        <v>4721</v>
      </c>
      <c r="C7833" s="91" t="s">
        <v>559</v>
      </c>
      <c r="D7833" s="798" t="s">
        <v>5087</v>
      </c>
      <c r="E7833" s="92"/>
      <c r="F7833" s="92">
        <v>500000</v>
      </c>
      <c r="G7833" s="92">
        <f t="shared" si="127"/>
        <v>500000</v>
      </c>
      <c r="H7833" s="261" t="s">
        <v>5067</v>
      </c>
    </row>
    <row r="7834" spans="1:9" ht="24" x14ac:dyDescent="0.2">
      <c r="A7834" s="599">
        <v>43658</v>
      </c>
      <c r="B7834" s="91" t="s">
        <v>4721</v>
      </c>
      <c r="C7834" s="91" t="s">
        <v>559</v>
      </c>
      <c r="D7834" s="798" t="s">
        <v>5087</v>
      </c>
      <c r="E7834" s="92"/>
      <c r="F7834" s="92">
        <v>500000</v>
      </c>
      <c r="G7834" s="92">
        <f t="shared" si="127"/>
        <v>500000</v>
      </c>
      <c r="H7834" s="261" t="s">
        <v>5067</v>
      </c>
    </row>
    <row r="7835" spans="1:9" ht="24" x14ac:dyDescent="0.2">
      <c r="A7835" s="599">
        <v>43658</v>
      </c>
      <c r="B7835" s="91" t="s">
        <v>4721</v>
      </c>
      <c r="C7835" s="91" t="s">
        <v>559</v>
      </c>
      <c r="D7835" s="798" t="s">
        <v>5087</v>
      </c>
      <c r="E7835" s="92"/>
      <c r="F7835" s="92">
        <v>781500</v>
      </c>
      <c r="G7835" s="92">
        <f t="shared" si="127"/>
        <v>781500</v>
      </c>
      <c r="H7835" s="261" t="s">
        <v>5067</v>
      </c>
    </row>
    <row r="7836" spans="1:9" ht="24" x14ac:dyDescent="0.2">
      <c r="A7836" s="599">
        <v>43661</v>
      </c>
      <c r="B7836" s="91" t="s">
        <v>16</v>
      </c>
      <c r="C7836" s="91" t="s">
        <v>559</v>
      </c>
      <c r="D7836" s="798" t="s">
        <v>5093</v>
      </c>
      <c r="E7836" s="92"/>
      <c r="F7836" s="92">
        <v>50000</v>
      </c>
      <c r="G7836" s="92">
        <f t="shared" si="127"/>
        <v>50000</v>
      </c>
      <c r="H7836" s="261" t="s">
        <v>5067</v>
      </c>
    </row>
    <row r="7837" spans="1:9" ht="24" x14ac:dyDescent="0.2">
      <c r="A7837" s="599">
        <v>43662</v>
      </c>
      <c r="B7837" s="91" t="s">
        <v>5052</v>
      </c>
      <c r="C7837" s="91" t="s">
        <v>559</v>
      </c>
      <c r="D7837" s="798" t="s">
        <v>5089</v>
      </c>
      <c r="E7837" s="92"/>
      <c r="F7837" s="92">
        <v>300000</v>
      </c>
      <c r="G7837" s="92">
        <f t="shared" si="127"/>
        <v>300000</v>
      </c>
      <c r="H7837" s="261" t="s">
        <v>5067</v>
      </c>
    </row>
    <row r="7838" spans="1:9" ht="15" x14ac:dyDescent="0.2">
      <c r="A7838" s="599">
        <v>43665</v>
      </c>
      <c r="B7838" s="91" t="s">
        <v>1400</v>
      </c>
      <c r="C7838" s="91" t="s">
        <v>559</v>
      </c>
      <c r="D7838" s="801" t="s">
        <v>5157</v>
      </c>
      <c r="E7838" s="92"/>
      <c r="F7838" s="92">
        <v>23125</v>
      </c>
      <c r="G7838" s="92">
        <f t="shared" si="127"/>
        <v>23125</v>
      </c>
      <c r="H7838" s="261" t="s">
        <v>5067</v>
      </c>
    </row>
    <row r="7839" spans="1:9" ht="15" x14ac:dyDescent="0.2">
      <c r="A7839" s="599">
        <v>43665</v>
      </c>
      <c r="B7839" s="91" t="s">
        <v>5052</v>
      </c>
      <c r="C7839" s="91" t="s">
        <v>559</v>
      </c>
      <c r="D7839" s="801" t="s">
        <v>5094</v>
      </c>
      <c r="E7839" s="92"/>
      <c r="F7839" s="92">
        <v>300000</v>
      </c>
      <c r="G7839" s="92">
        <f t="shared" si="127"/>
        <v>300000</v>
      </c>
      <c r="H7839" s="261" t="s">
        <v>5067</v>
      </c>
    </row>
    <row r="7840" spans="1:9" ht="15" x14ac:dyDescent="0.2">
      <c r="A7840" s="599">
        <v>43665</v>
      </c>
      <c r="B7840" s="91" t="s">
        <v>5052</v>
      </c>
      <c r="C7840" s="91" t="s">
        <v>559</v>
      </c>
      <c r="D7840" s="801" t="s">
        <v>5095</v>
      </c>
      <c r="E7840" s="92"/>
      <c r="F7840" s="92">
        <v>90864</v>
      </c>
      <c r="G7840" s="92">
        <f t="shared" si="127"/>
        <v>90864</v>
      </c>
      <c r="H7840" s="261" t="s">
        <v>5067</v>
      </c>
    </row>
    <row r="7841" spans="1:8" ht="15" x14ac:dyDescent="0.2">
      <c r="A7841" s="599">
        <v>43665</v>
      </c>
      <c r="B7841" s="91" t="s">
        <v>5052</v>
      </c>
      <c r="C7841" s="91" t="s">
        <v>559</v>
      </c>
      <c r="D7841" s="801" t="s">
        <v>5096</v>
      </c>
      <c r="E7841" s="92"/>
      <c r="F7841" s="92">
        <v>487221</v>
      </c>
      <c r="G7841" s="92">
        <f t="shared" si="127"/>
        <v>487221</v>
      </c>
      <c r="H7841" s="261" t="s">
        <v>5067</v>
      </c>
    </row>
    <row r="7842" spans="1:8" ht="24" x14ac:dyDescent="0.2">
      <c r="A7842" s="599">
        <v>43668</v>
      </c>
      <c r="B7842" s="91" t="s">
        <v>2933</v>
      </c>
      <c r="C7842" s="91" t="s">
        <v>559</v>
      </c>
      <c r="D7842" s="798" t="s">
        <v>5115</v>
      </c>
      <c r="E7842" s="92"/>
      <c r="F7842" s="92">
        <v>5321096</v>
      </c>
      <c r="G7842" s="92">
        <f t="shared" si="127"/>
        <v>5321096</v>
      </c>
      <c r="H7842" s="261" t="s">
        <v>5067</v>
      </c>
    </row>
    <row r="7843" spans="1:8" ht="24" x14ac:dyDescent="0.2">
      <c r="A7843" s="599">
        <v>43669</v>
      </c>
      <c r="B7843" s="91" t="s">
        <v>4721</v>
      </c>
      <c r="C7843" s="91" t="s">
        <v>559</v>
      </c>
      <c r="D7843" s="798" t="s">
        <v>9105</v>
      </c>
      <c r="E7843" s="92"/>
      <c r="F7843" s="92">
        <v>1350000</v>
      </c>
      <c r="G7843" s="92">
        <f t="shared" si="127"/>
        <v>1350000</v>
      </c>
      <c r="H7843" s="261" t="s">
        <v>5067</v>
      </c>
    </row>
    <row r="7844" spans="1:8" ht="24" x14ac:dyDescent="0.2">
      <c r="A7844" s="599">
        <v>43669</v>
      </c>
      <c r="B7844" s="91" t="s">
        <v>4721</v>
      </c>
      <c r="C7844" s="91" t="s">
        <v>559</v>
      </c>
      <c r="D7844" s="798" t="s">
        <v>9106</v>
      </c>
      <c r="E7844" s="92"/>
      <c r="F7844" s="92">
        <v>150000</v>
      </c>
      <c r="G7844" s="92">
        <f t="shared" si="127"/>
        <v>150000</v>
      </c>
      <c r="H7844" s="261" t="s">
        <v>5067</v>
      </c>
    </row>
    <row r="7845" spans="1:8" ht="24" x14ac:dyDescent="0.2">
      <c r="A7845" s="599">
        <v>43669</v>
      </c>
      <c r="B7845" s="91" t="s">
        <v>4721</v>
      </c>
      <c r="C7845" s="91" t="s">
        <v>559</v>
      </c>
      <c r="D7845" s="798" t="s">
        <v>5116</v>
      </c>
      <c r="E7845" s="92"/>
      <c r="F7845" s="92">
        <v>50614</v>
      </c>
      <c r="G7845" s="92">
        <f t="shared" si="127"/>
        <v>50614</v>
      </c>
      <c r="H7845" s="261" t="s">
        <v>5067</v>
      </c>
    </row>
    <row r="7846" spans="1:8" ht="15" x14ac:dyDescent="0.2">
      <c r="A7846" s="599">
        <v>43669</v>
      </c>
      <c r="B7846" s="91" t="s">
        <v>4721</v>
      </c>
      <c r="C7846" s="91" t="s">
        <v>559</v>
      </c>
      <c r="D7846" s="798" t="s">
        <v>5117</v>
      </c>
      <c r="E7846" s="92"/>
      <c r="F7846" s="92">
        <v>45828</v>
      </c>
      <c r="G7846" s="92">
        <f t="shared" si="127"/>
        <v>45828</v>
      </c>
      <c r="H7846" s="261" t="s">
        <v>5067</v>
      </c>
    </row>
    <row r="7847" spans="1:8" ht="15" x14ac:dyDescent="0.2">
      <c r="A7847" s="597">
        <v>43678</v>
      </c>
      <c r="B7847" s="41" t="s">
        <v>1400</v>
      </c>
      <c r="C7847" s="41" t="s">
        <v>2503</v>
      </c>
      <c r="D7847" s="129" t="s">
        <v>940</v>
      </c>
      <c r="E7847" s="58">
        <v>25000</v>
      </c>
      <c r="F7847" s="58"/>
      <c r="G7847" s="58">
        <f t="shared" si="127"/>
        <v>-25000</v>
      </c>
      <c r="H7847" s="121" t="s">
        <v>5167</v>
      </c>
    </row>
    <row r="7848" spans="1:8" ht="15" x14ac:dyDescent="0.2">
      <c r="A7848" s="597">
        <v>43678</v>
      </c>
      <c r="B7848" s="41" t="s">
        <v>2652</v>
      </c>
      <c r="C7848" s="41" t="s">
        <v>2503</v>
      </c>
      <c r="D7848" s="129" t="s">
        <v>940</v>
      </c>
      <c r="E7848" s="58">
        <v>25000</v>
      </c>
      <c r="F7848" s="58"/>
      <c r="G7848" s="58">
        <f t="shared" si="127"/>
        <v>-25000</v>
      </c>
      <c r="H7848" s="121" t="s">
        <v>5167</v>
      </c>
    </row>
    <row r="7849" spans="1:8" ht="15" x14ac:dyDescent="0.2">
      <c r="A7849" s="597">
        <v>43678</v>
      </c>
      <c r="B7849" s="41" t="s">
        <v>2933</v>
      </c>
      <c r="C7849" s="41" t="s">
        <v>2503</v>
      </c>
      <c r="D7849" s="129" t="s">
        <v>372</v>
      </c>
      <c r="E7849" s="58">
        <v>25000</v>
      </c>
      <c r="F7849" s="58"/>
      <c r="G7849" s="58">
        <f t="shared" si="127"/>
        <v>-25000</v>
      </c>
      <c r="H7849" s="121" t="s">
        <v>5167</v>
      </c>
    </row>
    <row r="7850" spans="1:8" ht="15" x14ac:dyDescent="0.2">
      <c r="A7850" s="597">
        <v>43678</v>
      </c>
      <c r="B7850" s="41" t="s">
        <v>5052</v>
      </c>
      <c r="C7850" s="41" t="s">
        <v>2503</v>
      </c>
      <c r="D7850" s="129" t="s">
        <v>372</v>
      </c>
      <c r="E7850" s="58">
        <v>25000</v>
      </c>
      <c r="F7850" s="58"/>
      <c r="G7850" s="58">
        <f t="shared" si="127"/>
        <v>-25000</v>
      </c>
      <c r="H7850" s="121" t="s">
        <v>5167</v>
      </c>
    </row>
    <row r="7851" spans="1:8" ht="15" x14ac:dyDescent="0.2">
      <c r="A7851" s="597">
        <v>43678</v>
      </c>
      <c r="B7851" s="41" t="s">
        <v>25</v>
      </c>
      <c r="C7851" s="41" t="s">
        <v>2503</v>
      </c>
      <c r="D7851" s="129"/>
      <c r="E7851" s="58">
        <v>50000</v>
      </c>
      <c r="F7851" s="58"/>
      <c r="G7851" s="58">
        <f t="shared" ref="G7851:G7914" si="128">F7851-E7851</f>
        <v>-50000</v>
      </c>
      <c r="H7851" s="121" t="s">
        <v>5167</v>
      </c>
    </row>
    <row r="7852" spans="1:8" ht="15" x14ac:dyDescent="0.2">
      <c r="A7852" s="597">
        <v>43678</v>
      </c>
      <c r="B7852" s="41" t="s">
        <v>16</v>
      </c>
      <c r="C7852" s="41" t="s">
        <v>2503</v>
      </c>
      <c r="D7852" s="129"/>
      <c r="E7852" s="58">
        <v>89209.677419354834</v>
      </c>
      <c r="F7852" s="58"/>
      <c r="G7852" s="58">
        <f t="shared" si="128"/>
        <v>-89209.677419354834</v>
      </c>
      <c r="H7852" s="121" t="s">
        <v>5167</v>
      </c>
    </row>
    <row r="7853" spans="1:8" ht="15" x14ac:dyDescent="0.2">
      <c r="A7853" s="597">
        <v>43678</v>
      </c>
      <c r="B7853" s="41" t="s">
        <v>3945</v>
      </c>
      <c r="C7853" s="41" t="s">
        <v>2503</v>
      </c>
      <c r="D7853" s="129"/>
      <c r="E7853" s="58">
        <v>176398.38709677418</v>
      </c>
      <c r="F7853" s="58"/>
      <c r="G7853" s="58">
        <f t="shared" si="128"/>
        <v>-176398.38709677418</v>
      </c>
      <c r="H7853" s="121" t="s">
        <v>5167</v>
      </c>
    </row>
    <row r="7854" spans="1:8" ht="15" x14ac:dyDescent="0.2">
      <c r="A7854" s="597">
        <v>43678</v>
      </c>
      <c r="B7854" s="41" t="s">
        <v>3946</v>
      </c>
      <c r="C7854" s="41" t="s">
        <v>2503</v>
      </c>
      <c r="D7854" s="129"/>
      <c r="E7854" s="58">
        <v>196492.80645161291</v>
      </c>
      <c r="F7854" s="58"/>
      <c r="G7854" s="58">
        <f t="shared" si="128"/>
        <v>-196492.80645161291</v>
      </c>
      <c r="H7854" s="121" t="s">
        <v>5167</v>
      </c>
    </row>
    <row r="7855" spans="1:8" ht="15" x14ac:dyDescent="0.2">
      <c r="A7855" s="597">
        <v>43678</v>
      </c>
      <c r="B7855" s="41" t="s">
        <v>1400</v>
      </c>
      <c r="C7855" s="41" t="s">
        <v>2503</v>
      </c>
      <c r="D7855" s="129"/>
      <c r="E7855" s="58">
        <v>327439.75806451612</v>
      </c>
      <c r="F7855" s="58"/>
      <c r="G7855" s="58">
        <f t="shared" si="128"/>
        <v>-327439.75806451612</v>
      </c>
      <c r="H7855" s="121" t="s">
        <v>5167</v>
      </c>
    </row>
    <row r="7856" spans="1:8" ht="15" x14ac:dyDescent="0.2">
      <c r="A7856" s="597">
        <v>43678</v>
      </c>
      <c r="B7856" s="41" t="s">
        <v>6516</v>
      </c>
      <c r="C7856" s="41" t="s">
        <v>2503</v>
      </c>
      <c r="D7856" s="129"/>
      <c r="E7856" s="58">
        <v>131154.03225806454</v>
      </c>
      <c r="F7856" s="58"/>
      <c r="G7856" s="58">
        <f t="shared" si="128"/>
        <v>-131154.03225806454</v>
      </c>
      <c r="H7856" s="121" t="s">
        <v>5167</v>
      </c>
    </row>
    <row r="7857" spans="1:8" ht="15" x14ac:dyDescent="0.2">
      <c r="A7857" s="597">
        <v>43678</v>
      </c>
      <c r="B7857" s="41" t="s">
        <v>37</v>
      </c>
      <c r="C7857" s="41" t="s">
        <v>2503</v>
      </c>
      <c r="D7857" s="129"/>
      <c r="E7857" s="58">
        <v>87349.193548387091</v>
      </c>
      <c r="F7857" s="58"/>
      <c r="G7857" s="58">
        <f t="shared" si="128"/>
        <v>-87349.193548387091</v>
      </c>
      <c r="H7857" s="121" t="s">
        <v>5167</v>
      </c>
    </row>
    <row r="7858" spans="1:8" ht="15" x14ac:dyDescent="0.2">
      <c r="A7858" s="597">
        <v>43678</v>
      </c>
      <c r="B7858" s="41" t="s">
        <v>2933</v>
      </c>
      <c r="C7858" s="41" t="s">
        <v>2503</v>
      </c>
      <c r="D7858" s="129"/>
      <c r="E7858" s="58">
        <v>72532.258064516122</v>
      </c>
      <c r="F7858" s="58"/>
      <c r="G7858" s="58">
        <f t="shared" si="128"/>
        <v>-72532.258064516122</v>
      </c>
      <c r="H7858" s="121" t="s">
        <v>5167</v>
      </c>
    </row>
    <row r="7859" spans="1:8" ht="15" x14ac:dyDescent="0.2">
      <c r="A7859" s="597">
        <v>43678</v>
      </c>
      <c r="B7859" s="41" t="s">
        <v>2652</v>
      </c>
      <c r="C7859" s="41" t="s">
        <v>2503</v>
      </c>
      <c r="D7859" s="129"/>
      <c r="E7859" s="58">
        <v>172214.31451612903</v>
      </c>
      <c r="F7859" s="58"/>
      <c r="G7859" s="58">
        <f t="shared" si="128"/>
        <v>-172214.31451612903</v>
      </c>
      <c r="H7859" s="121" t="s">
        <v>5167</v>
      </c>
    </row>
    <row r="7860" spans="1:8" ht="15" x14ac:dyDescent="0.2">
      <c r="A7860" s="597">
        <v>43678</v>
      </c>
      <c r="B7860" s="41" t="s">
        <v>5052</v>
      </c>
      <c r="C7860" s="41" t="s">
        <v>2503</v>
      </c>
      <c r="D7860" s="129"/>
      <c r="E7860" s="58">
        <v>199425.72580645164</v>
      </c>
      <c r="F7860" s="58"/>
      <c r="G7860" s="58">
        <f t="shared" si="128"/>
        <v>-199425.72580645164</v>
      </c>
      <c r="H7860" s="121" t="s">
        <v>5167</v>
      </c>
    </row>
    <row r="7861" spans="1:8" ht="15" x14ac:dyDescent="0.2">
      <c r="A7861" s="597">
        <v>43678</v>
      </c>
      <c r="B7861" s="41" t="s">
        <v>2652</v>
      </c>
      <c r="C7861" s="41" t="s">
        <v>3145</v>
      </c>
      <c r="D7861" s="129" t="s">
        <v>5219</v>
      </c>
      <c r="E7861" s="58">
        <v>3195</v>
      </c>
      <c r="F7861" s="58"/>
      <c r="G7861" s="58">
        <f t="shared" si="128"/>
        <v>-3195</v>
      </c>
      <c r="H7861" s="121" t="s">
        <v>5167</v>
      </c>
    </row>
    <row r="7862" spans="1:8" ht="15" x14ac:dyDescent="0.2">
      <c r="A7862" s="597">
        <v>43678</v>
      </c>
      <c r="B7862" s="41" t="s">
        <v>2933</v>
      </c>
      <c r="C7862" s="41" t="s">
        <v>3145</v>
      </c>
      <c r="D7862" s="129" t="s">
        <v>5219</v>
      </c>
      <c r="E7862" s="58">
        <f>450+1600+150</f>
        <v>2200</v>
      </c>
      <c r="F7862" s="58"/>
      <c r="G7862" s="58">
        <f t="shared" si="128"/>
        <v>-2200</v>
      </c>
      <c r="H7862" s="121" t="s">
        <v>5167</v>
      </c>
    </row>
    <row r="7863" spans="1:8" ht="15" x14ac:dyDescent="0.2">
      <c r="A7863" s="597">
        <v>43678</v>
      </c>
      <c r="B7863" s="41" t="s">
        <v>3946</v>
      </c>
      <c r="C7863" s="41" t="s">
        <v>3145</v>
      </c>
      <c r="D7863" s="129" t="s">
        <v>5219</v>
      </c>
      <c r="E7863" s="58">
        <v>2400</v>
      </c>
      <c r="F7863" s="58"/>
      <c r="G7863" s="58">
        <f t="shared" si="128"/>
        <v>-2400</v>
      </c>
      <c r="H7863" s="121" t="s">
        <v>5167</v>
      </c>
    </row>
    <row r="7864" spans="1:8" ht="15" x14ac:dyDescent="0.2">
      <c r="A7864" s="597">
        <v>43678</v>
      </c>
      <c r="B7864" s="41" t="s">
        <v>1400</v>
      </c>
      <c r="C7864" s="41" t="s">
        <v>2503</v>
      </c>
      <c r="D7864" s="129" t="s">
        <v>5220</v>
      </c>
      <c r="E7864" s="58">
        <v>35000</v>
      </c>
      <c r="F7864" s="58"/>
      <c r="G7864" s="58">
        <f t="shared" si="128"/>
        <v>-35000</v>
      </c>
      <c r="H7864" s="121" t="s">
        <v>5167</v>
      </c>
    </row>
    <row r="7865" spans="1:8" ht="15" x14ac:dyDescent="0.2">
      <c r="A7865" s="597">
        <v>43678</v>
      </c>
      <c r="B7865" s="41" t="s">
        <v>4553</v>
      </c>
      <c r="C7865" s="41" t="s">
        <v>3145</v>
      </c>
      <c r="D7865" s="129" t="s">
        <v>5221</v>
      </c>
      <c r="E7865" s="58">
        <v>5000</v>
      </c>
      <c r="F7865" s="58"/>
      <c r="G7865" s="58">
        <f t="shared" si="128"/>
        <v>-5000</v>
      </c>
      <c r="H7865" s="121" t="s">
        <v>5167</v>
      </c>
    </row>
    <row r="7866" spans="1:8" ht="15" x14ac:dyDescent="0.2">
      <c r="A7866" s="597">
        <v>43678</v>
      </c>
      <c r="B7866" s="41" t="s">
        <v>16</v>
      </c>
      <c r="C7866" s="41" t="s">
        <v>103</v>
      </c>
      <c r="D7866" s="129" t="s">
        <v>4022</v>
      </c>
      <c r="E7866" s="58">
        <v>2300</v>
      </c>
      <c r="F7866" s="58"/>
      <c r="G7866" s="58">
        <f t="shared" si="128"/>
        <v>-2300</v>
      </c>
      <c r="H7866" s="121" t="s">
        <v>5167</v>
      </c>
    </row>
    <row r="7867" spans="1:8" ht="15" x14ac:dyDescent="0.2">
      <c r="A7867" s="597">
        <v>43679</v>
      </c>
      <c r="B7867" s="41" t="s">
        <v>2652</v>
      </c>
      <c r="C7867" s="41" t="s">
        <v>3145</v>
      </c>
      <c r="D7867" s="129" t="s">
        <v>4181</v>
      </c>
      <c r="E7867" s="58">
        <v>1530</v>
      </c>
      <c r="F7867" s="58"/>
      <c r="G7867" s="58">
        <f t="shared" si="128"/>
        <v>-1530</v>
      </c>
      <c r="H7867" s="121" t="s">
        <v>5167</v>
      </c>
    </row>
    <row r="7868" spans="1:8" ht="15" x14ac:dyDescent="0.2">
      <c r="A7868" s="597">
        <v>43680</v>
      </c>
      <c r="B7868" s="41" t="s">
        <v>2652</v>
      </c>
      <c r="C7868" s="41" t="s">
        <v>3145</v>
      </c>
      <c r="D7868" s="129" t="s">
        <v>5139</v>
      </c>
      <c r="E7868" s="58">
        <v>12700</v>
      </c>
      <c r="F7868" s="58"/>
      <c r="G7868" s="58">
        <f t="shared" si="128"/>
        <v>-12700</v>
      </c>
      <c r="H7868" s="121" t="s">
        <v>5167</v>
      </c>
    </row>
    <row r="7869" spans="1:8" ht="15" x14ac:dyDescent="0.2">
      <c r="A7869" s="597">
        <v>43680</v>
      </c>
      <c r="B7869" s="41" t="s">
        <v>5052</v>
      </c>
      <c r="C7869" s="41" t="s">
        <v>3145</v>
      </c>
      <c r="D7869" s="129" t="s">
        <v>5222</v>
      </c>
      <c r="E7869" s="58">
        <v>2663</v>
      </c>
      <c r="F7869" s="58"/>
      <c r="G7869" s="58">
        <f t="shared" si="128"/>
        <v>-2663</v>
      </c>
      <c r="H7869" s="121" t="s">
        <v>5167</v>
      </c>
    </row>
    <row r="7870" spans="1:8" ht="15" x14ac:dyDescent="0.2">
      <c r="A7870" s="597">
        <v>43682</v>
      </c>
      <c r="B7870" s="41" t="s">
        <v>4553</v>
      </c>
      <c r="C7870" s="41" t="s">
        <v>3145</v>
      </c>
      <c r="D7870" s="129" t="s">
        <v>3588</v>
      </c>
      <c r="E7870" s="58">
        <v>7500</v>
      </c>
      <c r="F7870" s="58"/>
      <c r="G7870" s="58">
        <f t="shared" si="128"/>
        <v>-7500</v>
      </c>
      <c r="H7870" s="121" t="s">
        <v>5167</v>
      </c>
    </row>
    <row r="7871" spans="1:8" ht="15" x14ac:dyDescent="0.2">
      <c r="A7871" s="597">
        <v>43682</v>
      </c>
      <c r="B7871" s="41" t="s">
        <v>2933</v>
      </c>
      <c r="C7871" s="41" t="s">
        <v>1495</v>
      </c>
      <c r="D7871" s="129" t="s">
        <v>370</v>
      </c>
      <c r="E7871" s="58">
        <v>3520</v>
      </c>
      <c r="F7871" s="58"/>
      <c r="G7871" s="58">
        <f t="shared" si="128"/>
        <v>-3520</v>
      </c>
      <c r="H7871" s="121" t="s">
        <v>5167</v>
      </c>
    </row>
    <row r="7872" spans="1:8" ht="15" x14ac:dyDescent="0.2">
      <c r="A7872" s="597">
        <v>43683</v>
      </c>
      <c r="B7872" s="41" t="s">
        <v>16</v>
      </c>
      <c r="C7872" s="41" t="s">
        <v>3364</v>
      </c>
      <c r="D7872" s="129" t="s">
        <v>370</v>
      </c>
      <c r="E7872" s="58">
        <v>4160</v>
      </c>
      <c r="F7872" s="58"/>
      <c r="G7872" s="58">
        <f t="shared" si="128"/>
        <v>-4160</v>
      </c>
      <c r="H7872" s="121" t="s">
        <v>5167</v>
      </c>
    </row>
    <row r="7873" spans="1:8" ht="15" x14ac:dyDescent="0.2">
      <c r="A7873" s="597">
        <v>43683</v>
      </c>
      <c r="B7873" s="41" t="s">
        <v>1400</v>
      </c>
      <c r="C7873" s="41" t="s">
        <v>3033</v>
      </c>
      <c r="D7873" s="129" t="s">
        <v>370</v>
      </c>
      <c r="E7873" s="58">
        <v>4000</v>
      </c>
      <c r="F7873" s="58"/>
      <c r="G7873" s="58">
        <f t="shared" si="128"/>
        <v>-4000</v>
      </c>
      <c r="H7873" s="121" t="s">
        <v>5167</v>
      </c>
    </row>
    <row r="7874" spans="1:8" ht="15" x14ac:dyDescent="0.2">
      <c r="A7874" s="597">
        <v>43683</v>
      </c>
      <c r="B7874" s="41" t="s">
        <v>16</v>
      </c>
      <c r="C7874" s="41" t="s">
        <v>2428</v>
      </c>
      <c r="D7874" s="129" t="s">
        <v>5225</v>
      </c>
      <c r="E7874" s="58">
        <v>6500</v>
      </c>
      <c r="F7874" s="58"/>
      <c r="G7874" s="58">
        <f t="shared" si="128"/>
        <v>-6500</v>
      </c>
      <c r="H7874" s="121" t="s">
        <v>5167</v>
      </c>
    </row>
    <row r="7875" spans="1:8" ht="15" x14ac:dyDescent="0.2">
      <c r="A7875" s="597">
        <v>43683</v>
      </c>
      <c r="B7875" s="41" t="s">
        <v>2652</v>
      </c>
      <c r="C7875" s="41" t="s">
        <v>3145</v>
      </c>
      <c r="D7875" s="129" t="s">
        <v>5226</v>
      </c>
      <c r="E7875" s="58">
        <f>13160+1250+4512</f>
        <v>18922</v>
      </c>
      <c r="F7875" s="58"/>
      <c r="G7875" s="58">
        <f t="shared" si="128"/>
        <v>-18922</v>
      </c>
      <c r="H7875" s="121" t="s">
        <v>5167</v>
      </c>
    </row>
    <row r="7876" spans="1:8" ht="15" x14ac:dyDescent="0.2">
      <c r="A7876" s="597">
        <v>43683</v>
      </c>
      <c r="B7876" s="41" t="s">
        <v>2933</v>
      </c>
      <c r="C7876" s="41" t="s">
        <v>3145</v>
      </c>
      <c r="D7876" s="129" t="s">
        <v>5226</v>
      </c>
      <c r="E7876" s="58">
        <v>970</v>
      </c>
      <c r="F7876" s="58"/>
      <c r="G7876" s="58">
        <f t="shared" si="128"/>
        <v>-970</v>
      </c>
      <c r="H7876" s="121" t="s">
        <v>5167</v>
      </c>
    </row>
    <row r="7877" spans="1:8" ht="15" x14ac:dyDescent="0.2">
      <c r="A7877" s="597">
        <v>43683</v>
      </c>
      <c r="B7877" s="41" t="s">
        <v>5052</v>
      </c>
      <c r="C7877" s="41" t="s">
        <v>3145</v>
      </c>
      <c r="D7877" s="129" t="s">
        <v>5226</v>
      </c>
      <c r="E7877" s="58">
        <v>750</v>
      </c>
      <c r="F7877" s="58"/>
      <c r="G7877" s="58">
        <f t="shared" si="128"/>
        <v>-750</v>
      </c>
      <c r="H7877" s="121" t="s">
        <v>5167</v>
      </c>
    </row>
    <row r="7878" spans="1:8" ht="15" x14ac:dyDescent="0.2">
      <c r="A7878" s="597">
        <v>43684</v>
      </c>
      <c r="B7878" s="41" t="s">
        <v>5227</v>
      </c>
      <c r="C7878" s="41" t="s">
        <v>2190</v>
      </c>
      <c r="D7878" s="129"/>
      <c r="E7878" s="58">
        <v>1080</v>
      </c>
      <c r="F7878" s="58"/>
      <c r="G7878" s="58">
        <f t="shared" si="128"/>
        <v>-1080</v>
      </c>
      <c r="H7878" s="121" t="s">
        <v>5167</v>
      </c>
    </row>
    <row r="7879" spans="1:8" ht="15" customHeight="1" x14ac:dyDescent="0.2">
      <c r="A7879" s="597">
        <v>43684</v>
      </c>
      <c r="B7879" s="41" t="s">
        <v>5052</v>
      </c>
      <c r="C7879" s="41" t="s">
        <v>3145</v>
      </c>
      <c r="D7879" s="129" t="s">
        <v>5209</v>
      </c>
      <c r="E7879" s="58">
        <v>8060</v>
      </c>
      <c r="F7879" s="58"/>
      <c r="G7879" s="58">
        <f t="shared" si="128"/>
        <v>-8060</v>
      </c>
      <c r="H7879" s="121" t="s">
        <v>5167</v>
      </c>
    </row>
    <row r="7880" spans="1:8" ht="15" customHeight="1" x14ac:dyDescent="0.2">
      <c r="A7880" s="597">
        <v>43684</v>
      </c>
      <c r="B7880" s="41" t="s">
        <v>2652</v>
      </c>
      <c r="C7880" s="41" t="s">
        <v>3145</v>
      </c>
      <c r="D7880" s="129" t="s">
        <v>5209</v>
      </c>
      <c r="E7880" s="58">
        <v>2480</v>
      </c>
      <c r="F7880" s="58"/>
      <c r="G7880" s="58">
        <f t="shared" si="128"/>
        <v>-2480</v>
      </c>
      <c r="H7880" s="121" t="s">
        <v>5167</v>
      </c>
    </row>
    <row r="7881" spans="1:8" ht="15" x14ac:dyDescent="0.2">
      <c r="A7881" s="597">
        <v>43684</v>
      </c>
      <c r="B7881" s="41" t="s">
        <v>3946</v>
      </c>
      <c r="C7881" s="41" t="s">
        <v>3145</v>
      </c>
      <c r="D7881" s="129" t="s">
        <v>5242</v>
      </c>
      <c r="E7881" s="58">
        <v>4750</v>
      </c>
      <c r="F7881" s="58"/>
      <c r="G7881" s="58">
        <f t="shared" si="128"/>
        <v>-4750</v>
      </c>
      <c r="H7881" s="121" t="s">
        <v>5167</v>
      </c>
    </row>
    <row r="7882" spans="1:8" ht="15" x14ac:dyDescent="0.2">
      <c r="A7882" s="597">
        <v>43684</v>
      </c>
      <c r="B7882" s="41" t="s">
        <v>5052</v>
      </c>
      <c r="C7882" s="41" t="s">
        <v>3145</v>
      </c>
      <c r="D7882" s="129" t="s">
        <v>5243</v>
      </c>
      <c r="E7882" s="58">
        <v>3770</v>
      </c>
      <c r="F7882" s="58"/>
      <c r="G7882" s="58">
        <f t="shared" si="128"/>
        <v>-3770</v>
      </c>
      <c r="H7882" s="121" t="s">
        <v>5167</v>
      </c>
    </row>
    <row r="7883" spans="1:8" ht="15" x14ac:dyDescent="0.2">
      <c r="A7883" s="597">
        <v>43684</v>
      </c>
      <c r="B7883" s="41" t="s">
        <v>2652</v>
      </c>
      <c r="C7883" s="41" t="s">
        <v>3145</v>
      </c>
      <c r="D7883" s="129" t="s">
        <v>5243</v>
      </c>
      <c r="E7883" s="58">
        <v>3000</v>
      </c>
      <c r="F7883" s="58"/>
      <c r="G7883" s="58">
        <f t="shared" si="128"/>
        <v>-3000</v>
      </c>
      <c r="H7883" s="121" t="s">
        <v>5167</v>
      </c>
    </row>
    <row r="7884" spans="1:8" ht="15" x14ac:dyDescent="0.2">
      <c r="A7884" s="597">
        <v>43684</v>
      </c>
      <c r="B7884" s="41" t="s">
        <v>1400</v>
      </c>
      <c r="C7884" s="41" t="s">
        <v>5034</v>
      </c>
      <c r="D7884" s="129" t="s">
        <v>5244</v>
      </c>
      <c r="E7884" s="58">
        <v>11000</v>
      </c>
      <c r="F7884" s="58"/>
      <c r="G7884" s="58">
        <f t="shared" si="128"/>
        <v>-11000</v>
      </c>
      <c r="H7884" s="121" t="s">
        <v>5167</v>
      </c>
    </row>
    <row r="7885" spans="1:8" ht="15" x14ac:dyDescent="0.2">
      <c r="A7885" s="597">
        <v>43685</v>
      </c>
      <c r="B7885" s="41" t="s">
        <v>5052</v>
      </c>
      <c r="C7885" s="41" t="s">
        <v>5245</v>
      </c>
      <c r="D7885" s="129" t="s">
        <v>5246</v>
      </c>
      <c r="E7885" s="58">
        <v>15000</v>
      </c>
      <c r="F7885" s="58"/>
      <c r="G7885" s="58">
        <f t="shared" si="128"/>
        <v>-15000</v>
      </c>
      <c r="H7885" s="121" t="s">
        <v>5167</v>
      </c>
    </row>
    <row r="7886" spans="1:8" ht="15" customHeight="1" x14ac:dyDescent="0.2">
      <c r="A7886" s="597">
        <v>43693</v>
      </c>
      <c r="B7886" s="41" t="s">
        <v>1400</v>
      </c>
      <c r="C7886" s="41" t="s">
        <v>5216</v>
      </c>
      <c r="D7886" s="129" t="s">
        <v>5247</v>
      </c>
      <c r="E7886" s="58">
        <v>10000</v>
      </c>
      <c r="F7886" s="58"/>
      <c r="G7886" s="58">
        <f t="shared" si="128"/>
        <v>-10000</v>
      </c>
      <c r="H7886" s="121" t="s">
        <v>5167</v>
      </c>
    </row>
    <row r="7887" spans="1:8" ht="15" customHeight="1" x14ac:dyDescent="0.2">
      <c r="A7887" s="597">
        <v>43693</v>
      </c>
      <c r="B7887" s="41" t="s">
        <v>5052</v>
      </c>
      <c r="C7887" s="41" t="s">
        <v>3145</v>
      </c>
      <c r="D7887" s="129" t="s">
        <v>5248</v>
      </c>
      <c r="E7887" s="58">
        <v>1300</v>
      </c>
      <c r="F7887" s="58"/>
      <c r="G7887" s="58">
        <f t="shared" si="128"/>
        <v>-1300</v>
      </c>
      <c r="H7887" s="121" t="s">
        <v>5167</v>
      </c>
    </row>
    <row r="7888" spans="1:8" ht="15" x14ac:dyDescent="0.2">
      <c r="A7888" s="597">
        <v>43693</v>
      </c>
      <c r="B7888" s="41" t="s">
        <v>5052</v>
      </c>
      <c r="C7888" s="41" t="s">
        <v>3145</v>
      </c>
      <c r="D7888" s="129" t="s">
        <v>5209</v>
      </c>
      <c r="E7888" s="58">
        <v>2400</v>
      </c>
      <c r="F7888" s="58"/>
      <c r="G7888" s="58">
        <f t="shared" si="128"/>
        <v>-2400</v>
      </c>
      <c r="H7888" s="121" t="s">
        <v>5167</v>
      </c>
    </row>
    <row r="7889" spans="1:8" ht="15" x14ac:dyDescent="0.2">
      <c r="A7889" s="597">
        <v>43693</v>
      </c>
      <c r="B7889" s="41" t="s">
        <v>2652</v>
      </c>
      <c r="C7889" s="41" t="s">
        <v>3145</v>
      </c>
      <c r="D7889" s="129" t="s">
        <v>5209</v>
      </c>
      <c r="E7889" s="58">
        <v>27530</v>
      </c>
      <c r="F7889" s="58"/>
      <c r="G7889" s="58">
        <f t="shared" si="128"/>
        <v>-27530</v>
      </c>
      <c r="H7889" s="121" t="s">
        <v>5167</v>
      </c>
    </row>
    <row r="7890" spans="1:8" ht="15" x14ac:dyDescent="0.2">
      <c r="A7890" s="597">
        <v>43693</v>
      </c>
      <c r="B7890" s="41" t="s">
        <v>3945</v>
      </c>
      <c r="C7890" s="41" t="s">
        <v>3145</v>
      </c>
      <c r="D7890" s="129" t="s">
        <v>5209</v>
      </c>
      <c r="E7890" s="58">
        <v>2184</v>
      </c>
      <c r="F7890" s="58"/>
      <c r="G7890" s="58">
        <f t="shared" si="128"/>
        <v>-2184</v>
      </c>
      <c r="H7890" s="121" t="s">
        <v>5167</v>
      </c>
    </row>
    <row r="7891" spans="1:8" ht="15" x14ac:dyDescent="0.2">
      <c r="A7891" s="597">
        <v>43693</v>
      </c>
      <c r="B7891" s="41" t="s">
        <v>3946</v>
      </c>
      <c r="C7891" s="41" t="s">
        <v>3145</v>
      </c>
      <c r="D7891" s="129" t="s">
        <v>5209</v>
      </c>
      <c r="E7891" s="58">
        <v>11550</v>
      </c>
      <c r="F7891" s="58"/>
      <c r="G7891" s="58">
        <f t="shared" si="128"/>
        <v>-11550</v>
      </c>
      <c r="H7891" s="121" t="s">
        <v>5167</v>
      </c>
    </row>
    <row r="7892" spans="1:8" ht="15" x14ac:dyDescent="0.2">
      <c r="A7892" s="597">
        <v>43694</v>
      </c>
      <c r="B7892" s="41" t="s">
        <v>1400</v>
      </c>
      <c r="C7892" s="41" t="s">
        <v>3145</v>
      </c>
      <c r="D7892" s="129" t="s">
        <v>5209</v>
      </c>
      <c r="E7892" s="58">
        <v>10241</v>
      </c>
      <c r="F7892" s="58"/>
      <c r="G7892" s="58">
        <f t="shared" si="128"/>
        <v>-10241</v>
      </c>
      <c r="H7892" s="121" t="s">
        <v>5167</v>
      </c>
    </row>
    <row r="7893" spans="1:8" ht="15" x14ac:dyDescent="0.2">
      <c r="A7893" s="597">
        <v>43694</v>
      </c>
      <c r="B7893" s="41" t="s">
        <v>1400</v>
      </c>
      <c r="C7893" s="41" t="s">
        <v>3145</v>
      </c>
      <c r="D7893" s="129" t="s">
        <v>5249</v>
      </c>
      <c r="E7893" s="58">
        <v>38565</v>
      </c>
      <c r="F7893" s="58"/>
      <c r="G7893" s="58">
        <f t="shared" si="128"/>
        <v>-38565</v>
      </c>
      <c r="H7893" s="121" t="s">
        <v>5167</v>
      </c>
    </row>
    <row r="7894" spans="1:8" ht="15" x14ac:dyDescent="0.2">
      <c r="A7894" s="597">
        <v>43694</v>
      </c>
      <c r="B7894" s="41" t="s">
        <v>6516</v>
      </c>
      <c r="C7894" s="41" t="s">
        <v>3145</v>
      </c>
      <c r="D7894" s="129" t="s">
        <v>392</v>
      </c>
      <c r="E7894" s="58">
        <v>1468</v>
      </c>
      <c r="F7894" s="58"/>
      <c r="G7894" s="58">
        <f t="shared" si="128"/>
        <v>-1468</v>
      </c>
      <c r="H7894" s="121" t="s">
        <v>5167</v>
      </c>
    </row>
    <row r="7895" spans="1:8" ht="15" x14ac:dyDescent="0.2">
      <c r="A7895" s="597">
        <v>43694</v>
      </c>
      <c r="B7895" s="41" t="s">
        <v>1400</v>
      </c>
      <c r="C7895" s="41" t="s">
        <v>5216</v>
      </c>
      <c r="D7895" s="129" t="s">
        <v>3803</v>
      </c>
      <c r="E7895" s="58">
        <v>10000</v>
      </c>
      <c r="F7895" s="58"/>
      <c r="G7895" s="58">
        <f t="shared" si="128"/>
        <v>-10000</v>
      </c>
      <c r="H7895" s="121" t="s">
        <v>5167</v>
      </c>
    </row>
    <row r="7896" spans="1:8" ht="15" x14ac:dyDescent="0.2">
      <c r="A7896" s="597">
        <v>43694</v>
      </c>
      <c r="B7896" s="41" t="s">
        <v>2652</v>
      </c>
      <c r="C7896" s="41" t="s">
        <v>929</v>
      </c>
      <c r="D7896" s="129" t="s">
        <v>5399</v>
      </c>
      <c r="E7896" s="58">
        <v>10000</v>
      </c>
      <c r="F7896" s="58"/>
      <c r="G7896" s="58">
        <f t="shared" si="128"/>
        <v>-10000</v>
      </c>
      <c r="H7896" s="121" t="s">
        <v>5167</v>
      </c>
    </row>
    <row r="7897" spans="1:8" ht="15" x14ac:dyDescent="0.2">
      <c r="A7897" s="597">
        <v>43694</v>
      </c>
      <c r="B7897" s="41" t="s">
        <v>1400</v>
      </c>
      <c r="C7897" s="41" t="s">
        <v>3145</v>
      </c>
      <c r="D7897" s="129" t="s">
        <v>5250</v>
      </c>
      <c r="E7897" s="58">
        <v>14372</v>
      </c>
      <c r="F7897" s="58"/>
      <c r="G7897" s="58">
        <f t="shared" si="128"/>
        <v>-14372</v>
      </c>
      <c r="H7897" s="121" t="s">
        <v>5167</v>
      </c>
    </row>
    <row r="7898" spans="1:8" ht="15" x14ac:dyDescent="0.2">
      <c r="A7898" s="597">
        <v>43696</v>
      </c>
      <c r="B7898" s="41" t="s">
        <v>5052</v>
      </c>
      <c r="C7898" s="41" t="s">
        <v>3145</v>
      </c>
      <c r="D7898" s="129" t="s">
        <v>5145</v>
      </c>
      <c r="E7898" s="58">
        <v>1800</v>
      </c>
      <c r="F7898" s="58"/>
      <c r="G7898" s="58">
        <f t="shared" si="128"/>
        <v>-1800</v>
      </c>
      <c r="H7898" s="121" t="s">
        <v>5167</v>
      </c>
    </row>
    <row r="7899" spans="1:8" ht="15" x14ac:dyDescent="0.2">
      <c r="A7899" s="597">
        <v>43696</v>
      </c>
      <c r="B7899" s="41" t="s">
        <v>5052</v>
      </c>
      <c r="C7899" s="41" t="s">
        <v>3145</v>
      </c>
      <c r="D7899" s="129" t="s">
        <v>5251</v>
      </c>
      <c r="E7899" s="58">
        <v>7970</v>
      </c>
      <c r="F7899" s="58"/>
      <c r="G7899" s="58">
        <f t="shared" si="128"/>
        <v>-7970</v>
      </c>
      <c r="H7899" s="121" t="s">
        <v>5167</v>
      </c>
    </row>
    <row r="7900" spans="1:8" ht="15" x14ac:dyDescent="0.2">
      <c r="A7900" s="597">
        <v>43696</v>
      </c>
      <c r="B7900" s="41" t="s">
        <v>2933</v>
      </c>
      <c r="C7900" s="41" t="s">
        <v>3145</v>
      </c>
      <c r="D7900" s="129" t="s">
        <v>5252</v>
      </c>
      <c r="E7900" s="58">
        <v>460</v>
      </c>
      <c r="F7900" s="58"/>
      <c r="G7900" s="58">
        <f t="shared" si="128"/>
        <v>-460</v>
      </c>
      <c r="H7900" s="121" t="s">
        <v>5167</v>
      </c>
    </row>
    <row r="7901" spans="1:8" ht="15" x14ac:dyDescent="0.2">
      <c r="A7901" s="597">
        <v>43697</v>
      </c>
      <c r="B7901" s="41" t="s">
        <v>2652</v>
      </c>
      <c r="C7901" s="41" t="s">
        <v>3145</v>
      </c>
      <c r="D7901" s="129" t="s">
        <v>5253</v>
      </c>
      <c r="E7901" s="58">
        <v>4500</v>
      </c>
      <c r="F7901" s="58"/>
      <c r="G7901" s="58">
        <f t="shared" si="128"/>
        <v>-4500</v>
      </c>
      <c r="H7901" s="121" t="s">
        <v>5167</v>
      </c>
    </row>
    <row r="7902" spans="1:8" ht="15" x14ac:dyDescent="0.2">
      <c r="A7902" s="597">
        <v>43698</v>
      </c>
      <c r="B7902" s="41" t="s">
        <v>2652</v>
      </c>
      <c r="C7902" s="41" t="s">
        <v>3145</v>
      </c>
      <c r="D7902" s="129" t="s">
        <v>5251</v>
      </c>
      <c r="E7902" s="58">
        <v>6510</v>
      </c>
      <c r="F7902" s="58"/>
      <c r="G7902" s="58">
        <f t="shared" si="128"/>
        <v>-6510</v>
      </c>
      <c r="H7902" s="121" t="s">
        <v>5167</v>
      </c>
    </row>
    <row r="7903" spans="1:8" ht="15" x14ac:dyDescent="0.2">
      <c r="A7903" s="597">
        <v>43699</v>
      </c>
      <c r="B7903" s="41" t="s">
        <v>2933</v>
      </c>
      <c r="C7903" s="41" t="s">
        <v>3145</v>
      </c>
      <c r="D7903" s="129" t="s">
        <v>5251</v>
      </c>
      <c r="E7903" s="58">
        <v>7440</v>
      </c>
      <c r="F7903" s="58"/>
      <c r="G7903" s="58">
        <f t="shared" si="128"/>
        <v>-7440</v>
      </c>
      <c r="H7903" s="121" t="s">
        <v>5167</v>
      </c>
    </row>
    <row r="7904" spans="1:8" ht="15" x14ac:dyDescent="0.2">
      <c r="A7904" s="597">
        <v>43699</v>
      </c>
      <c r="B7904" s="41" t="s">
        <v>5052</v>
      </c>
      <c r="C7904" s="41" t="s">
        <v>3145</v>
      </c>
      <c r="D7904" s="129" t="s">
        <v>392</v>
      </c>
      <c r="E7904" s="58">
        <v>930</v>
      </c>
      <c r="F7904" s="58"/>
      <c r="G7904" s="58">
        <f t="shared" si="128"/>
        <v>-930</v>
      </c>
      <c r="H7904" s="121" t="s">
        <v>5167</v>
      </c>
    </row>
    <row r="7905" spans="1:8" ht="15" x14ac:dyDescent="0.2">
      <c r="A7905" s="597">
        <v>43699</v>
      </c>
      <c r="B7905" s="41" t="s">
        <v>5227</v>
      </c>
      <c r="C7905" s="41" t="s">
        <v>2190</v>
      </c>
      <c r="D7905" s="129"/>
      <c r="E7905" s="58">
        <v>720</v>
      </c>
      <c r="F7905" s="58"/>
      <c r="G7905" s="58">
        <f t="shared" si="128"/>
        <v>-720</v>
      </c>
      <c r="H7905" s="121" t="s">
        <v>5167</v>
      </c>
    </row>
    <row r="7906" spans="1:8" ht="15" x14ac:dyDescent="0.2">
      <c r="A7906" s="597">
        <v>43699</v>
      </c>
      <c r="B7906" s="41" t="s">
        <v>2933</v>
      </c>
      <c r="C7906" s="41" t="s">
        <v>3145</v>
      </c>
      <c r="D7906" s="129" t="s">
        <v>5254</v>
      </c>
      <c r="E7906" s="58">
        <v>3000</v>
      </c>
      <c r="F7906" s="58"/>
      <c r="G7906" s="58">
        <f t="shared" si="128"/>
        <v>-3000</v>
      </c>
      <c r="H7906" s="121" t="s">
        <v>5167</v>
      </c>
    </row>
    <row r="7907" spans="1:8" ht="15" x14ac:dyDescent="0.2">
      <c r="A7907" s="597">
        <v>43699</v>
      </c>
      <c r="B7907" s="41" t="s">
        <v>2652</v>
      </c>
      <c r="C7907" s="41" t="s">
        <v>3145</v>
      </c>
      <c r="D7907" s="129" t="s">
        <v>5255</v>
      </c>
      <c r="E7907" s="58">
        <f>22500/2</f>
        <v>11250</v>
      </c>
      <c r="F7907" s="58"/>
      <c r="G7907" s="58">
        <f t="shared" si="128"/>
        <v>-11250</v>
      </c>
      <c r="H7907" s="121" t="s">
        <v>5167</v>
      </c>
    </row>
    <row r="7908" spans="1:8" ht="15" x14ac:dyDescent="0.2">
      <c r="A7908" s="597">
        <v>43699</v>
      </c>
      <c r="B7908" s="41" t="s">
        <v>2933</v>
      </c>
      <c r="C7908" s="41" t="s">
        <v>3145</v>
      </c>
      <c r="D7908" s="129" t="s">
        <v>5255</v>
      </c>
      <c r="E7908" s="58">
        <f>22500/2</f>
        <v>11250</v>
      </c>
      <c r="F7908" s="58"/>
      <c r="G7908" s="58">
        <f t="shared" si="128"/>
        <v>-11250</v>
      </c>
      <c r="H7908" s="121" t="s">
        <v>5167</v>
      </c>
    </row>
    <row r="7909" spans="1:8" ht="15" x14ac:dyDescent="0.2">
      <c r="A7909" s="597">
        <v>43700</v>
      </c>
      <c r="B7909" s="41" t="s">
        <v>1400</v>
      </c>
      <c r="C7909" s="41" t="s">
        <v>3145</v>
      </c>
      <c r="D7909" s="129" t="s">
        <v>5209</v>
      </c>
      <c r="E7909" s="58">
        <f>3400+2800+12000+17280+150</f>
        <v>35630</v>
      </c>
      <c r="F7909" s="58"/>
      <c r="G7909" s="58">
        <f t="shared" si="128"/>
        <v>-35630</v>
      </c>
      <c r="H7909" s="121" t="s">
        <v>5167</v>
      </c>
    </row>
    <row r="7910" spans="1:8" ht="15" x14ac:dyDescent="0.2">
      <c r="A7910" s="597">
        <v>43700</v>
      </c>
      <c r="B7910" s="41" t="s">
        <v>25</v>
      </c>
      <c r="C7910" s="41" t="s">
        <v>4428</v>
      </c>
      <c r="D7910" s="129" t="s">
        <v>370</v>
      </c>
      <c r="E7910" s="58">
        <v>660</v>
      </c>
      <c r="F7910" s="58"/>
      <c r="G7910" s="58">
        <f t="shared" si="128"/>
        <v>-660</v>
      </c>
      <c r="H7910" s="121" t="s">
        <v>5167</v>
      </c>
    </row>
    <row r="7911" spans="1:8" ht="15" x14ac:dyDescent="0.2">
      <c r="A7911" s="597">
        <v>43700</v>
      </c>
      <c r="B7911" s="41" t="s">
        <v>2652</v>
      </c>
      <c r="C7911" s="41" t="s">
        <v>4908</v>
      </c>
      <c r="D7911" s="129" t="s">
        <v>370</v>
      </c>
      <c r="E7911" s="58">
        <v>8000</v>
      </c>
      <c r="F7911" s="58"/>
      <c r="G7911" s="58">
        <f t="shared" si="128"/>
        <v>-8000</v>
      </c>
      <c r="H7911" s="121" t="s">
        <v>5167</v>
      </c>
    </row>
    <row r="7912" spans="1:8" ht="15" x14ac:dyDescent="0.2">
      <c r="A7912" s="597">
        <v>43700</v>
      </c>
      <c r="B7912" s="41" t="s">
        <v>2652</v>
      </c>
      <c r="C7912" s="41" t="s">
        <v>929</v>
      </c>
      <c r="D7912" s="129" t="s">
        <v>370</v>
      </c>
      <c r="E7912" s="58">
        <v>2000</v>
      </c>
      <c r="F7912" s="58"/>
      <c r="G7912" s="58">
        <f t="shared" si="128"/>
        <v>-2000</v>
      </c>
      <c r="H7912" s="121" t="s">
        <v>5167</v>
      </c>
    </row>
    <row r="7913" spans="1:8" ht="15" x14ac:dyDescent="0.2">
      <c r="A7913" s="597">
        <v>43700</v>
      </c>
      <c r="B7913" s="41" t="s">
        <v>3946</v>
      </c>
      <c r="C7913" s="41" t="s">
        <v>3145</v>
      </c>
      <c r="D7913" s="129" t="s">
        <v>5256</v>
      </c>
      <c r="E7913" s="58">
        <v>3500</v>
      </c>
      <c r="F7913" s="58"/>
      <c r="G7913" s="58">
        <f t="shared" si="128"/>
        <v>-3500</v>
      </c>
      <c r="H7913" s="121" t="s">
        <v>5167</v>
      </c>
    </row>
    <row r="7914" spans="1:8" ht="15" x14ac:dyDescent="0.2">
      <c r="A7914" s="597">
        <v>43700</v>
      </c>
      <c r="B7914" s="41" t="s">
        <v>2652</v>
      </c>
      <c r="C7914" s="41" t="s">
        <v>929</v>
      </c>
      <c r="D7914" s="129" t="s">
        <v>370</v>
      </c>
      <c r="E7914" s="58">
        <v>10000</v>
      </c>
      <c r="F7914" s="58"/>
      <c r="G7914" s="58">
        <f t="shared" si="128"/>
        <v>-10000</v>
      </c>
      <c r="H7914" s="121" t="s">
        <v>5167</v>
      </c>
    </row>
    <row r="7915" spans="1:8" ht="15" x14ac:dyDescent="0.2">
      <c r="A7915" s="597">
        <v>43701</v>
      </c>
      <c r="B7915" s="41" t="s">
        <v>1400</v>
      </c>
      <c r="C7915" s="41" t="s">
        <v>3145</v>
      </c>
      <c r="D7915" s="129" t="s">
        <v>5209</v>
      </c>
      <c r="E7915" s="58">
        <v>26236</v>
      </c>
      <c r="F7915" s="58"/>
      <c r="G7915" s="58">
        <f t="shared" ref="G7915:G7978" si="129">F7915-E7915</f>
        <v>-26236</v>
      </c>
      <c r="H7915" s="121" t="s">
        <v>5167</v>
      </c>
    </row>
    <row r="7916" spans="1:8" ht="15" x14ac:dyDescent="0.2">
      <c r="A7916" s="597">
        <v>43703</v>
      </c>
      <c r="B7916" s="41" t="s">
        <v>2933</v>
      </c>
      <c r="C7916" s="41" t="s">
        <v>3145</v>
      </c>
      <c r="D7916" s="129" t="s">
        <v>5209</v>
      </c>
      <c r="E7916" s="58">
        <f>3950+3389</f>
        <v>7339</v>
      </c>
      <c r="F7916" s="58"/>
      <c r="G7916" s="58">
        <f t="shared" si="129"/>
        <v>-7339</v>
      </c>
      <c r="H7916" s="121" t="s">
        <v>5167</v>
      </c>
    </row>
    <row r="7917" spans="1:8" ht="15" x14ac:dyDescent="0.2">
      <c r="A7917" s="597">
        <v>43703</v>
      </c>
      <c r="B7917" s="41" t="s">
        <v>2652</v>
      </c>
      <c r="C7917" s="41" t="s">
        <v>3145</v>
      </c>
      <c r="D7917" s="129" t="s">
        <v>5209</v>
      </c>
      <c r="E7917" s="58">
        <f>1975+2930</f>
        <v>4905</v>
      </c>
      <c r="F7917" s="58"/>
      <c r="G7917" s="58">
        <f t="shared" si="129"/>
        <v>-4905</v>
      </c>
      <c r="H7917" s="121" t="s">
        <v>5167</v>
      </c>
    </row>
    <row r="7918" spans="1:8" ht="15" x14ac:dyDescent="0.2">
      <c r="A7918" s="597">
        <v>43703</v>
      </c>
      <c r="B7918" s="41" t="s">
        <v>1400</v>
      </c>
      <c r="C7918" s="41" t="s">
        <v>3145</v>
      </c>
      <c r="D7918" s="129" t="s">
        <v>5209</v>
      </c>
      <c r="E7918" s="58">
        <v>26141</v>
      </c>
      <c r="F7918" s="58"/>
      <c r="G7918" s="58">
        <f t="shared" si="129"/>
        <v>-26141</v>
      </c>
      <c r="H7918" s="121" t="s">
        <v>5167</v>
      </c>
    </row>
    <row r="7919" spans="1:8" ht="15" x14ac:dyDescent="0.2">
      <c r="A7919" s="597">
        <v>43705</v>
      </c>
      <c r="B7919" s="41" t="s">
        <v>37</v>
      </c>
      <c r="C7919" s="41" t="s">
        <v>3145</v>
      </c>
      <c r="D7919" s="129" t="s">
        <v>5257</v>
      </c>
      <c r="E7919" s="58">
        <v>3500</v>
      </c>
      <c r="F7919" s="58"/>
      <c r="G7919" s="58">
        <f t="shared" si="129"/>
        <v>-3500</v>
      </c>
      <c r="H7919" s="121" t="s">
        <v>5167</v>
      </c>
    </row>
    <row r="7920" spans="1:8" ht="15" x14ac:dyDescent="0.2">
      <c r="A7920" s="597">
        <v>43705</v>
      </c>
      <c r="B7920" s="41" t="s">
        <v>1400</v>
      </c>
      <c r="C7920" s="41" t="s">
        <v>3145</v>
      </c>
      <c r="D7920" s="129" t="s">
        <v>5257</v>
      </c>
      <c r="E7920" s="58">
        <v>4250</v>
      </c>
      <c r="F7920" s="58"/>
      <c r="G7920" s="58">
        <f t="shared" si="129"/>
        <v>-4250</v>
      </c>
      <c r="H7920" s="121" t="s">
        <v>5167</v>
      </c>
    </row>
    <row r="7921" spans="1:8" ht="15" x14ac:dyDescent="0.2">
      <c r="A7921" s="597">
        <v>43705</v>
      </c>
      <c r="B7921" s="41" t="s">
        <v>2652</v>
      </c>
      <c r="C7921" s="41" t="s">
        <v>3145</v>
      </c>
      <c r="D7921" s="129" t="s">
        <v>5257</v>
      </c>
      <c r="E7921" s="58">
        <v>2500</v>
      </c>
      <c r="F7921" s="58"/>
      <c r="G7921" s="58">
        <f t="shared" si="129"/>
        <v>-2500</v>
      </c>
      <c r="H7921" s="121" t="s">
        <v>5167</v>
      </c>
    </row>
    <row r="7922" spans="1:8" ht="15" x14ac:dyDescent="0.2">
      <c r="A7922" s="597">
        <v>43705</v>
      </c>
      <c r="B7922" s="41" t="s">
        <v>2933</v>
      </c>
      <c r="C7922" s="41" t="s">
        <v>3145</v>
      </c>
      <c r="D7922" s="129" t="s">
        <v>5270</v>
      </c>
      <c r="E7922" s="58">
        <v>2200</v>
      </c>
      <c r="F7922" s="58"/>
      <c r="G7922" s="58">
        <f t="shared" si="129"/>
        <v>-2200</v>
      </c>
      <c r="H7922" s="121" t="s">
        <v>5167</v>
      </c>
    </row>
    <row r="7923" spans="1:8" ht="15" x14ac:dyDescent="0.2">
      <c r="A7923" s="597">
        <v>43705</v>
      </c>
      <c r="B7923" s="41" t="s">
        <v>2933</v>
      </c>
      <c r="C7923" s="41" t="s">
        <v>3145</v>
      </c>
      <c r="D7923" s="129" t="s">
        <v>5271</v>
      </c>
      <c r="E7923" s="58">
        <v>7010</v>
      </c>
      <c r="F7923" s="58"/>
      <c r="G7923" s="58">
        <f t="shared" si="129"/>
        <v>-7010</v>
      </c>
      <c r="H7923" s="121" t="s">
        <v>5167</v>
      </c>
    </row>
    <row r="7924" spans="1:8" ht="15" x14ac:dyDescent="0.2">
      <c r="A7924" s="597">
        <v>43707</v>
      </c>
      <c r="B7924" s="41" t="s">
        <v>1400</v>
      </c>
      <c r="C7924" s="41" t="s">
        <v>3145</v>
      </c>
      <c r="D7924" s="129" t="s">
        <v>5209</v>
      </c>
      <c r="E7924" s="58">
        <v>18000</v>
      </c>
      <c r="F7924" s="58"/>
      <c r="G7924" s="58">
        <f t="shared" si="129"/>
        <v>-18000</v>
      </c>
      <c r="H7924" s="121" t="s">
        <v>5167</v>
      </c>
    </row>
    <row r="7925" spans="1:8" ht="15" x14ac:dyDescent="0.2">
      <c r="A7925" s="597">
        <v>43707</v>
      </c>
      <c r="B7925" s="41" t="s">
        <v>2652</v>
      </c>
      <c r="C7925" s="41" t="s">
        <v>3145</v>
      </c>
      <c r="D7925" s="129" t="s">
        <v>5209</v>
      </c>
      <c r="E7925" s="58">
        <v>1450</v>
      </c>
      <c r="F7925" s="58"/>
      <c r="G7925" s="58">
        <f t="shared" si="129"/>
        <v>-1450</v>
      </c>
      <c r="H7925" s="121" t="s">
        <v>5167</v>
      </c>
    </row>
    <row r="7926" spans="1:8" ht="15" x14ac:dyDescent="0.2">
      <c r="A7926" s="597">
        <v>43707</v>
      </c>
      <c r="B7926" s="41" t="s">
        <v>2933</v>
      </c>
      <c r="C7926" s="41" t="s">
        <v>3145</v>
      </c>
      <c r="D7926" s="129" t="s">
        <v>5209</v>
      </c>
      <c r="E7926" s="58">
        <f>13277+9519</f>
        <v>22796</v>
      </c>
      <c r="F7926" s="58"/>
      <c r="G7926" s="58">
        <f t="shared" si="129"/>
        <v>-22796</v>
      </c>
      <c r="H7926" s="121" t="s">
        <v>5167</v>
      </c>
    </row>
    <row r="7927" spans="1:8" ht="15" x14ac:dyDescent="0.2">
      <c r="A7927" s="597">
        <v>43708</v>
      </c>
      <c r="B7927" s="41" t="s">
        <v>2933</v>
      </c>
      <c r="C7927" s="41" t="s">
        <v>2190</v>
      </c>
      <c r="D7927" s="129"/>
      <c r="E7927" s="58">
        <v>400</v>
      </c>
      <c r="F7927" s="58"/>
      <c r="G7927" s="58">
        <f t="shared" si="129"/>
        <v>-400</v>
      </c>
      <c r="H7927" s="121" t="s">
        <v>5167</v>
      </c>
    </row>
    <row r="7928" spans="1:8" ht="15" x14ac:dyDescent="0.2">
      <c r="A7928" s="597">
        <v>43708</v>
      </c>
      <c r="B7928" s="41" t="s">
        <v>5227</v>
      </c>
      <c r="C7928" s="41" t="s">
        <v>2190</v>
      </c>
      <c r="D7928" s="129"/>
      <c r="E7928" s="58">
        <v>200</v>
      </c>
      <c r="F7928" s="58"/>
      <c r="G7928" s="58">
        <f t="shared" si="129"/>
        <v>-200</v>
      </c>
      <c r="H7928" s="121" t="s">
        <v>5167</v>
      </c>
    </row>
    <row r="7929" spans="1:8" ht="15" x14ac:dyDescent="0.2">
      <c r="A7929" s="597">
        <v>43705</v>
      </c>
      <c r="B7929" s="41" t="s">
        <v>2933</v>
      </c>
      <c r="C7929" s="41" t="s">
        <v>3145</v>
      </c>
      <c r="D7929" s="129" t="s">
        <v>5209</v>
      </c>
      <c r="E7929" s="58">
        <v>24600</v>
      </c>
      <c r="F7929" s="58"/>
      <c r="G7929" s="58">
        <f t="shared" si="129"/>
        <v>-24600</v>
      </c>
      <c r="H7929" s="121" t="s">
        <v>5167</v>
      </c>
    </row>
    <row r="7930" spans="1:8" ht="15" x14ac:dyDescent="0.2">
      <c r="A7930" s="597">
        <v>43705</v>
      </c>
      <c r="B7930" s="41" t="s">
        <v>5052</v>
      </c>
      <c r="C7930" s="41" t="s">
        <v>3145</v>
      </c>
      <c r="D7930" s="129" t="s">
        <v>5209</v>
      </c>
      <c r="E7930" s="58">
        <v>3000</v>
      </c>
      <c r="F7930" s="58"/>
      <c r="G7930" s="58">
        <f t="shared" si="129"/>
        <v>-3000</v>
      </c>
      <c r="H7930" s="121" t="s">
        <v>5167</v>
      </c>
    </row>
    <row r="7931" spans="1:8" ht="15" x14ac:dyDescent="0.2">
      <c r="A7931" s="597">
        <v>43705</v>
      </c>
      <c r="B7931" s="41" t="s">
        <v>2652</v>
      </c>
      <c r="C7931" s="41" t="s">
        <v>5272</v>
      </c>
      <c r="D7931" s="129" t="s">
        <v>5369</v>
      </c>
      <c r="E7931" s="58">
        <v>6000</v>
      </c>
      <c r="F7931" s="58"/>
      <c r="G7931" s="58">
        <f t="shared" si="129"/>
        <v>-6000</v>
      </c>
      <c r="H7931" s="121" t="s">
        <v>5167</v>
      </c>
    </row>
    <row r="7932" spans="1:8" ht="15" x14ac:dyDescent="0.2">
      <c r="A7932" s="597">
        <v>43708</v>
      </c>
      <c r="B7932" s="41" t="s">
        <v>2652</v>
      </c>
      <c r="C7932" s="41" t="s">
        <v>4870</v>
      </c>
      <c r="D7932" s="129" t="s">
        <v>5273</v>
      </c>
      <c r="E7932" s="58">
        <v>43000</v>
      </c>
      <c r="F7932" s="58"/>
      <c r="G7932" s="58">
        <f t="shared" si="129"/>
        <v>-43000</v>
      </c>
      <c r="H7932" s="121" t="s">
        <v>5167</v>
      </c>
    </row>
    <row r="7933" spans="1:8" ht="15" x14ac:dyDescent="0.2">
      <c r="A7933" s="597">
        <v>43708</v>
      </c>
      <c r="B7933" s="41" t="s">
        <v>2652</v>
      </c>
      <c r="C7933" s="41" t="s">
        <v>3145</v>
      </c>
      <c r="D7933" s="129" t="s">
        <v>5209</v>
      </c>
      <c r="E7933" s="58">
        <v>5800</v>
      </c>
      <c r="F7933" s="58"/>
      <c r="G7933" s="58">
        <f t="shared" si="129"/>
        <v>-5800</v>
      </c>
      <c r="H7933" s="121" t="s">
        <v>5167</v>
      </c>
    </row>
    <row r="7934" spans="1:8" ht="15" x14ac:dyDescent="0.2">
      <c r="A7934" s="597">
        <v>43708</v>
      </c>
      <c r="B7934" s="41" t="s">
        <v>2933</v>
      </c>
      <c r="C7934" s="41" t="s">
        <v>3145</v>
      </c>
      <c r="D7934" s="129" t="s">
        <v>5209</v>
      </c>
      <c r="E7934" s="58">
        <v>4000</v>
      </c>
      <c r="F7934" s="58"/>
      <c r="G7934" s="58">
        <f t="shared" si="129"/>
        <v>-4000</v>
      </c>
      <c r="H7934" s="121" t="s">
        <v>5167</v>
      </c>
    </row>
    <row r="7935" spans="1:8" ht="15" x14ac:dyDescent="0.2">
      <c r="A7935" s="597">
        <v>43708</v>
      </c>
      <c r="B7935" s="41" t="s">
        <v>5052</v>
      </c>
      <c r="C7935" s="41" t="s">
        <v>3145</v>
      </c>
      <c r="D7935" s="129" t="s">
        <v>5209</v>
      </c>
      <c r="E7935" s="58">
        <v>1200</v>
      </c>
      <c r="F7935" s="58"/>
      <c r="G7935" s="58">
        <f t="shared" si="129"/>
        <v>-1200</v>
      </c>
      <c r="H7935" s="121" t="s">
        <v>5167</v>
      </c>
    </row>
    <row r="7936" spans="1:8" ht="15" x14ac:dyDescent="0.2">
      <c r="A7936" s="597">
        <v>43708</v>
      </c>
      <c r="B7936" s="41" t="s">
        <v>16</v>
      </c>
      <c r="C7936" s="41" t="s">
        <v>103</v>
      </c>
      <c r="D7936" s="129" t="s">
        <v>4086</v>
      </c>
      <c r="E7936" s="58">
        <v>28241</v>
      </c>
      <c r="F7936" s="58"/>
      <c r="G7936" s="58">
        <f t="shared" si="129"/>
        <v>-28241</v>
      </c>
      <c r="H7936" s="121" t="s">
        <v>5167</v>
      </c>
    </row>
    <row r="7937" spans="1:9" ht="15" x14ac:dyDescent="0.2">
      <c r="A7937" s="602">
        <v>43682</v>
      </c>
      <c r="B7937" s="174" t="s">
        <v>2933</v>
      </c>
      <c r="C7937" s="174" t="s">
        <v>4684</v>
      </c>
      <c r="D7937" s="818" t="s">
        <v>5180</v>
      </c>
      <c r="E7937" s="236">
        <v>150000</v>
      </c>
      <c r="F7937" s="236"/>
      <c r="G7937" s="236">
        <f t="shared" si="129"/>
        <v>-150000</v>
      </c>
      <c r="H7937" s="244" t="s">
        <v>5167</v>
      </c>
      <c r="I7937" s="40"/>
    </row>
    <row r="7938" spans="1:9" ht="15" x14ac:dyDescent="0.2">
      <c r="A7938" s="602">
        <v>43682</v>
      </c>
      <c r="B7938" s="174" t="s">
        <v>2652</v>
      </c>
      <c r="C7938" s="174" t="s">
        <v>3011</v>
      </c>
      <c r="D7938" s="818" t="s">
        <v>5181</v>
      </c>
      <c r="E7938" s="236">
        <v>85000</v>
      </c>
      <c r="F7938" s="236"/>
      <c r="G7938" s="236">
        <f t="shared" si="129"/>
        <v>-85000</v>
      </c>
      <c r="H7938" s="244" t="s">
        <v>5167</v>
      </c>
      <c r="I7938" s="40"/>
    </row>
    <row r="7939" spans="1:9" ht="15" x14ac:dyDescent="0.2">
      <c r="A7939" s="602">
        <v>43682</v>
      </c>
      <c r="B7939" s="174" t="s">
        <v>2933</v>
      </c>
      <c r="C7939" s="174" t="s">
        <v>3011</v>
      </c>
      <c r="D7939" s="818" t="s">
        <v>5181</v>
      </c>
      <c r="E7939" s="236">
        <v>230000</v>
      </c>
      <c r="F7939" s="236"/>
      <c r="G7939" s="236">
        <f t="shared" si="129"/>
        <v>-230000</v>
      </c>
      <c r="H7939" s="244" t="s">
        <v>5167</v>
      </c>
      <c r="I7939" s="40"/>
    </row>
    <row r="7940" spans="1:9" ht="15" x14ac:dyDescent="0.2">
      <c r="A7940" s="602">
        <v>43682</v>
      </c>
      <c r="B7940" s="174" t="s">
        <v>2933</v>
      </c>
      <c r="C7940" s="174" t="s">
        <v>431</v>
      </c>
      <c r="D7940" s="818" t="s">
        <v>5182</v>
      </c>
      <c r="E7940" s="236">
        <v>100000</v>
      </c>
      <c r="F7940" s="236"/>
      <c r="G7940" s="236">
        <f t="shared" si="129"/>
        <v>-100000</v>
      </c>
      <c r="H7940" s="244" t="s">
        <v>5167</v>
      </c>
      <c r="I7940" s="40"/>
    </row>
    <row r="7941" spans="1:9" ht="15" x14ac:dyDescent="0.2">
      <c r="A7941" s="602">
        <v>43682</v>
      </c>
      <c r="B7941" s="174" t="s">
        <v>2933</v>
      </c>
      <c r="C7941" s="174" t="s">
        <v>431</v>
      </c>
      <c r="D7941" s="818" t="s">
        <v>5183</v>
      </c>
      <c r="E7941" s="236">
        <v>100000</v>
      </c>
      <c r="F7941" s="236"/>
      <c r="G7941" s="236">
        <f t="shared" si="129"/>
        <v>-100000</v>
      </c>
      <c r="H7941" s="244" t="s">
        <v>5167</v>
      </c>
      <c r="I7941" s="40"/>
    </row>
    <row r="7942" spans="1:9" ht="15" x14ac:dyDescent="0.2">
      <c r="A7942" s="602">
        <v>43682</v>
      </c>
      <c r="B7942" s="174" t="s">
        <v>2933</v>
      </c>
      <c r="C7942" s="174" t="s">
        <v>431</v>
      </c>
      <c r="D7942" s="818" t="s">
        <v>5184</v>
      </c>
      <c r="E7942" s="236">
        <v>100000</v>
      </c>
      <c r="F7942" s="236"/>
      <c r="G7942" s="236">
        <f t="shared" si="129"/>
        <v>-100000</v>
      </c>
      <c r="H7942" s="244" t="s">
        <v>5167</v>
      </c>
      <c r="I7942" s="40"/>
    </row>
    <row r="7943" spans="1:9" ht="24" x14ac:dyDescent="0.2">
      <c r="A7943" s="602">
        <v>43683</v>
      </c>
      <c r="B7943" s="174" t="s">
        <v>1400</v>
      </c>
      <c r="C7943" s="174" t="s">
        <v>2196</v>
      </c>
      <c r="D7943" s="818" t="s">
        <v>5173</v>
      </c>
      <c r="E7943" s="236">
        <v>66700</v>
      </c>
      <c r="F7943" s="236"/>
      <c r="G7943" s="236">
        <f t="shared" si="129"/>
        <v>-66700</v>
      </c>
      <c r="H7943" s="244" t="s">
        <v>5167</v>
      </c>
      <c r="I7943" s="40"/>
    </row>
    <row r="7944" spans="1:9" ht="24" x14ac:dyDescent="0.2">
      <c r="A7944" s="602">
        <v>43683</v>
      </c>
      <c r="B7944" s="174" t="s">
        <v>5052</v>
      </c>
      <c r="C7944" s="174" t="s">
        <v>2196</v>
      </c>
      <c r="D7944" s="818" t="s">
        <v>5173</v>
      </c>
      <c r="E7944" s="236">
        <v>48850</v>
      </c>
      <c r="F7944" s="236"/>
      <c r="G7944" s="236">
        <f t="shared" si="129"/>
        <v>-48850</v>
      </c>
      <c r="H7944" s="244" t="s">
        <v>5167</v>
      </c>
      <c r="I7944" s="40"/>
    </row>
    <row r="7945" spans="1:9" ht="24" x14ac:dyDescent="0.2">
      <c r="A7945" s="602">
        <v>43683</v>
      </c>
      <c r="B7945" s="174" t="s">
        <v>2652</v>
      </c>
      <c r="C7945" s="174" t="s">
        <v>2196</v>
      </c>
      <c r="D7945" s="818" t="s">
        <v>5173</v>
      </c>
      <c r="E7945" s="236">
        <v>34450</v>
      </c>
      <c r="F7945" s="236"/>
      <c r="G7945" s="236">
        <f t="shared" si="129"/>
        <v>-34450</v>
      </c>
      <c r="H7945" s="244" t="s">
        <v>5167</v>
      </c>
      <c r="I7945" s="40"/>
    </row>
    <row r="7946" spans="1:9" ht="15" x14ac:dyDescent="0.2">
      <c r="A7946" s="602">
        <v>43684</v>
      </c>
      <c r="B7946" s="174" t="s">
        <v>2933</v>
      </c>
      <c r="C7946" s="174" t="s">
        <v>5187</v>
      </c>
      <c r="D7946" s="818" t="s">
        <v>1157</v>
      </c>
      <c r="E7946" s="236">
        <v>100000</v>
      </c>
      <c r="F7946" s="236"/>
      <c r="G7946" s="236">
        <f t="shared" si="129"/>
        <v>-100000</v>
      </c>
      <c r="H7946" s="244" t="s">
        <v>5167</v>
      </c>
      <c r="I7946" s="40"/>
    </row>
    <row r="7947" spans="1:9" ht="15" x14ac:dyDescent="0.2">
      <c r="A7947" s="602">
        <v>43684</v>
      </c>
      <c r="B7947" s="174" t="s">
        <v>2652</v>
      </c>
      <c r="C7947" s="174" t="s">
        <v>251</v>
      </c>
      <c r="D7947" s="818" t="s">
        <v>5188</v>
      </c>
      <c r="E7947" s="236">
        <v>50000</v>
      </c>
      <c r="F7947" s="236"/>
      <c r="G7947" s="236">
        <f t="shared" si="129"/>
        <v>-50000</v>
      </c>
      <c r="H7947" s="244" t="s">
        <v>5167</v>
      </c>
      <c r="I7947" s="40"/>
    </row>
    <row r="7948" spans="1:9" ht="15" x14ac:dyDescent="0.2">
      <c r="A7948" s="602">
        <v>43684</v>
      </c>
      <c r="B7948" s="174" t="s">
        <v>2652</v>
      </c>
      <c r="C7948" s="174" t="s">
        <v>251</v>
      </c>
      <c r="D7948" s="818" t="s">
        <v>5189</v>
      </c>
      <c r="E7948" s="236">
        <v>36000</v>
      </c>
      <c r="F7948" s="236"/>
      <c r="G7948" s="236">
        <f t="shared" si="129"/>
        <v>-36000</v>
      </c>
      <c r="H7948" s="244" t="s">
        <v>5167</v>
      </c>
      <c r="I7948" s="40"/>
    </row>
    <row r="7949" spans="1:9" ht="15" x14ac:dyDescent="0.2">
      <c r="A7949" s="602">
        <v>43684</v>
      </c>
      <c r="B7949" s="174" t="s">
        <v>2933</v>
      </c>
      <c r="C7949" s="174" t="s">
        <v>4334</v>
      </c>
      <c r="D7949" s="818" t="s">
        <v>5190</v>
      </c>
      <c r="E7949" s="236">
        <v>4800</v>
      </c>
      <c r="F7949" s="236"/>
      <c r="G7949" s="236">
        <f t="shared" si="129"/>
        <v>-4800</v>
      </c>
      <c r="H7949" s="244" t="s">
        <v>5167</v>
      </c>
      <c r="I7949" s="40"/>
    </row>
    <row r="7950" spans="1:9" ht="15" x14ac:dyDescent="0.2">
      <c r="A7950" s="602">
        <v>43684</v>
      </c>
      <c r="B7950" s="174" t="s">
        <v>1400</v>
      </c>
      <c r="C7950" s="174" t="s">
        <v>4334</v>
      </c>
      <c r="D7950" s="818" t="s">
        <v>5190</v>
      </c>
      <c r="E7950" s="236">
        <v>40000</v>
      </c>
      <c r="F7950" s="236"/>
      <c r="G7950" s="236">
        <f t="shared" si="129"/>
        <v>-40000</v>
      </c>
      <c r="H7950" s="244" t="s">
        <v>5167</v>
      </c>
      <c r="I7950" s="40"/>
    </row>
    <row r="7951" spans="1:9" ht="15" x14ac:dyDescent="0.2">
      <c r="A7951" s="602">
        <v>43684</v>
      </c>
      <c r="B7951" s="174" t="s">
        <v>4721</v>
      </c>
      <c r="C7951" s="174" t="s">
        <v>4334</v>
      </c>
      <c r="D7951" s="818" t="s">
        <v>5190</v>
      </c>
      <c r="E7951" s="236">
        <f>90000-E7950-E7949</f>
        <v>45200</v>
      </c>
      <c r="F7951" s="236"/>
      <c r="G7951" s="236">
        <f t="shared" si="129"/>
        <v>-45200</v>
      </c>
      <c r="H7951" s="244" t="s">
        <v>5167</v>
      </c>
      <c r="I7951" s="40"/>
    </row>
    <row r="7952" spans="1:9" ht="24" x14ac:dyDescent="0.2">
      <c r="A7952" s="602">
        <v>43685</v>
      </c>
      <c r="B7952" s="174" t="s">
        <v>2652</v>
      </c>
      <c r="C7952" s="174" t="s">
        <v>5185</v>
      </c>
      <c r="D7952" s="818" t="s">
        <v>5186</v>
      </c>
      <c r="E7952" s="236">
        <v>300000</v>
      </c>
      <c r="F7952" s="236"/>
      <c r="G7952" s="236">
        <f t="shared" si="129"/>
        <v>-300000</v>
      </c>
      <c r="H7952" s="244" t="s">
        <v>5167</v>
      </c>
      <c r="I7952" s="40"/>
    </row>
    <row r="7953" spans="1:9" ht="15" x14ac:dyDescent="0.2">
      <c r="A7953" s="602">
        <v>43686</v>
      </c>
      <c r="B7953" s="174" t="s">
        <v>5052</v>
      </c>
      <c r="C7953" s="174" t="s">
        <v>2338</v>
      </c>
      <c r="D7953" s="818" t="s">
        <v>5191</v>
      </c>
      <c r="E7953" s="236">
        <v>67200</v>
      </c>
      <c r="F7953" s="236"/>
      <c r="G7953" s="236">
        <f t="shared" si="129"/>
        <v>-67200</v>
      </c>
      <c r="H7953" s="244" t="s">
        <v>5167</v>
      </c>
      <c r="I7953" s="40"/>
    </row>
    <row r="7954" spans="1:9" ht="15" x14ac:dyDescent="0.2">
      <c r="A7954" s="602">
        <v>43686</v>
      </c>
      <c r="B7954" s="174" t="s">
        <v>2787</v>
      </c>
      <c r="C7954" s="174" t="s">
        <v>2338</v>
      </c>
      <c r="D7954" s="818" t="s">
        <v>5191</v>
      </c>
      <c r="E7954" s="236">
        <v>20300</v>
      </c>
      <c r="F7954" s="236"/>
      <c r="G7954" s="236">
        <f t="shared" si="129"/>
        <v>-20300</v>
      </c>
      <c r="H7954" s="244" t="s">
        <v>5167</v>
      </c>
      <c r="I7954" s="40"/>
    </row>
    <row r="7955" spans="1:9" ht="15" x14ac:dyDescent="0.2">
      <c r="A7955" s="602">
        <v>43686</v>
      </c>
      <c r="B7955" s="174" t="s">
        <v>5052</v>
      </c>
      <c r="C7955" s="174" t="s">
        <v>3428</v>
      </c>
      <c r="D7955" s="818" t="s">
        <v>5192</v>
      </c>
      <c r="E7955" s="236">
        <v>200000</v>
      </c>
      <c r="F7955" s="236"/>
      <c r="G7955" s="236">
        <f t="shared" si="129"/>
        <v>-200000</v>
      </c>
      <c r="H7955" s="244" t="s">
        <v>5167</v>
      </c>
      <c r="I7955" s="40"/>
    </row>
    <row r="7956" spans="1:9" ht="15" x14ac:dyDescent="0.2">
      <c r="A7956" s="602">
        <v>43686</v>
      </c>
      <c r="B7956" s="174" t="s">
        <v>2652</v>
      </c>
      <c r="C7956" s="174" t="s">
        <v>4385</v>
      </c>
      <c r="D7956" s="818" t="s">
        <v>5193</v>
      </c>
      <c r="E7956" s="236">
        <v>26765</v>
      </c>
      <c r="F7956" s="236"/>
      <c r="G7956" s="236">
        <f t="shared" si="129"/>
        <v>-26765</v>
      </c>
      <c r="H7956" s="244" t="s">
        <v>5167</v>
      </c>
      <c r="I7956" s="40"/>
    </row>
    <row r="7957" spans="1:9" ht="15" x14ac:dyDescent="0.2">
      <c r="A7957" s="602">
        <v>43696</v>
      </c>
      <c r="B7957" s="174" t="s">
        <v>1400</v>
      </c>
      <c r="C7957" s="174" t="s">
        <v>4727</v>
      </c>
      <c r="D7957" s="818" t="s">
        <v>5199</v>
      </c>
      <c r="E7957" s="236">
        <v>168000</v>
      </c>
      <c r="F7957" s="236"/>
      <c r="G7957" s="236">
        <f t="shared" si="129"/>
        <v>-168000</v>
      </c>
      <c r="H7957" s="244" t="s">
        <v>5167</v>
      </c>
      <c r="I7957" s="40"/>
    </row>
    <row r="7958" spans="1:9" ht="15" x14ac:dyDescent="0.2">
      <c r="A7958" s="602">
        <v>43696</v>
      </c>
      <c r="B7958" s="174" t="s">
        <v>1400</v>
      </c>
      <c r="C7958" s="174" t="s">
        <v>2338</v>
      </c>
      <c r="D7958" s="818" t="s">
        <v>5200</v>
      </c>
      <c r="E7958" s="236">
        <v>112000</v>
      </c>
      <c r="F7958" s="236"/>
      <c r="G7958" s="236">
        <f t="shared" si="129"/>
        <v>-112000</v>
      </c>
      <c r="H7958" s="244" t="s">
        <v>5167</v>
      </c>
      <c r="I7958" s="40"/>
    </row>
    <row r="7959" spans="1:9" ht="15" x14ac:dyDescent="0.2">
      <c r="A7959" s="602">
        <v>43696</v>
      </c>
      <c r="B7959" s="174" t="s">
        <v>2652</v>
      </c>
      <c r="C7959" s="174" t="s">
        <v>4870</v>
      </c>
      <c r="D7959" s="818" t="s">
        <v>5201</v>
      </c>
      <c r="E7959" s="236">
        <v>66000</v>
      </c>
      <c r="F7959" s="236"/>
      <c r="G7959" s="236">
        <f t="shared" si="129"/>
        <v>-66000</v>
      </c>
      <c r="H7959" s="244" t="s">
        <v>5167</v>
      </c>
      <c r="I7959" s="40"/>
    </row>
    <row r="7960" spans="1:9" ht="15" x14ac:dyDescent="0.2">
      <c r="A7960" s="602">
        <v>43699</v>
      </c>
      <c r="B7960" s="174" t="s">
        <v>1400</v>
      </c>
      <c r="C7960" s="174" t="s">
        <v>3145</v>
      </c>
      <c r="D7960" s="818" t="s">
        <v>5228</v>
      </c>
      <c r="E7960" s="236">
        <v>20000</v>
      </c>
      <c r="F7960" s="236"/>
      <c r="G7960" s="236">
        <f t="shared" si="129"/>
        <v>-20000</v>
      </c>
      <c r="H7960" s="244" t="s">
        <v>5167</v>
      </c>
      <c r="I7960" s="40"/>
    </row>
    <row r="7961" spans="1:9" ht="15" x14ac:dyDescent="0.2">
      <c r="A7961" s="602">
        <v>43703</v>
      </c>
      <c r="B7961" s="174" t="s">
        <v>16</v>
      </c>
      <c r="C7961" s="174" t="s">
        <v>1689</v>
      </c>
      <c r="D7961" s="818" t="s">
        <v>370</v>
      </c>
      <c r="E7961" s="236">
        <v>4450</v>
      </c>
      <c r="F7961" s="236"/>
      <c r="G7961" s="236">
        <f t="shared" si="129"/>
        <v>-4450</v>
      </c>
      <c r="H7961" s="244" t="s">
        <v>5167</v>
      </c>
      <c r="I7961" s="40"/>
    </row>
    <row r="7962" spans="1:9" ht="15" x14ac:dyDescent="0.2">
      <c r="A7962" s="602">
        <v>43703</v>
      </c>
      <c r="B7962" s="174" t="s">
        <v>25</v>
      </c>
      <c r="C7962" s="174" t="s">
        <v>1689</v>
      </c>
      <c r="D7962" s="818" t="s">
        <v>370</v>
      </c>
      <c r="E7962" s="236">
        <v>35752</v>
      </c>
      <c r="F7962" s="236"/>
      <c r="G7962" s="236">
        <f t="shared" si="129"/>
        <v>-35752</v>
      </c>
      <c r="H7962" s="244" t="s">
        <v>5167</v>
      </c>
      <c r="I7962" s="40"/>
    </row>
    <row r="7963" spans="1:9" ht="15" x14ac:dyDescent="0.2">
      <c r="A7963" s="602">
        <v>43703</v>
      </c>
      <c r="B7963" s="174" t="s">
        <v>5052</v>
      </c>
      <c r="C7963" s="174" t="s">
        <v>5229</v>
      </c>
      <c r="D7963" s="818" t="s">
        <v>5230</v>
      </c>
      <c r="E7963" s="236">
        <v>150000</v>
      </c>
      <c r="F7963" s="236"/>
      <c r="G7963" s="236">
        <f t="shared" si="129"/>
        <v>-150000</v>
      </c>
      <c r="H7963" s="244" t="s">
        <v>5167</v>
      </c>
      <c r="I7963" s="40"/>
    </row>
    <row r="7964" spans="1:9" ht="15" x14ac:dyDescent="0.2">
      <c r="A7964" s="602">
        <v>43704</v>
      </c>
      <c r="B7964" s="174" t="s">
        <v>2933</v>
      </c>
      <c r="C7964" s="174" t="s">
        <v>4684</v>
      </c>
      <c r="D7964" s="818" t="s">
        <v>5231</v>
      </c>
      <c r="E7964" s="236">
        <v>200000</v>
      </c>
      <c r="F7964" s="236"/>
      <c r="G7964" s="236">
        <f t="shared" si="129"/>
        <v>-200000</v>
      </c>
      <c r="H7964" s="244" t="s">
        <v>5167</v>
      </c>
      <c r="I7964" s="40"/>
    </row>
    <row r="7965" spans="1:9" ht="15" x14ac:dyDescent="0.2">
      <c r="A7965" s="602">
        <v>43704</v>
      </c>
      <c r="B7965" s="174" t="s">
        <v>5052</v>
      </c>
      <c r="C7965" s="174" t="s">
        <v>4725</v>
      </c>
      <c r="D7965" s="818" t="s">
        <v>5232</v>
      </c>
      <c r="E7965" s="236">
        <v>42000</v>
      </c>
      <c r="F7965" s="236"/>
      <c r="G7965" s="236">
        <f t="shared" si="129"/>
        <v>-42000</v>
      </c>
      <c r="H7965" s="244" t="s">
        <v>5167</v>
      </c>
      <c r="I7965" s="40"/>
    </row>
    <row r="7966" spans="1:9" ht="15" x14ac:dyDescent="0.2">
      <c r="A7966" s="602">
        <v>43704</v>
      </c>
      <c r="B7966" s="174" t="s">
        <v>2652</v>
      </c>
      <c r="C7966" s="174" t="s">
        <v>4870</v>
      </c>
      <c r="D7966" s="818" t="s">
        <v>5233</v>
      </c>
      <c r="E7966" s="236">
        <v>44400</v>
      </c>
      <c r="F7966" s="236"/>
      <c r="G7966" s="236">
        <f t="shared" si="129"/>
        <v>-44400</v>
      </c>
      <c r="H7966" s="244" t="s">
        <v>5167</v>
      </c>
      <c r="I7966" s="40"/>
    </row>
    <row r="7967" spans="1:9" ht="24" x14ac:dyDescent="0.2">
      <c r="A7967" s="602">
        <v>43704</v>
      </c>
      <c r="B7967" s="174" t="s">
        <v>3733</v>
      </c>
      <c r="C7967" s="174" t="s">
        <v>166</v>
      </c>
      <c r="D7967" s="818" t="s">
        <v>5241</v>
      </c>
      <c r="E7967" s="236">
        <v>4300</v>
      </c>
      <c r="F7967" s="236"/>
      <c r="G7967" s="236">
        <f t="shared" si="129"/>
        <v>-4300</v>
      </c>
      <c r="H7967" s="244" t="s">
        <v>5167</v>
      </c>
      <c r="I7967" s="40"/>
    </row>
    <row r="7968" spans="1:9" ht="24" x14ac:dyDescent="0.2">
      <c r="A7968" s="602">
        <v>43704</v>
      </c>
      <c r="B7968" s="174" t="s">
        <v>1400</v>
      </c>
      <c r="C7968" s="174" t="s">
        <v>166</v>
      </c>
      <c r="D7968" s="818" t="s">
        <v>5241</v>
      </c>
      <c r="E7968" s="236">
        <v>52889</v>
      </c>
      <c r="F7968" s="236"/>
      <c r="G7968" s="236">
        <f t="shared" si="129"/>
        <v>-52889</v>
      </c>
      <c r="H7968" s="244" t="s">
        <v>5167</v>
      </c>
      <c r="I7968" s="40"/>
    </row>
    <row r="7969" spans="1:9" ht="24" x14ac:dyDescent="0.2">
      <c r="A7969" s="602">
        <v>43704</v>
      </c>
      <c r="B7969" s="174" t="s">
        <v>5052</v>
      </c>
      <c r="C7969" s="174" t="s">
        <v>166</v>
      </c>
      <c r="D7969" s="818" t="s">
        <v>5241</v>
      </c>
      <c r="E7969" s="236">
        <v>36300</v>
      </c>
      <c r="F7969" s="236"/>
      <c r="G7969" s="236">
        <f t="shared" si="129"/>
        <v>-36300</v>
      </c>
      <c r="H7969" s="244" t="s">
        <v>5167</v>
      </c>
      <c r="I7969" s="40"/>
    </row>
    <row r="7970" spans="1:9" ht="24" x14ac:dyDescent="0.2">
      <c r="A7970" s="602">
        <v>43704</v>
      </c>
      <c r="B7970" s="174" t="s">
        <v>2933</v>
      </c>
      <c r="C7970" s="174" t="s">
        <v>166</v>
      </c>
      <c r="D7970" s="818" t="s">
        <v>5241</v>
      </c>
      <c r="E7970" s="236">
        <v>6511</v>
      </c>
      <c r="F7970" s="236"/>
      <c r="G7970" s="236">
        <f t="shared" si="129"/>
        <v>-6511</v>
      </c>
      <c r="H7970" s="244" t="s">
        <v>5167</v>
      </c>
      <c r="I7970" s="40"/>
    </row>
    <row r="7971" spans="1:9" ht="24" x14ac:dyDescent="0.2">
      <c r="A7971" s="602">
        <v>43704</v>
      </c>
      <c r="B7971" s="174" t="s">
        <v>1400</v>
      </c>
      <c r="C7971" s="174" t="s">
        <v>1815</v>
      </c>
      <c r="D7971" s="818" t="s">
        <v>5239</v>
      </c>
      <c r="E7971" s="236">
        <v>403500</v>
      </c>
      <c r="F7971" s="236"/>
      <c r="G7971" s="236">
        <f t="shared" si="129"/>
        <v>-403500</v>
      </c>
      <c r="H7971" s="244" t="s">
        <v>5167</v>
      </c>
      <c r="I7971" s="40"/>
    </row>
    <row r="7972" spans="1:9" ht="24" x14ac:dyDescent="0.2">
      <c r="A7972" s="602">
        <v>43704</v>
      </c>
      <c r="B7972" s="174" t="s">
        <v>2652</v>
      </c>
      <c r="C7972" s="174" t="s">
        <v>705</v>
      </c>
      <c r="D7972" s="818" t="s">
        <v>5240</v>
      </c>
      <c r="E7972" s="236">
        <v>59345</v>
      </c>
      <c r="F7972" s="236"/>
      <c r="G7972" s="236">
        <f t="shared" si="129"/>
        <v>-59345</v>
      </c>
      <c r="H7972" s="244" t="s">
        <v>5167</v>
      </c>
      <c r="I7972" s="40"/>
    </row>
    <row r="7973" spans="1:9" ht="15" x14ac:dyDescent="0.2">
      <c r="A7973" s="602">
        <v>43705</v>
      </c>
      <c r="B7973" s="174" t="s">
        <v>2933</v>
      </c>
      <c r="C7973" s="174" t="s">
        <v>3446</v>
      </c>
      <c r="D7973" s="818" t="s">
        <v>5268</v>
      </c>
      <c r="E7973" s="236">
        <v>40000</v>
      </c>
      <c r="F7973" s="236"/>
      <c r="G7973" s="236">
        <f t="shared" si="129"/>
        <v>-40000</v>
      </c>
      <c r="H7973" s="244" t="s">
        <v>5167</v>
      </c>
      <c r="I7973" s="40"/>
    </row>
    <row r="7974" spans="1:9" ht="15" x14ac:dyDescent="0.2">
      <c r="A7974" s="599">
        <v>43679</v>
      </c>
      <c r="B7974" s="91" t="s">
        <v>5165</v>
      </c>
      <c r="C7974" s="91" t="s">
        <v>559</v>
      </c>
      <c r="D7974" s="801" t="s">
        <v>5166</v>
      </c>
      <c r="E7974" s="92"/>
      <c r="F7974" s="92">
        <v>100000</v>
      </c>
      <c r="G7974" s="92">
        <f t="shared" si="129"/>
        <v>100000</v>
      </c>
      <c r="H7974" s="261" t="s">
        <v>5167</v>
      </c>
    </row>
    <row r="7975" spans="1:9" ht="36" x14ac:dyDescent="0.2">
      <c r="A7975" s="599">
        <v>43680</v>
      </c>
      <c r="B7975" s="91" t="s">
        <v>6516</v>
      </c>
      <c r="C7975" s="91" t="s">
        <v>559</v>
      </c>
      <c r="D7975" s="802" t="s">
        <v>5169</v>
      </c>
      <c r="E7975" s="92"/>
      <c r="F7975" s="92">
        <v>578815</v>
      </c>
      <c r="G7975" s="92">
        <f t="shared" si="129"/>
        <v>578815</v>
      </c>
      <c r="H7975" s="261" t="s">
        <v>5167</v>
      </c>
    </row>
    <row r="7976" spans="1:9" ht="15" x14ac:dyDescent="0.2">
      <c r="A7976" s="599">
        <v>43682</v>
      </c>
      <c r="B7976" s="91" t="s">
        <v>1400</v>
      </c>
      <c r="C7976" s="91" t="s">
        <v>559</v>
      </c>
      <c r="D7976" s="801" t="s">
        <v>5171</v>
      </c>
      <c r="E7976" s="92"/>
      <c r="F7976" s="92">
        <v>150000</v>
      </c>
      <c r="G7976" s="92">
        <f t="shared" si="129"/>
        <v>150000</v>
      </c>
      <c r="H7976" s="261" t="s">
        <v>5167</v>
      </c>
    </row>
    <row r="7977" spans="1:9" ht="15" x14ac:dyDescent="0.2">
      <c r="A7977" s="599">
        <v>43682</v>
      </c>
      <c r="B7977" s="91" t="s">
        <v>1400</v>
      </c>
      <c r="C7977" s="91" t="s">
        <v>559</v>
      </c>
      <c r="D7977" s="801" t="s">
        <v>5172</v>
      </c>
      <c r="E7977" s="92"/>
      <c r="F7977" s="92">
        <v>104881</v>
      </c>
      <c r="G7977" s="92">
        <f t="shared" si="129"/>
        <v>104881</v>
      </c>
      <c r="H7977" s="261" t="s">
        <v>5167</v>
      </c>
    </row>
    <row r="7978" spans="1:9" ht="15" x14ac:dyDescent="0.2">
      <c r="A7978" s="599">
        <v>43685</v>
      </c>
      <c r="B7978" s="91" t="s">
        <v>37</v>
      </c>
      <c r="C7978" s="91" t="s">
        <v>559</v>
      </c>
      <c r="D7978" s="801" t="s">
        <v>5175</v>
      </c>
      <c r="E7978" s="92"/>
      <c r="F7978" s="92">
        <v>157140</v>
      </c>
      <c r="G7978" s="92">
        <f t="shared" si="129"/>
        <v>157140</v>
      </c>
      <c r="H7978" s="261" t="s">
        <v>5167</v>
      </c>
    </row>
    <row r="7979" spans="1:9" ht="15" x14ac:dyDescent="0.2">
      <c r="A7979" s="599">
        <v>43685</v>
      </c>
      <c r="B7979" s="91" t="s">
        <v>37</v>
      </c>
      <c r="C7979" s="91" t="s">
        <v>559</v>
      </c>
      <c r="D7979" s="801" t="s">
        <v>5267</v>
      </c>
      <c r="E7979" s="92"/>
      <c r="F7979" s="92">
        <v>254375</v>
      </c>
      <c r="G7979" s="92">
        <f t="shared" ref="G7979:G8042" si="130">F7979-E7979</f>
        <v>254375</v>
      </c>
      <c r="H7979" s="261" t="s">
        <v>5167</v>
      </c>
    </row>
    <row r="7980" spans="1:9" ht="36" x14ac:dyDescent="0.2">
      <c r="A7980" s="599">
        <v>43685</v>
      </c>
      <c r="B7980" s="94" t="s">
        <v>3946</v>
      </c>
      <c r="C7980" s="94" t="s">
        <v>559</v>
      </c>
      <c r="D7980" s="802" t="s">
        <v>5176</v>
      </c>
      <c r="E7980" s="176"/>
      <c r="F7980" s="176">
        <v>291000</v>
      </c>
      <c r="G7980" s="176">
        <f t="shared" si="130"/>
        <v>291000</v>
      </c>
      <c r="H7980" s="261" t="s">
        <v>5167</v>
      </c>
    </row>
    <row r="7981" spans="1:9" ht="24" x14ac:dyDescent="0.2">
      <c r="A7981" s="599">
        <v>43692</v>
      </c>
      <c r="B7981" s="91" t="s">
        <v>3945</v>
      </c>
      <c r="C7981" s="94" t="s">
        <v>559</v>
      </c>
      <c r="D7981" s="802" t="s">
        <v>5204</v>
      </c>
      <c r="E7981" s="92"/>
      <c r="F7981" s="92">
        <v>321064</v>
      </c>
      <c r="G7981" s="92">
        <f t="shared" si="130"/>
        <v>321064</v>
      </c>
      <c r="H7981" s="261" t="s">
        <v>5167</v>
      </c>
    </row>
    <row r="7982" spans="1:9" ht="24" x14ac:dyDescent="0.2">
      <c r="A7982" s="599">
        <v>43699</v>
      </c>
      <c r="B7982" s="94" t="s">
        <v>3946</v>
      </c>
      <c r="C7982" s="94" t="s">
        <v>559</v>
      </c>
      <c r="D7982" s="802" t="s">
        <v>5204</v>
      </c>
      <c r="E7982" s="176"/>
      <c r="F7982" s="176">
        <v>295582</v>
      </c>
      <c r="G7982" s="176">
        <f t="shared" si="130"/>
        <v>295582</v>
      </c>
      <c r="H7982" s="261" t="s">
        <v>5167</v>
      </c>
    </row>
    <row r="7983" spans="1:9" ht="24" x14ac:dyDescent="0.2">
      <c r="A7983" s="599">
        <v>43704</v>
      </c>
      <c r="B7983" s="91" t="s">
        <v>3622</v>
      </c>
      <c r="C7983" s="91" t="s">
        <v>559</v>
      </c>
      <c r="D7983" s="798" t="s">
        <v>5234</v>
      </c>
      <c r="E7983" s="92"/>
      <c r="F7983" s="92">
        <v>100000</v>
      </c>
      <c r="G7983" s="92">
        <f t="shared" si="130"/>
        <v>100000</v>
      </c>
      <c r="H7983" s="261" t="s">
        <v>5167</v>
      </c>
    </row>
    <row r="7984" spans="1:9" ht="24" x14ac:dyDescent="0.2">
      <c r="A7984" s="599">
        <v>43704</v>
      </c>
      <c r="B7984" s="91" t="s">
        <v>3622</v>
      </c>
      <c r="C7984" s="91" t="s">
        <v>559</v>
      </c>
      <c r="D7984" s="798" t="s">
        <v>5235</v>
      </c>
      <c r="E7984" s="92"/>
      <c r="F7984" s="92">
        <v>403500</v>
      </c>
      <c r="G7984" s="92">
        <f t="shared" si="130"/>
        <v>403500</v>
      </c>
      <c r="H7984" s="261" t="s">
        <v>5167</v>
      </c>
    </row>
    <row r="7985" spans="1:8" ht="24" x14ac:dyDescent="0.2">
      <c r="A7985" s="599">
        <v>43704</v>
      </c>
      <c r="B7985" s="91" t="s">
        <v>3622</v>
      </c>
      <c r="C7985" s="91" t="s">
        <v>559</v>
      </c>
      <c r="D7985" s="798" t="s">
        <v>5236</v>
      </c>
      <c r="E7985" s="92"/>
      <c r="F7985" s="92">
        <v>59345</v>
      </c>
      <c r="G7985" s="92">
        <f t="shared" si="130"/>
        <v>59345</v>
      </c>
      <c r="H7985" s="261" t="s">
        <v>5167</v>
      </c>
    </row>
    <row r="7986" spans="1:8" ht="15" x14ac:dyDescent="0.2">
      <c r="A7986" s="599">
        <v>43704</v>
      </c>
      <c r="B7986" s="91" t="s">
        <v>3622</v>
      </c>
      <c r="C7986" s="91" t="s">
        <v>559</v>
      </c>
      <c r="D7986" s="798" t="s">
        <v>5238</v>
      </c>
      <c r="E7986" s="92"/>
      <c r="F7986" s="92">
        <v>140657</v>
      </c>
      <c r="G7986" s="92">
        <f t="shared" si="130"/>
        <v>140657</v>
      </c>
      <c r="H7986" s="261" t="s">
        <v>5167</v>
      </c>
    </row>
    <row r="7987" spans="1:8" ht="15" x14ac:dyDescent="0.2">
      <c r="A7987" s="597">
        <v>43710</v>
      </c>
      <c r="B7987" s="41" t="s">
        <v>1400</v>
      </c>
      <c r="C7987" s="41" t="s">
        <v>3145</v>
      </c>
      <c r="D7987" s="129" t="s">
        <v>4450</v>
      </c>
      <c r="E7987" s="58">
        <v>26773</v>
      </c>
      <c r="F7987" s="58"/>
      <c r="G7987" s="58">
        <f t="shared" si="130"/>
        <v>-26773</v>
      </c>
      <c r="H7987" s="121" t="s">
        <v>5266</v>
      </c>
    </row>
    <row r="7988" spans="1:8" ht="15" x14ac:dyDescent="0.2">
      <c r="A7988" s="597">
        <v>43710</v>
      </c>
      <c r="B7988" s="41" t="s">
        <v>5052</v>
      </c>
      <c r="C7988" s="41" t="s">
        <v>3145</v>
      </c>
      <c r="D7988" s="129" t="s">
        <v>5274</v>
      </c>
      <c r="E7988" s="58">
        <v>4700</v>
      </c>
      <c r="F7988" s="58"/>
      <c r="G7988" s="58">
        <f t="shared" si="130"/>
        <v>-4700</v>
      </c>
      <c r="H7988" s="121" t="s">
        <v>5266</v>
      </c>
    </row>
    <row r="7989" spans="1:8" ht="15" x14ac:dyDescent="0.2">
      <c r="A7989" s="597">
        <v>43711</v>
      </c>
      <c r="B7989" s="41" t="s">
        <v>2933</v>
      </c>
      <c r="C7989" s="41" t="s">
        <v>2503</v>
      </c>
      <c r="D7989" s="129" t="s">
        <v>5276</v>
      </c>
      <c r="E7989" s="58">
        <v>25000</v>
      </c>
      <c r="F7989" s="58"/>
      <c r="G7989" s="58">
        <f t="shared" si="130"/>
        <v>-25000</v>
      </c>
      <c r="H7989" s="121" t="s">
        <v>5266</v>
      </c>
    </row>
    <row r="7990" spans="1:8" ht="15" x14ac:dyDescent="0.2">
      <c r="A7990" s="597">
        <v>43711</v>
      </c>
      <c r="B7990" s="41" t="s">
        <v>2652</v>
      </c>
      <c r="C7990" s="41" t="s">
        <v>2503</v>
      </c>
      <c r="D7990" s="129" t="s">
        <v>5276</v>
      </c>
      <c r="E7990" s="58">
        <v>25000</v>
      </c>
      <c r="F7990" s="58"/>
      <c r="G7990" s="58">
        <f t="shared" si="130"/>
        <v>-25000</v>
      </c>
      <c r="H7990" s="121" t="s">
        <v>5266</v>
      </c>
    </row>
    <row r="7991" spans="1:8" ht="15" x14ac:dyDescent="0.2">
      <c r="A7991" s="597">
        <v>43711</v>
      </c>
      <c r="B7991" s="41" t="s">
        <v>11</v>
      </c>
      <c r="C7991" s="41" t="s">
        <v>2503</v>
      </c>
      <c r="D7991" s="129" t="s">
        <v>6135</v>
      </c>
      <c r="E7991" s="58">
        <v>10000</v>
      </c>
      <c r="F7991" s="58"/>
      <c r="G7991" s="58">
        <f t="shared" si="130"/>
        <v>-10000</v>
      </c>
      <c r="H7991" s="121" t="s">
        <v>5266</v>
      </c>
    </row>
    <row r="7992" spans="1:8" ht="15" x14ac:dyDescent="0.2">
      <c r="A7992" s="597">
        <v>43711</v>
      </c>
      <c r="B7992" s="41" t="s">
        <v>2933</v>
      </c>
      <c r="C7992" s="41" t="s">
        <v>2503</v>
      </c>
      <c r="D7992" s="129" t="s">
        <v>940</v>
      </c>
      <c r="E7992" s="58">
        <v>50000</v>
      </c>
      <c r="F7992" s="58"/>
      <c r="G7992" s="58">
        <f t="shared" si="130"/>
        <v>-50000</v>
      </c>
      <c r="H7992" s="121" t="s">
        <v>5266</v>
      </c>
    </row>
    <row r="7993" spans="1:8" ht="15" x14ac:dyDescent="0.2">
      <c r="A7993" s="597">
        <v>43711</v>
      </c>
      <c r="B7993" s="41" t="s">
        <v>2652</v>
      </c>
      <c r="C7993" s="41" t="s">
        <v>2503</v>
      </c>
      <c r="D7993" s="129" t="s">
        <v>940</v>
      </c>
      <c r="E7993" s="58">
        <v>50000</v>
      </c>
      <c r="F7993" s="58"/>
      <c r="G7993" s="58">
        <f t="shared" si="130"/>
        <v>-50000</v>
      </c>
      <c r="H7993" s="121" t="s">
        <v>5266</v>
      </c>
    </row>
    <row r="7994" spans="1:8" ht="15" x14ac:dyDescent="0.2">
      <c r="A7994" s="597">
        <v>43711</v>
      </c>
      <c r="B7994" s="41" t="s">
        <v>16</v>
      </c>
      <c r="C7994" s="41" t="s">
        <v>2503</v>
      </c>
      <c r="D7994" s="129" t="s">
        <v>16</v>
      </c>
      <c r="E7994" s="58">
        <v>95000</v>
      </c>
      <c r="F7994" s="58"/>
      <c r="G7994" s="58">
        <f t="shared" si="130"/>
        <v>-95000</v>
      </c>
      <c r="H7994" s="121" t="s">
        <v>5266</v>
      </c>
    </row>
    <row r="7995" spans="1:8" ht="15" x14ac:dyDescent="0.2">
      <c r="A7995" s="597">
        <v>43711</v>
      </c>
      <c r="B7995" s="41" t="s">
        <v>3945</v>
      </c>
      <c r="C7995" s="41" t="s">
        <v>2503</v>
      </c>
      <c r="D7995" s="129" t="s">
        <v>5020</v>
      </c>
      <c r="E7995" s="58">
        <v>184653.22580645161</v>
      </c>
      <c r="F7995" s="58"/>
      <c r="G7995" s="58">
        <f t="shared" si="130"/>
        <v>-184653.22580645161</v>
      </c>
      <c r="H7995" s="121" t="s">
        <v>5266</v>
      </c>
    </row>
    <row r="7996" spans="1:8" ht="15" x14ac:dyDescent="0.2">
      <c r="A7996" s="597">
        <v>43711</v>
      </c>
      <c r="B7996" s="41" t="s">
        <v>3946</v>
      </c>
      <c r="C7996" s="41" t="s">
        <v>2503</v>
      </c>
      <c r="D7996" s="129" t="s">
        <v>5021</v>
      </c>
      <c r="E7996" s="58">
        <v>145020.16129032255</v>
      </c>
      <c r="F7996" s="58"/>
      <c r="G7996" s="58">
        <f t="shared" si="130"/>
        <v>-145020.16129032255</v>
      </c>
      <c r="H7996" s="121" t="s">
        <v>5266</v>
      </c>
    </row>
    <row r="7997" spans="1:8" ht="15" x14ac:dyDescent="0.2">
      <c r="A7997" s="597">
        <v>43711</v>
      </c>
      <c r="B7997" s="41" t="s">
        <v>1400</v>
      </c>
      <c r="C7997" s="41" t="s">
        <v>2503</v>
      </c>
      <c r="D7997" s="129" t="s">
        <v>1084</v>
      </c>
      <c r="E7997" s="58">
        <v>364566.93548387091</v>
      </c>
      <c r="F7997" s="58"/>
      <c r="G7997" s="58">
        <f t="shared" si="130"/>
        <v>-364566.93548387091</v>
      </c>
      <c r="H7997" s="121" t="s">
        <v>5266</v>
      </c>
    </row>
    <row r="7998" spans="1:8" ht="15" x14ac:dyDescent="0.2">
      <c r="A7998" s="597">
        <v>43711</v>
      </c>
      <c r="B7998" s="41" t="s">
        <v>6516</v>
      </c>
      <c r="C7998" s="41" t="s">
        <v>2503</v>
      </c>
      <c r="D7998" s="129" t="s">
        <v>5022</v>
      </c>
      <c r="E7998" s="58">
        <v>94242.225806451621</v>
      </c>
      <c r="F7998" s="58"/>
      <c r="G7998" s="58">
        <f t="shared" si="130"/>
        <v>-94242.225806451621</v>
      </c>
      <c r="H7998" s="121" t="s">
        <v>5266</v>
      </c>
    </row>
    <row r="7999" spans="1:8" ht="15" x14ac:dyDescent="0.2">
      <c r="A7999" s="597">
        <v>43711</v>
      </c>
      <c r="B7999" s="41" t="s">
        <v>37</v>
      </c>
      <c r="C7999" s="41" t="s">
        <v>2503</v>
      </c>
      <c r="D7999" s="129" t="s">
        <v>5023</v>
      </c>
      <c r="E7999" s="58">
        <v>81330.645161290333</v>
      </c>
      <c r="F7999" s="58"/>
      <c r="G7999" s="58">
        <f t="shared" si="130"/>
        <v>-81330.645161290333</v>
      </c>
      <c r="H7999" s="121" t="s">
        <v>5266</v>
      </c>
    </row>
    <row r="8000" spans="1:8" ht="15" x14ac:dyDescent="0.2">
      <c r="A8000" s="597">
        <v>43711</v>
      </c>
      <c r="B8000" s="41" t="s">
        <v>2933</v>
      </c>
      <c r="C8000" s="41" t="s">
        <v>2503</v>
      </c>
      <c r="D8000" s="129" t="s">
        <v>5024</v>
      </c>
      <c r="E8000" s="58">
        <v>110233.87096774194</v>
      </c>
      <c r="F8000" s="58"/>
      <c r="G8000" s="58">
        <f t="shared" si="130"/>
        <v>-110233.87096774194</v>
      </c>
      <c r="H8000" s="121" t="s">
        <v>5266</v>
      </c>
    </row>
    <row r="8001" spans="1:8" ht="15" x14ac:dyDescent="0.2">
      <c r="A8001" s="597">
        <v>43711</v>
      </c>
      <c r="B8001" s="41" t="s">
        <v>2652</v>
      </c>
      <c r="C8001" s="41" t="s">
        <v>2503</v>
      </c>
      <c r="D8001" s="129" t="s">
        <v>5025</v>
      </c>
      <c r="E8001" s="58">
        <v>152807.86290322582</v>
      </c>
      <c r="F8001" s="58"/>
      <c r="G8001" s="58">
        <f t="shared" si="130"/>
        <v>-152807.86290322582</v>
      </c>
      <c r="H8001" s="121" t="s">
        <v>5266</v>
      </c>
    </row>
    <row r="8002" spans="1:8" ht="15" x14ac:dyDescent="0.2">
      <c r="A8002" s="597">
        <v>43711</v>
      </c>
      <c r="B8002" s="41" t="s">
        <v>5052</v>
      </c>
      <c r="C8002" s="41" t="s">
        <v>2503</v>
      </c>
      <c r="D8002" s="129" t="s">
        <v>5131</v>
      </c>
      <c r="E8002" s="58">
        <v>37911.290322580651</v>
      </c>
      <c r="F8002" s="58"/>
      <c r="G8002" s="58">
        <f t="shared" si="130"/>
        <v>-37911.290322580651</v>
      </c>
      <c r="H8002" s="121" t="s">
        <v>5266</v>
      </c>
    </row>
    <row r="8003" spans="1:8" ht="15" x14ac:dyDescent="0.2">
      <c r="A8003" s="597">
        <v>43710</v>
      </c>
      <c r="B8003" s="41" t="s">
        <v>5227</v>
      </c>
      <c r="C8003" s="41" t="s">
        <v>2190</v>
      </c>
      <c r="D8003" s="129"/>
      <c r="E8003" s="58">
        <v>230</v>
      </c>
      <c r="F8003" s="58"/>
      <c r="G8003" s="58">
        <f t="shared" si="130"/>
        <v>-230</v>
      </c>
      <c r="H8003" s="121" t="s">
        <v>5266</v>
      </c>
    </row>
    <row r="8004" spans="1:8" ht="15" x14ac:dyDescent="0.2">
      <c r="A8004" s="597">
        <v>43711</v>
      </c>
      <c r="B8004" s="41" t="s">
        <v>2933</v>
      </c>
      <c r="C8004" s="41" t="s">
        <v>3145</v>
      </c>
      <c r="D8004" s="129" t="s">
        <v>5275</v>
      </c>
      <c r="E8004" s="58">
        <v>231298</v>
      </c>
      <c r="F8004" s="58"/>
      <c r="G8004" s="58">
        <f t="shared" si="130"/>
        <v>-231298</v>
      </c>
      <c r="H8004" s="121" t="s">
        <v>5266</v>
      </c>
    </row>
    <row r="8005" spans="1:8" ht="15" x14ac:dyDescent="0.2">
      <c r="A8005" s="597">
        <v>43712</v>
      </c>
      <c r="B8005" s="41" t="s">
        <v>5052</v>
      </c>
      <c r="C8005" s="41" t="s">
        <v>5245</v>
      </c>
      <c r="D8005" s="129" t="s">
        <v>5277</v>
      </c>
      <c r="E8005" s="58">
        <v>4000</v>
      </c>
      <c r="F8005" s="58"/>
      <c r="G8005" s="58">
        <f t="shared" si="130"/>
        <v>-4000</v>
      </c>
      <c r="H8005" s="121" t="s">
        <v>5266</v>
      </c>
    </row>
    <row r="8006" spans="1:8" ht="15" x14ac:dyDescent="0.2">
      <c r="A8006" s="597">
        <v>43712</v>
      </c>
      <c r="B8006" s="41" t="s">
        <v>1400</v>
      </c>
      <c r="C8006" s="41" t="s">
        <v>5216</v>
      </c>
      <c r="D8006" s="129" t="s">
        <v>2655</v>
      </c>
      <c r="E8006" s="58">
        <v>10000</v>
      </c>
      <c r="F8006" s="58"/>
      <c r="G8006" s="58">
        <f t="shared" si="130"/>
        <v>-10000</v>
      </c>
      <c r="H8006" s="121" t="s">
        <v>5266</v>
      </c>
    </row>
    <row r="8007" spans="1:8" ht="15" x14ac:dyDescent="0.2">
      <c r="A8007" s="597">
        <v>43712</v>
      </c>
      <c r="B8007" s="41" t="s">
        <v>5339</v>
      </c>
      <c r="C8007" s="41" t="s">
        <v>2190</v>
      </c>
      <c r="D8007" s="129" t="s">
        <v>370</v>
      </c>
      <c r="E8007" s="58">
        <v>600</v>
      </c>
      <c r="F8007" s="58"/>
      <c r="G8007" s="58">
        <f t="shared" si="130"/>
        <v>-600</v>
      </c>
      <c r="H8007" s="121" t="s">
        <v>5266</v>
      </c>
    </row>
    <row r="8008" spans="1:8" ht="15" x14ac:dyDescent="0.2">
      <c r="A8008" s="597">
        <v>43712</v>
      </c>
      <c r="B8008" s="41" t="s">
        <v>5227</v>
      </c>
      <c r="C8008" s="41" t="s">
        <v>251</v>
      </c>
      <c r="D8008" s="129" t="s">
        <v>370</v>
      </c>
      <c r="E8008" s="58">
        <v>10000</v>
      </c>
      <c r="F8008" s="58"/>
      <c r="G8008" s="58">
        <f t="shared" si="130"/>
        <v>-10000</v>
      </c>
      <c r="H8008" s="121" t="s">
        <v>5266</v>
      </c>
    </row>
    <row r="8009" spans="1:8" ht="15" x14ac:dyDescent="0.2">
      <c r="A8009" s="597">
        <v>43712</v>
      </c>
      <c r="B8009" s="41" t="s">
        <v>5052</v>
      </c>
      <c r="C8009" s="41" t="s">
        <v>3145</v>
      </c>
      <c r="D8009" s="129" t="s">
        <v>5340</v>
      </c>
      <c r="E8009" s="58">
        <f>480+2600+960+100</f>
        <v>4140</v>
      </c>
      <c r="F8009" s="58"/>
      <c r="G8009" s="58">
        <f t="shared" si="130"/>
        <v>-4140</v>
      </c>
      <c r="H8009" s="121" t="s">
        <v>5266</v>
      </c>
    </row>
    <row r="8010" spans="1:8" ht="15" x14ac:dyDescent="0.2">
      <c r="A8010" s="597">
        <v>43712</v>
      </c>
      <c r="B8010" s="41" t="s">
        <v>2652</v>
      </c>
      <c r="C8010" s="41" t="s">
        <v>3145</v>
      </c>
      <c r="D8010" s="129" t="s">
        <v>5340</v>
      </c>
      <c r="E8010" s="58">
        <f>1000+100</f>
        <v>1100</v>
      </c>
      <c r="F8010" s="58"/>
      <c r="G8010" s="58">
        <f t="shared" si="130"/>
        <v>-1100</v>
      </c>
      <c r="H8010" s="121" t="s">
        <v>5266</v>
      </c>
    </row>
    <row r="8011" spans="1:8" ht="15" x14ac:dyDescent="0.2">
      <c r="A8011" s="597">
        <v>43712</v>
      </c>
      <c r="B8011" s="41" t="s">
        <v>5227</v>
      </c>
      <c r="C8011" s="41" t="s">
        <v>3145</v>
      </c>
      <c r="D8011" s="129" t="s">
        <v>5340</v>
      </c>
      <c r="E8011" s="58">
        <f>14375-E8009-E8010</f>
        <v>9135</v>
      </c>
      <c r="F8011" s="58"/>
      <c r="G8011" s="58">
        <f t="shared" si="130"/>
        <v>-9135</v>
      </c>
      <c r="H8011" s="121" t="s">
        <v>5266</v>
      </c>
    </row>
    <row r="8012" spans="1:8" ht="15" x14ac:dyDescent="0.2">
      <c r="A8012" s="597">
        <v>43712</v>
      </c>
      <c r="B8012" s="41" t="s">
        <v>5227</v>
      </c>
      <c r="C8012" s="41" t="s">
        <v>2190</v>
      </c>
      <c r="D8012" s="129"/>
      <c r="E8012" s="58">
        <v>450</v>
      </c>
      <c r="F8012" s="58"/>
      <c r="G8012" s="58">
        <f t="shared" si="130"/>
        <v>-450</v>
      </c>
      <c r="H8012" s="121" t="s">
        <v>5266</v>
      </c>
    </row>
    <row r="8013" spans="1:8" ht="15" x14ac:dyDescent="0.2">
      <c r="A8013" s="597">
        <v>43712</v>
      </c>
      <c r="B8013" s="41" t="s">
        <v>1400</v>
      </c>
      <c r="C8013" s="41" t="s">
        <v>2190</v>
      </c>
      <c r="D8013" s="129"/>
      <c r="E8013" s="58">
        <v>400</v>
      </c>
      <c r="F8013" s="58"/>
      <c r="G8013" s="58">
        <f t="shared" si="130"/>
        <v>-400</v>
      </c>
      <c r="H8013" s="121" t="s">
        <v>5266</v>
      </c>
    </row>
    <row r="8014" spans="1:8" ht="15" x14ac:dyDescent="0.2">
      <c r="A8014" s="597">
        <v>43712</v>
      </c>
      <c r="B8014" s="41" t="s">
        <v>16</v>
      </c>
      <c r="C8014" s="41" t="s">
        <v>5341</v>
      </c>
      <c r="D8014" s="129" t="s">
        <v>5342</v>
      </c>
      <c r="E8014" s="58">
        <v>3000</v>
      </c>
      <c r="F8014" s="58"/>
      <c r="G8014" s="58">
        <f t="shared" si="130"/>
        <v>-3000</v>
      </c>
      <c r="H8014" s="121" t="s">
        <v>5266</v>
      </c>
    </row>
    <row r="8015" spans="1:8" ht="15" x14ac:dyDescent="0.2">
      <c r="A8015" s="597">
        <v>43712</v>
      </c>
      <c r="B8015" s="41" t="s">
        <v>2933</v>
      </c>
      <c r="C8015" s="41" t="s">
        <v>286</v>
      </c>
      <c r="D8015" s="129" t="s">
        <v>940</v>
      </c>
      <c r="E8015" s="58">
        <v>3000</v>
      </c>
      <c r="F8015" s="58"/>
      <c r="G8015" s="58">
        <f t="shared" si="130"/>
        <v>-3000</v>
      </c>
      <c r="H8015" s="121" t="s">
        <v>5266</v>
      </c>
    </row>
    <row r="8016" spans="1:8" ht="15" x14ac:dyDescent="0.2">
      <c r="A8016" s="597">
        <v>43712</v>
      </c>
      <c r="B8016" s="41" t="s">
        <v>3946</v>
      </c>
      <c r="C8016" s="41" t="s">
        <v>3145</v>
      </c>
      <c r="D8016" s="129" t="s">
        <v>5343</v>
      </c>
      <c r="E8016" s="58">
        <v>1520</v>
      </c>
      <c r="F8016" s="58"/>
      <c r="G8016" s="58">
        <f t="shared" si="130"/>
        <v>-1520</v>
      </c>
      <c r="H8016" s="121" t="s">
        <v>5266</v>
      </c>
    </row>
    <row r="8017" spans="1:8" ht="15" x14ac:dyDescent="0.2">
      <c r="A8017" s="597">
        <v>43712</v>
      </c>
      <c r="B8017" s="41" t="s">
        <v>16</v>
      </c>
      <c r="C8017" s="41" t="s">
        <v>3364</v>
      </c>
      <c r="D8017" s="129" t="s">
        <v>370</v>
      </c>
      <c r="E8017" s="58">
        <v>4162</v>
      </c>
      <c r="F8017" s="58"/>
      <c r="G8017" s="58">
        <f t="shared" si="130"/>
        <v>-4162</v>
      </c>
      <c r="H8017" s="121" t="s">
        <v>5266</v>
      </c>
    </row>
    <row r="8018" spans="1:8" ht="15" x14ac:dyDescent="0.2">
      <c r="A8018" s="597">
        <v>43713</v>
      </c>
      <c r="B8018" s="41" t="s">
        <v>2933</v>
      </c>
      <c r="C8018" s="41" t="s">
        <v>3145</v>
      </c>
      <c r="D8018" s="129" t="s">
        <v>5344</v>
      </c>
      <c r="E8018" s="58">
        <v>6000</v>
      </c>
      <c r="F8018" s="58"/>
      <c r="G8018" s="58">
        <f t="shared" si="130"/>
        <v>-6000</v>
      </c>
      <c r="H8018" s="121" t="s">
        <v>5266</v>
      </c>
    </row>
    <row r="8019" spans="1:8" ht="15" x14ac:dyDescent="0.2">
      <c r="A8019" s="597">
        <v>43713</v>
      </c>
      <c r="B8019" s="41" t="s">
        <v>2652</v>
      </c>
      <c r="C8019" s="41" t="s">
        <v>3145</v>
      </c>
      <c r="D8019" s="129" t="s">
        <v>5344</v>
      </c>
      <c r="E8019" s="58">
        <v>5300</v>
      </c>
      <c r="F8019" s="58"/>
      <c r="G8019" s="58">
        <f t="shared" si="130"/>
        <v>-5300</v>
      </c>
      <c r="H8019" s="121" t="s">
        <v>5266</v>
      </c>
    </row>
    <row r="8020" spans="1:8" ht="15" x14ac:dyDescent="0.2">
      <c r="A8020" s="597">
        <v>43713</v>
      </c>
      <c r="B8020" s="41" t="s">
        <v>3946</v>
      </c>
      <c r="C8020" s="41" t="s">
        <v>3145</v>
      </c>
      <c r="D8020" s="129" t="s">
        <v>5344</v>
      </c>
      <c r="E8020" s="58">
        <f>34517-E8018-E8019</f>
        <v>23217</v>
      </c>
      <c r="F8020" s="58"/>
      <c r="G8020" s="58">
        <f t="shared" si="130"/>
        <v>-23217</v>
      </c>
      <c r="H8020" s="121" t="s">
        <v>5266</v>
      </c>
    </row>
    <row r="8021" spans="1:8" ht="15" x14ac:dyDescent="0.2">
      <c r="A8021" s="597">
        <v>43713</v>
      </c>
      <c r="B8021" s="41" t="s">
        <v>2933</v>
      </c>
      <c r="C8021" s="41" t="s">
        <v>3145</v>
      </c>
      <c r="D8021" s="129" t="s">
        <v>5344</v>
      </c>
      <c r="E8021" s="58">
        <f>1140</f>
        <v>1140</v>
      </c>
      <c r="F8021" s="58"/>
      <c r="G8021" s="58">
        <f t="shared" si="130"/>
        <v>-1140</v>
      </c>
      <c r="H8021" s="121" t="s">
        <v>5266</v>
      </c>
    </row>
    <row r="8022" spans="1:8" ht="15" x14ac:dyDescent="0.2">
      <c r="A8022" s="597">
        <v>43713</v>
      </c>
      <c r="B8022" s="41" t="s">
        <v>5052</v>
      </c>
      <c r="C8022" s="41" t="s">
        <v>3145</v>
      </c>
      <c r="D8022" s="129" t="s">
        <v>5344</v>
      </c>
      <c r="E8022" s="58">
        <v>2300</v>
      </c>
      <c r="F8022" s="58"/>
      <c r="G8022" s="58">
        <f t="shared" si="130"/>
        <v>-2300</v>
      </c>
      <c r="H8022" s="121" t="s">
        <v>5266</v>
      </c>
    </row>
    <row r="8023" spans="1:8" ht="15" x14ac:dyDescent="0.2">
      <c r="A8023" s="597">
        <v>43714</v>
      </c>
      <c r="B8023" s="41" t="s">
        <v>2933</v>
      </c>
      <c r="C8023" s="41" t="s">
        <v>3145</v>
      </c>
      <c r="D8023" s="129" t="s">
        <v>5344</v>
      </c>
      <c r="E8023" s="58">
        <f>7766+4440</f>
        <v>12206</v>
      </c>
      <c r="F8023" s="58"/>
      <c r="G8023" s="58">
        <f t="shared" si="130"/>
        <v>-12206</v>
      </c>
      <c r="H8023" s="121" t="s">
        <v>5266</v>
      </c>
    </row>
    <row r="8024" spans="1:8" ht="15" x14ac:dyDescent="0.2">
      <c r="A8024" s="597">
        <v>43714</v>
      </c>
      <c r="B8024" s="41" t="s">
        <v>5052</v>
      </c>
      <c r="C8024" s="41" t="s">
        <v>3145</v>
      </c>
      <c r="D8024" s="129" t="s">
        <v>5344</v>
      </c>
      <c r="E8024" s="58">
        <v>13215</v>
      </c>
      <c r="F8024" s="58"/>
      <c r="G8024" s="58">
        <f t="shared" si="130"/>
        <v>-13215</v>
      </c>
      <c r="H8024" s="121" t="s">
        <v>5266</v>
      </c>
    </row>
    <row r="8025" spans="1:8" ht="15" x14ac:dyDescent="0.2">
      <c r="A8025" s="597">
        <v>43714</v>
      </c>
      <c r="B8025" s="41" t="s">
        <v>2933</v>
      </c>
      <c r="C8025" s="41" t="s">
        <v>3145</v>
      </c>
      <c r="D8025" s="129" t="s">
        <v>5344</v>
      </c>
      <c r="E8025" s="58">
        <f>560+17720+2000+150</f>
        <v>20430</v>
      </c>
      <c r="F8025" s="58"/>
      <c r="G8025" s="58">
        <f t="shared" si="130"/>
        <v>-20430</v>
      </c>
      <c r="H8025" s="121" t="s">
        <v>5266</v>
      </c>
    </row>
    <row r="8026" spans="1:8" ht="15" x14ac:dyDescent="0.2">
      <c r="A8026" s="597">
        <v>43714</v>
      </c>
      <c r="B8026" s="41" t="s">
        <v>1400</v>
      </c>
      <c r="C8026" s="41" t="s">
        <v>3145</v>
      </c>
      <c r="D8026" s="129" t="s">
        <v>5344</v>
      </c>
      <c r="E8026" s="58">
        <v>14840</v>
      </c>
      <c r="F8026" s="58"/>
      <c r="G8026" s="58">
        <f t="shared" si="130"/>
        <v>-14840</v>
      </c>
      <c r="H8026" s="121" t="s">
        <v>5266</v>
      </c>
    </row>
    <row r="8027" spans="1:8" ht="15" x14ac:dyDescent="0.2">
      <c r="A8027" s="597">
        <v>43719</v>
      </c>
      <c r="B8027" s="41" t="s">
        <v>5052</v>
      </c>
      <c r="C8027" s="41" t="s">
        <v>3145</v>
      </c>
      <c r="D8027" s="129" t="s">
        <v>5145</v>
      </c>
      <c r="E8027" s="58">
        <v>4600</v>
      </c>
      <c r="F8027" s="58"/>
      <c r="G8027" s="58">
        <f t="shared" si="130"/>
        <v>-4600</v>
      </c>
      <c r="H8027" s="121" t="s">
        <v>5266</v>
      </c>
    </row>
    <row r="8028" spans="1:8" ht="15" x14ac:dyDescent="0.2">
      <c r="A8028" s="597">
        <v>43719</v>
      </c>
      <c r="B8028" s="41" t="s">
        <v>5052</v>
      </c>
      <c r="C8028" s="41" t="s">
        <v>3145</v>
      </c>
      <c r="D8028" s="129" t="s">
        <v>4181</v>
      </c>
      <c r="E8028" s="58">
        <v>9610</v>
      </c>
      <c r="F8028" s="58"/>
      <c r="G8028" s="58">
        <f t="shared" si="130"/>
        <v>-9610</v>
      </c>
      <c r="H8028" s="121" t="s">
        <v>5266</v>
      </c>
    </row>
    <row r="8029" spans="1:8" ht="15" x14ac:dyDescent="0.2">
      <c r="A8029" s="597">
        <v>43719</v>
      </c>
      <c r="B8029" s="41" t="s">
        <v>5052</v>
      </c>
      <c r="C8029" s="41" t="s">
        <v>3145</v>
      </c>
      <c r="D8029" s="129" t="s">
        <v>4181</v>
      </c>
      <c r="E8029" s="58">
        <v>1740</v>
      </c>
      <c r="F8029" s="58"/>
      <c r="G8029" s="58">
        <f t="shared" si="130"/>
        <v>-1740</v>
      </c>
      <c r="H8029" s="121" t="s">
        <v>5266</v>
      </c>
    </row>
    <row r="8030" spans="1:8" ht="15" x14ac:dyDescent="0.2">
      <c r="A8030" s="597">
        <v>43720</v>
      </c>
      <c r="B8030" s="41" t="s">
        <v>5052</v>
      </c>
      <c r="C8030" s="41" t="s">
        <v>3145</v>
      </c>
      <c r="D8030" s="129" t="s">
        <v>4181</v>
      </c>
      <c r="E8030" s="58">
        <v>1800</v>
      </c>
      <c r="F8030" s="58"/>
      <c r="G8030" s="58">
        <f t="shared" si="130"/>
        <v>-1800</v>
      </c>
      <c r="H8030" s="121" t="s">
        <v>5266</v>
      </c>
    </row>
    <row r="8031" spans="1:8" ht="15" x14ac:dyDescent="0.2">
      <c r="A8031" s="597">
        <v>43720</v>
      </c>
      <c r="B8031" s="41" t="s">
        <v>3946</v>
      </c>
      <c r="C8031" s="41" t="s">
        <v>3145</v>
      </c>
      <c r="D8031" s="129" t="s">
        <v>4181</v>
      </c>
      <c r="E8031" s="58">
        <f>660+1995</f>
        <v>2655</v>
      </c>
      <c r="F8031" s="58"/>
      <c r="G8031" s="58">
        <f t="shared" si="130"/>
        <v>-2655</v>
      </c>
      <c r="H8031" s="121" t="s">
        <v>5266</v>
      </c>
    </row>
    <row r="8032" spans="1:8" ht="15" x14ac:dyDescent="0.2">
      <c r="A8032" s="597">
        <v>43720</v>
      </c>
      <c r="B8032" s="41" t="s">
        <v>5227</v>
      </c>
      <c r="C8032" s="41" t="s">
        <v>3145</v>
      </c>
      <c r="D8032" s="129" t="s">
        <v>4181</v>
      </c>
      <c r="E8032" s="58">
        <f>350+475+1080</f>
        <v>1905</v>
      </c>
      <c r="F8032" s="58"/>
      <c r="G8032" s="58">
        <f t="shared" si="130"/>
        <v>-1905</v>
      </c>
      <c r="H8032" s="121" t="s">
        <v>5266</v>
      </c>
    </row>
    <row r="8033" spans="1:8" ht="15" x14ac:dyDescent="0.2">
      <c r="A8033" s="597">
        <v>43720</v>
      </c>
      <c r="B8033" s="41" t="s">
        <v>16</v>
      </c>
      <c r="C8033" s="41" t="s">
        <v>3145</v>
      </c>
      <c r="D8033" s="129" t="s">
        <v>5345</v>
      </c>
      <c r="E8033" s="58">
        <v>260</v>
      </c>
      <c r="F8033" s="58"/>
      <c r="G8033" s="58">
        <f t="shared" si="130"/>
        <v>-260</v>
      </c>
      <c r="H8033" s="121" t="s">
        <v>5266</v>
      </c>
    </row>
    <row r="8034" spans="1:8" ht="15" x14ac:dyDescent="0.2">
      <c r="A8034" s="597">
        <v>43720</v>
      </c>
      <c r="B8034" s="41" t="s">
        <v>5052</v>
      </c>
      <c r="C8034" s="41" t="s">
        <v>3145</v>
      </c>
      <c r="D8034" s="129" t="s">
        <v>5219</v>
      </c>
      <c r="E8034" s="58">
        <v>750</v>
      </c>
      <c r="F8034" s="58"/>
      <c r="G8034" s="58">
        <f t="shared" si="130"/>
        <v>-750</v>
      </c>
      <c r="H8034" s="121" t="s">
        <v>5266</v>
      </c>
    </row>
    <row r="8035" spans="1:8" ht="15" x14ac:dyDescent="0.2">
      <c r="A8035" s="597">
        <v>43720</v>
      </c>
      <c r="B8035" s="41" t="s">
        <v>5227</v>
      </c>
      <c r="C8035" s="41" t="s">
        <v>3145</v>
      </c>
      <c r="D8035" s="129" t="s">
        <v>5346</v>
      </c>
      <c r="E8035" s="58">
        <v>11900</v>
      </c>
      <c r="F8035" s="58"/>
      <c r="G8035" s="58">
        <f t="shared" si="130"/>
        <v>-11900</v>
      </c>
      <c r="H8035" s="121" t="s">
        <v>5266</v>
      </c>
    </row>
    <row r="8036" spans="1:8" ht="15" x14ac:dyDescent="0.2">
      <c r="A8036" s="597">
        <v>43720</v>
      </c>
      <c r="B8036" s="41" t="s">
        <v>5227</v>
      </c>
      <c r="C8036" s="41" t="s">
        <v>251</v>
      </c>
      <c r="D8036" s="129" t="s">
        <v>370</v>
      </c>
      <c r="E8036" s="58">
        <v>3000</v>
      </c>
      <c r="F8036" s="58"/>
      <c r="G8036" s="58">
        <f t="shared" si="130"/>
        <v>-3000</v>
      </c>
      <c r="H8036" s="121" t="s">
        <v>5266</v>
      </c>
    </row>
    <row r="8037" spans="1:8" ht="15" x14ac:dyDescent="0.2">
      <c r="A8037" s="597">
        <v>43720</v>
      </c>
      <c r="B8037" s="41" t="s">
        <v>2933</v>
      </c>
      <c r="C8037" s="41" t="s">
        <v>1495</v>
      </c>
      <c r="D8037" s="129" t="s">
        <v>370</v>
      </c>
      <c r="E8037" s="58">
        <v>1760</v>
      </c>
      <c r="F8037" s="58"/>
      <c r="G8037" s="58">
        <f t="shared" si="130"/>
        <v>-1760</v>
      </c>
      <c r="H8037" s="121" t="s">
        <v>5266</v>
      </c>
    </row>
    <row r="8038" spans="1:8" ht="15" x14ac:dyDescent="0.2">
      <c r="A8038" s="597">
        <v>43722</v>
      </c>
      <c r="B8038" s="41" t="s">
        <v>5052</v>
      </c>
      <c r="C8038" s="41" t="s">
        <v>3145</v>
      </c>
      <c r="D8038" s="129" t="s">
        <v>5347</v>
      </c>
      <c r="E8038" s="58">
        <v>2800</v>
      </c>
      <c r="F8038" s="58"/>
      <c r="G8038" s="58">
        <f t="shared" si="130"/>
        <v>-2800</v>
      </c>
      <c r="H8038" s="121" t="s">
        <v>5266</v>
      </c>
    </row>
    <row r="8039" spans="1:8" ht="15" x14ac:dyDescent="0.2">
      <c r="A8039" s="597">
        <v>43724</v>
      </c>
      <c r="B8039" s="41" t="s">
        <v>2933</v>
      </c>
      <c r="C8039" s="41" t="s">
        <v>3145</v>
      </c>
      <c r="D8039" s="129" t="s">
        <v>4181</v>
      </c>
      <c r="E8039" s="58">
        <v>5945</v>
      </c>
      <c r="F8039" s="58"/>
      <c r="G8039" s="58">
        <f t="shared" si="130"/>
        <v>-5945</v>
      </c>
      <c r="H8039" s="121" t="s">
        <v>5266</v>
      </c>
    </row>
    <row r="8040" spans="1:8" ht="15" x14ac:dyDescent="0.2">
      <c r="A8040" s="597">
        <v>43724</v>
      </c>
      <c r="B8040" s="41" t="s">
        <v>4553</v>
      </c>
      <c r="C8040" s="41" t="s">
        <v>5065</v>
      </c>
      <c r="D8040" s="129" t="s">
        <v>370</v>
      </c>
      <c r="E8040" s="58">
        <v>1000</v>
      </c>
      <c r="F8040" s="58"/>
      <c r="G8040" s="58">
        <f t="shared" si="130"/>
        <v>-1000</v>
      </c>
      <c r="H8040" s="121" t="s">
        <v>5266</v>
      </c>
    </row>
    <row r="8041" spans="1:8" ht="15" x14ac:dyDescent="0.2">
      <c r="A8041" s="597">
        <v>43724</v>
      </c>
      <c r="B8041" s="41" t="s">
        <v>1400</v>
      </c>
      <c r="C8041" s="41" t="s">
        <v>929</v>
      </c>
      <c r="D8041" s="129" t="s">
        <v>370</v>
      </c>
      <c r="E8041" s="58">
        <v>10000</v>
      </c>
      <c r="F8041" s="58"/>
      <c r="G8041" s="58">
        <f t="shared" si="130"/>
        <v>-10000</v>
      </c>
      <c r="H8041" s="121" t="s">
        <v>5266</v>
      </c>
    </row>
    <row r="8042" spans="1:8" ht="15" x14ac:dyDescent="0.2">
      <c r="A8042" s="597">
        <v>43725</v>
      </c>
      <c r="B8042" s="41" t="s">
        <v>2933</v>
      </c>
      <c r="C8042" s="41" t="s">
        <v>3145</v>
      </c>
      <c r="D8042" s="129" t="s">
        <v>5348</v>
      </c>
      <c r="E8042" s="58">
        <f>3750+450+7142+2880+1300+2600+500</f>
        <v>18622</v>
      </c>
      <c r="F8042" s="58"/>
      <c r="G8042" s="58">
        <f t="shared" si="130"/>
        <v>-18622</v>
      </c>
      <c r="H8042" s="121" t="s">
        <v>5266</v>
      </c>
    </row>
    <row r="8043" spans="1:8" ht="15" x14ac:dyDescent="0.2">
      <c r="A8043" s="597">
        <v>43725</v>
      </c>
      <c r="B8043" s="41" t="s">
        <v>1400</v>
      </c>
      <c r="C8043" s="41" t="s">
        <v>3145</v>
      </c>
      <c r="D8043" s="129" t="s">
        <v>5349</v>
      </c>
      <c r="E8043" s="58">
        <v>400</v>
      </c>
      <c r="F8043" s="58"/>
      <c r="G8043" s="58">
        <f t="shared" ref="G8043:G8106" si="131">F8043-E8043</f>
        <v>-400</v>
      </c>
      <c r="H8043" s="121" t="s">
        <v>5266</v>
      </c>
    </row>
    <row r="8044" spans="1:8" ht="15" x14ac:dyDescent="0.2">
      <c r="A8044" s="597">
        <v>43725</v>
      </c>
      <c r="B8044" s="41" t="s">
        <v>16</v>
      </c>
      <c r="C8044" s="41" t="s">
        <v>103</v>
      </c>
      <c r="D8044" s="129" t="s">
        <v>5350</v>
      </c>
      <c r="E8044" s="58">
        <v>1150</v>
      </c>
      <c r="F8044" s="58"/>
      <c r="G8044" s="58">
        <f t="shared" si="131"/>
        <v>-1150</v>
      </c>
      <c r="H8044" s="121" t="s">
        <v>5266</v>
      </c>
    </row>
    <row r="8045" spans="1:8" ht="15" x14ac:dyDescent="0.2">
      <c r="A8045" s="597">
        <v>43725</v>
      </c>
      <c r="B8045" s="41" t="s">
        <v>1400</v>
      </c>
      <c r="C8045" s="41" t="s">
        <v>3145</v>
      </c>
      <c r="D8045" s="129" t="s">
        <v>5249</v>
      </c>
      <c r="E8045" s="58">
        <v>12565</v>
      </c>
      <c r="F8045" s="58"/>
      <c r="G8045" s="58">
        <f t="shared" si="131"/>
        <v>-12565</v>
      </c>
      <c r="H8045" s="121" t="s">
        <v>5266</v>
      </c>
    </row>
    <row r="8046" spans="1:8" ht="15" x14ac:dyDescent="0.2">
      <c r="A8046" s="597">
        <v>43726</v>
      </c>
      <c r="B8046" s="41" t="s">
        <v>5227</v>
      </c>
      <c r="C8046" s="41" t="s">
        <v>3145</v>
      </c>
      <c r="D8046" s="129" t="s">
        <v>4181</v>
      </c>
      <c r="E8046" s="58">
        <v>5610</v>
      </c>
      <c r="F8046" s="58"/>
      <c r="G8046" s="58">
        <f t="shared" si="131"/>
        <v>-5610</v>
      </c>
      <c r="H8046" s="121" t="s">
        <v>5266</v>
      </c>
    </row>
    <row r="8047" spans="1:8" ht="15" x14ac:dyDescent="0.2">
      <c r="A8047" s="597">
        <v>43727</v>
      </c>
      <c r="B8047" s="41" t="s">
        <v>2933</v>
      </c>
      <c r="C8047" s="41" t="s">
        <v>3145</v>
      </c>
      <c r="D8047" s="129" t="s">
        <v>5351</v>
      </c>
      <c r="E8047" s="58">
        <v>54044</v>
      </c>
      <c r="F8047" s="58"/>
      <c r="G8047" s="58">
        <f t="shared" si="131"/>
        <v>-54044</v>
      </c>
      <c r="H8047" s="121" t="s">
        <v>5266</v>
      </c>
    </row>
    <row r="8048" spans="1:8" ht="15" x14ac:dyDescent="0.2">
      <c r="A8048" s="597">
        <v>43727</v>
      </c>
      <c r="B8048" s="41" t="s">
        <v>5227</v>
      </c>
      <c r="C8048" s="41" t="s">
        <v>3145</v>
      </c>
      <c r="D8048" s="129" t="s">
        <v>5352</v>
      </c>
      <c r="E8048" s="58">
        <v>12924</v>
      </c>
      <c r="F8048" s="58"/>
      <c r="G8048" s="58">
        <f t="shared" si="131"/>
        <v>-12924</v>
      </c>
      <c r="H8048" s="121" t="s">
        <v>5266</v>
      </c>
    </row>
    <row r="8049" spans="1:8" ht="15" x14ac:dyDescent="0.2">
      <c r="A8049" s="597">
        <v>43727</v>
      </c>
      <c r="B8049" s="41" t="s">
        <v>2652</v>
      </c>
      <c r="C8049" s="41" t="s">
        <v>3145</v>
      </c>
      <c r="D8049" s="129" t="s">
        <v>5353</v>
      </c>
      <c r="E8049" s="58">
        <v>39600</v>
      </c>
      <c r="F8049" s="58"/>
      <c r="G8049" s="58">
        <f t="shared" si="131"/>
        <v>-39600</v>
      </c>
      <c r="H8049" s="121" t="s">
        <v>5266</v>
      </c>
    </row>
    <row r="8050" spans="1:8" ht="15" x14ac:dyDescent="0.2">
      <c r="A8050" s="597">
        <v>43727</v>
      </c>
      <c r="B8050" s="41" t="s">
        <v>3946</v>
      </c>
      <c r="C8050" s="41" t="s">
        <v>2503</v>
      </c>
      <c r="D8050" s="129" t="s">
        <v>213</v>
      </c>
      <c r="E8050" s="58">
        <v>7440</v>
      </c>
      <c r="F8050" s="58"/>
      <c r="G8050" s="58">
        <f t="shared" si="131"/>
        <v>-7440</v>
      </c>
      <c r="H8050" s="121" t="s">
        <v>5266</v>
      </c>
    </row>
    <row r="8051" spans="1:8" ht="15" x14ac:dyDescent="0.2">
      <c r="A8051" s="597">
        <v>43728</v>
      </c>
      <c r="B8051" s="41" t="s">
        <v>5052</v>
      </c>
      <c r="C8051" s="41" t="s">
        <v>3145</v>
      </c>
      <c r="D8051" s="129" t="s">
        <v>370</v>
      </c>
      <c r="E8051" s="58">
        <v>1600</v>
      </c>
      <c r="F8051" s="58"/>
      <c r="G8051" s="58">
        <f t="shared" si="131"/>
        <v>-1600</v>
      </c>
      <c r="H8051" s="121" t="s">
        <v>5266</v>
      </c>
    </row>
    <row r="8052" spans="1:8" ht="15" x14ac:dyDescent="0.2">
      <c r="A8052" s="597">
        <v>43728</v>
      </c>
      <c r="B8052" s="41" t="s">
        <v>5339</v>
      </c>
      <c r="C8052" s="41" t="s">
        <v>2190</v>
      </c>
      <c r="D8052" s="129" t="s">
        <v>370</v>
      </c>
      <c r="E8052" s="58">
        <v>1120</v>
      </c>
      <c r="F8052" s="58"/>
      <c r="G8052" s="58">
        <f t="shared" si="131"/>
        <v>-1120</v>
      </c>
      <c r="H8052" s="121" t="s">
        <v>5266</v>
      </c>
    </row>
    <row r="8053" spans="1:8" ht="24" x14ac:dyDescent="0.2">
      <c r="A8053" s="597">
        <v>43728</v>
      </c>
      <c r="B8053" s="41" t="s">
        <v>5227</v>
      </c>
      <c r="C8053" s="41" t="s">
        <v>3145</v>
      </c>
      <c r="D8053" s="129" t="s">
        <v>5354</v>
      </c>
      <c r="E8053" s="58">
        <v>29187</v>
      </c>
      <c r="F8053" s="58"/>
      <c r="G8053" s="58">
        <f t="shared" si="131"/>
        <v>-29187</v>
      </c>
      <c r="H8053" s="121" t="s">
        <v>5266</v>
      </c>
    </row>
    <row r="8054" spans="1:8" ht="15" x14ac:dyDescent="0.2">
      <c r="A8054" s="597">
        <v>43728</v>
      </c>
      <c r="B8054" s="41" t="s">
        <v>2933</v>
      </c>
      <c r="C8054" s="41" t="s">
        <v>3145</v>
      </c>
      <c r="D8054" s="129" t="s">
        <v>5372</v>
      </c>
      <c r="E8054" s="58">
        <v>19643</v>
      </c>
      <c r="F8054" s="58"/>
      <c r="G8054" s="58">
        <f t="shared" si="131"/>
        <v>-19643</v>
      </c>
      <c r="H8054" s="121" t="s">
        <v>5266</v>
      </c>
    </row>
    <row r="8055" spans="1:8" ht="24" x14ac:dyDescent="0.2">
      <c r="A8055" s="597">
        <v>43729</v>
      </c>
      <c r="B8055" s="41" t="s">
        <v>2933</v>
      </c>
      <c r="C8055" s="41" t="s">
        <v>3145</v>
      </c>
      <c r="D8055" s="129" t="s">
        <v>5355</v>
      </c>
      <c r="E8055" s="58">
        <v>11000</v>
      </c>
      <c r="F8055" s="58"/>
      <c r="G8055" s="58">
        <f t="shared" si="131"/>
        <v>-11000</v>
      </c>
      <c r="H8055" s="121" t="s">
        <v>5266</v>
      </c>
    </row>
    <row r="8056" spans="1:8" ht="15" x14ac:dyDescent="0.2">
      <c r="A8056" s="597">
        <v>43729</v>
      </c>
      <c r="B8056" s="41" t="s">
        <v>5227</v>
      </c>
      <c r="C8056" s="41" t="s">
        <v>3145</v>
      </c>
      <c r="D8056" s="129" t="s">
        <v>4181</v>
      </c>
      <c r="E8056" s="58">
        <v>2660</v>
      </c>
      <c r="F8056" s="58"/>
      <c r="G8056" s="58">
        <f t="shared" si="131"/>
        <v>-2660</v>
      </c>
      <c r="H8056" s="121" t="s">
        <v>5266</v>
      </c>
    </row>
    <row r="8057" spans="1:8" ht="15" x14ac:dyDescent="0.2">
      <c r="A8057" s="597">
        <v>43729</v>
      </c>
      <c r="B8057" s="41" t="s">
        <v>5052</v>
      </c>
      <c r="C8057" s="41" t="s">
        <v>2190</v>
      </c>
      <c r="D8057" s="129"/>
      <c r="E8057" s="58">
        <v>720</v>
      </c>
      <c r="F8057" s="58"/>
      <c r="G8057" s="58">
        <f t="shared" si="131"/>
        <v>-720</v>
      </c>
      <c r="H8057" s="121" t="s">
        <v>5266</v>
      </c>
    </row>
    <row r="8058" spans="1:8" ht="15" x14ac:dyDescent="0.2">
      <c r="A8058" s="597">
        <v>43733</v>
      </c>
      <c r="B8058" s="41" t="s">
        <v>25</v>
      </c>
      <c r="C8058" s="41" t="s">
        <v>2428</v>
      </c>
      <c r="D8058" s="129" t="s">
        <v>72</v>
      </c>
      <c r="E8058" s="58">
        <v>11360</v>
      </c>
      <c r="F8058" s="58"/>
      <c r="G8058" s="58">
        <f t="shared" si="131"/>
        <v>-11360</v>
      </c>
      <c r="H8058" s="121" t="s">
        <v>5266</v>
      </c>
    </row>
    <row r="8059" spans="1:8" ht="15" x14ac:dyDescent="0.2">
      <c r="A8059" s="597">
        <v>43734</v>
      </c>
      <c r="B8059" s="41" t="s">
        <v>5052</v>
      </c>
      <c r="C8059" s="41" t="s">
        <v>2190</v>
      </c>
      <c r="D8059" s="129"/>
      <c r="E8059" s="58">
        <v>240</v>
      </c>
      <c r="F8059" s="58"/>
      <c r="G8059" s="58">
        <f t="shared" si="131"/>
        <v>-240</v>
      </c>
      <c r="H8059" s="121" t="s">
        <v>5266</v>
      </c>
    </row>
    <row r="8060" spans="1:8" ht="15" x14ac:dyDescent="0.2">
      <c r="A8060" s="597">
        <v>43734</v>
      </c>
      <c r="B8060" s="41" t="s">
        <v>5052</v>
      </c>
      <c r="C8060" s="41" t="s">
        <v>2190</v>
      </c>
      <c r="D8060" s="129" t="s">
        <v>5356</v>
      </c>
      <c r="E8060" s="58">
        <v>2640</v>
      </c>
      <c r="F8060" s="58"/>
      <c r="G8060" s="58">
        <f t="shared" si="131"/>
        <v>-2640</v>
      </c>
      <c r="H8060" s="121" t="s">
        <v>5266</v>
      </c>
    </row>
    <row r="8061" spans="1:8" ht="15" x14ac:dyDescent="0.2">
      <c r="A8061" s="597">
        <v>43734</v>
      </c>
      <c r="B8061" s="41" t="s">
        <v>2933</v>
      </c>
      <c r="C8061" s="41" t="s">
        <v>286</v>
      </c>
      <c r="D8061" s="129" t="s">
        <v>372</v>
      </c>
      <c r="E8061" s="58">
        <v>5000</v>
      </c>
      <c r="F8061" s="58"/>
      <c r="G8061" s="58">
        <f t="shared" si="131"/>
        <v>-5000</v>
      </c>
      <c r="H8061" s="121" t="s">
        <v>5266</v>
      </c>
    </row>
    <row r="8062" spans="1:8" ht="15" x14ac:dyDescent="0.2">
      <c r="A8062" s="597">
        <v>43734</v>
      </c>
      <c r="B8062" s="41" t="s">
        <v>2652</v>
      </c>
      <c r="C8062" s="41" t="s">
        <v>286</v>
      </c>
      <c r="D8062" s="129" t="s">
        <v>372</v>
      </c>
      <c r="E8062" s="58">
        <v>5100</v>
      </c>
      <c r="F8062" s="58"/>
      <c r="G8062" s="58">
        <f t="shared" si="131"/>
        <v>-5100</v>
      </c>
      <c r="H8062" s="121" t="s">
        <v>5266</v>
      </c>
    </row>
    <row r="8063" spans="1:8" ht="15" x14ac:dyDescent="0.2">
      <c r="A8063" s="597">
        <v>43734</v>
      </c>
      <c r="B8063" s="41" t="s">
        <v>16</v>
      </c>
      <c r="C8063" s="41" t="s">
        <v>103</v>
      </c>
      <c r="D8063" s="129" t="s">
        <v>5357</v>
      </c>
      <c r="E8063" s="58">
        <v>120</v>
      </c>
      <c r="F8063" s="58"/>
      <c r="G8063" s="58">
        <f t="shared" si="131"/>
        <v>-120</v>
      </c>
      <c r="H8063" s="121" t="s">
        <v>5266</v>
      </c>
    </row>
    <row r="8064" spans="1:8" ht="15" x14ac:dyDescent="0.2">
      <c r="A8064" s="597">
        <v>43734</v>
      </c>
      <c r="B8064" s="41" t="s">
        <v>25</v>
      </c>
      <c r="C8064" s="41" t="s">
        <v>4428</v>
      </c>
      <c r="D8064" s="129" t="s">
        <v>370</v>
      </c>
      <c r="E8064" s="58">
        <v>600</v>
      </c>
      <c r="F8064" s="58"/>
      <c r="G8064" s="58">
        <f t="shared" si="131"/>
        <v>-600</v>
      </c>
      <c r="H8064" s="121" t="s">
        <v>5266</v>
      </c>
    </row>
    <row r="8065" spans="1:9" ht="15" x14ac:dyDescent="0.2">
      <c r="A8065" s="597">
        <v>43734</v>
      </c>
      <c r="B8065" s="41" t="s">
        <v>2933</v>
      </c>
      <c r="C8065" s="41" t="s">
        <v>286</v>
      </c>
      <c r="D8065" s="129" t="s">
        <v>940</v>
      </c>
      <c r="E8065" s="58">
        <v>1000</v>
      </c>
      <c r="F8065" s="58"/>
      <c r="G8065" s="58">
        <f t="shared" si="131"/>
        <v>-1000</v>
      </c>
      <c r="H8065" s="121" t="s">
        <v>5266</v>
      </c>
    </row>
    <row r="8066" spans="1:9" ht="15" x14ac:dyDescent="0.2">
      <c r="A8066" s="597">
        <v>43734</v>
      </c>
      <c r="B8066" s="41" t="s">
        <v>2933</v>
      </c>
      <c r="C8066" s="41" t="s">
        <v>3145</v>
      </c>
      <c r="D8066" s="129" t="s">
        <v>5358</v>
      </c>
      <c r="E8066" s="58">
        <v>22400</v>
      </c>
      <c r="F8066" s="58"/>
      <c r="G8066" s="58">
        <f t="shared" si="131"/>
        <v>-22400</v>
      </c>
      <c r="H8066" s="121" t="s">
        <v>5266</v>
      </c>
    </row>
    <row r="8067" spans="1:9" ht="15" x14ac:dyDescent="0.2">
      <c r="A8067" s="597">
        <v>43735</v>
      </c>
      <c r="B8067" s="41" t="s">
        <v>2933</v>
      </c>
      <c r="C8067" s="41" t="s">
        <v>3145</v>
      </c>
      <c r="D8067" s="129" t="s">
        <v>5359</v>
      </c>
      <c r="E8067" s="58">
        <v>15920</v>
      </c>
      <c r="F8067" s="58"/>
      <c r="G8067" s="58">
        <f t="shared" si="131"/>
        <v>-15920</v>
      </c>
      <c r="H8067" s="121" t="s">
        <v>5266</v>
      </c>
    </row>
    <row r="8068" spans="1:9" ht="24" x14ac:dyDescent="0.2">
      <c r="A8068" s="597">
        <v>43738</v>
      </c>
      <c r="B8068" s="41" t="s">
        <v>2933</v>
      </c>
      <c r="C8068" s="41" t="s">
        <v>3145</v>
      </c>
      <c r="D8068" s="129" t="s">
        <v>5360</v>
      </c>
      <c r="E8068" s="58">
        <v>6406</v>
      </c>
      <c r="F8068" s="58"/>
      <c r="G8068" s="58">
        <f t="shared" si="131"/>
        <v>-6406</v>
      </c>
      <c r="H8068" s="121" t="s">
        <v>5266</v>
      </c>
    </row>
    <row r="8069" spans="1:9" ht="15" x14ac:dyDescent="0.2">
      <c r="A8069" s="597">
        <v>43738</v>
      </c>
      <c r="B8069" s="41" t="s">
        <v>5227</v>
      </c>
      <c r="C8069" s="41" t="s">
        <v>2190</v>
      </c>
      <c r="D8069" s="129" t="s">
        <v>370</v>
      </c>
      <c r="E8069" s="58">
        <v>450</v>
      </c>
      <c r="F8069" s="58"/>
      <c r="G8069" s="58">
        <f t="shared" si="131"/>
        <v>-450</v>
      </c>
      <c r="H8069" s="121" t="s">
        <v>5266</v>
      </c>
    </row>
    <row r="8070" spans="1:9" ht="15" x14ac:dyDescent="0.2">
      <c r="A8070" s="597">
        <v>43738</v>
      </c>
      <c r="B8070" s="41" t="s">
        <v>5052</v>
      </c>
      <c r="C8070" s="41" t="s">
        <v>3145</v>
      </c>
      <c r="D8070" s="129"/>
      <c r="E8070" s="58">
        <v>330</v>
      </c>
      <c r="F8070" s="58"/>
      <c r="G8070" s="58">
        <f t="shared" si="131"/>
        <v>-330</v>
      </c>
      <c r="H8070" s="121" t="s">
        <v>5266</v>
      </c>
    </row>
    <row r="8071" spans="1:9" ht="15" x14ac:dyDescent="0.2">
      <c r="A8071" s="597">
        <v>43738</v>
      </c>
      <c r="B8071" s="41" t="s">
        <v>16</v>
      </c>
      <c r="C8071" s="41" t="s">
        <v>103</v>
      </c>
      <c r="D8071" s="129" t="s">
        <v>4086</v>
      </c>
      <c r="E8071" s="58">
        <v>36769</v>
      </c>
      <c r="F8071" s="58"/>
      <c r="G8071" s="58">
        <f t="shared" si="131"/>
        <v>-36769</v>
      </c>
      <c r="H8071" s="121" t="s">
        <v>5266</v>
      </c>
    </row>
    <row r="8072" spans="1:9" ht="24" x14ac:dyDescent="0.2">
      <c r="A8072" s="602">
        <v>43710</v>
      </c>
      <c r="B8072" s="174" t="s">
        <v>6516</v>
      </c>
      <c r="C8072" s="174" t="s">
        <v>307</v>
      </c>
      <c r="D8072" s="818" t="s">
        <v>5269</v>
      </c>
      <c r="E8072" s="236">
        <v>40000</v>
      </c>
      <c r="F8072" s="236"/>
      <c r="G8072" s="236">
        <f t="shared" si="131"/>
        <v>-40000</v>
      </c>
      <c r="H8072" s="244" t="s">
        <v>5266</v>
      </c>
      <c r="I8072" s="40"/>
    </row>
    <row r="8073" spans="1:9" ht="24" x14ac:dyDescent="0.2">
      <c r="A8073" s="602">
        <v>43711</v>
      </c>
      <c r="B8073" s="174" t="s">
        <v>1400</v>
      </c>
      <c r="C8073" s="174" t="s">
        <v>1524</v>
      </c>
      <c r="D8073" s="818" t="s">
        <v>5237</v>
      </c>
      <c r="E8073" s="236">
        <v>852222</v>
      </c>
      <c r="F8073" s="236"/>
      <c r="G8073" s="236">
        <f t="shared" si="131"/>
        <v>-852222</v>
      </c>
      <c r="H8073" s="244" t="s">
        <v>5266</v>
      </c>
      <c r="I8073" s="40"/>
    </row>
    <row r="8074" spans="1:9" ht="24" x14ac:dyDescent="0.2">
      <c r="A8074" s="602">
        <v>43711</v>
      </c>
      <c r="B8074" s="174" t="s">
        <v>1400</v>
      </c>
      <c r="C8074" s="174" t="s">
        <v>1524</v>
      </c>
      <c r="D8074" s="818" t="s">
        <v>5237</v>
      </c>
      <c r="E8074" s="236">
        <v>850000</v>
      </c>
      <c r="F8074" s="236"/>
      <c r="G8074" s="236">
        <f t="shared" si="131"/>
        <v>-850000</v>
      </c>
      <c r="H8074" s="244" t="s">
        <v>5266</v>
      </c>
      <c r="I8074" s="40"/>
    </row>
    <row r="8075" spans="1:9" ht="15" x14ac:dyDescent="0.2">
      <c r="A8075" s="602">
        <v>43712</v>
      </c>
      <c r="B8075" s="174" t="s">
        <v>1400</v>
      </c>
      <c r="C8075" s="174" t="s">
        <v>3226</v>
      </c>
      <c r="D8075" s="818" t="s">
        <v>5278</v>
      </c>
      <c r="E8075" s="236">
        <v>300000</v>
      </c>
      <c r="F8075" s="236"/>
      <c r="G8075" s="236">
        <f t="shared" si="131"/>
        <v>-300000</v>
      </c>
      <c r="H8075" s="244" t="s">
        <v>5266</v>
      </c>
      <c r="I8075" s="40"/>
    </row>
    <row r="8076" spans="1:9" ht="15" x14ac:dyDescent="0.2">
      <c r="A8076" s="602">
        <v>43712</v>
      </c>
      <c r="B8076" s="174" t="s">
        <v>1400</v>
      </c>
      <c r="C8076" s="174" t="s">
        <v>3226</v>
      </c>
      <c r="D8076" s="818" t="s">
        <v>5278</v>
      </c>
      <c r="E8076" s="236">
        <v>300000</v>
      </c>
      <c r="F8076" s="236"/>
      <c r="G8076" s="236">
        <f t="shared" si="131"/>
        <v>-300000</v>
      </c>
      <c r="H8076" s="244" t="s">
        <v>5266</v>
      </c>
      <c r="I8076" s="40"/>
    </row>
    <row r="8077" spans="1:9" ht="15" x14ac:dyDescent="0.2">
      <c r="A8077" s="602">
        <v>43712</v>
      </c>
      <c r="B8077" s="174" t="s">
        <v>1400</v>
      </c>
      <c r="C8077" s="174" t="s">
        <v>3226</v>
      </c>
      <c r="D8077" s="818" t="s">
        <v>5278</v>
      </c>
      <c r="E8077" s="236">
        <v>300000</v>
      </c>
      <c r="F8077" s="236"/>
      <c r="G8077" s="236">
        <f t="shared" si="131"/>
        <v>-300000</v>
      </c>
      <c r="H8077" s="244" t="s">
        <v>5266</v>
      </c>
      <c r="I8077" s="40"/>
    </row>
    <row r="8078" spans="1:9" ht="15" x14ac:dyDescent="0.2">
      <c r="A8078" s="602">
        <v>43712</v>
      </c>
      <c r="B8078" s="174" t="s">
        <v>1400</v>
      </c>
      <c r="C8078" s="174" t="s">
        <v>3226</v>
      </c>
      <c r="D8078" s="818" t="s">
        <v>5278</v>
      </c>
      <c r="E8078" s="236">
        <v>300000</v>
      </c>
      <c r="F8078" s="236"/>
      <c r="G8078" s="236">
        <f t="shared" si="131"/>
        <v>-300000</v>
      </c>
      <c r="H8078" s="244" t="s">
        <v>5266</v>
      </c>
      <c r="I8078" s="40"/>
    </row>
    <row r="8079" spans="1:9" ht="15" x14ac:dyDescent="0.2">
      <c r="A8079" s="602">
        <v>43712</v>
      </c>
      <c r="B8079" s="174" t="s">
        <v>2933</v>
      </c>
      <c r="C8079" s="174" t="s">
        <v>3112</v>
      </c>
      <c r="D8079" s="818" t="s">
        <v>5279</v>
      </c>
      <c r="E8079" s="236">
        <v>100000</v>
      </c>
      <c r="F8079" s="236"/>
      <c r="G8079" s="236">
        <f t="shared" si="131"/>
        <v>-100000</v>
      </c>
      <c r="H8079" s="244" t="s">
        <v>5266</v>
      </c>
      <c r="I8079" s="40"/>
    </row>
    <row r="8080" spans="1:9" ht="15" x14ac:dyDescent="0.2">
      <c r="A8080" s="602">
        <v>43712</v>
      </c>
      <c r="B8080" s="174" t="s">
        <v>2652</v>
      </c>
      <c r="C8080" s="356" t="s">
        <v>3011</v>
      </c>
      <c r="D8080" s="825" t="s">
        <v>5280</v>
      </c>
      <c r="E8080" s="236">
        <v>80000</v>
      </c>
      <c r="F8080" s="236"/>
      <c r="G8080" s="236">
        <f t="shared" si="131"/>
        <v>-80000</v>
      </c>
      <c r="H8080" s="244" t="s">
        <v>5266</v>
      </c>
      <c r="I8080" s="40"/>
    </row>
    <row r="8081" spans="1:9" ht="15" x14ac:dyDescent="0.2">
      <c r="A8081" s="602">
        <v>43713</v>
      </c>
      <c r="B8081" s="174" t="s">
        <v>5052</v>
      </c>
      <c r="C8081" s="174" t="s">
        <v>5229</v>
      </c>
      <c r="D8081" s="818" t="s">
        <v>5281</v>
      </c>
      <c r="E8081" s="236">
        <v>64975</v>
      </c>
      <c r="F8081" s="236"/>
      <c r="G8081" s="236">
        <f t="shared" si="131"/>
        <v>-64975</v>
      </c>
      <c r="H8081" s="244" t="s">
        <v>5266</v>
      </c>
      <c r="I8081" s="40"/>
    </row>
    <row r="8082" spans="1:9" ht="15" x14ac:dyDescent="0.2">
      <c r="A8082" s="602">
        <v>43714</v>
      </c>
      <c r="B8082" s="174" t="s">
        <v>1400</v>
      </c>
      <c r="C8082" s="174" t="s">
        <v>1355</v>
      </c>
      <c r="D8082" s="818" t="s">
        <v>5283</v>
      </c>
      <c r="E8082" s="236">
        <v>10000</v>
      </c>
      <c r="F8082" s="236"/>
      <c r="G8082" s="236">
        <f t="shared" si="131"/>
        <v>-10000</v>
      </c>
      <c r="H8082" s="244" t="s">
        <v>5266</v>
      </c>
      <c r="I8082" s="40"/>
    </row>
    <row r="8083" spans="1:9" ht="15" x14ac:dyDescent="0.2">
      <c r="A8083" s="602">
        <v>43714</v>
      </c>
      <c r="B8083" s="174" t="s">
        <v>1400</v>
      </c>
      <c r="C8083" s="174" t="s">
        <v>4334</v>
      </c>
      <c r="D8083" s="818" t="s">
        <v>5282</v>
      </c>
      <c r="E8083" s="236">
        <v>40000</v>
      </c>
      <c r="F8083" s="236"/>
      <c r="G8083" s="236">
        <f t="shared" si="131"/>
        <v>-40000</v>
      </c>
      <c r="H8083" s="244" t="s">
        <v>5266</v>
      </c>
      <c r="I8083" s="40"/>
    </row>
    <row r="8084" spans="1:9" ht="15" x14ac:dyDescent="0.2">
      <c r="A8084" s="602">
        <v>43714</v>
      </c>
      <c r="B8084" s="174" t="s">
        <v>2652</v>
      </c>
      <c r="C8084" s="174" t="s">
        <v>4870</v>
      </c>
      <c r="D8084" s="818" t="s">
        <v>5284</v>
      </c>
      <c r="E8084" s="236">
        <v>86000</v>
      </c>
      <c r="F8084" s="236"/>
      <c r="G8084" s="236">
        <f t="shared" si="131"/>
        <v>-86000</v>
      </c>
      <c r="H8084" s="244" t="s">
        <v>5266</v>
      </c>
      <c r="I8084" s="40"/>
    </row>
    <row r="8085" spans="1:9" ht="15" x14ac:dyDescent="0.2">
      <c r="A8085" s="602">
        <v>43720</v>
      </c>
      <c r="B8085" s="174" t="s">
        <v>6516</v>
      </c>
      <c r="C8085" s="174" t="s">
        <v>3003</v>
      </c>
      <c r="D8085" s="818" t="s">
        <v>5285</v>
      </c>
      <c r="E8085" s="236">
        <v>60743</v>
      </c>
      <c r="F8085" s="236"/>
      <c r="G8085" s="236">
        <f t="shared" si="131"/>
        <v>-60743</v>
      </c>
      <c r="H8085" s="244" t="s">
        <v>5266</v>
      </c>
      <c r="I8085" s="40"/>
    </row>
    <row r="8086" spans="1:9" ht="15" x14ac:dyDescent="0.2">
      <c r="A8086" s="602">
        <v>43720</v>
      </c>
      <c r="B8086" s="174" t="s">
        <v>37</v>
      </c>
      <c r="C8086" s="174" t="s">
        <v>3003</v>
      </c>
      <c r="D8086" s="818" t="s">
        <v>5285</v>
      </c>
      <c r="E8086" s="236">
        <v>12960</v>
      </c>
      <c r="F8086" s="236"/>
      <c r="G8086" s="236">
        <f t="shared" si="131"/>
        <v>-12960</v>
      </c>
      <c r="H8086" s="244" t="s">
        <v>5266</v>
      </c>
      <c r="I8086" s="40"/>
    </row>
    <row r="8087" spans="1:9" ht="15" x14ac:dyDescent="0.2">
      <c r="A8087" s="602">
        <v>43720</v>
      </c>
      <c r="B8087" s="174" t="s">
        <v>3945</v>
      </c>
      <c r="C8087" s="174" t="s">
        <v>3003</v>
      </c>
      <c r="D8087" s="818" t="s">
        <v>5285</v>
      </c>
      <c r="E8087" s="236">
        <v>32760</v>
      </c>
      <c r="F8087" s="236"/>
      <c r="G8087" s="236">
        <f t="shared" si="131"/>
        <v>-32760</v>
      </c>
      <c r="H8087" s="244" t="s">
        <v>5266</v>
      </c>
      <c r="I8087" s="40"/>
    </row>
    <row r="8088" spans="1:9" ht="15" x14ac:dyDescent="0.2">
      <c r="A8088" s="602">
        <v>43720</v>
      </c>
      <c r="B8088" s="174" t="s">
        <v>3946</v>
      </c>
      <c r="C8088" s="174" t="s">
        <v>3003</v>
      </c>
      <c r="D8088" s="818" t="s">
        <v>5285</v>
      </c>
      <c r="E8088" s="236">
        <v>30160</v>
      </c>
      <c r="F8088" s="236"/>
      <c r="G8088" s="236">
        <f t="shared" si="131"/>
        <v>-30160</v>
      </c>
      <c r="H8088" s="244" t="s">
        <v>5266</v>
      </c>
      <c r="I8088" s="40"/>
    </row>
    <row r="8089" spans="1:9" ht="15" x14ac:dyDescent="0.2">
      <c r="A8089" s="602">
        <v>43720</v>
      </c>
      <c r="B8089" s="174" t="s">
        <v>5227</v>
      </c>
      <c r="C8089" s="174" t="s">
        <v>5289</v>
      </c>
      <c r="D8089" s="818" t="s">
        <v>5290</v>
      </c>
      <c r="E8089" s="236">
        <v>25000</v>
      </c>
      <c r="F8089" s="236"/>
      <c r="G8089" s="236">
        <f t="shared" si="131"/>
        <v>-25000</v>
      </c>
      <c r="H8089" s="244" t="s">
        <v>5266</v>
      </c>
      <c r="I8089" s="40"/>
    </row>
    <row r="8090" spans="1:9" ht="15" x14ac:dyDescent="0.2">
      <c r="A8090" s="602">
        <v>43721</v>
      </c>
      <c r="B8090" s="174" t="s">
        <v>1400</v>
      </c>
      <c r="C8090" s="174" t="s">
        <v>6170</v>
      </c>
      <c r="D8090" s="818" t="s">
        <v>5291</v>
      </c>
      <c r="E8090" s="236">
        <v>72600</v>
      </c>
      <c r="F8090" s="236"/>
      <c r="G8090" s="236">
        <f t="shared" si="131"/>
        <v>-72600</v>
      </c>
      <c r="H8090" s="244" t="s">
        <v>5266</v>
      </c>
      <c r="I8090" s="40"/>
    </row>
    <row r="8091" spans="1:9" ht="15" x14ac:dyDescent="0.2">
      <c r="A8091" s="602">
        <v>43721</v>
      </c>
      <c r="B8091" s="174" t="s">
        <v>5227</v>
      </c>
      <c r="C8091" s="174" t="s">
        <v>895</v>
      </c>
      <c r="D8091" s="818" t="s">
        <v>5295</v>
      </c>
      <c r="E8091" s="236">
        <v>150000</v>
      </c>
      <c r="F8091" s="236"/>
      <c r="G8091" s="236">
        <f t="shared" si="131"/>
        <v>-150000</v>
      </c>
      <c r="H8091" s="244" t="s">
        <v>5266</v>
      </c>
      <c r="I8091" s="40"/>
    </row>
    <row r="8092" spans="1:9" ht="15" x14ac:dyDescent="0.2">
      <c r="A8092" s="602">
        <v>43721</v>
      </c>
      <c r="B8092" s="174" t="s">
        <v>25</v>
      </c>
      <c r="C8092" s="174" t="s">
        <v>2428</v>
      </c>
      <c r="D8092" s="818" t="s">
        <v>5296</v>
      </c>
      <c r="E8092" s="236">
        <v>72118</v>
      </c>
      <c r="F8092" s="236"/>
      <c r="G8092" s="236">
        <f t="shared" si="131"/>
        <v>-72118</v>
      </c>
      <c r="H8092" s="244" t="s">
        <v>5266</v>
      </c>
      <c r="I8092" s="40"/>
    </row>
    <row r="8093" spans="1:9" ht="15" x14ac:dyDescent="0.2">
      <c r="A8093" s="602">
        <v>43721</v>
      </c>
      <c r="B8093" s="174" t="s">
        <v>25</v>
      </c>
      <c r="C8093" s="174" t="s">
        <v>5297</v>
      </c>
      <c r="D8093" s="818" t="s">
        <v>5224</v>
      </c>
      <c r="E8093" s="236">
        <v>23000</v>
      </c>
      <c r="F8093" s="236"/>
      <c r="G8093" s="236">
        <f t="shared" si="131"/>
        <v>-23000</v>
      </c>
      <c r="H8093" s="244" t="s">
        <v>5266</v>
      </c>
      <c r="I8093" s="40"/>
    </row>
    <row r="8094" spans="1:9" ht="15" x14ac:dyDescent="0.2">
      <c r="A8094" s="602">
        <v>43721</v>
      </c>
      <c r="B8094" s="174" t="s">
        <v>2652</v>
      </c>
      <c r="C8094" s="174" t="s">
        <v>251</v>
      </c>
      <c r="D8094" s="818" t="s">
        <v>5298</v>
      </c>
      <c r="E8094" s="236">
        <v>44275</v>
      </c>
      <c r="F8094" s="236"/>
      <c r="G8094" s="236">
        <f t="shared" si="131"/>
        <v>-44275</v>
      </c>
      <c r="H8094" s="244" t="s">
        <v>5266</v>
      </c>
      <c r="I8094" s="40"/>
    </row>
    <row r="8095" spans="1:9" ht="15" x14ac:dyDescent="0.2">
      <c r="A8095" s="602">
        <v>43721</v>
      </c>
      <c r="B8095" s="174" t="s">
        <v>1400</v>
      </c>
      <c r="C8095" s="174" t="s">
        <v>2515</v>
      </c>
      <c r="D8095" s="818" t="s">
        <v>5299</v>
      </c>
      <c r="E8095" s="236">
        <v>22000</v>
      </c>
      <c r="F8095" s="236"/>
      <c r="G8095" s="236">
        <f t="shared" si="131"/>
        <v>-22000</v>
      </c>
      <c r="H8095" s="244" t="s">
        <v>5266</v>
      </c>
      <c r="I8095" s="40"/>
    </row>
    <row r="8096" spans="1:9" ht="24" x14ac:dyDescent="0.2">
      <c r="A8096" s="602">
        <v>43721</v>
      </c>
      <c r="B8096" s="174" t="s">
        <v>1400</v>
      </c>
      <c r="C8096" s="174" t="s">
        <v>2515</v>
      </c>
      <c r="D8096" s="818" t="s">
        <v>5300</v>
      </c>
      <c r="E8096" s="236">
        <v>167000</v>
      </c>
      <c r="F8096" s="236"/>
      <c r="G8096" s="236">
        <f t="shared" si="131"/>
        <v>-167000</v>
      </c>
      <c r="H8096" s="244" t="s">
        <v>5266</v>
      </c>
      <c r="I8096" s="40"/>
    </row>
    <row r="8097" spans="1:9" ht="15" x14ac:dyDescent="0.2">
      <c r="A8097" s="602">
        <v>43724</v>
      </c>
      <c r="B8097" s="174" t="s">
        <v>5227</v>
      </c>
      <c r="C8097" s="174" t="s">
        <v>5187</v>
      </c>
      <c r="D8097" s="818" t="s">
        <v>5303</v>
      </c>
      <c r="E8097" s="236">
        <v>75000</v>
      </c>
      <c r="F8097" s="236"/>
      <c r="G8097" s="236">
        <f t="shared" si="131"/>
        <v>-75000</v>
      </c>
      <c r="H8097" s="244" t="s">
        <v>5266</v>
      </c>
      <c r="I8097" s="40"/>
    </row>
    <row r="8098" spans="1:9" ht="15" customHeight="1" x14ac:dyDescent="0.2">
      <c r="A8098" s="602">
        <v>43724</v>
      </c>
      <c r="B8098" s="174" t="s">
        <v>2652</v>
      </c>
      <c r="C8098" s="174" t="s">
        <v>5187</v>
      </c>
      <c r="D8098" s="818" t="s">
        <v>5304</v>
      </c>
      <c r="E8098" s="236">
        <v>100000</v>
      </c>
      <c r="F8098" s="236"/>
      <c r="G8098" s="236">
        <f t="shared" si="131"/>
        <v>-100000</v>
      </c>
      <c r="H8098" s="244" t="s">
        <v>5266</v>
      </c>
      <c r="I8098" s="40"/>
    </row>
    <row r="8099" spans="1:9" ht="15" customHeight="1" x14ac:dyDescent="0.2">
      <c r="A8099" s="602">
        <v>43724</v>
      </c>
      <c r="B8099" s="174" t="s">
        <v>2933</v>
      </c>
      <c r="C8099" s="174" t="s">
        <v>3145</v>
      </c>
      <c r="D8099" s="818" t="s">
        <v>5305</v>
      </c>
      <c r="E8099" s="236">
        <v>29550</v>
      </c>
      <c r="F8099" s="236"/>
      <c r="G8099" s="236">
        <f t="shared" si="131"/>
        <v>-29550</v>
      </c>
      <c r="H8099" s="244" t="s">
        <v>5266</v>
      </c>
      <c r="I8099" s="40"/>
    </row>
    <row r="8100" spans="1:9" ht="15" customHeight="1" x14ac:dyDescent="0.2">
      <c r="A8100" s="602">
        <v>43724</v>
      </c>
      <c r="B8100" s="174" t="s">
        <v>2933</v>
      </c>
      <c r="C8100" s="174" t="s">
        <v>3145</v>
      </c>
      <c r="D8100" s="818" t="s">
        <v>5425</v>
      </c>
      <c r="E8100" s="236">
        <v>39800</v>
      </c>
      <c r="F8100" s="236"/>
      <c r="G8100" s="236">
        <f t="shared" si="131"/>
        <v>-39800</v>
      </c>
      <c r="H8100" s="244" t="s">
        <v>5266</v>
      </c>
      <c r="I8100" s="40"/>
    </row>
    <row r="8101" spans="1:9" ht="15" x14ac:dyDescent="0.2">
      <c r="A8101" s="602">
        <v>43726</v>
      </c>
      <c r="B8101" s="174" t="s">
        <v>5052</v>
      </c>
      <c r="C8101" s="174" t="s">
        <v>3428</v>
      </c>
      <c r="D8101" s="818" t="s">
        <v>5306</v>
      </c>
      <c r="E8101" s="236">
        <v>90000</v>
      </c>
      <c r="F8101" s="236"/>
      <c r="G8101" s="236">
        <f t="shared" si="131"/>
        <v>-90000</v>
      </c>
      <c r="H8101" s="244" t="s">
        <v>5266</v>
      </c>
      <c r="I8101" s="40"/>
    </row>
    <row r="8102" spans="1:9" ht="15" x14ac:dyDescent="0.2">
      <c r="A8102" s="602">
        <v>43726</v>
      </c>
      <c r="B8102" s="174" t="s">
        <v>2652</v>
      </c>
      <c r="C8102" s="174" t="s">
        <v>4870</v>
      </c>
      <c r="D8102" s="818" t="s">
        <v>5307</v>
      </c>
      <c r="E8102" s="236">
        <v>43000</v>
      </c>
      <c r="F8102" s="236"/>
      <c r="G8102" s="236">
        <f t="shared" si="131"/>
        <v>-43000</v>
      </c>
      <c r="H8102" s="244" t="s">
        <v>5266</v>
      </c>
      <c r="I8102" s="40"/>
    </row>
    <row r="8103" spans="1:9" ht="15" x14ac:dyDescent="0.2">
      <c r="A8103" s="602">
        <v>43728</v>
      </c>
      <c r="B8103" s="174" t="s">
        <v>2933</v>
      </c>
      <c r="C8103" s="174" t="s">
        <v>3011</v>
      </c>
      <c r="D8103" s="818" t="s">
        <v>5308</v>
      </c>
      <c r="E8103" s="236">
        <v>16500</v>
      </c>
      <c r="F8103" s="236"/>
      <c r="G8103" s="236">
        <f t="shared" si="131"/>
        <v>-16500</v>
      </c>
      <c r="H8103" s="244" t="s">
        <v>5266</v>
      </c>
      <c r="I8103" s="40"/>
    </row>
    <row r="8104" spans="1:9" ht="24" x14ac:dyDescent="0.2">
      <c r="A8104" s="602">
        <v>43728</v>
      </c>
      <c r="B8104" s="174" t="s">
        <v>2652</v>
      </c>
      <c r="C8104" s="174" t="s">
        <v>3011</v>
      </c>
      <c r="D8104" s="818" t="s">
        <v>5310</v>
      </c>
      <c r="E8104" s="236">
        <v>200000</v>
      </c>
      <c r="F8104" s="236"/>
      <c r="G8104" s="236">
        <f t="shared" si="131"/>
        <v>-200000</v>
      </c>
      <c r="H8104" s="244" t="s">
        <v>5266</v>
      </c>
      <c r="I8104" s="40"/>
    </row>
    <row r="8105" spans="1:9" ht="24" x14ac:dyDescent="0.2">
      <c r="A8105" s="602">
        <v>43728</v>
      </c>
      <c r="B8105" s="174" t="s">
        <v>2933</v>
      </c>
      <c r="C8105" s="174" t="s">
        <v>3011</v>
      </c>
      <c r="D8105" s="818" t="s">
        <v>5310</v>
      </c>
      <c r="E8105" s="236">
        <v>50000</v>
      </c>
      <c r="F8105" s="236"/>
      <c r="G8105" s="236">
        <f t="shared" si="131"/>
        <v>-50000</v>
      </c>
      <c r="H8105" s="244" t="s">
        <v>5266</v>
      </c>
      <c r="I8105" s="40"/>
    </row>
    <row r="8106" spans="1:9" ht="24" x14ac:dyDescent="0.2">
      <c r="A8106" s="602">
        <v>43729</v>
      </c>
      <c r="B8106" s="174" t="s">
        <v>1400</v>
      </c>
      <c r="C8106" s="174" t="s">
        <v>3226</v>
      </c>
      <c r="D8106" s="818" t="s">
        <v>5310</v>
      </c>
      <c r="E8106" s="236">
        <v>250000</v>
      </c>
      <c r="F8106" s="236"/>
      <c r="G8106" s="236">
        <f t="shared" si="131"/>
        <v>-250000</v>
      </c>
      <c r="H8106" s="244" t="s">
        <v>5266</v>
      </c>
      <c r="I8106" s="40"/>
    </row>
    <row r="8107" spans="1:9" ht="24" x14ac:dyDescent="0.2">
      <c r="A8107" s="602">
        <v>43729</v>
      </c>
      <c r="B8107" s="174" t="s">
        <v>1400</v>
      </c>
      <c r="C8107" s="174" t="s">
        <v>3226</v>
      </c>
      <c r="D8107" s="818" t="s">
        <v>5310</v>
      </c>
      <c r="E8107" s="236">
        <v>250000</v>
      </c>
      <c r="F8107" s="236"/>
      <c r="G8107" s="236">
        <f t="shared" ref="G8107:G8170" si="132">F8107-E8107</f>
        <v>-250000</v>
      </c>
      <c r="H8107" s="244" t="s">
        <v>5266</v>
      </c>
      <c r="I8107" s="40"/>
    </row>
    <row r="8108" spans="1:9" ht="24" customHeight="1" x14ac:dyDescent="0.2">
      <c r="A8108" s="602">
        <v>43729</v>
      </c>
      <c r="B8108" s="174" t="s">
        <v>1400</v>
      </c>
      <c r="C8108" s="174" t="s">
        <v>3226</v>
      </c>
      <c r="D8108" s="818" t="s">
        <v>5310</v>
      </c>
      <c r="E8108" s="236">
        <v>250000</v>
      </c>
      <c r="F8108" s="236"/>
      <c r="G8108" s="236">
        <f t="shared" si="132"/>
        <v>-250000</v>
      </c>
      <c r="H8108" s="244" t="s">
        <v>5266</v>
      </c>
      <c r="I8108" s="40"/>
    </row>
    <row r="8109" spans="1:9" ht="15" customHeight="1" x14ac:dyDescent="0.2">
      <c r="A8109" s="602">
        <v>43729</v>
      </c>
      <c r="B8109" s="174" t="s">
        <v>2652</v>
      </c>
      <c r="C8109" s="174" t="s">
        <v>4870</v>
      </c>
      <c r="D8109" s="818" t="s">
        <v>5314</v>
      </c>
      <c r="E8109" s="236">
        <v>86000</v>
      </c>
      <c r="F8109" s="236"/>
      <c r="G8109" s="236">
        <f t="shared" si="132"/>
        <v>-86000</v>
      </c>
      <c r="H8109" s="244" t="s">
        <v>5266</v>
      </c>
      <c r="I8109" s="40"/>
    </row>
    <row r="8110" spans="1:9" ht="15" customHeight="1" x14ac:dyDescent="0.2">
      <c r="A8110" s="602">
        <v>43731</v>
      </c>
      <c r="B8110" s="174" t="s">
        <v>2652</v>
      </c>
      <c r="C8110" s="174" t="s">
        <v>251</v>
      </c>
      <c r="D8110" s="818" t="s">
        <v>2655</v>
      </c>
      <c r="E8110" s="236">
        <v>25000</v>
      </c>
      <c r="F8110" s="236"/>
      <c r="G8110" s="236">
        <f t="shared" si="132"/>
        <v>-25000</v>
      </c>
      <c r="H8110" s="244" t="s">
        <v>5266</v>
      </c>
      <c r="I8110" s="40"/>
    </row>
    <row r="8111" spans="1:9" ht="24" x14ac:dyDescent="0.2">
      <c r="A8111" s="602">
        <v>43731</v>
      </c>
      <c r="B8111" s="174" t="s">
        <v>1400</v>
      </c>
      <c r="C8111" s="174" t="s">
        <v>5316</v>
      </c>
      <c r="D8111" s="818" t="s">
        <v>5315</v>
      </c>
      <c r="E8111" s="236">
        <v>70000</v>
      </c>
      <c r="F8111" s="236"/>
      <c r="G8111" s="236">
        <f t="shared" si="132"/>
        <v>-70000</v>
      </c>
      <c r="H8111" s="244" t="s">
        <v>5266</v>
      </c>
      <c r="I8111" s="40"/>
    </row>
    <row r="8112" spans="1:9" ht="15" x14ac:dyDescent="0.2">
      <c r="A8112" s="602">
        <v>43731</v>
      </c>
      <c r="B8112" s="174" t="s">
        <v>2787</v>
      </c>
      <c r="C8112" s="174" t="s">
        <v>5272</v>
      </c>
      <c r="D8112" s="818" t="s">
        <v>5317</v>
      </c>
      <c r="E8112" s="236">
        <v>13000</v>
      </c>
      <c r="F8112" s="236"/>
      <c r="G8112" s="236">
        <f t="shared" si="132"/>
        <v>-13000</v>
      </c>
      <c r="H8112" s="244" t="s">
        <v>5266</v>
      </c>
      <c r="I8112" s="40"/>
    </row>
    <row r="8113" spans="1:9" ht="24" x14ac:dyDescent="0.2">
      <c r="A8113" s="602">
        <v>43731</v>
      </c>
      <c r="B8113" s="174" t="s">
        <v>1400</v>
      </c>
      <c r="C8113" s="174" t="s">
        <v>5318</v>
      </c>
      <c r="D8113" s="818" t="s">
        <v>5319</v>
      </c>
      <c r="E8113" s="236">
        <v>180000</v>
      </c>
      <c r="F8113" s="236"/>
      <c r="G8113" s="236">
        <f t="shared" si="132"/>
        <v>-180000</v>
      </c>
      <c r="H8113" s="244" t="s">
        <v>5266</v>
      </c>
      <c r="I8113" s="40"/>
    </row>
    <row r="8114" spans="1:9" ht="15" x14ac:dyDescent="0.2">
      <c r="A8114" s="602">
        <v>43732</v>
      </c>
      <c r="B8114" s="174" t="s">
        <v>5227</v>
      </c>
      <c r="C8114" s="174" t="s">
        <v>573</v>
      </c>
      <c r="D8114" s="818" t="s">
        <v>5321</v>
      </c>
      <c r="E8114" s="236">
        <v>35000</v>
      </c>
      <c r="F8114" s="236"/>
      <c r="G8114" s="236">
        <f t="shared" si="132"/>
        <v>-35000</v>
      </c>
      <c r="H8114" s="244" t="s">
        <v>5266</v>
      </c>
      <c r="I8114" s="40"/>
    </row>
    <row r="8115" spans="1:9" ht="15" x14ac:dyDescent="0.2">
      <c r="A8115" s="602">
        <v>43733</v>
      </c>
      <c r="B8115" s="174" t="s">
        <v>2933</v>
      </c>
      <c r="C8115" s="174" t="s">
        <v>4684</v>
      </c>
      <c r="D8115" s="818" t="s">
        <v>5322</v>
      </c>
      <c r="E8115" s="236">
        <v>150000</v>
      </c>
      <c r="F8115" s="236"/>
      <c r="G8115" s="236">
        <f t="shared" si="132"/>
        <v>-150000</v>
      </c>
      <c r="H8115" s="244" t="s">
        <v>5266</v>
      </c>
      <c r="I8115" s="40"/>
    </row>
    <row r="8116" spans="1:9" ht="24" x14ac:dyDescent="0.2">
      <c r="A8116" s="602">
        <v>43733</v>
      </c>
      <c r="B8116" s="174" t="s">
        <v>2652</v>
      </c>
      <c r="C8116" s="174" t="s">
        <v>5323</v>
      </c>
      <c r="D8116" s="818" t="s">
        <v>5324</v>
      </c>
      <c r="E8116" s="236">
        <v>51800</v>
      </c>
      <c r="F8116" s="236"/>
      <c r="G8116" s="236">
        <f t="shared" si="132"/>
        <v>-51800</v>
      </c>
      <c r="H8116" s="244" t="s">
        <v>5266</v>
      </c>
      <c r="I8116" s="40"/>
    </row>
    <row r="8117" spans="1:9" ht="24" x14ac:dyDescent="0.2">
      <c r="A8117" s="602">
        <v>43733</v>
      </c>
      <c r="B8117" s="174" t="s">
        <v>5227</v>
      </c>
      <c r="C8117" s="174" t="s">
        <v>5323</v>
      </c>
      <c r="D8117" s="818" t="s">
        <v>5325</v>
      </c>
      <c r="E8117" s="236">
        <v>70000</v>
      </c>
      <c r="F8117" s="236"/>
      <c r="G8117" s="236">
        <f t="shared" si="132"/>
        <v>-70000</v>
      </c>
      <c r="H8117" s="244" t="s">
        <v>5266</v>
      </c>
      <c r="I8117" s="40"/>
    </row>
    <row r="8118" spans="1:9" ht="15" x14ac:dyDescent="0.2">
      <c r="A8118" s="602">
        <v>43734</v>
      </c>
      <c r="B8118" s="174" t="s">
        <v>5227</v>
      </c>
      <c r="C8118" s="174" t="s">
        <v>251</v>
      </c>
      <c r="D8118" s="818" t="s">
        <v>5326</v>
      </c>
      <c r="E8118" s="236">
        <v>60000</v>
      </c>
      <c r="F8118" s="236"/>
      <c r="G8118" s="236">
        <f t="shared" si="132"/>
        <v>-60000</v>
      </c>
      <c r="H8118" s="244" t="s">
        <v>5266</v>
      </c>
      <c r="I8118" s="40"/>
    </row>
    <row r="8119" spans="1:9" ht="15" x14ac:dyDescent="0.2">
      <c r="A8119" s="602">
        <v>43734</v>
      </c>
      <c r="B8119" s="174" t="s">
        <v>2933</v>
      </c>
      <c r="C8119" s="174" t="s">
        <v>5327</v>
      </c>
      <c r="D8119" s="818" t="s">
        <v>5328</v>
      </c>
      <c r="E8119" s="236">
        <v>100000</v>
      </c>
      <c r="F8119" s="236"/>
      <c r="G8119" s="236">
        <f t="shared" si="132"/>
        <v>-100000</v>
      </c>
      <c r="H8119" s="244" t="s">
        <v>5266</v>
      </c>
      <c r="I8119" s="40"/>
    </row>
    <row r="8120" spans="1:9" ht="15" x14ac:dyDescent="0.2">
      <c r="A8120" s="602">
        <v>43735</v>
      </c>
      <c r="B8120" s="174" t="s">
        <v>2652</v>
      </c>
      <c r="C8120" s="174" t="s">
        <v>4331</v>
      </c>
      <c r="D8120" s="818" t="s">
        <v>5330</v>
      </c>
      <c r="E8120" s="236">
        <v>21000</v>
      </c>
      <c r="F8120" s="236"/>
      <c r="G8120" s="236">
        <f t="shared" si="132"/>
        <v>-21000</v>
      </c>
      <c r="H8120" s="244" t="s">
        <v>5266</v>
      </c>
      <c r="I8120" s="40"/>
    </row>
    <row r="8121" spans="1:9" ht="15" x14ac:dyDescent="0.2">
      <c r="A8121" s="602">
        <v>43735</v>
      </c>
      <c r="B8121" s="174" t="s">
        <v>5052</v>
      </c>
      <c r="C8121" s="174" t="s">
        <v>4725</v>
      </c>
      <c r="D8121" s="818" t="s">
        <v>5331</v>
      </c>
      <c r="E8121" s="236">
        <v>15800</v>
      </c>
      <c r="F8121" s="236"/>
      <c r="G8121" s="236">
        <f t="shared" si="132"/>
        <v>-15800</v>
      </c>
      <c r="H8121" s="244" t="s">
        <v>5266</v>
      </c>
      <c r="I8121" s="40"/>
    </row>
    <row r="8122" spans="1:9" ht="15" x14ac:dyDescent="0.2">
      <c r="A8122" s="602">
        <v>43735</v>
      </c>
      <c r="B8122" s="174" t="s">
        <v>2933</v>
      </c>
      <c r="C8122" s="174" t="s">
        <v>2310</v>
      </c>
      <c r="D8122" s="818" t="s">
        <v>5332</v>
      </c>
      <c r="E8122" s="236">
        <v>30000</v>
      </c>
      <c r="F8122" s="236"/>
      <c r="G8122" s="236">
        <f t="shared" si="132"/>
        <v>-30000</v>
      </c>
      <c r="H8122" s="244" t="s">
        <v>5266</v>
      </c>
      <c r="I8122" s="40"/>
    </row>
    <row r="8123" spans="1:9" ht="15" x14ac:dyDescent="0.2">
      <c r="A8123" s="602">
        <v>43738</v>
      </c>
      <c r="B8123" s="174" t="s">
        <v>1400</v>
      </c>
      <c r="C8123" s="174" t="s">
        <v>4908</v>
      </c>
      <c r="D8123" s="818" t="s">
        <v>370</v>
      </c>
      <c r="E8123" s="236">
        <v>7000</v>
      </c>
      <c r="F8123" s="236"/>
      <c r="G8123" s="236">
        <f t="shared" si="132"/>
        <v>-7000</v>
      </c>
      <c r="H8123" s="244" t="s">
        <v>5266</v>
      </c>
      <c r="I8123" s="40"/>
    </row>
    <row r="8124" spans="1:9" ht="15" x14ac:dyDescent="0.2">
      <c r="A8124" s="602">
        <v>43738</v>
      </c>
      <c r="B8124" s="174" t="s">
        <v>2933</v>
      </c>
      <c r="C8124" s="174" t="s">
        <v>4908</v>
      </c>
      <c r="D8124" s="818" t="s">
        <v>370</v>
      </c>
      <c r="E8124" s="236">
        <v>17000</v>
      </c>
      <c r="F8124" s="236"/>
      <c r="G8124" s="236">
        <f t="shared" si="132"/>
        <v>-17000</v>
      </c>
      <c r="H8124" s="244" t="s">
        <v>5266</v>
      </c>
      <c r="I8124" s="40"/>
    </row>
    <row r="8125" spans="1:9" ht="15" x14ac:dyDescent="0.2">
      <c r="A8125" s="602">
        <v>43738</v>
      </c>
      <c r="B8125" s="174" t="s">
        <v>2652</v>
      </c>
      <c r="C8125" s="174" t="s">
        <v>5333</v>
      </c>
      <c r="D8125" s="818" t="s">
        <v>5334</v>
      </c>
      <c r="E8125" s="236">
        <v>115000</v>
      </c>
      <c r="F8125" s="236"/>
      <c r="G8125" s="236">
        <f t="shared" si="132"/>
        <v>-115000</v>
      </c>
      <c r="H8125" s="244" t="s">
        <v>5266</v>
      </c>
      <c r="I8125" s="40"/>
    </row>
    <row r="8126" spans="1:9" ht="15" x14ac:dyDescent="0.2">
      <c r="A8126" s="602">
        <v>43738</v>
      </c>
      <c r="B8126" s="174" t="s">
        <v>2652</v>
      </c>
      <c r="C8126" s="174" t="s">
        <v>5335</v>
      </c>
      <c r="D8126" s="818" t="s">
        <v>5336</v>
      </c>
      <c r="E8126" s="236">
        <v>42000</v>
      </c>
      <c r="F8126" s="236"/>
      <c r="G8126" s="236">
        <f t="shared" si="132"/>
        <v>-42000</v>
      </c>
      <c r="H8126" s="244" t="s">
        <v>5266</v>
      </c>
      <c r="I8126" s="40"/>
    </row>
    <row r="8127" spans="1:9" ht="24" x14ac:dyDescent="0.2">
      <c r="A8127" s="602">
        <v>43738</v>
      </c>
      <c r="B8127" s="174" t="s">
        <v>1400</v>
      </c>
      <c r="C8127" s="174" t="s">
        <v>1524</v>
      </c>
      <c r="D8127" s="826" t="s">
        <v>5338</v>
      </c>
      <c r="E8127" s="236">
        <v>1291618</v>
      </c>
      <c r="F8127" s="236"/>
      <c r="G8127" s="236">
        <f t="shared" si="132"/>
        <v>-1291618</v>
      </c>
      <c r="H8127" s="244" t="s">
        <v>5266</v>
      </c>
      <c r="I8127" s="40"/>
    </row>
    <row r="8128" spans="1:9" ht="24" x14ac:dyDescent="0.2">
      <c r="A8128" s="602">
        <v>43738</v>
      </c>
      <c r="B8128" s="174" t="s">
        <v>2933</v>
      </c>
      <c r="C8128" s="174" t="s">
        <v>5112</v>
      </c>
      <c r="D8128" s="826" t="s">
        <v>5337</v>
      </c>
      <c r="E8128" s="236">
        <v>2281500</v>
      </c>
      <c r="F8128" s="236"/>
      <c r="G8128" s="236">
        <f t="shared" si="132"/>
        <v>-2281500</v>
      </c>
      <c r="H8128" s="244" t="s">
        <v>5266</v>
      </c>
      <c r="I8128" s="40"/>
    </row>
    <row r="8129" spans="1:8" ht="24" x14ac:dyDescent="0.2">
      <c r="A8129" s="599">
        <v>43711</v>
      </c>
      <c r="B8129" s="91" t="s">
        <v>1400</v>
      </c>
      <c r="C8129" s="91" t="s">
        <v>559</v>
      </c>
      <c r="D8129" s="798" t="s">
        <v>9107</v>
      </c>
      <c r="E8129" s="92"/>
      <c r="F8129" s="92">
        <v>852222</v>
      </c>
      <c r="G8129" s="92">
        <f t="shared" si="132"/>
        <v>852222</v>
      </c>
      <c r="H8129" s="261" t="s">
        <v>5266</v>
      </c>
    </row>
    <row r="8130" spans="1:8" ht="24" x14ac:dyDescent="0.2">
      <c r="A8130" s="599">
        <v>43711</v>
      </c>
      <c r="B8130" s="91" t="s">
        <v>1400</v>
      </c>
      <c r="C8130" s="91" t="s">
        <v>559</v>
      </c>
      <c r="D8130" s="798" t="s">
        <v>9108</v>
      </c>
      <c r="E8130" s="92"/>
      <c r="F8130" s="92">
        <v>850000</v>
      </c>
      <c r="G8130" s="92">
        <f t="shared" si="132"/>
        <v>850000</v>
      </c>
      <c r="H8130" s="261" t="s">
        <v>5266</v>
      </c>
    </row>
    <row r="8131" spans="1:8" ht="24" x14ac:dyDescent="0.2">
      <c r="A8131" s="599">
        <v>43713</v>
      </c>
      <c r="B8131" s="91" t="s">
        <v>2652</v>
      </c>
      <c r="C8131" s="91" t="s">
        <v>559</v>
      </c>
      <c r="D8131" s="798" t="s">
        <v>9109</v>
      </c>
      <c r="E8131" s="92"/>
      <c r="F8131" s="92">
        <v>2225000</v>
      </c>
      <c r="G8131" s="92">
        <f t="shared" si="132"/>
        <v>2225000</v>
      </c>
      <c r="H8131" s="261" t="s">
        <v>5266</v>
      </c>
    </row>
    <row r="8132" spans="1:8" ht="24" x14ac:dyDescent="0.2">
      <c r="A8132" s="599">
        <v>43713</v>
      </c>
      <c r="B8132" s="91" t="s">
        <v>2652</v>
      </c>
      <c r="C8132" s="91" t="s">
        <v>559</v>
      </c>
      <c r="D8132" s="798" t="s">
        <v>5286</v>
      </c>
      <c r="E8132" s="92"/>
      <c r="F8132" s="92">
        <v>500000</v>
      </c>
      <c r="G8132" s="92">
        <f t="shared" si="132"/>
        <v>500000</v>
      </c>
      <c r="H8132" s="261" t="s">
        <v>5266</v>
      </c>
    </row>
    <row r="8133" spans="1:8" ht="15" x14ac:dyDescent="0.2">
      <c r="A8133" s="599">
        <v>43724</v>
      </c>
      <c r="B8133" s="91" t="s">
        <v>3946</v>
      </c>
      <c r="C8133" s="91" t="s">
        <v>559</v>
      </c>
      <c r="D8133" s="801" t="s">
        <v>5287</v>
      </c>
      <c r="E8133" s="92"/>
      <c r="F8133" s="92">
        <v>295582</v>
      </c>
      <c r="G8133" s="92">
        <f t="shared" si="132"/>
        <v>295582</v>
      </c>
      <c r="H8133" s="261" t="s">
        <v>5266</v>
      </c>
    </row>
    <row r="8134" spans="1:8" ht="15" x14ac:dyDescent="0.2">
      <c r="A8134" s="599">
        <v>43725</v>
      </c>
      <c r="B8134" s="91" t="s">
        <v>3945</v>
      </c>
      <c r="C8134" s="91" t="s">
        <v>559</v>
      </c>
      <c r="D8134" s="801" t="s">
        <v>5287</v>
      </c>
      <c r="E8134" s="92"/>
      <c r="F8134" s="92">
        <v>321064</v>
      </c>
      <c r="G8134" s="92">
        <f t="shared" si="132"/>
        <v>321064</v>
      </c>
      <c r="H8134" s="261" t="s">
        <v>5266</v>
      </c>
    </row>
    <row r="8135" spans="1:8" ht="15" x14ac:dyDescent="0.2">
      <c r="A8135" s="599">
        <v>43728</v>
      </c>
      <c r="B8135" s="91" t="s">
        <v>5227</v>
      </c>
      <c r="C8135" s="91" t="s">
        <v>559</v>
      </c>
      <c r="D8135" s="801" t="s">
        <v>9110</v>
      </c>
      <c r="E8135" s="92"/>
      <c r="F8135" s="92">
        <v>250000</v>
      </c>
      <c r="G8135" s="92">
        <f t="shared" si="132"/>
        <v>250000</v>
      </c>
      <c r="H8135" s="261" t="s">
        <v>5266</v>
      </c>
    </row>
    <row r="8136" spans="1:8" ht="15" x14ac:dyDescent="0.2">
      <c r="A8136" s="599">
        <v>43728</v>
      </c>
      <c r="B8136" s="91" t="s">
        <v>5227</v>
      </c>
      <c r="C8136" s="91" t="s">
        <v>559</v>
      </c>
      <c r="D8136" s="801" t="s">
        <v>9111</v>
      </c>
      <c r="E8136" s="92"/>
      <c r="F8136" s="92">
        <v>250000</v>
      </c>
      <c r="G8136" s="92">
        <f t="shared" si="132"/>
        <v>250000</v>
      </c>
      <c r="H8136" s="261" t="s">
        <v>5266</v>
      </c>
    </row>
    <row r="8137" spans="1:8" ht="15" x14ac:dyDescent="0.2">
      <c r="A8137" s="599">
        <v>43728</v>
      </c>
      <c r="B8137" s="91" t="s">
        <v>5227</v>
      </c>
      <c r="C8137" s="91" t="s">
        <v>559</v>
      </c>
      <c r="D8137" s="801" t="s">
        <v>9111</v>
      </c>
      <c r="E8137" s="92"/>
      <c r="F8137" s="92">
        <v>250000</v>
      </c>
      <c r="G8137" s="92">
        <f t="shared" si="132"/>
        <v>250000</v>
      </c>
      <c r="H8137" s="261" t="s">
        <v>5266</v>
      </c>
    </row>
    <row r="8138" spans="1:8" ht="15" x14ac:dyDescent="0.2">
      <c r="A8138" s="599">
        <v>43728</v>
      </c>
      <c r="B8138" s="91" t="s">
        <v>5227</v>
      </c>
      <c r="C8138" s="91" t="s">
        <v>559</v>
      </c>
      <c r="D8138" s="801" t="s">
        <v>9111</v>
      </c>
      <c r="E8138" s="92"/>
      <c r="F8138" s="92">
        <v>250000</v>
      </c>
      <c r="G8138" s="92">
        <f t="shared" si="132"/>
        <v>250000</v>
      </c>
      <c r="H8138" s="261" t="s">
        <v>5266</v>
      </c>
    </row>
    <row r="8139" spans="1:8" ht="15" x14ac:dyDescent="0.2">
      <c r="A8139" s="599">
        <v>43728</v>
      </c>
      <c r="B8139" s="91" t="s">
        <v>5052</v>
      </c>
      <c r="C8139" s="91" t="s">
        <v>559</v>
      </c>
      <c r="D8139" s="801" t="s">
        <v>9112</v>
      </c>
      <c r="E8139" s="92"/>
      <c r="F8139" s="92">
        <v>219591</v>
      </c>
      <c r="G8139" s="92">
        <f t="shared" si="132"/>
        <v>219591</v>
      </c>
      <c r="H8139" s="261" t="s">
        <v>5266</v>
      </c>
    </row>
    <row r="8140" spans="1:8" ht="24" x14ac:dyDescent="0.2">
      <c r="A8140" s="599">
        <v>43728</v>
      </c>
      <c r="B8140" s="91" t="s">
        <v>5052</v>
      </c>
      <c r="C8140" s="91" t="s">
        <v>559</v>
      </c>
      <c r="D8140" s="798" t="s">
        <v>9113</v>
      </c>
      <c r="E8140" s="92"/>
      <c r="F8140" s="92">
        <v>2281500</v>
      </c>
      <c r="G8140" s="92">
        <f t="shared" si="132"/>
        <v>2281500</v>
      </c>
      <c r="H8140" s="261" t="s">
        <v>5266</v>
      </c>
    </row>
    <row r="8141" spans="1:8" ht="24" x14ac:dyDescent="0.2">
      <c r="A8141" s="599">
        <v>43728</v>
      </c>
      <c r="B8141" s="91" t="s">
        <v>5052</v>
      </c>
      <c r="C8141" s="91" t="s">
        <v>559</v>
      </c>
      <c r="D8141" s="798" t="s">
        <v>9114</v>
      </c>
      <c r="E8141" s="92"/>
      <c r="F8141" s="92">
        <v>180000</v>
      </c>
      <c r="G8141" s="92">
        <f t="shared" si="132"/>
        <v>180000</v>
      </c>
      <c r="H8141" s="261" t="s">
        <v>5266</v>
      </c>
    </row>
    <row r="8142" spans="1:8" ht="24" x14ac:dyDescent="0.2">
      <c r="A8142" s="599">
        <v>43733</v>
      </c>
      <c r="B8142" s="91" t="s">
        <v>4721</v>
      </c>
      <c r="C8142" s="91" t="s">
        <v>559</v>
      </c>
      <c r="D8142" s="798" t="s">
        <v>9115</v>
      </c>
      <c r="E8142" s="92"/>
      <c r="F8142" s="92">
        <v>1291618</v>
      </c>
      <c r="G8142" s="92">
        <f t="shared" si="132"/>
        <v>1291618</v>
      </c>
      <c r="H8142" s="261" t="s">
        <v>5266</v>
      </c>
    </row>
    <row r="8143" spans="1:8" ht="15" x14ac:dyDescent="0.2">
      <c r="A8143" s="599">
        <v>43734</v>
      </c>
      <c r="B8143" s="91" t="s">
        <v>37</v>
      </c>
      <c r="C8143" s="91" t="s">
        <v>559</v>
      </c>
      <c r="D8143" s="801" t="s">
        <v>5312</v>
      </c>
      <c r="E8143" s="92"/>
      <c r="F8143" s="92">
        <v>157140</v>
      </c>
      <c r="G8143" s="92">
        <f t="shared" si="132"/>
        <v>157140</v>
      </c>
      <c r="H8143" s="261" t="s">
        <v>5266</v>
      </c>
    </row>
    <row r="8144" spans="1:8" ht="15" x14ac:dyDescent="0.2">
      <c r="A8144" s="599">
        <v>43734</v>
      </c>
      <c r="B8144" s="91" t="s">
        <v>37</v>
      </c>
      <c r="C8144" s="91" t="s">
        <v>559</v>
      </c>
      <c r="D8144" s="801" t="s">
        <v>5313</v>
      </c>
      <c r="E8144" s="92"/>
      <c r="F8144" s="92">
        <v>157140</v>
      </c>
      <c r="G8144" s="92">
        <f t="shared" si="132"/>
        <v>157140</v>
      </c>
      <c r="H8144" s="261" t="s">
        <v>5266</v>
      </c>
    </row>
    <row r="8145" spans="1:8" ht="15" x14ac:dyDescent="0.2">
      <c r="A8145" s="597">
        <v>43739</v>
      </c>
      <c r="B8145" s="41" t="s">
        <v>5052</v>
      </c>
      <c r="C8145" s="41" t="s">
        <v>3145</v>
      </c>
      <c r="D8145" s="108" t="s">
        <v>5361</v>
      </c>
      <c r="E8145" s="42">
        <v>6850</v>
      </c>
      <c r="G8145" s="58">
        <f t="shared" si="132"/>
        <v>-6850</v>
      </c>
      <c r="H8145" s="121" t="s">
        <v>5378</v>
      </c>
    </row>
    <row r="8146" spans="1:8" ht="15" x14ac:dyDescent="0.2">
      <c r="A8146" s="597">
        <v>43739</v>
      </c>
      <c r="B8146" s="41" t="s">
        <v>2652</v>
      </c>
      <c r="C8146" s="41" t="s">
        <v>2190</v>
      </c>
      <c r="E8146" s="42">
        <v>4200</v>
      </c>
      <c r="G8146" s="58">
        <f t="shared" si="132"/>
        <v>-4200</v>
      </c>
      <c r="H8146" s="121" t="s">
        <v>5378</v>
      </c>
    </row>
    <row r="8147" spans="1:8" ht="15" x14ac:dyDescent="0.2">
      <c r="A8147" s="597">
        <v>43739</v>
      </c>
      <c r="B8147" s="41" t="s">
        <v>1400</v>
      </c>
      <c r="C8147" s="41" t="s">
        <v>2190</v>
      </c>
      <c r="E8147" s="42">
        <v>1500</v>
      </c>
      <c r="G8147" s="58">
        <f t="shared" si="132"/>
        <v>-1500</v>
      </c>
      <c r="H8147" s="121" t="s">
        <v>5378</v>
      </c>
    </row>
    <row r="8148" spans="1:8" ht="15" x14ac:dyDescent="0.2">
      <c r="A8148" s="597">
        <v>43739</v>
      </c>
      <c r="B8148" s="41" t="s">
        <v>16</v>
      </c>
      <c r="C8148" s="41" t="s">
        <v>3364</v>
      </c>
      <c r="E8148" s="42">
        <v>4200</v>
      </c>
      <c r="G8148" s="42">
        <f t="shared" si="132"/>
        <v>-4200</v>
      </c>
      <c r="H8148" s="121" t="s">
        <v>5378</v>
      </c>
    </row>
    <row r="8149" spans="1:8" ht="15" x14ac:dyDescent="0.2">
      <c r="A8149" s="597">
        <v>43739</v>
      </c>
      <c r="B8149" s="41" t="s">
        <v>1400</v>
      </c>
      <c r="C8149" s="41" t="s">
        <v>2503</v>
      </c>
      <c r="D8149" s="108" t="s">
        <v>372</v>
      </c>
      <c r="E8149" s="42">
        <v>25000</v>
      </c>
      <c r="G8149" s="42">
        <f t="shared" si="132"/>
        <v>-25000</v>
      </c>
      <c r="H8149" s="121" t="s">
        <v>5378</v>
      </c>
    </row>
    <row r="8150" spans="1:8" ht="15" x14ac:dyDescent="0.2">
      <c r="A8150" s="597">
        <v>43739</v>
      </c>
      <c r="B8150" s="41" t="s">
        <v>2933</v>
      </c>
      <c r="C8150" s="41" t="s">
        <v>2503</v>
      </c>
      <c r="D8150" s="108" t="s">
        <v>372</v>
      </c>
      <c r="E8150" s="42">
        <v>25000</v>
      </c>
      <c r="G8150" s="42">
        <f t="shared" si="132"/>
        <v>-25000</v>
      </c>
      <c r="H8150" s="121" t="s">
        <v>5378</v>
      </c>
    </row>
    <row r="8151" spans="1:8" ht="15" x14ac:dyDescent="0.2">
      <c r="A8151" s="597">
        <v>43739</v>
      </c>
      <c r="B8151" s="41" t="s">
        <v>2652</v>
      </c>
      <c r="C8151" s="41" t="s">
        <v>2503</v>
      </c>
      <c r="D8151" s="108" t="s">
        <v>940</v>
      </c>
      <c r="E8151" s="42">
        <v>25000</v>
      </c>
      <c r="G8151" s="42">
        <f t="shared" si="132"/>
        <v>-25000</v>
      </c>
      <c r="H8151" s="121" t="s">
        <v>5378</v>
      </c>
    </row>
    <row r="8152" spans="1:8" ht="15" x14ac:dyDescent="0.2">
      <c r="A8152" s="597">
        <v>43739</v>
      </c>
      <c r="B8152" s="41" t="s">
        <v>5227</v>
      </c>
      <c r="C8152" s="41" t="s">
        <v>2503</v>
      </c>
      <c r="D8152" s="108" t="s">
        <v>940</v>
      </c>
      <c r="E8152" s="42">
        <v>25000</v>
      </c>
      <c r="G8152" s="42">
        <f t="shared" si="132"/>
        <v>-25000</v>
      </c>
      <c r="H8152" s="121" t="s">
        <v>5378</v>
      </c>
    </row>
    <row r="8153" spans="1:8" ht="15" x14ac:dyDescent="0.2">
      <c r="A8153" s="597">
        <v>43739</v>
      </c>
      <c r="B8153" s="41" t="s">
        <v>25</v>
      </c>
      <c r="C8153" s="41" t="s">
        <v>2503</v>
      </c>
      <c r="D8153" s="108" t="s">
        <v>5019</v>
      </c>
      <c r="E8153" s="42">
        <v>55000</v>
      </c>
      <c r="G8153" s="42">
        <f t="shared" si="132"/>
        <v>-55000</v>
      </c>
      <c r="H8153" s="121" t="s">
        <v>5378</v>
      </c>
    </row>
    <row r="8154" spans="1:8" ht="15" x14ac:dyDescent="0.2">
      <c r="A8154" s="597">
        <v>43739</v>
      </c>
      <c r="B8154" s="41" t="s">
        <v>16</v>
      </c>
      <c r="C8154" s="41" t="s">
        <v>2503</v>
      </c>
      <c r="D8154" s="108" t="s">
        <v>16</v>
      </c>
      <c r="E8154" s="42">
        <v>93000</v>
      </c>
      <c r="G8154" s="42">
        <f t="shared" si="132"/>
        <v>-93000</v>
      </c>
      <c r="H8154" s="121" t="s">
        <v>5378</v>
      </c>
    </row>
    <row r="8155" spans="1:8" ht="15" x14ac:dyDescent="0.2">
      <c r="A8155" s="597">
        <v>43739</v>
      </c>
      <c r="B8155" s="41" t="s">
        <v>3945</v>
      </c>
      <c r="C8155" s="41" t="s">
        <v>2503</v>
      </c>
      <c r="D8155" s="108" t="s">
        <v>5020</v>
      </c>
      <c r="E8155" s="42">
        <v>169499.5</v>
      </c>
      <c r="G8155" s="42">
        <f t="shared" si="132"/>
        <v>-169499.5</v>
      </c>
      <c r="H8155" s="121" t="s">
        <v>5378</v>
      </c>
    </row>
    <row r="8156" spans="1:8" ht="15" x14ac:dyDescent="0.2">
      <c r="A8156" s="597">
        <v>43739</v>
      </c>
      <c r="B8156" s="41" t="s">
        <v>3946</v>
      </c>
      <c r="C8156" s="41" t="s">
        <v>2503</v>
      </c>
      <c r="D8156" s="108" t="s">
        <v>5021</v>
      </c>
      <c r="E8156" s="42">
        <v>178750.58333333334</v>
      </c>
      <c r="G8156" s="42">
        <f t="shared" si="132"/>
        <v>-178750.58333333334</v>
      </c>
      <c r="H8156" s="121" t="s">
        <v>5378</v>
      </c>
    </row>
    <row r="8157" spans="1:8" ht="15" x14ac:dyDescent="0.2">
      <c r="A8157" s="597">
        <v>43739</v>
      </c>
      <c r="B8157" s="41" t="s">
        <v>1400</v>
      </c>
      <c r="C8157" s="41" t="s">
        <v>2503</v>
      </c>
      <c r="D8157" s="108" t="s">
        <v>1084</v>
      </c>
      <c r="E8157" s="42">
        <v>347220.79166666663</v>
      </c>
      <c r="G8157" s="42">
        <f t="shared" si="132"/>
        <v>-347220.79166666663</v>
      </c>
      <c r="H8157" s="121" t="s">
        <v>5378</v>
      </c>
    </row>
    <row r="8158" spans="1:8" ht="15" x14ac:dyDescent="0.2">
      <c r="A8158" s="597">
        <v>43739</v>
      </c>
      <c r="B8158" s="41" t="s">
        <v>6516</v>
      </c>
      <c r="C8158" s="41" t="s">
        <v>2503</v>
      </c>
      <c r="D8158" s="108" t="s">
        <v>5022</v>
      </c>
      <c r="E8158" s="42">
        <v>94633.333333333328</v>
      </c>
      <c r="G8158" s="42">
        <f t="shared" si="132"/>
        <v>-94633.333333333328</v>
      </c>
      <c r="H8158" s="121" t="s">
        <v>5378</v>
      </c>
    </row>
    <row r="8159" spans="1:8" ht="15" x14ac:dyDescent="0.2">
      <c r="A8159" s="597">
        <v>43739</v>
      </c>
      <c r="B8159" s="41" t="s">
        <v>37</v>
      </c>
      <c r="C8159" s="41" t="s">
        <v>2503</v>
      </c>
      <c r="D8159" s="108" t="s">
        <v>5023</v>
      </c>
      <c r="E8159" s="42">
        <v>90437.5</v>
      </c>
      <c r="G8159" s="42">
        <f t="shared" si="132"/>
        <v>-90437.5</v>
      </c>
      <c r="H8159" s="121" t="s">
        <v>5378</v>
      </c>
    </row>
    <row r="8160" spans="1:8" ht="15" x14ac:dyDescent="0.2">
      <c r="A8160" s="597">
        <v>43739</v>
      </c>
      <c r="B8160" s="41" t="s">
        <v>2933</v>
      </c>
      <c r="C8160" s="41" t="s">
        <v>2503</v>
      </c>
      <c r="D8160" s="108" t="s">
        <v>5024</v>
      </c>
      <c r="E8160" s="42">
        <v>216154.16666666669</v>
      </c>
      <c r="G8160" s="42">
        <f t="shared" si="132"/>
        <v>-216154.16666666669</v>
      </c>
      <c r="H8160" s="121" t="s">
        <v>5378</v>
      </c>
    </row>
    <row r="8161" spans="1:8" ht="15" x14ac:dyDescent="0.2">
      <c r="A8161" s="597">
        <v>43739</v>
      </c>
      <c r="B8161" s="41" t="s">
        <v>2652</v>
      </c>
      <c r="C8161" s="41" t="s">
        <v>2503</v>
      </c>
      <c r="D8161" s="108" t="s">
        <v>5025</v>
      </c>
      <c r="E8161" s="42">
        <v>160373.29166666666</v>
      </c>
      <c r="G8161" s="42">
        <f t="shared" si="132"/>
        <v>-160373.29166666666</v>
      </c>
      <c r="H8161" s="121" t="s">
        <v>5378</v>
      </c>
    </row>
    <row r="8162" spans="1:8" ht="15" x14ac:dyDescent="0.2">
      <c r="A8162" s="597">
        <v>43739</v>
      </c>
      <c r="B8162" s="41" t="s">
        <v>5052</v>
      </c>
      <c r="C8162" s="41" t="s">
        <v>2503</v>
      </c>
      <c r="D8162" s="108" t="s">
        <v>5131</v>
      </c>
      <c r="E8162" s="42">
        <v>23083.333333333332</v>
      </c>
      <c r="G8162" s="42">
        <f t="shared" si="132"/>
        <v>-23083.333333333332</v>
      </c>
      <c r="H8162" s="121" t="s">
        <v>5378</v>
      </c>
    </row>
    <row r="8163" spans="1:8" ht="15" x14ac:dyDescent="0.2">
      <c r="A8163" s="597">
        <v>43741</v>
      </c>
      <c r="B8163" s="41" t="s">
        <v>5052</v>
      </c>
      <c r="C8163" s="41" t="s">
        <v>3145</v>
      </c>
      <c r="D8163" s="108" t="s">
        <v>5362</v>
      </c>
      <c r="E8163" s="42">
        <v>15000</v>
      </c>
      <c r="G8163" s="42">
        <f t="shared" si="132"/>
        <v>-15000</v>
      </c>
      <c r="H8163" s="121" t="s">
        <v>5378</v>
      </c>
    </row>
    <row r="8164" spans="1:8" ht="15" x14ac:dyDescent="0.2">
      <c r="A8164" s="597">
        <v>43741</v>
      </c>
      <c r="B8164" s="41" t="s">
        <v>2933</v>
      </c>
      <c r="C8164" s="41" t="s">
        <v>2190</v>
      </c>
      <c r="E8164" s="42">
        <v>750</v>
      </c>
      <c r="G8164" s="42">
        <f t="shared" si="132"/>
        <v>-750</v>
      </c>
      <c r="H8164" s="121" t="s">
        <v>5378</v>
      </c>
    </row>
    <row r="8165" spans="1:8" ht="15" x14ac:dyDescent="0.2">
      <c r="A8165" s="597">
        <v>43741</v>
      </c>
      <c r="B8165" s="41" t="s">
        <v>6516</v>
      </c>
      <c r="C8165" s="41" t="s">
        <v>3145</v>
      </c>
      <c r="D8165" s="108" t="s">
        <v>5363</v>
      </c>
      <c r="E8165" s="42">
        <v>1176</v>
      </c>
      <c r="G8165" s="42">
        <f t="shared" si="132"/>
        <v>-1176</v>
      </c>
      <c r="H8165" s="121" t="s">
        <v>5378</v>
      </c>
    </row>
    <row r="8166" spans="1:8" ht="15" x14ac:dyDescent="0.2">
      <c r="A8166" s="597">
        <v>43741</v>
      </c>
      <c r="B8166" s="41" t="s">
        <v>2652</v>
      </c>
      <c r="C8166" s="41" t="s">
        <v>3145</v>
      </c>
      <c r="D8166" s="108" t="s">
        <v>5364</v>
      </c>
      <c r="E8166" s="42">
        <v>9000</v>
      </c>
      <c r="G8166" s="42">
        <f t="shared" si="132"/>
        <v>-9000</v>
      </c>
      <c r="H8166" s="121" t="s">
        <v>5378</v>
      </c>
    </row>
    <row r="8167" spans="1:8" ht="15" x14ac:dyDescent="0.2">
      <c r="A8167" s="597">
        <v>43742</v>
      </c>
      <c r="B8167" s="41" t="s">
        <v>1400</v>
      </c>
      <c r="C8167" s="41" t="s">
        <v>3145</v>
      </c>
      <c r="D8167" s="108" t="s">
        <v>5380</v>
      </c>
      <c r="E8167" s="42">
        <v>19700</v>
      </c>
      <c r="G8167" s="42">
        <f t="shared" si="132"/>
        <v>-19700</v>
      </c>
      <c r="H8167" s="121" t="s">
        <v>5378</v>
      </c>
    </row>
    <row r="8168" spans="1:8" ht="15" x14ac:dyDescent="0.2">
      <c r="A8168" s="597">
        <v>43742</v>
      </c>
      <c r="B8168" s="41" t="s">
        <v>2652</v>
      </c>
      <c r="C8168" s="41" t="s">
        <v>2190</v>
      </c>
      <c r="E8168" s="42">
        <v>4200</v>
      </c>
      <c r="G8168" s="42">
        <f t="shared" si="132"/>
        <v>-4200</v>
      </c>
      <c r="H8168" s="121" t="s">
        <v>5378</v>
      </c>
    </row>
    <row r="8169" spans="1:8" ht="15" x14ac:dyDescent="0.2">
      <c r="A8169" s="597">
        <v>43742</v>
      </c>
      <c r="B8169" s="41" t="s">
        <v>5052</v>
      </c>
      <c r="C8169" s="41" t="s">
        <v>3145</v>
      </c>
      <c r="D8169" s="108" t="s">
        <v>3991</v>
      </c>
      <c r="E8169" s="42">
        <v>350</v>
      </c>
      <c r="G8169" s="42">
        <f t="shared" si="132"/>
        <v>-350</v>
      </c>
      <c r="H8169" s="121" t="s">
        <v>5378</v>
      </c>
    </row>
    <row r="8170" spans="1:8" ht="15" x14ac:dyDescent="0.2">
      <c r="A8170" s="597">
        <v>43742</v>
      </c>
      <c r="B8170" s="41" t="s">
        <v>5227</v>
      </c>
      <c r="C8170" s="41" t="s">
        <v>3145</v>
      </c>
      <c r="D8170" s="108" t="s">
        <v>3991</v>
      </c>
      <c r="E8170" s="42">
        <v>6210</v>
      </c>
      <c r="G8170" s="42">
        <f t="shared" si="132"/>
        <v>-6210</v>
      </c>
      <c r="H8170" s="121" t="s">
        <v>5378</v>
      </c>
    </row>
    <row r="8171" spans="1:8" ht="15" x14ac:dyDescent="0.2">
      <c r="A8171" s="597">
        <v>43742</v>
      </c>
      <c r="B8171" s="41" t="s">
        <v>2933</v>
      </c>
      <c r="C8171" s="41" t="s">
        <v>3145</v>
      </c>
      <c r="D8171" s="108" t="s">
        <v>3991</v>
      </c>
      <c r="E8171" s="42">
        <v>7440</v>
      </c>
      <c r="G8171" s="42">
        <f t="shared" ref="G8171:G8234" si="133">F8171-E8171</f>
        <v>-7440</v>
      </c>
      <c r="H8171" s="121" t="s">
        <v>5378</v>
      </c>
    </row>
    <row r="8172" spans="1:8" ht="15" x14ac:dyDescent="0.2">
      <c r="A8172" s="597">
        <v>43742</v>
      </c>
      <c r="B8172" s="41" t="s">
        <v>2933</v>
      </c>
      <c r="C8172" s="41" t="s">
        <v>286</v>
      </c>
      <c r="D8172" s="108" t="s">
        <v>3787</v>
      </c>
      <c r="E8172" s="42">
        <f>14940/2</f>
        <v>7470</v>
      </c>
      <c r="G8172" s="42">
        <f t="shared" si="133"/>
        <v>-7470</v>
      </c>
      <c r="H8172" s="121" t="s">
        <v>5378</v>
      </c>
    </row>
    <row r="8173" spans="1:8" ht="15" x14ac:dyDescent="0.2">
      <c r="A8173" s="597">
        <v>43742</v>
      </c>
      <c r="B8173" s="41" t="s">
        <v>2933</v>
      </c>
      <c r="C8173" s="41" t="s">
        <v>286</v>
      </c>
      <c r="D8173" s="108" t="s">
        <v>3787</v>
      </c>
      <c r="E8173" s="42">
        <f>14940/2</f>
        <v>7470</v>
      </c>
      <c r="G8173" s="42">
        <f t="shared" si="133"/>
        <v>-7470</v>
      </c>
      <c r="H8173" s="121" t="s">
        <v>5378</v>
      </c>
    </row>
    <row r="8174" spans="1:8" ht="15" x14ac:dyDescent="0.2">
      <c r="A8174" s="597">
        <v>43742</v>
      </c>
      <c r="B8174" s="41" t="s">
        <v>16</v>
      </c>
      <c r="C8174" s="41" t="s">
        <v>103</v>
      </c>
      <c r="D8174" s="108" t="s">
        <v>5381</v>
      </c>
      <c r="E8174" s="42">
        <v>320</v>
      </c>
      <c r="G8174" s="42">
        <f t="shared" si="133"/>
        <v>-320</v>
      </c>
      <c r="H8174" s="121" t="s">
        <v>5378</v>
      </c>
    </row>
    <row r="8175" spans="1:8" ht="15" x14ac:dyDescent="0.2">
      <c r="A8175" s="597">
        <v>43742</v>
      </c>
      <c r="B8175" s="41" t="s">
        <v>16</v>
      </c>
      <c r="C8175" s="41" t="s">
        <v>103</v>
      </c>
      <c r="D8175" s="108" t="s">
        <v>5382</v>
      </c>
      <c r="E8175" s="42">
        <v>750</v>
      </c>
      <c r="G8175" s="42">
        <f t="shared" si="133"/>
        <v>-750</v>
      </c>
      <c r="H8175" s="121" t="s">
        <v>5378</v>
      </c>
    </row>
    <row r="8176" spans="1:8" ht="15" x14ac:dyDescent="0.2">
      <c r="A8176" s="597">
        <v>43742</v>
      </c>
      <c r="B8176" s="41" t="s">
        <v>2933</v>
      </c>
      <c r="C8176" s="41" t="s">
        <v>3145</v>
      </c>
      <c r="D8176" s="108" t="s">
        <v>5383</v>
      </c>
      <c r="E8176" s="42">
        <v>44532</v>
      </c>
      <c r="G8176" s="42">
        <f t="shared" si="133"/>
        <v>-44532</v>
      </c>
      <c r="H8176" s="121" t="s">
        <v>5378</v>
      </c>
    </row>
    <row r="8177" spans="1:8" ht="15" x14ac:dyDescent="0.2">
      <c r="A8177" s="597">
        <v>43742</v>
      </c>
      <c r="B8177" s="41" t="s">
        <v>1400</v>
      </c>
      <c r="C8177" s="41" t="s">
        <v>286</v>
      </c>
      <c r="D8177" s="108" t="s">
        <v>5384</v>
      </c>
      <c r="E8177" s="42">
        <v>5500</v>
      </c>
      <c r="G8177" s="42">
        <f t="shared" si="133"/>
        <v>-5500</v>
      </c>
      <c r="H8177" s="121" t="s">
        <v>5378</v>
      </c>
    </row>
    <row r="8178" spans="1:8" ht="15" x14ac:dyDescent="0.2">
      <c r="A8178" s="597">
        <v>43742</v>
      </c>
      <c r="B8178" s="41" t="s">
        <v>1400</v>
      </c>
      <c r="C8178" s="41" t="s">
        <v>3145</v>
      </c>
      <c r="D8178" s="108" t="s">
        <v>5385</v>
      </c>
      <c r="E8178" s="42">
        <v>1300</v>
      </c>
      <c r="G8178" s="42">
        <f t="shared" si="133"/>
        <v>-1300</v>
      </c>
      <c r="H8178" s="121" t="s">
        <v>5378</v>
      </c>
    </row>
    <row r="8179" spans="1:8" ht="15" x14ac:dyDescent="0.2">
      <c r="A8179" s="597">
        <v>43742</v>
      </c>
      <c r="B8179" s="41" t="s">
        <v>1400</v>
      </c>
      <c r="C8179" s="41" t="s">
        <v>3145</v>
      </c>
      <c r="D8179" s="108" t="s">
        <v>4450</v>
      </c>
      <c r="E8179" s="42">
        <v>94864</v>
      </c>
      <c r="G8179" s="42">
        <f t="shared" si="133"/>
        <v>-94864</v>
      </c>
      <c r="H8179" s="121" t="s">
        <v>5378</v>
      </c>
    </row>
    <row r="8180" spans="1:8" ht="15" x14ac:dyDescent="0.2">
      <c r="A8180" s="597">
        <v>43742</v>
      </c>
      <c r="B8180" s="41" t="s">
        <v>5052</v>
      </c>
      <c r="C8180" s="41" t="s">
        <v>3145</v>
      </c>
      <c r="D8180" s="108" t="s">
        <v>5386</v>
      </c>
      <c r="E8180" s="42">
        <v>270</v>
      </c>
      <c r="G8180" s="42">
        <f t="shared" si="133"/>
        <v>-270</v>
      </c>
      <c r="H8180" s="121" t="s">
        <v>5378</v>
      </c>
    </row>
    <row r="8181" spans="1:8" ht="15" x14ac:dyDescent="0.2">
      <c r="A8181" s="597">
        <v>43742</v>
      </c>
      <c r="B8181" s="41" t="s">
        <v>2933</v>
      </c>
      <c r="C8181" s="41" t="s">
        <v>3145</v>
      </c>
      <c r="D8181" s="108" t="s">
        <v>5386</v>
      </c>
      <c r="E8181" s="42">
        <v>7300</v>
      </c>
      <c r="G8181" s="42">
        <f t="shared" si="133"/>
        <v>-7300</v>
      </c>
      <c r="H8181" s="121" t="s">
        <v>5378</v>
      </c>
    </row>
    <row r="8182" spans="1:8" ht="15" x14ac:dyDescent="0.2">
      <c r="A8182" s="597">
        <v>43742</v>
      </c>
      <c r="B8182" s="41" t="s">
        <v>2652</v>
      </c>
      <c r="C8182" s="41" t="s">
        <v>3145</v>
      </c>
      <c r="D8182" s="108" t="s">
        <v>5386</v>
      </c>
      <c r="E8182" s="42">
        <v>8540</v>
      </c>
      <c r="G8182" s="42">
        <f t="shared" si="133"/>
        <v>-8540</v>
      </c>
      <c r="H8182" s="121" t="s">
        <v>5378</v>
      </c>
    </row>
    <row r="8183" spans="1:8" ht="15" x14ac:dyDescent="0.2">
      <c r="A8183" s="597">
        <v>43743</v>
      </c>
      <c r="B8183" s="41" t="s">
        <v>2933</v>
      </c>
      <c r="C8183" s="41" t="s">
        <v>3145</v>
      </c>
      <c r="D8183" s="108" t="s">
        <v>5386</v>
      </c>
      <c r="E8183" s="42">
        <v>28755</v>
      </c>
      <c r="G8183" s="42">
        <f t="shared" si="133"/>
        <v>-28755</v>
      </c>
      <c r="H8183" s="121" t="s">
        <v>5378</v>
      </c>
    </row>
    <row r="8184" spans="1:8" ht="15" x14ac:dyDescent="0.2">
      <c r="A8184" s="597">
        <v>43743</v>
      </c>
      <c r="B8184" s="41" t="s">
        <v>1400</v>
      </c>
      <c r="C8184" s="41" t="s">
        <v>5387</v>
      </c>
      <c r="D8184" s="108" t="s">
        <v>5388</v>
      </c>
      <c r="E8184" s="42">
        <v>15000</v>
      </c>
      <c r="G8184" s="42">
        <f t="shared" si="133"/>
        <v>-15000</v>
      </c>
      <c r="H8184" s="121" t="s">
        <v>5378</v>
      </c>
    </row>
    <row r="8185" spans="1:8" ht="15" x14ac:dyDescent="0.2">
      <c r="A8185" s="597">
        <v>43743</v>
      </c>
      <c r="B8185" s="41" t="s">
        <v>16</v>
      </c>
      <c r="C8185" s="41" t="s">
        <v>103</v>
      </c>
      <c r="D8185" s="108" t="s">
        <v>5389</v>
      </c>
      <c r="E8185" s="42">
        <v>7500</v>
      </c>
      <c r="G8185" s="42">
        <f t="shared" si="133"/>
        <v>-7500</v>
      </c>
      <c r="H8185" s="121" t="s">
        <v>5378</v>
      </c>
    </row>
    <row r="8186" spans="1:8" ht="15" x14ac:dyDescent="0.2">
      <c r="A8186" s="597">
        <v>43743</v>
      </c>
      <c r="B8186" s="41" t="s">
        <v>5052</v>
      </c>
      <c r="C8186" s="41" t="s">
        <v>3145</v>
      </c>
      <c r="D8186" s="108" t="s">
        <v>5390</v>
      </c>
      <c r="E8186" s="42">
        <v>9223</v>
      </c>
      <c r="G8186" s="42">
        <f t="shared" si="133"/>
        <v>-9223</v>
      </c>
      <c r="H8186" s="121" t="s">
        <v>5378</v>
      </c>
    </row>
    <row r="8187" spans="1:8" ht="15" x14ac:dyDescent="0.2">
      <c r="A8187" s="597">
        <v>43745</v>
      </c>
      <c r="B8187" s="41" t="s">
        <v>2933</v>
      </c>
      <c r="C8187" s="41" t="s">
        <v>3145</v>
      </c>
      <c r="D8187" s="108" t="s">
        <v>4181</v>
      </c>
      <c r="E8187" s="42">
        <v>1800</v>
      </c>
      <c r="G8187" s="42">
        <f t="shared" si="133"/>
        <v>-1800</v>
      </c>
      <c r="H8187" s="121" t="s">
        <v>5378</v>
      </c>
    </row>
    <row r="8188" spans="1:8" ht="15" x14ac:dyDescent="0.2">
      <c r="A8188" s="597">
        <v>43745</v>
      </c>
      <c r="B8188" s="41" t="s">
        <v>2652</v>
      </c>
      <c r="C8188" s="41" t="s">
        <v>3145</v>
      </c>
      <c r="D8188" s="108" t="s">
        <v>4181</v>
      </c>
      <c r="E8188" s="42">
        <v>1900</v>
      </c>
      <c r="G8188" s="42">
        <f t="shared" si="133"/>
        <v>-1900</v>
      </c>
      <c r="H8188" s="121" t="s">
        <v>5378</v>
      </c>
    </row>
    <row r="8189" spans="1:8" ht="15" x14ac:dyDescent="0.2">
      <c r="A8189" s="597">
        <v>43745</v>
      </c>
      <c r="B8189" s="41" t="s">
        <v>1400</v>
      </c>
      <c r="C8189" s="41" t="s">
        <v>3145</v>
      </c>
      <c r="D8189" s="108" t="s">
        <v>5391</v>
      </c>
      <c r="E8189" s="42">
        <v>48800</v>
      </c>
      <c r="G8189" s="42">
        <f t="shared" si="133"/>
        <v>-48800</v>
      </c>
      <c r="H8189" s="121" t="s">
        <v>5378</v>
      </c>
    </row>
    <row r="8190" spans="1:8" ht="15" x14ac:dyDescent="0.2">
      <c r="A8190" s="597">
        <v>43746</v>
      </c>
      <c r="B8190" s="41" t="s">
        <v>37</v>
      </c>
      <c r="C8190" s="41" t="s">
        <v>392</v>
      </c>
      <c r="D8190" s="108" t="s">
        <v>5392</v>
      </c>
      <c r="E8190" s="42">
        <v>500</v>
      </c>
      <c r="G8190" s="42">
        <f t="shared" si="133"/>
        <v>-500</v>
      </c>
      <c r="H8190" s="121" t="s">
        <v>5378</v>
      </c>
    </row>
    <row r="8191" spans="1:8" ht="15" x14ac:dyDescent="0.2">
      <c r="A8191" s="597">
        <v>43746</v>
      </c>
      <c r="B8191" s="41" t="s">
        <v>16</v>
      </c>
      <c r="C8191" s="41" t="s">
        <v>103</v>
      </c>
      <c r="D8191" s="108" t="s">
        <v>5393</v>
      </c>
      <c r="E8191" s="42">
        <v>8144</v>
      </c>
      <c r="G8191" s="42">
        <f t="shared" si="133"/>
        <v>-8144</v>
      </c>
      <c r="H8191" s="121" t="s">
        <v>5378</v>
      </c>
    </row>
    <row r="8192" spans="1:8" ht="15" x14ac:dyDescent="0.2">
      <c r="A8192" s="597">
        <v>43746</v>
      </c>
      <c r="B8192" s="41" t="s">
        <v>1400</v>
      </c>
      <c r="C8192" s="41" t="s">
        <v>392</v>
      </c>
      <c r="D8192" s="108" t="s">
        <v>5394</v>
      </c>
      <c r="E8192" s="42">
        <v>4000</v>
      </c>
      <c r="G8192" s="42">
        <f t="shared" si="133"/>
        <v>-4000</v>
      </c>
      <c r="H8192" s="121" t="s">
        <v>5378</v>
      </c>
    </row>
    <row r="8193" spans="1:8" ht="15" x14ac:dyDescent="0.2">
      <c r="A8193" s="597">
        <v>43746</v>
      </c>
      <c r="B8193" s="41" t="s">
        <v>1400</v>
      </c>
      <c r="C8193" s="41" t="s">
        <v>3145</v>
      </c>
      <c r="D8193" s="108" t="s">
        <v>5395</v>
      </c>
      <c r="E8193" s="42">
        <v>12000</v>
      </c>
      <c r="G8193" s="42">
        <f t="shared" si="133"/>
        <v>-12000</v>
      </c>
      <c r="H8193" s="121" t="s">
        <v>5378</v>
      </c>
    </row>
    <row r="8194" spans="1:8" ht="15" x14ac:dyDescent="0.2">
      <c r="A8194" s="597">
        <v>43746</v>
      </c>
      <c r="B8194" s="41" t="s">
        <v>16</v>
      </c>
      <c r="C8194" s="41" t="s">
        <v>103</v>
      </c>
      <c r="D8194" s="108" t="s">
        <v>5396</v>
      </c>
      <c r="E8194" s="42">
        <v>5300</v>
      </c>
      <c r="G8194" s="42">
        <f t="shared" si="133"/>
        <v>-5300</v>
      </c>
      <c r="H8194" s="121" t="s">
        <v>5378</v>
      </c>
    </row>
    <row r="8195" spans="1:8" ht="15" x14ac:dyDescent="0.2">
      <c r="A8195" s="597">
        <v>43746</v>
      </c>
      <c r="B8195" s="41" t="s">
        <v>5052</v>
      </c>
      <c r="C8195" s="41" t="s">
        <v>5397</v>
      </c>
      <c r="D8195" s="108" t="s">
        <v>5398</v>
      </c>
      <c r="E8195" s="42">
        <v>20000</v>
      </c>
      <c r="G8195" s="42">
        <f t="shared" si="133"/>
        <v>-20000</v>
      </c>
      <c r="H8195" s="121" t="s">
        <v>5378</v>
      </c>
    </row>
    <row r="8196" spans="1:8" ht="15" x14ac:dyDescent="0.2">
      <c r="A8196" s="597">
        <v>43747</v>
      </c>
      <c r="B8196" s="41" t="s">
        <v>2652</v>
      </c>
      <c r="C8196" s="41" t="s">
        <v>3145</v>
      </c>
      <c r="D8196" s="108" t="s">
        <v>5011</v>
      </c>
      <c r="E8196" s="42">
        <v>12860</v>
      </c>
      <c r="G8196" s="42">
        <f t="shared" si="133"/>
        <v>-12860</v>
      </c>
      <c r="H8196" s="121" t="s">
        <v>5378</v>
      </c>
    </row>
    <row r="8197" spans="1:8" ht="15" x14ac:dyDescent="0.2">
      <c r="A8197" s="597">
        <v>43747</v>
      </c>
      <c r="B8197" s="41" t="s">
        <v>1400</v>
      </c>
      <c r="C8197" s="41" t="s">
        <v>2190</v>
      </c>
      <c r="E8197" s="42">
        <v>240</v>
      </c>
      <c r="G8197" s="42">
        <f t="shared" si="133"/>
        <v>-240</v>
      </c>
      <c r="H8197" s="121" t="s">
        <v>5378</v>
      </c>
    </row>
    <row r="8198" spans="1:8" ht="15" x14ac:dyDescent="0.2">
      <c r="A8198" s="597">
        <v>43747</v>
      </c>
      <c r="B8198" s="41" t="s">
        <v>16</v>
      </c>
      <c r="C8198" s="41" t="s">
        <v>5410</v>
      </c>
      <c r="D8198" s="108" t="s">
        <v>5411</v>
      </c>
      <c r="E8198" s="42">
        <v>7000</v>
      </c>
      <c r="G8198" s="42">
        <f t="shared" si="133"/>
        <v>-7000</v>
      </c>
      <c r="H8198" s="121" t="s">
        <v>5378</v>
      </c>
    </row>
    <row r="8199" spans="1:8" ht="15" x14ac:dyDescent="0.2">
      <c r="A8199" s="597">
        <v>43747</v>
      </c>
      <c r="B8199" s="41" t="s">
        <v>6516</v>
      </c>
      <c r="C8199" s="41" t="s">
        <v>392</v>
      </c>
      <c r="D8199" s="108" t="s">
        <v>392</v>
      </c>
      <c r="E8199" s="42">
        <v>150</v>
      </c>
      <c r="G8199" s="42">
        <f t="shared" si="133"/>
        <v>-150</v>
      </c>
      <c r="H8199" s="121" t="s">
        <v>5378</v>
      </c>
    </row>
    <row r="8200" spans="1:8" ht="15" x14ac:dyDescent="0.2">
      <c r="A8200" s="597">
        <v>43747</v>
      </c>
      <c r="B8200" s="41" t="s">
        <v>5052</v>
      </c>
      <c r="C8200" s="41" t="s">
        <v>3145</v>
      </c>
      <c r="D8200" s="108" t="s">
        <v>3155</v>
      </c>
      <c r="E8200" s="42">
        <v>2150</v>
      </c>
      <c r="G8200" s="42">
        <f t="shared" si="133"/>
        <v>-2150</v>
      </c>
      <c r="H8200" s="121" t="s">
        <v>5378</v>
      </c>
    </row>
    <row r="8201" spans="1:8" ht="15" x14ac:dyDescent="0.2">
      <c r="A8201" s="597">
        <v>43747</v>
      </c>
      <c r="B8201" s="41" t="s">
        <v>25</v>
      </c>
      <c r="C8201" s="41" t="s">
        <v>2428</v>
      </c>
      <c r="D8201" s="108" t="s">
        <v>392</v>
      </c>
      <c r="E8201" s="42">
        <v>7860</v>
      </c>
      <c r="G8201" s="42">
        <f t="shared" si="133"/>
        <v>-7860</v>
      </c>
      <c r="H8201" s="121" t="s">
        <v>5378</v>
      </c>
    </row>
    <row r="8202" spans="1:8" ht="15" x14ac:dyDescent="0.2">
      <c r="A8202" s="597">
        <v>43749</v>
      </c>
      <c r="B8202" s="41" t="s">
        <v>22</v>
      </c>
      <c r="C8202" s="41" t="s">
        <v>3145</v>
      </c>
      <c r="D8202" s="108" t="s">
        <v>5418</v>
      </c>
      <c r="E8202" s="42">
        <v>4000</v>
      </c>
      <c r="G8202" s="42">
        <f t="shared" si="133"/>
        <v>-4000</v>
      </c>
      <c r="H8202" s="121" t="s">
        <v>5378</v>
      </c>
    </row>
    <row r="8203" spans="1:8" ht="15" x14ac:dyDescent="0.2">
      <c r="A8203" s="597">
        <v>43749</v>
      </c>
      <c r="B8203" s="41" t="s">
        <v>2933</v>
      </c>
      <c r="C8203" s="41" t="s">
        <v>3145</v>
      </c>
      <c r="D8203" s="108" t="s">
        <v>72</v>
      </c>
      <c r="E8203" s="42">
        <f>17470-E8202</f>
        <v>13470</v>
      </c>
      <c r="G8203" s="42">
        <f t="shared" si="133"/>
        <v>-13470</v>
      </c>
      <c r="H8203" s="121" t="s">
        <v>5378</v>
      </c>
    </row>
    <row r="8204" spans="1:8" ht="15" x14ac:dyDescent="0.2">
      <c r="A8204" s="597">
        <v>43749</v>
      </c>
      <c r="B8204" s="41" t="s">
        <v>2933</v>
      </c>
      <c r="C8204" s="41" t="s">
        <v>3145</v>
      </c>
      <c r="D8204" s="108" t="s">
        <v>5419</v>
      </c>
      <c r="E8204" s="42">
        <v>27117</v>
      </c>
      <c r="G8204" s="42">
        <f t="shared" si="133"/>
        <v>-27117</v>
      </c>
      <c r="H8204" s="121" t="s">
        <v>5378</v>
      </c>
    </row>
    <row r="8205" spans="1:8" ht="15" x14ac:dyDescent="0.2">
      <c r="A8205" s="597">
        <v>43751</v>
      </c>
      <c r="B8205" s="41" t="s">
        <v>1400</v>
      </c>
      <c r="C8205" s="41" t="s">
        <v>3145</v>
      </c>
      <c r="D8205" s="108" t="s">
        <v>4316</v>
      </c>
      <c r="E8205" s="42">
        <v>45124</v>
      </c>
      <c r="G8205" s="42">
        <f t="shared" si="133"/>
        <v>-45124</v>
      </c>
      <c r="H8205" s="121" t="s">
        <v>5378</v>
      </c>
    </row>
    <row r="8206" spans="1:8" ht="15" x14ac:dyDescent="0.2">
      <c r="A8206" s="597">
        <v>43751</v>
      </c>
      <c r="B8206" s="41" t="s">
        <v>2652</v>
      </c>
      <c r="C8206" s="41" t="s">
        <v>3145</v>
      </c>
      <c r="D8206" s="108" t="s">
        <v>72</v>
      </c>
      <c r="E8206" s="42">
        <v>5750</v>
      </c>
      <c r="G8206" s="42">
        <f t="shared" si="133"/>
        <v>-5750</v>
      </c>
      <c r="H8206" s="121" t="s">
        <v>5378</v>
      </c>
    </row>
    <row r="8207" spans="1:8" ht="15" x14ac:dyDescent="0.2">
      <c r="A8207" s="597">
        <v>43751</v>
      </c>
      <c r="B8207" s="41" t="s">
        <v>2933</v>
      </c>
      <c r="C8207" s="41" t="s">
        <v>1495</v>
      </c>
      <c r="D8207" s="108" t="s">
        <v>370</v>
      </c>
      <c r="E8207" s="42">
        <v>3600</v>
      </c>
      <c r="G8207" s="42">
        <f t="shared" si="133"/>
        <v>-3600</v>
      </c>
      <c r="H8207" s="121" t="s">
        <v>5378</v>
      </c>
    </row>
    <row r="8208" spans="1:8" ht="15" x14ac:dyDescent="0.2">
      <c r="A8208" s="597">
        <v>43751</v>
      </c>
      <c r="B8208" s="41" t="s">
        <v>5052</v>
      </c>
      <c r="C8208" s="41" t="s">
        <v>5397</v>
      </c>
      <c r="D8208" s="108" t="s">
        <v>5420</v>
      </c>
      <c r="E8208" s="42">
        <v>12500</v>
      </c>
      <c r="G8208" s="42">
        <f t="shared" si="133"/>
        <v>-12500</v>
      </c>
      <c r="H8208" s="121" t="s">
        <v>5378</v>
      </c>
    </row>
    <row r="8209" spans="1:8" ht="15" x14ac:dyDescent="0.2">
      <c r="A8209" s="597">
        <v>43751</v>
      </c>
      <c r="B8209" s="41" t="s">
        <v>3945</v>
      </c>
      <c r="C8209" s="41" t="s">
        <v>392</v>
      </c>
      <c r="D8209" s="108" t="s">
        <v>5437</v>
      </c>
      <c r="E8209" s="42">
        <v>1000</v>
      </c>
      <c r="G8209" s="42">
        <f t="shared" si="133"/>
        <v>-1000</v>
      </c>
      <c r="H8209" s="121" t="s">
        <v>5378</v>
      </c>
    </row>
    <row r="8210" spans="1:8" ht="15" x14ac:dyDescent="0.2">
      <c r="A8210" s="597">
        <v>43751</v>
      </c>
      <c r="B8210" s="41" t="s">
        <v>2933</v>
      </c>
      <c r="C8210" s="41" t="s">
        <v>286</v>
      </c>
      <c r="D8210" s="108" t="s">
        <v>5384</v>
      </c>
      <c r="E8210" s="42">
        <v>1000</v>
      </c>
      <c r="G8210" s="42">
        <f t="shared" si="133"/>
        <v>-1000</v>
      </c>
      <c r="H8210" s="121" t="s">
        <v>5378</v>
      </c>
    </row>
    <row r="8211" spans="1:8" ht="15" x14ac:dyDescent="0.2">
      <c r="A8211" s="597">
        <v>43751</v>
      </c>
      <c r="B8211" s="41" t="s">
        <v>4553</v>
      </c>
      <c r="C8211" s="41" t="s">
        <v>3145</v>
      </c>
      <c r="D8211" s="108" t="s">
        <v>5438</v>
      </c>
      <c r="E8211" s="42">
        <v>50000</v>
      </c>
      <c r="G8211" s="42">
        <f t="shared" si="133"/>
        <v>-50000</v>
      </c>
      <c r="H8211" s="121" t="s">
        <v>5378</v>
      </c>
    </row>
    <row r="8212" spans="1:8" ht="15" x14ac:dyDescent="0.2">
      <c r="A8212" s="597">
        <v>43751</v>
      </c>
      <c r="B8212" s="41" t="s">
        <v>3946</v>
      </c>
      <c r="C8212" s="41" t="s">
        <v>392</v>
      </c>
      <c r="D8212" s="108" t="s">
        <v>5384</v>
      </c>
      <c r="E8212" s="42">
        <v>1000</v>
      </c>
      <c r="G8212" s="42">
        <f t="shared" si="133"/>
        <v>-1000</v>
      </c>
      <c r="H8212" s="121" t="s">
        <v>5378</v>
      </c>
    </row>
    <row r="8213" spans="1:8" ht="15" x14ac:dyDescent="0.2">
      <c r="A8213" s="597">
        <v>43752</v>
      </c>
      <c r="B8213" s="41" t="s">
        <v>2933</v>
      </c>
      <c r="C8213" s="41" t="s">
        <v>3145</v>
      </c>
      <c r="D8213" s="108" t="s">
        <v>5439</v>
      </c>
      <c r="E8213" s="42">
        <v>12642</v>
      </c>
      <c r="G8213" s="42">
        <f t="shared" si="133"/>
        <v>-12642</v>
      </c>
      <c r="H8213" s="121" t="s">
        <v>5378</v>
      </c>
    </row>
    <row r="8214" spans="1:8" ht="15" x14ac:dyDescent="0.2">
      <c r="A8214" s="597">
        <v>43752</v>
      </c>
      <c r="B8214" s="41" t="s">
        <v>2933</v>
      </c>
      <c r="C8214" s="41" t="s">
        <v>3145</v>
      </c>
      <c r="D8214" s="108" t="s">
        <v>4873</v>
      </c>
      <c r="E8214" s="42">
        <v>13354</v>
      </c>
      <c r="G8214" s="42">
        <f t="shared" si="133"/>
        <v>-13354</v>
      </c>
      <c r="H8214" s="121" t="s">
        <v>5378</v>
      </c>
    </row>
    <row r="8215" spans="1:8" ht="15" x14ac:dyDescent="0.2">
      <c r="A8215" s="597">
        <v>43754</v>
      </c>
      <c r="B8215" s="41" t="s">
        <v>2933</v>
      </c>
      <c r="C8215" s="41" t="s">
        <v>3145</v>
      </c>
      <c r="D8215" s="108" t="s">
        <v>4873</v>
      </c>
      <c r="E8215" s="42">
        <v>4070</v>
      </c>
      <c r="G8215" s="42">
        <f t="shared" si="133"/>
        <v>-4070</v>
      </c>
      <c r="H8215" s="121" t="s">
        <v>5378</v>
      </c>
    </row>
    <row r="8216" spans="1:8" ht="15" x14ac:dyDescent="0.2">
      <c r="A8216" s="597">
        <v>43754</v>
      </c>
      <c r="B8216" s="41" t="s">
        <v>5052</v>
      </c>
      <c r="C8216" s="41" t="s">
        <v>3145</v>
      </c>
      <c r="D8216" s="108" t="s">
        <v>392</v>
      </c>
      <c r="E8216" s="42">
        <v>1000</v>
      </c>
      <c r="G8216" s="42">
        <f t="shared" si="133"/>
        <v>-1000</v>
      </c>
      <c r="H8216" s="121" t="s">
        <v>5378</v>
      </c>
    </row>
    <row r="8217" spans="1:8" ht="15" x14ac:dyDescent="0.2">
      <c r="A8217" s="597">
        <v>43754</v>
      </c>
      <c r="B8217" s="41" t="s">
        <v>2652</v>
      </c>
      <c r="C8217" s="41" t="s">
        <v>2190</v>
      </c>
      <c r="E8217" s="42">
        <v>464</v>
      </c>
      <c r="G8217" s="42">
        <f t="shared" si="133"/>
        <v>-464</v>
      </c>
      <c r="H8217" s="121" t="s">
        <v>5378</v>
      </c>
    </row>
    <row r="8218" spans="1:8" ht="15" x14ac:dyDescent="0.2">
      <c r="A8218" s="597">
        <v>43755</v>
      </c>
      <c r="B8218" s="41" t="s">
        <v>1400</v>
      </c>
      <c r="C8218" s="41" t="s">
        <v>3145</v>
      </c>
      <c r="D8218" s="108" t="s">
        <v>5445</v>
      </c>
      <c r="E8218" s="42">
        <v>4800</v>
      </c>
      <c r="G8218" s="42">
        <f t="shared" si="133"/>
        <v>-4800</v>
      </c>
      <c r="H8218" s="121" t="s">
        <v>5378</v>
      </c>
    </row>
    <row r="8219" spans="1:8" ht="15" x14ac:dyDescent="0.2">
      <c r="A8219" s="597">
        <v>43755</v>
      </c>
      <c r="B8219" s="41" t="s">
        <v>2933</v>
      </c>
      <c r="C8219" s="41" t="s">
        <v>3145</v>
      </c>
      <c r="D8219" s="108" t="s">
        <v>5445</v>
      </c>
      <c r="E8219" s="42">
        <v>20540</v>
      </c>
      <c r="G8219" s="42">
        <f t="shared" si="133"/>
        <v>-20540</v>
      </c>
      <c r="H8219" s="121" t="s">
        <v>5378</v>
      </c>
    </row>
    <row r="8220" spans="1:8" ht="15" x14ac:dyDescent="0.2">
      <c r="A8220" s="597">
        <v>43756</v>
      </c>
      <c r="B8220" s="41" t="s">
        <v>2652</v>
      </c>
      <c r="C8220" s="41" t="s">
        <v>286</v>
      </c>
      <c r="D8220" s="108" t="s">
        <v>269</v>
      </c>
      <c r="E8220" s="42">
        <v>2000</v>
      </c>
      <c r="G8220" s="42">
        <f t="shared" si="133"/>
        <v>-2000</v>
      </c>
      <c r="H8220" s="121" t="s">
        <v>5378</v>
      </c>
    </row>
    <row r="8221" spans="1:8" ht="15" x14ac:dyDescent="0.2">
      <c r="A8221" s="597">
        <v>43757</v>
      </c>
      <c r="B8221" s="41" t="s">
        <v>1400</v>
      </c>
      <c r="C8221" s="41" t="s">
        <v>2190</v>
      </c>
      <c r="E8221" s="42">
        <v>1560</v>
      </c>
      <c r="G8221" s="42">
        <f t="shared" si="133"/>
        <v>-1560</v>
      </c>
      <c r="H8221" s="121" t="s">
        <v>5378</v>
      </c>
    </row>
    <row r="8222" spans="1:8" ht="15" x14ac:dyDescent="0.2">
      <c r="A8222" s="597">
        <v>43757</v>
      </c>
      <c r="B8222" s="41" t="s">
        <v>2652</v>
      </c>
      <c r="C8222" s="41" t="s">
        <v>3145</v>
      </c>
      <c r="D8222" s="108" t="s">
        <v>4181</v>
      </c>
      <c r="E8222" s="42">
        <v>12060</v>
      </c>
      <c r="G8222" s="42">
        <f t="shared" si="133"/>
        <v>-12060</v>
      </c>
      <c r="H8222" s="121" t="s">
        <v>5378</v>
      </c>
    </row>
    <row r="8223" spans="1:8" ht="15" x14ac:dyDescent="0.2">
      <c r="A8223" s="597">
        <v>43759</v>
      </c>
      <c r="B8223" s="41" t="s">
        <v>2933</v>
      </c>
      <c r="C8223" s="41" t="s">
        <v>3145</v>
      </c>
      <c r="D8223" s="108" t="s">
        <v>5446</v>
      </c>
      <c r="E8223" s="42">
        <v>65473</v>
      </c>
      <c r="G8223" s="42">
        <f t="shared" si="133"/>
        <v>-65473</v>
      </c>
      <c r="H8223" s="121" t="s">
        <v>5378</v>
      </c>
    </row>
    <row r="8224" spans="1:8" ht="15" x14ac:dyDescent="0.2">
      <c r="A8224" s="597">
        <v>43759</v>
      </c>
      <c r="B8224" s="41" t="s">
        <v>2652</v>
      </c>
      <c r="C8224" s="41" t="s">
        <v>3145</v>
      </c>
      <c r="D8224" s="108" t="s">
        <v>5446</v>
      </c>
      <c r="E8224" s="42">
        <v>107895</v>
      </c>
      <c r="G8224" s="42">
        <f t="shared" si="133"/>
        <v>-107895</v>
      </c>
      <c r="H8224" s="121" t="s">
        <v>5378</v>
      </c>
    </row>
    <row r="8225" spans="1:8" ht="15" x14ac:dyDescent="0.2">
      <c r="A8225" s="597">
        <v>43760</v>
      </c>
      <c r="B8225" s="41" t="s">
        <v>1400</v>
      </c>
      <c r="C8225" s="41" t="s">
        <v>3145</v>
      </c>
      <c r="D8225" s="108" t="s">
        <v>4316</v>
      </c>
      <c r="E8225" s="42">
        <v>44687</v>
      </c>
      <c r="G8225" s="42">
        <f t="shared" si="133"/>
        <v>-44687</v>
      </c>
      <c r="H8225" s="121" t="s">
        <v>5378</v>
      </c>
    </row>
    <row r="8226" spans="1:8" ht="15" x14ac:dyDescent="0.2">
      <c r="A8226" s="597">
        <v>43760</v>
      </c>
      <c r="B8226" s="41" t="s">
        <v>6516</v>
      </c>
      <c r="C8226" s="41" t="s">
        <v>2503</v>
      </c>
      <c r="D8226" s="108" t="s">
        <v>5451</v>
      </c>
      <c r="E8226" s="42">
        <v>10700</v>
      </c>
      <c r="G8226" s="42">
        <f t="shared" si="133"/>
        <v>-10700</v>
      </c>
      <c r="H8226" s="121" t="s">
        <v>5378</v>
      </c>
    </row>
    <row r="8227" spans="1:8" ht="15" x14ac:dyDescent="0.2">
      <c r="A8227" s="597">
        <v>43760</v>
      </c>
      <c r="B8227" s="41" t="s">
        <v>6516</v>
      </c>
      <c r="C8227" s="41" t="s">
        <v>392</v>
      </c>
      <c r="D8227" s="108" t="s">
        <v>5452</v>
      </c>
      <c r="E8227" s="42">
        <v>2550</v>
      </c>
      <c r="G8227" s="42">
        <f t="shared" si="133"/>
        <v>-2550</v>
      </c>
      <c r="H8227" s="121" t="s">
        <v>5378</v>
      </c>
    </row>
    <row r="8228" spans="1:8" ht="15" x14ac:dyDescent="0.2">
      <c r="A8228" s="597">
        <v>43760</v>
      </c>
      <c r="B8228" s="41" t="s">
        <v>25</v>
      </c>
      <c r="C8228" s="41" t="s">
        <v>4428</v>
      </c>
      <c r="E8228" s="42">
        <v>650</v>
      </c>
      <c r="G8228" s="42">
        <f t="shared" si="133"/>
        <v>-650</v>
      </c>
      <c r="H8228" s="121" t="s">
        <v>5378</v>
      </c>
    </row>
    <row r="8229" spans="1:8" ht="15" x14ac:dyDescent="0.2">
      <c r="A8229" s="597">
        <v>43760</v>
      </c>
      <c r="B8229" s="41" t="s">
        <v>2652</v>
      </c>
      <c r="C8229" s="41" t="s">
        <v>3145</v>
      </c>
      <c r="D8229" s="108" t="s">
        <v>4873</v>
      </c>
      <c r="E8229" s="42">
        <v>5643</v>
      </c>
      <c r="G8229" s="42">
        <f t="shared" si="133"/>
        <v>-5643</v>
      </c>
      <c r="H8229" s="121" t="s">
        <v>5378</v>
      </c>
    </row>
    <row r="8230" spans="1:8" ht="15" x14ac:dyDescent="0.2">
      <c r="A8230" s="597">
        <v>43761</v>
      </c>
      <c r="B8230" s="41" t="s">
        <v>16</v>
      </c>
      <c r="C8230" s="41" t="s">
        <v>392</v>
      </c>
      <c r="D8230" s="108" t="s">
        <v>5453</v>
      </c>
      <c r="E8230" s="42">
        <v>7500</v>
      </c>
      <c r="G8230" s="42">
        <f t="shared" si="133"/>
        <v>-7500</v>
      </c>
      <c r="H8230" s="121" t="s">
        <v>5378</v>
      </c>
    </row>
    <row r="8231" spans="1:8" ht="15" x14ac:dyDescent="0.2">
      <c r="A8231" s="597">
        <v>43761</v>
      </c>
      <c r="B8231" s="41" t="s">
        <v>5227</v>
      </c>
      <c r="C8231" s="41" t="s">
        <v>392</v>
      </c>
      <c r="D8231" s="108" t="s">
        <v>5454</v>
      </c>
      <c r="E8231" s="42">
        <v>8000</v>
      </c>
      <c r="G8231" s="42">
        <f t="shared" si="133"/>
        <v>-8000</v>
      </c>
      <c r="H8231" s="121" t="s">
        <v>5378</v>
      </c>
    </row>
    <row r="8232" spans="1:8" ht="15" customHeight="1" x14ac:dyDescent="0.2">
      <c r="A8232" s="597">
        <v>43763</v>
      </c>
      <c r="B8232" s="41" t="s">
        <v>2933</v>
      </c>
      <c r="C8232" s="41" t="s">
        <v>2728</v>
      </c>
      <c r="D8232" s="108" t="s">
        <v>370</v>
      </c>
      <c r="E8232" s="42">
        <v>4000</v>
      </c>
      <c r="G8232" s="42">
        <f t="shared" si="133"/>
        <v>-4000</v>
      </c>
      <c r="H8232" s="121" t="s">
        <v>5378</v>
      </c>
    </row>
    <row r="8233" spans="1:8" ht="15" x14ac:dyDescent="0.2">
      <c r="A8233" s="597">
        <v>43763</v>
      </c>
      <c r="B8233" s="41" t="s">
        <v>6516</v>
      </c>
      <c r="C8233" s="41" t="s">
        <v>392</v>
      </c>
      <c r="D8233" s="108" t="s">
        <v>111</v>
      </c>
      <c r="E8233" s="42">
        <v>1340</v>
      </c>
      <c r="G8233" s="42">
        <f t="shared" si="133"/>
        <v>-1340</v>
      </c>
      <c r="H8233" s="121" t="s">
        <v>5378</v>
      </c>
    </row>
    <row r="8234" spans="1:8" ht="15" x14ac:dyDescent="0.2">
      <c r="A8234" s="597">
        <v>43763</v>
      </c>
      <c r="B8234" s="41" t="s">
        <v>2933</v>
      </c>
      <c r="C8234" s="41" t="s">
        <v>3145</v>
      </c>
      <c r="D8234" s="108" t="s">
        <v>4181</v>
      </c>
      <c r="E8234" s="42">
        <v>3100</v>
      </c>
      <c r="G8234" s="42">
        <f t="shared" si="133"/>
        <v>-3100</v>
      </c>
      <c r="H8234" s="121" t="s">
        <v>5378</v>
      </c>
    </row>
    <row r="8235" spans="1:8" ht="15" x14ac:dyDescent="0.2">
      <c r="A8235" s="597">
        <v>43763</v>
      </c>
      <c r="B8235" s="41" t="s">
        <v>2652</v>
      </c>
      <c r="C8235" s="41" t="s">
        <v>3145</v>
      </c>
      <c r="D8235" s="108" t="s">
        <v>4181</v>
      </c>
      <c r="E8235" s="42">
        <f>12000-E8234</f>
        <v>8900</v>
      </c>
      <c r="G8235" s="42">
        <f t="shared" ref="G8235:G8298" si="134">F8235-E8235</f>
        <v>-8900</v>
      </c>
      <c r="H8235" s="121" t="s">
        <v>5378</v>
      </c>
    </row>
    <row r="8236" spans="1:8" ht="15" x14ac:dyDescent="0.2">
      <c r="A8236" s="597">
        <v>43764</v>
      </c>
      <c r="B8236" s="41" t="s">
        <v>2933</v>
      </c>
      <c r="C8236" s="41" t="s">
        <v>3145</v>
      </c>
      <c r="D8236" s="108" t="s">
        <v>4181</v>
      </c>
      <c r="E8236" s="42">
        <f>14836-E8237</f>
        <v>11836</v>
      </c>
      <c r="G8236" s="42">
        <f t="shared" si="134"/>
        <v>-11836</v>
      </c>
      <c r="H8236" s="121" t="s">
        <v>5378</v>
      </c>
    </row>
    <row r="8237" spans="1:8" ht="15" x14ac:dyDescent="0.2">
      <c r="A8237" s="597">
        <v>43764</v>
      </c>
      <c r="B8237" s="41" t="s">
        <v>2652</v>
      </c>
      <c r="C8237" s="41" t="s">
        <v>3145</v>
      </c>
      <c r="D8237" s="108" t="s">
        <v>4181</v>
      </c>
      <c r="E8237" s="42">
        <v>3000</v>
      </c>
      <c r="G8237" s="42">
        <f t="shared" si="134"/>
        <v>-3000</v>
      </c>
      <c r="H8237" s="121" t="s">
        <v>5378</v>
      </c>
    </row>
    <row r="8238" spans="1:8" ht="15" x14ac:dyDescent="0.2">
      <c r="A8238" s="597">
        <v>43766</v>
      </c>
      <c r="B8238" s="41" t="s">
        <v>2652</v>
      </c>
      <c r="C8238" s="41" t="s">
        <v>3145</v>
      </c>
      <c r="D8238" s="108" t="s">
        <v>4535</v>
      </c>
      <c r="E8238" s="42">
        <v>7350</v>
      </c>
      <c r="G8238" s="42">
        <f t="shared" si="134"/>
        <v>-7350</v>
      </c>
      <c r="H8238" s="121" t="s">
        <v>5378</v>
      </c>
    </row>
    <row r="8239" spans="1:8" ht="15" x14ac:dyDescent="0.2">
      <c r="A8239" s="597">
        <v>43767</v>
      </c>
      <c r="B8239" s="41" t="s">
        <v>2933</v>
      </c>
      <c r="C8239" s="41" t="s">
        <v>2503</v>
      </c>
      <c r="D8239" s="108" t="s">
        <v>5455</v>
      </c>
      <c r="E8239" s="42">
        <v>15000</v>
      </c>
      <c r="G8239" s="42">
        <f t="shared" si="134"/>
        <v>-15000</v>
      </c>
      <c r="H8239" s="121" t="s">
        <v>5378</v>
      </c>
    </row>
    <row r="8240" spans="1:8" ht="15" x14ac:dyDescent="0.2">
      <c r="A8240" s="597">
        <v>43767</v>
      </c>
      <c r="B8240" s="41" t="s">
        <v>2652</v>
      </c>
      <c r="C8240" s="41" t="s">
        <v>3145</v>
      </c>
      <c r="D8240" s="108" t="s">
        <v>5456</v>
      </c>
      <c r="E8240" s="42">
        <v>2500</v>
      </c>
      <c r="G8240" s="42">
        <f t="shared" si="134"/>
        <v>-2500</v>
      </c>
      <c r="H8240" s="121" t="s">
        <v>5378</v>
      </c>
    </row>
    <row r="8241" spans="1:8" ht="15" x14ac:dyDescent="0.2">
      <c r="A8241" s="597">
        <v>43767</v>
      </c>
      <c r="B8241" s="41" t="s">
        <v>2652</v>
      </c>
      <c r="C8241" s="41" t="s">
        <v>3145</v>
      </c>
      <c r="D8241" s="108" t="s">
        <v>5457</v>
      </c>
      <c r="E8241" s="42">
        <v>7840</v>
      </c>
      <c r="G8241" s="42">
        <f t="shared" si="134"/>
        <v>-7840</v>
      </c>
      <c r="H8241" s="121" t="s">
        <v>5378</v>
      </c>
    </row>
    <row r="8242" spans="1:8" ht="15" x14ac:dyDescent="0.2">
      <c r="A8242" s="597">
        <v>43767</v>
      </c>
      <c r="B8242" s="41" t="s">
        <v>25</v>
      </c>
      <c r="C8242" s="41" t="s">
        <v>2428</v>
      </c>
      <c r="D8242" s="108" t="s">
        <v>3974</v>
      </c>
      <c r="E8242" s="42">
        <v>18910</v>
      </c>
      <c r="G8242" s="42">
        <f t="shared" si="134"/>
        <v>-18910</v>
      </c>
      <c r="H8242" s="121" t="s">
        <v>5378</v>
      </c>
    </row>
    <row r="8243" spans="1:8" ht="15" x14ac:dyDescent="0.2">
      <c r="A8243" s="597">
        <v>43767</v>
      </c>
      <c r="B8243" s="41" t="s">
        <v>1400</v>
      </c>
      <c r="C8243" s="41" t="s">
        <v>2190</v>
      </c>
      <c r="E8243" s="42">
        <v>360</v>
      </c>
      <c r="G8243" s="42">
        <f t="shared" si="134"/>
        <v>-360</v>
      </c>
      <c r="H8243" s="121" t="s">
        <v>5378</v>
      </c>
    </row>
    <row r="8244" spans="1:8" ht="15" x14ac:dyDescent="0.2">
      <c r="A8244" s="597">
        <v>43767</v>
      </c>
      <c r="B8244" s="41" t="s">
        <v>5227</v>
      </c>
      <c r="C8244" s="41" t="s">
        <v>2190</v>
      </c>
      <c r="E8244" s="42">
        <v>450</v>
      </c>
      <c r="G8244" s="42">
        <f t="shared" si="134"/>
        <v>-450</v>
      </c>
      <c r="H8244" s="121" t="s">
        <v>5378</v>
      </c>
    </row>
    <row r="8245" spans="1:8" ht="15" x14ac:dyDescent="0.2">
      <c r="A8245" s="597">
        <v>43769</v>
      </c>
      <c r="B8245" s="41" t="s">
        <v>2652</v>
      </c>
      <c r="C8245" s="41" t="s">
        <v>4870</v>
      </c>
      <c r="D8245" s="108" t="s">
        <v>5459</v>
      </c>
      <c r="E8245" s="42">
        <f>19600+500+100</f>
        <v>20200</v>
      </c>
      <c r="G8245" s="42">
        <f t="shared" si="134"/>
        <v>-20200</v>
      </c>
      <c r="H8245" s="121" t="s">
        <v>5378</v>
      </c>
    </row>
    <row r="8246" spans="1:8" ht="15" x14ac:dyDescent="0.2">
      <c r="A8246" s="597">
        <v>43769</v>
      </c>
      <c r="B8246" s="41" t="s">
        <v>2652</v>
      </c>
      <c r="C8246" s="41" t="s">
        <v>5458</v>
      </c>
      <c r="D8246" s="108" t="s">
        <v>5459</v>
      </c>
      <c r="E8246" s="42">
        <f>11520+200+100</f>
        <v>11820</v>
      </c>
      <c r="G8246" s="42">
        <f t="shared" si="134"/>
        <v>-11820</v>
      </c>
      <c r="H8246" s="121" t="s">
        <v>5378</v>
      </c>
    </row>
    <row r="8247" spans="1:8" ht="15" x14ac:dyDescent="0.2">
      <c r="A8247" s="597">
        <v>43769</v>
      </c>
      <c r="B8247" s="41" t="s">
        <v>1400</v>
      </c>
      <c r="C8247" s="41" t="s">
        <v>929</v>
      </c>
      <c r="D8247" s="108" t="s">
        <v>370</v>
      </c>
      <c r="E8247" s="42">
        <v>11300</v>
      </c>
      <c r="G8247" s="42">
        <f t="shared" si="134"/>
        <v>-11300</v>
      </c>
      <c r="H8247" s="121" t="s">
        <v>5378</v>
      </c>
    </row>
    <row r="8248" spans="1:8" ht="15" x14ac:dyDescent="0.2">
      <c r="A8248" s="597">
        <v>43769</v>
      </c>
      <c r="B8248" s="41" t="s">
        <v>2652</v>
      </c>
      <c r="C8248" s="41" t="s">
        <v>5460</v>
      </c>
      <c r="D8248" s="108" t="s">
        <v>370</v>
      </c>
      <c r="E8248" s="42">
        <v>5000</v>
      </c>
      <c r="G8248" s="42">
        <f t="shared" si="134"/>
        <v>-5000</v>
      </c>
      <c r="H8248" s="121" t="s">
        <v>5378</v>
      </c>
    </row>
    <row r="8249" spans="1:8" ht="15" x14ac:dyDescent="0.2">
      <c r="A8249" s="597">
        <v>43769</v>
      </c>
      <c r="B8249" s="41" t="s">
        <v>25</v>
      </c>
      <c r="C8249" s="41" t="s">
        <v>2428</v>
      </c>
      <c r="D8249" s="108" t="s">
        <v>5461</v>
      </c>
      <c r="E8249" s="42">
        <v>13000</v>
      </c>
      <c r="G8249" s="42">
        <f t="shared" si="134"/>
        <v>-13000</v>
      </c>
      <c r="H8249" s="121" t="s">
        <v>5378</v>
      </c>
    </row>
    <row r="8250" spans="1:8" ht="15" x14ac:dyDescent="0.2">
      <c r="A8250" s="597">
        <v>43769</v>
      </c>
      <c r="B8250" s="41" t="s">
        <v>2933</v>
      </c>
      <c r="C8250" s="41" t="s">
        <v>3145</v>
      </c>
      <c r="D8250" s="108" t="s">
        <v>5462</v>
      </c>
      <c r="E8250" s="42">
        <v>15000</v>
      </c>
      <c r="G8250" s="42">
        <f t="shared" si="134"/>
        <v>-15000</v>
      </c>
      <c r="H8250" s="121" t="s">
        <v>5378</v>
      </c>
    </row>
    <row r="8251" spans="1:8" ht="15" x14ac:dyDescent="0.2">
      <c r="A8251" s="597">
        <v>43769</v>
      </c>
      <c r="B8251" s="41" t="s">
        <v>16</v>
      </c>
      <c r="C8251" s="41" t="s">
        <v>463</v>
      </c>
      <c r="D8251" s="108" t="s">
        <v>3259</v>
      </c>
      <c r="E8251" s="42">
        <f>31987+580</f>
        <v>32567</v>
      </c>
      <c r="G8251" s="42">
        <f t="shared" si="134"/>
        <v>-32567</v>
      </c>
      <c r="H8251" s="121" t="s">
        <v>5378</v>
      </c>
    </row>
    <row r="8252" spans="1:8" ht="15" x14ac:dyDescent="0.2">
      <c r="A8252" s="602">
        <v>43739</v>
      </c>
      <c r="B8252" s="174" t="s">
        <v>1400</v>
      </c>
      <c r="C8252" s="174" t="s">
        <v>2338</v>
      </c>
      <c r="D8252" s="818" t="s">
        <v>5365</v>
      </c>
      <c r="E8252" s="123">
        <v>20000</v>
      </c>
      <c r="F8252" s="123"/>
      <c r="G8252" s="123">
        <f t="shared" si="134"/>
        <v>-20000</v>
      </c>
      <c r="H8252" s="244" t="s">
        <v>5378</v>
      </c>
    </row>
    <row r="8253" spans="1:8" ht="15" x14ac:dyDescent="0.2">
      <c r="A8253" s="602">
        <v>43739</v>
      </c>
      <c r="B8253" s="174" t="s">
        <v>2652</v>
      </c>
      <c r="C8253" s="174" t="s">
        <v>2338</v>
      </c>
      <c r="D8253" s="818" t="s">
        <v>5365</v>
      </c>
      <c r="E8253" s="123">
        <v>80000</v>
      </c>
      <c r="F8253" s="123"/>
      <c r="G8253" s="123">
        <f t="shared" si="134"/>
        <v>-80000</v>
      </c>
      <c r="H8253" s="244" t="s">
        <v>5378</v>
      </c>
    </row>
    <row r="8254" spans="1:8" ht="69" customHeight="1" x14ac:dyDescent="0.2">
      <c r="A8254" s="602">
        <v>43739</v>
      </c>
      <c r="B8254" s="174" t="s">
        <v>5052</v>
      </c>
      <c r="C8254" s="174" t="s">
        <v>5366</v>
      </c>
      <c r="D8254" s="228" t="s">
        <v>5367</v>
      </c>
      <c r="E8254" s="236">
        <v>720000</v>
      </c>
      <c r="F8254" s="236"/>
      <c r="G8254" s="236">
        <f t="shared" si="134"/>
        <v>-720000</v>
      </c>
      <c r="H8254" s="244" t="s">
        <v>5378</v>
      </c>
    </row>
    <row r="8255" spans="1:8" ht="15" x14ac:dyDescent="0.2">
      <c r="A8255" s="602">
        <v>43739</v>
      </c>
      <c r="B8255" s="122" t="s">
        <v>2652</v>
      </c>
      <c r="C8255" s="122" t="s">
        <v>4987</v>
      </c>
      <c r="D8255" s="812" t="s">
        <v>5368</v>
      </c>
      <c r="E8255" s="123">
        <v>25700</v>
      </c>
      <c r="F8255" s="123"/>
      <c r="G8255" s="236">
        <f t="shared" si="134"/>
        <v>-25700</v>
      </c>
      <c r="H8255" s="244" t="s">
        <v>5378</v>
      </c>
    </row>
    <row r="8256" spans="1:8" ht="15" x14ac:dyDescent="0.2">
      <c r="A8256" s="602">
        <v>43739</v>
      </c>
      <c r="B8256" s="122" t="s">
        <v>2933</v>
      </c>
      <c r="C8256" s="122" t="s">
        <v>3145</v>
      </c>
      <c r="D8256" s="818" t="s">
        <v>5373</v>
      </c>
      <c r="E8256" s="123">
        <v>45350</v>
      </c>
      <c r="F8256" s="123"/>
      <c r="G8256" s="123">
        <f t="shared" si="134"/>
        <v>-45350</v>
      </c>
      <c r="H8256" s="244" t="s">
        <v>5378</v>
      </c>
    </row>
    <row r="8257" spans="1:8" ht="15" x14ac:dyDescent="0.2">
      <c r="A8257" s="602">
        <v>43742</v>
      </c>
      <c r="B8257" s="122" t="s">
        <v>25</v>
      </c>
      <c r="C8257" s="122" t="s">
        <v>2428</v>
      </c>
      <c r="D8257" s="818" t="s">
        <v>5374</v>
      </c>
      <c r="E8257" s="123">
        <v>29254</v>
      </c>
      <c r="F8257" s="123"/>
      <c r="G8257" s="123">
        <f t="shared" si="134"/>
        <v>-29254</v>
      </c>
      <c r="H8257" s="244" t="s">
        <v>5378</v>
      </c>
    </row>
    <row r="8258" spans="1:8" ht="15" x14ac:dyDescent="0.2">
      <c r="A8258" s="602">
        <v>43745</v>
      </c>
      <c r="B8258" s="122" t="s">
        <v>5052</v>
      </c>
      <c r="C8258" s="122" t="s">
        <v>3145</v>
      </c>
      <c r="D8258" s="818" t="s">
        <v>5610</v>
      </c>
      <c r="E8258" s="123">
        <v>18000</v>
      </c>
      <c r="F8258" s="123"/>
      <c r="G8258" s="123">
        <f t="shared" si="134"/>
        <v>-18000</v>
      </c>
      <c r="H8258" s="244" t="s">
        <v>5378</v>
      </c>
    </row>
    <row r="8259" spans="1:8" ht="15" x14ac:dyDescent="0.2">
      <c r="A8259" s="602">
        <v>43745</v>
      </c>
      <c r="B8259" s="122" t="s">
        <v>2933</v>
      </c>
      <c r="C8259" s="122" t="s">
        <v>4834</v>
      </c>
      <c r="D8259" s="818" t="s">
        <v>5375</v>
      </c>
      <c r="E8259" s="123">
        <v>24550</v>
      </c>
      <c r="F8259" s="123"/>
      <c r="G8259" s="123">
        <f t="shared" si="134"/>
        <v>-24550</v>
      </c>
      <c r="H8259" s="244" t="s">
        <v>5378</v>
      </c>
    </row>
    <row r="8260" spans="1:8" ht="15" x14ac:dyDescent="0.2">
      <c r="A8260" s="602">
        <v>43745</v>
      </c>
      <c r="B8260" s="122" t="s">
        <v>1400</v>
      </c>
      <c r="C8260" s="122" t="s">
        <v>4444</v>
      </c>
      <c r="D8260" s="812" t="s">
        <v>5377</v>
      </c>
      <c r="E8260" s="123">
        <v>150000</v>
      </c>
      <c r="F8260" s="123"/>
      <c r="G8260" s="123">
        <f t="shared" si="134"/>
        <v>-150000</v>
      </c>
      <c r="H8260" s="244" t="s">
        <v>5378</v>
      </c>
    </row>
    <row r="8261" spans="1:8" ht="15" x14ac:dyDescent="0.2">
      <c r="A8261" s="602">
        <v>43745</v>
      </c>
      <c r="B8261" s="122" t="s">
        <v>1400</v>
      </c>
      <c r="C8261" s="122" t="s">
        <v>929</v>
      </c>
      <c r="D8261" s="818" t="s">
        <v>5376</v>
      </c>
      <c r="E8261" s="123">
        <v>20000</v>
      </c>
      <c r="F8261" s="123"/>
      <c r="G8261" s="123">
        <f t="shared" si="134"/>
        <v>-20000</v>
      </c>
      <c r="H8261" s="244" t="s">
        <v>5378</v>
      </c>
    </row>
    <row r="8262" spans="1:8" ht="15" x14ac:dyDescent="0.2">
      <c r="A8262" s="602">
        <v>43745</v>
      </c>
      <c r="B8262" s="122" t="s">
        <v>2652</v>
      </c>
      <c r="C8262" s="122" t="s">
        <v>4870</v>
      </c>
      <c r="D8262" s="812" t="s">
        <v>5379</v>
      </c>
      <c r="E8262" s="123">
        <v>62900</v>
      </c>
      <c r="F8262" s="123"/>
      <c r="G8262" s="123">
        <f t="shared" si="134"/>
        <v>-62900</v>
      </c>
      <c r="H8262" s="244" t="s">
        <v>5378</v>
      </c>
    </row>
    <row r="8263" spans="1:8" ht="15" x14ac:dyDescent="0.2">
      <c r="A8263" s="602">
        <v>43747</v>
      </c>
      <c r="B8263" s="122" t="s">
        <v>2933</v>
      </c>
      <c r="C8263" s="122" t="s">
        <v>3112</v>
      </c>
      <c r="D8263" s="812" t="s">
        <v>5406</v>
      </c>
      <c r="E8263" s="123">
        <v>166000</v>
      </c>
      <c r="F8263" s="123"/>
      <c r="G8263" s="123">
        <f t="shared" si="134"/>
        <v>-166000</v>
      </c>
      <c r="H8263" s="244" t="s">
        <v>5378</v>
      </c>
    </row>
    <row r="8264" spans="1:8" ht="15" x14ac:dyDescent="0.2">
      <c r="A8264" s="602">
        <v>43747</v>
      </c>
      <c r="B8264" s="122" t="s">
        <v>1400</v>
      </c>
      <c r="C8264" s="122" t="s">
        <v>2854</v>
      </c>
      <c r="D8264" s="812" t="s">
        <v>5405</v>
      </c>
      <c r="E8264" s="123">
        <v>100000</v>
      </c>
      <c r="F8264" s="123"/>
      <c r="G8264" s="123">
        <f t="shared" si="134"/>
        <v>-100000</v>
      </c>
      <c r="H8264" s="244" t="s">
        <v>5378</v>
      </c>
    </row>
    <row r="8265" spans="1:8" ht="15" x14ac:dyDescent="0.2">
      <c r="A8265" s="602">
        <v>43747</v>
      </c>
      <c r="B8265" s="122" t="s">
        <v>3945</v>
      </c>
      <c r="C8265" s="122" t="s">
        <v>3003</v>
      </c>
      <c r="D8265" s="812" t="s">
        <v>5400</v>
      </c>
      <c r="E8265" s="123">
        <v>32760</v>
      </c>
      <c r="F8265" s="123"/>
      <c r="G8265" s="123">
        <f t="shared" si="134"/>
        <v>-32760</v>
      </c>
      <c r="H8265" s="244" t="s">
        <v>5378</v>
      </c>
    </row>
    <row r="8266" spans="1:8" ht="15" x14ac:dyDescent="0.2">
      <c r="A8266" s="602">
        <v>43747</v>
      </c>
      <c r="B8266" s="122" t="s">
        <v>3946</v>
      </c>
      <c r="C8266" s="122" t="s">
        <v>3003</v>
      </c>
      <c r="D8266" s="812" t="s">
        <v>5400</v>
      </c>
      <c r="E8266" s="123">
        <v>30160</v>
      </c>
      <c r="F8266" s="123"/>
      <c r="G8266" s="123">
        <f t="shared" si="134"/>
        <v>-30160</v>
      </c>
      <c r="H8266" s="244" t="s">
        <v>5378</v>
      </c>
    </row>
    <row r="8267" spans="1:8" ht="15" x14ac:dyDescent="0.2">
      <c r="A8267" s="602">
        <v>43747</v>
      </c>
      <c r="B8267" s="122" t="s">
        <v>37</v>
      </c>
      <c r="C8267" s="122" t="s">
        <v>3003</v>
      </c>
      <c r="D8267" s="812" t="s">
        <v>5400</v>
      </c>
      <c r="E8267" s="123">
        <f>12960*2</f>
        <v>25920</v>
      </c>
      <c r="F8267" s="123"/>
      <c r="G8267" s="123">
        <f t="shared" si="134"/>
        <v>-25920</v>
      </c>
      <c r="H8267" s="244" t="s">
        <v>5378</v>
      </c>
    </row>
    <row r="8268" spans="1:8" ht="15" x14ac:dyDescent="0.2">
      <c r="A8268" s="602">
        <v>43747</v>
      </c>
      <c r="B8268" s="122" t="s">
        <v>2652</v>
      </c>
      <c r="C8268" s="122" t="s">
        <v>251</v>
      </c>
      <c r="D8268" s="812" t="s">
        <v>5401</v>
      </c>
      <c r="E8268" s="123">
        <v>30075</v>
      </c>
      <c r="F8268" s="123"/>
      <c r="G8268" s="123">
        <f t="shared" si="134"/>
        <v>-30075</v>
      </c>
      <c r="H8268" s="244" t="s">
        <v>5378</v>
      </c>
    </row>
    <row r="8269" spans="1:8" ht="24" x14ac:dyDescent="0.2">
      <c r="A8269" s="602">
        <v>43749</v>
      </c>
      <c r="B8269" s="122" t="s">
        <v>2933</v>
      </c>
      <c r="C8269" s="122" t="s">
        <v>256</v>
      </c>
      <c r="D8269" s="118" t="s">
        <v>5402</v>
      </c>
      <c r="E8269" s="123">
        <v>231879</v>
      </c>
      <c r="F8269" s="123"/>
      <c r="G8269" s="123">
        <f t="shared" si="134"/>
        <v>-231879</v>
      </c>
      <c r="H8269" s="244" t="s">
        <v>5378</v>
      </c>
    </row>
    <row r="8270" spans="1:8" ht="15" x14ac:dyDescent="0.2">
      <c r="A8270" s="602">
        <v>43749</v>
      </c>
      <c r="B8270" s="122" t="s">
        <v>2652</v>
      </c>
      <c r="C8270" s="122" t="s">
        <v>2503</v>
      </c>
      <c r="D8270" s="118" t="s">
        <v>5404</v>
      </c>
      <c r="E8270" s="123">
        <v>11625</v>
      </c>
      <c r="F8270" s="123"/>
      <c r="G8270" s="123">
        <f t="shared" si="134"/>
        <v>-11625</v>
      </c>
      <c r="H8270" s="244" t="s">
        <v>5378</v>
      </c>
    </row>
    <row r="8271" spans="1:8" ht="15" x14ac:dyDescent="0.2">
      <c r="A8271" s="602">
        <v>43750</v>
      </c>
      <c r="B8271" s="122" t="s">
        <v>2652</v>
      </c>
      <c r="C8271" s="122" t="s">
        <v>5187</v>
      </c>
      <c r="D8271" s="812" t="s">
        <v>5407</v>
      </c>
      <c r="E8271" s="123">
        <v>80000</v>
      </c>
      <c r="F8271" s="123"/>
      <c r="G8271" s="123">
        <f t="shared" si="134"/>
        <v>-80000</v>
      </c>
      <c r="H8271" s="244" t="s">
        <v>5378</v>
      </c>
    </row>
    <row r="8272" spans="1:8" ht="15" x14ac:dyDescent="0.2">
      <c r="A8272" s="602">
        <v>43750</v>
      </c>
      <c r="B8272" s="122" t="s">
        <v>2652</v>
      </c>
      <c r="C8272" s="122" t="s">
        <v>5187</v>
      </c>
      <c r="D8272" s="812" t="s">
        <v>5408</v>
      </c>
      <c r="E8272" s="123">
        <v>110000</v>
      </c>
      <c r="F8272" s="123"/>
      <c r="G8272" s="123">
        <f t="shared" si="134"/>
        <v>-110000</v>
      </c>
      <c r="H8272" s="244" t="s">
        <v>5378</v>
      </c>
    </row>
    <row r="8273" spans="1:8" ht="15" x14ac:dyDescent="0.2">
      <c r="A8273" s="602">
        <v>43750</v>
      </c>
      <c r="B8273" s="122" t="s">
        <v>5227</v>
      </c>
      <c r="C8273" s="122" t="s">
        <v>5187</v>
      </c>
      <c r="D8273" s="812" t="s">
        <v>5409</v>
      </c>
      <c r="E8273" s="123">
        <v>22000</v>
      </c>
      <c r="F8273" s="123"/>
      <c r="G8273" s="123">
        <f t="shared" si="134"/>
        <v>-22000</v>
      </c>
      <c r="H8273" s="244" t="s">
        <v>5378</v>
      </c>
    </row>
    <row r="8274" spans="1:8" ht="15" x14ac:dyDescent="0.2">
      <c r="A8274" s="602">
        <v>43753</v>
      </c>
      <c r="B8274" s="122" t="s">
        <v>2933</v>
      </c>
      <c r="C8274" s="122" t="s">
        <v>4684</v>
      </c>
      <c r="D8274" s="812" t="s">
        <v>5413</v>
      </c>
      <c r="E8274" s="123">
        <v>100000</v>
      </c>
      <c r="F8274" s="123"/>
      <c r="G8274" s="123">
        <f t="shared" si="134"/>
        <v>-100000</v>
      </c>
      <c r="H8274" s="244" t="s">
        <v>5378</v>
      </c>
    </row>
    <row r="8275" spans="1:8" ht="15" x14ac:dyDescent="0.2">
      <c r="A8275" s="602">
        <v>43753</v>
      </c>
      <c r="B8275" s="122" t="s">
        <v>2652</v>
      </c>
      <c r="C8275" s="122" t="s">
        <v>3011</v>
      </c>
      <c r="D8275" s="812" t="s">
        <v>5414</v>
      </c>
      <c r="E8275" s="123">
        <v>6742</v>
      </c>
      <c r="F8275" s="123"/>
      <c r="G8275" s="123">
        <f t="shared" si="134"/>
        <v>-6742</v>
      </c>
      <c r="H8275" s="244" t="s">
        <v>5378</v>
      </c>
    </row>
    <row r="8276" spans="1:8" ht="15" x14ac:dyDescent="0.2">
      <c r="A8276" s="602">
        <v>43753</v>
      </c>
      <c r="B8276" s="122" t="s">
        <v>2933</v>
      </c>
      <c r="C8276" s="122" t="s">
        <v>3011</v>
      </c>
      <c r="D8276" s="812" t="s">
        <v>5414</v>
      </c>
      <c r="E8276" s="123">
        <v>101322</v>
      </c>
      <c r="F8276" s="123"/>
      <c r="G8276" s="123">
        <f t="shared" si="134"/>
        <v>-101322</v>
      </c>
      <c r="H8276" s="244" t="s">
        <v>5378</v>
      </c>
    </row>
    <row r="8277" spans="1:8" ht="15" x14ac:dyDescent="0.2">
      <c r="A8277" s="602">
        <v>43753</v>
      </c>
      <c r="B8277" s="122" t="s">
        <v>5227</v>
      </c>
      <c r="C8277" s="122" t="s">
        <v>3011</v>
      </c>
      <c r="D8277" s="812" t="s">
        <v>5414</v>
      </c>
      <c r="E8277" s="123">
        <v>42936</v>
      </c>
      <c r="F8277" s="123"/>
      <c r="G8277" s="123">
        <f t="shared" si="134"/>
        <v>-42936</v>
      </c>
      <c r="H8277" s="244" t="s">
        <v>5378</v>
      </c>
    </row>
    <row r="8278" spans="1:8" ht="15" x14ac:dyDescent="0.2">
      <c r="A8278" s="602">
        <v>43753</v>
      </c>
      <c r="B8278" s="122" t="s">
        <v>2933</v>
      </c>
      <c r="C8278" s="122" t="s">
        <v>431</v>
      </c>
      <c r="D8278" s="812" t="s">
        <v>5415</v>
      </c>
      <c r="E8278" s="123">
        <v>155000</v>
      </c>
      <c r="F8278" s="123"/>
      <c r="G8278" s="123">
        <f t="shared" si="134"/>
        <v>-155000</v>
      </c>
      <c r="H8278" s="244" t="s">
        <v>5378</v>
      </c>
    </row>
    <row r="8279" spans="1:8" ht="15" x14ac:dyDescent="0.2">
      <c r="A8279" s="602">
        <v>43753</v>
      </c>
      <c r="B8279" s="122" t="s">
        <v>2933</v>
      </c>
      <c r="C8279" s="122" t="s">
        <v>431</v>
      </c>
      <c r="D8279" s="812" t="s">
        <v>5415</v>
      </c>
      <c r="E8279" s="123">
        <v>155000</v>
      </c>
      <c r="F8279" s="123"/>
      <c r="G8279" s="123">
        <f t="shared" si="134"/>
        <v>-155000</v>
      </c>
      <c r="H8279" s="244" t="s">
        <v>5378</v>
      </c>
    </row>
    <row r="8280" spans="1:8" ht="15" x14ac:dyDescent="0.2">
      <c r="A8280" s="602">
        <v>43753</v>
      </c>
      <c r="B8280" s="122" t="s">
        <v>5052</v>
      </c>
      <c r="C8280" s="122" t="s">
        <v>5229</v>
      </c>
      <c r="D8280" s="812" t="s">
        <v>5416</v>
      </c>
      <c r="E8280" s="123">
        <v>127000</v>
      </c>
      <c r="F8280" s="123"/>
      <c r="G8280" s="123">
        <f t="shared" si="134"/>
        <v>-127000</v>
      </c>
      <c r="H8280" s="244" t="s">
        <v>5378</v>
      </c>
    </row>
    <row r="8281" spans="1:8" ht="15" x14ac:dyDescent="0.2">
      <c r="A8281" s="602">
        <v>43755</v>
      </c>
      <c r="B8281" s="122" t="s">
        <v>5227</v>
      </c>
      <c r="C8281" s="122" t="s">
        <v>895</v>
      </c>
      <c r="D8281" s="812" t="s">
        <v>5421</v>
      </c>
      <c r="E8281" s="123">
        <v>219320</v>
      </c>
      <c r="F8281" s="123"/>
      <c r="G8281" s="123">
        <f t="shared" si="134"/>
        <v>-219320</v>
      </c>
      <c r="H8281" s="244" t="s">
        <v>5378</v>
      </c>
    </row>
    <row r="8282" spans="1:8" ht="15" x14ac:dyDescent="0.2">
      <c r="A8282" s="602">
        <v>43755</v>
      </c>
      <c r="B8282" s="122" t="s">
        <v>2933</v>
      </c>
      <c r="C8282" s="122" t="s">
        <v>895</v>
      </c>
      <c r="D8282" s="812" t="s">
        <v>5421</v>
      </c>
      <c r="E8282" s="123">
        <v>30680</v>
      </c>
      <c r="F8282" s="123"/>
      <c r="G8282" s="123">
        <f t="shared" si="134"/>
        <v>-30680</v>
      </c>
      <c r="H8282" s="244" t="s">
        <v>5378</v>
      </c>
    </row>
    <row r="8283" spans="1:8" ht="15" x14ac:dyDescent="0.2">
      <c r="A8283" s="602">
        <v>43754</v>
      </c>
      <c r="B8283" s="122" t="s">
        <v>2933</v>
      </c>
      <c r="C8283" s="122" t="s">
        <v>1509</v>
      </c>
      <c r="D8283" s="812" t="s">
        <v>5424</v>
      </c>
      <c r="E8283" s="123">
        <v>59000</v>
      </c>
      <c r="F8283" s="123"/>
      <c r="G8283" s="123">
        <f t="shared" si="134"/>
        <v>-59000</v>
      </c>
      <c r="H8283" s="244" t="s">
        <v>5378</v>
      </c>
    </row>
    <row r="8284" spans="1:8" ht="15" x14ac:dyDescent="0.2">
      <c r="A8284" s="602">
        <v>43755</v>
      </c>
      <c r="B8284" s="122" t="s">
        <v>2933</v>
      </c>
      <c r="C8284" s="122" t="s">
        <v>4684</v>
      </c>
      <c r="D8284" s="812" t="s">
        <v>5422</v>
      </c>
      <c r="E8284" s="123">
        <v>100000</v>
      </c>
      <c r="F8284" s="123"/>
      <c r="G8284" s="123">
        <f t="shared" si="134"/>
        <v>-100000</v>
      </c>
      <c r="H8284" s="244" t="s">
        <v>5378</v>
      </c>
    </row>
    <row r="8285" spans="1:8" ht="15" x14ac:dyDescent="0.2">
      <c r="A8285" s="602">
        <v>43755</v>
      </c>
      <c r="B8285" s="122" t="s">
        <v>2933</v>
      </c>
      <c r="C8285" s="122" t="s">
        <v>4684</v>
      </c>
      <c r="D8285" s="812" t="s">
        <v>5423</v>
      </c>
      <c r="E8285" s="123">
        <v>150000</v>
      </c>
      <c r="F8285" s="123"/>
      <c r="G8285" s="123">
        <f t="shared" si="134"/>
        <v>-150000</v>
      </c>
      <c r="H8285" s="244" t="s">
        <v>5378</v>
      </c>
    </row>
    <row r="8286" spans="1:8" ht="15" x14ac:dyDescent="0.2">
      <c r="A8286" s="602">
        <v>43756</v>
      </c>
      <c r="B8286" s="122" t="s">
        <v>25</v>
      </c>
      <c r="C8286" s="122" t="s">
        <v>2428</v>
      </c>
      <c r="D8286" s="812" t="s">
        <v>5426</v>
      </c>
      <c r="E8286" s="123">
        <v>19453</v>
      </c>
      <c r="F8286" s="123"/>
      <c r="G8286" s="123">
        <f t="shared" si="134"/>
        <v>-19453</v>
      </c>
      <c r="H8286" s="244" t="s">
        <v>5378</v>
      </c>
    </row>
    <row r="8287" spans="1:8" ht="15" customHeight="1" x14ac:dyDescent="0.2">
      <c r="A8287" s="602">
        <v>43759</v>
      </c>
      <c r="B8287" s="122" t="s">
        <v>3946</v>
      </c>
      <c r="C8287" s="122" t="s">
        <v>573</v>
      </c>
      <c r="D8287" s="812" t="s">
        <v>5430</v>
      </c>
      <c r="E8287" s="123">
        <v>50000</v>
      </c>
      <c r="F8287" s="123"/>
      <c r="G8287" s="123">
        <f t="shared" si="134"/>
        <v>-50000</v>
      </c>
      <c r="H8287" s="244" t="s">
        <v>5378</v>
      </c>
    </row>
    <row r="8288" spans="1:8" ht="15" customHeight="1" x14ac:dyDescent="0.2">
      <c r="A8288" s="602">
        <v>43759</v>
      </c>
      <c r="B8288" s="122" t="s">
        <v>2933</v>
      </c>
      <c r="C8288" s="122" t="s">
        <v>4834</v>
      </c>
      <c r="D8288" s="812" t="s">
        <v>5431</v>
      </c>
      <c r="E8288" s="123">
        <v>24500</v>
      </c>
      <c r="F8288" s="123"/>
      <c r="G8288" s="123">
        <f t="shared" si="134"/>
        <v>-24500</v>
      </c>
      <c r="H8288" s="244" t="s">
        <v>5378</v>
      </c>
    </row>
    <row r="8289" spans="1:10" ht="15" customHeight="1" x14ac:dyDescent="0.2">
      <c r="A8289" s="602">
        <v>43759</v>
      </c>
      <c r="B8289" s="122" t="s">
        <v>1400</v>
      </c>
      <c r="C8289" s="122" t="s">
        <v>4331</v>
      </c>
      <c r="D8289" s="812" t="s">
        <v>5432</v>
      </c>
      <c r="E8289" s="123">
        <v>30000</v>
      </c>
      <c r="F8289" s="123"/>
      <c r="G8289" s="123">
        <f t="shared" si="134"/>
        <v>-30000</v>
      </c>
      <c r="H8289" s="244" t="s">
        <v>5378</v>
      </c>
    </row>
    <row r="8290" spans="1:10" ht="15" customHeight="1" x14ac:dyDescent="0.2">
      <c r="A8290" s="602">
        <v>43759</v>
      </c>
      <c r="B8290" s="122" t="s">
        <v>2652</v>
      </c>
      <c r="C8290" s="122" t="s">
        <v>3011</v>
      </c>
      <c r="D8290" s="812" t="s">
        <v>5433</v>
      </c>
      <c r="E8290" s="123">
        <v>40000</v>
      </c>
      <c r="F8290" s="123"/>
      <c r="G8290" s="123">
        <f t="shared" si="134"/>
        <v>-40000</v>
      </c>
      <c r="H8290" s="244" t="s">
        <v>5378</v>
      </c>
    </row>
    <row r="8291" spans="1:10" ht="15" customHeight="1" x14ac:dyDescent="0.2">
      <c r="A8291" s="602">
        <v>43760</v>
      </c>
      <c r="B8291" s="122" t="s">
        <v>4553</v>
      </c>
      <c r="C8291" s="122" t="s">
        <v>3145</v>
      </c>
      <c r="D8291" s="812" t="s">
        <v>5434</v>
      </c>
      <c r="E8291" s="123">
        <v>51080</v>
      </c>
      <c r="F8291" s="123"/>
      <c r="G8291" s="123">
        <f t="shared" si="134"/>
        <v>-51080</v>
      </c>
      <c r="H8291" s="244" t="s">
        <v>5378</v>
      </c>
    </row>
    <row r="8292" spans="1:10" ht="15" customHeight="1" x14ac:dyDescent="0.2">
      <c r="A8292" s="602">
        <v>43760</v>
      </c>
      <c r="B8292" s="122" t="s">
        <v>2933</v>
      </c>
      <c r="C8292" s="122" t="s">
        <v>3428</v>
      </c>
      <c r="D8292" s="812" t="s">
        <v>5435</v>
      </c>
      <c r="E8292" s="123">
        <v>35000</v>
      </c>
      <c r="F8292" s="123"/>
      <c r="G8292" s="123">
        <f t="shared" si="134"/>
        <v>-35000</v>
      </c>
      <c r="H8292" s="244" t="s">
        <v>5378</v>
      </c>
    </row>
    <row r="8293" spans="1:10" ht="24" customHeight="1" x14ac:dyDescent="0.2">
      <c r="A8293" s="602">
        <v>43760</v>
      </c>
      <c r="B8293" s="122" t="s">
        <v>2652</v>
      </c>
      <c r="C8293" s="122" t="s">
        <v>3145</v>
      </c>
      <c r="D8293" s="118" t="s">
        <v>5436</v>
      </c>
      <c r="E8293" s="123">
        <v>50000</v>
      </c>
      <c r="F8293" s="123"/>
      <c r="G8293" s="123">
        <f t="shared" si="134"/>
        <v>-50000</v>
      </c>
      <c r="H8293" s="244" t="s">
        <v>5378</v>
      </c>
    </row>
    <row r="8294" spans="1:10" ht="15" customHeight="1" x14ac:dyDescent="0.2">
      <c r="A8294" s="602">
        <v>43761</v>
      </c>
      <c r="B8294" s="122" t="s">
        <v>2652</v>
      </c>
      <c r="C8294" s="122" t="s">
        <v>5187</v>
      </c>
      <c r="D8294" s="812" t="s">
        <v>5441</v>
      </c>
      <c r="E8294" s="123">
        <v>115000</v>
      </c>
      <c r="F8294" s="123"/>
      <c r="G8294" s="123">
        <f t="shared" si="134"/>
        <v>-115000</v>
      </c>
      <c r="H8294" s="244" t="s">
        <v>5378</v>
      </c>
    </row>
    <row r="8295" spans="1:10" ht="24" customHeight="1" x14ac:dyDescent="0.2">
      <c r="A8295" s="602">
        <v>43761</v>
      </c>
      <c r="B8295" s="122" t="s">
        <v>5227</v>
      </c>
      <c r="C8295" s="122" t="s">
        <v>251</v>
      </c>
      <c r="D8295" s="118" t="s">
        <v>5442</v>
      </c>
      <c r="E8295" s="123">
        <v>71000</v>
      </c>
      <c r="F8295" s="123"/>
      <c r="G8295" s="123">
        <f t="shared" si="134"/>
        <v>-71000</v>
      </c>
      <c r="H8295" s="244" t="s">
        <v>5378</v>
      </c>
    </row>
    <row r="8296" spans="1:10" ht="15" customHeight="1" x14ac:dyDescent="0.2">
      <c r="A8296" s="602">
        <v>43761</v>
      </c>
      <c r="B8296" s="122" t="s">
        <v>1400</v>
      </c>
      <c r="C8296" s="122" t="s">
        <v>2338</v>
      </c>
      <c r="D8296" s="118" t="s">
        <v>1157</v>
      </c>
      <c r="E8296" s="123">
        <v>6000</v>
      </c>
      <c r="F8296" s="123"/>
      <c r="G8296" s="123">
        <f t="shared" si="134"/>
        <v>-6000</v>
      </c>
      <c r="H8296" s="244" t="s">
        <v>5378</v>
      </c>
    </row>
    <row r="8297" spans="1:10" ht="15" customHeight="1" x14ac:dyDescent="0.2">
      <c r="A8297" s="602">
        <v>43761</v>
      </c>
      <c r="B8297" s="122" t="s">
        <v>2933</v>
      </c>
      <c r="C8297" s="122" t="s">
        <v>2338</v>
      </c>
      <c r="D8297" s="118" t="s">
        <v>1157</v>
      </c>
      <c r="E8297" s="123">
        <f>75000-E8296</f>
        <v>69000</v>
      </c>
      <c r="F8297" s="123"/>
      <c r="G8297" s="123">
        <f t="shared" si="134"/>
        <v>-69000</v>
      </c>
      <c r="H8297" s="244" t="s">
        <v>5378</v>
      </c>
    </row>
    <row r="8298" spans="1:10" ht="24" customHeight="1" x14ac:dyDescent="0.2">
      <c r="A8298" s="602">
        <v>43769</v>
      </c>
      <c r="B8298" s="122" t="s">
        <v>2652</v>
      </c>
      <c r="C8298" s="122" t="s">
        <v>5443</v>
      </c>
      <c r="D8298" s="118" t="s">
        <v>5444</v>
      </c>
      <c r="E8298" s="123">
        <v>150000</v>
      </c>
      <c r="F8298" s="123"/>
      <c r="G8298" s="123">
        <f t="shared" si="134"/>
        <v>-150000</v>
      </c>
      <c r="H8298" s="244" t="s">
        <v>5378</v>
      </c>
    </row>
    <row r="8299" spans="1:10" ht="24" customHeight="1" x14ac:dyDescent="0.2">
      <c r="A8299" s="602">
        <v>43769</v>
      </c>
      <c r="B8299" s="122" t="s">
        <v>2933</v>
      </c>
      <c r="C8299" s="122" t="s">
        <v>3145</v>
      </c>
      <c r="D8299" s="118" t="s">
        <v>5463</v>
      </c>
      <c r="E8299" s="123">
        <v>250000</v>
      </c>
      <c r="F8299" s="123"/>
      <c r="G8299" s="123">
        <f t="shared" ref="G8299:G8362" si="135">F8299-E8299</f>
        <v>-250000</v>
      </c>
      <c r="H8299" s="244" t="s">
        <v>5378</v>
      </c>
    </row>
    <row r="8300" spans="1:10" ht="15" customHeight="1" x14ac:dyDescent="0.2">
      <c r="A8300" s="602">
        <v>43769</v>
      </c>
      <c r="B8300" s="122" t="s">
        <v>5227</v>
      </c>
      <c r="C8300" s="122" t="s">
        <v>2338</v>
      </c>
      <c r="D8300" s="118" t="s">
        <v>5464</v>
      </c>
      <c r="E8300" s="123">
        <v>36000</v>
      </c>
      <c r="F8300" s="123"/>
      <c r="G8300" s="123">
        <f t="shared" si="135"/>
        <v>-36000</v>
      </c>
      <c r="H8300" s="244" t="s">
        <v>5378</v>
      </c>
    </row>
    <row r="8301" spans="1:10" ht="15" customHeight="1" x14ac:dyDescent="0.2">
      <c r="A8301" s="602">
        <v>43769</v>
      </c>
      <c r="B8301" s="122" t="s">
        <v>1400</v>
      </c>
      <c r="C8301" s="122" t="s">
        <v>2338</v>
      </c>
      <c r="D8301" s="118" t="s">
        <v>5464</v>
      </c>
      <c r="E8301" s="123">
        <v>9000</v>
      </c>
      <c r="F8301" s="123"/>
      <c r="G8301" s="123">
        <f t="shared" si="135"/>
        <v>-9000</v>
      </c>
      <c r="H8301" s="244" t="s">
        <v>5378</v>
      </c>
      <c r="J8301" s="40"/>
    </row>
    <row r="8302" spans="1:10" ht="24" customHeight="1" x14ac:dyDescent="0.2">
      <c r="A8302" s="599">
        <v>43748</v>
      </c>
      <c r="B8302" s="91" t="s">
        <v>4721</v>
      </c>
      <c r="C8302" s="91" t="s">
        <v>559</v>
      </c>
      <c r="D8302" s="798" t="s">
        <v>9116</v>
      </c>
      <c r="E8302" s="92"/>
      <c r="F8302" s="92">
        <v>231879</v>
      </c>
      <c r="G8302" s="92">
        <f t="shared" si="135"/>
        <v>231879</v>
      </c>
      <c r="H8302" s="261" t="s">
        <v>5378</v>
      </c>
    </row>
    <row r="8303" spans="1:10" ht="36" customHeight="1" x14ac:dyDescent="0.2">
      <c r="A8303" s="599">
        <v>43749</v>
      </c>
      <c r="B8303" s="91" t="s">
        <v>6516</v>
      </c>
      <c r="C8303" s="94" t="s">
        <v>559</v>
      </c>
      <c r="D8303" s="802" t="s">
        <v>5403</v>
      </c>
      <c r="E8303" s="176"/>
      <c r="F8303" s="176">
        <v>625014</v>
      </c>
      <c r="G8303" s="176">
        <f t="shared" si="135"/>
        <v>625014</v>
      </c>
      <c r="H8303" s="261" t="s">
        <v>5378</v>
      </c>
    </row>
    <row r="8304" spans="1:10" ht="15" customHeight="1" x14ac:dyDescent="0.2">
      <c r="A8304" s="599">
        <v>43753</v>
      </c>
      <c r="B8304" s="91" t="s">
        <v>3945</v>
      </c>
      <c r="C8304" s="94" t="s">
        <v>559</v>
      </c>
      <c r="D8304" s="801" t="s">
        <v>5412</v>
      </c>
      <c r="E8304" s="92"/>
      <c r="F8304" s="92">
        <v>321064</v>
      </c>
      <c r="G8304" s="176">
        <f t="shared" si="135"/>
        <v>321064</v>
      </c>
      <c r="H8304" s="261" t="s">
        <v>5378</v>
      </c>
    </row>
    <row r="8305" spans="1:8" ht="15" customHeight="1" x14ac:dyDescent="0.2">
      <c r="A8305" s="599">
        <v>43754</v>
      </c>
      <c r="B8305" s="91" t="s">
        <v>22</v>
      </c>
      <c r="C8305" s="94" t="s">
        <v>559</v>
      </c>
      <c r="D8305" s="801" t="s">
        <v>5417</v>
      </c>
      <c r="E8305" s="92"/>
      <c r="F8305" s="92">
        <v>9500</v>
      </c>
      <c r="G8305" s="176">
        <f t="shared" si="135"/>
        <v>9500</v>
      </c>
      <c r="H8305" s="261" t="s">
        <v>5378</v>
      </c>
    </row>
    <row r="8306" spans="1:8" ht="15" customHeight="1" x14ac:dyDescent="0.2">
      <c r="A8306" s="599">
        <v>43755</v>
      </c>
      <c r="B8306" s="91" t="s">
        <v>5227</v>
      </c>
      <c r="C8306" s="94" t="s">
        <v>559</v>
      </c>
      <c r="D8306" s="816" t="s">
        <v>5450</v>
      </c>
      <c r="E8306" s="92"/>
      <c r="F8306" s="92">
        <v>660160</v>
      </c>
      <c r="G8306" s="92">
        <f t="shared" si="135"/>
        <v>660160</v>
      </c>
      <c r="H8306" s="261" t="s">
        <v>5378</v>
      </c>
    </row>
    <row r="8307" spans="1:8" ht="15" customHeight="1" x14ac:dyDescent="0.2">
      <c r="A8307" s="599">
        <v>43761</v>
      </c>
      <c r="B8307" s="91" t="s">
        <v>37</v>
      </c>
      <c r="C8307" s="91" t="s">
        <v>559</v>
      </c>
      <c r="D8307" s="801" t="s">
        <v>5428</v>
      </c>
      <c r="E8307" s="92"/>
      <c r="F8307" s="92">
        <v>157140</v>
      </c>
      <c r="G8307" s="92">
        <f t="shared" si="135"/>
        <v>157140</v>
      </c>
      <c r="H8307" s="261" t="s">
        <v>5378</v>
      </c>
    </row>
    <row r="8308" spans="1:8" ht="24" customHeight="1" x14ac:dyDescent="0.2">
      <c r="A8308" s="599">
        <v>43761</v>
      </c>
      <c r="B8308" s="91" t="s">
        <v>4553</v>
      </c>
      <c r="C8308" s="91" t="s">
        <v>559</v>
      </c>
      <c r="D8308" s="798" t="s">
        <v>5429</v>
      </c>
      <c r="E8308" s="92"/>
      <c r="F8308" s="92">
        <v>120000</v>
      </c>
      <c r="G8308" s="92">
        <f t="shared" si="135"/>
        <v>120000</v>
      </c>
      <c r="H8308" s="261" t="s">
        <v>5378</v>
      </c>
    </row>
    <row r="8309" spans="1:8" ht="15" customHeight="1" x14ac:dyDescent="0.2">
      <c r="A8309" s="599">
        <v>43761</v>
      </c>
      <c r="B8309" s="91" t="s">
        <v>3946</v>
      </c>
      <c r="C8309" s="94" t="s">
        <v>559</v>
      </c>
      <c r="D8309" s="801" t="s">
        <v>5412</v>
      </c>
      <c r="E8309" s="92"/>
      <c r="F8309" s="92">
        <v>295582</v>
      </c>
      <c r="G8309" s="176">
        <f t="shared" si="135"/>
        <v>295582</v>
      </c>
      <c r="H8309" s="261" t="s">
        <v>5378</v>
      </c>
    </row>
    <row r="8310" spans="1:8" ht="15" customHeight="1" x14ac:dyDescent="0.2">
      <c r="A8310" s="599">
        <v>43768</v>
      </c>
      <c r="B8310" s="91" t="s">
        <v>5227</v>
      </c>
      <c r="C8310" s="94" t="s">
        <v>559</v>
      </c>
      <c r="D8310" s="816" t="s">
        <v>5447</v>
      </c>
      <c r="E8310" s="92"/>
      <c r="F8310" s="92">
        <v>200000</v>
      </c>
      <c r="G8310" s="92">
        <f t="shared" si="135"/>
        <v>200000</v>
      </c>
      <c r="H8310" s="261" t="s">
        <v>5378</v>
      </c>
    </row>
    <row r="8311" spans="1:8" ht="24" x14ac:dyDescent="0.2">
      <c r="A8311" s="599">
        <v>43768</v>
      </c>
      <c r="B8311" s="91" t="s">
        <v>5227</v>
      </c>
      <c r="C8311" s="94" t="s">
        <v>559</v>
      </c>
      <c r="D8311" s="819" t="s">
        <v>5448</v>
      </c>
      <c r="E8311" s="92"/>
      <c r="F8311" s="92">
        <v>328128</v>
      </c>
      <c r="G8311" s="92">
        <f t="shared" si="135"/>
        <v>328128</v>
      </c>
      <c r="H8311" s="261" t="s">
        <v>5378</v>
      </c>
    </row>
    <row r="8312" spans="1:8" ht="36" x14ac:dyDescent="0.2">
      <c r="A8312" s="599">
        <v>43769</v>
      </c>
      <c r="B8312" s="91" t="s">
        <v>2652</v>
      </c>
      <c r="C8312" s="94" t="s">
        <v>559</v>
      </c>
      <c r="D8312" s="798" t="s">
        <v>5510</v>
      </c>
      <c r="E8312" s="92"/>
      <c r="F8312" s="92">
        <v>1050000</v>
      </c>
      <c r="G8312" s="92">
        <f t="shared" si="135"/>
        <v>1050000</v>
      </c>
      <c r="H8312" s="261" t="s">
        <v>5378</v>
      </c>
    </row>
    <row r="8313" spans="1:8" ht="15" x14ac:dyDescent="0.2">
      <c r="A8313" s="599">
        <v>43769</v>
      </c>
      <c r="B8313" s="91" t="s">
        <v>2652</v>
      </c>
      <c r="C8313" s="94" t="s">
        <v>559</v>
      </c>
      <c r="D8313" s="801" t="s">
        <v>5547</v>
      </c>
      <c r="E8313" s="92"/>
      <c r="F8313" s="92">
        <v>1075000</v>
      </c>
      <c r="G8313" s="92">
        <f t="shared" si="135"/>
        <v>1075000</v>
      </c>
      <c r="H8313" s="261" t="s">
        <v>5378</v>
      </c>
    </row>
    <row r="8314" spans="1:8" ht="15" x14ac:dyDescent="0.2">
      <c r="A8314" s="597">
        <v>43770</v>
      </c>
      <c r="B8314" s="41" t="s">
        <v>1400</v>
      </c>
      <c r="C8314" s="41" t="s">
        <v>3033</v>
      </c>
      <c r="D8314" s="108" t="s">
        <v>5468</v>
      </c>
      <c r="E8314" s="42">
        <v>12000</v>
      </c>
      <c r="G8314" s="42">
        <f t="shared" si="135"/>
        <v>-12000</v>
      </c>
      <c r="H8314" s="121" t="s">
        <v>5467</v>
      </c>
    </row>
    <row r="8315" spans="1:8" ht="15" x14ac:dyDescent="0.2">
      <c r="A8315" s="597">
        <v>43770</v>
      </c>
      <c r="B8315" s="41" t="s">
        <v>16</v>
      </c>
      <c r="C8315" s="41" t="s">
        <v>3364</v>
      </c>
      <c r="D8315" s="108" t="s">
        <v>370</v>
      </c>
      <c r="E8315" s="42">
        <v>4200</v>
      </c>
      <c r="G8315" s="42">
        <f t="shared" si="135"/>
        <v>-4200</v>
      </c>
      <c r="H8315" s="121" t="s">
        <v>5467</v>
      </c>
    </row>
    <row r="8316" spans="1:8" ht="15" x14ac:dyDescent="0.2">
      <c r="A8316" s="597">
        <v>43771</v>
      </c>
      <c r="B8316" s="41" t="s">
        <v>1400</v>
      </c>
      <c r="C8316" s="41" t="s">
        <v>3033</v>
      </c>
      <c r="D8316" s="108" t="s">
        <v>5469</v>
      </c>
      <c r="E8316" s="42">
        <v>4000</v>
      </c>
      <c r="G8316" s="42">
        <f t="shared" si="135"/>
        <v>-4000</v>
      </c>
      <c r="H8316" s="121" t="s">
        <v>5467</v>
      </c>
    </row>
    <row r="8317" spans="1:8" ht="15" x14ac:dyDescent="0.2">
      <c r="A8317" s="597">
        <v>43771</v>
      </c>
      <c r="B8317" s="41" t="s">
        <v>2652</v>
      </c>
      <c r="C8317" s="41" t="s">
        <v>2503</v>
      </c>
      <c r="D8317" s="108" t="s">
        <v>5470</v>
      </c>
      <c r="E8317" s="42">
        <v>15750</v>
      </c>
      <c r="G8317" s="42">
        <f t="shared" si="135"/>
        <v>-15750</v>
      </c>
      <c r="H8317" s="121" t="s">
        <v>5467</v>
      </c>
    </row>
    <row r="8318" spans="1:8" ht="15" x14ac:dyDescent="0.2">
      <c r="A8318" s="597">
        <v>43770</v>
      </c>
      <c r="B8318" s="41" t="s">
        <v>2933</v>
      </c>
      <c r="C8318" s="41" t="s">
        <v>3145</v>
      </c>
      <c r="D8318" s="108" t="s">
        <v>5471</v>
      </c>
      <c r="E8318" s="42">
        <v>90360</v>
      </c>
      <c r="G8318" s="42">
        <f t="shared" si="135"/>
        <v>-90360</v>
      </c>
      <c r="H8318" s="121" t="s">
        <v>5467</v>
      </c>
    </row>
    <row r="8319" spans="1:8" ht="15" x14ac:dyDescent="0.2">
      <c r="A8319" s="597">
        <v>43771</v>
      </c>
      <c r="B8319" s="41" t="s">
        <v>2652</v>
      </c>
      <c r="C8319" s="41" t="s">
        <v>3145</v>
      </c>
      <c r="D8319" s="108" t="s">
        <v>5472</v>
      </c>
      <c r="E8319" s="42">
        <v>1340</v>
      </c>
      <c r="G8319" s="42">
        <f t="shared" si="135"/>
        <v>-1340</v>
      </c>
      <c r="H8319" s="121" t="s">
        <v>5467</v>
      </c>
    </row>
    <row r="8320" spans="1:8" ht="15" x14ac:dyDescent="0.2">
      <c r="A8320" s="597">
        <v>43774</v>
      </c>
      <c r="B8320" s="41" t="s">
        <v>2933</v>
      </c>
      <c r="C8320" s="41" t="s">
        <v>2503</v>
      </c>
      <c r="D8320" s="108" t="s">
        <v>372</v>
      </c>
      <c r="E8320" s="42">
        <v>25000</v>
      </c>
      <c r="G8320" s="42">
        <f t="shared" si="135"/>
        <v>-25000</v>
      </c>
      <c r="H8320" s="121" t="s">
        <v>5467</v>
      </c>
    </row>
    <row r="8321" spans="1:8" ht="15" x14ac:dyDescent="0.2">
      <c r="A8321" s="597">
        <v>43774</v>
      </c>
      <c r="B8321" s="41" t="s">
        <v>1400</v>
      </c>
      <c r="C8321" s="41" t="s">
        <v>2503</v>
      </c>
      <c r="D8321" s="108" t="s">
        <v>372</v>
      </c>
      <c r="E8321" s="42">
        <v>25000</v>
      </c>
      <c r="G8321" s="42">
        <f t="shared" si="135"/>
        <v>-25000</v>
      </c>
      <c r="H8321" s="121" t="s">
        <v>5467</v>
      </c>
    </row>
    <row r="8322" spans="1:8" ht="15" x14ac:dyDescent="0.2">
      <c r="A8322" s="597">
        <v>43774</v>
      </c>
      <c r="B8322" s="41" t="s">
        <v>2933</v>
      </c>
      <c r="C8322" s="41" t="s">
        <v>2503</v>
      </c>
      <c r="D8322" s="108" t="s">
        <v>940</v>
      </c>
      <c r="E8322" s="42">
        <v>25000</v>
      </c>
      <c r="G8322" s="42">
        <f t="shared" si="135"/>
        <v>-25000</v>
      </c>
      <c r="H8322" s="121" t="s">
        <v>5467</v>
      </c>
    </row>
    <row r="8323" spans="1:8" ht="15" x14ac:dyDescent="0.2">
      <c r="A8323" s="597">
        <v>43774</v>
      </c>
      <c r="B8323" s="41" t="s">
        <v>2652</v>
      </c>
      <c r="C8323" s="41" t="s">
        <v>2503</v>
      </c>
      <c r="D8323" s="108" t="s">
        <v>940</v>
      </c>
      <c r="E8323" s="42">
        <v>25000</v>
      </c>
      <c r="G8323" s="42">
        <f t="shared" si="135"/>
        <v>-25000</v>
      </c>
      <c r="H8323" s="121" t="s">
        <v>5467</v>
      </c>
    </row>
    <row r="8324" spans="1:8" ht="15" x14ac:dyDescent="0.2">
      <c r="A8324" s="597">
        <v>43774</v>
      </c>
      <c r="B8324" s="41" t="s">
        <v>25</v>
      </c>
      <c r="C8324" s="41" t="s">
        <v>2503</v>
      </c>
      <c r="E8324" s="42">
        <v>51000</v>
      </c>
      <c r="G8324" s="42">
        <f t="shared" si="135"/>
        <v>-51000</v>
      </c>
      <c r="H8324" s="121" t="s">
        <v>5467</v>
      </c>
    </row>
    <row r="8325" spans="1:8" ht="15" x14ac:dyDescent="0.2">
      <c r="A8325" s="597">
        <v>43774</v>
      </c>
      <c r="B8325" s="41" t="s">
        <v>16</v>
      </c>
      <c r="C8325" s="41" t="s">
        <v>2503</v>
      </c>
      <c r="E8325" s="42">
        <v>87161.290322580637</v>
      </c>
      <c r="G8325" s="42">
        <f t="shared" si="135"/>
        <v>-87161.290322580637</v>
      </c>
      <c r="H8325" s="121" t="s">
        <v>5467</v>
      </c>
    </row>
    <row r="8326" spans="1:8" ht="15" customHeight="1" x14ac:dyDescent="0.2">
      <c r="A8326" s="597">
        <v>43774</v>
      </c>
      <c r="B8326" s="41" t="s">
        <v>3945</v>
      </c>
      <c r="C8326" s="41" t="s">
        <v>2503</v>
      </c>
      <c r="E8326" s="42">
        <v>166308.50806451612</v>
      </c>
      <c r="G8326" s="42">
        <f t="shared" si="135"/>
        <v>-166308.50806451612</v>
      </c>
      <c r="H8326" s="121" t="s">
        <v>5467</v>
      </c>
    </row>
    <row r="8327" spans="1:8" ht="15" customHeight="1" x14ac:dyDescent="0.2">
      <c r="A8327" s="597">
        <v>43774</v>
      </c>
      <c r="B8327" s="41" t="s">
        <v>3946</v>
      </c>
      <c r="C8327" s="41" t="s">
        <v>2503</v>
      </c>
      <c r="E8327" s="42">
        <v>149379.03225806452</v>
      </c>
      <c r="G8327" s="42">
        <f t="shared" si="135"/>
        <v>-149379.03225806452</v>
      </c>
      <c r="H8327" s="121" t="s">
        <v>5467</v>
      </c>
    </row>
    <row r="8328" spans="1:8" ht="15" customHeight="1" x14ac:dyDescent="0.2">
      <c r="A8328" s="597">
        <v>43774</v>
      </c>
      <c r="B8328" s="41" t="s">
        <v>1400</v>
      </c>
      <c r="C8328" s="41" t="s">
        <v>2503</v>
      </c>
      <c r="E8328" s="42">
        <v>414803.02419354836</v>
      </c>
      <c r="G8328" s="42">
        <f t="shared" si="135"/>
        <v>-414803.02419354836</v>
      </c>
      <c r="H8328" s="121" t="s">
        <v>5467</v>
      </c>
    </row>
    <row r="8329" spans="1:8" ht="15" customHeight="1" x14ac:dyDescent="0.2">
      <c r="A8329" s="597">
        <v>43774</v>
      </c>
      <c r="B8329" s="41" t="s">
        <v>6516</v>
      </c>
      <c r="C8329" s="41" t="s">
        <v>2503</v>
      </c>
      <c r="E8329" s="42">
        <v>104695.80645161289</v>
      </c>
      <c r="G8329" s="42">
        <f t="shared" si="135"/>
        <v>-104695.80645161289</v>
      </c>
      <c r="H8329" s="121" t="s">
        <v>5467</v>
      </c>
    </row>
    <row r="8330" spans="1:8" ht="15" customHeight="1" x14ac:dyDescent="0.2">
      <c r="A8330" s="597">
        <v>43774</v>
      </c>
      <c r="B8330" s="41" t="s">
        <v>37</v>
      </c>
      <c r="C8330" s="41" t="s">
        <v>2503</v>
      </c>
      <c r="E8330" s="42">
        <v>86047.580645161288</v>
      </c>
      <c r="G8330" s="42">
        <f t="shared" si="135"/>
        <v>-86047.580645161288</v>
      </c>
      <c r="H8330" s="121" t="s">
        <v>5467</v>
      </c>
    </row>
    <row r="8331" spans="1:8" ht="15" customHeight="1" x14ac:dyDescent="0.2">
      <c r="A8331" s="597">
        <v>43774</v>
      </c>
      <c r="B8331" s="41" t="s">
        <v>2933</v>
      </c>
      <c r="C8331" s="41" t="s">
        <v>2503</v>
      </c>
      <c r="E8331" s="42">
        <v>171883.62903225803</v>
      </c>
      <c r="G8331" s="42">
        <f t="shared" si="135"/>
        <v>-171883.62903225803</v>
      </c>
      <c r="H8331" s="121" t="s">
        <v>5467</v>
      </c>
    </row>
    <row r="8332" spans="1:8" ht="15" customHeight="1" x14ac:dyDescent="0.2">
      <c r="A8332" s="597">
        <v>43774</v>
      </c>
      <c r="B8332" s="41" t="s">
        <v>2652</v>
      </c>
      <c r="C8332" s="41" t="s">
        <v>2503</v>
      </c>
      <c r="E8332" s="42">
        <v>180818.54838709679</v>
      </c>
      <c r="G8332" s="42">
        <f t="shared" si="135"/>
        <v>-180818.54838709679</v>
      </c>
      <c r="H8332" s="121" t="s">
        <v>5467</v>
      </c>
    </row>
    <row r="8333" spans="1:8" ht="15" customHeight="1" x14ac:dyDescent="0.2">
      <c r="A8333" s="597">
        <v>43774</v>
      </c>
      <c r="B8333" s="41" t="s">
        <v>2652</v>
      </c>
      <c r="C8333" s="41" t="s">
        <v>2190</v>
      </c>
      <c r="E8333" s="42">
        <v>450</v>
      </c>
      <c r="G8333" s="42">
        <f t="shared" si="135"/>
        <v>-450</v>
      </c>
      <c r="H8333" s="121" t="s">
        <v>5467</v>
      </c>
    </row>
    <row r="8334" spans="1:8" ht="15" customHeight="1" x14ac:dyDescent="0.2">
      <c r="A8334" s="597">
        <v>43774</v>
      </c>
      <c r="B8334" s="41" t="s">
        <v>2652</v>
      </c>
      <c r="C8334" s="41" t="s">
        <v>2190</v>
      </c>
      <c r="E8334" s="42">
        <v>450</v>
      </c>
      <c r="G8334" s="42">
        <f t="shared" si="135"/>
        <v>-450</v>
      </c>
      <c r="H8334" s="121" t="s">
        <v>5467</v>
      </c>
    </row>
    <row r="8335" spans="1:8" ht="15" customHeight="1" x14ac:dyDescent="0.2">
      <c r="A8335" s="597">
        <v>43775</v>
      </c>
      <c r="B8335" s="41" t="s">
        <v>2652</v>
      </c>
      <c r="C8335" s="41" t="s">
        <v>392</v>
      </c>
      <c r="D8335" s="108" t="s">
        <v>5519</v>
      </c>
      <c r="E8335" s="42">
        <v>2200</v>
      </c>
      <c r="G8335" s="42">
        <f t="shared" si="135"/>
        <v>-2200</v>
      </c>
      <c r="H8335" s="121" t="s">
        <v>5467</v>
      </c>
    </row>
    <row r="8336" spans="1:8" ht="15" customHeight="1" x14ac:dyDescent="0.2">
      <c r="A8336" s="597">
        <v>43775</v>
      </c>
      <c r="B8336" s="41" t="s">
        <v>1400</v>
      </c>
      <c r="C8336" s="41" t="s">
        <v>3145</v>
      </c>
      <c r="D8336" s="108" t="s">
        <v>4888</v>
      </c>
      <c r="E8336" s="42">
        <v>96536</v>
      </c>
      <c r="G8336" s="42">
        <f t="shared" si="135"/>
        <v>-96536</v>
      </c>
      <c r="H8336" s="121" t="s">
        <v>5467</v>
      </c>
    </row>
    <row r="8337" spans="1:8" ht="15" x14ac:dyDescent="0.2">
      <c r="A8337" s="597">
        <v>43775</v>
      </c>
      <c r="B8337" s="41" t="s">
        <v>2933</v>
      </c>
      <c r="C8337" s="41" t="s">
        <v>3145</v>
      </c>
      <c r="D8337" s="108" t="s">
        <v>5520</v>
      </c>
      <c r="E8337" s="42">
        <v>9030</v>
      </c>
      <c r="G8337" s="42">
        <f t="shared" si="135"/>
        <v>-9030</v>
      </c>
      <c r="H8337" s="121" t="s">
        <v>5467</v>
      </c>
    </row>
    <row r="8338" spans="1:8" ht="15" x14ac:dyDescent="0.2">
      <c r="A8338" s="597">
        <v>43775</v>
      </c>
      <c r="B8338" s="41" t="s">
        <v>16</v>
      </c>
      <c r="C8338" s="41" t="s">
        <v>392</v>
      </c>
      <c r="D8338" s="810" t="s">
        <v>5523</v>
      </c>
      <c r="E8338" s="42">
        <v>7000</v>
      </c>
      <c r="G8338" s="42">
        <f t="shared" si="135"/>
        <v>-7000</v>
      </c>
      <c r="H8338" s="121" t="s">
        <v>5467</v>
      </c>
    </row>
    <row r="8339" spans="1:8" ht="15" x14ac:dyDescent="0.2">
      <c r="A8339" s="597">
        <v>43778</v>
      </c>
      <c r="B8339" s="401" t="s">
        <v>25</v>
      </c>
      <c r="C8339" s="409" t="s">
        <v>2428</v>
      </c>
      <c r="D8339" s="827" t="s">
        <v>5540</v>
      </c>
      <c r="E8339" s="410">
        <v>6250</v>
      </c>
      <c r="F8339" s="402"/>
      <c r="G8339" s="42">
        <f t="shared" si="135"/>
        <v>-6250</v>
      </c>
      <c r="H8339" s="121" t="s">
        <v>5467</v>
      </c>
    </row>
    <row r="8340" spans="1:8" ht="15" x14ac:dyDescent="0.2">
      <c r="A8340" s="597">
        <v>43781</v>
      </c>
      <c r="B8340" s="401" t="s">
        <v>16</v>
      </c>
      <c r="C8340" s="409" t="s">
        <v>149</v>
      </c>
      <c r="D8340" s="827" t="s">
        <v>5541</v>
      </c>
      <c r="E8340" s="410">
        <v>1400</v>
      </c>
      <c r="F8340" s="402"/>
      <c r="G8340" s="42">
        <f t="shared" si="135"/>
        <v>-1400</v>
      </c>
      <c r="H8340" s="121" t="s">
        <v>5467</v>
      </c>
    </row>
    <row r="8341" spans="1:8" ht="15" x14ac:dyDescent="0.2">
      <c r="A8341" s="597">
        <v>43781</v>
      </c>
      <c r="B8341" s="401" t="s">
        <v>1400</v>
      </c>
      <c r="C8341" s="409" t="s">
        <v>3145</v>
      </c>
      <c r="D8341" s="827" t="s">
        <v>5542</v>
      </c>
      <c r="E8341" s="410">
        <v>2600</v>
      </c>
      <c r="F8341" s="402"/>
      <c r="G8341" s="42">
        <f t="shared" si="135"/>
        <v>-2600</v>
      </c>
      <c r="H8341" s="121" t="s">
        <v>5467</v>
      </c>
    </row>
    <row r="8342" spans="1:8" ht="15" x14ac:dyDescent="0.2">
      <c r="A8342" s="597">
        <v>43775</v>
      </c>
      <c r="B8342" s="352" t="s">
        <v>2933</v>
      </c>
      <c r="C8342" s="352" t="s">
        <v>3145</v>
      </c>
      <c r="D8342" s="820" t="s">
        <v>4181</v>
      </c>
      <c r="E8342" s="42">
        <v>13806</v>
      </c>
      <c r="G8342" s="42">
        <f t="shared" si="135"/>
        <v>-13806</v>
      </c>
      <c r="H8342" s="121" t="s">
        <v>5467</v>
      </c>
    </row>
    <row r="8343" spans="1:8" ht="15" x14ac:dyDescent="0.2">
      <c r="A8343" s="597">
        <v>43775</v>
      </c>
      <c r="B8343" s="41" t="s">
        <v>1400</v>
      </c>
      <c r="C8343" s="41" t="s">
        <v>3145</v>
      </c>
      <c r="D8343" s="108" t="s">
        <v>5521</v>
      </c>
      <c r="E8343" s="42">
        <v>42100</v>
      </c>
      <c r="G8343" s="42">
        <f t="shared" si="135"/>
        <v>-42100</v>
      </c>
      <c r="H8343" s="121" t="s">
        <v>5467</v>
      </c>
    </row>
    <row r="8344" spans="1:8" ht="15" x14ac:dyDescent="0.2">
      <c r="A8344" s="597">
        <v>43775</v>
      </c>
      <c r="B8344" s="41" t="s">
        <v>2652</v>
      </c>
      <c r="C8344" s="41" t="s">
        <v>3145</v>
      </c>
      <c r="D8344" s="108" t="s">
        <v>5522</v>
      </c>
      <c r="E8344" s="42">
        <v>2844</v>
      </c>
      <c r="G8344" s="42">
        <f t="shared" si="135"/>
        <v>-2844</v>
      </c>
      <c r="H8344" s="121" t="s">
        <v>5467</v>
      </c>
    </row>
    <row r="8345" spans="1:8" ht="15" customHeight="1" x14ac:dyDescent="0.2">
      <c r="A8345" s="597">
        <v>43775</v>
      </c>
      <c r="B8345" s="41" t="s">
        <v>2933</v>
      </c>
      <c r="C8345" s="41" t="s">
        <v>3145</v>
      </c>
      <c r="E8345" s="42">
        <v>2600</v>
      </c>
      <c r="G8345" s="42">
        <f t="shared" si="135"/>
        <v>-2600</v>
      </c>
      <c r="H8345" s="121" t="s">
        <v>5467</v>
      </c>
    </row>
    <row r="8346" spans="1:8" ht="15" customHeight="1" x14ac:dyDescent="0.2">
      <c r="A8346" s="597">
        <v>43778</v>
      </c>
      <c r="B8346" s="401" t="s">
        <v>1400</v>
      </c>
      <c r="C8346" s="409" t="s">
        <v>3145</v>
      </c>
      <c r="D8346" s="827" t="s">
        <v>5539</v>
      </c>
      <c r="E8346" s="410">
        <v>27000</v>
      </c>
      <c r="F8346" s="402"/>
      <c r="G8346" s="42">
        <f t="shared" si="135"/>
        <v>-27000</v>
      </c>
      <c r="H8346" s="121" t="s">
        <v>5467</v>
      </c>
    </row>
    <row r="8347" spans="1:8" ht="15" customHeight="1" x14ac:dyDescent="0.2">
      <c r="A8347" s="597">
        <v>43778</v>
      </c>
      <c r="B8347" s="401" t="s">
        <v>2933</v>
      </c>
      <c r="C8347" s="409" t="s">
        <v>3145</v>
      </c>
      <c r="D8347" s="827" t="s">
        <v>5575</v>
      </c>
      <c r="E8347" s="410">
        <v>3550</v>
      </c>
      <c r="F8347" s="402"/>
      <c r="G8347" s="42">
        <f t="shared" si="135"/>
        <v>-3550</v>
      </c>
      <c r="H8347" s="121" t="s">
        <v>5467</v>
      </c>
    </row>
    <row r="8348" spans="1:8" ht="15" customHeight="1" x14ac:dyDescent="0.2">
      <c r="A8348" s="597">
        <v>43781</v>
      </c>
      <c r="B8348" s="401" t="s">
        <v>1400</v>
      </c>
      <c r="C8348" s="409" t="s">
        <v>3145</v>
      </c>
      <c r="D8348" s="827" t="s">
        <v>5543</v>
      </c>
      <c r="E8348" s="410">
        <v>28785</v>
      </c>
      <c r="F8348" s="402"/>
      <c r="G8348" s="42">
        <f t="shared" si="135"/>
        <v>-28785</v>
      </c>
      <c r="H8348" s="121" t="s">
        <v>5467</v>
      </c>
    </row>
    <row r="8349" spans="1:8" ht="15" customHeight="1" x14ac:dyDescent="0.2">
      <c r="A8349" s="597">
        <v>43781</v>
      </c>
      <c r="B8349" s="401" t="s">
        <v>2652</v>
      </c>
      <c r="C8349" s="409" t="s">
        <v>2190</v>
      </c>
      <c r="D8349" s="827"/>
      <c r="E8349" s="410">
        <v>150</v>
      </c>
      <c r="F8349" s="402"/>
      <c r="G8349" s="42">
        <f t="shared" si="135"/>
        <v>-150</v>
      </c>
      <c r="H8349" s="121" t="s">
        <v>5467</v>
      </c>
    </row>
    <row r="8350" spans="1:8" ht="15" customHeight="1" x14ac:dyDescent="0.2">
      <c r="A8350" s="597">
        <v>43781</v>
      </c>
      <c r="B8350" s="401" t="s">
        <v>5544</v>
      </c>
      <c r="C8350" s="409" t="s">
        <v>2190</v>
      </c>
      <c r="D8350" s="827"/>
      <c r="E8350" s="410">
        <v>1800</v>
      </c>
      <c r="F8350" s="402"/>
      <c r="G8350" s="42">
        <f t="shared" si="135"/>
        <v>-1800</v>
      </c>
      <c r="H8350" s="121" t="s">
        <v>5467</v>
      </c>
    </row>
    <row r="8351" spans="1:8" ht="15" customHeight="1" x14ac:dyDescent="0.2">
      <c r="A8351" s="597">
        <v>43781</v>
      </c>
      <c r="B8351" s="401" t="s">
        <v>2933</v>
      </c>
      <c r="C8351" s="409" t="s">
        <v>1495</v>
      </c>
      <c r="D8351" s="827"/>
      <c r="E8351" s="410">
        <v>3510</v>
      </c>
      <c r="F8351" s="402"/>
      <c r="G8351" s="42">
        <f t="shared" si="135"/>
        <v>-3510</v>
      </c>
      <c r="H8351" s="121" t="s">
        <v>5467</v>
      </c>
    </row>
    <row r="8352" spans="1:8" ht="15" customHeight="1" x14ac:dyDescent="0.2">
      <c r="A8352" s="597">
        <v>43781</v>
      </c>
      <c r="B8352" s="401" t="s">
        <v>16</v>
      </c>
      <c r="C8352" s="409" t="s">
        <v>1495</v>
      </c>
      <c r="D8352" s="827"/>
      <c r="E8352" s="410">
        <v>490</v>
      </c>
      <c r="F8352" s="402"/>
      <c r="G8352" s="42">
        <f t="shared" si="135"/>
        <v>-490</v>
      </c>
      <c r="H8352" s="121" t="s">
        <v>5467</v>
      </c>
    </row>
    <row r="8353" spans="1:8" ht="15" customHeight="1" x14ac:dyDescent="0.2">
      <c r="A8353" s="597">
        <v>43781</v>
      </c>
      <c r="B8353" s="401" t="s">
        <v>2933</v>
      </c>
      <c r="C8353" s="403" t="s">
        <v>3145</v>
      </c>
      <c r="D8353" s="828" t="s">
        <v>5535</v>
      </c>
      <c r="E8353" s="404">
        <f>1205+600+500+5600+900+1100</f>
        <v>9905</v>
      </c>
      <c r="F8353" s="402"/>
      <c r="G8353" s="42">
        <f t="shared" si="135"/>
        <v>-9905</v>
      </c>
      <c r="H8353" s="121" t="s">
        <v>5467</v>
      </c>
    </row>
    <row r="8354" spans="1:8" ht="15" customHeight="1" x14ac:dyDescent="0.2">
      <c r="A8354" s="597">
        <v>43781</v>
      </c>
      <c r="B8354" s="401" t="s">
        <v>1400</v>
      </c>
      <c r="C8354" s="405" t="s">
        <v>3145</v>
      </c>
      <c r="D8354" s="108" t="s">
        <v>5535</v>
      </c>
      <c r="E8354" s="406">
        <f>2500+11500+7500</f>
        <v>21500</v>
      </c>
      <c r="F8354" s="402"/>
      <c r="G8354" s="42">
        <f t="shared" si="135"/>
        <v>-21500</v>
      </c>
      <c r="H8354" s="121" t="s">
        <v>5467</v>
      </c>
    </row>
    <row r="8355" spans="1:8" ht="15" customHeight="1" x14ac:dyDescent="0.2">
      <c r="A8355" s="597">
        <v>43781</v>
      </c>
      <c r="B8355" s="401" t="s">
        <v>2652</v>
      </c>
      <c r="C8355" s="407" t="s">
        <v>3145</v>
      </c>
      <c r="D8355" s="829" t="s">
        <v>5535</v>
      </c>
      <c r="E8355" s="408">
        <f>80340-E8354-E8353-3100</f>
        <v>45835</v>
      </c>
      <c r="F8355" s="402"/>
      <c r="G8355" s="42">
        <f t="shared" si="135"/>
        <v>-45835</v>
      </c>
      <c r="H8355" s="121" t="s">
        <v>5467</v>
      </c>
    </row>
    <row r="8356" spans="1:8" ht="15" customHeight="1" x14ac:dyDescent="0.2">
      <c r="A8356" s="597">
        <v>43788</v>
      </c>
      <c r="B8356" s="401" t="s">
        <v>16</v>
      </c>
      <c r="C8356" s="409" t="s">
        <v>1689</v>
      </c>
      <c r="D8356" s="827" t="s">
        <v>370</v>
      </c>
      <c r="E8356" s="410">
        <v>5020</v>
      </c>
      <c r="F8356" s="402"/>
      <c r="G8356" s="42">
        <f t="shared" si="135"/>
        <v>-5020</v>
      </c>
      <c r="H8356" s="121" t="s">
        <v>5467</v>
      </c>
    </row>
    <row r="8357" spans="1:8" ht="15" customHeight="1" x14ac:dyDescent="0.2">
      <c r="A8357" s="597">
        <v>43788</v>
      </c>
      <c r="B8357" s="401" t="s">
        <v>25</v>
      </c>
      <c r="C8357" s="409" t="s">
        <v>1689</v>
      </c>
      <c r="D8357" s="827" t="s">
        <v>370</v>
      </c>
      <c r="E8357" s="410">
        <v>27649</v>
      </c>
      <c r="F8357" s="402"/>
      <c r="G8357" s="42">
        <f t="shared" si="135"/>
        <v>-27649</v>
      </c>
      <c r="H8357" s="121" t="s">
        <v>5467</v>
      </c>
    </row>
    <row r="8358" spans="1:8" ht="15" customHeight="1" x14ac:dyDescent="0.2">
      <c r="A8358" s="597">
        <v>43788</v>
      </c>
      <c r="B8358" s="401" t="s">
        <v>1400</v>
      </c>
      <c r="C8358" s="409" t="s">
        <v>3145</v>
      </c>
      <c r="D8358" s="827" t="s">
        <v>4694</v>
      </c>
      <c r="E8358" s="410">
        <v>27150</v>
      </c>
      <c r="F8358" s="402"/>
      <c r="G8358" s="42">
        <f t="shared" si="135"/>
        <v>-27150</v>
      </c>
      <c r="H8358" s="121" t="s">
        <v>5467</v>
      </c>
    </row>
    <row r="8359" spans="1:8" ht="15" customHeight="1" x14ac:dyDescent="0.2">
      <c r="A8359" s="597">
        <v>43788</v>
      </c>
      <c r="B8359" s="401" t="s">
        <v>1400</v>
      </c>
      <c r="C8359" s="409" t="s">
        <v>3145</v>
      </c>
      <c r="D8359" s="827" t="s">
        <v>757</v>
      </c>
      <c r="E8359" s="410">
        <v>4500</v>
      </c>
      <c r="F8359" s="402"/>
      <c r="G8359" s="42">
        <f t="shared" si="135"/>
        <v>-4500</v>
      </c>
      <c r="H8359" s="121" t="s">
        <v>5467</v>
      </c>
    </row>
    <row r="8360" spans="1:8" ht="15" customHeight="1" x14ac:dyDescent="0.2">
      <c r="A8360" s="597">
        <v>43788</v>
      </c>
      <c r="B8360" s="401" t="s">
        <v>25</v>
      </c>
      <c r="C8360" s="409" t="s">
        <v>2428</v>
      </c>
      <c r="D8360" s="827"/>
      <c r="E8360" s="410">
        <v>9336</v>
      </c>
      <c r="F8360" s="402"/>
      <c r="G8360" s="42">
        <f t="shared" si="135"/>
        <v>-9336</v>
      </c>
      <c r="H8360" s="121" t="s">
        <v>5467</v>
      </c>
    </row>
    <row r="8361" spans="1:8" ht="15" customHeight="1" x14ac:dyDescent="0.2">
      <c r="A8361" s="597">
        <v>43788</v>
      </c>
      <c r="B8361" s="401" t="s">
        <v>2933</v>
      </c>
      <c r="C8361" s="409" t="s">
        <v>4908</v>
      </c>
      <c r="D8361" s="827" t="s">
        <v>370</v>
      </c>
      <c r="E8361" s="410">
        <v>15000</v>
      </c>
      <c r="F8361" s="402"/>
      <c r="G8361" s="42">
        <f t="shared" si="135"/>
        <v>-15000</v>
      </c>
      <c r="H8361" s="121" t="s">
        <v>5467</v>
      </c>
    </row>
    <row r="8362" spans="1:8" ht="15" customHeight="1" x14ac:dyDescent="0.2">
      <c r="A8362" s="597">
        <v>43788</v>
      </c>
      <c r="B8362" s="401" t="s">
        <v>1400</v>
      </c>
      <c r="C8362" s="409" t="s">
        <v>4908</v>
      </c>
      <c r="D8362" s="827" t="s">
        <v>370</v>
      </c>
      <c r="E8362" s="410">
        <v>40000</v>
      </c>
      <c r="F8362" s="402"/>
      <c r="G8362" s="42">
        <f t="shared" si="135"/>
        <v>-40000</v>
      </c>
      <c r="H8362" s="121" t="s">
        <v>5467</v>
      </c>
    </row>
    <row r="8363" spans="1:8" ht="15" customHeight="1" x14ac:dyDescent="0.2">
      <c r="A8363" s="597">
        <v>43798</v>
      </c>
      <c r="B8363" s="401" t="s">
        <v>2652</v>
      </c>
      <c r="C8363" s="409" t="s">
        <v>3145</v>
      </c>
      <c r="D8363" s="827" t="s">
        <v>5576</v>
      </c>
      <c r="E8363" s="410">
        <v>7520</v>
      </c>
      <c r="F8363" s="402"/>
      <c r="G8363" s="42">
        <f t="shared" ref="G8363:G8426" si="136">F8363-E8363</f>
        <v>-7520</v>
      </c>
      <c r="H8363" s="121" t="s">
        <v>5467</v>
      </c>
    </row>
    <row r="8364" spans="1:8" ht="15" customHeight="1" x14ac:dyDescent="0.2">
      <c r="A8364" s="597">
        <v>43798</v>
      </c>
      <c r="B8364" s="401" t="s">
        <v>2652</v>
      </c>
      <c r="C8364" s="409" t="s">
        <v>3145</v>
      </c>
      <c r="D8364" s="827" t="s">
        <v>5576</v>
      </c>
      <c r="E8364" s="410">
        <v>11000</v>
      </c>
      <c r="F8364" s="402"/>
      <c r="G8364" s="42">
        <f t="shared" si="136"/>
        <v>-11000</v>
      </c>
      <c r="H8364" s="121" t="s">
        <v>5467</v>
      </c>
    </row>
    <row r="8365" spans="1:8" ht="15" customHeight="1" x14ac:dyDescent="0.2">
      <c r="A8365" s="597">
        <v>43798</v>
      </c>
      <c r="B8365" s="401" t="s">
        <v>2652</v>
      </c>
      <c r="C8365" s="409" t="s">
        <v>3145</v>
      </c>
      <c r="D8365" s="827" t="s">
        <v>5576</v>
      </c>
      <c r="E8365" s="410">
        <v>19600</v>
      </c>
      <c r="F8365" s="402"/>
      <c r="G8365" s="42">
        <f t="shared" si="136"/>
        <v>-19600</v>
      </c>
      <c r="H8365" s="121" t="s">
        <v>5467</v>
      </c>
    </row>
    <row r="8366" spans="1:8" ht="15" customHeight="1" x14ac:dyDescent="0.2">
      <c r="A8366" s="597">
        <v>43798</v>
      </c>
      <c r="B8366" s="401" t="s">
        <v>2652</v>
      </c>
      <c r="C8366" s="409" t="s">
        <v>3145</v>
      </c>
      <c r="D8366" s="827" t="s">
        <v>5576</v>
      </c>
      <c r="E8366" s="410">
        <v>31450</v>
      </c>
      <c r="F8366" s="402"/>
      <c r="G8366" s="42">
        <f t="shared" si="136"/>
        <v>-31450</v>
      </c>
      <c r="H8366" s="121" t="s">
        <v>5467</v>
      </c>
    </row>
    <row r="8367" spans="1:8" ht="15" customHeight="1" x14ac:dyDescent="0.2">
      <c r="A8367" s="597">
        <v>43799</v>
      </c>
      <c r="B8367" s="424" t="s">
        <v>16</v>
      </c>
      <c r="C8367" s="409" t="s">
        <v>392</v>
      </c>
      <c r="D8367" s="827" t="s">
        <v>5584</v>
      </c>
      <c r="E8367" s="410">
        <v>46232</v>
      </c>
      <c r="F8367" s="425"/>
      <c r="G8367" s="249">
        <f t="shared" si="136"/>
        <v>-46232</v>
      </c>
      <c r="H8367" s="121" t="s">
        <v>5467</v>
      </c>
    </row>
    <row r="8368" spans="1:8" ht="15" customHeight="1" x14ac:dyDescent="0.2">
      <c r="A8368" s="607">
        <v>43773</v>
      </c>
      <c r="B8368" s="156" t="s">
        <v>2652</v>
      </c>
      <c r="C8368" s="156" t="s">
        <v>5443</v>
      </c>
      <c r="D8368" s="157" t="s">
        <v>5466</v>
      </c>
      <c r="E8368" s="158">
        <v>31000</v>
      </c>
      <c r="F8368" s="158"/>
      <c r="G8368" s="158">
        <f t="shared" si="136"/>
        <v>-31000</v>
      </c>
      <c r="H8368" s="423" t="s">
        <v>5467</v>
      </c>
    </row>
    <row r="8369" spans="1:9" ht="24.75" customHeight="1" thickBot="1" x14ac:dyDescent="0.25">
      <c r="A8369" s="602">
        <v>43775</v>
      </c>
      <c r="B8369" s="122" t="s">
        <v>5227</v>
      </c>
      <c r="C8369" s="154" t="s">
        <v>705</v>
      </c>
      <c r="D8369" s="830" t="s">
        <v>5504</v>
      </c>
      <c r="E8369" s="155">
        <v>500000</v>
      </c>
      <c r="F8369" s="123"/>
      <c r="G8369" s="123">
        <f t="shared" si="136"/>
        <v>-500000</v>
      </c>
      <c r="H8369" s="244" t="s">
        <v>5467</v>
      </c>
    </row>
    <row r="8370" spans="1:9" ht="24" customHeight="1" x14ac:dyDescent="0.2">
      <c r="A8370" s="602">
        <v>43775</v>
      </c>
      <c r="B8370" s="380" t="s">
        <v>2933</v>
      </c>
      <c r="C8370" s="411" t="s">
        <v>166</v>
      </c>
      <c r="D8370" s="161" t="s">
        <v>5505</v>
      </c>
      <c r="E8370" s="412">
        <v>38449</v>
      </c>
      <c r="F8370" s="381"/>
      <c r="G8370" s="123">
        <f t="shared" si="136"/>
        <v>-38449</v>
      </c>
      <c r="H8370" s="244" t="s">
        <v>5467</v>
      </c>
    </row>
    <row r="8371" spans="1:9" ht="24" customHeight="1" x14ac:dyDescent="0.2">
      <c r="A8371" s="602">
        <v>43775</v>
      </c>
      <c r="B8371" s="380" t="s">
        <v>1400</v>
      </c>
      <c r="C8371" s="413" t="s">
        <v>166</v>
      </c>
      <c r="D8371" s="118" t="s">
        <v>5505</v>
      </c>
      <c r="E8371" s="414">
        <v>245551</v>
      </c>
      <c r="F8371" s="381"/>
      <c r="G8371" s="123">
        <f t="shared" si="136"/>
        <v>-245551</v>
      </c>
      <c r="H8371" s="244" t="s">
        <v>5467</v>
      </c>
    </row>
    <row r="8372" spans="1:9" ht="24" customHeight="1" x14ac:dyDescent="0.2">
      <c r="A8372" s="602">
        <v>43775</v>
      </c>
      <c r="B8372" s="380" t="s">
        <v>2652</v>
      </c>
      <c r="C8372" s="413" t="s">
        <v>166</v>
      </c>
      <c r="D8372" s="118" t="s">
        <v>5505</v>
      </c>
      <c r="E8372" s="414">
        <v>9600</v>
      </c>
      <c r="F8372" s="381"/>
      <c r="G8372" s="123">
        <f t="shared" si="136"/>
        <v>-9600</v>
      </c>
      <c r="H8372" s="244" t="s">
        <v>5467</v>
      </c>
    </row>
    <row r="8373" spans="1:9" ht="24.75" customHeight="1" thickBot="1" x14ac:dyDescent="0.25">
      <c r="A8373" s="602">
        <v>43775</v>
      </c>
      <c r="B8373" s="380" t="s">
        <v>5227</v>
      </c>
      <c r="C8373" s="415" t="s">
        <v>166</v>
      </c>
      <c r="D8373" s="831" t="s">
        <v>5505</v>
      </c>
      <c r="E8373" s="416">
        <v>6400</v>
      </c>
      <c r="F8373" s="381"/>
      <c r="G8373" s="123">
        <f t="shared" si="136"/>
        <v>-6400</v>
      </c>
      <c r="H8373" s="244" t="s">
        <v>5467</v>
      </c>
    </row>
    <row r="8374" spans="1:9" ht="15.75" customHeight="1" thickBot="1" x14ac:dyDescent="0.25">
      <c r="A8374" s="602">
        <v>43775</v>
      </c>
      <c r="B8374" s="122" t="s">
        <v>2933</v>
      </c>
      <c r="C8374" s="382" t="s">
        <v>3112</v>
      </c>
      <c r="D8374" s="832" t="s">
        <v>5506</v>
      </c>
      <c r="E8374" s="383">
        <v>150000</v>
      </c>
      <c r="F8374" s="123"/>
      <c r="G8374" s="123">
        <f t="shared" si="136"/>
        <v>-150000</v>
      </c>
      <c r="H8374" s="244" t="s">
        <v>5467</v>
      </c>
    </row>
    <row r="8375" spans="1:9" ht="24" customHeight="1" x14ac:dyDescent="0.2">
      <c r="A8375" s="602">
        <v>43776</v>
      </c>
      <c r="B8375" s="380" t="s">
        <v>2933</v>
      </c>
      <c r="C8375" s="384" t="s">
        <v>359</v>
      </c>
      <c r="D8375" s="833" t="s">
        <v>5507</v>
      </c>
      <c r="E8375" s="385">
        <v>43775</v>
      </c>
      <c r="F8375" s="381"/>
      <c r="G8375" s="123">
        <f t="shared" si="136"/>
        <v>-43775</v>
      </c>
      <c r="H8375" s="244" t="s">
        <v>5467</v>
      </c>
    </row>
    <row r="8376" spans="1:9" ht="24" customHeight="1" x14ac:dyDescent="0.2">
      <c r="A8376" s="602">
        <v>43776</v>
      </c>
      <c r="B8376" s="380" t="s">
        <v>2933</v>
      </c>
      <c r="C8376" s="386" t="s">
        <v>359</v>
      </c>
      <c r="D8376" s="118" t="s">
        <v>5507</v>
      </c>
      <c r="E8376" s="387">
        <v>33516</v>
      </c>
      <c r="F8376" s="381"/>
      <c r="G8376" s="123">
        <f t="shared" si="136"/>
        <v>-33516</v>
      </c>
      <c r="H8376" s="244" t="s">
        <v>5467</v>
      </c>
    </row>
    <row r="8377" spans="1:9" ht="24.75" customHeight="1" thickBot="1" x14ac:dyDescent="0.25">
      <c r="A8377" s="602">
        <v>43776</v>
      </c>
      <c r="B8377" s="380" t="s">
        <v>2933</v>
      </c>
      <c r="C8377" s="392" t="s">
        <v>359</v>
      </c>
      <c r="D8377" s="808" t="s">
        <v>5507</v>
      </c>
      <c r="E8377" s="393">
        <v>6973</v>
      </c>
      <c r="F8377" s="381"/>
      <c r="G8377" s="123">
        <f t="shared" si="136"/>
        <v>-6973</v>
      </c>
      <c r="H8377" s="244" t="s">
        <v>5467</v>
      </c>
    </row>
    <row r="8378" spans="1:9" ht="15" customHeight="1" x14ac:dyDescent="0.2">
      <c r="A8378" s="602">
        <v>43777</v>
      </c>
      <c r="B8378" s="380" t="s">
        <v>3945</v>
      </c>
      <c r="C8378" s="390" t="s">
        <v>3003</v>
      </c>
      <c r="D8378" s="834" t="s">
        <v>5508</v>
      </c>
      <c r="E8378" s="391">
        <v>32760</v>
      </c>
      <c r="F8378" s="381"/>
      <c r="G8378" s="123">
        <f t="shared" si="136"/>
        <v>-32760</v>
      </c>
      <c r="H8378" s="244" t="s">
        <v>5467</v>
      </c>
    </row>
    <row r="8379" spans="1:9" ht="15" customHeight="1" x14ac:dyDescent="0.2">
      <c r="A8379" s="602">
        <v>43777</v>
      </c>
      <c r="B8379" s="380" t="s">
        <v>3946</v>
      </c>
      <c r="C8379" s="392" t="s">
        <v>3003</v>
      </c>
      <c r="D8379" s="808" t="s">
        <v>5508</v>
      </c>
      <c r="E8379" s="393">
        <v>30160</v>
      </c>
      <c r="F8379" s="381"/>
      <c r="G8379" s="123">
        <f t="shared" si="136"/>
        <v>-30160</v>
      </c>
      <c r="H8379" s="244" t="s">
        <v>5467</v>
      </c>
    </row>
    <row r="8380" spans="1:9" ht="15" customHeight="1" x14ac:dyDescent="0.2">
      <c r="A8380" s="602">
        <v>43777</v>
      </c>
      <c r="B8380" s="174" t="s">
        <v>6516</v>
      </c>
      <c r="C8380" s="392" t="s">
        <v>3003</v>
      </c>
      <c r="D8380" s="808" t="s">
        <v>5508</v>
      </c>
      <c r="E8380" s="393">
        <v>60743</v>
      </c>
      <c r="F8380" s="381"/>
      <c r="G8380" s="123">
        <f t="shared" si="136"/>
        <v>-60743</v>
      </c>
      <c r="H8380" s="244" t="s">
        <v>5467</v>
      </c>
    </row>
    <row r="8381" spans="1:9" ht="15.75" customHeight="1" thickBot="1" x14ac:dyDescent="0.25">
      <c r="A8381" s="604">
        <v>43777</v>
      </c>
      <c r="B8381" s="394" t="s">
        <v>37</v>
      </c>
      <c r="C8381" s="388" t="s">
        <v>3003</v>
      </c>
      <c r="D8381" s="835" t="s">
        <v>5508</v>
      </c>
      <c r="E8381" s="389">
        <v>12960</v>
      </c>
      <c r="F8381" s="395"/>
      <c r="G8381" s="155">
        <f t="shared" si="136"/>
        <v>-12960</v>
      </c>
      <c r="H8381" s="396" t="s">
        <v>5467</v>
      </c>
      <c r="I8381" s="40"/>
    </row>
    <row r="8382" spans="1:9" ht="15" customHeight="1" x14ac:dyDescent="0.2">
      <c r="A8382" s="604">
        <v>43777</v>
      </c>
      <c r="B8382" s="380" t="s">
        <v>2933</v>
      </c>
      <c r="C8382" s="384" t="s">
        <v>2310</v>
      </c>
      <c r="D8382" s="833" t="s">
        <v>5513</v>
      </c>
      <c r="E8382" s="385">
        <v>139140</v>
      </c>
      <c r="F8382" s="381"/>
      <c r="G8382" s="123">
        <f t="shared" si="136"/>
        <v>-139140</v>
      </c>
      <c r="H8382" s="396" t="s">
        <v>5467</v>
      </c>
      <c r="I8382" s="40"/>
    </row>
    <row r="8383" spans="1:9" ht="15.75" customHeight="1" thickBot="1" x14ac:dyDescent="0.25">
      <c r="A8383" s="604">
        <v>43777</v>
      </c>
      <c r="B8383" s="380" t="s">
        <v>1400</v>
      </c>
      <c r="C8383" s="398" t="s">
        <v>2310</v>
      </c>
      <c r="D8383" s="836" t="s">
        <v>5513</v>
      </c>
      <c r="E8383" s="389">
        <v>454060</v>
      </c>
      <c r="F8383" s="381"/>
      <c r="G8383" s="123">
        <f t="shared" si="136"/>
        <v>-454060</v>
      </c>
      <c r="H8383" s="396" t="s">
        <v>5467</v>
      </c>
      <c r="I8383" s="40"/>
    </row>
    <row r="8384" spans="1:9" ht="15" customHeight="1" x14ac:dyDescent="0.2">
      <c r="A8384" s="604">
        <v>43777</v>
      </c>
      <c r="B8384" s="122" t="s">
        <v>2652</v>
      </c>
      <c r="C8384" s="156" t="s">
        <v>251</v>
      </c>
      <c r="D8384" s="118" t="s">
        <v>5514</v>
      </c>
      <c r="E8384" s="158">
        <v>97000</v>
      </c>
      <c r="F8384" s="123"/>
      <c r="G8384" s="123">
        <f t="shared" si="136"/>
        <v>-97000</v>
      </c>
      <c r="H8384" s="396" t="s">
        <v>5467</v>
      </c>
      <c r="I8384" s="40"/>
    </row>
    <row r="8385" spans="1:9" ht="24" customHeight="1" x14ac:dyDescent="0.2">
      <c r="A8385" s="604">
        <v>43777</v>
      </c>
      <c r="B8385" s="122" t="s">
        <v>1400</v>
      </c>
      <c r="C8385" s="122" t="s">
        <v>2854</v>
      </c>
      <c r="D8385" s="118" t="s">
        <v>5515</v>
      </c>
      <c r="E8385" s="123">
        <v>40000</v>
      </c>
      <c r="F8385" s="123"/>
      <c r="G8385" s="123">
        <f t="shared" si="136"/>
        <v>-40000</v>
      </c>
      <c r="H8385" s="396" t="s">
        <v>5467</v>
      </c>
      <c r="I8385" s="40"/>
    </row>
    <row r="8386" spans="1:9" ht="24" customHeight="1" x14ac:dyDescent="0.2">
      <c r="A8386" s="602">
        <v>43777</v>
      </c>
      <c r="B8386" s="122" t="s">
        <v>2933</v>
      </c>
      <c r="C8386" s="122" t="s">
        <v>5327</v>
      </c>
      <c r="D8386" s="118" t="s">
        <v>5516</v>
      </c>
      <c r="E8386" s="123">
        <v>88000</v>
      </c>
      <c r="F8386" s="123"/>
      <c r="G8386" s="123">
        <f t="shared" si="136"/>
        <v>-88000</v>
      </c>
      <c r="H8386" s="396" t="s">
        <v>5467</v>
      </c>
      <c r="I8386" s="40"/>
    </row>
    <row r="8387" spans="1:9" ht="24" customHeight="1" x14ac:dyDescent="0.2">
      <c r="A8387" s="602">
        <v>43780</v>
      </c>
      <c r="B8387" s="156" t="s">
        <v>1400</v>
      </c>
      <c r="C8387" s="156" t="s">
        <v>929</v>
      </c>
      <c r="D8387" s="157" t="s">
        <v>5524</v>
      </c>
      <c r="E8387" s="158">
        <v>32000</v>
      </c>
      <c r="F8387" s="158"/>
      <c r="G8387" s="158">
        <f t="shared" si="136"/>
        <v>-32000</v>
      </c>
      <c r="H8387" s="396" t="s">
        <v>5467</v>
      </c>
      <c r="I8387" s="40"/>
    </row>
    <row r="8388" spans="1:9" ht="15" customHeight="1" x14ac:dyDescent="0.2">
      <c r="A8388" s="602">
        <v>43780</v>
      </c>
      <c r="B8388" s="156" t="s">
        <v>2933</v>
      </c>
      <c r="C8388" s="156" t="s">
        <v>4684</v>
      </c>
      <c r="D8388" s="157" t="s">
        <v>5525</v>
      </c>
      <c r="E8388" s="158">
        <v>100000</v>
      </c>
      <c r="F8388" s="158"/>
      <c r="G8388" s="158">
        <f t="shared" si="136"/>
        <v>-100000</v>
      </c>
      <c r="H8388" s="396" t="s">
        <v>5467</v>
      </c>
      <c r="I8388" s="40"/>
    </row>
    <row r="8389" spans="1:9" ht="15" customHeight="1" x14ac:dyDescent="0.2">
      <c r="A8389" s="602">
        <v>43780</v>
      </c>
      <c r="B8389" s="156" t="s">
        <v>1400</v>
      </c>
      <c r="C8389" s="156" t="s">
        <v>2515</v>
      </c>
      <c r="D8389" s="157" t="s">
        <v>5526</v>
      </c>
      <c r="E8389" s="158">
        <v>100000</v>
      </c>
      <c r="F8389" s="158"/>
      <c r="G8389" s="158">
        <f t="shared" si="136"/>
        <v>-100000</v>
      </c>
      <c r="H8389" s="396" t="s">
        <v>5467</v>
      </c>
      <c r="I8389" s="40"/>
    </row>
    <row r="8390" spans="1:9" ht="15" customHeight="1" x14ac:dyDescent="0.2">
      <c r="A8390" s="602">
        <v>43780</v>
      </c>
      <c r="B8390" s="156" t="s">
        <v>1400</v>
      </c>
      <c r="C8390" s="156" t="s">
        <v>2515</v>
      </c>
      <c r="D8390" s="157" t="s">
        <v>5527</v>
      </c>
      <c r="E8390" s="158">
        <v>162900</v>
      </c>
      <c r="F8390" s="158"/>
      <c r="G8390" s="158">
        <f t="shared" si="136"/>
        <v>-162900</v>
      </c>
      <c r="H8390" s="396" t="s">
        <v>5467</v>
      </c>
      <c r="I8390" s="40"/>
    </row>
    <row r="8391" spans="1:9" ht="24" customHeight="1" x14ac:dyDescent="0.2">
      <c r="A8391" s="602">
        <v>43781</v>
      </c>
      <c r="B8391" s="156" t="s">
        <v>1400</v>
      </c>
      <c r="C8391" s="156" t="s">
        <v>4444</v>
      </c>
      <c r="D8391" s="157" t="s">
        <v>5528</v>
      </c>
      <c r="E8391" s="158">
        <v>100000</v>
      </c>
      <c r="F8391" s="158"/>
      <c r="G8391" s="158">
        <f t="shared" si="136"/>
        <v>-100000</v>
      </c>
      <c r="H8391" s="396" t="s">
        <v>5467</v>
      </c>
      <c r="I8391" s="40"/>
    </row>
    <row r="8392" spans="1:9" ht="15" customHeight="1" x14ac:dyDescent="0.2">
      <c r="A8392" s="602">
        <v>43781</v>
      </c>
      <c r="B8392" s="156" t="s">
        <v>1400</v>
      </c>
      <c r="C8392" s="156" t="s">
        <v>3226</v>
      </c>
      <c r="D8392" s="157" t="s">
        <v>5779</v>
      </c>
      <c r="E8392" s="158">
        <v>200000</v>
      </c>
      <c r="F8392" s="158"/>
      <c r="G8392" s="158">
        <f t="shared" si="136"/>
        <v>-200000</v>
      </c>
      <c r="H8392" s="396" t="s">
        <v>5467</v>
      </c>
      <c r="I8392" s="40"/>
    </row>
    <row r="8393" spans="1:9" ht="15" customHeight="1" x14ac:dyDescent="0.2">
      <c r="A8393" s="602">
        <v>43781</v>
      </c>
      <c r="B8393" s="156" t="s">
        <v>1400</v>
      </c>
      <c r="C8393" s="156" t="s">
        <v>3226</v>
      </c>
      <c r="D8393" s="157" t="s">
        <v>5778</v>
      </c>
      <c r="E8393" s="158">
        <v>200000</v>
      </c>
      <c r="F8393" s="158"/>
      <c r="G8393" s="158">
        <f t="shared" si="136"/>
        <v>-200000</v>
      </c>
      <c r="H8393" s="396" t="s">
        <v>5467</v>
      </c>
      <c r="I8393" s="40"/>
    </row>
    <row r="8394" spans="1:9" ht="15" customHeight="1" x14ac:dyDescent="0.2">
      <c r="A8394" s="602">
        <v>43781</v>
      </c>
      <c r="B8394" s="156" t="s">
        <v>1400</v>
      </c>
      <c r="C8394" s="156" t="s">
        <v>3226</v>
      </c>
      <c r="D8394" s="157" t="s">
        <v>5777</v>
      </c>
      <c r="E8394" s="158">
        <v>200000</v>
      </c>
      <c r="F8394" s="158"/>
      <c r="G8394" s="158">
        <f t="shared" si="136"/>
        <v>-200000</v>
      </c>
      <c r="H8394" s="396" t="s">
        <v>5467</v>
      </c>
      <c r="I8394" s="40"/>
    </row>
    <row r="8395" spans="1:9" ht="24" customHeight="1" x14ac:dyDescent="0.2">
      <c r="A8395" s="602">
        <v>43781</v>
      </c>
      <c r="B8395" s="156" t="s">
        <v>1400</v>
      </c>
      <c r="C8395" s="156" t="s">
        <v>3226</v>
      </c>
      <c r="D8395" s="157" t="s">
        <v>5831</v>
      </c>
      <c r="E8395" s="158">
        <v>-200000</v>
      </c>
      <c r="F8395" s="158"/>
      <c r="G8395" s="158">
        <f t="shared" si="136"/>
        <v>200000</v>
      </c>
      <c r="H8395" s="396" t="s">
        <v>5467</v>
      </c>
      <c r="I8395" s="40"/>
    </row>
    <row r="8396" spans="1:9" ht="15" customHeight="1" x14ac:dyDescent="0.2">
      <c r="A8396" s="602">
        <v>43781</v>
      </c>
      <c r="B8396" s="156" t="s">
        <v>2652</v>
      </c>
      <c r="C8396" s="156" t="s">
        <v>5187</v>
      </c>
      <c r="D8396" s="157" t="s">
        <v>5529</v>
      </c>
      <c r="E8396" s="158">
        <v>60000</v>
      </c>
      <c r="F8396" s="158"/>
      <c r="G8396" s="158">
        <f t="shared" si="136"/>
        <v>-60000</v>
      </c>
      <c r="H8396" s="396" t="s">
        <v>5467</v>
      </c>
      <c r="I8396" s="40"/>
    </row>
    <row r="8397" spans="1:9" ht="15" customHeight="1" x14ac:dyDescent="0.2">
      <c r="A8397" s="602">
        <v>43781</v>
      </c>
      <c r="B8397" s="156" t="s">
        <v>2652</v>
      </c>
      <c r="C8397" s="156" t="s">
        <v>5187</v>
      </c>
      <c r="D8397" s="157" t="s">
        <v>5530</v>
      </c>
      <c r="E8397" s="158">
        <v>100000</v>
      </c>
      <c r="F8397" s="158"/>
      <c r="G8397" s="158">
        <f t="shared" si="136"/>
        <v>-100000</v>
      </c>
      <c r="H8397" s="396" t="s">
        <v>5467</v>
      </c>
      <c r="I8397" s="40"/>
    </row>
    <row r="8398" spans="1:9" ht="15" customHeight="1" x14ac:dyDescent="0.2">
      <c r="A8398" s="602">
        <v>43781</v>
      </c>
      <c r="B8398" s="156" t="s">
        <v>1400</v>
      </c>
      <c r="C8398" s="156" t="s">
        <v>5187</v>
      </c>
      <c r="D8398" s="157" t="s">
        <v>5531</v>
      </c>
      <c r="E8398" s="158">
        <v>95000</v>
      </c>
      <c r="F8398" s="158"/>
      <c r="G8398" s="158">
        <f t="shared" si="136"/>
        <v>-95000</v>
      </c>
      <c r="H8398" s="396" t="s">
        <v>5467</v>
      </c>
      <c r="I8398" s="40"/>
    </row>
    <row r="8399" spans="1:9" ht="24" customHeight="1" x14ac:dyDescent="0.2">
      <c r="A8399" s="602">
        <v>43781</v>
      </c>
      <c r="B8399" s="240" t="s">
        <v>1400</v>
      </c>
      <c r="C8399" s="240" t="s">
        <v>3226</v>
      </c>
      <c r="D8399" s="837" t="s">
        <v>5532</v>
      </c>
      <c r="E8399" s="241">
        <v>1400000</v>
      </c>
      <c r="F8399" s="241"/>
      <c r="G8399" s="241">
        <f t="shared" si="136"/>
        <v>-1400000</v>
      </c>
      <c r="H8399" s="396" t="s">
        <v>5467</v>
      </c>
      <c r="I8399" s="40"/>
    </row>
    <row r="8400" spans="1:9" ht="24" customHeight="1" x14ac:dyDescent="0.2">
      <c r="A8400" s="602">
        <v>43782</v>
      </c>
      <c r="B8400" s="240" t="s">
        <v>1400</v>
      </c>
      <c r="C8400" s="240" t="s">
        <v>4988</v>
      </c>
      <c r="D8400" s="837" t="s">
        <v>5550</v>
      </c>
      <c r="E8400" s="241">
        <v>120000</v>
      </c>
      <c r="F8400" s="241"/>
      <c r="G8400" s="241">
        <f t="shared" si="136"/>
        <v>-120000</v>
      </c>
      <c r="H8400" s="396" t="s">
        <v>5467</v>
      </c>
      <c r="I8400" s="40"/>
    </row>
    <row r="8401" spans="1:9" ht="24" customHeight="1" x14ac:dyDescent="0.2">
      <c r="A8401" s="602">
        <v>43782</v>
      </c>
      <c r="B8401" s="240" t="s">
        <v>1400</v>
      </c>
      <c r="C8401" s="240" t="s">
        <v>4988</v>
      </c>
      <c r="D8401" s="837" t="s">
        <v>5550</v>
      </c>
      <c r="E8401" s="241">
        <v>123800</v>
      </c>
      <c r="F8401" s="241"/>
      <c r="G8401" s="241">
        <f t="shared" si="136"/>
        <v>-123800</v>
      </c>
      <c r="H8401" s="396" t="s">
        <v>5467</v>
      </c>
      <c r="I8401" s="40"/>
    </row>
    <row r="8402" spans="1:9" ht="15" customHeight="1" x14ac:dyDescent="0.2">
      <c r="A8402" s="602">
        <v>43782</v>
      </c>
      <c r="B8402" s="240" t="s">
        <v>1400</v>
      </c>
      <c r="C8402" s="240" t="s">
        <v>2338</v>
      </c>
      <c r="D8402" s="837" t="s">
        <v>5656</v>
      </c>
      <c r="E8402" s="241">
        <v>100000</v>
      </c>
      <c r="F8402" s="241"/>
      <c r="G8402" s="241">
        <f t="shared" si="136"/>
        <v>-100000</v>
      </c>
      <c r="H8402" s="396" t="s">
        <v>5467</v>
      </c>
      <c r="I8402" s="40"/>
    </row>
    <row r="8403" spans="1:9" ht="15" customHeight="1" x14ac:dyDescent="0.2">
      <c r="A8403" s="602">
        <v>43782</v>
      </c>
      <c r="B8403" s="240" t="s">
        <v>1400</v>
      </c>
      <c r="C8403" s="240" t="s">
        <v>2338</v>
      </c>
      <c r="D8403" s="837" t="s">
        <v>5533</v>
      </c>
      <c r="E8403" s="241">
        <v>150000</v>
      </c>
      <c r="F8403" s="241"/>
      <c r="G8403" s="241">
        <f t="shared" si="136"/>
        <v>-150000</v>
      </c>
      <c r="H8403" s="396" t="s">
        <v>5467</v>
      </c>
      <c r="I8403" s="40"/>
    </row>
    <row r="8404" spans="1:9" ht="15" customHeight="1" x14ac:dyDescent="0.2">
      <c r="A8404" s="602">
        <v>43783</v>
      </c>
      <c r="B8404" s="240" t="s">
        <v>2933</v>
      </c>
      <c r="C8404" s="240" t="s">
        <v>4684</v>
      </c>
      <c r="D8404" s="837" t="s">
        <v>5549</v>
      </c>
      <c r="E8404" s="241">
        <v>100000</v>
      </c>
      <c r="F8404" s="241"/>
      <c r="G8404" s="241">
        <f t="shared" si="136"/>
        <v>-100000</v>
      </c>
      <c r="H8404" s="396" t="s">
        <v>5467</v>
      </c>
      <c r="I8404" s="40"/>
    </row>
    <row r="8405" spans="1:9" ht="24" customHeight="1" x14ac:dyDescent="0.2">
      <c r="A8405" s="602">
        <v>43783</v>
      </c>
      <c r="B8405" s="240" t="s">
        <v>2933</v>
      </c>
      <c r="C8405" s="240" t="s">
        <v>3707</v>
      </c>
      <c r="D8405" s="837" t="s">
        <v>5550</v>
      </c>
      <c r="E8405" s="241">
        <v>100000</v>
      </c>
      <c r="F8405" s="241"/>
      <c r="G8405" s="241">
        <f t="shared" si="136"/>
        <v>-100000</v>
      </c>
      <c r="H8405" s="396" t="s">
        <v>5467</v>
      </c>
      <c r="I8405" s="40"/>
    </row>
    <row r="8406" spans="1:9" ht="15" customHeight="1" x14ac:dyDescent="0.2">
      <c r="A8406" s="602">
        <v>43783</v>
      </c>
      <c r="B8406" s="240" t="s">
        <v>25</v>
      </c>
      <c r="C8406" s="240" t="s">
        <v>2428</v>
      </c>
      <c r="D8406" s="837" t="s">
        <v>5551</v>
      </c>
      <c r="E8406" s="241">
        <v>90678</v>
      </c>
      <c r="F8406" s="241"/>
      <c r="G8406" s="241">
        <f t="shared" si="136"/>
        <v>-90678</v>
      </c>
      <c r="H8406" s="396" t="s">
        <v>5467</v>
      </c>
      <c r="I8406" s="40"/>
    </row>
    <row r="8407" spans="1:9" ht="24" customHeight="1" x14ac:dyDescent="0.2">
      <c r="A8407" s="602">
        <v>43788</v>
      </c>
      <c r="B8407" s="240" t="s">
        <v>1400</v>
      </c>
      <c r="C8407" s="240" t="s">
        <v>4846</v>
      </c>
      <c r="D8407" s="837" t="s">
        <v>5550</v>
      </c>
      <c r="E8407" s="241">
        <v>110000</v>
      </c>
      <c r="F8407" s="241"/>
      <c r="G8407" s="241">
        <f t="shared" si="136"/>
        <v>-110000</v>
      </c>
      <c r="H8407" s="396" t="s">
        <v>5467</v>
      </c>
      <c r="I8407" s="40"/>
    </row>
    <row r="8408" spans="1:9" ht="15" customHeight="1" x14ac:dyDescent="0.2">
      <c r="A8408" s="602">
        <v>43788</v>
      </c>
      <c r="B8408" s="240" t="s">
        <v>1400</v>
      </c>
      <c r="C8408" s="240" t="s">
        <v>2854</v>
      </c>
      <c r="D8408" s="837" t="s">
        <v>5552</v>
      </c>
      <c r="E8408" s="241">
        <v>150000</v>
      </c>
      <c r="F8408" s="241"/>
      <c r="G8408" s="241">
        <f t="shared" si="136"/>
        <v>-150000</v>
      </c>
      <c r="H8408" s="396" t="s">
        <v>5467</v>
      </c>
      <c r="I8408" s="40"/>
    </row>
    <row r="8409" spans="1:9" ht="15" customHeight="1" x14ac:dyDescent="0.2">
      <c r="A8409" s="602">
        <v>43791</v>
      </c>
      <c r="B8409" s="240" t="s">
        <v>2933</v>
      </c>
      <c r="C8409" s="240" t="s">
        <v>5553</v>
      </c>
      <c r="D8409" s="837" t="s">
        <v>5554</v>
      </c>
      <c r="E8409" s="241">
        <v>150000</v>
      </c>
      <c r="F8409" s="241"/>
      <c r="G8409" s="241">
        <f t="shared" si="136"/>
        <v>-150000</v>
      </c>
      <c r="H8409" s="396" t="s">
        <v>5467</v>
      </c>
      <c r="I8409" s="40"/>
    </row>
    <row r="8410" spans="1:9" ht="15" customHeight="1" x14ac:dyDescent="0.2">
      <c r="A8410" s="602">
        <v>43791</v>
      </c>
      <c r="B8410" s="240" t="s">
        <v>5227</v>
      </c>
      <c r="C8410" s="240" t="s">
        <v>895</v>
      </c>
      <c r="D8410" s="837" t="s">
        <v>5555</v>
      </c>
      <c r="E8410" s="241">
        <f>65000/2</f>
        <v>32500</v>
      </c>
      <c r="F8410" s="241"/>
      <c r="G8410" s="241">
        <f t="shared" si="136"/>
        <v>-32500</v>
      </c>
      <c r="H8410" s="396" t="s">
        <v>5467</v>
      </c>
      <c r="I8410" s="40"/>
    </row>
    <row r="8411" spans="1:9" ht="15" customHeight="1" x14ac:dyDescent="0.2">
      <c r="A8411" s="602">
        <v>43791</v>
      </c>
      <c r="B8411" s="240" t="s">
        <v>2652</v>
      </c>
      <c r="C8411" s="240" t="s">
        <v>895</v>
      </c>
      <c r="D8411" s="837" t="s">
        <v>5555</v>
      </c>
      <c r="E8411" s="241">
        <f>65000/2</f>
        <v>32500</v>
      </c>
      <c r="F8411" s="241"/>
      <c r="G8411" s="241">
        <f t="shared" si="136"/>
        <v>-32500</v>
      </c>
      <c r="H8411" s="396" t="s">
        <v>5467</v>
      </c>
      <c r="I8411" s="40"/>
    </row>
    <row r="8412" spans="1:9" ht="15" customHeight="1" x14ac:dyDescent="0.2">
      <c r="A8412" s="602">
        <v>43795</v>
      </c>
      <c r="B8412" s="240" t="s">
        <v>25</v>
      </c>
      <c r="C8412" s="240" t="s">
        <v>2428</v>
      </c>
      <c r="D8412" s="837" t="s">
        <v>5556</v>
      </c>
      <c r="E8412" s="241">
        <v>9386</v>
      </c>
      <c r="F8412" s="241"/>
      <c r="G8412" s="241">
        <f t="shared" si="136"/>
        <v>-9386</v>
      </c>
      <c r="H8412" s="396" t="s">
        <v>5467</v>
      </c>
      <c r="I8412" s="40"/>
    </row>
    <row r="8413" spans="1:9" ht="15" customHeight="1" x14ac:dyDescent="0.2">
      <c r="A8413" s="602">
        <v>43795</v>
      </c>
      <c r="B8413" s="240" t="s">
        <v>1400</v>
      </c>
      <c r="C8413" s="240" t="s">
        <v>1355</v>
      </c>
      <c r="D8413" s="837" t="s">
        <v>5556</v>
      </c>
      <c r="E8413" s="241">
        <v>17000</v>
      </c>
      <c r="F8413" s="241"/>
      <c r="G8413" s="241">
        <f t="shared" si="136"/>
        <v>-17000</v>
      </c>
      <c r="H8413" s="396" t="s">
        <v>5467</v>
      </c>
      <c r="I8413" s="40"/>
    </row>
    <row r="8414" spans="1:9" ht="24" customHeight="1" x14ac:dyDescent="0.2">
      <c r="A8414" s="602">
        <v>43795</v>
      </c>
      <c r="B8414" s="418" t="s">
        <v>1400</v>
      </c>
      <c r="C8414" s="418" t="s">
        <v>256</v>
      </c>
      <c r="D8414" s="838" t="s">
        <v>5557</v>
      </c>
      <c r="E8414" s="419">
        <v>188000</v>
      </c>
      <c r="F8414" s="419"/>
      <c r="G8414" s="419">
        <f t="shared" si="136"/>
        <v>-188000</v>
      </c>
      <c r="H8414" s="396" t="s">
        <v>5467</v>
      </c>
      <c r="I8414" s="40"/>
    </row>
    <row r="8415" spans="1:9" ht="15" customHeight="1" x14ac:dyDescent="0.2">
      <c r="A8415" s="602">
        <v>43796</v>
      </c>
      <c r="B8415" s="240" t="s">
        <v>2652</v>
      </c>
      <c r="C8415" s="240" t="s">
        <v>4908</v>
      </c>
      <c r="D8415" s="837" t="s">
        <v>5556</v>
      </c>
      <c r="E8415" s="241">
        <v>30000</v>
      </c>
      <c r="F8415" s="241"/>
      <c r="G8415" s="241">
        <f t="shared" si="136"/>
        <v>-30000</v>
      </c>
      <c r="H8415" s="396" t="s">
        <v>5467</v>
      </c>
      <c r="I8415" s="40"/>
    </row>
    <row r="8416" spans="1:9" ht="15" customHeight="1" x14ac:dyDescent="0.2">
      <c r="A8416" s="602">
        <v>43796</v>
      </c>
      <c r="B8416" s="240" t="s">
        <v>2933</v>
      </c>
      <c r="C8416" s="240" t="s">
        <v>3112</v>
      </c>
      <c r="D8416" s="837" t="s">
        <v>5558</v>
      </c>
      <c r="E8416" s="241">
        <v>50000</v>
      </c>
      <c r="F8416" s="241"/>
      <c r="G8416" s="241">
        <f t="shared" si="136"/>
        <v>-50000</v>
      </c>
      <c r="H8416" s="396" t="s">
        <v>5467</v>
      </c>
      <c r="I8416" s="40"/>
    </row>
    <row r="8417" spans="1:9" ht="15" customHeight="1" x14ac:dyDescent="0.2">
      <c r="A8417" s="602">
        <v>43796</v>
      </c>
      <c r="B8417" s="240" t="s">
        <v>1400</v>
      </c>
      <c r="C8417" s="240" t="s">
        <v>929</v>
      </c>
      <c r="D8417" s="837" t="s">
        <v>5559</v>
      </c>
      <c r="E8417" s="241">
        <v>56000</v>
      </c>
      <c r="F8417" s="241"/>
      <c r="G8417" s="241">
        <f t="shared" si="136"/>
        <v>-56000</v>
      </c>
      <c r="H8417" s="396" t="s">
        <v>5467</v>
      </c>
      <c r="I8417" s="40"/>
    </row>
    <row r="8418" spans="1:9" ht="15" customHeight="1" x14ac:dyDescent="0.2">
      <c r="A8418" s="602">
        <v>43796</v>
      </c>
      <c r="B8418" s="240" t="s">
        <v>16</v>
      </c>
      <c r="C8418" s="240" t="s">
        <v>5560</v>
      </c>
      <c r="D8418" s="837" t="s">
        <v>2655</v>
      </c>
      <c r="E8418" s="241">
        <v>50000</v>
      </c>
      <c r="F8418" s="241"/>
      <c r="G8418" s="241">
        <f t="shared" si="136"/>
        <v>-50000</v>
      </c>
      <c r="H8418" s="396" t="s">
        <v>5467</v>
      </c>
      <c r="I8418" s="40"/>
    </row>
    <row r="8419" spans="1:9" ht="15" customHeight="1" x14ac:dyDescent="0.2">
      <c r="A8419" s="602">
        <v>43796</v>
      </c>
      <c r="B8419" s="240" t="s">
        <v>2652</v>
      </c>
      <c r="C8419" s="240" t="s">
        <v>3011</v>
      </c>
      <c r="D8419" s="837" t="s">
        <v>5563</v>
      </c>
      <c r="E8419" s="241">
        <v>100000</v>
      </c>
      <c r="F8419" s="241"/>
      <c r="G8419" s="241">
        <f t="shared" si="136"/>
        <v>-100000</v>
      </c>
      <c r="H8419" s="396" t="s">
        <v>5467</v>
      </c>
      <c r="I8419" s="40"/>
    </row>
    <row r="8420" spans="1:9" ht="15" customHeight="1" x14ac:dyDescent="0.2">
      <c r="A8420" s="613">
        <v>43774</v>
      </c>
      <c r="B8420" s="238" t="s">
        <v>2933</v>
      </c>
      <c r="C8420" s="238" t="s">
        <v>559</v>
      </c>
      <c r="D8420" s="839" t="s">
        <v>964</v>
      </c>
      <c r="E8420" s="239"/>
      <c r="F8420" s="239">
        <v>7298869</v>
      </c>
      <c r="G8420" s="239">
        <f t="shared" si="136"/>
        <v>7298869</v>
      </c>
      <c r="H8420" s="397" t="s">
        <v>5467</v>
      </c>
    </row>
    <row r="8421" spans="1:9" ht="24" customHeight="1" x14ac:dyDescent="0.2">
      <c r="A8421" s="599">
        <v>43775</v>
      </c>
      <c r="B8421" s="91" t="s">
        <v>5052</v>
      </c>
      <c r="C8421" s="91" t="s">
        <v>559</v>
      </c>
      <c r="D8421" s="798" t="s">
        <v>9117</v>
      </c>
      <c r="E8421" s="92"/>
      <c r="F8421" s="92">
        <v>400000</v>
      </c>
      <c r="G8421" s="92">
        <f t="shared" si="136"/>
        <v>400000</v>
      </c>
      <c r="H8421" s="261" t="s">
        <v>5467</v>
      </c>
    </row>
    <row r="8422" spans="1:9" ht="24" customHeight="1" x14ac:dyDescent="0.2">
      <c r="A8422" s="599">
        <v>43775</v>
      </c>
      <c r="B8422" s="91" t="s">
        <v>1400</v>
      </c>
      <c r="C8422" s="91" t="s">
        <v>559</v>
      </c>
      <c r="D8422" s="798" t="s">
        <v>9118</v>
      </c>
      <c r="E8422" s="92"/>
      <c r="F8422" s="92">
        <v>500000</v>
      </c>
      <c r="G8422" s="92">
        <f t="shared" si="136"/>
        <v>500000</v>
      </c>
      <c r="H8422" s="261" t="s">
        <v>5467</v>
      </c>
    </row>
    <row r="8423" spans="1:9" ht="24" customHeight="1" x14ac:dyDescent="0.2">
      <c r="A8423" s="599">
        <v>43775</v>
      </c>
      <c r="B8423" s="91" t="s">
        <v>1400</v>
      </c>
      <c r="C8423" s="91" t="s">
        <v>559</v>
      </c>
      <c r="D8423" s="798" t="s">
        <v>9119</v>
      </c>
      <c r="E8423" s="92"/>
      <c r="F8423" s="92">
        <v>300000</v>
      </c>
      <c r="G8423" s="92">
        <f t="shared" si="136"/>
        <v>300000</v>
      </c>
      <c r="H8423" s="261" t="s">
        <v>5467</v>
      </c>
    </row>
    <row r="8424" spans="1:9" ht="24" customHeight="1" x14ac:dyDescent="0.2">
      <c r="A8424" s="599">
        <v>43775</v>
      </c>
      <c r="B8424" s="91" t="s">
        <v>1400</v>
      </c>
      <c r="C8424" s="91" t="s">
        <v>559</v>
      </c>
      <c r="D8424" s="798" t="s">
        <v>9120</v>
      </c>
      <c r="E8424" s="92"/>
      <c r="F8424" s="92">
        <v>43775</v>
      </c>
      <c r="G8424" s="92">
        <f t="shared" si="136"/>
        <v>43775</v>
      </c>
      <c r="H8424" s="261" t="s">
        <v>5467</v>
      </c>
    </row>
    <row r="8425" spans="1:9" ht="24" customHeight="1" x14ac:dyDescent="0.2">
      <c r="A8425" s="599">
        <v>43775</v>
      </c>
      <c r="B8425" s="91" t="s">
        <v>1400</v>
      </c>
      <c r="C8425" s="91" t="s">
        <v>559</v>
      </c>
      <c r="D8425" s="798" t="s">
        <v>9120</v>
      </c>
      <c r="E8425" s="92"/>
      <c r="F8425" s="92">
        <v>33516</v>
      </c>
      <c r="G8425" s="92">
        <f t="shared" si="136"/>
        <v>33516</v>
      </c>
      <c r="H8425" s="261" t="s">
        <v>5467</v>
      </c>
    </row>
    <row r="8426" spans="1:9" ht="24" customHeight="1" x14ac:dyDescent="0.2">
      <c r="A8426" s="599">
        <v>43775</v>
      </c>
      <c r="B8426" s="91" t="s">
        <v>1400</v>
      </c>
      <c r="C8426" s="91" t="s">
        <v>559</v>
      </c>
      <c r="D8426" s="798" t="s">
        <v>9120</v>
      </c>
      <c r="E8426" s="92"/>
      <c r="F8426" s="92">
        <v>6973</v>
      </c>
      <c r="G8426" s="92">
        <f t="shared" si="136"/>
        <v>6973</v>
      </c>
      <c r="H8426" s="261" t="s">
        <v>5467</v>
      </c>
    </row>
    <row r="8427" spans="1:9" ht="24" customHeight="1" x14ac:dyDescent="0.2">
      <c r="A8427" s="599">
        <v>43775</v>
      </c>
      <c r="B8427" s="91" t="s">
        <v>1400</v>
      </c>
      <c r="C8427" s="91" t="s">
        <v>559</v>
      </c>
      <c r="D8427" s="798" t="s">
        <v>9121</v>
      </c>
      <c r="E8427" s="92"/>
      <c r="F8427" s="92">
        <v>178624</v>
      </c>
      <c r="G8427" s="92">
        <f t="shared" ref="G8427:G8490" si="137">F8427-E8427</f>
        <v>178624</v>
      </c>
      <c r="H8427" s="261" t="s">
        <v>5467</v>
      </c>
    </row>
    <row r="8428" spans="1:9" ht="24" customHeight="1" x14ac:dyDescent="0.2">
      <c r="A8428" s="599">
        <v>43776</v>
      </c>
      <c r="B8428" s="91" t="s">
        <v>1400</v>
      </c>
      <c r="C8428" s="91" t="s">
        <v>559</v>
      </c>
      <c r="D8428" s="798" t="s">
        <v>9122</v>
      </c>
      <c r="E8428" s="92"/>
      <c r="F8428" s="92">
        <v>1000000</v>
      </c>
      <c r="G8428" s="92">
        <f t="shared" si="137"/>
        <v>1000000</v>
      </c>
      <c r="H8428" s="261" t="s">
        <v>5467</v>
      </c>
    </row>
    <row r="8429" spans="1:9" ht="24" customHeight="1" x14ac:dyDescent="0.2">
      <c r="A8429" s="599">
        <v>43776</v>
      </c>
      <c r="B8429" s="91" t="s">
        <v>1400</v>
      </c>
      <c r="C8429" s="91" t="s">
        <v>559</v>
      </c>
      <c r="D8429" s="798" t="s">
        <v>9123</v>
      </c>
      <c r="E8429" s="92"/>
      <c r="F8429" s="92">
        <v>1000000</v>
      </c>
      <c r="G8429" s="92">
        <f t="shared" si="137"/>
        <v>1000000</v>
      </c>
      <c r="H8429" s="261" t="s">
        <v>5467</v>
      </c>
    </row>
    <row r="8430" spans="1:9" ht="24" x14ac:dyDescent="0.2">
      <c r="A8430" s="599">
        <v>43776</v>
      </c>
      <c r="B8430" s="91" t="s">
        <v>1400</v>
      </c>
      <c r="C8430" s="91" t="s">
        <v>559</v>
      </c>
      <c r="D8430" s="798" t="s">
        <v>9123</v>
      </c>
      <c r="E8430" s="92"/>
      <c r="F8430" s="92">
        <v>1000000</v>
      </c>
      <c r="G8430" s="92">
        <f t="shared" si="137"/>
        <v>1000000</v>
      </c>
      <c r="H8430" s="261" t="s">
        <v>5467</v>
      </c>
    </row>
    <row r="8431" spans="1:9" ht="24" x14ac:dyDescent="0.2">
      <c r="A8431" s="599">
        <v>43776</v>
      </c>
      <c r="B8431" s="91" t="s">
        <v>1400</v>
      </c>
      <c r="C8431" s="91" t="s">
        <v>559</v>
      </c>
      <c r="D8431" s="798" t="s">
        <v>9123</v>
      </c>
      <c r="E8431" s="92"/>
      <c r="F8431" s="92">
        <v>1000000</v>
      </c>
      <c r="G8431" s="92">
        <f t="shared" si="137"/>
        <v>1000000</v>
      </c>
      <c r="H8431" s="261" t="s">
        <v>5467</v>
      </c>
    </row>
    <row r="8432" spans="1:9" ht="24" x14ac:dyDescent="0.2">
      <c r="A8432" s="599">
        <v>43776</v>
      </c>
      <c r="B8432" s="91" t="s">
        <v>1400</v>
      </c>
      <c r="C8432" s="91" t="s">
        <v>559</v>
      </c>
      <c r="D8432" s="798" t="s">
        <v>9123</v>
      </c>
      <c r="E8432" s="92"/>
      <c r="F8432" s="92">
        <v>1000000</v>
      </c>
      <c r="G8432" s="92">
        <f t="shared" si="137"/>
        <v>1000000</v>
      </c>
      <c r="H8432" s="261" t="s">
        <v>5467</v>
      </c>
    </row>
    <row r="8433" spans="1:8" ht="24" x14ac:dyDescent="0.2">
      <c r="A8433" s="599">
        <v>43776</v>
      </c>
      <c r="B8433" s="91" t="s">
        <v>1400</v>
      </c>
      <c r="C8433" s="91" t="s">
        <v>559</v>
      </c>
      <c r="D8433" s="798" t="s">
        <v>9123</v>
      </c>
      <c r="E8433" s="92"/>
      <c r="F8433" s="92">
        <v>1000000</v>
      </c>
      <c r="G8433" s="92">
        <f t="shared" si="137"/>
        <v>1000000</v>
      </c>
      <c r="H8433" s="261" t="s">
        <v>5467</v>
      </c>
    </row>
    <row r="8434" spans="1:8" ht="24" x14ac:dyDescent="0.2">
      <c r="A8434" s="599">
        <v>43776</v>
      </c>
      <c r="B8434" s="91" t="s">
        <v>1400</v>
      </c>
      <c r="C8434" s="91" t="s">
        <v>559</v>
      </c>
      <c r="D8434" s="798" t="s">
        <v>9123</v>
      </c>
      <c r="E8434" s="92"/>
      <c r="F8434" s="92">
        <v>1000000</v>
      </c>
      <c r="G8434" s="92">
        <f t="shared" si="137"/>
        <v>1000000</v>
      </c>
      <c r="H8434" s="261" t="s">
        <v>5467</v>
      </c>
    </row>
    <row r="8435" spans="1:8" ht="24" x14ac:dyDescent="0.2">
      <c r="A8435" s="599">
        <v>43776</v>
      </c>
      <c r="B8435" s="91" t="s">
        <v>1400</v>
      </c>
      <c r="C8435" s="91" t="s">
        <v>559</v>
      </c>
      <c r="D8435" s="798" t="s">
        <v>9123</v>
      </c>
      <c r="E8435" s="92"/>
      <c r="F8435" s="92">
        <v>1000000</v>
      </c>
      <c r="G8435" s="92">
        <f t="shared" si="137"/>
        <v>1000000</v>
      </c>
      <c r="H8435" s="261" t="s">
        <v>5467</v>
      </c>
    </row>
    <row r="8436" spans="1:8" ht="24" x14ac:dyDescent="0.2">
      <c r="A8436" s="599">
        <v>43776</v>
      </c>
      <c r="B8436" s="91" t="s">
        <v>1400</v>
      </c>
      <c r="C8436" s="91" t="s">
        <v>559</v>
      </c>
      <c r="D8436" s="798" t="s">
        <v>9123</v>
      </c>
      <c r="E8436" s="92"/>
      <c r="F8436" s="92">
        <v>1000000</v>
      </c>
      <c r="G8436" s="92">
        <f t="shared" si="137"/>
        <v>1000000</v>
      </c>
      <c r="H8436" s="261" t="s">
        <v>5467</v>
      </c>
    </row>
    <row r="8437" spans="1:8" ht="24" x14ac:dyDescent="0.2">
      <c r="A8437" s="599">
        <v>43776</v>
      </c>
      <c r="B8437" s="91" t="s">
        <v>1400</v>
      </c>
      <c r="C8437" s="91" t="s">
        <v>559</v>
      </c>
      <c r="D8437" s="798" t="s">
        <v>9124</v>
      </c>
      <c r="E8437" s="92"/>
      <c r="F8437" s="92">
        <v>775000</v>
      </c>
      <c r="G8437" s="92">
        <f t="shared" si="137"/>
        <v>775000</v>
      </c>
      <c r="H8437" s="261" t="s">
        <v>5467</v>
      </c>
    </row>
    <row r="8438" spans="1:8" ht="24" x14ac:dyDescent="0.2">
      <c r="A8438" s="599">
        <v>43776</v>
      </c>
      <c r="B8438" s="91" t="s">
        <v>1400</v>
      </c>
      <c r="C8438" s="91" t="s">
        <v>559</v>
      </c>
      <c r="D8438" s="798" t="s">
        <v>9125</v>
      </c>
      <c r="E8438" s="92"/>
      <c r="F8438" s="92">
        <v>300000</v>
      </c>
      <c r="G8438" s="92">
        <f t="shared" si="137"/>
        <v>300000</v>
      </c>
      <c r="H8438" s="261" t="s">
        <v>5467</v>
      </c>
    </row>
    <row r="8439" spans="1:8" ht="15" x14ac:dyDescent="0.2">
      <c r="A8439" s="599">
        <v>43776</v>
      </c>
      <c r="B8439" s="91" t="s">
        <v>3945</v>
      </c>
      <c r="C8439" s="94" t="s">
        <v>559</v>
      </c>
      <c r="D8439" s="801" t="s">
        <v>5509</v>
      </c>
      <c r="E8439" s="92"/>
      <c r="F8439" s="92">
        <v>321064</v>
      </c>
      <c r="G8439" s="176">
        <f t="shared" si="137"/>
        <v>321064</v>
      </c>
      <c r="H8439" s="261" t="s">
        <v>5467</v>
      </c>
    </row>
    <row r="8440" spans="1:8" ht="15" x14ac:dyDescent="0.2">
      <c r="A8440" s="599">
        <v>43788</v>
      </c>
      <c r="B8440" s="91" t="s">
        <v>3946</v>
      </c>
      <c r="C8440" s="94" t="s">
        <v>559</v>
      </c>
      <c r="D8440" s="801" t="s">
        <v>5509</v>
      </c>
      <c r="E8440" s="92"/>
      <c r="F8440" s="92">
        <v>295582</v>
      </c>
      <c r="G8440" s="92">
        <f t="shared" si="137"/>
        <v>295582</v>
      </c>
      <c r="H8440" s="261" t="s">
        <v>5467</v>
      </c>
    </row>
    <row r="8441" spans="1:8" ht="24" x14ac:dyDescent="0.2">
      <c r="A8441" s="599">
        <v>43789</v>
      </c>
      <c r="B8441" s="91" t="s">
        <v>2657</v>
      </c>
      <c r="C8441" s="94" t="s">
        <v>559</v>
      </c>
      <c r="D8441" s="798" t="s">
        <v>5574</v>
      </c>
      <c r="E8441" s="92"/>
      <c r="F8441" s="92">
        <v>319125</v>
      </c>
      <c r="G8441" s="92">
        <f t="shared" si="137"/>
        <v>319125</v>
      </c>
      <c r="H8441" s="261" t="s">
        <v>5467</v>
      </c>
    </row>
    <row r="8442" spans="1:8" ht="15" x14ac:dyDescent="0.2">
      <c r="A8442" s="597">
        <v>43802</v>
      </c>
      <c r="B8442" s="401" t="s">
        <v>2652</v>
      </c>
      <c r="C8442" s="409" t="s">
        <v>3145</v>
      </c>
      <c r="D8442" s="827" t="s">
        <v>5576</v>
      </c>
      <c r="E8442" s="410">
        <v>8800</v>
      </c>
      <c r="F8442" s="402"/>
      <c r="G8442" s="42">
        <f t="shared" si="137"/>
        <v>-8800</v>
      </c>
      <c r="H8442" s="121" t="s">
        <v>5545</v>
      </c>
    </row>
    <row r="8443" spans="1:8" ht="15" x14ac:dyDescent="0.2">
      <c r="A8443" s="597">
        <v>43802</v>
      </c>
      <c r="B8443" s="401" t="s">
        <v>2652</v>
      </c>
      <c r="C8443" s="409" t="s">
        <v>3145</v>
      </c>
      <c r="D8443" s="827" t="s">
        <v>5576</v>
      </c>
      <c r="E8443" s="410">
        <v>91422</v>
      </c>
      <c r="F8443" s="402"/>
      <c r="G8443" s="42">
        <f t="shared" si="137"/>
        <v>-91422</v>
      </c>
      <c r="H8443" s="121" t="s">
        <v>5545</v>
      </c>
    </row>
    <row r="8444" spans="1:8" ht="15" x14ac:dyDescent="0.2">
      <c r="A8444" s="597">
        <v>43802</v>
      </c>
      <c r="B8444" s="401" t="s">
        <v>2652</v>
      </c>
      <c r="C8444" s="409" t="s">
        <v>3145</v>
      </c>
      <c r="D8444" s="827" t="s">
        <v>392</v>
      </c>
      <c r="E8444" s="410">
        <v>600</v>
      </c>
      <c r="F8444" s="402"/>
      <c r="G8444" s="42">
        <f t="shared" si="137"/>
        <v>-600</v>
      </c>
      <c r="H8444" s="121" t="s">
        <v>5545</v>
      </c>
    </row>
    <row r="8445" spans="1:8" ht="15" x14ac:dyDescent="0.2">
      <c r="A8445" s="597">
        <v>43802</v>
      </c>
      <c r="B8445" s="401" t="s">
        <v>25</v>
      </c>
      <c r="C8445" s="409" t="s">
        <v>2428</v>
      </c>
      <c r="D8445" s="827"/>
      <c r="E8445" s="410">
        <v>23000</v>
      </c>
      <c r="F8445" s="402"/>
      <c r="G8445" s="42">
        <f t="shared" si="137"/>
        <v>-23000</v>
      </c>
      <c r="H8445" s="121" t="s">
        <v>5545</v>
      </c>
    </row>
    <row r="8446" spans="1:8" ht="15" x14ac:dyDescent="0.2">
      <c r="A8446" s="597">
        <v>43804</v>
      </c>
      <c r="B8446" s="401" t="s">
        <v>1400</v>
      </c>
      <c r="C8446" s="409" t="s">
        <v>2503</v>
      </c>
      <c r="D8446" s="827"/>
      <c r="E8446" s="410">
        <v>25000</v>
      </c>
      <c r="F8446" s="402"/>
      <c r="G8446" s="42">
        <f t="shared" si="137"/>
        <v>-25000</v>
      </c>
      <c r="H8446" s="121" t="s">
        <v>5545</v>
      </c>
    </row>
    <row r="8447" spans="1:8" ht="15" x14ac:dyDescent="0.2">
      <c r="A8447" s="597">
        <v>43804</v>
      </c>
      <c r="B8447" s="401" t="s">
        <v>2933</v>
      </c>
      <c r="C8447" s="409" t="s">
        <v>2503</v>
      </c>
      <c r="D8447" s="827"/>
      <c r="E8447" s="410">
        <v>25000</v>
      </c>
      <c r="F8447" s="402"/>
      <c r="G8447" s="42">
        <f t="shared" si="137"/>
        <v>-25000</v>
      </c>
      <c r="H8447" s="121" t="s">
        <v>5545</v>
      </c>
    </row>
    <row r="8448" spans="1:8" ht="15" x14ac:dyDescent="0.2">
      <c r="A8448" s="597">
        <v>43804</v>
      </c>
      <c r="B8448" s="401" t="s">
        <v>1400</v>
      </c>
      <c r="C8448" s="409" t="s">
        <v>2503</v>
      </c>
      <c r="D8448" s="827"/>
      <c r="E8448" s="410">
        <v>25000</v>
      </c>
      <c r="F8448" s="402"/>
      <c r="G8448" s="42">
        <f t="shared" si="137"/>
        <v>-25000</v>
      </c>
      <c r="H8448" s="121" t="s">
        <v>5545</v>
      </c>
    </row>
    <row r="8449" spans="1:8" ht="15" x14ac:dyDescent="0.2">
      <c r="A8449" s="597">
        <v>43804</v>
      </c>
      <c r="B8449" s="401" t="s">
        <v>2652</v>
      </c>
      <c r="C8449" s="409" t="s">
        <v>2503</v>
      </c>
      <c r="D8449" s="827"/>
      <c r="E8449" s="410">
        <v>25000</v>
      </c>
      <c r="F8449" s="402"/>
      <c r="G8449" s="42">
        <f t="shared" si="137"/>
        <v>-25000</v>
      </c>
      <c r="H8449" s="121" t="s">
        <v>5545</v>
      </c>
    </row>
    <row r="8450" spans="1:8" ht="15" x14ac:dyDescent="0.2">
      <c r="A8450" s="597">
        <v>43804</v>
      </c>
      <c r="B8450" s="401" t="s">
        <v>25</v>
      </c>
      <c r="C8450" s="409" t="s">
        <v>2503</v>
      </c>
      <c r="D8450" s="827"/>
      <c r="E8450" s="410">
        <v>55000</v>
      </c>
      <c r="F8450" s="402"/>
      <c r="G8450" s="42">
        <f t="shared" si="137"/>
        <v>-55000</v>
      </c>
      <c r="H8450" s="121" t="s">
        <v>5545</v>
      </c>
    </row>
    <row r="8451" spans="1:8" ht="15" x14ac:dyDescent="0.2">
      <c r="A8451" s="597">
        <v>43804</v>
      </c>
      <c r="B8451" s="401" t="s">
        <v>16</v>
      </c>
      <c r="C8451" s="409" t="s">
        <v>2503</v>
      </c>
      <c r="D8451" s="827"/>
      <c r="E8451" s="410">
        <v>99083.333333333328</v>
      </c>
      <c r="F8451" s="402"/>
      <c r="G8451" s="42">
        <f t="shared" si="137"/>
        <v>-99083.333333333328</v>
      </c>
      <c r="H8451" s="121" t="s">
        <v>5545</v>
      </c>
    </row>
    <row r="8452" spans="1:8" ht="15" x14ac:dyDescent="0.2">
      <c r="A8452" s="597">
        <v>43804</v>
      </c>
      <c r="B8452" s="401" t="s">
        <v>3945</v>
      </c>
      <c r="C8452" s="409" t="s">
        <v>2503</v>
      </c>
      <c r="D8452" s="827"/>
      <c r="E8452" s="410">
        <v>151629.16666666666</v>
      </c>
      <c r="F8452" s="402"/>
      <c r="G8452" s="42">
        <f t="shared" si="137"/>
        <v>-151629.16666666666</v>
      </c>
      <c r="H8452" s="121" t="s">
        <v>5545</v>
      </c>
    </row>
    <row r="8453" spans="1:8" ht="15" x14ac:dyDescent="0.2">
      <c r="A8453" s="597">
        <v>43804</v>
      </c>
      <c r="B8453" s="401" t="s">
        <v>3946</v>
      </c>
      <c r="C8453" s="409" t="s">
        <v>2503</v>
      </c>
      <c r="D8453" s="827"/>
      <c r="E8453" s="410">
        <v>122041.66666666667</v>
      </c>
      <c r="F8453" s="402"/>
      <c r="G8453" s="42">
        <f t="shared" si="137"/>
        <v>-122041.66666666667</v>
      </c>
      <c r="H8453" s="121" t="s">
        <v>5545</v>
      </c>
    </row>
    <row r="8454" spans="1:8" ht="15" x14ac:dyDescent="0.2">
      <c r="A8454" s="597">
        <v>43804</v>
      </c>
      <c r="B8454" s="401" t="s">
        <v>1400</v>
      </c>
      <c r="C8454" s="409" t="s">
        <v>2503</v>
      </c>
      <c r="D8454" s="827"/>
      <c r="E8454" s="410">
        <v>402860.70833333337</v>
      </c>
      <c r="F8454" s="402"/>
      <c r="G8454" s="42">
        <f t="shared" si="137"/>
        <v>-402860.70833333337</v>
      </c>
      <c r="H8454" s="121" t="s">
        <v>5545</v>
      </c>
    </row>
    <row r="8455" spans="1:8" ht="15" x14ac:dyDescent="0.2">
      <c r="A8455" s="597">
        <v>43804</v>
      </c>
      <c r="B8455" s="401" t="s">
        <v>6516</v>
      </c>
      <c r="C8455" s="409" t="s">
        <v>2503</v>
      </c>
      <c r="D8455" s="827"/>
      <c r="E8455" s="410">
        <v>125083.33333333334</v>
      </c>
      <c r="F8455" s="402"/>
      <c r="G8455" s="42">
        <f t="shared" si="137"/>
        <v>-125083.33333333334</v>
      </c>
      <c r="H8455" s="121" t="s">
        <v>5545</v>
      </c>
    </row>
    <row r="8456" spans="1:8" ht="15" customHeight="1" x14ac:dyDescent="0.2">
      <c r="A8456" s="597">
        <v>43804</v>
      </c>
      <c r="B8456" s="401" t="s">
        <v>37</v>
      </c>
      <c r="C8456" s="409" t="s">
        <v>2503</v>
      </c>
      <c r="D8456" s="827"/>
      <c r="E8456" s="410">
        <v>82641.666666666672</v>
      </c>
      <c r="F8456" s="402"/>
      <c r="G8456" s="42">
        <f t="shared" si="137"/>
        <v>-82641.666666666672</v>
      </c>
      <c r="H8456" s="121" t="s">
        <v>5545</v>
      </c>
    </row>
    <row r="8457" spans="1:8" ht="15" customHeight="1" x14ac:dyDescent="0.2">
      <c r="A8457" s="597">
        <v>43804</v>
      </c>
      <c r="B8457" s="401" t="s">
        <v>2933</v>
      </c>
      <c r="C8457" s="409" t="s">
        <v>2503</v>
      </c>
      <c r="D8457" s="827"/>
      <c r="E8457" s="410">
        <v>134733.33333333331</v>
      </c>
      <c r="F8457" s="402"/>
      <c r="G8457" s="42">
        <f t="shared" si="137"/>
        <v>-134733.33333333331</v>
      </c>
      <c r="H8457" s="121" t="s">
        <v>5545</v>
      </c>
    </row>
    <row r="8458" spans="1:8" ht="15" customHeight="1" x14ac:dyDescent="0.2">
      <c r="A8458" s="597">
        <v>43804</v>
      </c>
      <c r="B8458" s="401" t="s">
        <v>2652</v>
      </c>
      <c r="C8458" s="409" t="s">
        <v>2503</v>
      </c>
      <c r="D8458" s="827"/>
      <c r="E8458" s="410">
        <v>178862.375</v>
      </c>
      <c r="F8458" s="402"/>
      <c r="G8458" s="42">
        <f t="shared" si="137"/>
        <v>-178862.375</v>
      </c>
      <c r="H8458" s="121" t="s">
        <v>5545</v>
      </c>
    </row>
    <row r="8459" spans="1:8" ht="15" x14ac:dyDescent="0.2">
      <c r="A8459" s="597">
        <v>43804</v>
      </c>
      <c r="B8459" s="401" t="s">
        <v>5544</v>
      </c>
      <c r="C8459" s="409" t="s">
        <v>2503</v>
      </c>
      <c r="D8459" s="827"/>
      <c r="E8459" s="410">
        <v>56600</v>
      </c>
      <c r="F8459" s="402"/>
      <c r="G8459" s="42">
        <f t="shared" si="137"/>
        <v>-56600</v>
      </c>
      <c r="H8459" s="121" t="s">
        <v>5545</v>
      </c>
    </row>
    <row r="8460" spans="1:8" ht="15" x14ac:dyDescent="0.2">
      <c r="A8460" s="597">
        <v>43804</v>
      </c>
      <c r="B8460" s="401" t="s">
        <v>2652</v>
      </c>
      <c r="C8460" s="409" t="s">
        <v>3145</v>
      </c>
      <c r="D8460" s="827" t="s">
        <v>5576</v>
      </c>
      <c r="E8460" s="410">
        <v>51200</v>
      </c>
      <c r="F8460" s="402"/>
      <c r="G8460" s="42">
        <f t="shared" si="137"/>
        <v>-51200</v>
      </c>
      <c r="H8460" s="121" t="s">
        <v>5545</v>
      </c>
    </row>
    <row r="8461" spans="1:8" ht="15" customHeight="1" x14ac:dyDescent="0.2">
      <c r="A8461" s="597">
        <v>43804</v>
      </c>
      <c r="B8461" s="401" t="s">
        <v>103</v>
      </c>
      <c r="C8461" s="409" t="s">
        <v>3145</v>
      </c>
      <c r="D8461" s="827" t="s">
        <v>5577</v>
      </c>
      <c r="E8461" s="410">
        <v>200</v>
      </c>
      <c r="F8461" s="402"/>
      <c r="G8461" s="42">
        <f t="shared" si="137"/>
        <v>-200</v>
      </c>
      <c r="H8461" s="121" t="s">
        <v>5545</v>
      </c>
    </row>
    <row r="8462" spans="1:8" ht="15" customHeight="1" x14ac:dyDescent="0.2">
      <c r="A8462" s="597">
        <v>43804</v>
      </c>
      <c r="B8462" s="401" t="s">
        <v>2652</v>
      </c>
      <c r="C8462" s="409" t="s">
        <v>2190</v>
      </c>
      <c r="D8462" s="827"/>
      <c r="E8462" s="410">
        <v>150</v>
      </c>
      <c r="F8462" s="402"/>
      <c r="G8462" s="42">
        <f t="shared" si="137"/>
        <v>-150</v>
      </c>
      <c r="H8462" s="121" t="s">
        <v>5545</v>
      </c>
    </row>
    <row r="8463" spans="1:8" ht="15" customHeight="1" x14ac:dyDescent="0.2">
      <c r="A8463" s="597">
        <v>43804</v>
      </c>
      <c r="B8463" s="401" t="s">
        <v>16</v>
      </c>
      <c r="C8463" s="409" t="s">
        <v>392</v>
      </c>
      <c r="D8463" s="827"/>
      <c r="E8463" s="410">
        <v>300</v>
      </c>
      <c r="F8463" s="402"/>
      <c r="G8463" s="42">
        <f t="shared" si="137"/>
        <v>-300</v>
      </c>
      <c r="H8463" s="121" t="s">
        <v>5545</v>
      </c>
    </row>
    <row r="8464" spans="1:8" ht="15" x14ac:dyDescent="0.2">
      <c r="A8464" s="597">
        <v>43804</v>
      </c>
      <c r="B8464" s="401" t="s">
        <v>2933</v>
      </c>
      <c r="C8464" s="409" t="s">
        <v>3145</v>
      </c>
      <c r="D8464" s="827" t="s">
        <v>3563</v>
      </c>
      <c r="E8464" s="410">
        <v>13257</v>
      </c>
      <c r="F8464" s="402"/>
      <c r="G8464" s="42">
        <f t="shared" si="137"/>
        <v>-13257</v>
      </c>
      <c r="H8464" s="121" t="s">
        <v>5545</v>
      </c>
    </row>
    <row r="8465" spans="1:8" ht="15" x14ac:dyDescent="0.2">
      <c r="A8465" s="597">
        <v>43810</v>
      </c>
      <c r="B8465" s="401" t="s">
        <v>1400</v>
      </c>
      <c r="C8465" s="409" t="s">
        <v>3145</v>
      </c>
      <c r="D8465" s="827" t="s">
        <v>5137</v>
      </c>
      <c r="E8465" s="410">
        <v>25865</v>
      </c>
      <c r="F8465" s="402"/>
      <c r="G8465" s="42">
        <f t="shared" si="137"/>
        <v>-25865</v>
      </c>
      <c r="H8465" s="121" t="s">
        <v>5545</v>
      </c>
    </row>
    <row r="8466" spans="1:8" ht="15" x14ac:dyDescent="0.2">
      <c r="A8466" s="597">
        <v>43810</v>
      </c>
      <c r="B8466" s="401" t="s">
        <v>1400</v>
      </c>
      <c r="C8466" s="409" t="s">
        <v>3145</v>
      </c>
      <c r="D8466" s="827" t="s">
        <v>5137</v>
      </c>
      <c r="E8466" s="410">
        <v>22060</v>
      </c>
      <c r="F8466" s="402"/>
      <c r="G8466" s="42">
        <f t="shared" si="137"/>
        <v>-22060</v>
      </c>
      <c r="H8466" s="121" t="s">
        <v>5545</v>
      </c>
    </row>
    <row r="8467" spans="1:8" ht="15" x14ac:dyDescent="0.2">
      <c r="A8467" s="597">
        <v>43810</v>
      </c>
      <c r="B8467" s="401" t="s">
        <v>5544</v>
      </c>
      <c r="C8467" s="409" t="s">
        <v>3145</v>
      </c>
      <c r="D8467" s="827" t="s">
        <v>5578</v>
      </c>
      <c r="E8467" s="410">
        <v>12150</v>
      </c>
      <c r="F8467" s="402"/>
      <c r="G8467" s="42">
        <f t="shared" si="137"/>
        <v>-12150</v>
      </c>
      <c r="H8467" s="121" t="s">
        <v>5545</v>
      </c>
    </row>
    <row r="8468" spans="1:8" ht="15" x14ac:dyDescent="0.2">
      <c r="A8468" s="597">
        <v>43810</v>
      </c>
      <c r="B8468" s="401" t="s">
        <v>2933</v>
      </c>
      <c r="C8468" s="409" t="s">
        <v>392</v>
      </c>
      <c r="D8468" s="827" t="s">
        <v>5579</v>
      </c>
      <c r="E8468" s="410">
        <v>2500</v>
      </c>
      <c r="F8468" s="402"/>
      <c r="G8468" s="42">
        <f t="shared" si="137"/>
        <v>-2500</v>
      </c>
      <c r="H8468" s="121" t="s">
        <v>5545</v>
      </c>
    </row>
    <row r="8469" spans="1:8" ht="15" x14ac:dyDescent="0.2">
      <c r="A8469" s="597">
        <v>43810</v>
      </c>
      <c r="B8469" s="401" t="s">
        <v>2652</v>
      </c>
      <c r="C8469" s="409" t="s">
        <v>392</v>
      </c>
      <c r="D8469" s="827" t="s">
        <v>5579</v>
      </c>
      <c r="E8469" s="410">
        <v>2500</v>
      </c>
      <c r="F8469" s="402"/>
      <c r="G8469" s="42">
        <f t="shared" si="137"/>
        <v>-2500</v>
      </c>
      <c r="H8469" s="121" t="s">
        <v>5545</v>
      </c>
    </row>
    <row r="8470" spans="1:8" ht="15" x14ac:dyDescent="0.2">
      <c r="A8470" s="597">
        <v>43811</v>
      </c>
      <c r="B8470" s="401" t="s">
        <v>1400</v>
      </c>
      <c r="C8470" s="409" t="s">
        <v>3145</v>
      </c>
      <c r="D8470" s="827" t="s">
        <v>4450</v>
      </c>
      <c r="E8470" s="410">
        <v>92790</v>
      </c>
      <c r="F8470" s="402"/>
      <c r="G8470" s="42">
        <f t="shared" si="137"/>
        <v>-92790</v>
      </c>
      <c r="H8470" s="121" t="s">
        <v>5545</v>
      </c>
    </row>
    <row r="8471" spans="1:8" ht="15" x14ac:dyDescent="0.2">
      <c r="A8471" s="597">
        <v>43811</v>
      </c>
      <c r="B8471" s="401" t="s">
        <v>1400</v>
      </c>
      <c r="C8471" s="409" t="s">
        <v>3145</v>
      </c>
      <c r="D8471" s="827" t="s">
        <v>4450</v>
      </c>
      <c r="E8471" s="410">
        <v>90282</v>
      </c>
      <c r="F8471" s="402"/>
      <c r="G8471" s="42">
        <f t="shared" si="137"/>
        <v>-90282</v>
      </c>
      <c r="H8471" s="121" t="s">
        <v>5545</v>
      </c>
    </row>
    <row r="8472" spans="1:8" ht="15" x14ac:dyDescent="0.2">
      <c r="A8472" s="597">
        <v>43811</v>
      </c>
      <c r="B8472" s="401" t="s">
        <v>1400</v>
      </c>
      <c r="C8472" s="409" t="s">
        <v>3145</v>
      </c>
      <c r="D8472" s="827" t="s">
        <v>4450</v>
      </c>
      <c r="E8472" s="410">
        <v>31068</v>
      </c>
      <c r="F8472" s="402"/>
      <c r="G8472" s="42">
        <f t="shared" si="137"/>
        <v>-31068</v>
      </c>
      <c r="H8472" s="121" t="s">
        <v>5545</v>
      </c>
    </row>
    <row r="8473" spans="1:8" ht="15" x14ac:dyDescent="0.2">
      <c r="A8473" s="597">
        <v>43811</v>
      </c>
      <c r="B8473" s="401" t="s">
        <v>2933</v>
      </c>
      <c r="C8473" s="409" t="s">
        <v>3145</v>
      </c>
      <c r="D8473" s="827" t="s">
        <v>4181</v>
      </c>
      <c r="E8473" s="410">
        <v>2860</v>
      </c>
      <c r="F8473" s="402"/>
      <c r="G8473" s="42">
        <f t="shared" si="137"/>
        <v>-2860</v>
      </c>
      <c r="H8473" s="121" t="s">
        <v>5545</v>
      </c>
    </row>
    <row r="8474" spans="1:8" ht="15" x14ac:dyDescent="0.2">
      <c r="A8474" s="597">
        <v>43811</v>
      </c>
      <c r="B8474" s="401" t="s">
        <v>16</v>
      </c>
      <c r="C8474" s="409" t="s">
        <v>392</v>
      </c>
      <c r="D8474" s="827" t="s">
        <v>5580</v>
      </c>
      <c r="E8474" s="410">
        <v>1400</v>
      </c>
      <c r="F8474" s="402"/>
      <c r="G8474" s="42">
        <f t="shared" si="137"/>
        <v>-1400</v>
      </c>
      <c r="H8474" s="121" t="s">
        <v>5545</v>
      </c>
    </row>
    <row r="8475" spans="1:8" ht="15" x14ac:dyDescent="0.2">
      <c r="A8475" s="597">
        <v>43811</v>
      </c>
      <c r="B8475" s="401" t="s">
        <v>1400</v>
      </c>
      <c r="C8475" s="409" t="s">
        <v>3145</v>
      </c>
      <c r="D8475" s="827" t="s">
        <v>5581</v>
      </c>
      <c r="E8475" s="410">
        <v>5000</v>
      </c>
      <c r="F8475" s="402"/>
      <c r="G8475" s="42">
        <f t="shared" si="137"/>
        <v>-5000</v>
      </c>
      <c r="H8475" s="121" t="s">
        <v>5545</v>
      </c>
    </row>
    <row r="8476" spans="1:8" ht="15" x14ac:dyDescent="0.2">
      <c r="A8476" s="597">
        <v>43811</v>
      </c>
      <c r="B8476" s="401" t="s">
        <v>1400</v>
      </c>
      <c r="C8476" s="409" t="s">
        <v>3145</v>
      </c>
      <c r="D8476" s="827" t="s">
        <v>5137</v>
      </c>
      <c r="E8476" s="410">
        <v>9000</v>
      </c>
      <c r="F8476" s="402"/>
      <c r="G8476" s="42">
        <f t="shared" si="137"/>
        <v>-9000</v>
      </c>
      <c r="H8476" s="121" t="s">
        <v>5545</v>
      </c>
    </row>
    <row r="8477" spans="1:8" ht="15" x14ac:dyDescent="0.2">
      <c r="A8477" s="612">
        <v>43811</v>
      </c>
      <c r="B8477" s="420" t="s">
        <v>16</v>
      </c>
      <c r="C8477" s="409" t="s">
        <v>3364</v>
      </c>
      <c r="D8477" s="827"/>
      <c r="E8477" s="410">
        <v>4200</v>
      </c>
      <c r="F8477" s="421"/>
      <c r="G8477" s="400">
        <f t="shared" si="137"/>
        <v>-4200</v>
      </c>
      <c r="H8477" s="422" t="s">
        <v>5545</v>
      </c>
    </row>
    <row r="8478" spans="1:8" ht="15" x14ac:dyDescent="0.2">
      <c r="A8478" s="597">
        <v>43811</v>
      </c>
      <c r="B8478" s="41" t="s">
        <v>2652</v>
      </c>
      <c r="C8478" s="41" t="s">
        <v>3145</v>
      </c>
      <c r="D8478" s="108" t="s">
        <v>5582</v>
      </c>
      <c r="E8478" s="42">
        <v>120200</v>
      </c>
      <c r="G8478" s="42">
        <f t="shared" si="137"/>
        <v>-120200</v>
      </c>
      <c r="H8478" s="422" t="s">
        <v>5545</v>
      </c>
    </row>
    <row r="8479" spans="1:8" ht="15" x14ac:dyDescent="0.2">
      <c r="A8479" s="597">
        <v>43811</v>
      </c>
      <c r="B8479" s="41" t="s">
        <v>2652</v>
      </c>
      <c r="C8479" s="41" t="s">
        <v>3145</v>
      </c>
      <c r="D8479" s="108" t="s">
        <v>4228</v>
      </c>
      <c r="E8479" s="42">
        <v>3902</v>
      </c>
      <c r="G8479" s="42">
        <f t="shared" si="137"/>
        <v>-3902</v>
      </c>
      <c r="H8479" s="422" t="s">
        <v>5545</v>
      </c>
    </row>
    <row r="8480" spans="1:8" ht="15" x14ac:dyDescent="0.2">
      <c r="A8480" s="597">
        <v>43811</v>
      </c>
      <c r="B8480" s="41" t="s">
        <v>2652</v>
      </c>
      <c r="C8480" s="41" t="s">
        <v>3145</v>
      </c>
      <c r="D8480" s="108" t="s">
        <v>4228</v>
      </c>
      <c r="E8480" s="42">
        <v>10283</v>
      </c>
      <c r="G8480" s="42">
        <f t="shared" si="137"/>
        <v>-10283</v>
      </c>
      <c r="H8480" s="422" t="s">
        <v>5545</v>
      </c>
    </row>
    <row r="8481" spans="1:8" ht="15" customHeight="1" x14ac:dyDescent="0.2">
      <c r="A8481" s="597">
        <v>43811</v>
      </c>
      <c r="B8481" s="222" t="s">
        <v>2933</v>
      </c>
      <c r="C8481" s="222" t="s">
        <v>1495</v>
      </c>
      <c r="D8481" s="806"/>
      <c r="E8481" s="249">
        <v>2160</v>
      </c>
      <c r="F8481" s="249"/>
      <c r="G8481" s="249">
        <f t="shared" si="137"/>
        <v>-2160</v>
      </c>
      <c r="H8481" s="422" t="s">
        <v>5545</v>
      </c>
    </row>
    <row r="8482" spans="1:8" ht="15" customHeight="1" x14ac:dyDescent="0.2">
      <c r="A8482" s="597">
        <v>43811</v>
      </c>
      <c r="B8482" s="222" t="s">
        <v>16</v>
      </c>
      <c r="C8482" s="222" t="s">
        <v>1495</v>
      </c>
      <c r="D8482" s="806"/>
      <c r="E8482" s="249">
        <v>560</v>
      </c>
      <c r="F8482" s="249"/>
      <c r="G8482" s="249">
        <f t="shared" si="137"/>
        <v>-560</v>
      </c>
      <c r="H8482" s="422" t="s">
        <v>5545</v>
      </c>
    </row>
    <row r="8483" spans="1:8" ht="15" customHeight="1" x14ac:dyDescent="0.2">
      <c r="A8483" s="597">
        <v>43811</v>
      </c>
      <c r="B8483" s="222" t="s">
        <v>1400</v>
      </c>
      <c r="C8483" s="222" t="s">
        <v>2190</v>
      </c>
      <c r="D8483" s="806"/>
      <c r="E8483" s="249">
        <v>450</v>
      </c>
      <c r="F8483" s="249"/>
      <c r="G8483" s="249">
        <f t="shared" si="137"/>
        <v>-450</v>
      </c>
      <c r="H8483" s="422" t="s">
        <v>5545</v>
      </c>
    </row>
    <row r="8484" spans="1:8" ht="15" customHeight="1" x14ac:dyDescent="0.2">
      <c r="A8484" s="597">
        <v>43811</v>
      </c>
      <c r="B8484" s="222" t="s">
        <v>2652</v>
      </c>
      <c r="C8484" s="222" t="s">
        <v>3145</v>
      </c>
      <c r="D8484" s="806"/>
      <c r="E8484" s="249">
        <v>1000</v>
      </c>
      <c r="F8484" s="249"/>
      <c r="G8484" s="249">
        <f t="shared" si="137"/>
        <v>-1000</v>
      </c>
      <c r="H8484" s="422" t="s">
        <v>5545</v>
      </c>
    </row>
    <row r="8485" spans="1:8" ht="15" customHeight="1" x14ac:dyDescent="0.2">
      <c r="A8485" s="597">
        <v>43811</v>
      </c>
      <c r="B8485" s="222" t="s">
        <v>16</v>
      </c>
      <c r="C8485" s="222" t="s">
        <v>392</v>
      </c>
      <c r="D8485" s="806" t="s">
        <v>5583</v>
      </c>
      <c r="E8485" s="249">
        <v>650</v>
      </c>
      <c r="F8485" s="249"/>
      <c r="G8485" s="249">
        <f t="shared" si="137"/>
        <v>-650</v>
      </c>
      <c r="H8485" s="422" t="s">
        <v>5545</v>
      </c>
    </row>
    <row r="8486" spans="1:8" ht="15" customHeight="1" x14ac:dyDescent="0.2">
      <c r="A8486" s="597">
        <v>43813</v>
      </c>
      <c r="B8486" s="222" t="s">
        <v>16</v>
      </c>
      <c r="C8486" s="222" t="s">
        <v>392</v>
      </c>
      <c r="D8486" s="806" t="s">
        <v>5611</v>
      </c>
      <c r="E8486" s="249">
        <v>15000</v>
      </c>
      <c r="F8486" s="249"/>
      <c r="G8486" s="249">
        <f t="shared" si="137"/>
        <v>-15000</v>
      </c>
      <c r="H8486" s="422" t="s">
        <v>5545</v>
      </c>
    </row>
    <row r="8487" spans="1:8" ht="15" x14ac:dyDescent="0.2">
      <c r="A8487" s="597">
        <v>43813</v>
      </c>
      <c r="B8487" s="222" t="s">
        <v>25</v>
      </c>
      <c r="C8487" s="222" t="s">
        <v>2428</v>
      </c>
      <c r="D8487" s="806" t="s">
        <v>5612</v>
      </c>
      <c r="E8487" s="249">
        <v>8500</v>
      </c>
      <c r="F8487" s="249"/>
      <c r="G8487" s="249">
        <f t="shared" si="137"/>
        <v>-8500</v>
      </c>
      <c r="H8487" s="422" t="s">
        <v>5545</v>
      </c>
    </row>
    <row r="8488" spans="1:8" ht="15" x14ac:dyDescent="0.2">
      <c r="A8488" s="597">
        <v>43813</v>
      </c>
      <c r="B8488" s="222" t="s">
        <v>1400</v>
      </c>
      <c r="C8488" s="222" t="s">
        <v>3145</v>
      </c>
      <c r="D8488" s="806" t="s">
        <v>4450</v>
      </c>
      <c r="E8488" s="249">
        <v>92790</v>
      </c>
      <c r="F8488" s="249"/>
      <c r="G8488" s="249">
        <f t="shared" si="137"/>
        <v>-92790</v>
      </c>
      <c r="H8488" s="422" t="s">
        <v>5545</v>
      </c>
    </row>
    <row r="8489" spans="1:8" ht="15" x14ac:dyDescent="0.2">
      <c r="A8489" s="597">
        <v>43813</v>
      </c>
      <c r="B8489" s="222" t="s">
        <v>1400</v>
      </c>
      <c r="C8489" s="222" t="s">
        <v>3145</v>
      </c>
      <c r="D8489" s="806" t="s">
        <v>4450</v>
      </c>
      <c r="E8489" s="249">
        <v>31038</v>
      </c>
      <c r="F8489" s="249"/>
      <c r="G8489" s="249">
        <f t="shared" si="137"/>
        <v>-31038</v>
      </c>
      <c r="H8489" s="422" t="s">
        <v>5545</v>
      </c>
    </row>
    <row r="8490" spans="1:8" ht="15" x14ac:dyDescent="0.2">
      <c r="A8490" s="597">
        <v>43813</v>
      </c>
      <c r="B8490" s="222" t="s">
        <v>1400</v>
      </c>
      <c r="C8490" s="222" t="s">
        <v>3145</v>
      </c>
      <c r="D8490" s="806" t="s">
        <v>4450</v>
      </c>
      <c r="E8490" s="249">
        <v>90282</v>
      </c>
      <c r="F8490" s="249"/>
      <c r="G8490" s="249">
        <f t="shared" si="137"/>
        <v>-90282</v>
      </c>
      <c r="H8490" s="422" t="s">
        <v>5545</v>
      </c>
    </row>
    <row r="8491" spans="1:8" ht="15" x14ac:dyDescent="0.2">
      <c r="A8491" s="597">
        <v>43813</v>
      </c>
      <c r="B8491" s="222" t="s">
        <v>1400</v>
      </c>
      <c r="C8491" s="222" t="s">
        <v>3145</v>
      </c>
      <c r="D8491" s="806" t="s">
        <v>4450</v>
      </c>
      <c r="E8491" s="249">
        <v>26669</v>
      </c>
      <c r="F8491" s="249"/>
      <c r="G8491" s="249">
        <f t="shared" ref="G8491:G8554" si="138">F8491-E8491</f>
        <v>-26669</v>
      </c>
      <c r="H8491" s="422" t="s">
        <v>5545</v>
      </c>
    </row>
    <row r="8492" spans="1:8" ht="15" x14ac:dyDescent="0.2">
      <c r="A8492" s="597">
        <v>43813</v>
      </c>
      <c r="B8492" s="222" t="s">
        <v>2933</v>
      </c>
      <c r="C8492" s="222" t="s">
        <v>286</v>
      </c>
      <c r="D8492" s="806" t="s">
        <v>3787</v>
      </c>
      <c r="E8492" s="249">
        <v>2500</v>
      </c>
      <c r="F8492" s="249"/>
      <c r="G8492" s="249">
        <f t="shared" si="138"/>
        <v>-2500</v>
      </c>
      <c r="H8492" s="422" t="s">
        <v>5545</v>
      </c>
    </row>
    <row r="8493" spans="1:8" ht="15" x14ac:dyDescent="0.2">
      <c r="A8493" s="597">
        <v>43813</v>
      </c>
      <c r="B8493" s="222" t="s">
        <v>2652</v>
      </c>
      <c r="C8493" s="222" t="s">
        <v>286</v>
      </c>
      <c r="D8493" s="806" t="s">
        <v>3787</v>
      </c>
      <c r="E8493" s="249">
        <v>2500</v>
      </c>
      <c r="F8493" s="249"/>
      <c r="G8493" s="249">
        <f t="shared" si="138"/>
        <v>-2500</v>
      </c>
      <c r="H8493" s="422" t="s">
        <v>5545</v>
      </c>
    </row>
    <row r="8494" spans="1:8" ht="15" x14ac:dyDescent="0.2">
      <c r="A8494" s="597">
        <v>43813</v>
      </c>
      <c r="B8494" s="222" t="s">
        <v>5544</v>
      </c>
      <c r="C8494" s="222" t="s">
        <v>3145</v>
      </c>
      <c r="D8494" s="806" t="s">
        <v>5456</v>
      </c>
      <c r="E8494" s="249">
        <v>39135</v>
      </c>
      <c r="F8494" s="249"/>
      <c r="G8494" s="249">
        <f t="shared" si="138"/>
        <v>-39135</v>
      </c>
      <c r="H8494" s="422" t="s">
        <v>5545</v>
      </c>
    </row>
    <row r="8495" spans="1:8" ht="15" x14ac:dyDescent="0.2">
      <c r="A8495" s="597">
        <v>43813</v>
      </c>
      <c r="B8495" s="222" t="s">
        <v>1400</v>
      </c>
      <c r="C8495" s="222" t="s">
        <v>3145</v>
      </c>
      <c r="D8495" s="806" t="s">
        <v>5613</v>
      </c>
      <c r="E8495" s="249">
        <v>25865</v>
      </c>
      <c r="F8495" s="249"/>
      <c r="G8495" s="249">
        <f t="shared" si="138"/>
        <v>-25865</v>
      </c>
      <c r="H8495" s="422" t="s">
        <v>5545</v>
      </c>
    </row>
    <row r="8496" spans="1:8" ht="15" x14ac:dyDescent="0.2">
      <c r="A8496" s="597">
        <v>43813</v>
      </c>
      <c r="B8496" s="222" t="s">
        <v>1400</v>
      </c>
      <c r="C8496" s="222" t="s">
        <v>3145</v>
      </c>
      <c r="D8496" s="806" t="s">
        <v>5613</v>
      </c>
      <c r="E8496" s="249">
        <v>34210</v>
      </c>
      <c r="F8496" s="249"/>
      <c r="G8496" s="249">
        <f t="shared" si="138"/>
        <v>-34210</v>
      </c>
      <c r="H8496" s="422" t="s">
        <v>5545</v>
      </c>
    </row>
    <row r="8497" spans="1:8" ht="15" x14ac:dyDescent="0.2">
      <c r="A8497" s="597">
        <v>43813</v>
      </c>
      <c r="B8497" s="222" t="s">
        <v>1400</v>
      </c>
      <c r="C8497" s="222" t="s">
        <v>929</v>
      </c>
      <c r="D8497" s="806" t="s">
        <v>370</v>
      </c>
      <c r="E8497" s="249">
        <v>10000</v>
      </c>
      <c r="F8497" s="249"/>
      <c r="G8497" s="249">
        <f t="shared" si="138"/>
        <v>-10000</v>
      </c>
      <c r="H8497" s="422" t="s">
        <v>5545</v>
      </c>
    </row>
    <row r="8498" spans="1:8" ht="15" x14ac:dyDescent="0.2">
      <c r="A8498" s="597">
        <v>43813</v>
      </c>
      <c r="B8498" s="222" t="s">
        <v>5544</v>
      </c>
      <c r="C8498" s="222" t="s">
        <v>392</v>
      </c>
      <c r="D8498" s="806" t="s">
        <v>3318</v>
      </c>
      <c r="E8498" s="249">
        <v>500</v>
      </c>
      <c r="F8498" s="249"/>
      <c r="G8498" s="249">
        <f t="shared" si="138"/>
        <v>-500</v>
      </c>
      <c r="H8498" s="422" t="s">
        <v>5545</v>
      </c>
    </row>
    <row r="8499" spans="1:8" ht="15" x14ac:dyDescent="0.2">
      <c r="A8499" s="597">
        <v>43814</v>
      </c>
      <c r="B8499" s="222" t="s">
        <v>2652</v>
      </c>
      <c r="C8499" s="222" t="s">
        <v>3145</v>
      </c>
      <c r="D8499" s="806" t="s">
        <v>4873</v>
      </c>
      <c r="E8499" s="249">
        <v>42605</v>
      </c>
      <c r="F8499" s="249"/>
      <c r="G8499" s="249">
        <f t="shared" si="138"/>
        <v>-42605</v>
      </c>
      <c r="H8499" s="422" t="s">
        <v>5545</v>
      </c>
    </row>
    <row r="8500" spans="1:8" ht="15" x14ac:dyDescent="0.2">
      <c r="A8500" s="597">
        <v>43815</v>
      </c>
      <c r="B8500" s="222" t="s">
        <v>2652</v>
      </c>
      <c r="C8500" s="222" t="s">
        <v>3145</v>
      </c>
      <c r="D8500" s="806" t="s">
        <v>4873</v>
      </c>
      <c r="E8500" s="249">
        <v>13480</v>
      </c>
      <c r="F8500" s="249"/>
      <c r="G8500" s="249">
        <f t="shared" si="138"/>
        <v>-13480</v>
      </c>
      <c r="H8500" s="422" t="s">
        <v>5545</v>
      </c>
    </row>
    <row r="8501" spans="1:8" ht="15" x14ac:dyDescent="0.2">
      <c r="A8501" s="597">
        <v>43815</v>
      </c>
      <c r="B8501" s="222" t="s">
        <v>1400</v>
      </c>
      <c r="C8501" s="222" t="s">
        <v>3145</v>
      </c>
      <c r="D8501" s="806" t="s">
        <v>5614</v>
      </c>
      <c r="E8501" s="249">
        <v>11000</v>
      </c>
      <c r="F8501" s="249"/>
      <c r="G8501" s="249">
        <f t="shared" si="138"/>
        <v>-11000</v>
      </c>
      <c r="H8501" s="422" t="s">
        <v>5545</v>
      </c>
    </row>
    <row r="8502" spans="1:8" ht="15" x14ac:dyDescent="0.2">
      <c r="A8502" s="597">
        <v>43815</v>
      </c>
      <c r="B8502" s="222" t="s">
        <v>25</v>
      </c>
      <c r="C8502" s="222" t="s">
        <v>2428</v>
      </c>
      <c r="D8502" s="806" t="s">
        <v>5615</v>
      </c>
      <c r="E8502" s="249">
        <v>19194</v>
      </c>
      <c r="F8502" s="249"/>
      <c r="G8502" s="249">
        <f t="shared" si="138"/>
        <v>-19194</v>
      </c>
      <c r="H8502" s="422" t="s">
        <v>5545</v>
      </c>
    </row>
    <row r="8503" spans="1:8" ht="15" x14ac:dyDescent="0.2">
      <c r="A8503" s="597">
        <v>43815</v>
      </c>
      <c r="B8503" s="222" t="s">
        <v>2652</v>
      </c>
      <c r="C8503" s="222" t="s">
        <v>3145</v>
      </c>
      <c r="D8503" s="806" t="s">
        <v>5616</v>
      </c>
      <c r="E8503" s="249">
        <v>12350</v>
      </c>
      <c r="F8503" s="249"/>
      <c r="G8503" s="249">
        <f t="shared" si="138"/>
        <v>-12350</v>
      </c>
      <c r="H8503" s="422" t="s">
        <v>5545</v>
      </c>
    </row>
    <row r="8504" spans="1:8" ht="15" customHeight="1" x14ac:dyDescent="0.2">
      <c r="A8504" s="597">
        <v>43815</v>
      </c>
      <c r="B8504" s="222" t="s">
        <v>2933</v>
      </c>
      <c r="C8504" s="222" t="s">
        <v>2190</v>
      </c>
      <c r="D8504" s="806"/>
      <c r="E8504" s="249">
        <v>150</v>
      </c>
      <c r="F8504" s="249"/>
      <c r="G8504" s="249">
        <f t="shared" si="138"/>
        <v>-150</v>
      </c>
      <c r="H8504" s="422" t="s">
        <v>5545</v>
      </c>
    </row>
    <row r="8505" spans="1:8" ht="15" customHeight="1" x14ac:dyDescent="0.2">
      <c r="A8505" s="597">
        <v>43815</v>
      </c>
      <c r="B8505" s="222" t="s">
        <v>1400</v>
      </c>
      <c r="C8505" s="222" t="s">
        <v>2190</v>
      </c>
      <c r="D8505" s="806"/>
      <c r="E8505" s="249">
        <v>1440</v>
      </c>
      <c r="F8505" s="249"/>
      <c r="G8505" s="249">
        <f t="shared" si="138"/>
        <v>-1440</v>
      </c>
      <c r="H8505" s="422" t="s">
        <v>5545</v>
      </c>
    </row>
    <row r="8506" spans="1:8" ht="15" customHeight="1" x14ac:dyDescent="0.2">
      <c r="A8506" s="597">
        <v>43815</v>
      </c>
      <c r="B8506" s="222" t="s">
        <v>5617</v>
      </c>
      <c r="C8506" s="222" t="s">
        <v>2190</v>
      </c>
      <c r="D8506" s="806"/>
      <c r="E8506" s="249">
        <v>950</v>
      </c>
      <c r="F8506" s="249"/>
      <c r="G8506" s="249">
        <f t="shared" si="138"/>
        <v>-950</v>
      </c>
      <c r="H8506" s="422" t="s">
        <v>5545</v>
      </c>
    </row>
    <row r="8507" spans="1:8" ht="15" customHeight="1" x14ac:dyDescent="0.2">
      <c r="A8507" s="597">
        <v>43815</v>
      </c>
      <c r="B8507" s="222" t="s">
        <v>5544</v>
      </c>
      <c r="C8507" s="222" t="s">
        <v>2190</v>
      </c>
      <c r="D8507" s="806"/>
      <c r="E8507" s="249">
        <v>1080</v>
      </c>
      <c r="F8507" s="249"/>
      <c r="G8507" s="249">
        <f t="shared" si="138"/>
        <v>-1080</v>
      </c>
      <c r="H8507" s="422" t="s">
        <v>5545</v>
      </c>
    </row>
    <row r="8508" spans="1:8" ht="15" customHeight="1" x14ac:dyDescent="0.2">
      <c r="A8508" s="597">
        <v>43815</v>
      </c>
      <c r="B8508" s="222" t="s">
        <v>5544</v>
      </c>
      <c r="C8508" s="222" t="s">
        <v>2190</v>
      </c>
      <c r="D8508" s="806"/>
      <c r="E8508" s="249">
        <v>1800</v>
      </c>
      <c r="F8508" s="249"/>
      <c r="G8508" s="249">
        <f t="shared" si="138"/>
        <v>-1800</v>
      </c>
      <c r="H8508" s="422" t="s">
        <v>5545</v>
      </c>
    </row>
    <row r="8509" spans="1:8" ht="15" customHeight="1" x14ac:dyDescent="0.2">
      <c r="A8509" s="597">
        <v>43815</v>
      </c>
      <c r="B8509" s="222" t="s">
        <v>2652</v>
      </c>
      <c r="C8509" s="222" t="s">
        <v>2190</v>
      </c>
      <c r="D8509" s="806"/>
      <c r="E8509" s="249">
        <v>150</v>
      </c>
      <c r="F8509" s="249"/>
      <c r="G8509" s="249">
        <f t="shared" si="138"/>
        <v>-150</v>
      </c>
      <c r="H8509" s="422" t="s">
        <v>5545</v>
      </c>
    </row>
    <row r="8510" spans="1:8" ht="15" customHeight="1" x14ac:dyDescent="0.2">
      <c r="A8510" s="597">
        <v>43815</v>
      </c>
      <c r="B8510" s="222" t="s">
        <v>2652</v>
      </c>
      <c r="C8510" s="222" t="s">
        <v>3145</v>
      </c>
      <c r="D8510" s="806" t="s">
        <v>5618</v>
      </c>
      <c r="E8510" s="249">
        <v>10000</v>
      </c>
      <c r="F8510" s="249"/>
      <c r="G8510" s="249">
        <f t="shared" si="138"/>
        <v>-10000</v>
      </c>
      <c r="H8510" s="422" t="s">
        <v>5545</v>
      </c>
    </row>
    <row r="8511" spans="1:8" ht="15" customHeight="1" x14ac:dyDescent="0.2">
      <c r="A8511" s="597">
        <v>43815</v>
      </c>
      <c r="B8511" s="222" t="s">
        <v>2652</v>
      </c>
      <c r="C8511" s="222" t="s">
        <v>392</v>
      </c>
      <c r="D8511" s="806" t="s">
        <v>4181</v>
      </c>
      <c r="E8511" s="249">
        <v>500</v>
      </c>
      <c r="F8511" s="249"/>
      <c r="G8511" s="249">
        <f t="shared" si="138"/>
        <v>-500</v>
      </c>
      <c r="H8511" s="422" t="s">
        <v>5545</v>
      </c>
    </row>
    <row r="8512" spans="1:8" ht="15" x14ac:dyDescent="0.2">
      <c r="A8512" s="597">
        <v>43816</v>
      </c>
      <c r="B8512" s="222" t="s">
        <v>2652</v>
      </c>
      <c r="C8512" s="222" t="s">
        <v>3145</v>
      </c>
      <c r="D8512" s="806" t="s">
        <v>4181</v>
      </c>
      <c r="E8512" s="249">
        <v>4500</v>
      </c>
      <c r="F8512" s="249"/>
      <c r="G8512" s="249">
        <f t="shared" si="138"/>
        <v>-4500</v>
      </c>
      <c r="H8512" s="422" t="s">
        <v>5545</v>
      </c>
    </row>
    <row r="8513" spans="1:8" ht="15" x14ac:dyDescent="0.2">
      <c r="A8513" s="597">
        <v>43816</v>
      </c>
      <c r="B8513" s="222" t="s">
        <v>2652</v>
      </c>
      <c r="C8513" s="222" t="s">
        <v>3145</v>
      </c>
      <c r="D8513" s="806" t="s">
        <v>5619</v>
      </c>
      <c r="E8513" s="249">
        <v>750</v>
      </c>
      <c r="F8513" s="249"/>
      <c r="G8513" s="249">
        <f t="shared" si="138"/>
        <v>-750</v>
      </c>
      <c r="H8513" s="422" t="s">
        <v>5545</v>
      </c>
    </row>
    <row r="8514" spans="1:8" ht="15" x14ac:dyDescent="0.2">
      <c r="A8514" s="597">
        <v>43819</v>
      </c>
      <c r="B8514" s="222" t="s">
        <v>1400</v>
      </c>
      <c r="C8514" s="222" t="s">
        <v>3145</v>
      </c>
      <c r="D8514" s="806" t="s">
        <v>5620</v>
      </c>
      <c r="E8514" s="249">
        <v>13800</v>
      </c>
      <c r="F8514" s="249"/>
      <c r="G8514" s="249">
        <f t="shared" si="138"/>
        <v>-13800</v>
      </c>
      <c r="H8514" s="422" t="s">
        <v>5545</v>
      </c>
    </row>
    <row r="8515" spans="1:8" ht="15" x14ac:dyDescent="0.2">
      <c r="A8515" s="597">
        <v>43819</v>
      </c>
      <c r="B8515" s="222" t="s">
        <v>1400</v>
      </c>
      <c r="C8515" s="222" t="s">
        <v>3145</v>
      </c>
      <c r="D8515" s="806" t="s">
        <v>4450</v>
      </c>
      <c r="E8515" s="249">
        <v>57750</v>
      </c>
      <c r="F8515" s="249"/>
      <c r="G8515" s="249">
        <f t="shared" si="138"/>
        <v>-57750</v>
      </c>
      <c r="H8515" s="422" t="s">
        <v>5545</v>
      </c>
    </row>
    <row r="8516" spans="1:8" ht="15" x14ac:dyDescent="0.2">
      <c r="A8516" s="597">
        <v>43819</v>
      </c>
      <c r="B8516" s="222" t="s">
        <v>1400</v>
      </c>
      <c r="C8516" s="222" t="s">
        <v>5621</v>
      </c>
      <c r="D8516" s="806" t="s">
        <v>5622</v>
      </c>
      <c r="E8516" s="249">
        <v>10000</v>
      </c>
      <c r="F8516" s="249"/>
      <c r="G8516" s="249">
        <f t="shared" si="138"/>
        <v>-10000</v>
      </c>
      <c r="H8516" s="422" t="s">
        <v>5545</v>
      </c>
    </row>
    <row r="8517" spans="1:8" ht="15" customHeight="1" x14ac:dyDescent="0.2">
      <c r="A8517" s="597">
        <v>43821</v>
      </c>
      <c r="B8517" s="222" t="s">
        <v>25</v>
      </c>
      <c r="C8517" s="222" t="s">
        <v>2428</v>
      </c>
      <c r="D8517" s="806" t="s">
        <v>3056</v>
      </c>
      <c r="E8517" s="249">
        <v>11000</v>
      </c>
      <c r="F8517" s="249"/>
      <c r="G8517" s="249">
        <f t="shared" si="138"/>
        <v>-11000</v>
      </c>
      <c r="H8517" s="422" t="s">
        <v>5545</v>
      </c>
    </row>
    <row r="8518" spans="1:8" ht="15" customHeight="1" x14ac:dyDescent="0.2">
      <c r="A8518" s="597">
        <v>43821</v>
      </c>
      <c r="B8518" s="222" t="s">
        <v>2652</v>
      </c>
      <c r="C8518" s="222" t="s">
        <v>3145</v>
      </c>
      <c r="D8518" s="806" t="s">
        <v>4880</v>
      </c>
      <c r="E8518" s="249">
        <v>13900</v>
      </c>
      <c r="F8518" s="249"/>
      <c r="G8518" s="249">
        <f t="shared" si="138"/>
        <v>-13900</v>
      </c>
      <c r="H8518" s="422" t="s">
        <v>5545</v>
      </c>
    </row>
    <row r="8519" spans="1:8" ht="15" customHeight="1" x14ac:dyDescent="0.2">
      <c r="A8519" s="597">
        <v>43821</v>
      </c>
      <c r="B8519" s="222" t="s">
        <v>1400</v>
      </c>
      <c r="C8519" s="222" t="s">
        <v>3145</v>
      </c>
      <c r="D8519" s="806" t="s">
        <v>4880</v>
      </c>
      <c r="E8519" s="249">
        <v>11432</v>
      </c>
      <c r="F8519" s="249"/>
      <c r="G8519" s="249">
        <f t="shared" si="138"/>
        <v>-11432</v>
      </c>
      <c r="H8519" s="422" t="s">
        <v>5545</v>
      </c>
    </row>
    <row r="8520" spans="1:8" ht="15" customHeight="1" x14ac:dyDescent="0.2">
      <c r="A8520" s="597">
        <v>43821</v>
      </c>
      <c r="B8520" s="222" t="s">
        <v>1400</v>
      </c>
      <c r="C8520" s="222" t="s">
        <v>3145</v>
      </c>
      <c r="D8520" s="806" t="s">
        <v>5623</v>
      </c>
      <c r="E8520" s="249">
        <v>3400</v>
      </c>
      <c r="F8520" s="249"/>
      <c r="G8520" s="249">
        <f t="shared" si="138"/>
        <v>-3400</v>
      </c>
      <c r="H8520" s="422" t="s">
        <v>5545</v>
      </c>
    </row>
    <row r="8521" spans="1:8" ht="15" x14ac:dyDescent="0.2">
      <c r="A8521" s="597">
        <v>43821</v>
      </c>
      <c r="B8521" s="222" t="s">
        <v>25</v>
      </c>
      <c r="C8521" s="222" t="s">
        <v>4428</v>
      </c>
      <c r="D8521" s="806" t="s">
        <v>370</v>
      </c>
      <c r="E8521" s="249">
        <v>650</v>
      </c>
      <c r="F8521" s="249"/>
      <c r="G8521" s="249">
        <f t="shared" si="138"/>
        <v>-650</v>
      </c>
      <c r="H8521" s="422" t="s">
        <v>5545</v>
      </c>
    </row>
    <row r="8522" spans="1:8" ht="15" x14ac:dyDescent="0.2">
      <c r="A8522" s="597">
        <v>43821</v>
      </c>
      <c r="B8522" s="222" t="s">
        <v>2652</v>
      </c>
      <c r="C8522" s="222" t="s">
        <v>392</v>
      </c>
      <c r="D8522" s="806" t="s">
        <v>3787</v>
      </c>
      <c r="E8522" s="249">
        <v>7000</v>
      </c>
      <c r="F8522" s="249"/>
      <c r="G8522" s="249">
        <f t="shared" si="138"/>
        <v>-7000</v>
      </c>
      <c r="H8522" s="422" t="s">
        <v>5545</v>
      </c>
    </row>
    <row r="8523" spans="1:8" ht="15" x14ac:dyDescent="0.2">
      <c r="A8523" s="597">
        <v>43821</v>
      </c>
      <c r="B8523" s="222" t="s">
        <v>5617</v>
      </c>
      <c r="C8523" s="222" t="s">
        <v>3145</v>
      </c>
      <c r="D8523" s="806" t="s">
        <v>4873</v>
      </c>
      <c r="E8523" s="249">
        <v>7403</v>
      </c>
      <c r="F8523" s="249"/>
      <c r="G8523" s="249">
        <f t="shared" si="138"/>
        <v>-7403</v>
      </c>
      <c r="H8523" s="422" t="s">
        <v>5545</v>
      </c>
    </row>
    <row r="8524" spans="1:8" ht="15" x14ac:dyDescent="0.2">
      <c r="A8524" s="597">
        <v>43822</v>
      </c>
      <c r="B8524" s="222" t="s">
        <v>2652</v>
      </c>
      <c r="C8524" s="222" t="s">
        <v>3145</v>
      </c>
      <c r="D8524" s="806" t="s">
        <v>1422</v>
      </c>
      <c r="E8524" s="249">
        <v>1780</v>
      </c>
      <c r="F8524" s="249"/>
      <c r="G8524" s="249">
        <f t="shared" si="138"/>
        <v>-1780</v>
      </c>
      <c r="H8524" s="422" t="s">
        <v>5545</v>
      </c>
    </row>
    <row r="8525" spans="1:8" ht="15" x14ac:dyDescent="0.2">
      <c r="A8525" s="597">
        <v>43822</v>
      </c>
      <c r="B8525" s="222" t="s">
        <v>16</v>
      </c>
      <c r="C8525" s="222"/>
      <c r="D8525" s="806" t="s">
        <v>5650</v>
      </c>
      <c r="E8525" s="249">
        <v>1700</v>
      </c>
      <c r="F8525" s="249"/>
      <c r="G8525" s="249">
        <f t="shared" si="138"/>
        <v>-1700</v>
      </c>
      <c r="H8525" s="422" t="s">
        <v>5545</v>
      </c>
    </row>
    <row r="8526" spans="1:8" ht="15" x14ac:dyDescent="0.2">
      <c r="A8526" s="597">
        <v>43822</v>
      </c>
      <c r="B8526" s="222" t="s">
        <v>5544</v>
      </c>
      <c r="C8526" s="222" t="s">
        <v>392</v>
      </c>
      <c r="D8526" s="806"/>
      <c r="E8526" s="249">
        <v>1500</v>
      </c>
      <c r="F8526" s="249"/>
      <c r="G8526" s="249">
        <f t="shared" si="138"/>
        <v>-1500</v>
      </c>
      <c r="H8526" s="422" t="s">
        <v>5545</v>
      </c>
    </row>
    <row r="8527" spans="1:8" ht="15" x14ac:dyDescent="0.2">
      <c r="A8527" s="597">
        <v>43826</v>
      </c>
      <c r="B8527" s="222" t="s">
        <v>25</v>
      </c>
      <c r="C8527" s="222"/>
      <c r="D8527" s="806" t="s">
        <v>2108</v>
      </c>
      <c r="E8527" s="249">
        <v>1500</v>
      </c>
      <c r="F8527" s="249"/>
      <c r="G8527" s="249">
        <f t="shared" si="138"/>
        <v>-1500</v>
      </c>
      <c r="H8527" s="422" t="s">
        <v>5545</v>
      </c>
    </row>
    <row r="8528" spans="1:8" ht="15" x14ac:dyDescent="0.2">
      <c r="A8528" s="597">
        <v>43826</v>
      </c>
      <c r="B8528" s="222" t="s">
        <v>1400</v>
      </c>
      <c r="C8528" s="222"/>
      <c r="D8528" s="806" t="s">
        <v>5651</v>
      </c>
      <c r="E8528" s="249">
        <v>20000</v>
      </c>
      <c r="F8528" s="249"/>
      <c r="G8528" s="249">
        <f t="shared" si="138"/>
        <v>-20000</v>
      </c>
      <c r="H8528" s="422" t="s">
        <v>5545</v>
      </c>
    </row>
    <row r="8529" spans="1:9" ht="15" x14ac:dyDescent="0.2">
      <c r="A8529" s="597">
        <v>43826</v>
      </c>
      <c r="B8529" s="222" t="s">
        <v>4553</v>
      </c>
      <c r="C8529" s="222"/>
      <c r="D8529" s="806" t="s">
        <v>2360</v>
      </c>
      <c r="E8529" s="249">
        <v>1200</v>
      </c>
      <c r="F8529" s="249"/>
      <c r="G8529" s="249">
        <f t="shared" si="138"/>
        <v>-1200</v>
      </c>
      <c r="H8529" s="422" t="s">
        <v>5545</v>
      </c>
    </row>
    <row r="8530" spans="1:9" ht="15" x14ac:dyDescent="0.2">
      <c r="A8530" s="597">
        <v>43826</v>
      </c>
      <c r="B8530" s="222" t="s">
        <v>16</v>
      </c>
      <c r="C8530" s="222"/>
      <c r="D8530" s="806"/>
      <c r="E8530" s="249">
        <v>400</v>
      </c>
      <c r="F8530" s="249"/>
      <c r="G8530" s="249">
        <f t="shared" si="138"/>
        <v>-400</v>
      </c>
      <c r="H8530" s="422" t="s">
        <v>5545</v>
      </c>
    </row>
    <row r="8531" spans="1:9" ht="15" x14ac:dyDescent="0.2">
      <c r="A8531" s="597">
        <v>43826</v>
      </c>
      <c r="B8531" s="222" t="s">
        <v>25</v>
      </c>
      <c r="C8531" s="222"/>
      <c r="D8531" s="806"/>
      <c r="E8531" s="249">
        <v>600</v>
      </c>
      <c r="F8531" s="249"/>
      <c r="G8531" s="249">
        <f t="shared" si="138"/>
        <v>-600</v>
      </c>
      <c r="H8531" s="422" t="s">
        <v>5545</v>
      </c>
    </row>
    <row r="8532" spans="1:9" ht="15" x14ac:dyDescent="0.2">
      <c r="A8532" s="597">
        <v>43826</v>
      </c>
      <c r="B8532" s="222" t="s">
        <v>16</v>
      </c>
      <c r="C8532" s="222"/>
      <c r="D8532" s="806" t="s">
        <v>1961</v>
      </c>
      <c r="E8532" s="249">
        <v>660</v>
      </c>
      <c r="F8532" s="249"/>
      <c r="G8532" s="249">
        <f t="shared" si="138"/>
        <v>-660</v>
      </c>
      <c r="H8532" s="422" t="s">
        <v>5545</v>
      </c>
    </row>
    <row r="8533" spans="1:9" ht="15" x14ac:dyDescent="0.2">
      <c r="A8533" s="597">
        <v>43829</v>
      </c>
      <c r="B8533" s="222" t="s">
        <v>25</v>
      </c>
      <c r="C8533" s="222" t="s">
        <v>392</v>
      </c>
      <c r="D8533" s="806" t="s">
        <v>660</v>
      </c>
      <c r="E8533" s="249">
        <v>12000</v>
      </c>
      <c r="F8533" s="249"/>
      <c r="G8533" s="249">
        <f t="shared" si="138"/>
        <v>-12000</v>
      </c>
      <c r="H8533" s="422" t="s">
        <v>5545</v>
      </c>
    </row>
    <row r="8534" spans="1:9" ht="15" x14ac:dyDescent="0.2">
      <c r="A8534" s="597">
        <v>43830</v>
      </c>
      <c r="B8534" s="222" t="s">
        <v>1400</v>
      </c>
      <c r="C8534" s="222" t="s">
        <v>5652</v>
      </c>
      <c r="D8534" s="806" t="s">
        <v>5653</v>
      </c>
      <c r="E8534" s="249">
        <v>39790</v>
      </c>
      <c r="F8534" s="249"/>
      <c r="G8534" s="249">
        <f t="shared" si="138"/>
        <v>-39790</v>
      </c>
      <c r="H8534" s="422" t="s">
        <v>5545</v>
      </c>
    </row>
    <row r="8535" spans="1:9" ht="15" x14ac:dyDescent="0.2">
      <c r="A8535" s="597">
        <v>43830</v>
      </c>
      <c r="B8535" s="222" t="s">
        <v>5617</v>
      </c>
      <c r="C8535" s="222" t="s">
        <v>3145</v>
      </c>
      <c r="D8535" s="806" t="s">
        <v>5654</v>
      </c>
      <c r="E8535" s="249">
        <v>3200</v>
      </c>
      <c r="F8535" s="249"/>
      <c r="G8535" s="249">
        <f t="shared" si="138"/>
        <v>-3200</v>
      </c>
      <c r="H8535" s="422" t="s">
        <v>5545</v>
      </c>
    </row>
    <row r="8536" spans="1:9" ht="15" x14ac:dyDescent="0.2">
      <c r="A8536" s="597">
        <v>43830</v>
      </c>
      <c r="B8536" s="222" t="s">
        <v>16</v>
      </c>
      <c r="C8536" s="222" t="s">
        <v>463</v>
      </c>
      <c r="D8536" s="806" t="s">
        <v>5745</v>
      </c>
      <c r="E8536" s="249">
        <v>16640</v>
      </c>
      <c r="F8536" s="249"/>
      <c r="G8536" s="249">
        <f t="shared" si="138"/>
        <v>-16640</v>
      </c>
      <c r="H8536" s="422" t="s">
        <v>5545</v>
      </c>
    </row>
    <row r="8537" spans="1:9" ht="24" x14ac:dyDescent="0.2">
      <c r="A8537" s="602">
        <v>43804</v>
      </c>
      <c r="B8537" s="240" t="s">
        <v>2933</v>
      </c>
      <c r="C8537" s="240" t="s">
        <v>359</v>
      </c>
      <c r="D8537" s="837" t="s">
        <v>5564</v>
      </c>
      <c r="E8537" s="241">
        <v>158880</v>
      </c>
      <c r="F8537" s="241"/>
      <c r="G8537" s="241">
        <f t="shared" si="138"/>
        <v>-158880</v>
      </c>
      <c r="H8537" s="396" t="s">
        <v>5545</v>
      </c>
      <c r="I8537" s="40"/>
    </row>
    <row r="8538" spans="1:9" ht="24" x14ac:dyDescent="0.2">
      <c r="A8538" s="602">
        <v>43804</v>
      </c>
      <c r="B8538" s="240" t="s">
        <v>2933</v>
      </c>
      <c r="C8538" s="240" t="s">
        <v>3446</v>
      </c>
      <c r="D8538" s="837" t="s">
        <v>5565</v>
      </c>
      <c r="E8538" s="241">
        <v>100000</v>
      </c>
      <c r="F8538" s="241"/>
      <c r="G8538" s="241">
        <f t="shared" si="138"/>
        <v>-100000</v>
      </c>
      <c r="H8538" s="396" t="s">
        <v>5545</v>
      </c>
      <c r="I8538" s="40"/>
    </row>
    <row r="8539" spans="1:9" ht="15" customHeight="1" x14ac:dyDescent="0.2">
      <c r="A8539" s="602">
        <v>43810</v>
      </c>
      <c r="B8539" s="240" t="s">
        <v>2652</v>
      </c>
      <c r="C8539" s="240" t="s">
        <v>4908</v>
      </c>
      <c r="D8539" s="837" t="s">
        <v>5566</v>
      </c>
      <c r="E8539" s="241">
        <v>15000</v>
      </c>
      <c r="F8539" s="241"/>
      <c r="G8539" s="241">
        <f t="shared" si="138"/>
        <v>-15000</v>
      </c>
      <c r="H8539" s="396" t="s">
        <v>5545</v>
      </c>
      <c r="I8539" s="40"/>
    </row>
    <row r="8540" spans="1:9" ht="15" customHeight="1" x14ac:dyDescent="0.2">
      <c r="A8540" s="602">
        <v>43810</v>
      </c>
      <c r="B8540" s="240" t="s">
        <v>1400</v>
      </c>
      <c r="C8540" s="240" t="s">
        <v>4908</v>
      </c>
      <c r="D8540" s="837" t="s">
        <v>5567</v>
      </c>
      <c r="E8540" s="241">
        <v>10000</v>
      </c>
      <c r="F8540" s="241"/>
      <c r="G8540" s="241">
        <f t="shared" si="138"/>
        <v>-10000</v>
      </c>
      <c r="H8540" s="396" t="s">
        <v>5545</v>
      </c>
      <c r="I8540" s="40"/>
    </row>
    <row r="8541" spans="1:9" ht="15" customHeight="1" x14ac:dyDescent="0.2">
      <c r="A8541" s="602">
        <v>43810</v>
      </c>
      <c r="B8541" s="240" t="s">
        <v>2933</v>
      </c>
      <c r="C8541" s="240" t="s">
        <v>2586</v>
      </c>
      <c r="D8541" s="837" t="s">
        <v>5568</v>
      </c>
      <c r="E8541" s="241">
        <v>100000</v>
      </c>
      <c r="F8541" s="241"/>
      <c r="G8541" s="241">
        <f t="shared" si="138"/>
        <v>-100000</v>
      </c>
      <c r="H8541" s="396" t="s">
        <v>5545</v>
      </c>
      <c r="I8541" s="40"/>
    </row>
    <row r="8542" spans="1:9" ht="15" customHeight="1" x14ac:dyDescent="0.2">
      <c r="A8542" s="602">
        <v>43810</v>
      </c>
      <c r="B8542" s="240" t="s">
        <v>1400</v>
      </c>
      <c r="C8542" s="240" t="s">
        <v>5569</v>
      </c>
      <c r="D8542" s="837" t="s">
        <v>5570</v>
      </c>
      <c r="E8542" s="241">
        <v>43000</v>
      </c>
      <c r="F8542" s="241"/>
      <c r="G8542" s="241">
        <f t="shared" si="138"/>
        <v>-43000</v>
      </c>
      <c r="H8542" s="396" t="s">
        <v>5545</v>
      </c>
      <c r="I8542" s="40"/>
    </row>
    <row r="8543" spans="1:9" ht="15" customHeight="1" x14ac:dyDescent="0.2">
      <c r="A8543" s="602">
        <v>43810</v>
      </c>
      <c r="B8543" s="240" t="s">
        <v>37</v>
      </c>
      <c r="C8543" s="240" t="s">
        <v>3003</v>
      </c>
      <c r="D8543" s="837" t="s">
        <v>5570</v>
      </c>
      <c r="E8543" s="241">
        <v>12960</v>
      </c>
      <c r="F8543" s="241"/>
      <c r="G8543" s="241">
        <f t="shared" si="138"/>
        <v>-12960</v>
      </c>
      <c r="H8543" s="396" t="s">
        <v>5545</v>
      </c>
      <c r="I8543" s="40"/>
    </row>
    <row r="8544" spans="1:9" ht="15" customHeight="1" x14ac:dyDescent="0.2">
      <c r="A8544" s="602">
        <v>43810</v>
      </c>
      <c r="B8544" s="240" t="s">
        <v>3945</v>
      </c>
      <c r="C8544" s="240" t="s">
        <v>3003</v>
      </c>
      <c r="D8544" s="837" t="s">
        <v>5570</v>
      </c>
      <c r="E8544" s="241">
        <v>32760</v>
      </c>
      <c r="F8544" s="241"/>
      <c r="G8544" s="241">
        <f t="shared" si="138"/>
        <v>-32760</v>
      </c>
      <c r="H8544" s="396" t="s">
        <v>5545</v>
      </c>
      <c r="I8544" s="40"/>
    </row>
    <row r="8545" spans="1:9" ht="15" x14ac:dyDescent="0.2">
      <c r="A8545" s="602">
        <v>43810</v>
      </c>
      <c r="B8545" s="240" t="s">
        <v>3946</v>
      </c>
      <c r="C8545" s="240" t="s">
        <v>3003</v>
      </c>
      <c r="D8545" s="837" t="s">
        <v>5570</v>
      </c>
      <c r="E8545" s="241">
        <v>30160</v>
      </c>
      <c r="F8545" s="241"/>
      <c r="G8545" s="241">
        <f t="shared" si="138"/>
        <v>-30160</v>
      </c>
      <c r="H8545" s="396" t="s">
        <v>5545</v>
      </c>
      <c r="I8545" s="40"/>
    </row>
    <row r="8546" spans="1:9" ht="15" x14ac:dyDescent="0.2">
      <c r="A8546" s="602">
        <v>43810</v>
      </c>
      <c r="B8546" s="240" t="s">
        <v>1400</v>
      </c>
      <c r="C8546" s="240" t="s">
        <v>4834</v>
      </c>
      <c r="D8546" s="837" t="s">
        <v>5570</v>
      </c>
      <c r="E8546" s="241">
        <v>49000</v>
      </c>
      <c r="F8546" s="241"/>
      <c r="G8546" s="241">
        <f t="shared" si="138"/>
        <v>-49000</v>
      </c>
      <c r="H8546" s="396" t="s">
        <v>5545</v>
      </c>
      <c r="I8546" s="40"/>
    </row>
    <row r="8547" spans="1:9" ht="15" x14ac:dyDescent="0.2">
      <c r="A8547" s="602">
        <v>43810</v>
      </c>
      <c r="B8547" s="240" t="s">
        <v>2652</v>
      </c>
      <c r="C8547" s="240" t="s">
        <v>251</v>
      </c>
      <c r="D8547" s="837" t="s">
        <v>5571</v>
      </c>
      <c r="E8547" s="241">
        <v>55950</v>
      </c>
      <c r="F8547" s="241"/>
      <c r="G8547" s="241">
        <f t="shared" si="138"/>
        <v>-55950</v>
      </c>
      <c r="H8547" s="396" t="s">
        <v>5545</v>
      </c>
      <c r="I8547" s="40"/>
    </row>
    <row r="8548" spans="1:9" ht="15" x14ac:dyDescent="0.2">
      <c r="A8548" s="602">
        <v>43810</v>
      </c>
      <c r="B8548" s="240" t="s">
        <v>16</v>
      </c>
      <c r="C8548" s="240" t="s">
        <v>5572</v>
      </c>
      <c r="D8548" s="837" t="s">
        <v>5573</v>
      </c>
      <c r="E8548" s="241">
        <v>27140</v>
      </c>
      <c r="F8548" s="241"/>
      <c r="G8548" s="241">
        <f t="shared" si="138"/>
        <v>-27140</v>
      </c>
      <c r="H8548" s="396" t="s">
        <v>5545</v>
      </c>
      <c r="I8548" s="40"/>
    </row>
    <row r="8549" spans="1:9" ht="24" x14ac:dyDescent="0.2">
      <c r="A8549" s="602">
        <v>43811</v>
      </c>
      <c r="B8549" s="240" t="s">
        <v>1400</v>
      </c>
      <c r="C8549" s="240" t="s">
        <v>6024</v>
      </c>
      <c r="D8549" s="837" t="s">
        <v>5767</v>
      </c>
      <c r="E8549" s="241">
        <v>161000</v>
      </c>
      <c r="F8549" s="241"/>
      <c r="G8549" s="241">
        <f t="shared" si="138"/>
        <v>-161000</v>
      </c>
      <c r="H8549" s="396" t="s">
        <v>5545</v>
      </c>
      <c r="I8549" s="40"/>
    </row>
    <row r="8550" spans="1:9" ht="15" x14ac:dyDescent="0.2">
      <c r="A8550" s="602">
        <v>43811</v>
      </c>
      <c r="B8550" s="240" t="s">
        <v>1400</v>
      </c>
      <c r="C8550" s="240" t="s">
        <v>2338</v>
      </c>
      <c r="D8550" s="837" t="s">
        <v>5585</v>
      </c>
      <c r="E8550" s="241">
        <v>150000</v>
      </c>
      <c r="F8550" s="241"/>
      <c r="G8550" s="241">
        <f t="shared" si="138"/>
        <v>-150000</v>
      </c>
      <c r="H8550" s="396" t="s">
        <v>5545</v>
      </c>
      <c r="I8550" s="40"/>
    </row>
    <row r="8551" spans="1:9" ht="15" x14ac:dyDescent="0.2">
      <c r="A8551" s="602">
        <v>43815</v>
      </c>
      <c r="B8551" s="240" t="s">
        <v>2933</v>
      </c>
      <c r="C8551" s="240" t="s">
        <v>5187</v>
      </c>
      <c r="D8551" s="837" t="s">
        <v>5590</v>
      </c>
      <c r="E8551" s="241">
        <v>272000</v>
      </c>
      <c r="F8551" s="241"/>
      <c r="G8551" s="241">
        <f t="shared" si="138"/>
        <v>-272000</v>
      </c>
      <c r="H8551" s="396" t="s">
        <v>5545</v>
      </c>
      <c r="I8551" s="40"/>
    </row>
    <row r="8552" spans="1:9" ht="15" x14ac:dyDescent="0.2">
      <c r="A8552" s="602">
        <v>43815</v>
      </c>
      <c r="B8552" s="240" t="s">
        <v>1400</v>
      </c>
      <c r="C8552" s="240" t="s">
        <v>3145</v>
      </c>
      <c r="D8552" s="837" t="s">
        <v>5591</v>
      </c>
      <c r="E8552" s="241">
        <v>11000</v>
      </c>
      <c r="F8552" s="241"/>
      <c r="G8552" s="241">
        <f t="shared" si="138"/>
        <v>-11000</v>
      </c>
      <c r="H8552" s="396" t="s">
        <v>5545</v>
      </c>
      <c r="I8552" s="40"/>
    </row>
    <row r="8553" spans="1:9" ht="24" x14ac:dyDescent="0.2">
      <c r="A8553" s="602">
        <v>43815</v>
      </c>
      <c r="B8553" s="426" t="s">
        <v>1400</v>
      </c>
      <c r="C8553" s="426" t="s">
        <v>3145</v>
      </c>
      <c r="D8553" s="840" t="s">
        <v>5997</v>
      </c>
      <c r="E8553" s="427">
        <v>111290</v>
      </c>
      <c r="F8553" s="427"/>
      <c r="G8553" s="427">
        <f t="shared" si="138"/>
        <v>-111290</v>
      </c>
      <c r="H8553" s="483" t="s">
        <v>5545</v>
      </c>
      <c r="I8553" s="40"/>
    </row>
    <row r="8554" spans="1:9" ht="15" x14ac:dyDescent="0.2">
      <c r="A8554" s="602">
        <v>43816</v>
      </c>
      <c r="B8554" s="240" t="s">
        <v>1400</v>
      </c>
      <c r="C8554" s="240" t="s">
        <v>5593</v>
      </c>
      <c r="D8554" s="837" t="s">
        <v>5592</v>
      </c>
      <c r="E8554" s="241">
        <v>30000</v>
      </c>
      <c r="F8554" s="241"/>
      <c r="G8554" s="241">
        <f t="shared" si="138"/>
        <v>-30000</v>
      </c>
      <c r="H8554" s="396" t="s">
        <v>5545</v>
      </c>
      <c r="I8554" s="40"/>
    </row>
    <row r="8555" spans="1:9" ht="15" x14ac:dyDescent="0.2">
      <c r="A8555" s="602">
        <v>43816</v>
      </c>
      <c r="B8555" s="240" t="s">
        <v>1400</v>
      </c>
      <c r="C8555" s="240" t="s">
        <v>4334</v>
      </c>
      <c r="D8555" s="837" t="s">
        <v>5594</v>
      </c>
      <c r="E8555" s="241">
        <v>23000</v>
      </c>
      <c r="F8555" s="241"/>
      <c r="G8555" s="241">
        <f t="shared" ref="G8555:G8618" si="139">F8555-E8555</f>
        <v>-23000</v>
      </c>
      <c r="H8555" s="396" t="s">
        <v>5545</v>
      </c>
      <c r="I8555" s="40"/>
    </row>
    <row r="8556" spans="1:9" ht="15" x14ac:dyDescent="0.2">
      <c r="A8556" s="602">
        <v>43816</v>
      </c>
      <c r="B8556" s="240" t="s">
        <v>1400</v>
      </c>
      <c r="C8556" s="240" t="s">
        <v>3772</v>
      </c>
      <c r="D8556" s="837" t="s">
        <v>5595</v>
      </c>
      <c r="E8556" s="241">
        <v>40000</v>
      </c>
      <c r="F8556" s="241"/>
      <c r="G8556" s="241">
        <f t="shared" si="139"/>
        <v>-40000</v>
      </c>
      <c r="H8556" s="396" t="s">
        <v>5545</v>
      </c>
      <c r="I8556" s="40"/>
    </row>
    <row r="8557" spans="1:9" ht="15" x14ac:dyDescent="0.2">
      <c r="A8557" s="602">
        <v>43817</v>
      </c>
      <c r="B8557" s="240" t="s">
        <v>1400</v>
      </c>
      <c r="C8557" s="240" t="s">
        <v>929</v>
      </c>
      <c r="D8557" s="837" t="s">
        <v>5596</v>
      </c>
      <c r="E8557" s="241">
        <v>23800</v>
      </c>
      <c r="F8557" s="241"/>
      <c r="G8557" s="241">
        <f t="shared" si="139"/>
        <v>-23800</v>
      </c>
      <c r="H8557" s="396" t="s">
        <v>5545</v>
      </c>
      <c r="I8557" s="40"/>
    </row>
    <row r="8558" spans="1:9" ht="48" x14ac:dyDescent="0.2">
      <c r="A8558" s="602">
        <v>43817</v>
      </c>
      <c r="B8558" s="240" t="s">
        <v>1400</v>
      </c>
      <c r="C8558" s="240" t="s">
        <v>2515</v>
      </c>
      <c r="D8558" s="837" t="s">
        <v>5597</v>
      </c>
      <c r="E8558" s="241">
        <v>139672</v>
      </c>
      <c r="F8558" s="241"/>
      <c r="G8558" s="241">
        <f t="shared" si="139"/>
        <v>-139672</v>
      </c>
      <c r="H8558" s="396" t="s">
        <v>5545</v>
      </c>
      <c r="I8558" s="40"/>
    </row>
    <row r="8559" spans="1:9" ht="15" customHeight="1" x14ac:dyDescent="0.2">
      <c r="A8559" s="602">
        <v>43818</v>
      </c>
      <c r="B8559" s="240" t="s">
        <v>2933</v>
      </c>
      <c r="C8559" s="240" t="s">
        <v>4684</v>
      </c>
      <c r="D8559" s="837" t="s">
        <v>5598</v>
      </c>
      <c r="E8559" s="241">
        <v>90000</v>
      </c>
      <c r="F8559" s="241"/>
      <c r="G8559" s="241">
        <f t="shared" si="139"/>
        <v>-90000</v>
      </c>
      <c r="H8559" s="396" t="s">
        <v>5545</v>
      </c>
      <c r="I8559" s="40"/>
    </row>
    <row r="8560" spans="1:9" ht="15" customHeight="1" x14ac:dyDescent="0.2">
      <c r="A8560" s="602">
        <v>43818</v>
      </c>
      <c r="B8560" s="240" t="s">
        <v>16</v>
      </c>
      <c r="C8560" s="240" t="s">
        <v>1689</v>
      </c>
      <c r="D8560" s="837" t="s">
        <v>5599</v>
      </c>
      <c r="E8560" s="241">
        <v>3900</v>
      </c>
      <c r="F8560" s="241"/>
      <c r="G8560" s="241">
        <f t="shared" si="139"/>
        <v>-3900</v>
      </c>
      <c r="H8560" s="396" t="s">
        <v>5545</v>
      </c>
      <c r="I8560" s="40"/>
    </row>
    <row r="8561" spans="1:9" ht="15" customHeight="1" x14ac:dyDescent="0.2">
      <c r="A8561" s="602">
        <v>43818</v>
      </c>
      <c r="B8561" s="240" t="s">
        <v>25</v>
      </c>
      <c r="C8561" s="240" t="s">
        <v>1689</v>
      </c>
      <c r="D8561" s="837" t="s">
        <v>5599</v>
      </c>
      <c r="E8561" s="241">
        <v>17416</v>
      </c>
      <c r="F8561" s="241"/>
      <c r="G8561" s="241">
        <f t="shared" si="139"/>
        <v>-17416</v>
      </c>
      <c r="H8561" s="396" t="s">
        <v>5545</v>
      </c>
      <c r="I8561" s="40"/>
    </row>
    <row r="8562" spans="1:9" ht="15" customHeight="1" x14ac:dyDescent="0.2">
      <c r="A8562" s="602">
        <v>43818</v>
      </c>
      <c r="B8562" s="240" t="s">
        <v>16</v>
      </c>
      <c r="C8562" s="174" t="s">
        <v>4882</v>
      </c>
      <c r="D8562" s="837" t="s">
        <v>5600</v>
      </c>
      <c r="E8562" s="241">
        <v>12000</v>
      </c>
      <c r="F8562" s="241"/>
      <c r="G8562" s="241">
        <f t="shared" si="139"/>
        <v>-12000</v>
      </c>
      <c r="H8562" s="396" t="s">
        <v>5545</v>
      </c>
      <c r="I8562" s="40"/>
    </row>
    <row r="8563" spans="1:9" ht="15" customHeight="1" x14ac:dyDescent="0.2">
      <c r="A8563" s="602">
        <v>43819</v>
      </c>
      <c r="B8563" s="240" t="s">
        <v>1400</v>
      </c>
      <c r="C8563" s="240" t="s">
        <v>895</v>
      </c>
      <c r="D8563" s="837" t="s">
        <v>5601</v>
      </c>
      <c r="E8563" s="241">
        <v>100000</v>
      </c>
      <c r="F8563" s="241"/>
      <c r="G8563" s="241">
        <f t="shared" si="139"/>
        <v>-100000</v>
      </c>
      <c r="H8563" s="396" t="s">
        <v>5545</v>
      </c>
      <c r="I8563" s="40"/>
    </row>
    <row r="8564" spans="1:9" ht="15" customHeight="1" x14ac:dyDescent="0.2">
      <c r="A8564" s="602">
        <v>43819</v>
      </c>
      <c r="B8564" s="240" t="s">
        <v>2652</v>
      </c>
      <c r="C8564" s="240" t="s">
        <v>4870</v>
      </c>
      <c r="D8564" s="837" t="s">
        <v>5602</v>
      </c>
      <c r="E8564" s="241">
        <v>47621</v>
      </c>
      <c r="F8564" s="241"/>
      <c r="G8564" s="241">
        <f t="shared" si="139"/>
        <v>-47621</v>
      </c>
      <c r="H8564" s="396" t="s">
        <v>5545</v>
      </c>
      <c r="I8564" s="40"/>
    </row>
    <row r="8565" spans="1:9" ht="24" customHeight="1" x14ac:dyDescent="0.2">
      <c r="A8565" s="602">
        <v>43819</v>
      </c>
      <c r="B8565" s="240" t="s">
        <v>5544</v>
      </c>
      <c r="C8565" s="240" t="s">
        <v>3145</v>
      </c>
      <c r="D8565" s="837" t="s">
        <v>5603</v>
      </c>
      <c r="E8565" s="241">
        <v>10400</v>
      </c>
      <c r="F8565" s="241"/>
      <c r="G8565" s="241">
        <f t="shared" si="139"/>
        <v>-10400</v>
      </c>
      <c r="H8565" s="396" t="s">
        <v>5545</v>
      </c>
      <c r="I8565" s="40"/>
    </row>
    <row r="8566" spans="1:9" ht="15" customHeight="1" x14ac:dyDescent="0.2">
      <c r="A8566" s="602">
        <v>43823</v>
      </c>
      <c r="B8566" s="240" t="s">
        <v>1400</v>
      </c>
      <c r="C8566" s="240" t="s">
        <v>166</v>
      </c>
      <c r="D8566" s="837" t="s">
        <v>5605</v>
      </c>
      <c r="E8566" s="241">
        <v>230890</v>
      </c>
      <c r="F8566" s="241"/>
      <c r="G8566" s="241">
        <f t="shared" si="139"/>
        <v>-230890</v>
      </c>
      <c r="H8566" s="396" t="s">
        <v>5545</v>
      </c>
      <c r="I8566" s="40"/>
    </row>
    <row r="8567" spans="1:9" ht="15" customHeight="1" x14ac:dyDescent="0.2">
      <c r="A8567" s="602">
        <v>43823</v>
      </c>
      <c r="B8567" s="240" t="s">
        <v>1400</v>
      </c>
      <c r="C8567" s="240" t="s">
        <v>166</v>
      </c>
      <c r="D8567" s="837" t="s">
        <v>5605</v>
      </c>
      <c r="E8567" s="241">
        <v>19110</v>
      </c>
      <c r="F8567" s="241"/>
      <c r="G8567" s="241">
        <f t="shared" si="139"/>
        <v>-19110</v>
      </c>
      <c r="H8567" s="396" t="s">
        <v>5545</v>
      </c>
      <c r="I8567" s="40"/>
    </row>
    <row r="8568" spans="1:9" ht="15" customHeight="1" x14ac:dyDescent="0.2">
      <c r="A8568" s="602">
        <v>43823</v>
      </c>
      <c r="B8568" s="240" t="s">
        <v>1400</v>
      </c>
      <c r="C8568" s="240" t="s">
        <v>1815</v>
      </c>
      <c r="D8568" s="837" t="s">
        <v>5605</v>
      </c>
      <c r="E8568" s="241">
        <v>250000</v>
      </c>
      <c r="F8568" s="241"/>
      <c r="G8568" s="241">
        <f t="shared" si="139"/>
        <v>-250000</v>
      </c>
      <c r="H8568" s="396" t="s">
        <v>5545</v>
      </c>
      <c r="I8568" s="40"/>
    </row>
    <row r="8569" spans="1:9" ht="15" customHeight="1" x14ac:dyDescent="0.2">
      <c r="A8569" s="602">
        <v>43823</v>
      </c>
      <c r="B8569" s="240" t="s">
        <v>2652</v>
      </c>
      <c r="C8569" s="426" t="s">
        <v>3011</v>
      </c>
      <c r="D8569" s="840" t="s">
        <v>5626</v>
      </c>
      <c r="E8569" s="427">
        <v>42000</v>
      </c>
      <c r="F8569" s="241"/>
      <c r="G8569" s="241">
        <f t="shared" si="139"/>
        <v>-42000</v>
      </c>
      <c r="H8569" s="396" t="s">
        <v>5545</v>
      </c>
      <c r="I8569" s="40"/>
    </row>
    <row r="8570" spans="1:9" ht="15" customHeight="1" x14ac:dyDescent="0.2">
      <c r="A8570" s="602">
        <v>43825</v>
      </c>
      <c r="B8570" s="240" t="s">
        <v>2933</v>
      </c>
      <c r="C8570" s="240" t="s">
        <v>3446</v>
      </c>
      <c r="D8570" s="837" t="s">
        <v>5624</v>
      </c>
      <c r="E8570" s="241">
        <v>50000</v>
      </c>
      <c r="F8570" s="241"/>
      <c r="G8570" s="241">
        <f t="shared" si="139"/>
        <v>-50000</v>
      </c>
      <c r="H8570" s="396" t="s">
        <v>5545</v>
      </c>
      <c r="I8570" s="40"/>
    </row>
    <row r="8571" spans="1:9" ht="15" customHeight="1" x14ac:dyDescent="0.2">
      <c r="A8571" s="602">
        <v>43826</v>
      </c>
      <c r="B8571" s="240" t="s">
        <v>1400</v>
      </c>
      <c r="C8571" s="240" t="s">
        <v>4988</v>
      </c>
      <c r="D8571" s="837" t="s">
        <v>5628</v>
      </c>
      <c r="E8571" s="241">
        <v>196000</v>
      </c>
      <c r="F8571" s="241"/>
      <c r="G8571" s="241">
        <f t="shared" si="139"/>
        <v>-196000</v>
      </c>
      <c r="H8571" s="396" t="s">
        <v>5545</v>
      </c>
      <c r="I8571" s="40"/>
    </row>
    <row r="8572" spans="1:9" ht="24" customHeight="1" x14ac:dyDescent="0.2">
      <c r="A8572" s="602">
        <v>43826</v>
      </c>
      <c r="B8572" s="240" t="s">
        <v>1400</v>
      </c>
      <c r="C8572" s="240" t="s">
        <v>5629</v>
      </c>
      <c r="D8572" s="837" t="s">
        <v>5630</v>
      </c>
      <c r="E8572" s="241">
        <v>165000</v>
      </c>
      <c r="F8572" s="241"/>
      <c r="G8572" s="241">
        <f t="shared" si="139"/>
        <v>-165000</v>
      </c>
      <c r="H8572" s="396" t="s">
        <v>5545</v>
      </c>
      <c r="I8572" s="40"/>
    </row>
    <row r="8573" spans="1:9" ht="24" customHeight="1" x14ac:dyDescent="0.2">
      <c r="A8573" s="602">
        <v>43826</v>
      </c>
      <c r="B8573" s="240" t="s">
        <v>25</v>
      </c>
      <c r="C8573" s="240" t="s">
        <v>2428</v>
      </c>
      <c r="D8573" s="837" t="s">
        <v>5631</v>
      </c>
      <c r="E8573" s="241">
        <v>32250</v>
      </c>
      <c r="F8573" s="241"/>
      <c r="G8573" s="241">
        <f t="shared" si="139"/>
        <v>-32250</v>
      </c>
      <c r="H8573" s="396" t="s">
        <v>5545</v>
      </c>
      <c r="I8573" s="40"/>
    </row>
    <row r="8574" spans="1:9" ht="15" customHeight="1" x14ac:dyDescent="0.2">
      <c r="A8574" s="602">
        <v>43830</v>
      </c>
      <c r="B8574" s="240" t="s">
        <v>2933</v>
      </c>
      <c r="C8574" s="240" t="s">
        <v>5187</v>
      </c>
      <c r="D8574" s="837" t="s">
        <v>5632</v>
      </c>
      <c r="E8574" s="241">
        <v>100000</v>
      </c>
      <c r="F8574" s="241"/>
      <c r="G8574" s="241">
        <f t="shared" si="139"/>
        <v>-100000</v>
      </c>
      <c r="H8574" s="396" t="s">
        <v>5545</v>
      </c>
      <c r="I8574" s="40"/>
    </row>
    <row r="8575" spans="1:9" ht="15" customHeight="1" x14ac:dyDescent="0.2">
      <c r="A8575" s="602">
        <v>43830</v>
      </c>
      <c r="B8575" s="240" t="s">
        <v>1400</v>
      </c>
      <c r="C8575" s="426" t="s">
        <v>895</v>
      </c>
      <c r="D8575" s="840" t="s">
        <v>5646</v>
      </c>
      <c r="E8575" s="427">
        <v>50000</v>
      </c>
      <c r="F8575" s="419"/>
      <c r="G8575" s="241">
        <f t="shared" si="139"/>
        <v>-50000</v>
      </c>
      <c r="H8575" s="396" t="s">
        <v>5545</v>
      </c>
      <c r="I8575" s="40"/>
    </row>
    <row r="8576" spans="1:9" ht="15" customHeight="1" x14ac:dyDescent="0.2">
      <c r="A8576" s="602">
        <v>43830</v>
      </c>
      <c r="B8576" s="240" t="s">
        <v>2652</v>
      </c>
      <c r="C8576" s="426" t="s">
        <v>895</v>
      </c>
      <c r="D8576" s="840" t="s">
        <v>5646</v>
      </c>
      <c r="E8576" s="427">
        <v>50000</v>
      </c>
      <c r="F8576" s="419"/>
      <c r="G8576" s="241">
        <f t="shared" si="139"/>
        <v>-50000</v>
      </c>
      <c r="H8576" s="396" t="s">
        <v>5545</v>
      </c>
      <c r="I8576" s="40"/>
    </row>
    <row r="8577" spans="1:9" ht="24" customHeight="1" x14ac:dyDescent="0.2">
      <c r="A8577" s="602">
        <v>43830</v>
      </c>
      <c r="B8577" s="240" t="s">
        <v>2933</v>
      </c>
      <c r="C8577" s="240" t="s">
        <v>3707</v>
      </c>
      <c r="D8577" s="837" t="s">
        <v>5633</v>
      </c>
      <c r="E8577" s="241">
        <v>105000</v>
      </c>
      <c r="F8577" s="241"/>
      <c r="G8577" s="241">
        <f t="shared" si="139"/>
        <v>-105000</v>
      </c>
      <c r="H8577" s="396" t="s">
        <v>5545</v>
      </c>
      <c r="I8577" s="40"/>
    </row>
    <row r="8578" spans="1:9" ht="15" customHeight="1" x14ac:dyDescent="0.2">
      <c r="A8578" s="602">
        <v>43830</v>
      </c>
      <c r="B8578" s="240" t="s">
        <v>5544</v>
      </c>
      <c r="C8578" s="240" t="s">
        <v>3145</v>
      </c>
      <c r="D8578" s="837" t="s">
        <v>5634</v>
      </c>
      <c r="E8578" s="241">
        <v>82000</v>
      </c>
      <c r="F8578" s="241"/>
      <c r="G8578" s="241">
        <f t="shared" si="139"/>
        <v>-82000</v>
      </c>
      <c r="H8578" s="396" t="s">
        <v>5545</v>
      </c>
      <c r="I8578" s="40"/>
    </row>
    <row r="8579" spans="1:9" ht="36" customHeight="1" x14ac:dyDescent="0.2">
      <c r="A8579" s="599">
        <v>43804</v>
      </c>
      <c r="B8579" s="91" t="s">
        <v>1400</v>
      </c>
      <c r="C8579" s="94" t="s">
        <v>559</v>
      </c>
      <c r="D8579" s="798" t="s">
        <v>9126</v>
      </c>
      <c r="E8579" s="92"/>
      <c r="F8579" s="92">
        <v>1047396</v>
      </c>
      <c r="G8579" s="92">
        <f t="shared" si="139"/>
        <v>1047396</v>
      </c>
      <c r="H8579" s="261" t="s">
        <v>5545</v>
      </c>
    </row>
    <row r="8580" spans="1:9" ht="36" customHeight="1" x14ac:dyDescent="0.2">
      <c r="A8580" s="599">
        <v>43804</v>
      </c>
      <c r="B8580" s="91" t="s">
        <v>1400</v>
      </c>
      <c r="C8580" s="94" t="s">
        <v>559</v>
      </c>
      <c r="D8580" s="798" t="s">
        <v>9126</v>
      </c>
      <c r="E8580" s="92"/>
      <c r="F8580" s="92">
        <v>1071018</v>
      </c>
      <c r="G8580" s="92">
        <f t="shared" si="139"/>
        <v>1071018</v>
      </c>
      <c r="H8580" s="261" t="s">
        <v>5545</v>
      </c>
    </row>
    <row r="8581" spans="1:9" ht="36" customHeight="1" x14ac:dyDescent="0.2">
      <c r="A8581" s="599">
        <v>43804</v>
      </c>
      <c r="B8581" s="91" t="s">
        <v>1400</v>
      </c>
      <c r="C8581" s="94" t="s">
        <v>559</v>
      </c>
      <c r="D8581" s="798" t="s">
        <v>9126</v>
      </c>
      <c r="E8581" s="92"/>
      <c r="F8581" s="92">
        <v>1490814</v>
      </c>
      <c r="G8581" s="92">
        <f t="shared" si="139"/>
        <v>1490814</v>
      </c>
      <c r="H8581" s="261" t="s">
        <v>5545</v>
      </c>
    </row>
    <row r="8582" spans="1:9" ht="36" customHeight="1" x14ac:dyDescent="0.2">
      <c r="A8582" s="599">
        <v>43804</v>
      </c>
      <c r="B8582" s="91" t="s">
        <v>1400</v>
      </c>
      <c r="C8582" s="94" t="s">
        <v>559</v>
      </c>
      <c r="D8582" s="798" t="s">
        <v>9126</v>
      </c>
      <c r="E8582" s="92"/>
      <c r="F8582" s="92">
        <v>1958826</v>
      </c>
      <c r="G8582" s="92">
        <f t="shared" si="139"/>
        <v>1958826</v>
      </c>
      <c r="H8582" s="261" t="s">
        <v>5545</v>
      </c>
    </row>
    <row r="8583" spans="1:9" ht="36" customHeight="1" x14ac:dyDescent="0.2">
      <c r="A8583" s="599">
        <v>43804</v>
      </c>
      <c r="B8583" s="91" t="s">
        <v>1400</v>
      </c>
      <c r="C8583" s="94" t="s">
        <v>559</v>
      </c>
      <c r="D8583" s="798" t="s">
        <v>9126</v>
      </c>
      <c r="E8583" s="92"/>
      <c r="F8583" s="92">
        <v>431946</v>
      </c>
      <c r="G8583" s="92">
        <f t="shared" si="139"/>
        <v>431946</v>
      </c>
      <c r="H8583" s="261" t="s">
        <v>5545</v>
      </c>
    </row>
    <row r="8584" spans="1:9" ht="24" customHeight="1" x14ac:dyDescent="0.2">
      <c r="A8584" s="599">
        <v>43804</v>
      </c>
      <c r="B8584" s="91" t="s">
        <v>1400</v>
      </c>
      <c r="C8584" s="94" t="s">
        <v>559</v>
      </c>
      <c r="D8584" s="798" t="s">
        <v>9127</v>
      </c>
      <c r="E8584" s="92"/>
      <c r="F8584" s="92">
        <v>158880</v>
      </c>
      <c r="G8584" s="92">
        <f t="shared" si="139"/>
        <v>158880</v>
      </c>
      <c r="H8584" s="261" t="s">
        <v>5545</v>
      </c>
    </row>
    <row r="8585" spans="1:9" ht="15" customHeight="1" x14ac:dyDescent="0.2">
      <c r="A8585" s="599">
        <v>43815</v>
      </c>
      <c r="B8585" s="91" t="s">
        <v>37</v>
      </c>
      <c r="C8585" s="94" t="s">
        <v>559</v>
      </c>
      <c r="D8585" s="801" t="s">
        <v>5586</v>
      </c>
      <c r="E8585" s="92"/>
      <c r="F8585" s="92">
        <v>157140</v>
      </c>
      <c r="G8585" s="92">
        <f t="shared" si="139"/>
        <v>157140</v>
      </c>
      <c r="H8585" s="261" t="s">
        <v>5545</v>
      </c>
    </row>
    <row r="8586" spans="1:9" ht="15" x14ac:dyDescent="0.2">
      <c r="A8586" s="599">
        <v>43818</v>
      </c>
      <c r="B8586" s="91" t="s">
        <v>5339</v>
      </c>
      <c r="C8586" s="94" t="s">
        <v>559</v>
      </c>
      <c r="D8586" s="801" t="s">
        <v>5669</v>
      </c>
      <c r="E8586" s="92"/>
      <c r="F8586" s="92">
        <v>186178</v>
      </c>
      <c r="G8586" s="92">
        <f t="shared" si="139"/>
        <v>186178</v>
      </c>
      <c r="H8586" s="261" t="s">
        <v>5545</v>
      </c>
    </row>
    <row r="8587" spans="1:9" ht="15" x14ac:dyDescent="0.2">
      <c r="A8587" s="599">
        <v>43818</v>
      </c>
      <c r="B8587" s="91" t="s">
        <v>3946</v>
      </c>
      <c r="C8587" s="94" t="s">
        <v>559</v>
      </c>
      <c r="D8587" s="801" t="s">
        <v>5589</v>
      </c>
      <c r="E8587" s="92"/>
      <c r="F8587" s="92">
        <v>295582</v>
      </c>
      <c r="G8587" s="92">
        <f t="shared" si="139"/>
        <v>295582</v>
      </c>
      <c r="H8587" s="261" t="s">
        <v>5545</v>
      </c>
    </row>
    <row r="8588" spans="1:9" ht="15" x14ac:dyDescent="0.2">
      <c r="A8588" s="599">
        <v>43822</v>
      </c>
      <c r="B8588" s="91" t="s">
        <v>3945</v>
      </c>
      <c r="C8588" s="94" t="s">
        <v>559</v>
      </c>
      <c r="D8588" s="801" t="s">
        <v>5589</v>
      </c>
      <c r="E8588" s="92"/>
      <c r="F8588" s="92">
        <v>321064</v>
      </c>
      <c r="G8588" s="92">
        <f t="shared" si="139"/>
        <v>321064</v>
      </c>
      <c r="H8588" s="261" t="s">
        <v>5545</v>
      </c>
    </row>
    <row r="8589" spans="1:9" ht="15" x14ac:dyDescent="0.2">
      <c r="A8589" s="599">
        <v>43822</v>
      </c>
      <c r="B8589" s="91" t="s">
        <v>5604</v>
      </c>
      <c r="C8589" s="94" t="s">
        <v>559</v>
      </c>
      <c r="D8589" s="798" t="s">
        <v>9128</v>
      </c>
      <c r="E8589" s="92"/>
      <c r="F8589" s="92">
        <v>250000</v>
      </c>
      <c r="G8589" s="92">
        <f t="shared" si="139"/>
        <v>250000</v>
      </c>
      <c r="H8589" s="261" t="s">
        <v>5545</v>
      </c>
    </row>
    <row r="8590" spans="1:9" ht="24" x14ac:dyDescent="0.2">
      <c r="A8590" s="599">
        <v>43822</v>
      </c>
      <c r="B8590" s="91" t="s">
        <v>5604</v>
      </c>
      <c r="C8590" s="94" t="s">
        <v>559</v>
      </c>
      <c r="D8590" s="798" t="s">
        <v>9129</v>
      </c>
      <c r="E8590" s="92"/>
      <c r="F8590" s="92">
        <v>250000</v>
      </c>
      <c r="G8590" s="92">
        <f t="shared" si="139"/>
        <v>250000</v>
      </c>
      <c r="H8590" s="261" t="s">
        <v>5545</v>
      </c>
    </row>
    <row r="8591" spans="1:9" ht="24" x14ac:dyDescent="0.2">
      <c r="A8591" s="599">
        <v>43822</v>
      </c>
      <c r="B8591" s="91" t="s">
        <v>5544</v>
      </c>
      <c r="C8591" s="94" t="s">
        <v>559</v>
      </c>
      <c r="D8591" s="798" t="s">
        <v>5657</v>
      </c>
      <c r="E8591" s="92"/>
      <c r="F8591" s="92">
        <v>363396</v>
      </c>
      <c r="G8591" s="92">
        <f t="shared" si="139"/>
        <v>363396</v>
      </c>
      <c r="H8591" s="261" t="s">
        <v>5545</v>
      </c>
    </row>
    <row r="8592" spans="1:9" ht="15" x14ac:dyDescent="0.2">
      <c r="A8592" s="599">
        <v>43823</v>
      </c>
      <c r="B8592" s="91" t="s">
        <v>5227</v>
      </c>
      <c r="C8592" s="94" t="s">
        <v>559</v>
      </c>
      <c r="D8592" s="801" t="s">
        <v>2954</v>
      </c>
      <c r="E8592" s="92"/>
      <c r="F8592" s="92">
        <v>687420</v>
      </c>
      <c r="G8592" s="92">
        <f t="shared" si="139"/>
        <v>687420</v>
      </c>
      <c r="H8592" s="261" t="s">
        <v>5545</v>
      </c>
    </row>
    <row r="8593" spans="1:8" ht="15" x14ac:dyDescent="0.2">
      <c r="A8593" s="599">
        <v>43826</v>
      </c>
      <c r="B8593" s="91" t="s">
        <v>37</v>
      </c>
      <c r="C8593" s="94" t="s">
        <v>559</v>
      </c>
      <c r="D8593" s="801" t="s">
        <v>5627</v>
      </c>
      <c r="E8593" s="92"/>
      <c r="F8593" s="92">
        <v>157140</v>
      </c>
      <c r="G8593" s="92">
        <f t="shared" si="139"/>
        <v>157140</v>
      </c>
      <c r="H8593" s="261" t="s">
        <v>5545</v>
      </c>
    </row>
    <row r="8594" spans="1:8" ht="15" x14ac:dyDescent="0.2">
      <c r="A8594" s="597">
        <v>43831</v>
      </c>
      <c r="B8594" s="222" t="s">
        <v>5641</v>
      </c>
      <c r="C8594" s="222" t="s">
        <v>3145</v>
      </c>
      <c r="D8594" s="806" t="s">
        <v>5655</v>
      </c>
      <c r="E8594" s="249">
        <v>5050</v>
      </c>
      <c r="F8594" s="249"/>
      <c r="G8594" s="249">
        <f t="shared" si="139"/>
        <v>-5050</v>
      </c>
      <c r="H8594" s="422" t="s">
        <v>5635</v>
      </c>
    </row>
    <row r="8595" spans="1:8" ht="15" x14ac:dyDescent="0.2">
      <c r="A8595" s="597">
        <v>43831</v>
      </c>
      <c r="B8595" s="222" t="s">
        <v>1400</v>
      </c>
      <c r="C8595" s="222" t="s">
        <v>286</v>
      </c>
      <c r="D8595" s="806" t="s">
        <v>3787</v>
      </c>
      <c r="E8595" s="249">
        <v>1500</v>
      </c>
      <c r="F8595" s="249"/>
      <c r="G8595" s="249">
        <f t="shared" si="139"/>
        <v>-1500</v>
      </c>
      <c r="H8595" s="422" t="s">
        <v>5635</v>
      </c>
    </row>
    <row r="8596" spans="1:8" ht="15" x14ac:dyDescent="0.2">
      <c r="A8596" s="597">
        <v>43831</v>
      </c>
      <c r="B8596" s="222" t="s">
        <v>2933</v>
      </c>
      <c r="C8596" s="222" t="s">
        <v>2503</v>
      </c>
      <c r="D8596" s="806" t="s">
        <v>940</v>
      </c>
      <c r="E8596" s="249">
        <v>25000</v>
      </c>
      <c r="F8596" s="249"/>
      <c r="G8596" s="249">
        <f t="shared" si="139"/>
        <v>-25000</v>
      </c>
      <c r="H8596" s="422" t="s">
        <v>5635</v>
      </c>
    </row>
    <row r="8597" spans="1:8" ht="15" x14ac:dyDescent="0.2">
      <c r="A8597" s="597">
        <v>43831</v>
      </c>
      <c r="B8597" s="222" t="s">
        <v>1400</v>
      </c>
      <c r="C8597" s="222" t="s">
        <v>2503</v>
      </c>
      <c r="D8597" s="806" t="s">
        <v>940</v>
      </c>
      <c r="E8597" s="249">
        <v>25000</v>
      </c>
      <c r="F8597" s="249"/>
      <c r="G8597" s="249">
        <f t="shared" si="139"/>
        <v>-25000</v>
      </c>
      <c r="H8597" s="422" t="s">
        <v>5635</v>
      </c>
    </row>
    <row r="8598" spans="1:8" ht="15" x14ac:dyDescent="0.2">
      <c r="A8598" s="597">
        <v>43831</v>
      </c>
      <c r="B8598" s="222" t="s">
        <v>2652</v>
      </c>
      <c r="C8598" s="222" t="s">
        <v>2503</v>
      </c>
      <c r="D8598" s="806" t="s">
        <v>372</v>
      </c>
      <c r="E8598" s="249">
        <v>25000</v>
      </c>
      <c r="F8598" s="249"/>
      <c r="G8598" s="249">
        <f t="shared" si="139"/>
        <v>-25000</v>
      </c>
      <c r="H8598" s="422" t="s">
        <v>5635</v>
      </c>
    </row>
    <row r="8599" spans="1:8" ht="15" x14ac:dyDescent="0.2">
      <c r="A8599" s="597">
        <v>43831</v>
      </c>
      <c r="B8599" s="222" t="s">
        <v>2933</v>
      </c>
      <c r="C8599" s="222" t="s">
        <v>2503</v>
      </c>
      <c r="D8599" s="806" t="s">
        <v>372</v>
      </c>
      <c r="E8599" s="249">
        <v>25000</v>
      </c>
      <c r="F8599" s="249"/>
      <c r="G8599" s="249">
        <f t="shared" si="139"/>
        <v>-25000</v>
      </c>
      <c r="H8599" s="422" t="s">
        <v>5635</v>
      </c>
    </row>
    <row r="8600" spans="1:8" ht="15" x14ac:dyDescent="0.2">
      <c r="A8600" s="597">
        <v>43831</v>
      </c>
      <c r="B8600" s="222" t="s">
        <v>25</v>
      </c>
      <c r="C8600" s="222" t="s">
        <v>2503</v>
      </c>
      <c r="D8600" s="806"/>
      <c r="E8600" s="249">
        <v>55000</v>
      </c>
      <c r="F8600" s="249"/>
      <c r="G8600" s="249">
        <f t="shared" si="139"/>
        <v>-55000</v>
      </c>
      <c r="H8600" s="422" t="s">
        <v>5635</v>
      </c>
    </row>
    <row r="8601" spans="1:8" ht="15" x14ac:dyDescent="0.2">
      <c r="A8601" s="597">
        <v>43831</v>
      </c>
      <c r="B8601" s="222" t="s">
        <v>16</v>
      </c>
      <c r="C8601" s="222" t="s">
        <v>2503</v>
      </c>
      <c r="D8601" s="806"/>
      <c r="E8601" s="249">
        <v>97354.838709677424</v>
      </c>
      <c r="F8601" s="249"/>
      <c r="G8601" s="249">
        <f t="shared" si="139"/>
        <v>-97354.838709677424</v>
      </c>
      <c r="H8601" s="422" t="s">
        <v>5635</v>
      </c>
    </row>
    <row r="8602" spans="1:8" ht="15" x14ac:dyDescent="0.2">
      <c r="A8602" s="597">
        <v>43831</v>
      </c>
      <c r="B8602" s="222" t="s">
        <v>3945</v>
      </c>
      <c r="C8602" s="222" t="s">
        <v>2503</v>
      </c>
      <c r="D8602" s="806"/>
      <c r="E8602" s="249">
        <v>139967.74193548388</v>
      </c>
      <c r="F8602" s="249"/>
      <c r="G8602" s="249">
        <f t="shared" si="139"/>
        <v>-139967.74193548388</v>
      </c>
      <c r="H8602" s="422" t="s">
        <v>5635</v>
      </c>
    </row>
    <row r="8603" spans="1:8" ht="15" x14ac:dyDescent="0.2">
      <c r="A8603" s="597">
        <v>43831</v>
      </c>
      <c r="B8603" s="222" t="s">
        <v>3946</v>
      </c>
      <c r="C8603" s="222" t="s">
        <v>2503</v>
      </c>
      <c r="D8603" s="806"/>
      <c r="E8603" s="249">
        <v>119838.70967741935</v>
      </c>
      <c r="F8603" s="249"/>
      <c r="G8603" s="249">
        <f t="shared" si="139"/>
        <v>-119838.70967741935</v>
      </c>
      <c r="H8603" s="422" t="s">
        <v>5635</v>
      </c>
    </row>
    <row r="8604" spans="1:8" ht="15" x14ac:dyDescent="0.2">
      <c r="A8604" s="597">
        <v>43831</v>
      </c>
      <c r="B8604" s="222" t="s">
        <v>1400</v>
      </c>
      <c r="C8604" s="222" t="s">
        <v>2503</v>
      </c>
      <c r="D8604" s="806"/>
      <c r="E8604" s="249">
        <v>408594.35483870958</v>
      </c>
      <c r="F8604" s="249"/>
      <c r="G8604" s="249">
        <f t="shared" si="139"/>
        <v>-408594.35483870958</v>
      </c>
      <c r="H8604" s="422" t="s">
        <v>5635</v>
      </c>
    </row>
    <row r="8605" spans="1:8" ht="15" x14ac:dyDescent="0.2">
      <c r="A8605" s="597">
        <v>43831</v>
      </c>
      <c r="B8605" s="222" t="s">
        <v>6516</v>
      </c>
      <c r="C8605" s="222" t="s">
        <v>2503</v>
      </c>
      <c r="D8605" s="806"/>
      <c r="E8605" s="249">
        <v>115786.29032258065</v>
      </c>
      <c r="F8605" s="249"/>
      <c r="G8605" s="249">
        <f t="shared" si="139"/>
        <v>-115786.29032258065</v>
      </c>
      <c r="H8605" s="422" t="s">
        <v>5635</v>
      </c>
    </row>
    <row r="8606" spans="1:8" ht="15" x14ac:dyDescent="0.2">
      <c r="A8606" s="597">
        <v>43831</v>
      </c>
      <c r="B8606" s="222" t="s">
        <v>37</v>
      </c>
      <c r="C8606" s="222" t="s">
        <v>2503</v>
      </c>
      <c r="D8606" s="806"/>
      <c r="E8606" s="249">
        <v>91774.366935483864</v>
      </c>
      <c r="F8606" s="249"/>
      <c r="G8606" s="249">
        <f t="shared" si="139"/>
        <v>-91774.366935483864</v>
      </c>
      <c r="H8606" s="422" t="s">
        <v>5635</v>
      </c>
    </row>
    <row r="8607" spans="1:8" ht="15" x14ac:dyDescent="0.2">
      <c r="A8607" s="597">
        <v>43831</v>
      </c>
      <c r="B8607" s="222" t="s">
        <v>2933</v>
      </c>
      <c r="C8607" s="222" t="s">
        <v>2503</v>
      </c>
      <c r="D8607" s="806"/>
      <c r="E8607" s="249">
        <v>148875</v>
      </c>
      <c r="F8607" s="249"/>
      <c r="G8607" s="249">
        <f t="shared" si="139"/>
        <v>-148875</v>
      </c>
      <c r="H8607" s="422" t="s">
        <v>5635</v>
      </c>
    </row>
    <row r="8608" spans="1:8" ht="15" x14ac:dyDescent="0.2">
      <c r="A8608" s="597">
        <v>43831</v>
      </c>
      <c r="B8608" s="222" t="s">
        <v>2652</v>
      </c>
      <c r="C8608" s="222" t="s">
        <v>2503</v>
      </c>
      <c r="D8608" s="806"/>
      <c r="E8608" s="249">
        <v>141063.50806451612</v>
      </c>
      <c r="F8608" s="249"/>
      <c r="G8608" s="249">
        <f t="shared" si="139"/>
        <v>-141063.50806451612</v>
      </c>
      <c r="H8608" s="422" t="s">
        <v>5635</v>
      </c>
    </row>
    <row r="8609" spans="1:8" ht="15" x14ac:dyDescent="0.2">
      <c r="A8609" s="597">
        <v>43831</v>
      </c>
      <c r="B8609" s="222" t="s">
        <v>5544</v>
      </c>
      <c r="C8609" s="222" t="s">
        <v>2503</v>
      </c>
      <c r="D8609" s="806"/>
      <c r="E8609" s="249">
        <v>31201.612903225807</v>
      </c>
      <c r="F8609" s="249"/>
      <c r="G8609" s="249">
        <f t="shared" si="139"/>
        <v>-31201.612903225807</v>
      </c>
      <c r="H8609" s="422" t="s">
        <v>5635</v>
      </c>
    </row>
    <row r="8610" spans="1:8" ht="15" x14ac:dyDescent="0.2">
      <c r="A8610" s="597">
        <v>43831</v>
      </c>
      <c r="B8610" s="222" t="s">
        <v>5670</v>
      </c>
      <c r="C8610" s="222" t="s">
        <v>2503</v>
      </c>
      <c r="D8610" s="806"/>
      <c r="E8610" s="249">
        <v>47741.93548387097</v>
      </c>
      <c r="F8610" s="249"/>
      <c r="G8610" s="249">
        <f t="shared" si="139"/>
        <v>-47741.93548387097</v>
      </c>
      <c r="H8610" s="422" t="s">
        <v>5635</v>
      </c>
    </row>
    <row r="8611" spans="1:8" ht="15" x14ac:dyDescent="0.2">
      <c r="A8611" s="597">
        <v>43834</v>
      </c>
      <c r="B8611" s="222" t="s">
        <v>1400</v>
      </c>
      <c r="C8611" s="222" t="s">
        <v>3145</v>
      </c>
      <c r="D8611" s="806" t="s">
        <v>4873</v>
      </c>
      <c r="E8611" s="249">
        <v>16082</v>
      </c>
      <c r="F8611" s="249"/>
      <c r="G8611" s="249">
        <f t="shared" si="139"/>
        <v>-16082</v>
      </c>
      <c r="H8611" s="422" t="s">
        <v>5635</v>
      </c>
    </row>
    <row r="8612" spans="1:8" ht="15" x14ac:dyDescent="0.2">
      <c r="A8612" s="597">
        <v>43839</v>
      </c>
      <c r="B8612" s="222" t="s">
        <v>2652</v>
      </c>
      <c r="C8612" s="222" t="s">
        <v>3145</v>
      </c>
      <c r="D8612" s="806" t="s">
        <v>4873</v>
      </c>
      <c r="E8612" s="249">
        <v>3250</v>
      </c>
      <c r="F8612" s="249"/>
      <c r="G8612" s="249">
        <f t="shared" si="139"/>
        <v>-3250</v>
      </c>
      <c r="H8612" s="422" t="s">
        <v>5635</v>
      </c>
    </row>
    <row r="8613" spans="1:8" ht="15" x14ac:dyDescent="0.2">
      <c r="A8613" s="597">
        <v>43839</v>
      </c>
      <c r="B8613" s="222" t="s">
        <v>16</v>
      </c>
      <c r="C8613" s="222" t="s">
        <v>3364</v>
      </c>
      <c r="D8613" s="806" t="s">
        <v>370</v>
      </c>
      <c r="E8613" s="249">
        <v>4200</v>
      </c>
      <c r="F8613" s="249"/>
      <c r="G8613" s="249">
        <f t="shared" si="139"/>
        <v>-4200</v>
      </c>
      <c r="H8613" s="422" t="s">
        <v>5635</v>
      </c>
    </row>
    <row r="8614" spans="1:8" ht="15" x14ac:dyDescent="0.2">
      <c r="A8614" s="597">
        <v>43841</v>
      </c>
      <c r="B8614" s="222" t="s">
        <v>1400</v>
      </c>
      <c r="C8614" s="222" t="s">
        <v>929</v>
      </c>
      <c r="D8614" s="806" t="s">
        <v>370</v>
      </c>
      <c r="E8614" s="249">
        <v>10000</v>
      </c>
      <c r="F8614" s="249"/>
      <c r="G8614" s="249">
        <f t="shared" si="139"/>
        <v>-10000</v>
      </c>
      <c r="H8614" s="422" t="s">
        <v>5635</v>
      </c>
    </row>
    <row r="8615" spans="1:8" ht="15" x14ac:dyDescent="0.2">
      <c r="A8615" s="597">
        <v>43841</v>
      </c>
      <c r="B8615" s="222" t="s">
        <v>1691</v>
      </c>
      <c r="C8615" s="222" t="s">
        <v>3145</v>
      </c>
      <c r="D8615" s="806"/>
      <c r="E8615" s="249">
        <v>500000</v>
      </c>
      <c r="F8615" s="249"/>
      <c r="G8615" s="249">
        <f t="shared" si="139"/>
        <v>-500000</v>
      </c>
      <c r="H8615" s="422" t="s">
        <v>5635</v>
      </c>
    </row>
    <row r="8616" spans="1:8" ht="15" x14ac:dyDescent="0.2">
      <c r="A8616" s="597">
        <v>43841</v>
      </c>
      <c r="B8616" s="222" t="s">
        <v>1691</v>
      </c>
      <c r="C8616" s="222" t="s">
        <v>5744</v>
      </c>
      <c r="D8616" s="806" t="s">
        <v>370</v>
      </c>
      <c r="E8616" s="249">
        <v>23625</v>
      </c>
      <c r="F8616" s="249"/>
      <c r="G8616" s="249">
        <f t="shared" si="139"/>
        <v>-23625</v>
      </c>
      <c r="H8616" s="422" t="s">
        <v>5635</v>
      </c>
    </row>
    <row r="8617" spans="1:8" ht="15" customHeight="1" x14ac:dyDescent="0.2">
      <c r="A8617" s="597">
        <v>43841</v>
      </c>
      <c r="B8617" s="222" t="s">
        <v>5671</v>
      </c>
      <c r="C8617" s="222" t="s">
        <v>3145</v>
      </c>
      <c r="D8617" s="806" t="s">
        <v>5672</v>
      </c>
      <c r="E8617" s="249">
        <v>17800</v>
      </c>
      <c r="F8617" s="249"/>
      <c r="G8617" s="249">
        <f t="shared" si="139"/>
        <v>-17800</v>
      </c>
      <c r="H8617" s="422" t="s">
        <v>5635</v>
      </c>
    </row>
    <row r="8618" spans="1:8" ht="15" x14ac:dyDescent="0.2">
      <c r="A8618" s="597">
        <v>43841</v>
      </c>
      <c r="B8618" s="222" t="s">
        <v>2933</v>
      </c>
      <c r="C8618" s="222" t="s">
        <v>3145</v>
      </c>
      <c r="D8618" s="806" t="s">
        <v>5673</v>
      </c>
      <c r="E8618" s="249">
        <v>40000</v>
      </c>
      <c r="F8618" s="249"/>
      <c r="G8618" s="249">
        <f t="shared" si="139"/>
        <v>-40000</v>
      </c>
      <c r="H8618" s="422" t="s">
        <v>5635</v>
      </c>
    </row>
    <row r="8619" spans="1:8" ht="15" x14ac:dyDescent="0.2">
      <c r="A8619" s="597">
        <v>43844</v>
      </c>
      <c r="B8619" s="222" t="s">
        <v>2933</v>
      </c>
      <c r="C8619" s="222" t="s">
        <v>3145</v>
      </c>
      <c r="D8619" s="806" t="s">
        <v>5384</v>
      </c>
      <c r="E8619" s="249">
        <v>500</v>
      </c>
      <c r="F8619" s="249"/>
      <c r="G8619" s="249">
        <f t="shared" ref="G8619:G8682" si="140">F8619-E8619</f>
        <v>-500</v>
      </c>
      <c r="H8619" s="422" t="s">
        <v>5635</v>
      </c>
    </row>
    <row r="8620" spans="1:8" ht="15" x14ac:dyDescent="0.2">
      <c r="A8620" s="597">
        <v>43844</v>
      </c>
      <c r="B8620" s="222" t="s">
        <v>6516</v>
      </c>
      <c r="C8620" s="222" t="s">
        <v>3145</v>
      </c>
      <c r="D8620" s="806" t="s">
        <v>5384</v>
      </c>
      <c r="E8620" s="249">
        <v>4000</v>
      </c>
      <c r="F8620" s="249"/>
      <c r="G8620" s="249">
        <f t="shared" si="140"/>
        <v>-4000</v>
      </c>
      <c r="H8620" s="422" t="s">
        <v>5635</v>
      </c>
    </row>
    <row r="8621" spans="1:8" ht="15" x14ac:dyDescent="0.2">
      <c r="A8621" s="597">
        <v>43844</v>
      </c>
      <c r="B8621" s="222" t="s">
        <v>37</v>
      </c>
      <c r="C8621" s="222" t="s">
        <v>3145</v>
      </c>
      <c r="D8621" s="806" t="s">
        <v>5384</v>
      </c>
      <c r="E8621" s="249">
        <v>5000</v>
      </c>
      <c r="F8621" s="249"/>
      <c r="G8621" s="249">
        <f t="shared" si="140"/>
        <v>-5000</v>
      </c>
      <c r="H8621" s="422" t="s">
        <v>5635</v>
      </c>
    </row>
    <row r="8622" spans="1:8" ht="15" x14ac:dyDescent="0.2">
      <c r="A8622" s="597">
        <v>43844</v>
      </c>
      <c r="B8622" s="222" t="s">
        <v>5671</v>
      </c>
      <c r="C8622" s="222" t="s">
        <v>3145</v>
      </c>
      <c r="D8622" s="806" t="s">
        <v>5674</v>
      </c>
      <c r="E8622" s="249">
        <v>23500</v>
      </c>
      <c r="F8622" s="249"/>
      <c r="G8622" s="249">
        <f t="shared" si="140"/>
        <v>-23500</v>
      </c>
      <c r="H8622" s="422" t="s">
        <v>5635</v>
      </c>
    </row>
    <row r="8623" spans="1:8" ht="15" x14ac:dyDescent="0.2">
      <c r="A8623" s="597">
        <v>43844</v>
      </c>
      <c r="B8623" s="222" t="s">
        <v>2652</v>
      </c>
      <c r="C8623" s="222" t="s">
        <v>3145</v>
      </c>
      <c r="D8623" s="806" t="s">
        <v>4181</v>
      </c>
      <c r="E8623" s="249">
        <v>3050</v>
      </c>
      <c r="F8623" s="249"/>
      <c r="G8623" s="249">
        <f t="shared" si="140"/>
        <v>-3050</v>
      </c>
      <c r="H8623" s="422" t="s">
        <v>5635</v>
      </c>
    </row>
    <row r="8624" spans="1:8" ht="15" x14ac:dyDescent="0.2">
      <c r="A8624" s="597">
        <v>43844</v>
      </c>
      <c r="B8624" s="222" t="s">
        <v>2933</v>
      </c>
      <c r="C8624" s="222" t="s">
        <v>3145</v>
      </c>
      <c r="D8624" s="806" t="s">
        <v>4181</v>
      </c>
      <c r="E8624" s="249">
        <f>1150+2808</f>
        <v>3958</v>
      </c>
      <c r="F8624" s="249"/>
      <c r="G8624" s="249">
        <f t="shared" si="140"/>
        <v>-3958</v>
      </c>
      <c r="H8624" s="422" t="s">
        <v>5635</v>
      </c>
    </row>
    <row r="8625" spans="1:8" ht="15" x14ac:dyDescent="0.2">
      <c r="A8625" s="597">
        <v>43844</v>
      </c>
      <c r="B8625" s="222" t="s">
        <v>5641</v>
      </c>
      <c r="C8625" s="222" t="s">
        <v>3145</v>
      </c>
      <c r="D8625" s="806" t="s">
        <v>4181</v>
      </c>
      <c r="E8625" s="249">
        <v>870</v>
      </c>
      <c r="F8625" s="249"/>
      <c r="G8625" s="249">
        <f t="shared" si="140"/>
        <v>-870</v>
      </c>
      <c r="H8625" s="422" t="s">
        <v>5635</v>
      </c>
    </row>
    <row r="8626" spans="1:8" ht="15" x14ac:dyDescent="0.2">
      <c r="A8626" s="597">
        <v>43844</v>
      </c>
      <c r="B8626" s="222" t="s">
        <v>1400</v>
      </c>
      <c r="C8626" s="222" t="s">
        <v>3145</v>
      </c>
      <c r="D8626" s="806" t="s">
        <v>3977</v>
      </c>
      <c r="E8626" s="249">
        <v>19998</v>
      </c>
      <c r="F8626" s="249"/>
      <c r="G8626" s="249">
        <f t="shared" si="140"/>
        <v>-19998</v>
      </c>
      <c r="H8626" s="422" t="s">
        <v>5635</v>
      </c>
    </row>
    <row r="8627" spans="1:8" ht="15" x14ac:dyDescent="0.2">
      <c r="A8627" s="597">
        <v>43844</v>
      </c>
      <c r="B8627" s="222" t="s">
        <v>4721</v>
      </c>
      <c r="C8627" s="222" t="s">
        <v>3145</v>
      </c>
      <c r="D8627" s="806" t="s">
        <v>3977</v>
      </c>
      <c r="E8627" s="249">
        <v>72093</v>
      </c>
      <c r="F8627" s="249"/>
      <c r="G8627" s="249">
        <f t="shared" si="140"/>
        <v>-72093</v>
      </c>
      <c r="H8627" s="422" t="s">
        <v>5635</v>
      </c>
    </row>
    <row r="8628" spans="1:8" ht="15" x14ac:dyDescent="0.2">
      <c r="A8628" s="597">
        <v>43844</v>
      </c>
      <c r="B8628" s="222" t="s">
        <v>1400</v>
      </c>
      <c r="C8628" s="222" t="s">
        <v>3145</v>
      </c>
      <c r="D8628" s="806" t="s">
        <v>5694</v>
      </c>
      <c r="E8628" s="249">
        <v>51341</v>
      </c>
      <c r="F8628" s="249"/>
      <c r="G8628" s="249">
        <f t="shared" si="140"/>
        <v>-51341</v>
      </c>
      <c r="H8628" s="422" t="s">
        <v>5635</v>
      </c>
    </row>
    <row r="8629" spans="1:8" ht="15" customHeight="1" x14ac:dyDescent="0.2">
      <c r="A8629" s="597">
        <v>43844</v>
      </c>
      <c r="B8629" s="222" t="s">
        <v>1400</v>
      </c>
      <c r="C8629" s="222" t="s">
        <v>4730</v>
      </c>
      <c r="D8629" s="806" t="s">
        <v>370</v>
      </c>
      <c r="E8629" s="249">
        <v>14100</v>
      </c>
      <c r="F8629" s="249"/>
      <c r="G8629" s="249">
        <f t="shared" si="140"/>
        <v>-14100</v>
      </c>
      <c r="H8629" s="422" t="s">
        <v>5635</v>
      </c>
    </row>
    <row r="8630" spans="1:8" ht="15" x14ac:dyDescent="0.2">
      <c r="A8630" s="597">
        <v>43844</v>
      </c>
      <c r="B8630" s="222" t="s">
        <v>4553</v>
      </c>
      <c r="C8630" s="222" t="s">
        <v>3145</v>
      </c>
      <c r="D8630" s="806" t="s">
        <v>5695</v>
      </c>
      <c r="E8630" s="249">
        <v>8000</v>
      </c>
      <c r="F8630" s="249"/>
      <c r="G8630" s="249">
        <f t="shared" si="140"/>
        <v>-8000</v>
      </c>
      <c r="H8630" s="422" t="s">
        <v>5635</v>
      </c>
    </row>
    <row r="8631" spans="1:8" ht="15" x14ac:dyDescent="0.2">
      <c r="A8631" s="597">
        <v>43845</v>
      </c>
      <c r="B8631" s="222" t="s">
        <v>5641</v>
      </c>
      <c r="C8631" s="222" t="s">
        <v>3145</v>
      </c>
      <c r="D8631" s="806" t="s">
        <v>4181</v>
      </c>
      <c r="E8631" s="249">
        <v>8422</v>
      </c>
      <c r="F8631" s="249"/>
      <c r="G8631" s="249">
        <f t="shared" si="140"/>
        <v>-8422</v>
      </c>
      <c r="H8631" s="422" t="s">
        <v>5635</v>
      </c>
    </row>
    <row r="8632" spans="1:8" ht="15" x14ac:dyDescent="0.2">
      <c r="A8632" s="597">
        <v>43845</v>
      </c>
      <c r="B8632" s="222" t="s">
        <v>2933</v>
      </c>
      <c r="C8632" s="222" t="s">
        <v>3145</v>
      </c>
      <c r="D8632" s="806" t="s">
        <v>5696</v>
      </c>
      <c r="E8632" s="249">
        <v>10100</v>
      </c>
      <c r="F8632" s="249"/>
      <c r="G8632" s="249">
        <f t="shared" si="140"/>
        <v>-10100</v>
      </c>
      <c r="H8632" s="422" t="s">
        <v>5635</v>
      </c>
    </row>
    <row r="8633" spans="1:8" ht="15" x14ac:dyDescent="0.2">
      <c r="A8633" s="597">
        <v>43847</v>
      </c>
      <c r="B8633" s="222" t="s">
        <v>4721</v>
      </c>
      <c r="C8633" s="222" t="s">
        <v>3145</v>
      </c>
      <c r="D8633" s="806" t="s">
        <v>5697</v>
      </c>
      <c r="E8633" s="249">
        <v>8210</v>
      </c>
      <c r="F8633" s="249"/>
      <c r="G8633" s="249">
        <f t="shared" si="140"/>
        <v>-8210</v>
      </c>
      <c r="H8633" s="422" t="s">
        <v>5635</v>
      </c>
    </row>
    <row r="8634" spans="1:8" ht="15" x14ac:dyDescent="0.2">
      <c r="A8634" s="597">
        <v>43847</v>
      </c>
      <c r="B8634" s="222" t="s">
        <v>2652</v>
      </c>
      <c r="C8634" s="222" t="s">
        <v>286</v>
      </c>
      <c r="D8634" s="806" t="s">
        <v>3787</v>
      </c>
      <c r="E8634" s="249">
        <v>2500</v>
      </c>
      <c r="F8634" s="249"/>
      <c r="G8634" s="249">
        <f t="shared" si="140"/>
        <v>-2500</v>
      </c>
      <c r="H8634" s="422" t="s">
        <v>5635</v>
      </c>
    </row>
    <row r="8635" spans="1:8" ht="15" x14ac:dyDescent="0.2">
      <c r="A8635" s="597">
        <v>43847</v>
      </c>
      <c r="B8635" s="222" t="s">
        <v>2933</v>
      </c>
      <c r="C8635" s="222" t="s">
        <v>286</v>
      </c>
      <c r="D8635" s="806" t="s">
        <v>3787</v>
      </c>
      <c r="E8635" s="249">
        <v>2500</v>
      </c>
      <c r="F8635" s="249"/>
      <c r="G8635" s="249">
        <f t="shared" si="140"/>
        <v>-2500</v>
      </c>
      <c r="H8635" s="422" t="s">
        <v>5635</v>
      </c>
    </row>
    <row r="8636" spans="1:8" ht="15" x14ac:dyDescent="0.2">
      <c r="A8636" s="597">
        <v>43847</v>
      </c>
      <c r="B8636" s="222" t="s">
        <v>5544</v>
      </c>
      <c r="C8636" s="222" t="s">
        <v>3145</v>
      </c>
      <c r="D8636" s="806" t="s">
        <v>5698</v>
      </c>
      <c r="E8636" s="249">
        <v>315</v>
      </c>
      <c r="F8636" s="249"/>
      <c r="G8636" s="249">
        <f t="shared" si="140"/>
        <v>-315</v>
      </c>
      <c r="H8636" s="422" t="s">
        <v>5635</v>
      </c>
    </row>
    <row r="8637" spans="1:8" ht="15" x14ac:dyDescent="0.2">
      <c r="A8637" s="597">
        <v>43852</v>
      </c>
      <c r="B8637" s="222" t="s">
        <v>25</v>
      </c>
      <c r="C8637" s="222" t="s">
        <v>1689</v>
      </c>
      <c r="D8637" s="806" t="s">
        <v>370</v>
      </c>
      <c r="E8637" s="249">
        <v>18550</v>
      </c>
      <c r="F8637" s="249"/>
      <c r="G8637" s="249">
        <f t="shared" si="140"/>
        <v>-18550</v>
      </c>
      <c r="H8637" s="422" t="s">
        <v>5635</v>
      </c>
    </row>
    <row r="8638" spans="1:8" ht="15" x14ac:dyDescent="0.2">
      <c r="A8638" s="597">
        <v>43852</v>
      </c>
      <c r="B8638" s="222" t="s">
        <v>16</v>
      </c>
      <c r="C8638" s="222" t="s">
        <v>1689</v>
      </c>
      <c r="D8638" s="806" t="s">
        <v>370</v>
      </c>
      <c r="E8638" s="249">
        <v>5538</v>
      </c>
      <c r="F8638" s="249"/>
      <c r="G8638" s="249">
        <f t="shared" si="140"/>
        <v>-5538</v>
      </c>
      <c r="H8638" s="422" t="s">
        <v>5635</v>
      </c>
    </row>
    <row r="8639" spans="1:8" ht="15" x14ac:dyDescent="0.2">
      <c r="A8639" s="597">
        <v>43852</v>
      </c>
      <c r="B8639" s="222" t="s">
        <v>4721</v>
      </c>
      <c r="C8639" s="222" t="s">
        <v>3428</v>
      </c>
      <c r="D8639" s="806" t="s">
        <v>5699</v>
      </c>
      <c r="E8639" s="249">
        <v>100000</v>
      </c>
      <c r="F8639" s="249"/>
      <c r="G8639" s="249">
        <f t="shared" si="140"/>
        <v>-100000</v>
      </c>
      <c r="H8639" s="422" t="s">
        <v>5635</v>
      </c>
    </row>
    <row r="8640" spans="1:8" ht="15" x14ac:dyDescent="0.2">
      <c r="A8640" s="597">
        <v>43852</v>
      </c>
      <c r="B8640" s="222" t="s">
        <v>5604</v>
      </c>
      <c r="C8640" s="222" t="s">
        <v>3145</v>
      </c>
      <c r="D8640" s="806" t="s">
        <v>5700</v>
      </c>
      <c r="E8640" s="249">
        <v>14500</v>
      </c>
      <c r="F8640" s="249"/>
      <c r="G8640" s="249">
        <f t="shared" si="140"/>
        <v>-14500</v>
      </c>
      <c r="H8640" s="422" t="s">
        <v>5635</v>
      </c>
    </row>
    <row r="8641" spans="1:8" ht="15" x14ac:dyDescent="0.2">
      <c r="A8641" s="597">
        <v>43852</v>
      </c>
      <c r="B8641" s="222" t="s">
        <v>2933</v>
      </c>
      <c r="C8641" s="222" t="s">
        <v>3145</v>
      </c>
      <c r="D8641" s="806" t="s">
        <v>5701</v>
      </c>
      <c r="E8641" s="249">
        <v>8160</v>
      </c>
      <c r="F8641" s="249"/>
      <c r="G8641" s="249">
        <f t="shared" si="140"/>
        <v>-8160</v>
      </c>
      <c r="H8641" s="422" t="s">
        <v>5635</v>
      </c>
    </row>
    <row r="8642" spans="1:8" ht="15" x14ac:dyDescent="0.2">
      <c r="A8642" s="597">
        <v>43852</v>
      </c>
      <c r="B8642" s="222" t="s">
        <v>2933</v>
      </c>
      <c r="C8642" s="222" t="s">
        <v>3145</v>
      </c>
      <c r="D8642" s="806" t="s">
        <v>5701</v>
      </c>
      <c r="E8642" s="249">
        <v>41595</v>
      </c>
      <c r="F8642" s="249"/>
      <c r="G8642" s="249">
        <f t="shared" si="140"/>
        <v>-41595</v>
      </c>
      <c r="H8642" s="422" t="s">
        <v>5635</v>
      </c>
    </row>
    <row r="8643" spans="1:8" ht="15" x14ac:dyDescent="0.2">
      <c r="A8643" s="597">
        <v>43852</v>
      </c>
      <c r="B8643" s="222" t="s">
        <v>4721</v>
      </c>
      <c r="C8643" s="222" t="s">
        <v>3145</v>
      </c>
      <c r="D8643" s="806" t="s">
        <v>4283</v>
      </c>
      <c r="E8643" s="249">
        <v>56219</v>
      </c>
      <c r="F8643" s="249"/>
      <c r="G8643" s="249">
        <f t="shared" si="140"/>
        <v>-56219</v>
      </c>
      <c r="H8643" s="422" t="s">
        <v>5635</v>
      </c>
    </row>
    <row r="8644" spans="1:8" ht="15" x14ac:dyDescent="0.2">
      <c r="A8644" s="597">
        <v>43852</v>
      </c>
      <c r="B8644" s="222" t="s">
        <v>3946</v>
      </c>
      <c r="C8644" s="222" t="s">
        <v>3145</v>
      </c>
      <c r="D8644" s="806" t="s">
        <v>5707</v>
      </c>
      <c r="E8644" s="249">
        <v>1730</v>
      </c>
      <c r="F8644" s="249"/>
      <c r="G8644" s="249">
        <f t="shared" si="140"/>
        <v>-1730</v>
      </c>
      <c r="H8644" s="422" t="s">
        <v>5635</v>
      </c>
    </row>
    <row r="8645" spans="1:8" ht="15" x14ac:dyDescent="0.2">
      <c r="A8645" s="597">
        <v>43852</v>
      </c>
      <c r="B8645" s="222" t="s">
        <v>25</v>
      </c>
      <c r="C8645" s="222" t="s">
        <v>4428</v>
      </c>
      <c r="D8645" s="806"/>
      <c r="E8645" s="249">
        <v>650</v>
      </c>
      <c r="F8645" s="249"/>
      <c r="G8645" s="249">
        <f t="shared" si="140"/>
        <v>-650</v>
      </c>
      <c r="H8645" s="422" t="s">
        <v>5635</v>
      </c>
    </row>
    <row r="8646" spans="1:8" ht="15" x14ac:dyDescent="0.2">
      <c r="A8646" s="597">
        <v>43852</v>
      </c>
      <c r="B8646" s="222" t="s">
        <v>37</v>
      </c>
      <c r="C8646" s="222" t="s">
        <v>286</v>
      </c>
      <c r="D8646" s="806" t="s">
        <v>370</v>
      </c>
      <c r="E8646" s="249">
        <v>4000</v>
      </c>
      <c r="F8646" s="249"/>
      <c r="G8646" s="249">
        <f t="shared" si="140"/>
        <v>-4000</v>
      </c>
      <c r="H8646" s="422" t="s">
        <v>5635</v>
      </c>
    </row>
    <row r="8647" spans="1:8" ht="15" customHeight="1" x14ac:dyDescent="0.2">
      <c r="A8647" s="597">
        <v>43852</v>
      </c>
      <c r="B8647" s="222" t="s">
        <v>5641</v>
      </c>
      <c r="C8647" s="222" t="s">
        <v>3145</v>
      </c>
      <c r="D8647" s="806" t="s">
        <v>4181</v>
      </c>
      <c r="E8647" s="249">
        <v>8900</v>
      </c>
      <c r="F8647" s="249"/>
      <c r="G8647" s="249">
        <f t="shared" si="140"/>
        <v>-8900</v>
      </c>
      <c r="H8647" s="422" t="s">
        <v>5635</v>
      </c>
    </row>
    <row r="8648" spans="1:8" ht="15" customHeight="1" x14ac:dyDescent="0.2">
      <c r="A8648" s="597">
        <v>43852</v>
      </c>
      <c r="B8648" s="222" t="s">
        <v>5641</v>
      </c>
      <c r="C8648" s="222" t="s">
        <v>3145</v>
      </c>
      <c r="D8648" s="806" t="s">
        <v>4181</v>
      </c>
      <c r="E8648" s="249">
        <f>3962+1210</f>
        <v>5172</v>
      </c>
      <c r="F8648" s="249"/>
      <c r="G8648" s="249">
        <f t="shared" si="140"/>
        <v>-5172</v>
      </c>
      <c r="H8648" s="422" t="s">
        <v>5635</v>
      </c>
    </row>
    <row r="8649" spans="1:8" ht="15" x14ac:dyDescent="0.2">
      <c r="A8649" s="597">
        <v>43852</v>
      </c>
      <c r="B8649" s="222" t="s">
        <v>5641</v>
      </c>
      <c r="C8649" s="222" t="s">
        <v>3145</v>
      </c>
      <c r="D8649" s="806" t="s">
        <v>4181</v>
      </c>
      <c r="E8649" s="249">
        <v>9750</v>
      </c>
      <c r="F8649" s="249"/>
      <c r="G8649" s="249">
        <f t="shared" si="140"/>
        <v>-9750</v>
      </c>
      <c r="H8649" s="422" t="s">
        <v>5635</v>
      </c>
    </row>
    <row r="8650" spans="1:8" ht="15" x14ac:dyDescent="0.2">
      <c r="A8650" s="597">
        <v>43854</v>
      </c>
      <c r="B8650" s="222" t="s">
        <v>2933</v>
      </c>
      <c r="C8650" s="222" t="s">
        <v>3145</v>
      </c>
      <c r="D8650" s="806" t="s">
        <v>5708</v>
      </c>
      <c r="E8650" s="249">
        <v>83587</v>
      </c>
      <c r="F8650" s="249"/>
      <c r="G8650" s="249">
        <f t="shared" si="140"/>
        <v>-83587</v>
      </c>
      <c r="H8650" s="422" t="s">
        <v>5635</v>
      </c>
    </row>
    <row r="8651" spans="1:8" ht="15" x14ac:dyDescent="0.2">
      <c r="A8651" s="597">
        <v>43854</v>
      </c>
      <c r="B8651" s="222" t="s">
        <v>5604</v>
      </c>
      <c r="C8651" s="222" t="s">
        <v>3145</v>
      </c>
      <c r="D8651" s="806" t="s">
        <v>5716</v>
      </c>
      <c r="E8651" s="249">
        <v>2800</v>
      </c>
      <c r="F8651" s="249"/>
      <c r="G8651" s="249">
        <f t="shared" si="140"/>
        <v>-2800</v>
      </c>
      <c r="H8651" s="422" t="s">
        <v>5635</v>
      </c>
    </row>
    <row r="8652" spans="1:8" ht="15" x14ac:dyDescent="0.2">
      <c r="A8652" s="597">
        <v>43854</v>
      </c>
      <c r="B8652" s="222" t="s">
        <v>5641</v>
      </c>
      <c r="C8652" s="222" t="s">
        <v>3145</v>
      </c>
      <c r="D8652" s="806" t="s">
        <v>5714</v>
      </c>
      <c r="E8652" s="249">
        <v>5429</v>
      </c>
      <c r="F8652" s="249"/>
      <c r="G8652" s="249">
        <f t="shared" si="140"/>
        <v>-5429</v>
      </c>
      <c r="H8652" s="422" t="s">
        <v>5635</v>
      </c>
    </row>
    <row r="8653" spans="1:8" ht="15" x14ac:dyDescent="0.2">
      <c r="A8653" s="597">
        <v>43854</v>
      </c>
      <c r="B8653" s="222" t="s">
        <v>5604</v>
      </c>
      <c r="C8653" s="222" t="s">
        <v>3145</v>
      </c>
      <c r="D8653" s="806" t="s">
        <v>5715</v>
      </c>
      <c r="E8653" s="249">
        <v>14955</v>
      </c>
      <c r="F8653" s="249"/>
      <c r="G8653" s="249">
        <f t="shared" si="140"/>
        <v>-14955</v>
      </c>
      <c r="H8653" s="422" t="s">
        <v>5635</v>
      </c>
    </row>
    <row r="8654" spans="1:8" ht="15" x14ac:dyDescent="0.2">
      <c r="A8654" s="597">
        <v>43855</v>
      </c>
      <c r="B8654" s="222" t="s">
        <v>5641</v>
      </c>
      <c r="C8654" s="222" t="s">
        <v>3145</v>
      </c>
      <c r="D8654" s="806" t="s">
        <v>5717</v>
      </c>
      <c r="E8654" s="249">
        <v>21400</v>
      </c>
      <c r="F8654" s="249"/>
      <c r="G8654" s="249">
        <f t="shared" si="140"/>
        <v>-21400</v>
      </c>
      <c r="H8654" s="422" t="s">
        <v>5635</v>
      </c>
    </row>
    <row r="8655" spans="1:8" ht="15" x14ac:dyDescent="0.2">
      <c r="A8655" s="597">
        <v>43855</v>
      </c>
      <c r="B8655" s="222" t="s">
        <v>5641</v>
      </c>
      <c r="C8655" s="222" t="s">
        <v>3145</v>
      </c>
      <c r="D8655" s="806" t="s">
        <v>5718</v>
      </c>
      <c r="E8655" s="249">
        <v>1900</v>
      </c>
      <c r="F8655" s="249"/>
      <c r="G8655" s="249">
        <f t="shared" si="140"/>
        <v>-1900</v>
      </c>
      <c r="H8655" s="422" t="s">
        <v>5635</v>
      </c>
    </row>
    <row r="8656" spans="1:8" ht="15" x14ac:dyDescent="0.2">
      <c r="A8656" s="597">
        <v>43857</v>
      </c>
      <c r="B8656" s="222" t="s">
        <v>2652</v>
      </c>
      <c r="C8656" s="222" t="s">
        <v>3145</v>
      </c>
      <c r="D8656" s="806" t="s">
        <v>5719</v>
      </c>
      <c r="E8656" s="249">
        <v>8000</v>
      </c>
      <c r="F8656" s="249"/>
      <c r="G8656" s="249">
        <f t="shared" si="140"/>
        <v>-8000</v>
      </c>
      <c r="H8656" s="422" t="s">
        <v>5635</v>
      </c>
    </row>
    <row r="8657" spans="1:9" ht="15" x14ac:dyDescent="0.2">
      <c r="A8657" s="597">
        <v>43857</v>
      </c>
      <c r="B8657" s="222" t="s">
        <v>5641</v>
      </c>
      <c r="C8657" s="222" t="s">
        <v>3145</v>
      </c>
      <c r="D8657" s="806" t="s">
        <v>4873</v>
      </c>
      <c r="E8657" s="249">
        <v>19578</v>
      </c>
      <c r="F8657" s="249"/>
      <c r="G8657" s="249">
        <f t="shared" si="140"/>
        <v>-19578</v>
      </c>
      <c r="H8657" s="422" t="s">
        <v>5635</v>
      </c>
    </row>
    <row r="8658" spans="1:9" ht="15" x14ac:dyDescent="0.2">
      <c r="A8658" s="597">
        <v>43857</v>
      </c>
      <c r="B8658" s="222" t="s">
        <v>5641</v>
      </c>
      <c r="C8658" s="222" t="s">
        <v>3145</v>
      </c>
      <c r="D8658" s="806" t="s">
        <v>4873</v>
      </c>
      <c r="E8658" s="249">
        <v>4764</v>
      </c>
      <c r="F8658" s="249"/>
      <c r="G8658" s="249">
        <f t="shared" si="140"/>
        <v>-4764</v>
      </c>
      <c r="H8658" s="422" t="s">
        <v>5635</v>
      </c>
    </row>
    <row r="8659" spans="1:9" ht="15" x14ac:dyDescent="0.2">
      <c r="A8659" s="597">
        <v>43859</v>
      </c>
      <c r="B8659" s="222" t="s">
        <v>5641</v>
      </c>
      <c r="C8659" s="222" t="s">
        <v>3145</v>
      </c>
      <c r="D8659" s="806" t="s">
        <v>4873</v>
      </c>
      <c r="E8659" s="249">
        <v>2265</v>
      </c>
      <c r="F8659" s="249"/>
      <c r="G8659" s="249">
        <f t="shared" si="140"/>
        <v>-2265</v>
      </c>
      <c r="H8659" s="422" t="s">
        <v>5635</v>
      </c>
    </row>
    <row r="8660" spans="1:9" ht="15" x14ac:dyDescent="0.2">
      <c r="A8660" s="597">
        <v>43859</v>
      </c>
      <c r="B8660" s="222" t="s">
        <v>5641</v>
      </c>
      <c r="C8660" s="222" t="s">
        <v>5741</v>
      </c>
      <c r="D8660" s="806" t="s">
        <v>5742</v>
      </c>
      <c r="E8660" s="249">
        <v>3000</v>
      </c>
      <c r="F8660" s="249"/>
      <c r="G8660" s="249">
        <f t="shared" si="140"/>
        <v>-3000</v>
      </c>
      <c r="H8660" s="422" t="s">
        <v>5635</v>
      </c>
    </row>
    <row r="8661" spans="1:9" ht="15" x14ac:dyDescent="0.2">
      <c r="A8661" s="597">
        <v>43859</v>
      </c>
      <c r="B8661" s="222" t="s">
        <v>5604</v>
      </c>
      <c r="C8661" s="222" t="s">
        <v>5741</v>
      </c>
      <c r="D8661" s="806" t="s">
        <v>5743</v>
      </c>
      <c r="E8661" s="249">
        <v>1000</v>
      </c>
      <c r="F8661" s="249"/>
      <c r="G8661" s="249">
        <f t="shared" si="140"/>
        <v>-1000</v>
      </c>
      <c r="H8661" s="422" t="s">
        <v>5635</v>
      </c>
    </row>
    <row r="8662" spans="1:9" ht="15" x14ac:dyDescent="0.2">
      <c r="A8662" s="597">
        <v>43859</v>
      </c>
      <c r="B8662" s="222" t="s">
        <v>1400</v>
      </c>
      <c r="C8662" s="222" t="s">
        <v>2515</v>
      </c>
      <c r="D8662" s="806" t="s">
        <v>370</v>
      </c>
      <c r="E8662" s="249">
        <v>2000</v>
      </c>
      <c r="F8662" s="249"/>
      <c r="G8662" s="249">
        <f t="shared" si="140"/>
        <v>-2000</v>
      </c>
      <c r="H8662" s="422" t="s">
        <v>5635</v>
      </c>
    </row>
    <row r="8663" spans="1:9" ht="15" x14ac:dyDescent="0.2">
      <c r="A8663" s="597">
        <v>43861</v>
      </c>
      <c r="B8663" s="222" t="s">
        <v>2652</v>
      </c>
      <c r="C8663" s="222" t="s">
        <v>5741</v>
      </c>
      <c r="D8663" s="806" t="s">
        <v>370</v>
      </c>
      <c r="E8663" s="249">
        <v>2000</v>
      </c>
      <c r="F8663" s="249"/>
      <c r="G8663" s="249">
        <f t="shared" si="140"/>
        <v>-2000</v>
      </c>
      <c r="H8663" s="422" t="s">
        <v>5635</v>
      </c>
    </row>
    <row r="8664" spans="1:9" ht="15" x14ac:dyDescent="0.2">
      <c r="A8664" s="597">
        <v>43861</v>
      </c>
      <c r="B8664" s="222" t="s">
        <v>1400</v>
      </c>
      <c r="C8664" s="222" t="s">
        <v>929</v>
      </c>
      <c r="D8664" s="806" t="s">
        <v>370</v>
      </c>
      <c r="E8664" s="249">
        <v>15000</v>
      </c>
      <c r="F8664" s="249"/>
      <c r="G8664" s="249">
        <f t="shared" si="140"/>
        <v>-15000</v>
      </c>
      <c r="H8664" s="422" t="s">
        <v>5635</v>
      </c>
    </row>
    <row r="8665" spans="1:9" ht="15" x14ac:dyDescent="0.2">
      <c r="A8665" s="597">
        <v>43861</v>
      </c>
      <c r="B8665" s="222" t="s">
        <v>16</v>
      </c>
      <c r="C8665" s="222" t="s">
        <v>463</v>
      </c>
      <c r="D8665" s="827" t="s">
        <v>5584</v>
      </c>
      <c r="E8665" s="249">
        <v>19970</v>
      </c>
      <c r="F8665" s="249"/>
      <c r="G8665" s="249">
        <f t="shared" si="140"/>
        <v>-19970</v>
      </c>
      <c r="H8665" s="422" t="s">
        <v>5635</v>
      </c>
    </row>
    <row r="8666" spans="1:9" ht="15" x14ac:dyDescent="0.2">
      <c r="A8666" s="602">
        <v>43831</v>
      </c>
      <c r="B8666" s="240" t="s">
        <v>1400</v>
      </c>
      <c r="C8666" s="240" t="s">
        <v>5636</v>
      </c>
      <c r="D8666" s="837" t="s">
        <v>5637</v>
      </c>
      <c r="E8666" s="241">
        <v>100250</v>
      </c>
      <c r="F8666" s="241"/>
      <c r="G8666" s="241">
        <f t="shared" si="140"/>
        <v>-100250</v>
      </c>
      <c r="H8666" s="396" t="s">
        <v>5635</v>
      </c>
      <c r="I8666" s="40"/>
    </row>
    <row r="8667" spans="1:9" ht="48" x14ac:dyDescent="0.2">
      <c r="A8667" s="602">
        <v>43831</v>
      </c>
      <c r="B8667" s="122" t="s">
        <v>1400</v>
      </c>
      <c r="C8667" s="240" t="s">
        <v>5636</v>
      </c>
      <c r="D8667" s="837" t="s">
        <v>5638</v>
      </c>
      <c r="E8667" s="123">
        <v>195000</v>
      </c>
      <c r="F8667" s="123"/>
      <c r="G8667" s="241">
        <f t="shared" si="140"/>
        <v>-195000</v>
      </c>
      <c r="H8667" s="396" t="s">
        <v>5635</v>
      </c>
    </row>
    <row r="8668" spans="1:9" ht="24" x14ac:dyDescent="0.2">
      <c r="A8668" s="602">
        <v>43831</v>
      </c>
      <c r="B8668" s="122" t="s">
        <v>5544</v>
      </c>
      <c r="C8668" s="122" t="s">
        <v>5639</v>
      </c>
      <c r="D8668" s="837" t="s">
        <v>5640</v>
      </c>
      <c r="E8668" s="123">
        <v>52500</v>
      </c>
      <c r="F8668" s="123"/>
      <c r="G8668" s="241">
        <f t="shared" si="140"/>
        <v>-52500</v>
      </c>
      <c r="H8668" s="396" t="s">
        <v>5635</v>
      </c>
    </row>
    <row r="8669" spans="1:9" ht="15" x14ac:dyDescent="0.2">
      <c r="A8669" s="602">
        <v>43831</v>
      </c>
      <c r="B8669" s="122" t="s">
        <v>5641</v>
      </c>
      <c r="C8669" s="122" t="s">
        <v>3145</v>
      </c>
      <c r="D8669" s="812" t="s">
        <v>5642</v>
      </c>
      <c r="E8669" s="123">
        <v>10000</v>
      </c>
      <c r="F8669" s="123"/>
      <c r="G8669" s="123">
        <f t="shared" si="140"/>
        <v>-10000</v>
      </c>
      <c r="H8669" s="396" t="s">
        <v>5635</v>
      </c>
    </row>
    <row r="8670" spans="1:9" ht="15" x14ac:dyDescent="0.2">
      <c r="A8670" s="602">
        <v>43832</v>
      </c>
      <c r="B8670" s="122" t="s">
        <v>2652</v>
      </c>
      <c r="C8670" s="122" t="s">
        <v>5643</v>
      </c>
      <c r="D8670" s="812" t="s">
        <v>5644</v>
      </c>
      <c r="E8670" s="123">
        <v>100000</v>
      </c>
      <c r="F8670" s="123"/>
      <c r="G8670" s="123">
        <f t="shared" si="140"/>
        <v>-100000</v>
      </c>
      <c r="H8670" s="396" t="s">
        <v>5635</v>
      </c>
    </row>
    <row r="8671" spans="1:9" ht="15" x14ac:dyDescent="0.2">
      <c r="A8671" s="602">
        <v>43832</v>
      </c>
      <c r="B8671" s="122" t="s">
        <v>2652</v>
      </c>
      <c r="C8671" s="122" t="s">
        <v>5643</v>
      </c>
      <c r="D8671" s="812" t="s">
        <v>5645</v>
      </c>
      <c r="E8671" s="123">
        <v>120000</v>
      </c>
      <c r="F8671" s="123"/>
      <c r="G8671" s="123">
        <f t="shared" si="140"/>
        <v>-120000</v>
      </c>
      <c r="H8671" s="396" t="s">
        <v>5635</v>
      </c>
    </row>
    <row r="8672" spans="1:9" ht="15" x14ac:dyDescent="0.2">
      <c r="A8672" s="602">
        <v>43832</v>
      </c>
      <c r="B8672" s="122" t="s">
        <v>1400</v>
      </c>
      <c r="C8672" s="122" t="s">
        <v>3011</v>
      </c>
      <c r="D8672" s="812" t="s">
        <v>5647</v>
      </c>
      <c r="E8672" s="123">
        <v>14000</v>
      </c>
      <c r="F8672" s="123"/>
      <c r="G8672" s="123">
        <f t="shared" si="140"/>
        <v>-14000</v>
      </c>
      <c r="H8672" s="396" t="s">
        <v>5635</v>
      </c>
    </row>
    <row r="8673" spans="1:8" ht="15" x14ac:dyDescent="0.2">
      <c r="A8673" s="602">
        <v>43832</v>
      </c>
      <c r="B8673" s="122" t="s">
        <v>3946</v>
      </c>
      <c r="C8673" s="122" t="s">
        <v>3011</v>
      </c>
      <c r="D8673" s="812" t="s">
        <v>5647</v>
      </c>
      <c r="E8673" s="123">
        <v>10000</v>
      </c>
      <c r="F8673" s="123"/>
      <c r="G8673" s="123">
        <f t="shared" si="140"/>
        <v>-10000</v>
      </c>
      <c r="H8673" s="396" t="s">
        <v>5635</v>
      </c>
    </row>
    <row r="8674" spans="1:8" ht="15" x14ac:dyDescent="0.2">
      <c r="A8674" s="602">
        <v>43832</v>
      </c>
      <c r="B8674" s="122" t="s">
        <v>2652</v>
      </c>
      <c r="C8674" s="122" t="s">
        <v>3011</v>
      </c>
      <c r="D8674" s="812" t="s">
        <v>5647</v>
      </c>
      <c r="E8674" s="123">
        <v>85000</v>
      </c>
      <c r="F8674" s="123"/>
      <c r="G8674" s="123">
        <f t="shared" si="140"/>
        <v>-85000</v>
      </c>
      <c r="H8674" s="396" t="s">
        <v>5635</v>
      </c>
    </row>
    <row r="8675" spans="1:8" ht="15" x14ac:dyDescent="0.2">
      <c r="A8675" s="602">
        <v>43832</v>
      </c>
      <c r="B8675" s="122" t="s">
        <v>2933</v>
      </c>
      <c r="C8675" s="122" t="s">
        <v>3011</v>
      </c>
      <c r="D8675" s="812" t="s">
        <v>5647</v>
      </c>
      <c r="E8675" s="123">
        <f>163000-E8674-E8673-E8672</f>
        <v>54000</v>
      </c>
      <c r="F8675" s="123"/>
      <c r="G8675" s="123">
        <f t="shared" si="140"/>
        <v>-54000</v>
      </c>
      <c r="H8675" s="396" t="s">
        <v>5635</v>
      </c>
    </row>
    <row r="8676" spans="1:8" ht="15" x14ac:dyDescent="0.2">
      <c r="A8676" s="602">
        <v>43833</v>
      </c>
      <c r="B8676" s="122" t="s">
        <v>16</v>
      </c>
      <c r="C8676" s="122" t="s">
        <v>4441</v>
      </c>
      <c r="D8676" s="812" t="s">
        <v>5648</v>
      </c>
      <c r="E8676" s="123">
        <v>85000</v>
      </c>
      <c r="F8676" s="123"/>
      <c r="G8676" s="123">
        <f t="shared" si="140"/>
        <v>-85000</v>
      </c>
      <c r="H8676" s="396" t="s">
        <v>5635</v>
      </c>
    </row>
    <row r="8677" spans="1:8" ht="15" x14ac:dyDescent="0.2">
      <c r="A8677" s="602">
        <v>43833</v>
      </c>
      <c r="B8677" s="122" t="s">
        <v>16</v>
      </c>
      <c r="C8677" s="122" t="s">
        <v>4441</v>
      </c>
      <c r="D8677" s="812" t="s">
        <v>5649</v>
      </c>
      <c r="E8677" s="123">
        <v>10000</v>
      </c>
      <c r="F8677" s="123"/>
      <c r="G8677" s="123">
        <f t="shared" si="140"/>
        <v>-10000</v>
      </c>
      <c r="H8677" s="396" t="s">
        <v>5635</v>
      </c>
    </row>
    <row r="8678" spans="1:8" ht="15" x14ac:dyDescent="0.2">
      <c r="A8678" s="602">
        <v>43837</v>
      </c>
      <c r="B8678" s="122" t="s">
        <v>1400</v>
      </c>
      <c r="C8678" s="122" t="s">
        <v>2854</v>
      </c>
      <c r="D8678" s="812" t="s">
        <v>5661</v>
      </c>
      <c r="E8678" s="123">
        <v>100000</v>
      </c>
      <c r="F8678" s="123"/>
      <c r="G8678" s="123">
        <f t="shared" si="140"/>
        <v>-100000</v>
      </c>
      <c r="H8678" s="396" t="s">
        <v>5635</v>
      </c>
    </row>
    <row r="8679" spans="1:8" ht="36" x14ac:dyDescent="0.2">
      <c r="A8679" s="602">
        <v>43838</v>
      </c>
      <c r="B8679" s="174" t="s">
        <v>2933</v>
      </c>
      <c r="C8679" s="174" t="s">
        <v>2586</v>
      </c>
      <c r="D8679" s="228" t="s">
        <v>5998</v>
      </c>
      <c r="E8679" s="236">
        <v>350000</v>
      </c>
      <c r="F8679" s="236"/>
      <c r="G8679" s="236">
        <f t="shared" si="140"/>
        <v>-350000</v>
      </c>
      <c r="H8679" s="396" t="s">
        <v>5635</v>
      </c>
    </row>
    <row r="8680" spans="1:8" ht="15" x14ac:dyDescent="0.2">
      <c r="A8680" s="602">
        <v>43838</v>
      </c>
      <c r="B8680" s="122" t="s">
        <v>3946</v>
      </c>
      <c r="C8680" s="122" t="s">
        <v>3003</v>
      </c>
      <c r="D8680" s="812" t="s">
        <v>5662</v>
      </c>
      <c r="E8680" s="123">
        <v>30160</v>
      </c>
      <c r="F8680" s="123"/>
      <c r="G8680" s="123">
        <f t="shared" si="140"/>
        <v>-30160</v>
      </c>
      <c r="H8680" s="396" t="s">
        <v>5635</v>
      </c>
    </row>
    <row r="8681" spans="1:8" ht="15" x14ac:dyDescent="0.2">
      <c r="A8681" s="602">
        <v>43838</v>
      </c>
      <c r="B8681" s="122" t="s">
        <v>3945</v>
      </c>
      <c r="C8681" s="122" t="s">
        <v>3003</v>
      </c>
      <c r="D8681" s="812" t="s">
        <v>5662</v>
      </c>
      <c r="E8681" s="123">
        <v>32760</v>
      </c>
      <c r="F8681" s="123"/>
      <c r="G8681" s="123">
        <f t="shared" si="140"/>
        <v>-32760</v>
      </c>
      <c r="H8681" s="396" t="s">
        <v>5635</v>
      </c>
    </row>
    <row r="8682" spans="1:8" ht="15" x14ac:dyDescent="0.2">
      <c r="A8682" s="602">
        <v>43838</v>
      </c>
      <c r="B8682" s="122" t="s">
        <v>37</v>
      </c>
      <c r="C8682" s="122" t="s">
        <v>3003</v>
      </c>
      <c r="D8682" s="812" t="s">
        <v>5662</v>
      </c>
      <c r="E8682" s="123">
        <v>12960</v>
      </c>
      <c r="F8682" s="123"/>
      <c r="G8682" s="123">
        <f t="shared" si="140"/>
        <v>-12960</v>
      </c>
      <c r="H8682" s="396" t="s">
        <v>5635</v>
      </c>
    </row>
    <row r="8683" spans="1:8" ht="24" x14ac:dyDescent="0.2">
      <c r="A8683" s="602">
        <v>43839</v>
      </c>
      <c r="B8683" s="122" t="s">
        <v>1400</v>
      </c>
      <c r="C8683" s="122" t="s">
        <v>2338</v>
      </c>
      <c r="D8683" s="228" t="s">
        <v>5663</v>
      </c>
      <c r="E8683" s="123">
        <v>66300</v>
      </c>
      <c r="F8683" s="123"/>
      <c r="G8683" s="123">
        <f t="shared" ref="G8683:G8746" si="141">F8683-E8683</f>
        <v>-66300</v>
      </c>
      <c r="H8683" s="396" t="s">
        <v>5635</v>
      </c>
    </row>
    <row r="8684" spans="1:8" ht="24" x14ac:dyDescent="0.2">
      <c r="A8684" s="602">
        <v>43839</v>
      </c>
      <c r="B8684" s="122" t="s">
        <v>1400</v>
      </c>
      <c r="C8684" s="122" t="s">
        <v>2338</v>
      </c>
      <c r="D8684" s="228" t="s">
        <v>5663</v>
      </c>
      <c r="E8684" s="123">
        <v>50000</v>
      </c>
      <c r="F8684" s="123"/>
      <c r="G8684" s="123">
        <f t="shared" si="141"/>
        <v>-50000</v>
      </c>
      <c r="H8684" s="396" t="s">
        <v>5635</v>
      </c>
    </row>
    <row r="8685" spans="1:8" ht="15" x14ac:dyDescent="0.2">
      <c r="A8685" s="602">
        <v>43841</v>
      </c>
      <c r="B8685" s="122" t="s">
        <v>2652</v>
      </c>
      <c r="C8685" s="122" t="s">
        <v>392</v>
      </c>
      <c r="D8685" s="228" t="s">
        <v>5664</v>
      </c>
      <c r="E8685" s="123">
        <v>50000</v>
      </c>
      <c r="F8685" s="123"/>
      <c r="G8685" s="123">
        <f t="shared" si="141"/>
        <v>-50000</v>
      </c>
      <c r="H8685" s="396" t="s">
        <v>5635</v>
      </c>
    </row>
    <row r="8686" spans="1:8" ht="15" x14ac:dyDescent="0.2">
      <c r="A8686" s="602">
        <v>43841</v>
      </c>
      <c r="B8686" s="122" t="s">
        <v>2933</v>
      </c>
      <c r="C8686" s="122" t="s">
        <v>3112</v>
      </c>
      <c r="D8686" s="228" t="s">
        <v>2711</v>
      </c>
      <c r="E8686" s="123">
        <v>20000</v>
      </c>
      <c r="F8686" s="123"/>
      <c r="G8686" s="123">
        <f t="shared" si="141"/>
        <v>-20000</v>
      </c>
      <c r="H8686" s="396" t="s">
        <v>5635</v>
      </c>
    </row>
    <row r="8687" spans="1:8" ht="15" x14ac:dyDescent="0.2">
      <c r="A8687" s="602">
        <v>43844</v>
      </c>
      <c r="B8687" s="122" t="s">
        <v>2933</v>
      </c>
      <c r="C8687" s="122" t="s">
        <v>3446</v>
      </c>
      <c r="D8687" s="812" t="s">
        <v>5677</v>
      </c>
      <c r="E8687" s="123">
        <v>50000</v>
      </c>
      <c r="F8687" s="123"/>
      <c r="G8687" s="123">
        <f t="shared" si="141"/>
        <v>-50000</v>
      </c>
      <c r="H8687" s="396" t="s">
        <v>5635</v>
      </c>
    </row>
    <row r="8688" spans="1:8" ht="15" x14ac:dyDescent="0.2">
      <c r="A8688" s="602">
        <v>43844</v>
      </c>
      <c r="B8688" s="122" t="s">
        <v>2933</v>
      </c>
      <c r="C8688" s="122" t="s">
        <v>1509</v>
      </c>
      <c r="D8688" s="812" t="s">
        <v>5678</v>
      </c>
      <c r="E8688" s="123">
        <v>100000</v>
      </c>
      <c r="F8688" s="123"/>
      <c r="G8688" s="123">
        <f t="shared" si="141"/>
        <v>-100000</v>
      </c>
      <c r="H8688" s="396" t="s">
        <v>5635</v>
      </c>
    </row>
    <row r="8689" spans="1:8" ht="15" x14ac:dyDescent="0.2">
      <c r="A8689" s="602">
        <v>43844</v>
      </c>
      <c r="B8689" s="122" t="s">
        <v>1400</v>
      </c>
      <c r="C8689" s="122" t="s">
        <v>4331</v>
      </c>
      <c r="D8689" s="812" t="s">
        <v>5679</v>
      </c>
      <c r="E8689" s="123">
        <v>28500</v>
      </c>
      <c r="F8689" s="123"/>
      <c r="G8689" s="123">
        <f t="shared" si="141"/>
        <v>-28500</v>
      </c>
      <c r="H8689" s="396" t="s">
        <v>5635</v>
      </c>
    </row>
    <row r="8690" spans="1:8" ht="24" x14ac:dyDescent="0.2">
      <c r="A8690" s="602">
        <v>43844</v>
      </c>
      <c r="B8690" s="122" t="s">
        <v>2652</v>
      </c>
      <c r="C8690" s="122" t="s">
        <v>251</v>
      </c>
      <c r="D8690" s="118" t="s">
        <v>5680</v>
      </c>
      <c r="E8690" s="123">
        <v>52000</v>
      </c>
      <c r="F8690" s="123"/>
      <c r="G8690" s="123">
        <f t="shared" si="141"/>
        <v>-52000</v>
      </c>
      <c r="H8690" s="396" t="s">
        <v>5635</v>
      </c>
    </row>
    <row r="8691" spans="1:8" ht="96" x14ac:dyDescent="0.2">
      <c r="A8691" s="602">
        <v>43846</v>
      </c>
      <c r="B8691" s="174" t="s">
        <v>1400</v>
      </c>
      <c r="C8691" s="174" t="s">
        <v>2515</v>
      </c>
      <c r="D8691" s="228" t="s">
        <v>5740</v>
      </c>
      <c r="E8691" s="236">
        <v>228000</v>
      </c>
      <c r="F8691" s="236"/>
      <c r="G8691" s="236">
        <f t="shared" si="141"/>
        <v>-228000</v>
      </c>
      <c r="H8691" s="396" t="s">
        <v>5635</v>
      </c>
    </row>
    <row r="8692" spans="1:8" ht="15" x14ac:dyDescent="0.2">
      <c r="A8692" s="602">
        <v>43846</v>
      </c>
      <c r="B8692" s="122" t="s">
        <v>1400</v>
      </c>
      <c r="C8692" s="122" t="s">
        <v>5681</v>
      </c>
      <c r="D8692" s="812" t="s">
        <v>5682</v>
      </c>
      <c r="E8692" s="123">
        <v>83600</v>
      </c>
      <c r="F8692" s="123"/>
      <c r="G8692" s="123">
        <f t="shared" si="141"/>
        <v>-83600</v>
      </c>
      <c r="H8692" s="396" t="s">
        <v>5635</v>
      </c>
    </row>
    <row r="8693" spans="1:8" ht="15" x14ac:dyDescent="0.2">
      <c r="A8693" s="602">
        <v>43846</v>
      </c>
      <c r="B8693" s="122" t="s">
        <v>1400</v>
      </c>
      <c r="C8693" s="122" t="s">
        <v>929</v>
      </c>
      <c r="D8693" s="812" t="s">
        <v>5683</v>
      </c>
      <c r="E8693" s="123">
        <v>51730</v>
      </c>
      <c r="F8693" s="123"/>
      <c r="G8693" s="123">
        <f t="shared" si="141"/>
        <v>-51730</v>
      </c>
      <c r="H8693" s="396" t="s">
        <v>5635</v>
      </c>
    </row>
    <row r="8694" spans="1:8" ht="15" x14ac:dyDescent="0.2">
      <c r="A8694" s="602">
        <v>43846</v>
      </c>
      <c r="B8694" s="122" t="s">
        <v>1400</v>
      </c>
      <c r="C8694" s="122" t="s">
        <v>4444</v>
      </c>
      <c r="D8694" s="228" t="s">
        <v>1157</v>
      </c>
      <c r="E8694" s="123">
        <v>70000</v>
      </c>
      <c r="F8694" s="123"/>
      <c r="G8694" s="123">
        <f t="shared" si="141"/>
        <v>-70000</v>
      </c>
      <c r="H8694" s="396" t="s">
        <v>5635</v>
      </c>
    </row>
    <row r="8695" spans="1:8" ht="24" x14ac:dyDescent="0.2">
      <c r="A8695" s="602">
        <v>43850</v>
      </c>
      <c r="B8695" s="122" t="s">
        <v>1400</v>
      </c>
      <c r="C8695" s="122" t="s">
        <v>2128</v>
      </c>
      <c r="D8695" s="228" t="s">
        <v>5689</v>
      </c>
      <c r="E8695" s="123">
        <v>700169</v>
      </c>
      <c r="F8695" s="123"/>
      <c r="G8695" s="123">
        <f t="shared" si="141"/>
        <v>-700169</v>
      </c>
      <c r="H8695" s="396" t="s">
        <v>5635</v>
      </c>
    </row>
    <row r="8696" spans="1:8" ht="24" x14ac:dyDescent="0.2">
      <c r="A8696" s="602">
        <v>43850</v>
      </c>
      <c r="B8696" s="122" t="s">
        <v>1400</v>
      </c>
      <c r="C8696" s="122" t="s">
        <v>2128</v>
      </c>
      <c r="D8696" s="228" t="s">
        <v>5689</v>
      </c>
      <c r="E8696" s="123">
        <v>700000</v>
      </c>
      <c r="F8696" s="123"/>
      <c r="G8696" s="123">
        <f t="shared" si="141"/>
        <v>-700000</v>
      </c>
      <c r="H8696" s="396" t="s">
        <v>5635</v>
      </c>
    </row>
    <row r="8697" spans="1:8" ht="15" x14ac:dyDescent="0.2">
      <c r="A8697" s="602">
        <v>43850</v>
      </c>
      <c r="B8697" s="122" t="s">
        <v>5227</v>
      </c>
      <c r="C8697" s="122" t="s">
        <v>705</v>
      </c>
      <c r="D8697" s="228" t="s">
        <v>5688</v>
      </c>
      <c r="E8697" s="123">
        <v>200000</v>
      </c>
      <c r="F8697" s="123"/>
      <c r="G8697" s="123">
        <f t="shared" si="141"/>
        <v>-200000</v>
      </c>
      <c r="H8697" s="396" t="s">
        <v>5635</v>
      </c>
    </row>
    <row r="8698" spans="1:8" ht="15" x14ac:dyDescent="0.2">
      <c r="A8698" s="602">
        <v>43850</v>
      </c>
      <c r="B8698" s="122" t="s">
        <v>1400</v>
      </c>
      <c r="C8698" s="122" t="s">
        <v>5690</v>
      </c>
      <c r="D8698" s="812" t="s">
        <v>5691</v>
      </c>
      <c r="E8698" s="123">
        <v>100000</v>
      </c>
      <c r="F8698" s="123"/>
      <c r="G8698" s="123">
        <f t="shared" si="141"/>
        <v>-100000</v>
      </c>
      <c r="H8698" s="396" t="s">
        <v>5635</v>
      </c>
    </row>
    <row r="8699" spans="1:8" ht="15" x14ac:dyDescent="0.2">
      <c r="A8699" s="602">
        <v>43850</v>
      </c>
      <c r="B8699" s="122" t="s">
        <v>1400</v>
      </c>
      <c r="C8699" s="122" t="s">
        <v>4798</v>
      </c>
      <c r="D8699" s="228" t="s">
        <v>5692</v>
      </c>
      <c r="E8699" s="123">
        <v>14300</v>
      </c>
      <c r="F8699" s="123"/>
      <c r="G8699" s="123">
        <f t="shared" si="141"/>
        <v>-14300</v>
      </c>
      <c r="H8699" s="396" t="s">
        <v>5635</v>
      </c>
    </row>
    <row r="8700" spans="1:8" ht="15" x14ac:dyDescent="0.2">
      <c r="A8700" s="602">
        <v>43850</v>
      </c>
      <c r="B8700" s="122" t="s">
        <v>25</v>
      </c>
      <c r="C8700" s="122" t="s">
        <v>2428</v>
      </c>
      <c r="D8700" s="812" t="s">
        <v>5693</v>
      </c>
      <c r="E8700" s="123">
        <v>57160</v>
      </c>
      <c r="F8700" s="123"/>
      <c r="G8700" s="123">
        <f t="shared" si="141"/>
        <v>-57160</v>
      </c>
      <c r="H8700" s="396" t="s">
        <v>5635</v>
      </c>
    </row>
    <row r="8701" spans="1:8" ht="15" x14ac:dyDescent="0.2">
      <c r="A8701" s="602">
        <v>43854</v>
      </c>
      <c r="B8701" s="122" t="s">
        <v>1400</v>
      </c>
      <c r="C8701" s="122" t="s">
        <v>5187</v>
      </c>
      <c r="D8701" s="812" t="s">
        <v>5702</v>
      </c>
      <c r="E8701" s="123">
        <v>64000</v>
      </c>
      <c r="F8701" s="123"/>
      <c r="G8701" s="123">
        <f t="shared" si="141"/>
        <v>-64000</v>
      </c>
      <c r="H8701" s="396" t="s">
        <v>5635</v>
      </c>
    </row>
    <row r="8702" spans="1:8" ht="15" x14ac:dyDescent="0.2">
      <c r="A8702" s="602">
        <v>43854</v>
      </c>
      <c r="B8702" s="122" t="s">
        <v>2652</v>
      </c>
      <c r="C8702" s="122" t="s">
        <v>5187</v>
      </c>
      <c r="D8702" s="812" t="s">
        <v>5703</v>
      </c>
      <c r="E8702" s="123">
        <v>18000</v>
      </c>
      <c r="F8702" s="123"/>
      <c r="G8702" s="123">
        <f t="shared" si="141"/>
        <v>-18000</v>
      </c>
      <c r="H8702" s="396" t="s">
        <v>5635</v>
      </c>
    </row>
    <row r="8703" spans="1:8" ht="15" x14ac:dyDescent="0.2">
      <c r="A8703" s="602">
        <v>43854</v>
      </c>
      <c r="B8703" s="122" t="s">
        <v>1400</v>
      </c>
      <c r="C8703" s="122" t="s">
        <v>929</v>
      </c>
      <c r="D8703" s="812" t="s">
        <v>1157</v>
      </c>
      <c r="E8703" s="123">
        <v>10000</v>
      </c>
      <c r="F8703" s="123"/>
      <c r="G8703" s="123">
        <f t="shared" si="141"/>
        <v>-10000</v>
      </c>
      <c r="H8703" s="396" t="s">
        <v>5635</v>
      </c>
    </row>
    <row r="8704" spans="1:8" ht="15" x14ac:dyDescent="0.2">
      <c r="A8704" s="602">
        <v>43854</v>
      </c>
      <c r="B8704" s="122" t="s">
        <v>2933</v>
      </c>
      <c r="C8704" s="122" t="s">
        <v>5705</v>
      </c>
      <c r="D8704" s="812" t="s">
        <v>5706</v>
      </c>
      <c r="E8704" s="123">
        <v>160000</v>
      </c>
      <c r="F8704" s="123"/>
      <c r="G8704" s="123">
        <f t="shared" si="141"/>
        <v>-160000</v>
      </c>
      <c r="H8704" s="396" t="s">
        <v>5635</v>
      </c>
    </row>
    <row r="8705" spans="1:8" ht="15" x14ac:dyDescent="0.2">
      <c r="A8705" s="602">
        <v>43854</v>
      </c>
      <c r="B8705" s="122" t="s">
        <v>1400</v>
      </c>
      <c r="C8705" s="122" t="s">
        <v>4846</v>
      </c>
      <c r="D8705" s="812" t="s">
        <v>5756</v>
      </c>
      <c r="E8705" s="123">
        <v>50000</v>
      </c>
      <c r="F8705" s="123"/>
      <c r="G8705" s="123">
        <f t="shared" si="141"/>
        <v>-50000</v>
      </c>
      <c r="H8705" s="396" t="s">
        <v>5635</v>
      </c>
    </row>
    <row r="8706" spans="1:8" ht="15" x14ac:dyDescent="0.2">
      <c r="A8706" s="602">
        <v>43857</v>
      </c>
      <c r="B8706" s="122" t="s">
        <v>1400</v>
      </c>
      <c r="C8706" s="122" t="s">
        <v>5652</v>
      </c>
      <c r="D8706" s="812" t="s">
        <v>5710</v>
      </c>
      <c r="E8706" s="123">
        <v>18400</v>
      </c>
      <c r="F8706" s="123"/>
      <c r="G8706" s="123">
        <f t="shared" si="141"/>
        <v>-18400</v>
      </c>
      <c r="H8706" s="396" t="s">
        <v>5635</v>
      </c>
    </row>
    <row r="8707" spans="1:8" ht="15" x14ac:dyDescent="0.2">
      <c r="A8707" s="602">
        <v>43857</v>
      </c>
      <c r="B8707" s="122" t="s">
        <v>5604</v>
      </c>
      <c r="C8707" s="122" t="s">
        <v>5652</v>
      </c>
      <c r="D8707" s="812" t="s">
        <v>5711</v>
      </c>
      <c r="E8707" s="123">
        <v>4600</v>
      </c>
      <c r="F8707" s="123"/>
      <c r="G8707" s="123">
        <f t="shared" si="141"/>
        <v>-4600</v>
      </c>
      <c r="H8707" s="396" t="s">
        <v>5635</v>
      </c>
    </row>
    <row r="8708" spans="1:8" ht="24" x14ac:dyDescent="0.2">
      <c r="A8708" s="602">
        <v>43857</v>
      </c>
      <c r="B8708" s="122" t="s">
        <v>1400</v>
      </c>
      <c r="C8708" s="122" t="s">
        <v>4334</v>
      </c>
      <c r="D8708" s="118" t="s">
        <v>5712</v>
      </c>
      <c r="E8708" s="123">
        <v>36000</v>
      </c>
      <c r="F8708" s="123"/>
      <c r="G8708" s="123">
        <f t="shared" si="141"/>
        <v>-36000</v>
      </c>
      <c r="H8708" s="396" t="s">
        <v>5635</v>
      </c>
    </row>
    <row r="8709" spans="1:8" ht="15" x14ac:dyDescent="0.2">
      <c r="A8709" s="602">
        <v>43857</v>
      </c>
      <c r="B8709" s="122" t="s">
        <v>2652</v>
      </c>
      <c r="C8709" s="122" t="s">
        <v>5460</v>
      </c>
      <c r="D8709" s="812" t="s">
        <v>5713</v>
      </c>
      <c r="E8709" s="123">
        <v>15500</v>
      </c>
      <c r="F8709" s="123"/>
      <c r="G8709" s="123">
        <f t="shared" si="141"/>
        <v>-15500</v>
      </c>
      <c r="H8709" s="396" t="s">
        <v>5635</v>
      </c>
    </row>
    <row r="8710" spans="1:8" ht="15" x14ac:dyDescent="0.2">
      <c r="A8710" s="602">
        <v>43857</v>
      </c>
      <c r="B8710" s="122" t="s">
        <v>4553</v>
      </c>
      <c r="C8710" s="122" t="s">
        <v>5460</v>
      </c>
      <c r="D8710" s="812" t="s">
        <v>5713</v>
      </c>
      <c r="E8710" s="123">
        <v>3000</v>
      </c>
      <c r="F8710" s="123"/>
      <c r="G8710" s="123">
        <f t="shared" si="141"/>
        <v>-3000</v>
      </c>
      <c r="H8710" s="396" t="s">
        <v>5635</v>
      </c>
    </row>
    <row r="8711" spans="1:8" ht="15" x14ac:dyDescent="0.2">
      <c r="A8711" s="602">
        <v>43859</v>
      </c>
      <c r="B8711" s="122" t="s">
        <v>2652</v>
      </c>
      <c r="C8711" s="122" t="s">
        <v>3145</v>
      </c>
      <c r="D8711" s="812" t="s">
        <v>5725</v>
      </c>
      <c r="E8711" s="123">
        <v>24300</v>
      </c>
      <c r="F8711" s="123"/>
      <c r="G8711" s="123">
        <f t="shared" si="141"/>
        <v>-24300</v>
      </c>
      <c r="H8711" s="396" t="s">
        <v>5635</v>
      </c>
    </row>
    <row r="8712" spans="1:8" ht="15" x14ac:dyDescent="0.2">
      <c r="A8712" s="602">
        <v>43860</v>
      </c>
      <c r="B8712" s="122" t="s">
        <v>1400</v>
      </c>
      <c r="C8712" s="122" t="s">
        <v>2642</v>
      </c>
      <c r="D8712" s="812" t="s">
        <v>5726</v>
      </c>
      <c r="E8712" s="123">
        <v>221000</v>
      </c>
      <c r="F8712" s="123"/>
      <c r="G8712" s="123">
        <f t="shared" si="141"/>
        <v>-221000</v>
      </c>
      <c r="H8712" s="396" t="s">
        <v>5635</v>
      </c>
    </row>
    <row r="8713" spans="1:8" ht="15" x14ac:dyDescent="0.2">
      <c r="A8713" s="602">
        <v>43861</v>
      </c>
      <c r="B8713" s="122" t="s">
        <v>25</v>
      </c>
      <c r="C8713" s="122" t="s">
        <v>2428</v>
      </c>
      <c r="D8713" s="812" t="s">
        <v>5727</v>
      </c>
      <c r="E8713" s="123">
        <v>36683</v>
      </c>
      <c r="F8713" s="123"/>
      <c r="G8713" s="123">
        <f t="shared" si="141"/>
        <v>-36683</v>
      </c>
      <c r="H8713" s="396" t="s">
        <v>5635</v>
      </c>
    </row>
    <row r="8714" spans="1:8" ht="15" x14ac:dyDescent="0.2">
      <c r="A8714" s="599">
        <v>43841</v>
      </c>
      <c r="B8714" s="91" t="s">
        <v>2652</v>
      </c>
      <c r="C8714" s="91" t="s">
        <v>559</v>
      </c>
      <c r="D8714" s="801" t="s">
        <v>5665</v>
      </c>
      <c r="E8714" s="92"/>
      <c r="F8714" s="92">
        <v>1000000</v>
      </c>
      <c r="G8714" s="92">
        <f t="shared" si="141"/>
        <v>1000000</v>
      </c>
      <c r="H8714" s="428" t="s">
        <v>5635</v>
      </c>
    </row>
    <row r="8715" spans="1:8" ht="15" x14ac:dyDescent="0.2">
      <c r="A8715" s="599">
        <v>43845</v>
      </c>
      <c r="B8715" s="91" t="s">
        <v>37</v>
      </c>
      <c r="C8715" s="91" t="s">
        <v>559</v>
      </c>
      <c r="D8715" s="801" t="s">
        <v>5675</v>
      </c>
      <c r="E8715" s="92"/>
      <c r="F8715" s="92">
        <v>157140</v>
      </c>
      <c r="G8715" s="92">
        <f t="shared" si="141"/>
        <v>157140</v>
      </c>
      <c r="H8715" s="428" t="s">
        <v>5635</v>
      </c>
    </row>
    <row r="8716" spans="1:8" ht="15" x14ac:dyDescent="0.2">
      <c r="A8716" s="599">
        <v>43848</v>
      </c>
      <c r="B8716" s="91" t="s">
        <v>3945</v>
      </c>
      <c r="C8716" s="91" t="s">
        <v>559</v>
      </c>
      <c r="D8716" s="801" t="s">
        <v>5685</v>
      </c>
      <c r="E8716" s="92"/>
      <c r="F8716" s="92">
        <v>321064</v>
      </c>
      <c r="G8716" s="92">
        <f t="shared" si="141"/>
        <v>321064</v>
      </c>
      <c r="H8716" s="428" t="s">
        <v>5635</v>
      </c>
    </row>
    <row r="8717" spans="1:8" ht="24" x14ac:dyDescent="0.2">
      <c r="A8717" s="599">
        <v>43850</v>
      </c>
      <c r="B8717" s="91" t="s">
        <v>1400</v>
      </c>
      <c r="C8717" s="91" t="s">
        <v>559</v>
      </c>
      <c r="D8717" s="798" t="s">
        <v>5769</v>
      </c>
      <c r="E8717" s="92"/>
      <c r="F8717" s="92">
        <v>700000</v>
      </c>
      <c r="G8717" s="92">
        <f t="shared" si="141"/>
        <v>700000</v>
      </c>
      <c r="H8717" s="428" t="s">
        <v>5635</v>
      </c>
    </row>
    <row r="8718" spans="1:8" ht="24" x14ac:dyDescent="0.2">
      <c r="A8718" s="599">
        <v>43850</v>
      </c>
      <c r="B8718" s="91" t="s">
        <v>1400</v>
      </c>
      <c r="C8718" s="91" t="s">
        <v>559</v>
      </c>
      <c r="D8718" s="798" t="s">
        <v>5769</v>
      </c>
      <c r="E8718" s="92"/>
      <c r="F8718" s="92">
        <v>700169</v>
      </c>
      <c r="G8718" s="92">
        <f t="shared" si="141"/>
        <v>700169</v>
      </c>
      <c r="H8718" s="428" t="s">
        <v>5635</v>
      </c>
    </row>
    <row r="8719" spans="1:8" ht="24" x14ac:dyDescent="0.2">
      <c r="A8719" s="599">
        <v>43850</v>
      </c>
      <c r="B8719" s="91" t="s">
        <v>1400</v>
      </c>
      <c r="C8719" s="91" t="s">
        <v>559</v>
      </c>
      <c r="D8719" s="798" t="s">
        <v>5770</v>
      </c>
      <c r="E8719" s="92"/>
      <c r="F8719" s="92">
        <v>200000</v>
      </c>
      <c r="G8719" s="92">
        <f t="shared" si="141"/>
        <v>200000</v>
      </c>
      <c r="H8719" s="428" t="s">
        <v>5635</v>
      </c>
    </row>
    <row r="8720" spans="1:8" ht="15" x14ac:dyDescent="0.2">
      <c r="A8720" s="599">
        <v>43858</v>
      </c>
      <c r="B8720" s="91" t="s">
        <v>3946</v>
      </c>
      <c r="C8720" s="91" t="s">
        <v>559</v>
      </c>
      <c r="D8720" s="801" t="s">
        <v>5685</v>
      </c>
      <c r="E8720" s="92"/>
      <c r="F8720" s="92">
        <v>295582</v>
      </c>
      <c r="G8720" s="92">
        <f t="shared" si="141"/>
        <v>295582</v>
      </c>
      <c r="H8720" s="428" t="s">
        <v>5635</v>
      </c>
    </row>
    <row r="8721" spans="1:8" ht="15" x14ac:dyDescent="0.2">
      <c r="A8721" s="599">
        <v>43860</v>
      </c>
      <c r="B8721" s="91" t="s">
        <v>5641</v>
      </c>
      <c r="C8721" s="91" t="s">
        <v>559</v>
      </c>
      <c r="D8721" s="801" t="s">
        <v>9130</v>
      </c>
      <c r="E8721" s="92"/>
      <c r="F8721" s="92">
        <v>600000</v>
      </c>
      <c r="G8721" s="92">
        <f t="shared" si="141"/>
        <v>600000</v>
      </c>
      <c r="H8721" s="428" t="s">
        <v>5635</v>
      </c>
    </row>
    <row r="8722" spans="1:8" ht="15" x14ac:dyDescent="0.2">
      <c r="A8722" s="599">
        <v>43860</v>
      </c>
      <c r="B8722" s="91" t="s">
        <v>5641</v>
      </c>
      <c r="C8722" s="91" t="s">
        <v>559</v>
      </c>
      <c r="D8722" s="801" t="s">
        <v>9131</v>
      </c>
      <c r="E8722" s="92"/>
      <c r="F8722" s="92">
        <v>740000</v>
      </c>
      <c r="G8722" s="92">
        <f t="shared" si="141"/>
        <v>740000</v>
      </c>
      <c r="H8722" s="428" t="s">
        <v>5635</v>
      </c>
    </row>
    <row r="8723" spans="1:8" ht="15" x14ac:dyDescent="0.2">
      <c r="A8723" s="599">
        <v>43860</v>
      </c>
      <c r="B8723" s="91" t="s">
        <v>5641</v>
      </c>
      <c r="C8723" s="91" t="s">
        <v>559</v>
      </c>
      <c r="D8723" s="801" t="s">
        <v>9132</v>
      </c>
      <c r="E8723" s="92"/>
      <c r="F8723" s="92">
        <v>638800</v>
      </c>
      <c r="G8723" s="92">
        <f t="shared" si="141"/>
        <v>638800</v>
      </c>
      <c r="H8723" s="428" t="s">
        <v>5635</v>
      </c>
    </row>
    <row r="8724" spans="1:8" ht="15" x14ac:dyDescent="0.2">
      <c r="A8724" s="597">
        <v>43862</v>
      </c>
      <c r="B8724" s="222" t="s">
        <v>1400</v>
      </c>
      <c r="C8724" s="222" t="s">
        <v>2515</v>
      </c>
      <c r="D8724" s="827" t="s">
        <v>1157</v>
      </c>
      <c r="E8724" s="249">
        <v>28000</v>
      </c>
      <c r="F8724" s="249"/>
      <c r="G8724" s="249">
        <f t="shared" si="141"/>
        <v>-28000</v>
      </c>
      <c r="H8724" s="422" t="s">
        <v>5734</v>
      </c>
    </row>
    <row r="8725" spans="1:8" ht="15" x14ac:dyDescent="0.2">
      <c r="A8725" s="597">
        <v>43862</v>
      </c>
      <c r="B8725" s="222" t="s">
        <v>1400</v>
      </c>
      <c r="C8725" s="222" t="s">
        <v>2503</v>
      </c>
      <c r="D8725" s="827" t="s">
        <v>5761</v>
      </c>
      <c r="E8725" s="249">
        <v>25000</v>
      </c>
      <c r="F8725" s="249"/>
      <c r="G8725" s="249">
        <f t="shared" si="141"/>
        <v>-25000</v>
      </c>
      <c r="H8725" s="422" t="s">
        <v>5734</v>
      </c>
    </row>
    <row r="8726" spans="1:8" ht="15" x14ac:dyDescent="0.2">
      <c r="A8726" s="597">
        <v>43862</v>
      </c>
      <c r="B8726" s="222" t="s">
        <v>2652</v>
      </c>
      <c r="C8726" s="222" t="s">
        <v>2503</v>
      </c>
      <c r="D8726" s="827" t="s">
        <v>5761</v>
      </c>
      <c r="E8726" s="249">
        <v>25000</v>
      </c>
      <c r="F8726" s="249"/>
      <c r="G8726" s="249">
        <f t="shared" si="141"/>
        <v>-25000</v>
      </c>
      <c r="H8726" s="422" t="s">
        <v>5734</v>
      </c>
    </row>
    <row r="8727" spans="1:8" ht="15" x14ac:dyDescent="0.2">
      <c r="A8727" s="597">
        <v>43862</v>
      </c>
      <c r="B8727" s="222" t="s">
        <v>5604</v>
      </c>
      <c r="C8727" s="222" t="s">
        <v>2503</v>
      </c>
      <c r="D8727" s="827" t="s">
        <v>5761</v>
      </c>
      <c r="E8727" s="249">
        <v>25000</v>
      </c>
      <c r="F8727" s="249"/>
      <c r="G8727" s="249">
        <f t="shared" si="141"/>
        <v>-25000</v>
      </c>
      <c r="H8727" s="422" t="s">
        <v>5734</v>
      </c>
    </row>
    <row r="8728" spans="1:8" ht="15" x14ac:dyDescent="0.2">
      <c r="A8728" s="597">
        <v>43862</v>
      </c>
      <c r="B8728" s="222" t="s">
        <v>5641</v>
      </c>
      <c r="C8728" s="222" t="s">
        <v>2503</v>
      </c>
      <c r="D8728" s="827" t="s">
        <v>5761</v>
      </c>
      <c r="E8728" s="249">
        <v>25000</v>
      </c>
      <c r="F8728" s="249"/>
      <c r="G8728" s="249">
        <f t="shared" si="141"/>
        <v>-25000</v>
      </c>
      <c r="H8728" s="422" t="s">
        <v>5734</v>
      </c>
    </row>
    <row r="8729" spans="1:8" ht="15" x14ac:dyDescent="0.2">
      <c r="A8729" s="597">
        <v>43862</v>
      </c>
      <c r="B8729" s="222" t="s">
        <v>25</v>
      </c>
      <c r="C8729" s="222" t="s">
        <v>2503</v>
      </c>
      <c r="D8729" s="827" t="s">
        <v>5019</v>
      </c>
      <c r="E8729" s="249">
        <v>55000</v>
      </c>
      <c r="F8729" s="249"/>
      <c r="G8729" s="249">
        <f t="shared" si="141"/>
        <v>-55000</v>
      </c>
      <c r="H8729" s="422" t="s">
        <v>5734</v>
      </c>
    </row>
    <row r="8730" spans="1:8" ht="15" x14ac:dyDescent="0.2">
      <c r="A8730" s="597">
        <v>43862</v>
      </c>
      <c r="B8730" s="222" t="s">
        <v>16</v>
      </c>
      <c r="C8730" s="222" t="s">
        <v>2503</v>
      </c>
      <c r="D8730" s="827" t="s">
        <v>16</v>
      </c>
      <c r="E8730" s="249">
        <v>93709.677419354834</v>
      </c>
      <c r="F8730" s="249"/>
      <c r="G8730" s="249">
        <f t="shared" si="141"/>
        <v>-93709.677419354834</v>
      </c>
      <c r="H8730" s="422" t="s">
        <v>5734</v>
      </c>
    </row>
    <row r="8731" spans="1:8" ht="15" x14ac:dyDescent="0.2">
      <c r="A8731" s="597">
        <v>43862</v>
      </c>
      <c r="B8731" s="222" t="s">
        <v>3945</v>
      </c>
      <c r="C8731" s="222" t="s">
        <v>2503</v>
      </c>
      <c r="D8731" s="827" t="s">
        <v>5020</v>
      </c>
      <c r="E8731" s="249">
        <v>148508.06451612903</v>
      </c>
      <c r="F8731" s="249"/>
      <c r="G8731" s="249">
        <f t="shared" si="141"/>
        <v>-148508.06451612903</v>
      </c>
      <c r="H8731" s="422" t="s">
        <v>5734</v>
      </c>
    </row>
    <row r="8732" spans="1:8" ht="15" x14ac:dyDescent="0.2">
      <c r="A8732" s="597">
        <v>43862</v>
      </c>
      <c r="B8732" s="222" t="s">
        <v>3946</v>
      </c>
      <c r="C8732" s="222" t="s">
        <v>2503</v>
      </c>
      <c r="D8732" s="827" t="s">
        <v>5021</v>
      </c>
      <c r="E8732" s="249">
        <v>134129.03225806452</v>
      </c>
      <c r="F8732" s="249"/>
      <c r="G8732" s="249">
        <f t="shared" si="141"/>
        <v>-134129.03225806452</v>
      </c>
      <c r="H8732" s="422" t="s">
        <v>5734</v>
      </c>
    </row>
    <row r="8733" spans="1:8" ht="15" x14ac:dyDescent="0.2">
      <c r="A8733" s="597">
        <v>43862</v>
      </c>
      <c r="B8733" s="222" t="s">
        <v>4721</v>
      </c>
      <c r="C8733" s="222" t="s">
        <v>2503</v>
      </c>
      <c r="D8733" s="827" t="s">
        <v>1084</v>
      </c>
      <c r="E8733" s="249">
        <v>375573.50806451612</v>
      </c>
      <c r="F8733" s="249"/>
      <c r="G8733" s="249">
        <f t="shared" si="141"/>
        <v>-375573.50806451612</v>
      </c>
      <c r="H8733" s="422" t="s">
        <v>5734</v>
      </c>
    </row>
    <row r="8734" spans="1:8" ht="15" x14ac:dyDescent="0.2">
      <c r="A8734" s="597">
        <v>43862</v>
      </c>
      <c r="B8734" s="222" t="s">
        <v>6516</v>
      </c>
      <c r="C8734" s="222" t="s">
        <v>2503</v>
      </c>
      <c r="D8734" s="827" t="s">
        <v>5022</v>
      </c>
      <c r="E8734" s="249">
        <v>121822.58064516129</v>
      </c>
      <c r="F8734" s="249"/>
      <c r="G8734" s="249">
        <f t="shared" si="141"/>
        <v>-121822.58064516129</v>
      </c>
      <c r="H8734" s="422" t="s">
        <v>5734</v>
      </c>
    </row>
    <row r="8735" spans="1:8" ht="15" x14ac:dyDescent="0.2">
      <c r="A8735" s="597">
        <v>43862</v>
      </c>
      <c r="B8735" s="222" t="s">
        <v>37</v>
      </c>
      <c r="C8735" s="222" t="s">
        <v>2503</v>
      </c>
      <c r="D8735" s="827" t="s">
        <v>5023</v>
      </c>
      <c r="E8735" s="249">
        <v>92625</v>
      </c>
      <c r="F8735" s="249"/>
      <c r="G8735" s="249">
        <f t="shared" si="141"/>
        <v>-92625</v>
      </c>
      <c r="H8735" s="422" t="s">
        <v>5734</v>
      </c>
    </row>
    <row r="8736" spans="1:8" ht="15" x14ac:dyDescent="0.2">
      <c r="A8736" s="597">
        <v>43862</v>
      </c>
      <c r="B8736" s="222" t="s">
        <v>2933</v>
      </c>
      <c r="C8736" s="222" t="s">
        <v>2503</v>
      </c>
      <c r="D8736" s="827" t="s">
        <v>5024</v>
      </c>
      <c r="E8736" s="249">
        <v>48983.870967741939</v>
      </c>
      <c r="F8736" s="249"/>
      <c r="G8736" s="249">
        <f t="shared" si="141"/>
        <v>-48983.870967741939</v>
      </c>
      <c r="H8736" s="422" t="s">
        <v>5734</v>
      </c>
    </row>
    <row r="8737" spans="1:8" ht="15" x14ac:dyDescent="0.2">
      <c r="A8737" s="597">
        <v>43862</v>
      </c>
      <c r="B8737" s="222" t="s">
        <v>2652</v>
      </c>
      <c r="C8737" s="222" t="s">
        <v>2503</v>
      </c>
      <c r="D8737" s="827" t="s">
        <v>5025</v>
      </c>
      <c r="E8737" s="249">
        <v>150828.62903225806</v>
      </c>
      <c r="F8737" s="249"/>
      <c r="G8737" s="249">
        <f t="shared" si="141"/>
        <v>-150828.62903225806</v>
      </c>
      <c r="H8737" s="422" t="s">
        <v>5734</v>
      </c>
    </row>
    <row r="8738" spans="1:8" ht="15" x14ac:dyDescent="0.2">
      <c r="A8738" s="597">
        <v>43862</v>
      </c>
      <c r="B8738" s="222" t="s">
        <v>5604</v>
      </c>
      <c r="C8738" s="222" t="s">
        <v>2503</v>
      </c>
      <c r="D8738" s="827" t="s">
        <v>5762</v>
      </c>
      <c r="E8738" s="249">
        <f>160972/2</f>
        <v>80486</v>
      </c>
      <c r="F8738" s="249"/>
      <c r="G8738" s="249">
        <f t="shared" si="141"/>
        <v>-80486</v>
      </c>
      <c r="H8738" s="422" t="s">
        <v>5734</v>
      </c>
    </row>
    <row r="8739" spans="1:8" ht="15" x14ac:dyDescent="0.2">
      <c r="A8739" s="597">
        <v>43862</v>
      </c>
      <c r="B8739" s="222" t="s">
        <v>5641</v>
      </c>
      <c r="C8739" s="222" t="s">
        <v>2503</v>
      </c>
      <c r="D8739" s="827" t="s">
        <v>5762</v>
      </c>
      <c r="E8739" s="249">
        <f>160972/2</f>
        <v>80486</v>
      </c>
      <c r="F8739" s="249"/>
      <c r="G8739" s="249">
        <f t="shared" si="141"/>
        <v>-80486</v>
      </c>
      <c r="H8739" s="422" t="s">
        <v>5734</v>
      </c>
    </row>
    <row r="8740" spans="1:8" ht="15" x14ac:dyDescent="0.2">
      <c r="A8740" s="597">
        <v>43862</v>
      </c>
      <c r="B8740" s="222" t="s">
        <v>16</v>
      </c>
      <c r="C8740" s="222" t="s">
        <v>1495</v>
      </c>
      <c r="D8740" s="827" t="s">
        <v>370</v>
      </c>
      <c r="E8740" s="249">
        <v>700</v>
      </c>
      <c r="F8740" s="249"/>
      <c r="G8740" s="249">
        <f t="shared" si="141"/>
        <v>-700</v>
      </c>
      <c r="H8740" s="422" t="s">
        <v>5734</v>
      </c>
    </row>
    <row r="8741" spans="1:8" ht="15" x14ac:dyDescent="0.2">
      <c r="A8741" s="597">
        <v>43862</v>
      </c>
      <c r="B8741" s="222" t="s">
        <v>2933</v>
      </c>
      <c r="C8741" s="222" t="s">
        <v>1495</v>
      </c>
      <c r="D8741" s="827" t="s">
        <v>370</v>
      </c>
      <c r="E8741" s="249">
        <v>1360</v>
      </c>
      <c r="F8741" s="249"/>
      <c r="G8741" s="249">
        <f t="shared" si="141"/>
        <v>-1360</v>
      </c>
      <c r="H8741" s="422" t="s">
        <v>5734</v>
      </c>
    </row>
    <row r="8742" spans="1:8" ht="15" x14ac:dyDescent="0.2">
      <c r="A8742" s="597">
        <v>43862</v>
      </c>
      <c r="B8742" s="222" t="s">
        <v>5746</v>
      </c>
      <c r="C8742" s="222" t="s">
        <v>3145</v>
      </c>
      <c r="D8742" s="827" t="s">
        <v>5747</v>
      </c>
      <c r="E8742" s="249">
        <v>3500</v>
      </c>
      <c r="F8742" s="249"/>
      <c r="G8742" s="249">
        <f t="shared" si="141"/>
        <v>-3500</v>
      </c>
      <c r="H8742" s="422" t="s">
        <v>5734</v>
      </c>
    </row>
    <row r="8743" spans="1:8" ht="15" x14ac:dyDescent="0.2">
      <c r="A8743" s="597">
        <v>43862</v>
      </c>
      <c r="B8743" s="222" t="s">
        <v>1400</v>
      </c>
      <c r="C8743" s="222" t="s">
        <v>2190</v>
      </c>
      <c r="D8743" s="827" t="s">
        <v>370</v>
      </c>
      <c r="E8743" s="249">
        <v>240</v>
      </c>
      <c r="F8743" s="249"/>
      <c r="G8743" s="249">
        <f t="shared" si="141"/>
        <v>-240</v>
      </c>
      <c r="H8743" s="422" t="s">
        <v>5734</v>
      </c>
    </row>
    <row r="8744" spans="1:8" ht="15" x14ac:dyDescent="0.2">
      <c r="A8744" s="597">
        <v>43862</v>
      </c>
      <c r="B8744" s="222" t="s">
        <v>1400</v>
      </c>
      <c r="C8744" s="222" t="s">
        <v>2190</v>
      </c>
      <c r="D8744" s="827" t="s">
        <v>370</v>
      </c>
      <c r="E8744" s="249">
        <v>1300</v>
      </c>
      <c r="F8744" s="249"/>
      <c r="G8744" s="249">
        <f t="shared" si="141"/>
        <v>-1300</v>
      </c>
      <c r="H8744" s="422" t="s">
        <v>5734</v>
      </c>
    </row>
    <row r="8745" spans="1:8" ht="15" x14ac:dyDescent="0.2">
      <c r="A8745" s="597">
        <v>43862</v>
      </c>
      <c r="B8745" s="222" t="s">
        <v>5641</v>
      </c>
      <c r="C8745" s="222" t="s">
        <v>2190</v>
      </c>
      <c r="D8745" s="827" t="s">
        <v>370</v>
      </c>
      <c r="E8745" s="249">
        <v>240</v>
      </c>
      <c r="F8745" s="249"/>
      <c r="G8745" s="249">
        <f t="shared" si="141"/>
        <v>-240</v>
      </c>
      <c r="H8745" s="422" t="s">
        <v>5734</v>
      </c>
    </row>
    <row r="8746" spans="1:8" ht="15" x14ac:dyDescent="0.2">
      <c r="A8746" s="597">
        <v>43862</v>
      </c>
      <c r="B8746" s="222" t="s">
        <v>5604</v>
      </c>
      <c r="C8746" s="222" t="s">
        <v>2190</v>
      </c>
      <c r="D8746" s="827" t="s">
        <v>370</v>
      </c>
      <c r="E8746" s="249">
        <v>240</v>
      </c>
      <c r="F8746" s="249"/>
      <c r="G8746" s="249">
        <f t="shared" si="141"/>
        <v>-240</v>
      </c>
      <c r="H8746" s="422" t="s">
        <v>5734</v>
      </c>
    </row>
    <row r="8747" spans="1:8" ht="15" x14ac:dyDescent="0.2">
      <c r="A8747" s="597">
        <v>43864</v>
      </c>
      <c r="B8747" s="222" t="s">
        <v>16</v>
      </c>
      <c r="C8747" s="222" t="s">
        <v>3364</v>
      </c>
      <c r="D8747" s="827" t="s">
        <v>370</v>
      </c>
      <c r="E8747" s="249">
        <v>4200</v>
      </c>
      <c r="F8747" s="249"/>
      <c r="G8747" s="249">
        <f t="shared" ref="G8747:G8810" si="142">F8747-E8747</f>
        <v>-4200</v>
      </c>
      <c r="H8747" s="422" t="s">
        <v>5734</v>
      </c>
    </row>
    <row r="8748" spans="1:8" ht="15" x14ac:dyDescent="0.2">
      <c r="A8748" s="597">
        <v>43864</v>
      </c>
      <c r="B8748" s="222" t="s">
        <v>5641</v>
      </c>
      <c r="C8748" s="222" t="s">
        <v>3145</v>
      </c>
      <c r="D8748" s="827" t="s">
        <v>5748</v>
      </c>
      <c r="E8748" s="249">
        <v>16000</v>
      </c>
      <c r="F8748" s="249"/>
      <c r="G8748" s="249">
        <f t="shared" si="142"/>
        <v>-16000</v>
      </c>
      <c r="H8748" s="422" t="s">
        <v>5734</v>
      </c>
    </row>
    <row r="8749" spans="1:8" ht="15" x14ac:dyDescent="0.2">
      <c r="A8749" s="597">
        <v>43864</v>
      </c>
      <c r="B8749" s="222" t="s">
        <v>5641</v>
      </c>
      <c r="C8749" s="222" t="s">
        <v>3145</v>
      </c>
      <c r="D8749" s="827" t="s">
        <v>5749</v>
      </c>
      <c r="E8749" s="249">
        <v>15500</v>
      </c>
      <c r="F8749" s="249"/>
      <c r="G8749" s="249">
        <f t="shared" si="142"/>
        <v>-15500</v>
      </c>
      <c r="H8749" s="422" t="s">
        <v>5734</v>
      </c>
    </row>
    <row r="8750" spans="1:8" ht="15" x14ac:dyDescent="0.2">
      <c r="A8750" s="597">
        <v>43864</v>
      </c>
      <c r="B8750" s="222" t="s">
        <v>5641</v>
      </c>
      <c r="C8750" s="222" t="s">
        <v>3145</v>
      </c>
      <c r="D8750" s="827" t="s">
        <v>5750</v>
      </c>
      <c r="E8750" s="249">
        <v>14300</v>
      </c>
      <c r="F8750" s="249"/>
      <c r="G8750" s="249">
        <f t="shared" si="142"/>
        <v>-14300</v>
      </c>
      <c r="H8750" s="422" t="s">
        <v>5734</v>
      </c>
    </row>
    <row r="8751" spans="1:8" ht="15" x14ac:dyDescent="0.2">
      <c r="A8751" s="597">
        <v>43864</v>
      </c>
      <c r="B8751" s="222" t="s">
        <v>1400</v>
      </c>
      <c r="C8751" s="222" t="s">
        <v>3145</v>
      </c>
      <c r="D8751" s="841" t="s">
        <v>5751</v>
      </c>
      <c r="E8751" s="249">
        <v>77880</v>
      </c>
      <c r="F8751" s="249"/>
      <c r="G8751" s="249">
        <f t="shared" si="142"/>
        <v>-77880</v>
      </c>
      <c r="H8751" s="422" t="s">
        <v>5734</v>
      </c>
    </row>
    <row r="8752" spans="1:8" ht="15" x14ac:dyDescent="0.2">
      <c r="A8752" s="597">
        <v>43864</v>
      </c>
      <c r="B8752" s="222" t="s">
        <v>1400</v>
      </c>
      <c r="C8752" s="222" t="s">
        <v>3145</v>
      </c>
      <c r="D8752" s="841" t="s">
        <v>5752</v>
      </c>
      <c r="E8752" s="249">
        <v>42500</v>
      </c>
      <c r="F8752" s="249"/>
      <c r="G8752" s="249">
        <f t="shared" si="142"/>
        <v>-42500</v>
      </c>
      <c r="H8752" s="422" t="s">
        <v>5734</v>
      </c>
    </row>
    <row r="8753" spans="1:8" ht="15" x14ac:dyDescent="0.2">
      <c r="A8753" s="597">
        <v>43864</v>
      </c>
      <c r="B8753" s="222" t="s">
        <v>5641</v>
      </c>
      <c r="C8753" s="222" t="s">
        <v>3145</v>
      </c>
      <c r="D8753" s="827" t="s">
        <v>5753</v>
      </c>
      <c r="E8753" s="249">
        <v>18388</v>
      </c>
      <c r="F8753" s="249"/>
      <c r="G8753" s="249">
        <f t="shared" si="142"/>
        <v>-18388</v>
      </c>
      <c r="H8753" s="422" t="s">
        <v>5734</v>
      </c>
    </row>
    <row r="8754" spans="1:8" ht="15" x14ac:dyDescent="0.2">
      <c r="A8754" s="597">
        <v>43864</v>
      </c>
      <c r="B8754" s="222" t="s">
        <v>2652</v>
      </c>
      <c r="C8754" s="222" t="s">
        <v>3145</v>
      </c>
      <c r="D8754" s="827" t="s">
        <v>5754</v>
      </c>
      <c r="E8754" s="249">
        <v>13000</v>
      </c>
      <c r="F8754" s="249"/>
      <c r="G8754" s="249">
        <f t="shared" si="142"/>
        <v>-13000</v>
      </c>
      <c r="H8754" s="422" t="s">
        <v>5734</v>
      </c>
    </row>
    <row r="8755" spans="1:8" ht="15" x14ac:dyDescent="0.2">
      <c r="A8755" s="597">
        <v>43864</v>
      </c>
      <c r="B8755" s="222" t="s">
        <v>2652</v>
      </c>
      <c r="C8755" s="222" t="s">
        <v>251</v>
      </c>
      <c r="D8755" s="827" t="s">
        <v>5298</v>
      </c>
      <c r="E8755" s="249">
        <v>5000</v>
      </c>
      <c r="F8755" s="249"/>
      <c r="G8755" s="249">
        <f t="shared" si="142"/>
        <v>-5000</v>
      </c>
      <c r="H8755" s="422" t="s">
        <v>5734</v>
      </c>
    </row>
    <row r="8756" spans="1:8" ht="15" x14ac:dyDescent="0.2">
      <c r="A8756" s="597">
        <v>43864</v>
      </c>
      <c r="B8756" s="222" t="s">
        <v>37</v>
      </c>
      <c r="C8756" s="222" t="s">
        <v>3145</v>
      </c>
      <c r="D8756" s="827" t="s">
        <v>5755</v>
      </c>
      <c r="E8756" s="249">
        <v>2000</v>
      </c>
      <c r="F8756" s="249"/>
      <c r="G8756" s="249">
        <f t="shared" si="142"/>
        <v>-2000</v>
      </c>
      <c r="H8756" s="422" t="s">
        <v>5734</v>
      </c>
    </row>
    <row r="8757" spans="1:8" ht="15" x14ac:dyDescent="0.2">
      <c r="A8757" s="597">
        <v>43864</v>
      </c>
      <c r="B8757" s="222" t="s">
        <v>5641</v>
      </c>
      <c r="C8757" s="222" t="s">
        <v>3145</v>
      </c>
      <c r="D8757" s="827" t="s">
        <v>4181</v>
      </c>
      <c r="E8757" s="249">
        <v>8130</v>
      </c>
      <c r="F8757" s="249"/>
      <c r="G8757" s="249">
        <f t="shared" si="142"/>
        <v>-8130</v>
      </c>
      <c r="H8757" s="422" t="s">
        <v>5734</v>
      </c>
    </row>
    <row r="8758" spans="1:8" ht="15" x14ac:dyDescent="0.2">
      <c r="A8758" s="597">
        <v>43864</v>
      </c>
      <c r="B8758" s="222" t="s">
        <v>16</v>
      </c>
      <c r="C8758" s="222" t="s">
        <v>392</v>
      </c>
      <c r="D8758" s="827"/>
      <c r="E8758" s="249">
        <v>1350</v>
      </c>
      <c r="F8758" s="249"/>
      <c r="G8758" s="249">
        <f t="shared" si="142"/>
        <v>-1350</v>
      </c>
      <c r="H8758" s="422" t="s">
        <v>5734</v>
      </c>
    </row>
    <row r="8759" spans="1:8" ht="15" x14ac:dyDescent="0.2">
      <c r="A8759" s="597">
        <v>43864</v>
      </c>
      <c r="B8759" s="222" t="s">
        <v>16</v>
      </c>
      <c r="C8759" s="222" t="s">
        <v>286</v>
      </c>
      <c r="D8759" s="827"/>
      <c r="E8759" s="249">
        <v>300</v>
      </c>
      <c r="F8759" s="249"/>
      <c r="G8759" s="249">
        <f t="shared" si="142"/>
        <v>-300</v>
      </c>
      <c r="H8759" s="422" t="s">
        <v>5734</v>
      </c>
    </row>
    <row r="8760" spans="1:8" ht="15" x14ac:dyDescent="0.2">
      <c r="A8760" s="597">
        <v>43864</v>
      </c>
      <c r="B8760" s="222" t="s">
        <v>5641</v>
      </c>
      <c r="C8760" s="222" t="s">
        <v>3145</v>
      </c>
      <c r="D8760" s="827" t="s">
        <v>5792</v>
      </c>
      <c r="E8760" s="249">
        <f>35390-E8761</f>
        <v>13890</v>
      </c>
      <c r="F8760" s="249"/>
      <c r="G8760" s="249">
        <f t="shared" si="142"/>
        <v>-13890</v>
      </c>
      <c r="H8760" s="422" t="s">
        <v>5734</v>
      </c>
    </row>
    <row r="8761" spans="1:8" ht="15" x14ac:dyDescent="0.2">
      <c r="A8761" s="597">
        <v>43864</v>
      </c>
      <c r="B8761" s="222" t="s">
        <v>2652</v>
      </c>
      <c r="C8761" s="222" t="s">
        <v>3145</v>
      </c>
      <c r="D8761" s="827"/>
      <c r="E8761" s="249">
        <v>21500</v>
      </c>
      <c r="F8761" s="249"/>
      <c r="G8761" s="249">
        <f t="shared" si="142"/>
        <v>-21500</v>
      </c>
      <c r="H8761" s="422" t="s">
        <v>5734</v>
      </c>
    </row>
    <row r="8762" spans="1:8" ht="15" x14ac:dyDescent="0.2">
      <c r="A8762" s="597">
        <v>43869</v>
      </c>
      <c r="B8762" s="222" t="s">
        <v>5641</v>
      </c>
      <c r="C8762" s="222" t="s">
        <v>3145</v>
      </c>
      <c r="D8762" s="827" t="s">
        <v>5793</v>
      </c>
      <c r="E8762" s="249">
        <v>22000</v>
      </c>
      <c r="F8762" s="249"/>
      <c r="G8762" s="249">
        <f t="shared" si="142"/>
        <v>-22000</v>
      </c>
      <c r="H8762" s="422" t="s">
        <v>5734</v>
      </c>
    </row>
    <row r="8763" spans="1:8" ht="15" x14ac:dyDescent="0.2">
      <c r="A8763" s="597">
        <v>43869</v>
      </c>
      <c r="B8763" s="222" t="s">
        <v>2657</v>
      </c>
      <c r="C8763" s="222" t="s">
        <v>2503</v>
      </c>
      <c r="D8763" s="827" t="s">
        <v>5794</v>
      </c>
      <c r="E8763" s="249">
        <v>4000</v>
      </c>
      <c r="F8763" s="249"/>
      <c r="G8763" s="249">
        <f t="shared" si="142"/>
        <v>-4000</v>
      </c>
      <c r="H8763" s="422" t="s">
        <v>5734</v>
      </c>
    </row>
    <row r="8764" spans="1:8" ht="15" x14ac:dyDescent="0.2">
      <c r="A8764" s="597">
        <v>43869</v>
      </c>
      <c r="B8764" s="222" t="s">
        <v>37</v>
      </c>
      <c r="C8764" s="222" t="s">
        <v>286</v>
      </c>
      <c r="D8764" s="827" t="s">
        <v>372</v>
      </c>
      <c r="E8764" s="249">
        <v>3000</v>
      </c>
      <c r="F8764" s="249"/>
      <c r="G8764" s="249">
        <f t="shared" si="142"/>
        <v>-3000</v>
      </c>
      <c r="H8764" s="422" t="s">
        <v>5734</v>
      </c>
    </row>
    <row r="8765" spans="1:8" ht="15" x14ac:dyDescent="0.2">
      <c r="A8765" s="597">
        <v>43869</v>
      </c>
      <c r="B8765" s="222" t="s">
        <v>5641</v>
      </c>
      <c r="C8765" s="222" t="s">
        <v>3145</v>
      </c>
      <c r="D8765" s="827" t="s">
        <v>149</v>
      </c>
      <c r="E8765" s="249">
        <f>8180/2</f>
        <v>4090</v>
      </c>
      <c r="F8765" s="249"/>
      <c r="G8765" s="249">
        <f t="shared" si="142"/>
        <v>-4090</v>
      </c>
      <c r="H8765" s="422" t="s">
        <v>5734</v>
      </c>
    </row>
    <row r="8766" spans="1:8" ht="15" x14ac:dyDescent="0.2">
      <c r="A8766" s="597">
        <v>43869</v>
      </c>
      <c r="B8766" s="222" t="s">
        <v>5604</v>
      </c>
      <c r="C8766" s="222" t="s">
        <v>3145</v>
      </c>
      <c r="D8766" s="827" t="s">
        <v>149</v>
      </c>
      <c r="E8766" s="249">
        <f>8180/2</f>
        <v>4090</v>
      </c>
      <c r="F8766" s="249"/>
      <c r="G8766" s="249">
        <f t="shared" si="142"/>
        <v>-4090</v>
      </c>
      <c r="H8766" s="422" t="s">
        <v>5734</v>
      </c>
    </row>
    <row r="8767" spans="1:8" ht="15" x14ac:dyDescent="0.2">
      <c r="A8767" s="597">
        <v>43869</v>
      </c>
      <c r="B8767" s="222" t="s">
        <v>2652</v>
      </c>
      <c r="C8767" s="222"/>
      <c r="D8767" s="827"/>
      <c r="E8767" s="249">
        <v>300</v>
      </c>
      <c r="F8767" s="249"/>
      <c r="G8767" s="249">
        <f t="shared" si="142"/>
        <v>-300</v>
      </c>
      <c r="H8767" s="422" t="s">
        <v>5734</v>
      </c>
    </row>
    <row r="8768" spans="1:8" ht="15" x14ac:dyDescent="0.2">
      <c r="A8768" s="597">
        <v>43869</v>
      </c>
      <c r="B8768" s="222" t="s">
        <v>2652</v>
      </c>
      <c r="C8768" s="222" t="s">
        <v>2190</v>
      </c>
      <c r="D8768" s="827"/>
      <c r="E8768" s="249">
        <v>300</v>
      </c>
      <c r="F8768" s="249"/>
      <c r="G8768" s="249">
        <f t="shared" si="142"/>
        <v>-300</v>
      </c>
      <c r="H8768" s="422" t="s">
        <v>5734</v>
      </c>
    </row>
    <row r="8769" spans="1:8" ht="15" customHeight="1" x14ac:dyDescent="0.2">
      <c r="A8769" s="597">
        <v>43869</v>
      </c>
      <c r="B8769" s="222" t="s">
        <v>1400</v>
      </c>
      <c r="C8769" s="222" t="s">
        <v>3145</v>
      </c>
      <c r="D8769" s="827" t="s">
        <v>5795</v>
      </c>
      <c r="E8769" s="249">
        <f>239565+1500+2000</f>
        <v>243065</v>
      </c>
      <c r="F8769" s="249"/>
      <c r="G8769" s="249">
        <f t="shared" si="142"/>
        <v>-243065</v>
      </c>
      <c r="H8769" s="422" t="s">
        <v>5734</v>
      </c>
    </row>
    <row r="8770" spans="1:8" ht="15" customHeight="1" x14ac:dyDescent="0.2">
      <c r="A8770" s="597">
        <v>43869</v>
      </c>
      <c r="B8770" s="222" t="s">
        <v>5604</v>
      </c>
      <c r="C8770" s="222" t="s">
        <v>5741</v>
      </c>
      <c r="D8770" s="827"/>
      <c r="E8770" s="249">
        <v>900</v>
      </c>
      <c r="F8770" s="249"/>
      <c r="G8770" s="249">
        <f t="shared" si="142"/>
        <v>-900</v>
      </c>
      <c r="H8770" s="422" t="s">
        <v>5734</v>
      </c>
    </row>
    <row r="8771" spans="1:8" ht="15" customHeight="1" x14ac:dyDescent="0.2">
      <c r="A8771" s="597">
        <v>43869</v>
      </c>
      <c r="B8771" s="222" t="s">
        <v>2652</v>
      </c>
      <c r="C8771" s="222"/>
      <c r="D8771" s="827"/>
      <c r="E8771" s="249">
        <v>960</v>
      </c>
      <c r="F8771" s="249"/>
      <c r="G8771" s="249">
        <f t="shared" si="142"/>
        <v>-960</v>
      </c>
      <c r="H8771" s="422" t="s">
        <v>5734</v>
      </c>
    </row>
    <row r="8772" spans="1:8" ht="15" x14ac:dyDescent="0.2">
      <c r="A8772" s="597">
        <v>43869</v>
      </c>
      <c r="B8772" s="222" t="s">
        <v>16</v>
      </c>
      <c r="C8772" s="222"/>
      <c r="D8772" s="827" t="s">
        <v>5410</v>
      </c>
      <c r="E8772" s="249">
        <v>8000</v>
      </c>
      <c r="F8772" s="249"/>
      <c r="G8772" s="249">
        <f t="shared" si="142"/>
        <v>-8000</v>
      </c>
      <c r="H8772" s="422" t="s">
        <v>5734</v>
      </c>
    </row>
    <row r="8773" spans="1:8" ht="15" x14ac:dyDescent="0.2">
      <c r="A8773" s="597">
        <v>43869</v>
      </c>
      <c r="B8773" s="222" t="s">
        <v>5641</v>
      </c>
      <c r="C8773" s="222" t="s">
        <v>3145</v>
      </c>
      <c r="D8773" s="827" t="s">
        <v>5792</v>
      </c>
      <c r="E8773" s="249">
        <v>1920</v>
      </c>
      <c r="F8773" s="249"/>
      <c r="G8773" s="249">
        <f t="shared" si="142"/>
        <v>-1920</v>
      </c>
      <c r="H8773" s="422" t="s">
        <v>5734</v>
      </c>
    </row>
    <row r="8774" spans="1:8" ht="15" x14ac:dyDescent="0.2">
      <c r="A8774" s="597">
        <v>43869</v>
      </c>
      <c r="B8774" s="222" t="s">
        <v>5641</v>
      </c>
      <c r="C8774" s="222" t="s">
        <v>3145</v>
      </c>
      <c r="D8774" s="827" t="s">
        <v>5792</v>
      </c>
      <c r="E8774" s="249">
        <v>4150</v>
      </c>
      <c r="F8774" s="249"/>
      <c r="G8774" s="249">
        <f t="shared" si="142"/>
        <v>-4150</v>
      </c>
      <c r="H8774" s="422" t="s">
        <v>5734</v>
      </c>
    </row>
    <row r="8775" spans="1:8" ht="15" x14ac:dyDescent="0.2">
      <c r="A8775" s="597">
        <v>43869</v>
      </c>
      <c r="B8775" s="222" t="s">
        <v>2652</v>
      </c>
      <c r="C8775" s="222" t="s">
        <v>4870</v>
      </c>
      <c r="D8775" s="827" t="s">
        <v>5796</v>
      </c>
      <c r="E8775" s="249">
        <v>45400</v>
      </c>
      <c r="F8775" s="249"/>
      <c r="G8775" s="249">
        <f t="shared" si="142"/>
        <v>-45400</v>
      </c>
      <c r="H8775" s="422" t="s">
        <v>5734</v>
      </c>
    </row>
    <row r="8776" spans="1:8" ht="15" x14ac:dyDescent="0.2">
      <c r="A8776" s="597">
        <v>43872</v>
      </c>
      <c r="B8776" s="222" t="s">
        <v>2652</v>
      </c>
      <c r="C8776" s="222" t="s">
        <v>3145</v>
      </c>
      <c r="D8776" s="827" t="s">
        <v>5792</v>
      </c>
      <c r="E8776" s="249">
        <v>12210</v>
      </c>
      <c r="F8776" s="249"/>
      <c r="G8776" s="249">
        <f t="shared" si="142"/>
        <v>-12210</v>
      </c>
      <c r="H8776" s="422" t="s">
        <v>5734</v>
      </c>
    </row>
    <row r="8777" spans="1:8" ht="15" x14ac:dyDescent="0.2">
      <c r="A8777" s="597">
        <v>43872</v>
      </c>
      <c r="B8777" s="222" t="s">
        <v>1400</v>
      </c>
      <c r="C8777" s="222" t="s">
        <v>3145</v>
      </c>
      <c r="D8777" s="827"/>
      <c r="E8777" s="249">
        <v>1000</v>
      </c>
      <c r="F8777" s="249"/>
      <c r="G8777" s="249">
        <f t="shared" si="142"/>
        <v>-1000</v>
      </c>
      <c r="H8777" s="422" t="s">
        <v>5734</v>
      </c>
    </row>
    <row r="8778" spans="1:8" ht="15" x14ac:dyDescent="0.2">
      <c r="A8778" s="597">
        <v>43872</v>
      </c>
      <c r="B8778" s="222" t="s">
        <v>1400</v>
      </c>
      <c r="C8778" s="222" t="s">
        <v>3145</v>
      </c>
      <c r="D8778" s="827" t="s">
        <v>5694</v>
      </c>
      <c r="E8778" s="249">
        <v>32109</v>
      </c>
      <c r="F8778" s="249"/>
      <c r="G8778" s="249">
        <f t="shared" si="142"/>
        <v>-32109</v>
      </c>
      <c r="H8778" s="422" t="s">
        <v>5734</v>
      </c>
    </row>
    <row r="8779" spans="1:8" ht="15" x14ac:dyDescent="0.2">
      <c r="A8779" s="597">
        <v>43872</v>
      </c>
      <c r="B8779" s="222" t="s">
        <v>5544</v>
      </c>
      <c r="C8779" s="222" t="s">
        <v>3145</v>
      </c>
      <c r="D8779" s="827" t="s">
        <v>5707</v>
      </c>
      <c r="E8779" s="249">
        <v>2150</v>
      </c>
      <c r="F8779" s="249"/>
      <c r="G8779" s="249">
        <f t="shared" si="142"/>
        <v>-2150</v>
      </c>
      <c r="H8779" s="422" t="s">
        <v>5734</v>
      </c>
    </row>
    <row r="8780" spans="1:8" ht="15" x14ac:dyDescent="0.2">
      <c r="A8780" s="597">
        <v>43872</v>
      </c>
      <c r="B8780" s="222" t="s">
        <v>2652</v>
      </c>
      <c r="C8780" s="222" t="s">
        <v>3145</v>
      </c>
      <c r="D8780" s="827" t="s">
        <v>5707</v>
      </c>
      <c r="E8780" s="249">
        <v>2050</v>
      </c>
      <c r="F8780" s="249"/>
      <c r="G8780" s="249">
        <f t="shared" si="142"/>
        <v>-2050</v>
      </c>
      <c r="H8780" s="422" t="s">
        <v>5734</v>
      </c>
    </row>
    <row r="8781" spans="1:8" ht="15" x14ac:dyDescent="0.2">
      <c r="A8781" s="597">
        <v>43872</v>
      </c>
      <c r="B8781" s="222" t="s">
        <v>1400</v>
      </c>
      <c r="C8781" s="222" t="s">
        <v>3033</v>
      </c>
      <c r="D8781" s="827"/>
      <c r="E8781" s="249">
        <v>4000</v>
      </c>
      <c r="F8781" s="249"/>
      <c r="G8781" s="249">
        <f t="shared" si="142"/>
        <v>-4000</v>
      </c>
      <c r="H8781" s="422" t="s">
        <v>5734</v>
      </c>
    </row>
    <row r="8782" spans="1:8" ht="15" x14ac:dyDescent="0.2">
      <c r="A8782" s="597">
        <v>43872</v>
      </c>
      <c r="B8782" s="222" t="s">
        <v>1400</v>
      </c>
      <c r="C8782" s="222" t="s">
        <v>3033</v>
      </c>
      <c r="D8782" s="827"/>
      <c r="E8782" s="249">
        <v>4000</v>
      </c>
      <c r="F8782" s="249"/>
      <c r="G8782" s="249">
        <f t="shared" si="142"/>
        <v>-4000</v>
      </c>
      <c r="H8782" s="422" t="s">
        <v>5734</v>
      </c>
    </row>
    <row r="8783" spans="1:8" ht="15" x14ac:dyDescent="0.2">
      <c r="A8783" s="597">
        <v>43872</v>
      </c>
      <c r="B8783" s="222" t="s">
        <v>6516</v>
      </c>
      <c r="C8783" s="222" t="s">
        <v>3145</v>
      </c>
      <c r="D8783" s="827" t="s">
        <v>372</v>
      </c>
      <c r="E8783" s="249">
        <v>5860</v>
      </c>
      <c r="F8783" s="249"/>
      <c r="G8783" s="249">
        <f t="shared" si="142"/>
        <v>-5860</v>
      </c>
      <c r="H8783" s="422" t="s">
        <v>5734</v>
      </c>
    </row>
    <row r="8784" spans="1:8" ht="15" x14ac:dyDescent="0.2">
      <c r="A8784" s="597">
        <v>43872</v>
      </c>
      <c r="B8784" s="222" t="s">
        <v>5641</v>
      </c>
      <c r="C8784" s="222" t="s">
        <v>3145</v>
      </c>
      <c r="D8784" s="827" t="s">
        <v>5792</v>
      </c>
      <c r="E8784" s="249">
        <v>3000</v>
      </c>
      <c r="F8784" s="249"/>
      <c r="G8784" s="249">
        <f t="shared" si="142"/>
        <v>-3000</v>
      </c>
      <c r="H8784" s="422" t="s">
        <v>5734</v>
      </c>
    </row>
    <row r="8785" spans="1:8" ht="15" x14ac:dyDescent="0.2">
      <c r="A8785" s="597">
        <v>43872</v>
      </c>
      <c r="B8785" s="222" t="s">
        <v>5746</v>
      </c>
      <c r="C8785" s="222" t="s">
        <v>3145</v>
      </c>
      <c r="D8785" s="827" t="s">
        <v>5797</v>
      </c>
      <c r="E8785" s="249">
        <v>7316</v>
      </c>
      <c r="F8785" s="249"/>
      <c r="G8785" s="249">
        <f t="shared" si="142"/>
        <v>-7316</v>
      </c>
      <c r="H8785" s="422" t="s">
        <v>5734</v>
      </c>
    </row>
    <row r="8786" spans="1:8" ht="15" x14ac:dyDescent="0.2">
      <c r="A8786" s="597">
        <v>43879</v>
      </c>
      <c r="B8786" s="222" t="s">
        <v>5604</v>
      </c>
      <c r="C8786" s="222" t="s">
        <v>2190</v>
      </c>
      <c r="D8786" s="827"/>
      <c r="E8786" s="249">
        <v>300</v>
      </c>
      <c r="F8786" s="249"/>
      <c r="G8786" s="249">
        <f t="shared" si="142"/>
        <v>-300</v>
      </c>
      <c r="H8786" s="422" t="s">
        <v>5734</v>
      </c>
    </row>
    <row r="8787" spans="1:8" ht="15" x14ac:dyDescent="0.2">
      <c r="A8787" s="597">
        <v>43879</v>
      </c>
      <c r="B8787" s="222" t="s">
        <v>2652</v>
      </c>
      <c r="C8787" s="222" t="s">
        <v>3145</v>
      </c>
      <c r="D8787" s="827" t="s">
        <v>5798</v>
      </c>
      <c r="E8787" s="249">
        <v>5000</v>
      </c>
      <c r="F8787" s="249"/>
      <c r="G8787" s="249">
        <f t="shared" si="142"/>
        <v>-5000</v>
      </c>
      <c r="H8787" s="422" t="s">
        <v>5734</v>
      </c>
    </row>
    <row r="8788" spans="1:8" ht="15" x14ac:dyDescent="0.2">
      <c r="A8788" s="597">
        <v>43879</v>
      </c>
      <c r="B8788" s="222" t="s">
        <v>5641</v>
      </c>
      <c r="C8788" s="222" t="s">
        <v>3145</v>
      </c>
      <c r="D8788" s="827" t="s">
        <v>5792</v>
      </c>
      <c r="E8788" s="249">
        <v>3941</v>
      </c>
      <c r="F8788" s="249"/>
      <c r="G8788" s="249">
        <f t="shared" si="142"/>
        <v>-3941</v>
      </c>
      <c r="H8788" s="422" t="s">
        <v>5734</v>
      </c>
    </row>
    <row r="8789" spans="1:8" ht="15" x14ac:dyDescent="0.2">
      <c r="A8789" s="597">
        <v>43879</v>
      </c>
      <c r="B8789" s="222" t="s">
        <v>5746</v>
      </c>
      <c r="C8789" s="222" t="s">
        <v>3145</v>
      </c>
      <c r="D8789" s="827" t="s">
        <v>5792</v>
      </c>
      <c r="E8789" s="249">
        <v>3500</v>
      </c>
      <c r="F8789" s="249"/>
      <c r="G8789" s="249">
        <f t="shared" si="142"/>
        <v>-3500</v>
      </c>
      <c r="H8789" s="422" t="s">
        <v>5734</v>
      </c>
    </row>
    <row r="8790" spans="1:8" ht="15" x14ac:dyDescent="0.2">
      <c r="A8790" s="597">
        <v>43879</v>
      </c>
      <c r="B8790" s="222" t="s">
        <v>1400</v>
      </c>
      <c r="C8790" s="222" t="s">
        <v>3145</v>
      </c>
      <c r="D8790" s="827" t="s">
        <v>5792</v>
      </c>
      <c r="E8790" s="249">
        <v>33010</v>
      </c>
      <c r="F8790" s="249"/>
      <c r="G8790" s="249">
        <f t="shared" si="142"/>
        <v>-33010</v>
      </c>
      <c r="H8790" s="422" t="s">
        <v>5734</v>
      </c>
    </row>
    <row r="8791" spans="1:8" ht="15" x14ac:dyDescent="0.2">
      <c r="A8791" s="597">
        <v>43879</v>
      </c>
      <c r="B8791" s="222" t="s">
        <v>5604</v>
      </c>
      <c r="C8791" s="222" t="s">
        <v>3145</v>
      </c>
      <c r="D8791" s="827" t="s">
        <v>5792</v>
      </c>
      <c r="E8791" s="249">
        <v>3000</v>
      </c>
      <c r="F8791" s="249"/>
      <c r="G8791" s="249">
        <f t="shared" si="142"/>
        <v>-3000</v>
      </c>
      <c r="H8791" s="422" t="s">
        <v>5734</v>
      </c>
    </row>
    <row r="8792" spans="1:8" ht="15" x14ac:dyDescent="0.2">
      <c r="A8792" s="597">
        <v>43879</v>
      </c>
      <c r="B8792" s="222" t="s">
        <v>1400</v>
      </c>
      <c r="C8792" s="222" t="s">
        <v>3145</v>
      </c>
      <c r="D8792" s="827" t="s">
        <v>5792</v>
      </c>
      <c r="E8792" s="249">
        <v>5310</v>
      </c>
      <c r="F8792" s="249"/>
      <c r="G8792" s="249">
        <f t="shared" si="142"/>
        <v>-5310</v>
      </c>
      <c r="H8792" s="422" t="s">
        <v>5734</v>
      </c>
    </row>
    <row r="8793" spans="1:8" ht="15" x14ac:dyDescent="0.2">
      <c r="A8793" s="597">
        <v>43879</v>
      </c>
      <c r="B8793" s="222" t="s">
        <v>1400</v>
      </c>
      <c r="C8793" s="222" t="s">
        <v>392</v>
      </c>
      <c r="D8793" s="827" t="s">
        <v>5799</v>
      </c>
      <c r="E8793" s="249">
        <v>700</v>
      </c>
      <c r="F8793" s="249"/>
      <c r="G8793" s="249">
        <f t="shared" si="142"/>
        <v>-700</v>
      </c>
      <c r="H8793" s="422" t="s">
        <v>5734</v>
      </c>
    </row>
    <row r="8794" spans="1:8" ht="15" x14ac:dyDescent="0.2">
      <c r="A8794" s="597">
        <v>43879</v>
      </c>
      <c r="B8794" s="222" t="s">
        <v>2652</v>
      </c>
      <c r="C8794" s="222" t="s">
        <v>1495</v>
      </c>
      <c r="D8794" s="827" t="s">
        <v>5800</v>
      </c>
      <c r="E8794" s="249">
        <v>3000</v>
      </c>
      <c r="F8794" s="249"/>
      <c r="G8794" s="249">
        <f t="shared" si="142"/>
        <v>-3000</v>
      </c>
      <c r="H8794" s="422" t="s">
        <v>5734</v>
      </c>
    </row>
    <row r="8795" spans="1:8" ht="15" x14ac:dyDescent="0.2">
      <c r="A8795" s="597">
        <v>43883</v>
      </c>
      <c r="B8795" s="222" t="s">
        <v>5641</v>
      </c>
      <c r="C8795" s="222" t="s">
        <v>3145</v>
      </c>
      <c r="D8795" s="827" t="s">
        <v>3253</v>
      </c>
      <c r="E8795" s="249">
        <v>58500</v>
      </c>
      <c r="F8795" s="249"/>
      <c r="G8795" s="249">
        <f t="shared" si="142"/>
        <v>-58500</v>
      </c>
      <c r="H8795" s="422" t="s">
        <v>5734</v>
      </c>
    </row>
    <row r="8796" spans="1:8" ht="15" x14ac:dyDescent="0.2">
      <c r="A8796" s="597">
        <v>43883</v>
      </c>
      <c r="B8796" s="222" t="s">
        <v>2933</v>
      </c>
      <c r="C8796" s="222" t="s">
        <v>3145</v>
      </c>
      <c r="D8796" s="827" t="s">
        <v>3253</v>
      </c>
      <c r="E8796" s="249">
        <v>5940</v>
      </c>
      <c r="F8796" s="249"/>
      <c r="G8796" s="249">
        <f t="shared" si="142"/>
        <v>-5940</v>
      </c>
      <c r="H8796" s="422" t="s">
        <v>5734</v>
      </c>
    </row>
    <row r="8797" spans="1:8" ht="15" x14ac:dyDescent="0.2">
      <c r="A8797" s="597">
        <v>43883</v>
      </c>
      <c r="B8797" s="222" t="s">
        <v>4553</v>
      </c>
      <c r="C8797" s="222" t="s">
        <v>3145</v>
      </c>
      <c r="D8797" s="827" t="s">
        <v>4522</v>
      </c>
      <c r="E8797" s="249">
        <f>31440/3</f>
        <v>10480</v>
      </c>
      <c r="F8797" s="249"/>
      <c r="G8797" s="249">
        <f t="shared" si="142"/>
        <v>-10480</v>
      </c>
      <c r="H8797" s="422" t="s">
        <v>5734</v>
      </c>
    </row>
    <row r="8798" spans="1:8" ht="15" x14ac:dyDescent="0.2">
      <c r="A8798" s="597">
        <v>43883</v>
      </c>
      <c r="B8798" s="222" t="s">
        <v>2933</v>
      </c>
      <c r="C8798" s="222" t="s">
        <v>3145</v>
      </c>
      <c r="D8798" s="827" t="s">
        <v>4522</v>
      </c>
      <c r="E8798" s="249">
        <f>31440/3</f>
        <v>10480</v>
      </c>
      <c r="F8798" s="249"/>
      <c r="G8798" s="249">
        <f t="shared" si="142"/>
        <v>-10480</v>
      </c>
      <c r="H8798" s="422" t="s">
        <v>5734</v>
      </c>
    </row>
    <row r="8799" spans="1:8" ht="15" x14ac:dyDescent="0.2">
      <c r="A8799" s="597">
        <v>43883</v>
      </c>
      <c r="B8799" s="222" t="s">
        <v>5052</v>
      </c>
      <c r="C8799" s="222" t="s">
        <v>3145</v>
      </c>
      <c r="D8799" s="827" t="s">
        <v>4522</v>
      </c>
      <c r="E8799" s="249">
        <f>31440/3</f>
        <v>10480</v>
      </c>
      <c r="F8799" s="249"/>
      <c r="G8799" s="249">
        <f t="shared" si="142"/>
        <v>-10480</v>
      </c>
      <c r="H8799" s="422" t="s">
        <v>5734</v>
      </c>
    </row>
    <row r="8800" spans="1:8" ht="15" x14ac:dyDescent="0.2">
      <c r="A8800" s="597">
        <v>43883</v>
      </c>
      <c r="B8800" s="222" t="s">
        <v>1400</v>
      </c>
      <c r="C8800" s="222" t="s">
        <v>3145</v>
      </c>
      <c r="D8800" s="827" t="s">
        <v>5694</v>
      </c>
      <c r="E8800" s="249">
        <v>32475</v>
      </c>
      <c r="F8800" s="249"/>
      <c r="G8800" s="249">
        <f t="shared" si="142"/>
        <v>-32475</v>
      </c>
      <c r="H8800" s="422" t="s">
        <v>5734</v>
      </c>
    </row>
    <row r="8801" spans="1:8" ht="15" x14ac:dyDescent="0.2">
      <c r="A8801" s="597">
        <v>43883</v>
      </c>
      <c r="B8801" s="222" t="s">
        <v>5604</v>
      </c>
      <c r="C8801" s="222" t="s">
        <v>3145</v>
      </c>
      <c r="D8801" s="827" t="s">
        <v>3253</v>
      </c>
      <c r="E8801" s="249">
        <v>21475</v>
      </c>
      <c r="F8801" s="249"/>
      <c r="G8801" s="249">
        <f t="shared" si="142"/>
        <v>-21475</v>
      </c>
      <c r="H8801" s="422" t="s">
        <v>5734</v>
      </c>
    </row>
    <row r="8802" spans="1:8" ht="15" x14ac:dyDescent="0.2">
      <c r="A8802" s="597">
        <v>43883</v>
      </c>
      <c r="B8802" s="222" t="s">
        <v>1400</v>
      </c>
      <c r="C8802" s="222" t="s">
        <v>3145</v>
      </c>
      <c r="D8802" s="827" t="s">
        <v>5694</v>
      </c>
      <c r="E8802" s="249">
        <v>20355</v>
      </c>
      <c r="F8802" s="249"/>
      <c r="G8802" s="249">
        <f t="shared" si="142"/>
        <v>-20355</v>
      </c>
      <c r="H8802" s="422" t="s">
        <v>5734</v>
      </c>
    </row>
    <row r="8803" spans="1:8" ht="15" x14ac:dyDescent="0.2">
      <c r="A8803" s="597">
        <v>43883</v>
      </c>
      <c r="B8803" s="222" t="s">
        <v>2652</v>
      </c>
      <c r="C8803" s="222" t="s">
        <v>3145</v>
      </c>
      <c r="D8803" s="827" t="s">
        <v>3991</v>
      </c>
      <c r="E8803" s="249">
        <v>3950</v>
      </c>
      <c r="F8803" s="249"/>
      <c r="G8803" s="249">
        <f t="shared" si="142"/>
        <v>-3950</v>
      </c>
      <c r="H8803" s="422" t="s">
        <v>5734</v>
      </c>
    </row>
    <row r="8804" spans="1:8" ht="15" x14ac:dyDescent="0.2">
      <c r="A8804" s="612">
        <v>43885</v>
      </c>
      <c r="B8804" s="399" t="s">
        <v>5604</v>
      </c>
      <c r="C8804" s="222" t="s">
        <v>3145</v>
      </c>
      <c r="D8804" s="827" t="s">
        <v>5843</v>
      </c>
      <c r="E8804" s="432">
        <v>83585</v>
      </c>
      <c r="F8804" s="432"/>
      <c r="G8804" s="432">
        <f t="shared" si="142"/>
        <v>-83585</v>
      </c>
      <c r="H8804" s="422" t="s">
        <v>5734</v>
      </c>
    </row>
    <row r="8805" spans="1:8" ht="15" x14ac:dyDescent="0.2">
      <c r="A8805" s="597">
        <v>43885</v>
      </c>
      <c r="B8805" s="41" t="s">
        <v>5641</v>
      </c>
      <c r="C8805" s="222" t="s">
        <v>3145</v>
      </c>
      <c r="D8805" s="108" t="s">
        <v>4228</v>
      </c>
      <c r="E8805" s="42">
        <v>6680</v>
      </c>
      <c r="G8805" s="42">
        <f t="shared" si="142"/>
        <v>-6680</v>
      </c>
      <c r="H8805" s="121" t="s">
        <v>5734</v>
      </c>
    </row>
    <row r="8806" spans="1:8" ht="15" x14ac:dyDescent="0.2">
      <c r="A8806" s="597">
        <v>43885</v>
      </c>
      <c r="B8806" s="41" t="s">
        <v>2652</v>
      </c>
      <c r="C8806" s="222" t="s">
        <v>3145</v>
      </c>
      <c r="D8806" s="108" t="s">
        <v>4228</v>
      </c>
      <c r="E8806" s="42">
        <v>6500</v>
      </c>
      <c r="G8806" s="42">
        <f t="shared" si="142"/>
        <v>-6500</v>
      </c>
      <c r="H8806" s="121" t="s">
        <v>5734</v>
      </c>
    </row>
    <row r="8807" spans="1:8" ht="15" x14ac:dyDescent="0.2">
      <c r="A8807" s="597">
        <v>43885</v>
      </c>
      <c r="B8807" s="41" t="s">
        <v>5641</v>
      </c>
      <c r="C8807" s="222" t="s">
        <v>3145</v>
      </c>
      <c r="D8807" s="108" t="s">
        <v>4228</v>
      </c>
      <c r="E8807" s="42">
        <f>10116-E8806</f>
        <v>3616</v>
      </c>
      <c r="G8807" s="42">
        <f t="shared" si="142"/>
        <v>-3616</v>
      </c>
      <c r="H8807" s="121" t="s">
        <v>5734</v>
      </c>
    </row>
    <row r="8808" spans="1:8" ht="15" x14ac:dyDescent="0.2">
      <c r="A8808" s="597">
        <v>43885</v>
      </c>
      <c r="B8808" s="41" t="s">
        <v>25</v>
      </c>
      <c r="C8808" s="222" t="s">
        <v>4428</v>
      </c>
      <c r="E8808" s="42">
        <v>660</v>
      </c>
      <c r="G8808" s="42">
        <f t="shared" si="142"/>
        <v>-660</v>
      </c>
      <c r="H8808" s="121" t="s">
        <v>5734</v>
      </c>
    </row>
    <row r="8809" spans="1:8" ht="15" x14ac:dyDescent="0.2">
      <c r="A8809" s="597">
        <v>43885</v>
      </c>
      <c r="B8809" s="41" t="s">
        <v>1400</v>
      </c>
      <c r="C8809" s="41" t="s">
        <v>5741</v>
      </c>
      <c r="D8809" s="108" t="s">
        <v>5844</v>
      </c>
      <c r="E8809" s="42">
        <v>350</v>
      </c>
      <c r="G8809" s="42">
        <f t="shared" si="142"/>
        <v>-350</v>
      </c>
      <c r="H8809" s="121" t="s">
        <v>5734</v>
      </c>
    </row>
    <row r="8810" spans="1:8" ht="15" x14ac:dyDescent="0.2">
      <c r="A8810" s="597">
        <v>43885</v>
      </c>
      <c r="B8810" s="41" t="s">
        <v>5746</v>
      </c>
      <c r="C8810" s="41" t="s">
        <v>392</v>
      </c>
      <c r="D8810" s="108" t="s">
        <v>1584</v>
      </c>
      <c r="E8810" s="42">
        <v>1000</v>
      </c>
      <c r="G8810" s="42">
        <f t="shared" si="142"/>
        <v>-1000</v>
      </c>
      <c r="H8810" s="121" t="s">
        <v>5734</v>
      </c>
    </row>
    <row r="8811" spans="1:8" ht="15" x14ac:dyDescent="0.2">
      <c r="A8811" s="597">
        <v>43885</v>
      </c>
      <c r="B8811" s="41" t="s">
        <v>5604</v>
      </c>
      <c r="C8811" s="41" t="s">
        <v>3145</v>
      </c>
      <c r="D8811" s="108" t="s">
        <v>4181</v>
      </c>
      <c r="E8811" s="42">
        <v>20220</v>
      </c>
      <c r="G8811" s="42">
        <f t="shared" ref="G8811:G8874" si="143">F8811-E8811</f>
        <v>-20220</v>
      </c>
      <c r="H8811" s="121" t="s">
        <v>5734</v>
      </c>
    </row>
    <row r="8812" spans="1:8" ht="15" x14ac:dyDescent="0.2">
      <c r="A8812" s="597">
        <v>43885</v>
      </c>
      <c r="B8812" s="41" t="s">
        <v>2652</v>
      </c>
      <c r="C8812" s="41" t="s">
        <v>3145</v>
      </c>
      <c r="D8812" s="108" t="s">
        <v>5802</v>
      </c>
      <c r="E8812" s="42">
        <v>4000</v>
      </c>
      <c r="G8812" s="42">
        <f t="shared" si="143"/>
        <v>-4000</v>
      </c>
      <c r="H8812" s="121" t="s">
        <v>5734</v>
      </c>
    </row>
    <row r="8813" spans="1:8" ht="24" x14ac:dyDescent="0.2">
      <c r="A8813" s="597">
        <v>43885</v>
      </c>
      <c r="B8813" s="41" t="s">
        <v>1400</v>
      </c>
      <c r="C8813" s="41" t="s">
        <v>3145</v>
      </c>
      <c r="D8813" s="129" t="s">
        <v>5803</v>
      </c>
      <c r="E8813" s="42">
        <v>15000</v>
      </c>
      <c r="G8813" s="42">
        <f t="shared" si="143"/>
        <v>-15000</v>
      </c>
      <c r="H8813" s="121" t="s">
        <v>5734</v>
      </c>
    </row>
    <row r="8814" spans="1:8" ht="24" x14ac:dyDescent="0.2">
      <c r="A8814" s="597">
        <v>43885</v>
      </c>
      <c r="B8814" s="41" t="s">
        <v>1400</v>
      </c>
      <c r="C8814" s="41" t="s">
        <v>3145</v>
      </c>
      <c r="D8814" s="129" t="s">
        <v>5804</v>
      </c>
      <c r="E8814" s="42">
        <v>180000</v>
      </c>
      <c r="G8814" s="42">
        <f t="shared" si="143"/>
        <v>-180000</v>
      </c>
      <c r="H8814" s="121" t="s">
        <v>5734</v>
      </c>
    </row>
    <row r="8815" spans="1:8" ht="15" x14ac:dyDescent="0.2">
      <c r="A8815" s="597">
        <v>43888</v>
      </c>
      <c r="B8815" s="41" t="s">
        <v>1400</v>
      </c>
      <c r="C8815" s="41" t="s">
        <v>3145</v>
      </c>
      <c r="D8815" s="129" t="s">
        <v>4181</v>
      </c>
      <c r="E8815" s="42">
        <f>6000</f>
        <v>6000</v>
      </c>
      <c r="G8815" s="42">
        <f t="shared" si="143"/>
        <v>-6000</v>
      </c>
      <c r="H8815" s="121" t="s">
        <v>5734</v>
      </c>
    </row>
    <row r="8816" spans="1:8" ht="15" x14ac:dyDescent="0.2">
      <c r="A8816" s="597">
        <v>43888</v>
      </c>
      <c r="B8816" s="41" t="s">
        <v>5604</v>
      </c>
      <c r="C8816" s="41" t="s">
        <v>3145</v>
      </c>
      <c r="D8816" s="129" t="s">
        <v>4181</v>
      </c>
      <c r="E8816" s="42">
        <f>8000-E8815</f>
        <v>2000</v>
      </c>
      <c r="G8816" s="42">
        <f t="shared" si="143"/>
        <v>-2000</v>
      </c>
      <c r="H8816" s="121" t="s">
        <v>5734</v>
      </c>
    </row>
    <row r="8817" spans="1:8" ht="15" x14ac:dyDescent="0.2">
      <c r="A8817" s="597">
        <v>43888</v>
      </c>
      <c r="B8817" s="41" t="s">
        <v>5746</v>
      </c>
      <c r="C8817" s="41" t="s">
        <v>5741</v>
      </c>
      <c r="D8817" s="129" t="s">
        <v>370</v>
      </c>
      <c r="E8817" s="42">
        <v>1000</v>
      </c>
      <c r="G8817" s="42">
        <f t="shared" si="143"/>
        <v>-1000</v>
      </c>
      <c r="H8817" s="121" t="s">
        <v>5734</v>
      </c>
    </row>
    <row r="8818" spans="1:8" ht="15" x14ac:dyDescent="0.2">
      <c r="A8818" s="597">
        <v>43888</v>
      </c>
      <c r="B8818" s="41" t="s">
        <v>1400</v>
      </c>
      <c r="C8818" s="41" t="s">
        <v>5652</v>
      </c>
      <c r="D8818" s="129" t="s">
        <v>5805</v>
      </c>
      <c r="E8818" s="42">
        <v>23000</v>
      </c>
      <c r="G8818" s="42">
        <f t="shared" si="143"/>
        <v>-23000</v>
      </c>
      <c r="H8818" s="121" t="s">
        <v>5734</v>
      </c>
    </row>
    <row r="8819" spans="1:8" ht="15" x14ac:dyDescent="0.2">
      <c r="A8819" s="597">
        <v>43889</v>
      </c>
      <c r="B8819" s="41" t="s">
        <v>2652</v>
      </c>
      <c r="C8819" s="41" t="s">
        <v>895</v>
      </c>
      <c r="D8819" s="129" t="s">
        <v>5806</v>
      </c>
      <c r="E8819" s="42">
        <v>50000</v>
      </c>
      <c r="G8819" s="42">
        <f t="shared" si="143"/>
        <v>-50000</v>
      </c>
      <c r="H8819" s="121" t="s">
        <v>5734</v>
      </c>
    </row>
    <row r="8820" spans="1:8" ht="15" x14ac:dyDescent="0.2">
      <c r="A8820" s="597">
        <v>43889</v>
      </c>
      <c r="B8820" s="41" t="s">
        <v>1400</v>
      </c>
      <c r="C8820" s="41" t="s">
        <v>4730</v>
      </c>
      <c r="D8820" s="129" t="s">
        <v>5807</v>
      </c>
      <c r="E8820" s="42">
        <v>40600</v>
      </c>
      <c r="G8820" s="42">
        <f t="shared" si="143"/>
        <v>-40600</v>
      </c>
      <c r="H8820" s="121" t="s">
        <v>5734</v>
      </c>
    </row>
    <row r="8821" spans="1:8" ht="15" x14ac:dyDescent="0.2">
      <c r="A8821" s="597">
        <v>43889</v>
      </c>
      <c r="B8821" s="41" t="s">
        <v>1400</v>
      </c>
      <c r="C8821" s="41" t="s">
        <v>4908</v>
      </c>
      <c r="D8821" s="129" t="s">
        <v>5808</v>
      </c>
      <c r="E8821" s="42">
        <v>15000</v>
      </c>
      <c r="G8821" s="42">
        <f t="shared" si="143"/>
        <v>-15000</v>
      </c>
      <c r="H8821" s="121" t="s">
        <v>5734</v>
      </c>
    </row>
    <row r="8822" spans="1:8" ht="15" x14ac:dyDescent="0.2">
      <c r="A8822" s="597">
        <v>43890</v>
      </c>
      <c r="B8822" s="41" t="s">
        <v>1400</v>
      </c>
      <c r="C8822" s="41" t="s">
        <v>3145</v>
      </c>
      <c r="D8822" s="129" t="s">
        <v>5810</v>
      </c>
      <c r="E8822" s="42">
        <v>11100</v>
      </c>
      <c r="G8822" s="42">
        <f t="shared" si="143"/>
        <v>-11100</v>
      </c>
      <c r="H8822" s="121" t="s">
        <v>5734</v>
      </c>
    </row>
    <row r="8823" spans="1:8" ht="15" x14ac:dyDescent="0.2">
      <c r="A8823" s="597">
        <v>43890</v>
      </c>
      <c r="B8823" s="41" t="s">
        <v>1400</v>
      </c>
      <c r="C8823" s="41" t="s">
        <v>5741</v>
      </c>
      <c r="D8823" s="129" t="s">
        <v>370</v>
      </c>
      <c r="E8823" s="42">
        <v>2000</v>
      </c>
      <c r="G8823" s="42">
        <f t="shared" si="143"/>
        <v>-2000</v>
      </c>
      <c r="H8823" s="121" t="s">
        <v>5734</v>
      </c>
    </row>
    <row r="8824" spans="1:8" ht="15" x14ac:dyDescent="0.2">
      <c r="A8824" s="597">
        <v>43890</v>
      </c>
      <c r="B8824" s="41" t="s">
        <v>25</v>
      </c>
      <c r="C8824" s="41" t="s">
        <v>2428</v>
      </c>
      <c r="D8824" s="129" t="s">
        <v>131</v>
      </c>
      <c r="E8824" s="42">
        <v>4000</v>
      </c>
      <c r="G8824" s="42">
        <f t="shared" si="143"/>
        <v>-4000</v>
      </c>
      <c r="H8824" s="121" t="s">
        <v>5734</v>
      </c>
    </row>
    <row r="8825" spans="1:8" ht="15" x14ac:dyDescent="0.2">
      <c r="A8825" s="597">
        <v>43890</v>
      </c>
      <c r="B8825" s="41" t="s">
        <v>16</v>
      </c>
      <c r="C8825" s="41" t="s">
        <v>463</v>
      </c>
      <c r="D8825" s="129" t="s">
        <v>5812</v>
      </c>
      <c r="E8825" s="42">
        <v>31691</v>
      </c>
      <c r="G8825" s="42">
        <f t="shared" si="143"/>
        <v>-31691</v>
      </c>
      <c r="H8825" s="121" t="s">
        <v>5734</v>
      </c>
    </row>
    <row r="8826" spans="1:8" ht="15" x14ac:dyDescent="0.2">
      <c r="A8826" s="602">
        <v>43864</v>
      </c>
      <c r="B8826" s="122" t="s">
        <v>5641</v>
      </c>
      <c r="C8826" s="122" t="s">
        <v>3884</v>
      </c>
      <c r="D8826" s="812" t="s">
        <v>5728</v>
      </c>
      <c r="E8826" s="123">
        <v>150000</v>
      </c>
      <c r="F8826" s="123"/>
      <c r="G8826" s="123">
        <f t="shared" si="143"/>
        <v>-150000</v>
      </c>
      <c r="H8826" s="396" t="s">
        <v>5734</v>
      </c>
    </row>
    <row r="8827" spans="1:8" ht="15" x14ac:dyDescent="0.2">
      <c r="A8827" s="602">
        <v>43864</v>
      </c>
      <c r="B8827" s="122" t="s">
        <v>25</v>
      </c>
      <c r="C8827" s="122" t="s">
        <v>5735</v>
      </c>
      <c r="D8827" s="812" t="s">
        <v>5736</v>
      </c>
      <c r="E8827" s="123">
        <v>12500</v>
      </c>
      <c r="F8827" s="123"/>
      <c r="G8827" s="123">
        <f t="shared" si="143"/>
        <v>-12500</v>
      </c>
      <c r="H8827" s="396" t="s">
        <v>5734</v>
      </c>
    </row>
    <row r="8828" spans="1:8" ht="60" x14ac:dyDescent="0.2">
      <c r="A8828" s="602">
        <v>43868</v>
      </c>
      <c r="B8828" s="174" t="s">
        <v>1400</v>
      </c>
      <c r="C8828" s="174" t="s">
        <v>2515</v>
      </c>
      <c r="D8828" s="228" t="s">
        <v>5737</v>
      </c>
      <c r="E8828" s="236">
        <v>87000</v>
      </c>
      <c r="F8828" s="236"/>
      <c r="G8828" s="236">
        <f t="shared" si="143"/>
        <v>-87000</v>
      </c>
      <c r="H8828" s="396" t="s">
        <v>5734</v>
      </c>
    </row>
    <row r="8829" spans="1:8" ht="15" x14ac:dyDescent="0.2">
      <c r="A8829" s="602">
        <v>43868</v>
      </c>
      <c r="B8829" s="122" t="s">
        <v>5604</v>
      </c>
      <c r="C8829" s="122" t="s">
        <v>895</v>
      </c>
      <c r="D8829" s="812" t="s">
        <v>5738</v>
      </c>
      <c r="E8829" s="123">
        <v>100000</v>
      </c>
      <c r="F8829" s="123"/>
      <c r="G8829" s="123">
        <f t="shared" si="143"/>
        <v>-100000</v>
      </c>
      <c r="H8829" s="396" t="s">
        <v>5734</v>
      </c>
    </row>
    <row r="8830" spans="1:8" ht="15" x14ac:dyDescent="0.2">
      <c r="A8830" s="602">
        <v>43868</v>
      </c>
      <c r="B8830" s="122" t="s">
        <v>1400</v>
      </c>
      <c r="C8830" s="122" t="s">
        <v>2338</v>
      </c>
      <c r="D8830" s="812" t="s">
        <v>5739</v>
      </c>
      <c r="E8830" s="123">
        <v>43755</v>
      </c>
      <c r="F8830" s="123"/>
      <c r="G8830" s="123">
        <f t="shared" si="143"/>
        <v>-43755</v>
      </c>
      <c r="H8830" s="396" t="s">
        <v>5734</v>
      </c>
    </row>
    <row r="8831" spans="1:8" ht="15" x14ac:dyDescent="0.2">
      <c r="A8831" s="602">
        <v>43869</v>
      </c>
      <c r="B8831" s="122" t="s">
        <v>1400</v>
      </c>
      <c r="C8831" s="122" t="s">
        <v>4798</v>
      </c>
      <c r="D8831" s="812" t="s">
        <v>5758</v>
      </c>
      <c r="E8831" s="123">
        <v>100000</v>
      </c>
      <c r="F8831" s="123"/>
      <c r="G8831" s="123">
        <f t="shared" si="143"/>
        <v>-100000</v>
      </c>
      <c r="H8831" s="396" t="s">
        <v>5734</v>
      </c>
    </row>
    <row r="8832" spans="1:8" ht="15" x14ac:dyDescent="0.2">
      <c r="A8832" s="602">
        <v>43871</v>
      </c>
      <c r="B8832" s="122" t="s">
        <v>3946</v>
      </c>
      <c r="C8832" s="122" t="s">
        <v>3003</v>
      </c>
      <c r="D8832" s="812" t="s">
        <v>5757</v>
      </c>
      <c r="E8832" s="123">
        <v>30160</v>
      </c>
      <c r="F8832" s="123"/>
      <c r="G8832" s="123">
        <f t="shared" si="143"/>
        <v>-30160</v>
      </c>
      <c r="H8832" s="396" t="s">
        <v>5734</v>
      </c>
    </row>
    <row r="8833" spans="1:8" ht="15" x14ac:dyDescent="0.2">
      <c r="A8833" s="602">
        <v>43871</v>
      </c>
      <c r="B8833" s="122" t="s">
        <v>3945</v>
      </c>
      <c r="C8833" s="122" t="s">
        <v>3003</v>
      </c>
      <c r="D8833" s="812" t="s">
        <v>5757</v>
      </c>
      <c r="E8833" s="123">
        <v>32760</v>
      </c>
      <c r="F8833" s="123"/>
      <c r="G8833" s="123">
        <f t="shared" si="143"/>
        <v>-32760</v>
      </c>
      <c r="H8833" s="396" t="s">
        <v>5734</v>
      </c>
    </row>
    <row r="8834" spans="1:8" ht="15" x14ac:dyDescent="0.2">
      <c r="A8834" s="602">
        <v>43871</v>
      </c>
      <c r="B8834" s="122" t="s">
        <v>37</v>
      </c>
      <c r="C8834" s="122" t="s">
        <v>3003</v>
      </c>
      <c r="D8834" s="812" t="s">
        <v>5757</v>
      </c>
      <c r="E8834" s="123">
        <v>12960</v>
      </c>
      <c r="F8834" s="123"/>
      <c r="G8834" s="123">
        <f t="shared" si="143"/>
        <v>-12960</v>
      </c>
      <c r="H8834" s="396" t="s">
        <v>5734</v>
      </c>
    </row>
    <row r="8835" spans="1:8" ht="15" x14ac:dyDescent="0.2">
      <c r="A8835" s="602">
        <v>43871</v>
      </c>
      <c r="B8835" s="122" t="s">
        <v>1400</v>
      </c>
      <c r="C8835" s="122" t="s">
        <v>5652</v>
      </c>
      <c r="D8835" s="812" t="s">
        <v>5760</v>
      </c>
      <c r="E8835" s="123">
        <v>23000</v>
      </c>
      <c r="F8835" s="123"/>
      <c r="G8835" s="123">
        <f t="shared" si="143"/>
        <v>-23000</v>
      </c>
      <c r="H8835" s="396" t="s">
        <v>5734</v>
      </c>
    </row>
    <row r="8836" spans="1:8" ht="36" x14ac:dyDescent="0.2">
      <c r="A8836" s="602">
        <v>43874</v>
      </c>
      <c r="B8836" s="122" t="s">
        <v>1400</v>
      </c>
      <c r="C8836" s="122" t="s">
        <v>4988</v>
      </c>
      <c r="D8836" s="118" t="s">
        <v>9133</v>
      </c>
      <c r="E8836" s="123">
        <v>320000</v>
      </c>
      <c r="F8836" s="123"/>
      <c r="G8836" s="123">
        <f t="shared" si="143"/>
        <v>-320000</v>
      </c>
      <c r="H8836" s="396" t="s">
        <v>5734</v>
      </c>
    </row>
    <row r="8837" spans="1:8" ht="15" x14ac:dyDescent="0.2">
      <c r="A8837" s="602">
        <v>43874</v>
      </c>
      <c r="B8837" s="122" t="s">
        <v>5604</v>
      </c>
      <c r="C8837" s="122" t="s">
        <v>251</v>
      </c>
      <c r="D8837" s="812" t="s">
        <v>5766</v>
      </c>
      <c r="E8837" s="123">
        <v>50000</v>
      </c>
      <c r="F8837" s="123"/>
      <c r="G8837" s="123">
        <f t="shared" si="143"/>
        <v>-50000</v>
      </c>
      <c r="H8837" s="396" t="s">
        <v>5734</v>
      </c>
    </row>
    <row r="8838" spans="1:8" ht="36" x14ac:dyDescent="0.2">
      <c r="A8838" s="602">
        <v>43875</v>
      </c>
      <c r="B8838" s="122" t="s">
        <v>2933</v>
      </c>
      <c r="C8838" s="122" t="s">
        <v>431</v>
      </c>
      <c r="D8838" s="118" t="s">
        <v>9134</v>
      </c>
      <c r="E8838" s="123">
        <v>180000</v>
      </c>
      <c r="F8838" s="123"/>
      <c r="G8838" s="123">
        <f t="shared" si="143"/>
        <v>-180000</v>
      </c>
      <c r="H8838" s="396" t="s">
        <v>5734</v>
      </c>
    </row>
    <row r="8839" spans="1:8" ht="36" x14ac:dyDescent="0.2">
      <c r="A8839" s="602">
        <v>43875</v>
      </c>
      <c r="B8839" s="122" t="s">
        <v>1400</v>
      </c>
      <c r="C8839" s="122" t="s">
        <v>2310</v>
      </c>
      <c r="D8839" s="118" t="s">
        <v>9135</v>
      </c>
      <c r="E8839" s="123">
        <v>405113</v>
      </c>
      <c r="F8839" s="123"/>
      <c r="G8839" s="123">
        <f t="shared" si="143"/>
        <v>-405113</v>
      </c>
      <c r="H8839" s="396" t="s">
        <v>5734</v>
      </c>
    </row>
    <row r="8840" spans="1:8" ht="48" x14ac:dyDescent="0.2">
      <c r="A8840" s="602">
        <v>43875</v>
      </c>
      <c r="B8840" s="122" t="s">
        <v>5604</v>
      </c>
      <c r="C8840" s="122" t="s">
        <v>6024</v>
      </c>
      <c r="D8840" s="118" t="s">
        <v>9136</v>
      </c>
      <c r="E8840" s="123">
        <v>26998</v>
      </c>
      <c r="F8840" s="123"/>
      <c r="G8840" s="123">
        <f t="shared" si="143"/>
        <v>-26998</v>
      </c>
      <c r="H8840" s="396" t="s">
        <v>5734</v>
      </c>
    </row>
    <row r="8841" spans="1:8" ht="48.75" thickBot="1" x14ac:dyDescent="0.25">
      <c r="A8841" s="602">
        <v>43875</v>
      </c>
      <c r="B8841" s="122" t="s">
        <v>1400</v>
      </c>
      <c r="C8841" s="122" t="s">
        <v>6024</v>
      </c>
      <c r="D8841" s="808" t="s">
        <v>9136</v>
      </c>
      <c r="E8841" s="155">
        <f>210000-E8840</f>
        <v>183002</v>
      </c>
      <c r="F8841" s="123"/>
      <c r="G8841" s="123">
        <f t="shared" si="143"/>
        <v>-183002</v>
      </c>
      <c r="H8841" s="396" t="s">
        <v>5734</v>
      </c>
    </row>
    <row r="8842" spans="1:8" ht="24" x14ac:dyDescent="0.2">
      <c r="A8842" s="602">
        <v>43876</v>
      </c>
      <c r="B8842" s="380" t="s">
        <v>5604</v>
      </c>
      <c r="C8842" s="411" t="s">
        <v>166</v>
      </c>
      <c r="D8842" s="161" t="s">
        <v>9137</v>
      </c>
      <c r="E8842" s="412">
        <v>28565</v>
      </c>
      <c r="F8842" s="381"/>
      <c r="G8842" s="123">
        <f t="shared" si="143"/>
        <v>-28565</v>
      </c>
      <c r="H8842" s="396" t="s">
        <v>5734</v>
      </c>
    </row>
    <row r="8843" spans="1:8" ht="24" x14ac:dyDescent="0.2">
      <c r="A8843" s="602">
        <v>43876</v>
      </c>
      <c r="B8843" s="380" t="s">
        <v>5641</v>
      </c>
      <c r="C8843" s="413" t="s">
        <v>166</v>
      </c>
      <c r="D8843" s="118" t="s">
        <v>9137</v>
      </c>
      <c r="E8843" s="414">
        <v>31765</v>
      </c>
      <c r="F8843" s="381"/>
      <c r="G8843" s="123">
        <f t="shared" si="143"/>
        <v>-31765</v>
      </c>
      <c r="H8843" s="396" t="s">
        <v>5734</v>
      </c>
    </row>
    <row r="8844" spans="1:8" ht="24" x14ac:dyDescent="0.2">
      <c r="A8844" s="602">
        <v>43876</v>
      </c>
      <c r="B8844" s="380" t="s">
        <v>1400</v>
      </c>
      <c r="C8844" s="413" t="s">
        <v>166</v>
      </c>
      <c r="D8844" s="118" t="s">
        <v>9137</v>
      </c>
      <c r="E8844" s="414">
        <v>198070</v>
      </c>
      <c r="F8844" s="381"/>
      <c r="G8844" s="123">
        <f t="shared" si="143"/>
        <v>-198070</v>
      </c>
      <c r="H8844" s="396" t="s">
        <v>5734</v>
      </c>
    </row>
    <row r="8845" spans="1:8" ht="24" x14ac:dyDescent="0.2">
      <c r="A8845" s="602">
        <v>43876</v>
      </c>
      <c r="B8845" s="380" t="s">
        <v>5604</v>
      </c>
      <c r="C8845" s="413" t="s">
        <v>166</v>
      </c>
      <c r="D8845" s="118" t="s">
        <v>9137</v>
      </c>
      <c r="E8845" s="414">
        <v>20800</v>
      </c>
      <c r="F8845" s="381"/>
      <c r="G8845" s="123">
        <f t="shared" si="143"/>
        <v>-20800</v>
      </c>
      <c r="H8845" s="396" t="s">
        <v>5734</v>
      </c>
    </row>
    <row r="8846" spans="1:8" ht="24.75" thickBot="1" x14ac:dyDescent="0.25">
      <c r="A8846" s="602">
        <v>43876</v>
      </c>
      <c r="B8846" s="380" t="s">
        <v>5746</v>
      </c>
      <c r="C8846" s="415" t="s">
        <v>166</v>
      </c>
      <c r="D8846" s="831" t="s">
        <v>9137</v>
      </c>
      <c r="E8846" s="416">
        <v>20800</v>
      </c>
      <c r="F8846" s="381"/>
      <c r="G8846" s="123">
        <f t="shared" si="143"/>
        <v>-20800</v>
      </c>
      <c r="H8846" s="396" t="s">
        <v>5734</v>
      </c>
    </row>
    <row r="8847" spans="1:8" ht="24" x14ac:dyDescent="0.2">
      <c r="A8847" s="602">
        <v>43876</v>
      </c>
      <c r="B8847" s="122" t="s">
        <v>1400</v>
      </c>
      <c r="C8847" s="156" t="s">
        <v>1815</v>
      </c>
      <c r="D8847" s="157" t="s">
        <v>9138</v>
      </c>
      <c r="E8847" s="158">
        <v>300000</v>
      </c>
      <c r="F8847" s="123"/>
      <c r="G8847" s="123">
        <f t="shared" si="143"/>
        <v>-300000</v>
      </c>
      <c r="H8847" s="396" t="s">
        <v>5734</v>
      </c>
    </row>
    <row r="8848" spans="1:8" ht="15" x14ac:dyDescent="0.2">
      <c r="A8848" s="602">
        <v>43876</v>
      </c>
      <c r="B8848" s="122" t="s">
        <v>25</v>
      </c>
      <c r="C8848" s="122" t="s">
        <v>2428</v>
      </c>
      <c r="D8848" s="812" t="s">
        <v>5771</v>
      </c>
      <c r="E8848" s="123">
        <v>102472</v>
      </c>
      <c r="F8848" s="123"/>
      <c r="G8848" s="123">
        <f t="shared" si="143"/>
        <v>-102472</v>
      </c>
      <c r="H8848" s="396" t="s">
        <v>5734</v>
      </c>
    </row>
    <row r="8849" spans="1:8" ht="15" x14ac:dyDescent="0.2">
      <c r="A8849" s="602">
        <v>43876</v>
      </c>
      <c r="B8849" s="122" t="s">
        <v>5641</v>
      </c>
      <c r="C8849" s="122" t="s">
        <v>3011</v>
      </c>
      <c r="D8849" s="118" t="s">
        <v>370</v>
      </c>
      <c r="E8849" s="123">
        <v>80000</v>
      </c>
      <c r="F8849" s="123"/>
      <c r="G8849" s="123">
        <f t="shared" si="143"/>
        <v>-80000</v>
      </c>
      <c r="H8849" s="396" t="s">
        <v>5734</v>
      </c>
    </row>
    <row r="8850" spans="1:8" ht="15" x14ac:dyDescent="0.2">
      <c r="A8850" s="602">
        <v>43876</v>
      </c>
      <c r="B8850" s="122" t="s">
        <v>1400</v>
      </c>
      <c r="C8850" s="122" t="s">
        <v>4684</v>
      </c>
      <c r="D8850" s="118" t="s">
        <v>5772</v>
      </c>
      <c r="E8850" s="123">
        <v>80000</v>
      </c>
      <c r="F8850" s="123"/>
      <c r="G8850" s="123">
        <f t="shared" si="143"/>
        <v>-80000</v>
      </c>
      <c r="H8850" s="396" t="s">
        <v>5734</v>
      </c>
    </row>
    <row r="8851" spans="1:8" ht="15" x14ac:dyDescent="0.2">
      <c r="A8851" s="602">
        <v>43878</v>
      </c>
      <c r="B8851" s="122" t="s">
        <v>25</v>
      </c>
      <c r="C8851" s="122" t="s">
        <v>2428</v>
      </c>
      <c r="D8851" s="812" t="s">
        <v>5773</v>
      </c>
      <c r="E8851" s="123">
        <v>32300</v>
      </c>
      <c r="F8851" s="123"/>
      <c r="G8851" s="123">
        <f t="shared" si="143"/>
        <v>-32300</v>
      </c>
      <c r="H8851" s="396" t="s">
        <v>5734</v>
      </c>
    </row>
    <row r="8852" spans="1:8" ht="15" x14ac:dyDescent="0.2">
      <c r="A8852" s="602">
        <v>43878</v>
      </c>
      <c r="B8852" s="122" t="s">
        <v>5641</v>
      </c>
      <c r="C8852" s="122" t="s">
        <v>929</v>
      </c>
      <c r="D8852" s="118" t="s">
        <v>5774</v>
      </c>
      <c r="E8852" s="123">
        <v>21000</v>
      </c>
      <c r="F8852" s="123"/>
      <c r="G8852" s="123">
        <f t="shared" si="143"/>
        <v>-21000</v>
      </c>
      <c r="H8852" s="396" t="s">
        <v>5734</v>
      </c>
    </row>
    <row r="8853" spans="1:8" ht="15" x14ac:dyDescent="0.2">
      <c r="A8853" s="602">
        <v>43878</v>
      </c>
      <c r="B8853" s="122" t="s">
        <v>5604</v>
      </c>
      <c r="C8853" s="122" t="s">
        <v>929</v>
      </c>
      <c r="D8853" s="118" t="s">
        <v>5774</v>
      </c>
      <c r="E8853" s="123">
        <v>14000</v>
      </c>
      <c r="F8853" s="123"/>
      <c r="G8853" s="123">
        <f t="shared" si="143"/>
        <v>-14000</v>
      </c>
      <c r="H8853" s="396" t="s">
        <v>5734</v>
      </c>
    </row>
    <row r="8854" spans="1:8" ht="15" x14ac:dyDescent="0.2">
      <c r="A8854" s="602">
        <v>43878</v>
      </c>
      <c r="B8854" s="122" t="s">
        <v>16</v>
      </c>
      <c r="C8854" s="122" t="s">
        <v>1689</v>
      </c>
      <c r="D8854" s="118" t="s">
        <v>5775</v>
      </c>
      <c r="E8854" s="123">
        <v>3990</v>
      </c>
      <c r="F8854" s="123"/>
      <c r="G8854" s="123">
        <f t="shared" si="143"/>
        <v>-3990</v>
      </c>
      <c r="H8854" s="396" t="s">
        <v>5734</v>
      </c>
    </row>
    <row r="8855" spans="1:8" ht="15" x14ac:dyDescent="0.2">
      <c r="A8855" s="602">
        <v>43878</v>
      </c>
      <c r="B8855" s="122" t="s">
        <v>25</v>
      </c>
      <c r="C8855" s="122" t="s">
        <v>1689</v>
      </c>
      <c r="D8855" s="118" t="s">
        <v>5775</v>
      </c>
      <c r="E8855" s="123">
        <v>16678</v>
      </c>
      <c r="F8855" s="123"/>
      <c r="G8855" s="123">
        <f t="shared" si="143"/>
        <v>-16678</v>
      </c>
      <c r="H8855" s="396" t="s">
        <v>5734</v>
      </c>
    </row>
    <row r="8856" spans="1:8" ht="15" x14ac:dyDescent="0.2">
      <c r="A8856" s="602">
        <v>43878</v>
      </c>
      <c r="B8856" s="122" t="s">
        <v>2652</v>
      </c>
      <c r="C8856" s="122" t="s">
        <v>251</v>
      </c>
      <c r="D8856" s="118" t="s">
        <v>5776</v>
      </c>
      <c r="E8856" s="123">
        <v>40000</v>
      </c>
      <c r="F8856" s="123"/>
      <c r="G8856" s="123">
        <f t="shared" si="143"/>
        <v>-40000</v>
      </c>
      <c r="H8856" s="396" t="s">
        <v>5734</v>
      </c>
    </row>
    <row r="8857" spans="1:8" ht="15" x14ac:dyDescent="0.2">
      <c r="A8857" s="602">
        <v>43879</v>
      </c>
      <c r="B8857" s="122" t="s">
        <v>1400</v>
      </c>
      <c r="C8857" s="122" t="s">
        <v>5690</v>
      </c>
      <c r="D8857" s="118" t="s">
        <v>2711</v>
      </c>
      <c r="E8857" s="123">
        <v>45500</v>
      </c>
      <c r="F8857" s="123"/>
      <c r="G8857" s="123">
        <f t="shared" si="143"/>
        <v>-45500</v>
      </c>
      <c r="H8857" s="396" t="s">
        <v>5734</v>
      </c>
    </row>
    <row r="8858" spans="1:8" ht="15" x14ac:dyDescent="0.2">
      <c r="A8858" s="602">
        <v>43879</v>
      </c>
      <c r="B8858" s="122" t="s">
        <v>2933</v>
      </c>
      <c r="C8858" s="122" t="s">
        <v>3112</v>
      </c>
      <c r="D8858" s="118" t="s">
        <v>2711</v>
      </c>
      <c r="E8858" s="123">
        <v>35000</v>
      </c>
      <c r="F8858" s="123"/>
      <c r="G8858" s="123">
        <f t="shared" si="143"/>
        <v>-35000</v>
      </c>
      <c r="H8858" s="396" t="s">
        <v>5734</v>
      </c>
    </row>
    <row r="8859" spans="1:8" ht="15" x14ac:dyDescent="0.2">
      <c r="A8859" s="602">
        <v>43879</v>
      </c>
      <c r="B8859" s="122" t="s">
        <v>5641</v>
      </c>
      <c r="C8859" s="122" t="s">
        <v>1509</v>
      </c>
      <c r="D8859" s="118" t="s">
        <v>5783</v>
      </c>
      <c r="E8859" s="123">
        <v>55000</v>
      </c>
      <c r="F8859" s="123"/>
      <c r="G8859" s="123">
        <f t="shared" si="143"/>
        <v>-55000</v>
      </c>
      <c r="H8859" s="396" t="s">
        <v>5734</v>
      </c>
    </row>
    <row r="8860" spans="1:8" ht="15" x14ac:dyDescent="0.2">
      <c r="A8860" s="602">
        <v>43879</v>
      </c>
      <c r="B8860" s="122" t="s">
        <v>2652</v>
      </c>
      <c r="C8860" s="122" t="s">
        <v>251</v>
      </c>
      <c r="D8860" s="118" t="s">
        <v>5784</v>
      </c>
      <c r="E8860" s="123">
        <v>15000</v>
      </c>
      <c r="F8860" s="123"/>
      <c r="G8860" s="123">
        <f t="shared" si="143"/>
        <v>-15000</v>
      </c>
      <c r="H8860" s="396" t="s">
        <v>5734</v>
      </c>
    </row>
    <row r="8861" spans="1:8" ht="15" x14ac:dyDescent="0.2">
      <c r="A8861" s="602">
        <v>43882</v>
      </c>
      <c r="B8861" s="122" t="s">
        <v>1400</v>
      </c>
      <c r="C8861" s="122" t="s">
        <v>5652</v>
      </c>
      <c r="D8861" s="812" t="s">
        <v>5785</v>
      </c>
      <c r="E8861" s="123">
        <v>34500</v>
      </c>
      <c r="F8861" s="123"/>
      <c r="G8861" s="123">
        <f t="shared" si="143"/>
        <v>-34500</v>
      </c>
      <c r="H8861" s="396" t="s">
        <v>5734</v>
      </c>
    </row>
    <row r="8862" spans="1:8" ht="15" x14ac:dyDescent="0.2">
      <c r="A8862" s="602">
        <v>43882</v>
      </c>
      <c r="B8862" s="122" t="s">
        <v>1400</v>
      </c>
      <c r="C8862" s="122" t="s">
        <v>929</v>
      </c>
      <c r="D8862" s="118" t="s">
        <v>5786</v>
      </c>
      <c r="E8862" s="123">
        <v>20000</v>
      </c>
      <c r="F8862" s="123"/>
      <c r="G8862" s="123">
        <f t="shared" si="143"/>
        <v>-20000</v>
      </c>
      <c r="H8862" s="396" t="s">
        <v>5734</v>
      </c>
    </row>
    <row r="8863" spans="1:8" ht="15" x14ac:dyDescent="0.2">
      <c r="A8863" s="602">
        <v>43882</v>
      </c>
      <c r="B8863" s="122" t="s">
        <v>5746</v>
      </c>
      <c r="C8863" s="122" t="s">
        <v>5593</v>
      </c>
      <c r="D8863" s="118" t="s">
        <v>5787</v>
      </c>
      <c r="E8863" s="123">
        <v>100000</v>
      </c>
      <c r="F8863" s="123"/>
      <c r="G8863" s="123">
        <f t="shared" si="143"/>
        <v>-100000</v>
      </c>
      <c r="H8863" s="396" t="s">
        <v>5734</v>
      </c>
    </row>
    <row r="8864" spans="1:8" ht="15" x14ac:dyDescent="0.2">
      <c r="A8864" s="602">
        <v>43882</v>
      </c>
      <c r="B8864" s="122" t="s">
        <v>1400</v>
      </c>
      <c r="C8864" s="122" t="s">
        <v>4798</v>
      </c>
      <c r="D8864" s="118" t="s">
        <v>5788</v>
      </c>
      <c r="E8864" s="123">
        <v>95000</v>
      </c>
      <c r="F8864" s="123"/>
      <c r="G8864" s="123">
        <f t="shared" si="143"/>
        <v>-95000</v>
      </c>
      <c r="H8864" s="396" t="s">
        <v>5734</v>
      </c>
    </row>
    <row r="8865" spans="1:8" ht="15" x14ac:dyDescent="0.2">
      <c r="A8865" s="602">
        <v>43883</v>
      </c>
      <c r="B8865" s="122" t="s">
        <v>5746</v>
      </c>
      <c r="C8865" s="122" t="s">
        <v>5681</v>
      </c>
      <c r="D8865" s="118" t="s">
        <v>5840</v>
      </c>
      <c r="E8865" s="123">
        <v>40000</v>
      </c>
      <c r="F8865" s="123"/>
      <c r="G8865" s="123">
        <f t="shared" si="143"/>
        <v>-40000</v>
      </c>
      <c r="H8865" s="396" t="s">
        <v>5734</v>
      </c>
    </row>
    <row r="8866" spans="1:8" ht="15" x14ac:dyDescent="0.2">
      <c r="A8866" s="602">
        <v>43883</v>
      </c>
      <c r="B8866" s="122" t="s">
        <v>5604</v>
      </c>
      <c r="C8866" s="122" t="s">
        <v>5681</v>
      </c>
      <c r="D8866" s="118" t="s">
        <v>5789</v>
      </c>
      <c r="E8866" s="123">
        <v>40000</v>
      </c>
      <c r="F8866" s="123"/>
      <c r="G8866" s="123">
        <f t="shared" si="143"/>
        <v>-40000</v>
      </c>
      <c r="H8866" s="396" t="s">
        <v>5734</v>
      </c>
    </row>
    <row r="8867" spans="1:8" ht="15" x14ac:dyDescent="0.2">
      <c r="A8867" s="602">
        <v>43883</v>
      </c>
      <c r="B8867" s="122" t="s">
        <v>5746</v>
      </c>
      <c r="C8867" s="122" t="s">
        <v>5681</v>
      </c>
      <c r="D8867" s="118" t="s">
        <v>5789</v>
      </c>
      <c r="E8867" s="123">
        <v>35700</v>
      </c>
      <c r="F8867" s="123"/>
      <c r="G8867" s="123">
        <f t="shared" si="143"/>
        <v>-35700</v>
      </c>
      <c r="H8867" s="396" t="s">
        <v>5734</v>
      </c>
    </row>
    <row r="8868" spans="1:8" ht="15" x14ac:dyDescent="0.2">
      <c r="A8868" s="602">
        <v>43883</v>
      </c>
      <c r="B8868" s="122" t="s">
        <v>1400</v>
      </c>
      <c r="C8868" s="122" t="s">
        <v>5681</v>
      </c>
      <c r="D8868" s="118" t="s">
        <v>5789</v>
      </c>
      <c r="E8868" s="123">
        <v>7920</v>
      </c>
      <c r="F8868" s="123"/>
      <c r="G8868" s="123">
        <f t="shared" si="143"/>
        <v>-7920</v>
      </c>
      <c r="H8868" s="396" t="s">
        <v>5734</v>
      </c>
    </row>
    <row r="8869" spans="1:8" ht="15" x14ac:dyDescent="0.2">
      <c r="A8869" s="599">
        <v>43868</v>
      </c>
      <c r="B8869" s="91" t="s">
        <v>37</v>
      </c>
      <c r="C8869" s="91" t="s">
        <v>559</v>
      </c>
      <c r="D8869" s="801" t="s">
        <v>5733</v>
      </c>
      <c r="E8869" s="92"/>
      <c r="F8869" s="92">
        <v>157140</v>
      </c>
      <c r="G8869" s="92">
        <f t="shared" si="143"/>
        <v>157140</v>
      </c>
      <c r="H8869" s="428" t="s">
        <v>5734</v>
      </c>
    </row>
    <row r="8870" spans="1:8" ht="15" x14ac:dyDescent="0.2">
      <c r="A8870" s="599">
        <v>43872</v>
      </c>
      <c r="B8870" s="91" t="s">
        <v>2652</v>
      </c>
      <c r="C8870" s="91" t="s">
        <v>559</v>
      </c>
      <c r="D8870" s="801" t="s">
        <v>5763</v>
      </c>
      <c r="E8870" s="92"/>
      <c r="F8870" s="92">
        <v>1500000</v>
      </c>
      <c r="G8870" s="92">
        <f t="shared" si="143"/>
        <v>1500000</v>
      </c>
      <c r="H8870" s="428" t="s">
        <v>5734</v>
      </c>
    </row>
    <row r="8871" spans="1:8" ht="15" x14ac:dyDescent="0.2">
      <c r="A8871" s="599">
        <v>43872</v>
      </c>
      <c r="B8871" s="91" t="s">
        <v>1400</v>
      </c>
      <c r="C8871" s="91" t="s">
        <v>559</v>
      </c>
      <c r="D8871" s="798" t="s">
        <v>5765</v>
      </c>
      <c r="E8871" s="92"/>
      <c r="F8871" s="92">
        <v>500000</v>
      </c>
      <c r="G8871" s="92">
        <f t="shared" si="143"/>
        <v>500000</v>
      </c>
      <c r="H8871" s="428" t="s">
        <v>5734</v>
      </c>
    </row>
    <row r="8872" spans="1:8" ht="15" x14ac:dyDescent="0.2">
      <c r="A8872" s="599">
        <v>43872</v>
      </c>
      <c r="B8872" s="91" t="s">
        <v>1400</v>
      </c>
      <c r="C8872" s="91" t="s">
        <v>559</v>
      </c>
      <c r="D8872" s="801" t="s">
        <v>9139</v>
      </c>
      <c r="E8872" s="92"/>
      <c r="F8872" s="92">
        <v>500000</v>
      </c>
      <c r="G8872" s="92">
        <f t="shared" si="143"/>
        <v>500000</v>
      </c>
      <c r="H8872" s="428" t="s">
        <v>5734</v>
      </c>
    </row>
    <row r="8873" spans="1:8" ht="15" customHeight="1" x14ac:dyDescent="0.2">
      <c r="A8873" s="599">
        <v>43875</v>
      </c>
      <c r="B8873" s="91" t="s">
        <v>1400</v>
      </c>
      <c r="C8873" s="91" t="s">
        <v>559</v>
      </c>
      <c r="D8873" s="801" t="s">
        <v>9140</v>
      </c>
      <c r="E8873" s="92"/>
      <c r="F8873" s="92">
        <v>300000</v>
      </c>
      <c r="G8873" s="92">
        <f t="shared" si="143"/>
        <v>300000</v>
      </c>
      <c r="H8873" s="428" t="s">
        <v>5734</v>
      </c>
    </row>
    <row r="8874" spans="1:8" ht="15" customHeight="1" x14ac:dyDescent="0.2">
      <c r="A8874" s="599">
        <v>43875</v>
      </c>
      <c r="B8874" s="91" t="s">
        <v>1400</v>
      </c>
      <c r="C8874" s="91" t="s">
        <v>559</v>
      </c>
      <c r="D8874" s="801" t="s">
        <v>9141</v>
      </c>
      <c r="E8874" s="92"/>
      <c r="F8874" s="92">
        <v>300000</v>
      </c>
      <c r="G8874" s="92">
        <f t="shared" si="143"/>
        <v>300000</v>
      </c>
      <c r="H8874" s="428" t="s">
        <v>5734</v>
      </c>
    </row>
    <row r="8875" spans="1:8" ht="15" customHeight="1" x14ac:dyDescent="0.2">
      <c r="A8875" s="599">
        <v>43875</v>
      </c>
      <c r="B8875" s="91" t="s">
        <v>1400</v>
      </c>
      <c r="C8875" s="91" t="s">
        <v>559</v>
      </c>
      <c r="D8875" s="801" t="s">
        <v>9142</v>
      </c>
      <c r="E8875" s="92"/>
      <c r="F8875" s="92">
        <v>210000</v>
      </c>
      <c r="G8875" s="92">
        <f t="shared" ref="G8875:G8938" si="144">F8875-E8875</f>
        <v>210000</v>
      </c>
      <c r="H8875" s="428" t="s">
        <v>5734</v>
      </c>
    </row>
    <row r="8876" spans="1:8" ht="15" x14ac:dyDescent="0.2">
      <c r="A8876" s="599">
        <v>43875</v>
      </c>
      <c r="B8876" s="91" t="s">
        <v>1400</v>
      </c>
      <c r="C8876" s="91" t="s">
        <v>559</v>
      </c>
      <c r="D8876" s="801" t="s">
        <v>9143</v>
      </c>
      <c r="E8876" s="92"/>
      <c r="F8876" s="92">
        <v>139084</v>
      </c>
      <c r="G8876" s="92">
        <f t="shared" si="144"/>
        <v>139084</v>
      </c>
      <c r="H8876" s="428" t="s">
        <v>5734</v>
      </c>
    </row>
    <row r="8877" spans="1:8" ht="15" customHeight="1" x14ac:dyDescent="0.2">
      <c r="A8877" s="599">
        <v>43875</v>
      </c>
      <c r="B8877" s="91" t="s">
        <v>1400</v>
      </c>
      <c r="C8877" s="91" t="s">
        <v>559</v>
      </c>
      <c r="D8877" s="801" t="s">
        <v>9143</v>
      </c>
      <c r="E8877" s="92"/>
      <c r="F8877" s="92">
        <v>128261</v>
      </c>
      <c r="G8877" s="92">
        <f t="shared" si="144"/>
        <v>128261</v>
      </c>
      <c r="H8877" s="428" t="s">
        <v>5734</v>
      </c>
    </row>
    <row r="8878" spans="1:8" ht="15" customHeight="1" x14ac:dyDescent="0.2">
      <c r="A8878" s="599">
        <v>43875</v>
      </c>
      <c r="B8878" s="91" t="s">
        <v>1400</v>
      </c>
      <c r="C8878" s="91" t="s">
        <v>559</v>
      </c>
      <c r="D8878" s="801" t="s">
        <v>9143</v>
      </c>
      <c r="E8878" s="92"/>
      <c r="F8878" s="92">
        <v>137468</v>
      </c>
      <c r="G8878" s="92">
        <f t="shared" si="144"/>
        <v>137468</v>
      </c>
      <c r="H8878" s="428" t="s">
        <v>5734</v>
      </c>
    </row>
    <row r="8879" spans="1:8" ht="15" customHeight="1" x14ac:dyDescent="0.2">
      <c r="A8879" s="599">
        <v>43878</v>
      </c>
      <c r="B8879" s="91" t="s">
        <v>5544</v>
      </c>
      <c r="C8879" s="91" t="s">
        <v>559</v>
      </c>
      <c r="D8879" s="801" t="s">
        <v>9144</v>
      </c>
      <c r="E8879" s="92"/>
      <c r="F8879" s="92">
        <v>508755</v>
      </c>
      <c r="G8879" s="92">
        <f t="shared" si="144"/>
        <v>508755</v>
      </c>
      <c r="H8879" s="428" t="s">
        <v>5734</v>
      </c>
    </row>
    <row r="8880" spans="1:8" ht="15" customHeight="1" x14ac:dyDescent="0.2">
      <c r="A8880" s="599">
        <v>43880</v>
      </c>
      <c r="B8880" s="91" t="s">
        <v>1400</v>
      </c>
      <c r="C8880" s="91" t="s">
        <v>559</v>
      </c>
      <c r="D8880" s="801" t="s">
        <v>5780</v>
      </c>
      <c r="E8880" s="92"/>
      <c r="F8880" s="92">
        <v>46250</v>
      </c>
      <c r="G8880" s="92">
        <f t="shared" si="144"/>
        <v>46250</v>
      </c>
      <c r="H8880" s="428" t="s">
        <v>5734</v>
      </c>
    </row>
    <row r="8881" spans="1:8" ht="15" customHeight="1" x14ac:dyDescent="0.2">
      <c r="A8881" s="599">
        <v>43880</v>
      </c>
      <c r="B8881" s="91" t="s">
        <v>5604</v>
      </c>
      <c r="C8881" s="91" t="s">
        <v>559</v>
      </c>
      <c r="D8881" s="801" t="s">
        <v>5781</v>
      </c>
      <c r="E8881" s="92"/>
      <c r="F8881" s="92">
        <v>462500</v>
      </c>
      <c r="G8881" s="92">
        <f t="shared" si="144"/>
        <v>462500</v>
      </c>
      <c r="H8881" s="428" t="s">
        <v>5734</v>
      </c>
    </row>
    <row r="8882" spans="1:8" ht="15" customHeight="1" x14ac:dyDescent="0.2">
      <c r="A8882" s="599">
        <v>43883</v>
      </c>
      <c r="B8882" s="91" t="s">
        <v>3945</v>
      </c>
      <c r="C8882" s="91" t="s">
        <v>559</v>
      </c>
      <c r="D8882" s="801" t="s">
        <v>5782</v>
      </c>
      <c r="E8882" s="92"/>
      <c r="F8882" s="92">
        <v>321064</v>
      </c>
      <c r="G8882" s="92">
        <f t="shared" si="144"/>
        <v>321064</v>
      </c>
      <c r="H8882" s="428" t="s">
        <v>5734</v>
      </c>
    </row>
    <row r="8883" spans="1:8" ht="36" customHeight="1" x14ac:dyDescent="0.2">
      <c r="A8883" s="599">
        <v>43889</v>
      </c>
      <c r="B8883" s="91" t="s">
        <v>6516</v>
      </c>
      <c r="C8883" s="91" t="s">
        <v>559</v>
      </c>
      <c r="D8883" s="802" t="s">
        <v>5809</v>
      </c>
      <c r="E8883" s="92"/>
      <c r="F8883" s="92">
        <v>625014</v>
      </c>
      <c r="G8883" s="92">
        <f t="shared" si="144"/>
        <v>625014</v>
      </c>
      <c r="H8883" s="428" t="s">
        <v>5734</v>
      </c>
    </row>
    <row r="8884" spans="1:8" ht="15" customHeight="1" x14ac:dyDescent="0.2">
      <c r="A8884" s="597">
        <v>43892</v>
      </c>
      <c r="B8884" s="41" t="s">
        <v>1400</v>
      </c>
      <c r="C8884" s="41" t="s">
        <v>2503</v>
      </c>
      <c r="D8884" s="183" t="s">
        <v>940</v>
      </c>
      <c r="E8884" s="58">
        <v>25000</v>
      </c>
      <c r="F8884" s="58"/>
      <c r="G8884" s="58">
        <f t="shared" si="144"/>
        <v>-25000</v>
      </c>
      <c r="H8884" s="422" t="s">
        <v>5815</v>
      </c>
    </row>
    <row r="8885" spans="1:8" ht="15" customHeight="1" x14ac:dyDescent="0.2">
      <c r="A8885" s="597">
        <v>43892</v>
      </c>
      <c r="B8885" s="41" t="s">
        <v>5641</v>
      </c>
      <c r="C8885" s="41" t="s">
        <v>2503</v>
      </c>
      <c r="D8885" s="183" t="s">
        <v>940</v>
      </c>
      <c r="E8885" s="58">
        <v>25000</v>
      </c>
      <c r="F8885" s="58"/>
      <c r="G8885" s="58">
        <f t="shared" si="144"/>
        <v>-25000</v>
      </c>
      <c r="H8885" s="422" t="s">
        <v>5815</v>
      </c>
    </row>
    <row r="8886" spans="1:8" ht="15" x14ac:dyDescent="0.2">
      <c r="A8886" s="597">
        <v>43892</v>
      </c>
      <c r="B8886" s="41" t="s">
        <v>5746</v>
      </c>
      <c r="C8886" s="41" t="s">
        <v>2503</v>
      </c>
      <c r="D8886" s="183" t="s">
        <v>372</v>
      </c>
      <c r="E8886" s="58">
        <v>25000</v>
      </c>
      <c r="F8886" s="58"/>
      <c r="G8886" s="58">
        <f t="shared" si="144"/>
        <v>-25000</v>
      </c>
      <c r="H8886" s="422" t="s">
        <v>5815</v>
      </c>
    </row>
    <row r="8887" spans="1:8" ht="15" x14ac:dyDescent="0.2">
      <c r="A8887" s="597">
        <v>43892</v>
      </c>
      <c r="B8887" s="41" t="s">
        <v>5604</v>
      </c>
      <c r="C8887" s="41" t="s">
        <v>2503</v>
      </c>
      <c r="D8887" s="183" t="s">
        <v>372</v>
      </c>
      <c r="E8887" s="58">
        <v>25000</v>
      </c>
      <c r="F8887" s="58"/>
      <c r="G8887" s="58">
        <f t="shared" si="144"/>
        <v>-25000</v>
      </c>
      <c r="H8887" s="422" t="s">
        <v>5815</v>
      </c>
    </row>
    <row r="8888" spans="1:8" ht="15" x14ac:dyDescent="0.2">
      <c r="A8888" s="597">
        <v>43892</v>
      </c>
      <c r="B8888" s="41" t="s">
        <v>25</v>
      </c>
      <c r="C8888" s="41" t="s">
        <v>2503</v>
      </c>
      <c r="D8888" s="183"/>
      <c r="E8888" s="58">
        <v>55000</v>
      </c>
      <c r="F8888" s="58"/>
      <c r="G8888" s="58">
        <f t="shared" si="144"/>
        <v>-55000</v>
      </c>
      <c r="H8888" s="422" t="s">
        <v>5815</v>
      </c>
    </row>
    <row r="8889" spans="1:8" ht="15" x14ac:dyDescent="0.2">
      <c r="A8889" s="597">
        <v>43892</v>
      </c>
      <c r="B8889" s="41" t="s">
        <v>16</v>
      </c>
      <c r="C8889" s="41" t="s">
        <v>2503</v>
      </c>
      <c r="D8889" s="183"/>
      <c r="E8889" s="58">
        <v>81034.482758620696</v>
      </c>
      <c r="F8889" s="58"/>
      <c r="G8889" s="58">
        <f t="shared" si="144"/>
        <v>-81034.482758620696</v>
      </c>
      <c r="H8889" s="422" t="s">
        <v>5815</v>
      </c>
    </row>
    <row r="8890" spans="1:8" ht="15" x14ac:dyDescent="0.2">
      <c r="A8890" s="597">
        <v>43892</v>
      </c>
      <c r="B8890" s="41" t="s">
        <v>3945</v>
      </c>
      <c r="C8890" s="41" t="s">
        <v>2503</v>
      </c>
      <c r="D8890" s="183"/>
      <c r="E8890" s="58">
        <v>147448.27586206896</v>
      </c>
      <c r="F8890" s="58"/>
      <c r="G8890" s="58">
        <f t="shared" si="144"/>
        <v>-147448.27586206896</v>
      </c>
      <c r="H8890" s="422" t="s">
        <v>5815</v>
      </c>
    </row>
    <row r="8891" spans="1:8" ht="15" x14ac:dyDescent="0.2">
      <c r="A8891" s="597">
        <v>43892</v>
      </c>
      <c r="B8891" s="41" t="s">
        <v>3946</v>
      </c>
      <c r="C8891" s="41" t="s">
        <v>2503</v>
      </c>
      <c r="D8891" s="183"/>
      <c r="E8891" s="58">
        <v>132799.31034482759</v>
      </c>
      <c r="F8891" s="58"/>
      <c r="G8891" s="58">
        <f t="shared" si="144"/>
        <v>-132799.31034482759</v>
      </c>
      <c r="H8891" s="422" t="s">
        <v>5815</v>
      </c>
    </row>
    <row r="8892" spans="1:8" ht="15" x14ac:dyDescent="0.2">
      <c r="A8892" s="597">
        <v>43892</v>
      </c>
      <c r="B8892" s="41" t="s">
        <v>1400</v>
      </c>
      <c r="C8892" s="41" t="s">
        <v>2503</v>
      </c>
      <c r="D8892" s="183"/>
      <c r="E8892" s="58">
        <v>372668.96551724145</v>
      </c>
      <c r="F8892" s="58"/>
      <c r="G8892" s="58">
        <f t="shared" si="144"/>
        <v>-372668.96551724145</v>
      </c>
      <c r="H8892" s="422" t="s">
        <v>5815</v>
      </c>
    </row>
    <row r="8893" spans="1:8" ht="15" x14ac:dyDescent="0.2">
      <c r="A8893" s="597">
        <v>43892</v>
      </c>
      <c r="B8893" s="41" t="s">
        <v>6516</v>
      </c>
      <c r="C8893" s="41" t="s">
        <v>2503</v>
      </c>
      <c r="D8893" s="183"/>
      <c r="E8893" s="58">
        <v>118605.60344827586</v>
      </c>
      <c r="F8893" s="58"/>
      <c r="G8893" s="58">
        <f t="shared" si="144"/>
        <v>-118605.60344827586</v>
      </c>
      <c r="H8893" s="422" t="s">
        <v>5815</v>
      </c>
    </row>
    <row r="8894" spans="1:8" ht="15" x14ac:dyDescent="0.2">
      <c r="A8894" s="597">
        <v>43892</v>
      </c>
      <c r="B8894" s="41" t="s">
        <v>37</v>
      </c>
      <c r="C8894" s="41" t="s">
        <v>2503</v>
      </c>
      <c r="D8894" s="183"/>
      <c r="E8894" s="58">
        <v>90266.077586206899</v>
      </c>
      <c r="F8894" s="58"/>
      <c r="G8894" s="58">
        <f t="shared" si="144"/>
        <v>-90266.077586206899</v>
      </c>
      <c r="H8894" s="422" t="s">
        <v>5815</v>
      </c>
    </row>
    <row r="8895" spans="1:8" ht="15" x14ac:dyDescent="0.2">
      <c r="A8895" s="597">
        <v>43892</v>
      </c>
      <c r="B8895" s="41" t="s">
        <v>2933</v>
      </c>
      <c r="C8895" s="41" t="s">
        <v>2503</v>
      </c>
      <c r="D8895" s="183" t="s">
        <v>5829</v>
      </c>
      <c r="E8895" s="58">
        <v>47469.310344827587</v>
      </c>
      <c r="F8895" s="58"/>
      <c r="G8895" s="58">
        <f t="shared" si="144"/>
        <v>-47469.310344827587</v>
      </c>
      <c r="H8895" s="422" t="s">
        <v>5815</v>
      </c>
    </row>
    <row r="8896" spans="1:8" ht="15" x14ac:dyDescent="0.2">
      <c r="A8896" s="597">
        <v>43892</v>
      </c>
      <c r="B8896" s="41" t="s">
        <v>2652</v>
      </c>
      <c r="C8896" s="41" t="s">
        <v>2503</v>
      </c>
      <c r="D8896" s="183"/>
      <c r="E8896" s="58">
        <v>160366.37931034484</v>
      </c>
      <c r="F8896" s="58"/>
      <c r="G8896" s="58">
        <f t="shared" si="144"/>
        <v>-160366.37931034484</v>
      </c>
      <c r="H8896" s="422" t="s">
        <v>5815</v>
      </c>
    </row>
    <row r="8897" spans="1:8" ht="15" x14ac:dyDescent="0.2">
      <c r="A8897" s="597">
        <v>43892</v>
      </c>
      <c r="B8897" s="41" t="s">
        <v>5604</v>
      </c>
      <c r="C8897" s="41" t="s">
        <v>2503</v>
      </c>
      <c r="D8897" s="183" t="s">
        <v>5827</v>
      </c>
      <c r="E8897" s="58">
        <f>214943/4+30000</f>
        <v>83735.75</v>
      </c>
      <c r="F8897" s="58"/>
      <c r="G8897" s="58">
        <f t="shared" si="144"/>
        <v>-83735.75</v>
      </c>
      <c r="H8897" s="422" t="s">
        <v>5815</v>
      </c>
    </row>
    <row r="8898" spans="1:8" ht="15" x14ac:dyDescent="0.2">
      <c r="A8898" s="597">
        <v>43892</v>
      </c>
      <c r="B8898" s="41" t="s">
        <v>4553</v>
      </c>
      <c r="C8898" s="41" t="s">
        <v>2503</v>
      </c>
      <c r="D8898" s="183" t="s">
        <v>5825</v>
      </c>
      <c r="E8898" s="58">
        <f>53736-30000</f>
        <v>23736</v>
      </c>
      <c r="F8898" s="58"/>
      <c r="G8898" s="58">
        <f t="shared" si="144"/>
        <v>-23736</v>
      </c>
      <c r="H8898" s="422" t="s">
        <v>5815</v>
      </c>
    </row>
    <row r="8899" spans="1:8" ht="15" x14ac:dyDescent="0.2">
      <c r="A8899" s="597">
        <v>43892</v>
      </c>
      <c r="B8899" s="41" t="s">
        <v>5544</v>
      </c>
      <c r="C8899" s="41" t="s">
        <v>2503</v>
      </c>
      <c r="D8899" s="183" t="s">
        <v>5826</v>
      </c>
      <c r="E8899" s="58">
        <f>214943/4</f>
        <v>53735.75</v>
      </c>
      <c r="F8899" s="58"/>
      <c r="G8899" s="58">
        <f t="shared" si="144"/>
        <v>-53735.75</v>
      </c>
      <c r="H8899" s="422" t="s">
        <v>5815</v>
      </c>
    </row>
    <row r="8900" spans="1:8" ht="15" x14ac:dyDescent="0.2">
      <c r="A8900" s="597">
        <v>43892</v>
      </c>
      <c r="B8900" s="41" t="s">
        <v>5641</v>
      </c>
      <c r="C8900" s="41" t="s">
        <v>2503</v>
      </c>
      <c r="D8900" s="183" t="s">
        <v>5828</v>
      </c>
      <c r="E8900" s="58">
        <f>214943/4</f>
        <v>53735.75</v>
      </c>
      <c r="F8900" s="58"/>
      <c r="G8900" s="58">
        <f t="shared" si="144"/>
        <v>-53735.75</v>
      </c>
      <c r="H8900" s="422" t="s">
        <v>5815</v>
      </c>
    </row>
    <row r="8901" spans="1:8" ht="15" x14ac:dyDescent="0.2">
      <c r="A8901" s="597">
        <v>43892</v>
      </c>
      <c r="B8901" s="41" t="s">
        <v>1400</v>
      </c>
      <c r="C8901" s="41" t="s">
        <v>3145</v>
      </c>
      <c r="D8901" s="129" t="s">
        <v>5136</v>
      </c>
      <c r="E8901" s="58">
        <v>21845</v>
      </c>
      <c r="F8901" s="58"/>
      <c r="G8901" s="58">
        <f t="shared" si="144"/>
        <v>-21845</v>
      </c>
      <c r="H8901" s="422" t="s">
        <v>5815</v>
      </c>
    </row>
    <row r="8902" spans="1:8" ht="15" x14ac:dyDescent="0.2">
      <c r="A8902" s="597">
        <v>43892</v>
      </c>
      <c r="B8902" s="41" t="s">
        <v>1400</v>
      </c>
      <c r="C8902" s="41" t="s">
        <v>3033</v>
      </c>
      <c r="D8902" s="183"/>
      <c r="E8902" s="58">
        <v>4000</v>
      </c>
      <c r="F8902" s="58"/>
      <c r="G8902" s="58">
        <f t="shared" si="144"/>
        <v>-4000</v>
      </c>
      <c r="H8902" s="422" t="s">
        <v>5815</v>
      </c>
    </row>
    <row r="8903" spans="1:8" ht="15" x14ac:dyDescent="0.2">
      <c r="A8903" s="597">
        <v>43892</v>
      </c>
      <c r="B8903" s="41" t="s">
        <v>5544</v>
      </c>
      <c r="C8903" s="41" t="s">
        <v>3145</v>
      </c>
      <c r="D8903" s="183" t="s">
        <v>5519</v>
      </c>
      <c r="E8903" s="58">
        <v>930</v>
      </c>
      <c r="F8903" s="58"/>
      <c r="G8903" s="58">
        <f t="shared" si="144"/>
        <v>-930</v>
      </c>
      <c r="H8903" s="422" t="s">
        <v>5815</v>
      </c>
    </row>
    <row r="8904" spans="1:8" ht="15" x14ac:dyDescent="0.2">
      <c r="A8904" s="597">
        <v>43892</v>
      </c>
      <c r="B8904" s="41" t="s">
        <v>5811</v>
      </c>
      <c r="C8904" s="41" t="s">
        <v>5741</v>
      </c>
      <c r="D8904" s="183"/>
      <c r="E8904" s="58">
        <v>1500</v>
      </c>
      <c r="F8904" s="58"/>
      <c r="G8904" s="58">
        <f t="shared" si="144"/>
        <v>-1500</v>
      </c>
      <c r="H8904" s="422" t="s">
        <v>5815</v>
      </c>
    </row>
    <row r="8905" spans="1:8" ht="15" x14ac:dyDescent="0.2">
      <c r="A8905" s="597">
        <v>43892</v>
      </c>
      <c r="B8905" s="41" t="s">
        <v>5604</v>
      </c>
      <c r="C8905" s="41" t="s">
        <v>3145</v>
      </c>
      <c r="D8905" s="183" t="s">
        <v>4181</v>
      </c>
      <c r="E8905" s="58">
        <v>11098</v>
      </c>
      <c r="F8905" s="58"/>
      <c r="G8905" s="58">
        <f t="shared" si="144"/>
        <v>-11098</v>
      </c>
      <c r="H8905" s="422" t="s">
        <v>5815</v>
      </c>
    </row>
    <row r="8906" spans="1:8" ht="15" x14ac:dyDescent="0.2">
      <c r="A8906" s="597">
        <v>43892</v>
      </c>
      <c r="B8906" s="41" t="s">
        <v>4553</v>
      </c>
      <c r="C8906" s="41" t="s">
        <v>3145</v>
      </c>
      <c r="D8906" s="183" t="s">
        <v>5817</v>
      </c>
      <c r="E8906" s="58">
        <v>2800</v>
      </c>
      <c r="F8906" s="58"/>
      <c r="G8906" s="58">
        <f t="shared" si="144"/>
        <v>-2800</v>
      </c>
      <c r="H8906" s="422" t="s">
        <v>5815</v>
      </c>
    </row>
    <row r="8907" spans="1:8" ht="15" x14ac:dyDescent="0.2">
      <c r="A8907" s="597">
        <v>43892</v>
      </c>
      <c r="B8907" s="41" t="s">
        <v>1400</v>
      </c>
      <c r="C8907" s="41" t="s">
        <v>5818</v>
      </c>
      <c r="D8907" s="183" t="s">
        <v>5819</v>
      </c>
      <c r="E8907" s="58">
        <v>46000</v>
      </c>
      <c r="F8907" s="58"/>
      <c r="G8907" s="58">
        <f t="shared" si="144"/>
        <v>-46000</v>
      </c>
      <c r="H8907" s="422" t="s">
        <v>5815</v>
      </c>
    </row>
    <row r="8908" spans="1:8" ht="15" x14ac:dyDescent="0.2">
      <c r="A8908" s="597">
        <v>43893</v>
      </c>
      <c r="B8908" s="41" t="s">
        <v>5604</v>
      </c>
      <c r="C8908" s="41" t="s">
        <v>5741</v>
      </c>
      <c r="D8908" s="183" t="s">
        <v>5820</v>
      </c>
      <c r="E8908" s="58">
        <v>1000</v>
      </c>
      <c r="F8908" s="58"/>
      <c r="G8908" s="58">
        <f t="shared" si="144"/>
        <v>-1000</v>
      </c>
      <c r="H8908" s="422" t="s">
        <v>5815</v>
      </c>
    </row>
    <row r="8909" spans="1:8" ht="15" x14ac:dyDescent="0.2">
      <c r="A8909" s="597">
        <v>43893</v>
      </c>
      <c r="B8909" s="41" t="s">
        <v>5604</v>
      </c>
      <c r="C8909" s="41" t="s">
        <v>929</v>
      </c>
      <c r="D8909" s="183" t="s">
        <v>5821</v>
      </c>
      <c r="E8909" s="58">
        <v>1000</v>
      </c>
      <c r="F8909" s="58"/>
      <c r="G8909" s="58">
        <f t="shared" si="144"/>
        <v>-1000</v>
      </c>
      <c r="H8909" s="422" t="s">
        <v>5815</v>
      </c>
    </row>
    <row r="8910" spans="1:8" ht="15" x14ac:dyDescent="0.2">
      <c r="A8910" s="597">
        <v>43894</v>
      </c>
      <c r="B8910" s="41" t="s">
        <v>5604</v>
      </c>
      <c r="C8910" s="41" t="s">
        <v>929</v>
      </c>
      <c r="D8910" s="183" t="s">
        <v>5821</v>
      </c>
      <c r="E8910" s="58">
        <v>1000</v>
      </c>
      <c r="F8910" s="58"/>
      <c r="G8910" s="58">
        <f t="shared" si="144"/>
        <v>-1000</v>
      </c>
      <c r="H8910" s="422" t="s">
        <v>5815</v>
      </c>
    </row>
    <row r="8911" spans="1:8" ht="15" x14ac:dyDescent="0.2">
      <c r="A8911" s="597">
        <v>43894</v>
      </c>
      <c r="B8911" s="41" t="s">
        <v>5544</v>
      </c>
      <c r="C8911" s="41" t="s">
        <v>5741</v>
      </c>
      <c r="D8911" s="183" t="s">
        <v>5822</v>
      </c>
      <c r="E8911" s="58">
        <v>1500</v>
      </c>
      <c r="F8911" s="58"/>
      <c r="G8911" s="58">
        <f t="shared" si="144"/>
        <v>-1500</v>
      </c>
      <c r="H8911" s="422" t="s">
        <v>5815</v>
      </c>
    </row>
    <row r="8912" spans="1:8" ht="15" x14ac:dyDescent="0.2">
      <c r="A8912" s="597">
        <v>43894</v>
      </c>
      <c r="B8912" s="41" t="s">
        <v>1400</v>
      </c>
      <c r="C8912" s="41" t="s">
        <v>5741</v>
      </c>
      <c r="D8912" s="183"/>
      <c r="E8912" s="58">
        <v>300</v>
      </c>
      <c r="F8912" s="58"/>
      <c r="G8912" s="58">
        <f t="shared" si="144"/>
        <v>-300</v>
      </c>
      <c r="H8912" s="422" t="s">
        <v>5815</v>
      </c>
    </row>
    <row r="8913" spans="1:8" ht="15" x14ac:dyDescent="0.2">
      <c r="A8913" s="597">
        <v>43894</v>
      </c>
      <c r="B8913" s="41" t="s">
        <v>5604</v>
      </c>
      <c r="C8913" s="41" t="s">
        <v>3145</v>
      </c>
      <c r="D8913" s="183" t="s">
        <v>3253</v>
      </c>
      <c r="E8913" s="58">
        <v>3500</v>
      </c>
      <c r="F8913" s="58"/>
      <c r="G8913" s="58">
        <f t="shared" si="144"/>
        <v>-3500</v>
      </c>
      <c r="H8913" s="422" t="s">
        <v>5815</v>
      </c>
    </row>
    <row r="8914" spans="1:8" ht="15" x14ac:dyDescent="0.2">
      <c r="A8914" s="597">
        <v>43894</v>
      </c>
      <c r="B8914" s="41" t="s">
        <v>5811</v>
      </c>
      <c r="C8914" s="41" t="s">
        <v>3145</v>
      </c>
      <c r="D8914" s="183" t="s">
        <v>3253</v>
      </c>
      <c r="E8914" s="58">
        <v>75500</v>
      </c>
      <c r="F8914" s="58"/>
      <c r="G8914" s="58">
        <f t="shared" si="144"/>
        <v>-75500</v>
      </c>
      <c r="H8914" s="422" t="s">
        <v>5815</v>
      </c>
    </row>
    <row r="8915" spans="1:8" ht="15" x14ac:dyDescent="0.2">
      <c r="A8915" s="597">
        <v>43894</v>
      </c>
      <c r="B8915" s="41" t="s">
        <v>5604</v>
      </c>
      <c r="C8915" s="41" t="s">
        <v>3145</v>
      </c>
      <c r="D8915" s="183" t="s">
        <v>3253</v>
      </c>
      <c r="E8915" s="58">
        <v>53000</v>
      </c>
      <c r="F8915" s="58"/>
      <c r="G8915" s="58">
        <f t="shared" si="144"/>
        <v>-53000</v>
      </c>
      <c r="H8915" s="422" t="s">
        <v>5815</v>
      </c>
    </row>
    <row r="8916" spans="1:8" ht="15" x14ac:dyDescent="0.2">
      <c r="A8916" s="597">
        <v>43894</v>
      </c>
      <c r="B8916" s="41" t="s">
        <v>5811</v>
      </c>
      <c r="C8916" s="41" t="s">
        <v>3145</v>
      </c>
      <c r="D8916" s="183" t="s">
        <v>5823</v>
      </c>
      <c r="E8916" s="58">
        <v>10000</v>
      </c>
      <c r="F8916" s="58"/>
      <c r="G8916" s="58">
        <f t="shared" si="144"/>
        <v>-10000</v>
      </c>
      <c r="H8916" s="422" t="s">
        <v>5815</v>
      </c>
    </row>
    <row r="8917" spans="1:8" ht="15" x14ac:dyDescent="0.2">
      <c r="A8917" s="597">
        <v>43894</v>
      </c>
      <c r="B8917" s="41" t="s">
        <v>5604</v>
      </c>
      <c r="C8917" s="41" t="s">
        <v>3145</v>
      </c>
      <c r="D8917" s="183" t="s">
        <v>5824</v>
      </c>
      <c r="E8917" s="58">
        <v>950</v>
      </c>
      <c r="F8917" s="58"/>
      <c r="G8917" s="58">
        <f t="shared" si="144"/>
        <v>-950</v>
      </c>
      <c r="H8917" s="422" t="s">
        <v>5815</v>
      </c>
    </row>
    <row r="8918" spans="1:8" ht="15" x14ac:dyDescent="0.2">
      <c r="A8918" s="597">
        <v>43894</v>
      </c>
      <c r="B8918" s="41" t="s">
        <v>1400</v>
      </c>
      <c r="C8918" s="41" t="s">
        <v>286</v>
      </c>
      <c r="D8918" s="183" t="s">
        <v>5707</v>
      </c>
      <c r="E8918" s="58">
        <v>200</v>
      </c>
      <c r="F8918" s="58"/>
      <c r="G8918" s="58">
        <f t="shared" si="144"/>
        <v>-200</v>
      </c>
      <c r="H8918" s="422" t="s">
        <v>5815</v>
      </c>
    </row>
    <row r="8919" spans="1:8" ht="15" x14ac:dyDescent="0.2">
      <c r="A8919" s="597">
        <v>43894</v>
      </c>
      <c r="B8919" s="41" t="s">
        <v>6516</v>
      </c>
      <c r="C8919" s="41" t="s">
        <v>3145</v>
      </c>
      <c r="D8919" s="183" t="s">
        <v>5707</v>
      </c>
      <c r="E8919" s="58">
        <v>650</v>
      </c>
      <c r="F8919" s="58"/>
      <c r="G8919" s="58">
        <f t="shared" si="144"/>
        <v>-650</v>
      </c>
      <c r="H8919" s="422" t="s">
        <v>5815</v>
      </c>
    </row>
    <row r="8920" spans="1:8" ht="15" x14ac:dyDescent="0.2">
      <c r="A8920" s="597">
        <v>43894</v>
      </c>
      <c r="B8920" s="41" t="s">
        <v>37</v>
      </c>
      <c r="C8920" s="41" t="s">
        <v>392</v>
      </c>
      <c r="D8920" s="183" t="s">
        <v>5755</v>
      </c>
      <c r="E8920" s="58">
        <v>2000</v>
      </c>
      <c r="F8920" s="58"/>
      <c r="G8920" s="58">
        <f t="shared" si="144"/>
        <v>-2000</v>
      </c>
      <c r="H8920" s="422" t="s">
        <v>5815</v>
      </c>
    </row>
    <row r="8921" spans="1:8" ht="15" x14ac:dyDescent="0.2">
      <c r="A8921" s="597">
        <v>43894</v>
      </c>
      <c r="B8921" s="41" t="s">
        <v>1400</v>
      </c>
      <c r="C8921" s="41" t="s">
        <v>2515</v>
      </c>
      <c r="D8921" s="183" t="s">
        <v>3361</v>
      </c>
      <c r="E8921" s="58">
        <v>15000</v>
      </c>
      <c r="F8921" s="58"/>
      <c r="G8921" s="58">
        <f t="shared" si="144"/>
        <v>-15000</v>
      </c>
      <c r="H8921" s="422" t="s">
        <v>5815</v>
      </c>
    </row>
    <row r="8922" spans="1:8" ht="15" x14ac:dyDescent="0.2">
      <c r="A8922" s="597">
        <v>43894</v>
      </c>
      <c r="B8922" s="41" t="s">
        <v>5604</v>
      </c>
      <c r="C8922" s="41" t="s">
        <v>929</v>
      </c>
      <c r="D8922" s="183" t="s">
        <v>5832</v>
      </c>
      <c r="E8922" s="58">
        <v>1000</v>
      </c>
      <c r="F8922" s="58"/>
      <c r="G8922" s="58">
        <f t="shared" si="144"/>
        <v>-1000</v>
      </c>
      <c r="H8922" s="422" t="s">
        <v>5815</v>
      </c>
    </row>
    <row r="8923" spans="1:8" ht="15" x14ac:dyDescent="0.2">
      <c r="A8923" s="597">
        <v>43894</v>
      </c>
      <c r="B8923" s="41" t="s">
        <v>1400</v>
      </c>
      <c r="C8923" s="41" t="s">
        <v>3145</v>
      </c>
      <c r="D8923" s="183" t="s">
        <v>4181</v>
      </c>
      <c r="E8923" s="58">
        <v>33500</v>
      </c>
      <c r="F8923" s="58"/>
      <c r="G8923" s="58">
        <f t="shared" si="144"/>
        <v>-33500</v>
      </c>
      <c r="H8923" s="422" t="s">
        <v>5815</v>
      </c>
    </row>
    <row r="8924" spans="1:8" ht="15" x14ac:dyDescent="0.2">
      <c r="A8924" s="597">
        <v>43894</v>
      </c>
      <c r="B8924" s="41" t="s">
        <v>5604</v>
      </c>
      <c r="C8924" s="41" t="s">
        <v>3145</v>
      </c>
      <c r="D8924" s="183" t="s">
        <v>4181</v>
      </c>
      <c r="E8924" s="58">
        <f>38500-E8923</f>
        <v>5000</v>
      </c>
      <c r="F8924" s="58"/>
      <c r="G8924" s="58">
        <f t="shared" si="144"/>
        <v>-5000</v>
      </c>
      <c r="H8924" s="422" t="s">
        <v>5815</v>
      </c>
    </row>
    <row r="8925" spans="1:8" ht="15" x14ac:dyDescent="0.2">
      <c r="A8925" s="597">
        <v>43897</v>
      </c>
      <c r="B8925" s="41" t="s">
        <v>5811</v>
      </c>
      <c r="C8925" s="41" t="s">
        <v>3145</v>
      </c>
      <c r="D8925" s="183" t="s">
        <v>3253</v>
      </c>
      <c r="E8925" s="58">
        <v>47150</v>
      </c>
      <c r="F8925" s="58"/>
      <c r="G8925" s="58">
        <f t="shared" si="144"/>
        <v>-47150</v>
      </c>
      <c r="H8925" s="422" t="s">
        <v>5815</v>
      </c>
    </row>
    <row r="8926" spans="1:8" ht="15" x14ac:dyDescent="0.2">
      <c r="A8926" s="597">
        <v>43897</v>
      </c>
      <c r="B8926" s="41" t="s">
        <v>5604</v>
      </c>
      <c r="C8926" s="41" t="s">
        <v>3145</v>
      </c>
      <c r="D8926" s="183" t="s">
        <v>4181</v>
      </c>
      <c r="E8926" s="58">
        <v>1610</v>
      </c>
      <c r="F8926" s="58"/>
      <c r="G8926" s="58">
        <f t="shared" si="144"/>
        <v>-1610</v>
      </c>
      <c r="H8926" s="422" t="s">
        <v>5815</v>
      </c>
    </row>
    <row r="8927" spans="1:8" ht="15" x14ac:dyDescent="0.2">
      <c r="A8927" s="597">
        <v>43897</v>
      </c>
      <c r="B8927" s="41" t="s">
        <v>5604</v>
      </c>
      <c r="C8927" s="41" t="s">
        <v>3145</v>
      </c>
      <c r="D8927" s="183" t="s">
        <v>4181</v>
      </c>
      <c r="E8927" s="58">
        <v>1280</v>
      </c>
      <c r="F8927" s="58"/>
      <c r="G8927" s="58">
        <f t="shared" si="144"/>
        <v>-1280</v>
      </c>
      <c r="H8927" s="422" t="s">
        <v>5815</v>
      </c>
    </row>
    <row r="8928" spans="1:8" ht="15" x14ac:dyDescent="0.2">
      <c r="A8928" s="597">
        <v>43897</v>
      </c>
      <c r="B8928" s="41" t="s">
        <v>1400</v>
      </c>
      <c r="C8928" s="41" t="s">
        <v>3145</v>
      </c>
      <c r="D8928" s="183" t="s">
        <v>4181</v>
      </c>
      <c r="E8928" s="58">
        <v>1830</v>
      </c>
      <c r="F8928" s="58"/>
      <c r="G8928" s="58">
        <f t="shared" si="144"/>
        <v>-1830</v>
      </c>
      <c r="H8928" s="422" t="s">
        <v>5815</v>
      </c>
    </row>
    <row r="8929" spans="1:8" ht="15" x14ac:dyDescent="0.2">
      <c r="A8929" s="597">
        <v>43897</v>
      </c>
      <c r="B8929" s="41" t="s">
        <v>5604</v>
      </c>
      <c r="C8929" s="41" t="s">
        <v>3145</v>
      </c>
      <c r="D8929" s="183" t="s">
        <v>4181</v>
      </c>
      <c r="E8929" s="58">
        <f>9900-E8928</f>
        <v>8070</v>
      </c>
      <c r="F8929" s="58"/>
      <c r="G8929" s="58">
        <f t="shared" si="144"/>
        <v>-8070</v>
      </c>
      <c r="H8929" s="422" t="s">
        <v>5815</v>
      </c>
    </row>
    <row r="8930" spans="1:8" ht="15" x14ac:dyDescent="0.2">
      <c r="A8930" s="597">
        <v>43897</v>
      </c>
      <c r="B8930" s="41" t="s">
        <v>16</v>
      </c>
      <c r="C8930" s="41" t="s">
        <v>3364</v>
      </c>
      <c r="D8930" s="183" t="s">
        <v>5833</v>
      </c>
      <c r="E8930" s="58">
        <v>4200</v>
      </c>
      <c r="F8930" s="58"/>
      <c r="G8930" s="58">
        <f t="shared" si="144"/>
        <v>-4200</v>
      </c>
      <c r="H8930" s="422" t="s">
        <v>5815</v>
      </c>
    </row>
    <row r="8931" spans="1:8" ht="15" x14ac:dyDescent="0.2">
      <c r="A8931" s="597">
        <v>43897</v>
      </c>
      <c r="B8931" s="41" t="s">
        <v>1400</v>
      </c>
      <c r="C8931" s="41" t="s">
        <v>5652</v>
      </c>
      <c r="D8931" s="183" t="s">
        <v>5833</v>
      </c>
      <c r="E8931" s="58">
        <v>4600</v>
      </c>
      <c r="F8931" s="58"/>
      <c r="G8931" s="58">
        <f t="shared" si="144"/>
        <v>-4600</v>
      </c>
      <c r="H8931" s="422" t="s">
        <v>5815</v>
      </c>
    </row>
    <row r="8932" spans="1:8" ht="15" x14ac:dyDescent="0.2">
      <c r="A8932" s="597">
        <v>43897</v>
      </c>
      <c r="B8932" s="41" t="s">
        <v>5544</v>
      </c>
      <c r="C8932" s="41" t="s">
        <v>3145</v>
      </c>
      <c r="D8932" s="183" t="s">
        <v>5456</v>
      </c>
      <c r="E8932" s="58">
        <v>4340</v>
      </c>
      <c r="F8932" s="58"/>
      <c r="G8932" s="58">
        <f t="shared" si="144"/>
        <v>-4340</v>
      </c>
      <c r="H8932" s="422" t="s">
        <v>5815</v>
      </c>
    </row>
    <row r="8933" spans="1:8" ht="15" x14ac:dyDescent="0.2">
      <c r="A8933" s="597">
        <v>43897</v>
      </c>
      <c r="B8933" s="41" t="s">
        <v>5746</v>
      </c>
      <c r="C8933" s="41" t="s">
        <v>3145</v>
      </c>
      <c r="D8933" s="183" t="s">
        <v>5456</v>
      </c>
      <c r="E8933" s="58">
        <v>350</v>
      </c>
      <c r="F8933" s="58"/>
      <c r="G8933" s="58">
        <f t="shared" si="144"/>
        <v>-350</v>
      </c>
      <c r="H8933" s="422" t="s">
        <v>5815</v>
      </c>
    </row>
    <row r="8934" spans="1:8" ht="15" x14ac:dyDescent="0.2">
      <c r="A8934" s="597">
        <v>43897</v>
      </c>
      <c r="B8934" s="41" t="s">
        <v>5604</v>
      </c>
      <c r="C8934" s="41" t="s">
        <v>392</v>
      </c>
      <c r="D8934" s="183" t="s">
        <v>5834</v>
      </c>
      <c r="E8934" s="58">
        <v>1000</v>
      </c>
      <c r="F8934" s="58"/>
      <c r="G8934" s="58">
        <f t="shared" si="144"/>
        <v>-1000</v>
      </c>
      <c r="H8934" s="422" t="s">
        <v>5815</v>
      </c>
    </row>
    <row r="8935" spans="1:8" ht="15" x14ac:dyDescent="0.2">
      <c r="A8935" s="597">
        <v>43897</v>
      </c>
      <c r="B8935" s="41" t="s">
        <v>1400</v>
      </c>
      <c r="C8935" s="41" t="s">
        <v>5835</v>
      </c>
      <c r="D8935" s="183" t="s">
        <v>3361</v>
      </c>
      <c r="E8935" s="58">
        <v>25000</v>
      </c>
      <c r="F8935" s="58"/>
      <c r="G8935" s="58">
        <f t="shared" si="144"/>
        <v>-25000</v>
      </c>
      <c r="H8935" s="422" t="s">
        <v>5815</v>
      </c>
    </row>
    <row r="8936" spans="1:8" ht="15" x14ac:dyDescent="0.2">
      <c r="A8936" s="597">
        <v>43897</v>
      </c>
      <c r="B8936" s="41" t="s">
        <v>4553</v>
      </c>
      <c r="C8936" s="41" t="s">
        <v>5836</v>
      </c>
      <c r="D8936" s="183" t="s">
        <v>5837</v>
      </c>
      <c r="E8936" s="58">
        <v>7000</v>
      </c>
      <c r="F8936" s="58"/>
      <c r="G8936" s="58">
        <f t="shared" si="144"/>
        <v>-7000</v>
      </c>
      <c r="H8936" s="422" t="s">
        <v>5815</v>
      </c>
    </row>
    <row r="8937" spans="1:8" ht="15" x14ac:dyDescent="0.2">
      <c r="A8937" s="597">
        <v>43899</v>
      </c>
      <c r="B8937" s="41" t="s">
        <v>2652</v>
      </c>
      <c r="C8937" s="41" t="s">
        <v>5838</v>
      </c>
      <c r="D8937" s="183" t="s">
        <v>734</v>
      </c>
      <c r="E8937" s="58">
        <v>50000</v>
      </c>
      <c r="F8937" s="58"/>
      <c r="G8937" s="58">
        <f t="shared" si="144"/>
        <v>-50000</v>
      </c>
      <c r="H8937" s="422" t="s">
        <v>5815</v>
      </c>
    </row>
    <row r="8938" spans="1:8" ht="15" x14ac:dyDescent="0.2">
      <c r="A8938" s="597">
        <v>43899</v>
      </c>
      <c r="B8938" s="41" t="s">
        <v>1400</v>
      </c>
      <c r="C8938" s="41" t="s">
        <v>5835</v>
      </c>
      <c r="D8938" s="183" t="s">
        <v>5839</v>
      </c>
      <c r="E8938" s="58">
        <v>17500</v>
      </c>
      <c r="F8938" s="58"/>
      <c r="G8938" s="58">
        <f t="shared" si="144"/>
        <v>-17500</v>
      </c>
      <c r="H8938" s="422" t="s">
        <v>5815</v>
      </c>
    </row>
    <row r="8939" spans="1:8" ht="15" x14ac:dyDescent="0.2">
      <c r="A8939" s="597">
        <v>43899</v>
      </c>
      <c r="B8939" s="41" t="s">
        <v>1400</v>
      </c>
      <c r="C8939" s="41" t="s">
        <v>3145</v>
      </c>
      <c r="D8939" s="183" t="s">
        <v>4875</v>
      </c>
      <c r="E8939" s="58">
        <v>24420</v>
      </c>
      <c r="F8939" s="58"/>
      <c r="G8939" s="58">
        <f t="shared" ref="G8939:G9002" si="145">F8939-E8939</f>
        <v>-24420</v>
      </c>
      <c r="H8939" s="422" t="s">
        <v>5815</v>
      </c>
    </row>
    <row r="8940" spans="1:8" ht="15" x14ac:dyDescent="0.2">
      <c r="A8940" s="597">
        <v>43899</v>
      </c>
      <c r="B8940" s="41" t="s">
        <v>2933</v>
      </c>
      <c r="C8940" s="41" t="s">
        <v>1495</v>
      </c>
      <c r="D8940" s="183"/>
      <c r="E8940" s="58">
        <v>1280</v>
      </c>
      <c r="F8940" s="58"/>
      <c r="G8940" s="58">
        <f t="shared" si="145"/>
        <v>-1280</v>
      </c>
      <c r="H8940" s="422" t="s">
        <v>5815</v>
      </c>
    </row>
    <row r="8941" spans="1:8" ht="15" x14ac:dyDescent="0.2">
      <c r="A8941" s="597">
        <v>43899</v>
      </c>
      <c r="B8941" s="41" t="s">
        <v>16</v>
      </c>
      <c r="C8941" s="41" t="s">
        <v>1495</v>
      </c>
      <c r="D8941" s="183"/>
      <c r="E8941" s="58">
        <v>1260</v>
      </c>
      <c r="F8941" s="58"/>
      <c r="G8941" s="58">
        <f t="shared" si="145"/>
        <v>-1260</v>
      </c>
      <c r="H8941" s="422" t="s">
        <v>5815</v>
      </c>
    </row>
    <row r="8942" spans="1:8" ht="15" customHeight="1" x14ac:dyDescent="0.2">
      <c r="A8942" s="597">
        <v>43900</v>
      </c>
      <c r="B8942" s="41" t="s">
        <v>16</v>
      </c>
      <c r="C8942" s="41" t="s">
        <v>4672</v>
      </c>
      <c r="D8942" s="183" t="s">
        <v>370</v>
      </c>
      <c r="E8942" s="58">
        <v>8000</v>
      </c>
      <c r="F8942" s="58"/>
      <c r="G8942" s="58">
        <f t="shared" si="145"/>
        <v>-8000</v>
      </c>
      <c r="H8942" s="422" t="s">
        <v>5815</v>
      </c>
    </row>
    <row r="8943" spans="1:8" ht="15" customHeight="1" x14ac:dyDescent="0.2">
      <c r="A8943" s="597">
        <v>43900</v>
      </c>
      <c r="B8943" s="41" t="s">
        <v>5604</v>
      </c>
      <c r="C8943" s="41" t="s">
        <v>3145</v>
      </c>
      <c r="D8943" s="183" t="s">
        <v>5846</v>
      </c>
      <c r="E8943" s="58">
        <v>13200</v>
      </c>
      <c r="F8943" s="58"/>
      <c r="G8943" s="58">
        <f t="shared" si="145"/>
        <v>-13200</v>
      </c>
      <c r="H8943" s="422" t="s">
        <v>5815</v>
      </c>
    </row>
    <row r="8944" spans="1:8" ht="15" customHeight="1" x14ac:dyDescent="0.2">
      <c r="A8944" s="597">
        <v>43901</v>
      </c>
      <c r="B8944" s="41" t="s">
        <v>5746</v>
      </c>
      <c r="C8944" s="41" t="s">
        <v>3145</v>
      </c>
      <c r="D8944" s="183" t="s">
        <v>5847</v>
      </c>
      <c r="E8944" s="58">
        <v>7860</v>
      </c>
      <c r="F8944" s="58"/>
      <c r="G8944" s="58">
        <f t="shared" si="145"/>
        <v>-7860</v>
      </c>
      <c r="H8944" s="422" t="s">
        <v>5815</v>
      </c>
    </row>
    <row r="8945" spans="1:8" ht="15" customHeight="1" x14ac:dyDescent="0.2">
      <c r="A8945" s="597">
        <v>43901</v>
      </c>
      <c r="B8945" s="41" t="s">
        <v>5746</v>
      </c>
      <c r="C8945" s="41" t="s">
        <v>5741</v>
      </c>
      <c r="D8945" s="183" t="s">
        <v>5848</v>
      </c>
      <c r="E8945" s="58">
        <v>500</v>
      </c>
      <c r="F8945" s="58"/>
      <c r="G8945" s="58">
        <f t="shared" si="145"/>
        <v>-500</v>
      </c>
      <c r="H8945" s="422" t="s">
        <v>5815</v>
      </c>
    </row>
    <row r="8946" spans="1:8" ht="15" customHeight="1" x14ac:dyDescent="0.2">
      <c r="A8946" s="597">
        <v>43901</v>
      </c>
      <c r="B8946" s="41" t="s">
        <v>2933</v>
      </c>
      <c r="C8946" s="41" t="s">
        <v>5741</v>
      </c>
      <c r="D8946" s="183" t="s">
        <v>5849</v>
      </c>
      <c r="E8946" s="58">
        <v>7500</v>
      </c>
      <c r="F8946" s="58"/>
      <c r="G8946" s="58">
        <f t="shared" si="145"/>
        <v>-7500</v>
      </c>
      <c r="H8946" s="422" t="s">
        <v>5815</v>
      </c>
    </row>
    <row r="8947" spans="1:8" ht="15" customHeight="1" x14ac:dyDescent="0.2">
      <c r="A8947" s="597">
        <v>43904</v>
      </c>
      <c r="B8947" s="41" t="s">
        <v>4553</v>
      </c>
      <c r="C8947" s="41" t="s">
        <v>3145</v>
      </c>
      <c r="D8947" s="183" t="s">
        <v>5747</v>
      </c>
      <c r="E8947" s="58">
        <v>3500</v>
      </c>
      <c r="F8947" s="58"/>
      <c r="G8947" s="58">
        <f t="shared" si="145"/>
        <v>-3500</v>
      </c>
      <c r="H8947" s="422" t="s">
        <v>5815</v>
      </c>
    </row>
    <row r="8948" spans="1:8" ht="15" customHeight="1" x14ac:dyDescent="0.2">
      <c r="A8948" s="597">
        <v>43904</v>
      </c>
      <c r="B8948" s="41" t="s">
        <v>2652</v>
      </c>
      <c r="C8948" s="41" t="s">
        <v>3145</v>
      </c>
      <c r="D8948" s="183" t="s">
        <v>4289</v>
      </c>
      <c r="E8948" s="58">
        <v>3000</v>
      </c>
      <c r="F8948" s="58"/>
      <c r="G8948" s="58">
        <f t="shared" si="145"/>
        <v>-3000</v>
      </c>
      <c r="H8948" s="422" t="s">
        <v>5815</v>
      </c>
    </row>
    <row r="8949" spans="1:8" ht="15" customHeight="1" x14ac:dyDescent="0.2">
      <c r="A8949" s="597">
        <v>43904</v>
      </c>
      <c r="B8949" s="41" t="s">
        <v>5544</v>
      </c>
      <c r="C8949" s="41" t="s">
        <v>2190</v>
      </c>
      <c r="D8949" s="183"/>
      <c r="E8949" s="58">
        <v>600</v>
      </c>
      <c r="F8949" s="58"/>
      <c r="G8949" s="58">
        <f t="shared" si="145"/>
        <v>-600</v>
      </c>
      <c r="H8949" s="422" t="s">
        <v>5815</v>
      </c>
    </row>
    <row r="8950" spans="1:8" ht="15" customHeight="1" x14ac:dyDescent="0.2">
      <c r="A8950" s="597">
        <v>43904</v>
      </c>
      <c r="B8950" s="41" t="s">
        <v>1400</v>
      </c>
      <c r="C8950" s="41" t="s">
        <v>2190</v>
      </c>
      <c r="D8950" s="183"/>
      <c r="E8950" s="58">
        <v>490</v>
      </c>
      <c r="F8950" s="58"/>
      <c r="G8950" s="58">
        <f t="shared" si="145"/>
        <v>-490</v>
      </c>
      <c r="H8950" s="422" t="s">
        <v>5815</v>
      </c>
    </row>
    <row r="8951" spans="1:8" ht="15" customHeight="1" x14ac:dyDescent="0.2">
      <c r="A8951" s="597">
        <v>43904</v>
      </c>
      <c r="B8951" s="41" t="s">
        <v>5544</v>
      </c>
      <c r="C8951" s="41" t="s">
        <v>3145</v>
      </c>
      <c r="D8951" s="183" t="s">
        <v>5862</v>
      </c>
      <c r="E8951" s="58">
        <v>9525</v>
      </c>
      <c r="F8951" s="58"/>
      <c r="G8951" s="58">
        <f t="shared" si="145"/>
        <v>-9525</v>
      </c>
      <c r="H8951" s="422" t="s">
        <v>5815</v>
      </c>
    </row>
    <row r="8952" spans="1:8" ht="15" customHeight="1" x14ac:dyDescent="0.2">
      <c r="A8952" s="597">
        <v>43904</v>
      </c>
      <c r="B8952" s="41" t="s">
        <v>5544</v>
      </c>
      <c r="C8952" s="41" t="s">
        <v>392</v>
      </c>
      <c r="D8952" s="183" t="s">
        <v>3318</v>
      </c>
      <c r="E8952" s="58">
        <v>300</v>
      </c>
      <c r="F8952" s="58"/>
      <c r="G8952" s="58">
        <f t="shared" si="145"/>
        <v>-300</v>
      </c>
      <c r="H8952" s="422" t="s">
        <v>5815</v>
      </c>
    </row>
    <row r="8953" spans="1:8" ht="15" customHeight="1" x14ac:dyDescent="0.2">
      <c r="A8953" s="597">
        <v>43904</v>
      </c>
      <c r="B8953" s="41" t="s">
        <v>5544</v>
      </c>
      <c r="C8953" s="41" t="s">
        <v>392</v>
      </c>
      <c r="D8953" s="183"/>
      <c r="E8953" s="58">
        <v>70</v>
      </c>
      <c r="F8953" s="58"/>
      <c r="G8953" s="58">
        <f t="shared" si="145"/>
        <v>-70</v>
      </c>
      <c r="H8953" s="422" t="s">
        <v>5815</v>
      </c>
    </row>
    <row r="8954" spans="1:8" ht="15" customHeight="1" x14ac:dyDescent="0.2">
      <c r="A8954" s="597">
        <v>43908</v>
      </c>
      <c r="B8954" s="41" t="s">
        <v>4553</v>
      </c>
      <c r="C8954" s="41" t="s">
        <v>3145</v>
      </c>
      <c r="D8954" s="183" t="s">
        <v>5863</v>
      </c>
      <c r="E8954" s="58">
        <v>37840</v>
      </c>
      <c r="F8954" s="58"/>
      <c r="G8954" s="58">
        <f t="shared" si="145"/>
        <v>-37840</v>
      </c>
      <c r="H8954" s="422" t="s">
        <v>5815</v>
      </c>
    </row>
    <row r="8955" spans="1:8" ht="15" customHeight="1" x14ac:dyDescent="0.2">
      <c r="A8955" s="597">
        <v>43908</v>
      </c>
      <c r="B8955" s="41" t="s">
        <v>5641</v>
      </c>
      <c r="C8955" s="41" t="s">
        <v>3145</v>
      </c>
      <c r="D8955" s="183" t="s">
        <v>3253</v>
      </c>
      <c r="E8955" s="58">
        <v>21600</v>
      </c>
      <c r="F8955" s="58"/>
      <c r="G8955" s="58">
        <f t="shared" si="145"/>
        <v>-21600</v>
      </c>
      <c r="H8955" s="422" t="s">
        <v>5815</v>
      </c>
    </row>
    <row r="8956" spans="1:8" ht="15" customHeight="1" x14ac:dyDescent="0.2">
      <c r="A8956" s="597">
        <v>43908</v>
      </c>
      <c r="B8956" s="41" t="s">
        <v>5641</v>
      </c>
      <c r="C8956" s="41" t="s">
        <v>3145</v>
      </c>
      <c r="D8956" s="183" t="s">
        <v>3253</v>
      </c>
      <c r="E8956" s="58">
        <v>50500</v>
      </c>
      <c r="F8956" s="58"/>
      <c r="G8956" s="58">
        <f t="shared" si="145"/>
        <v>-50500</v>
      </c>
      <c r="H8956" s="422" t="s">
        <v>5815</v>
      </c>
    </row>
    <row r="8957" spans="1:8" ht="15" customHeight="1" x14ac:dyDescent="0.2">
      <c r="A8957" s="597">
        <v>43908</v>
      </c>
      <c r="B8957" s="41" t="s">
        <v>5604</v>
      </c>
      <c r="C8957" s="41" t="s">
        <v>3145</v>
      </c>
      <c r="D8957" s="183" t="s">
        <v>5864</v>
      </c>
      <c r="E8957" s="58">
        <v>8000</v>
      </c>
      <c r="F8957" s="58"/>
      <c r="G8957" s="58">
        <f t="shared" si="145"/>
        <v>-8000</v>
      </c>
      <c r="H8957" s="422" t="s">
        <v>5815</v>
      </c>
    </row>
    <row r="8958" spans="1:8" ht="15" customHeight="1" x14ac:dyDescent="0.2">
      <c r="A8958" s="597">
        <v>43908</v>
      </c>
      <c r="B8958" s="41" t="s">
        <v>5641</v>
      </c>
      <c r="C8958" s="41" t="s">
        <v>3145</v>
      </c>
      <c r="D8958" s="183" t="s">
        <v>4522</v>
      </c>
      <c r="E8958" s="58">
        <v>440</v>
      </c>
      <c r="F8958" s="58"/>
      <c r="G8958" s="58">
        <f t="shared" si="145"/>
        <v>-440</v>
      </c>
      <c r="H8958" s="422" t="s">
        <v>5815</v>
      </c>
    </row>
    <row r="8959" spans="1:8" ht="15" customHeight="1" x14ac:dyDescent="0.2">
      <c r="A8959" s="597">
        <v>43908</v>
      </c>
      <c r="B8959" s="41" t="s">
        <v>5641</v>
      </c>
      <c r="C8959" s="41" t="s">
        <v>392</v>
      </c>
      <c r="D8959" s="183" t="s">
        <v>2108</v>
      </c>
      <c r="E8959" s="58">
        <v>2500</v>
      </c>
      <c r="F8959" s="58"/>
      <c r="G8959" s="58">
        <f t="shared" si="145"/>
        <v>-2500</v>
      </c>
      <c r="H8959" s="422" t="s">
        <v>5815</v>
      </c>
    </row>
    <row r="8960" spans="1:8" ht="15" customHeight="1" x14ac:dyDescent="0.2">
      <c r="A8960" s="597">
        <v>43908</v>
      </c>
      <c r="B8960" s="41" t="s">
        <v>1400</v>
      </c>
      <c r="C8960" s="41" t="s">
        <v>392</v>
      </c>
      <c r="D8960" s="183" t="s">
        <v>2108</v>
      </c>
      <c r="E8960" s="58">
        <v>2500</v>
      </c>
      <c r="F8960" s="58"/>
      <c r="G8960" s="58">
        <f t="shared" si="145"/>
        <v>-2500</v>
      </c>
      <c r="H8960" s="422" t="s">
        <v>5815</v>
      </c>
    </row>
    <row r="8961" spans="1:8" ht="15" customHeight="1" x14ac:dyDescent="0.2">
      <c r="A8961" s="597">
        <v>43908</v>
      </c>
      <c r="B8961" s="41" t="s">
        <v>1400</v>
      </c>
      <c r="C8961" s="41" t="s">
        <v>392</v>
      </c>
      <c r="D8961" s="183" t="s">
        <v>4426</v>
      </c>
      <c r="E8961" s="58">
        <v>2000</v>
      </c>
      <c r="F8961" s="58"/>
      <c r="G8961" s="58">
        <f t="shared" si="145"/>
        <v>-2000</v>
      </c>
      <c r="H8961" s="422" t="s">
        <v>5815</v>
      </c>
    </row>
    <row r="8962" spans="1:8" ht="15" customHeight="1" x14ac:dyDescent="0.2">
      <c r="A8962" s="597">
        <v>43908</v>
      </c>
      <c r="B8962" s="41" t="s">
        <v>1400</v>
      </c>
      <c r="C8962" s="41" t="s">
        <v>392</v>
      </c>
      <c r="D8962" s="183" t="s">
        <v>4426</v>
      </c>
      <c r="E8962" s="58">
        <v>2000</v>
      </c>
      <c r="F8962" s="58"/>
      <c r="G8962" s="58">
        <f t="shared" si="145"/>
        <v>-2000</v>
      </c>
      <c r="H8962" s="422" t="s">
        <v>5815</v>
      </c>
    </row>
    <row r="8963" spans="1:8" ht="15" customHeight="1" x14ac:dyDescent="0.2">
      <c r="A8963" s="597">
        <v>43908</v>
      </c>
      <c r="B8963" s="41" t="s">
        <v>6516</v>
      </c>
      <c r="C8963" s="41" t="s">
        <v>392</v>
      </c>
      <c r="D8963" s="183" t="s">
        <v>4426</v>
      </c>
      <c r="E8963" s="58">
        <v>2000</v>
      </c>
      <c r="F8963" s="58"/>
      <c r="G8963" s="58">
        <f t="shared" si="145"/>
        <v>-2000</v>
      </c>
      <c r="H8963" s="422" t="s">
        <v>5815</v>
      </c>
    </row>
    <row r="8964" spans="1:8" ht="15" customHeight="1" x14ac:dyDescent="0.2">
      <c r="A8964" s="597">
        <v>43908</v>
      </c>
      <c r="B8964" s="41" t="s">
        <v>37</v>
      </c>
      <c r="C8964" s="41" t="s">
        <v>392</v>
      </c>
      <c r="D8964" s="183" t="s">
        <v>4426</v>
      </c>
      <c r="E8964" s="58">
        <v>2000</v>
      </c>
      <c r="F8964" s="58"/>
      <c r="G8964" s="58">
        <f t="shared" si="145"/>
        <v>-2000</v>
      </c>
      <c r="H8964" s="422" t="s">
        <v>5815</v>
      </c>
    </row>
    <row r="8965" spans="1:8" ht="15" customHeight="1" x14ac:dyDescent="0.2">
      <c r="A8965" s="597">
        <v>43908</v>
      </c>
      <c r="B8965" s="41" t="s">
        <v>2652</v>
      </c>
      <c r="C8965" s="41" t="s">
        <v>4870</v>
      </c>
      <c r="D8965" s="183" t="s">
        <v>5865</v>
      </c>
      <c r="E8965" s="58">
        <v>17000</v>
      </c>
      <c r="F8965" s="58"/>
      <c r="G8965" s="58">
        <f t="shared" si="145"/>
        <v>-17000</v>
      </c>
      <c r="H8965" s="422" t="s">
        <v>5815</v>
      </c>
    </row>
    <row r="8966" spans="1:8" ht="15" customHeight="1" x14ac:dyDescent="0.2">
      <c r="A8966" s="597">
        <v>43909</v>
      </c>
      <c r="B8966" s="41" t="s">
        <v>5811</v>
      </c>
      <c r="C8966" s="41" t="s">
        <v>392</v>
      </c>
      <c r="D8966" s="183" t="s">
        <v>3253</v>
      </c>
      <c r="E8966" s="58">
        <v>2400</v>
      </c>
      <c r="F8966" s="58"/>
      <c r="G8966" s="58">
        <f t="shared" si="145"/>
        <v>-2400</v>
      </c>
      <c r="H8966" s="422" t="s">
        <v>5815</v>
      </c>
    </row>
    <row r="8967" spans="1:8" ht="15" customHeight="1" x14ac:dyDescent="0.2">
      <c r="A8967" s="597">
        <v>43909</v>
      </c>
      <c r="B8967" s="41" t="s">
        <v>5641</v>
      </c>
      <c r="C8967" s="41" t="s">
        <v>3145</v>
      </c>
      <c r="D8967" s="183" t="s">
        <v>3253</v>
      </c>
      <c r="E8967" s="58">
        <v>8000</v>
      </c>
      <c r="F8967" s="58"/>
      <c r="G8967" s="58">
        <f t="shared" si="145"/>
        <v>-8000</v>
      </c>
      <c r="H8967" s="422" t="s">
        <v>5815</v>
      </c>
    </row>
    <row r="8968" spans="1:8" ht="15" customHeight="1" x14ac:dyDescent="0.2">
      <c r="A8968" s="597">
        <v>43910</v>
      </c>
      <c r="B8968" s="41" t="s">
        <v>2652</v>
      </c>
      <c r="C8968" s="41" t="s">
        <v>2280</v>
      </c>
      <c r="D8968" s="183" t="s">
        <v>5871</v>
      </c>
      <c r="E8968" s="58">
        <v>10000</v>
      </c>
      <c r="F8968" s="58"/>
      <c r="G8968" s="58">
        <f t="shared" si="145"/>
        <v>-10000</v>
      </c>
      <c r="H8968" s="422" t="s">
        <v>5815</v>
      </c>
    </row>
    <row r="8969" spans="1:8" ht="15" customHeight="1" x14ac:dyDescent="0.2">
      <c r="A8969" s="597">
        <v>43921</v>
      </c>
      <c r="B8969" s="41" t="s">
        <v>16</v>
      </c>
      <c r="C8969" s="41" t="s">
        <v>103</v>
      </c>
      <c r="D8969" s="183" t="s">
        <v>5745</v>
      </c>
      <c r="E8969" s="58">
        <v>12651</v>
      </c>
      <c r="F8969" s="58"/>
      <c r="G8969" s="58">
        <f t="shared" si="145"/>
        <v>-12651</v>
      </c>
      <c r="H8969" s="422" t="s">
        <v>5815</v>
      </c>
    </row>
    <row r="8970" spans="1:8" ht="15" customHeight="1" x14ac:dyDescent="0.2">
      <c r="A8970" s="602">
        <v>43896</v>
      </c>
      <c r="B8970" s="122" t="s">
        <v>25</v>
      </c>
      <c r="C8970" s="122" t="s">
        <v>2428</v>
      </c>
      <c r="D8970" s="812" t="s">
        <v>5841</v>
      </c>
      <c r="E8970" s="123">
        <v>22475</v>
      </c>
      <c r="F8970" s="123"/>
      <c r="G8970" s="123">
        <f t="shared" si="145"/>
        <v>-22475</v>
      </c>
      <c r="H8970" s="396" t="s">
        <v>5815</v>
      </c>
    </row>
    <row r="8971" spans="1:8" ht="15" customHeight="1" x14ac:dyDescent="0.2">
      <c r="A8971" s="602">
        <v>43900</v>
      </c>
      <c r="B8971" s="122" t="s">
        <v>3946</v>
      </c>
      <c r="C8971" s="122" t="s">
        <v>3003</v>
      </c>
      <c r="D8971" s="228" t="s">
        <v>5842</v>
      </c>
      <c r="E8971" s="123">
        <v>30160</v>
      </c>
      <c r="F8971" s="123"/>
      <c r="G8971" s="123">
        <f t="shared" si="145"/>
        <v>-30160</v>
      </c>
      <c r="H8971" s="396" t="s">
        <v>5815</v>
      </c>
    </row>
    <row r="8972" spans="1:8" ht="15" customHeight="1" x14ac:dyDescent="0.2">
      <c r="A8972" s="602">
        <v>43900</v>
      </c>
      <c r="B8972" s="122" t="s">
        <v>3945</v>
      </c>
      <c r="C8972" s="122" t="s">
        <v>3003</v>
      </c>
      <c r="D8972" s="228" t="s">
        <v>5842</v>
      </c>
      <c r="E8972" s="123">
        <v>32760</v>
      </c>
      <c r="F8972" s="123"/>
      <c r="G8972" s="123">
        <f t="shared" si="145"/>
        <v>-32760</v>
      </c>
      <c r="H8972" s="396" t="s">
        <v>5815</v>
      </c>
    </row>
    <row r="8973" spans="1:8" ht="15" customHeight="1" x14ac:dyDescent="0.2">
      <c r="A8973" s="602">
        <v>43900</v>
      </c>
      <c r="B8973" s="122" t="s">
        <v>37</v>
      </c>
      <c r="C8973" s="122" t="s">
        <v>3003</v>
      </c>
      <c r="D8973" s="228" t="s">
        <v>5842</v>
      </c>
      <c r="E8973" s="123">
        <v>12960</v>
      </c>
      <c r="F8973" s="123"/>
      <c r="G8973" s="123">
        <f t="shared" si="145"/>
        <v>-12960</v>
      </c>
      <c r="H8973" s="396" t="s">
        <v>5815</v>
      </c>
    </row>
    <row r="8974" spans="1:8" ht="15" customHeight="1" x14ac:dyDescent="0.2">
      <c r="A8974" s="602">
        <v>43900</v>
      </c>
      <c r="B8974" s="174" t="s">
        <v>6516</v>
      </c>
      <c r="C8974" s="122" t="s">
        <v>3003</v>
      </c>
      <c r="D8974" s="228" t="s">
        <v>5842</v>
      </c>
      <c r="E8974" s="123">
        <v>60743</v>
      </c>
      <c r="F8974" s="123"/>
      <c r="G8974" s="123">
        <f t="shared" si="145"/>
        <v>-60743</v>
      </c>
      <c r="H8974" s="396" t="s">
        <v>5815</v>
      </c>
    </row>
    <row r="8975" spans="1:8" ht="15" x14ac:dyDescent="0.2">
      <c r="A8975" s="602">
        <v>43900</v>
      </c>
      <c r="B8975" s="122" t="s">
        <v>25</v>
      </c>
      <c r="C8975" s="122" t="s">
        <v>2428</v>
      </c>
      <c r="D8975" s="812" t="s">
        <v>5845</v>
      </c>
      <c r="E8975" s="123">
        <v>33000</v>
      </c>
      <c r="F8975" s="123"/>
      <c r="G8975" s="123">
        <f t="shared" si="145"/>
        <v>-33000</v>
      </c>
      <c r="H8975" s="396" t="s">
        <v>5815</v>
      </c>
    </row>
    <row r="8976" spans="1:8" ht="24" x14ac:dyDescent="0.2">
      <c r="A8976" s="602">
        <v>43900</v>
      </c>
      <c r="B8976" s="122" t="s">
        <v>1400</v>
      </c>
      <c r="C8976" s="122" t="s">
        <v>2515</v>
      </c>
      <c r="D8976" s="118" t="s">
        <v>5868</v>
      </c>
      <c r="E8976" s="123">
        <v>100000</v>
      </c>
      <c r="F8976" s="123"/>
      <c r="G8976" s="123">
        <f t="shared" si="145"/>
        <v>-100000</v>
      </c>
      <c r="H8976" s="396" t="s">
        <v>5815</v>
      </c>
    </row>
    <row r="8977" spans="1:8" ht="15" x14ac:dyDescent="0.2">
      <c r="A8977" s="602">
        <v>43901</v>
      </c>
      <c r="B8977" s="122" t="s">
        <v>5641</v>
      </c>
      <c r="C8977" s="122" t="s">
        <v>5851</v>
      </c>
      <c r="D8977" s="118" t="s">
        <v>5852</v>
      </c>
      <c r="E8977" s="123">
        <v>510000</v>
      </c>
      <c r="F8977" s="123"/>
      <c r="G8977" s="123">
        <f t="shared" si="145"/>
        <v>-510000</v>
      </c>
      <c r="H8977" s="396" t="s">
        <v>5815</v>
      </c>
    </row>
    <row r="8978" spans="1:8" ht="15" x14ac:dyDescent="0.2">
      <c r="A8978" s="602">
        <v>43907</v>
      </c>
      <c r="B8978" s="122" t="s">
        <v>2933</v>
      </c>
      <c r="C8978" s="122" t="s">
        <v>256</v>
      </c>
      <c r="D8978" s="118" t="s">
        <v>5858</v>
      </c>
      <c r="E8978" s="123">
        <v>71000</v>
      </c>
      <c r="F8978" s="123"/>
      <c r="G8978" s="123">
        <f t="shared" si="145"/>
        <v>-71000</v>
      </c>
      <c r="H8978" s="396" t="s">
        <v>5815</v>
      </c>
    </row>
    <row r="8979" spans="1:8" ht="15" x14ac:dyDescent="0.2">
      <c r="A8979" s="602">
        <v>43907</v>
      </c>
      <c r="B8979" s="122" t="s">
        <v>2652</v>
      </c>
      <c r="C8979" s="122" t="s">
        <v>251</v>
      </c>
      <c r="D8979" s="118" t="s">
        <v>5859</v>
      </c>
      <c r="E8979" s="123">
        <v>42250</v>
      </c>
      <c r="F8979" s="123"/>
      <c r="G8979" s="123">
        <f t="shared" si="145"/>
        <v>-42250</v>
      </c>
      <c r="H8979" s="396" t="s">
        <v>5815</v>
      </c>
    </row>
    <row r="8980" spans="1:8" ht="15" x14ac:dyDescent="0.2">
      <c r="A8980" s="602">
        <v>43907</v>
      </c>
      <c r="B8980" s="122" t="s">
        <v>1400</v>
      </c>
      <c r="C8980" s="122" t="s">
        <v>2515</v>
      </c>
      <c r="D8980" s="118" t="s">
        <v>5860</v>
      </c>
      <c r="E8980" s="123">
        <v>108000</v>
      </c>
      <c r="F8980" s="123"/>
      <c r="G8980" s="123">
        <f t="shared" si="145"/>
        <v>-108000</v>
      </c>
      <c r="H8980" s="396" t="s">
        <v>5815</v>
      </c>
    </row>
    <row r="8981" spans="1:8" ht="15" x14ac:dyDescent="0.2">
      <c r="A8981" s="602">
        <v>43907</v>
      </c>
      <c r="B8981" s="122" t="s">
        <v>25</v>
      </c>
      <c r="C8981" s="122" t="s">
        <v>1689</v>
      </c>
      <c r="D8981" s="118" t="s">
        <v>370</v>
      </c>
      <c r="E8981" s="123">
        <v>20781</v>
      </c>
      <c r="F8981" s="123"/>
      <c r="G8981" s="123">
        <f t="shared" si="145"/>
        <v>-20781</v>
      </c>
      <c r="H8981" s="396" t="s">
        <v>5815</v>
      </c>
    </row>
    <row r="8982" spans="1:8" ht="15" x14ac:dyDescent="0.2">
      <c r="A8982" s="602">
        <v>43907</v>
      </c>
      <c r="B8982" s="122" t="s">
        <v>16</v>
      </c>
      <c r="C8982" s="122" t="s">
        <v>1689</v>
      </c>
      <c r="D8982" s="118" t="s">
        <v>370</v>
      </c>
      <c r="E8982" s="123">
        <f>5845-1285</f>
        <v>4560</v>
      </c>
      <c r="F8982" s="123"/>
      <c r="G8982" s="123">
        <f t="shared" si="145"/>
        <v>-4560</v>
      </c>
      <c r="H8982" s="396" t="s">
        <v>5815</v>
      </c>
    </row>
    <row r="8983" spans="1:8" ht="15" x14ac:dyDescent="0.2">
      <c r="A8983" s="602">
        <v>43907</v>
      </c>
      <c r="B8983" s="122" t="s">
        <v>1400</v>
      </c>
      <c r="C8983" s="122" t="s">
        <v>4331</v>
      </c>
      <c r="D8983" s="118" t="s">
        <v>370</v>
      </c>
      <c r="E8983" s="123">
        <v>25000</v>
      </c>
      <c r="F8983" s="123"/>
      <c r="G8983" s="123">
        <f t="shared" si="145"/>
        <v>-25000</v>
      </c>
      <c r="H8983" s="396" t="s">
        <v>5815</v>
      </c>
    </row>
    <row r="8984" spans="1:8" ht="15" x14ac:dyDescent="0.2">
      <c r="A8984" s="602">
        <v>43908</v>
      </c>
      <c r="B8984" s="122" t="s">
        <v>16</v>
      </c>
      <c r="C8984" s="122" t="s">
        <v>2503</v>
      </c>
      <c r="D8984" s="118" t="s">
        <v>2874</v>
      </c>
      <c r="E8984" s="123">
        <v>9576</v>
      </c>
      <c r="F8984" s="123"/>
      <c r="G8984" s="123">
        <f t="shared" si="145"/>
        <v>-9576</v>
      </c>
      <c r="H8984" s="396" t="s">
        <v>5815</v>
      </c>
    </row>
    <row r="8985" spans="1:8" ht="15" x14ac:dyDescent="0.2">
      <c r="A8985" s="602">
        <v>43908</v>
      </c>
      <c r="B8985" s="122" t="s">
        <v>1400</v>
      </c>
      <c r="C8985" s="122" t="s">
        <v>5652</v>
      </c>
      <c r="D8985" s="118" t="s">
        <v>370</v>
      </c>
      <c r="E8985" s="123">
        <v>23600</v>
      </c>
      <c r="F8985" s="123"/>
      <c r="G8985" s="123">
        <f t="shared" si="145"/>
        <v>-23600</v>
      </c>
      <c r="H8985" s="396" t="s">
        <v>5815</v>
      </c>
    </row>
    <row r="8986" spans="1:8" ht="15" x14ac:dyDescent="0.2">
      <c r="A8986" s="602">
        <v>43908</v>
      </c>
      <c r="B8986" s="122" t="s">
        <v>1400</v>
      </c>
      <c r="C8986" s="122" t="s">
        <v>5690</v>
      </c>
      <c r="D8986" s="118" t="s">
        <v>370</v>
      </c>
      <c r="E8986" s="123">
        <v>29000</v>
      </c>
      <c r="F8986" s="123"/>
      <c r="G8986" s="123">
        <f t="shared" si="145"/>
        <v>-29000</v>
      </c>
      <c r="H8986" s="396" t="s">
        <v>5815</v>
      </c>
    </row>
    <row r="8987" spans="1:8" ht="15" x14ac:dyDescent="0.2">
      <c r="A8987" s="602">
        <v>43908</v>
      </c>
      <c r="B8987" s="122" t="s">
        <v>25</v>
      </c>
      <c r="C8987" s="122" t="s">
        <v>2428</v>
      </c>
      <c r="D8987" s="118" t="s">
        <v>5861</v>
      </c>
      <c r="E8987" s="123">
        <v>59000</v>
      </c>
      <c r="F8987" s="123"/>
      <c r="G8987" s="123">
        <f t="shared" si="145"/>
        <v>-59000</v>
      </c>
      <c r="H8987" s="396" t="s">
        <v>5815</v>
      </c>
    </row>
    <row r="8988" spans="1:8" ht="15" x14ac:dyDescent="0.2">
      <c r="A8988" s="602">
        <v>43909</v>
      </c>
      <c r="B8988" s="122" t="s">
        <v>5641</v>
      </c>
      <c r="C8988" s="122" t="s">
        <v>5851</v>
      </c>
      <c r="D8988" s="118" t="s">
        <v>5852</v>
      </c>
      <c r="E8988" s="123">
        <v>345000</v>
      </c>
      <c r="F8988" s="123"/>
      <c r="G8988" s="123">
        <f t="shared" si="145"/>
        <v>-345000</v>
      </c>
      <c r="H8988" s="396" t="s">
        <v>5815</v>
      </c>
    </row>
    <row r="8989" spans="1:8" ht="15" x14ac:dyDescent="0.2">
      <c r="A8989" s="602">
        <v>43909</v>
      </c>
      <c r="B8989" s="122" t="s">
        <v>1400</v>
      </c>
      <c r="C8989" s="122" t="s">
        <v>2503</v>
      </c>
      <c r="D8989" s="118" t="s">
        <v>940</v>
      </c>
      <c r="E8989" s="123">
        <v>25000</v>
      </c>
      <c r="F8989" s="123"/>
      <c r="G8989" s="123">
        <f t="shared" si="145"/>
        <v>-25000</v>
      </c>
      <c r="H8989" s="396" t="s">
        <v>5815</v>
      </c>
    </row>
    <row r="8990" spans="1:8" ht="15" x14ac:dyDescent="0.2">
      <c r="A8990" s="602">
        <v>43909</v>
      </c>
      <c r="B8990" s="122" t="s">
        <v>5641</v>
      </c>
      <c r="C8990" s="122" t="s">
        <v>2503</v>
      </c>
      <c r="D8990" s="118" t="s">
        <v>940</v>
      </c>
      <c r="E8990" s="123">
        <v>25000</v>
      </c>
      <c r="F8990" s="123"/>
      <c r="G8990" s="123">
        <f t="shared" si="145"/>
        <v>-25000</v>
      </c>
      <c r="H8990" s="396" t="s">
        <v>5815</v>
      </c>
    </row>
    <row r="8991" spans="1:8" ht="15" x14ac:dyDescent="0.2">
      <c r="A8991" s="602">
        <v>43909</v>
      </c>
      <c r="B8991" s="122" t="s">
        <v>5746</v>
      </c>
      <c r="C8991" s="122" t="s">
        <v>2503</v>
      </c>
      <c r="D8991" s="118" t="s">
        <v>372</v>
      </c>
      <c r="E8991" s="123">
        <v>25000</v>
      </c>
      <c r="F8991" s="123"/>
      <c r="G8991" s="123">
        <f t="shared" si="145"/>
        <v>-25000</v>
      </c>
      <c r="H8991" s="396" t="s">
        <v>5815</v>
      </c>
    </row>
    <row r="8992" spans="1:8" ht="15" x14ac:dyDescent="0.2">
      <c r="A8992" s="602">
        <v>43909</v>
      </c>
      <c r="B8992" s="122" t="s">
        <v>2652</v>
      </c>
      <c r="C8992" s="122" t="s">
        <v>2503</v>
      </c>
      <c r="D8992" s="118" t="s">
        <v>372</v>
      </c>
      <c r="E8992" s="123">
        <v>25000</v>
      </c>
      <c r="F8992" s="123"/>
      <c r="G8992" s="123">
        <f t="shared" si="145"/>
        <v>-25000</v>
      </c>
      <c r="H8992" s="396" t="s">
        <v>5815</v>
      </c>
    </row>
    <row r="8993" spans="1:8" ht="15" x14ac:dyDescent="0.2">
      <c r="A8993" s="602">
        <v>43909</v>
      </c>
      <c r="B8993" s="122" t="s">
        <v>25</v>
      </c>
      <c r="C8993" s="122" t="s">
        <v>2503</v>
      </c>
      <c r="D8993" s="118"/>
      <c r="E8993" s="123">
        <v>60000</v>
      </c>
      <c r="F8993" s="123"/>
      <c r="G8993" s="123">
        <f t="shared" si="145"/>
        <v>-60000</v>
      </c>
      <c r="H8993" s="396" t="s">
        <v>5815</v>
      </c>
    </row>
    <row r="8994" spans="1:8" ht="15" x14ac:dyDescent="0.2">
      <c r="A8994" s="602">
        <v>43909</v>
      </c>
      <c r="B8994" s="122" t="s">
        <v>16</v>
      </c>
      <c r="C8994" s="122" t="s">
        <v>2503</v>
      </c>
      <c r="D8994" s="118"/>
      <c r="E8994" s="123">
        <v>87000</v>
      </c>
      <c r="F8994" s="123"/>
      <c r="G8994" s="123">
        <f t="shared" si="145"/>
        <v>-87000</v>
      </c>
      <c r="H8994" s="396" t="s">
        <v>5815</v>
      </c>
    </row>
    <row r="8995" spans="1:8" ht="15" x14ac:dyDescent="0.2">
      <c r="A8995" s="602">
        <v>43909</v>
      </c>
      <c r="B8995" s="122" t="s">
        <v>3945</v>
      </c>
      <c r="C8995" s="122" t="s">
        <v>2503</v>
      </c>
      <c r="D8995" s="118"/>
      <c r="E8995" s="123">
        <v>116709.67741935482</v>
      </c>
      <c r="F8995" s="123"/>
      <c r="G8995" s="123">
        <f t="shared" si="145"/>
        <v>-116709.67741935482</v>
      </c>
      <c r="H8995" s="396" t="s">
        <v>5815</v>
      </c>
    </row>
    <row r="8996" spans="1:8" ht="15" x14ac:dyDescent="0.2">
      <c r="A8996" s="602">
        <v>43909</v>
      </c>
      <c r="B8996" s="122" t="s">
        <v>3946</v>
      </c>
      <c r="C8996" s="122" t="s">
        <v>2503</v>
      </c>
      <c r="D8996" s="118"/>
      <c r="E8996" s="123">
        <v>63387.096774193546</v>
      </c>
      <c r="F8996" s="123"/>
      <c r="G8996" s="123">
        <f t="shared" si="145"/>
        <v>-63387.096774193546</v>
      </c>
      <c r="H8996" s="396" t="s">
        <v>5815</v>
      </c>
    </row>
    <row r="8997" spans="1:8" ht="15" x14ac:dyDescent="0.2">
      <c r="A8997" s="602">
        <v>43909</v>
      </c>
      <c r="B8997" s="122" t="s">
        <v>1400</v>
      </c>
      <c r="C8997" s="122" t="s">
        <v>2503</v>
      </c>
      <c r="D8997" s="118"/>
      <c r="E8997" s="123">
        <v>312571.05846774194</v>
      </c>
      <c r="F8997" s="123"/>
      <c r="G8997" s="123">
        <f t="shared" si="145"/>
        <v>-312571.05846774194</v>
      </c>
      <c r="H8997" s="396" t="s">
        <v>5815</v>
      </c>
    </row>
    <row r="8998" spans="1:8" ht="15" x14ac:dyDescent="0.2">
      <c r="A8998" s="602">
        <v>43909</v>
      </c>
      <c r="B8998" s="174" t="s">
        <v>6516</v>
      </c>
      <c r="C8998" s="122" t="s">
        <v>2503</v>
      </c>
      <c r="D8998" s="118"/>
      <c r="E8998" s="123">
        <v>131841.12903225809</v>
      </c>
      <c r="F8998" s="123"/>
      <c r="G8998" s="123">
        <f t="shared" si="145"/>
        <v>-131841.12903225809</v>
      </c>
      <c r="H8998" s="396" t="s">
        <v>5815</v>
      </c>
    </row>
    <row r="8999" spans="1:8" ht="15" x14ac:dyDescent="0.2">
      <c r="A8999" s="602">
        <v>43909</v>
      </c>
      <c r="B8999" s="122" t="s">
        <v>37</v>
      </c>
      <c r="C8999" s="122" t="s">
        <v>2503</v>
      </c>
      <c r="D8999" s="118"/>
      <c r="E8999" s="123">
        <v>87991.93548387097</v>
      </c>
      <c r="F8999" s="123"/>
      <c r="G8999" s="123">
        <f t="shared" si="145"/>
        <v>-87991.93548387097</v>
      </c>
      <c r="H8999" s="396" t="s">
        <v>5815</v>
      </c>
    </row>
    <row r="9000" spans="1:8" ht="15" x14ac:dyDescent="0.2">
      <c r="A9000" s="602">
        <v>43909</v>
      </c>
      <c r="B9000" s="122" t="s">
        <v>2933</v>
      </c>
      <c r="C9000" s="122" t="s">
        <v>2503</v>
      </c>
      <c r="D9000" s="118"/>
      <c r="E9000" s="123">
        <v>29145.16129032258</v>
      </c>
      <c r="F9000" s="123"/>
      <c r="G9000" s="123">
        <f t="shared" si="145"/>
        <v>-29145.16129032258</v>
      </c>
      <c r="H9000" s="396" t="s">
        <v>5815</v>
      </c>
    </row>
    <row r="9001" spans="1:8" ht="15" x14ac:dyDescent="0.2">
      <c r="A9001" s="602">
        <v>43909</v>
      </c>
      <c r="B9001" s="122" t="s">
        <v>2652</v>
      </c>
      <c r="C9001" s="122" t="s">
        <v>2503</v>
      </c>
      <c r="D9001" s="118"/>
      <c r="E9001" s="123">
        <v>169366.93548387097</v>
      </c>
      <c r="F9001" s="123"/>
      <c r="G9001" s="123">
        <f t="shared" si="145"/>
        <v>-169366.93548387097</v>
      </c>
      <c r="H9001" s="396" t="s">
        <v>5815</v>
      </c>
    </row>
    <row r="9002" spans="1:8" ht="15" x14ac:dyDescent="0.2">
      <c r="A9002" s="602">
        <v>43909</v>
      </c>
      <c r="B9002" s="122" t="s">
        <v>5641</v>
      </c>
      <c r="C9002" s="122" t="s">
        <v>2503</v>
      </c>
      <c r="D9002" s="118"/>
      <c r="E9002" s="123">
        <v>81337</v>
      </c>
      <c r="F9002" s="123"/>
      <c r="G9002" s="123">
        <f t="shared" si="145"/>
        <v>-81337</v>
      </c>
      <c r="H9002" s="396" t="s">
        <v>5815</v>
      </c>
    </row>
    <row r="9003" spans="1:8" ht="15" x14ac:dyDescent="0.2">
      <c r="A9003" s="602">
        <v>43909</v>
      </c>
      <c r="B9003" s="122" t="s">
        <v>5604</v>
      </c>
      <c r="C9003" s="122" t="s">
        <v>2503</v>
      </c>
      <c r="D9003" s="118"/>
      <c r="E9003" s="123">
        <v>40000</v>
      </c>
      <c r="F9003" s="123"/>
      <c r="G9003" s="123">
        <f t="shared" ref="G9003:G9061" si="146">F9003-E9003</f>
        <v>-40000</v>
      </c>
      <c r="H9003" s="396" t="s">
        <v>5815</v>
      </c>
    </row>
    <row r="9004" spans="1:8" ht="15" x14ac:dyDescent="0.2">
      <c r="A9004" s="602">
        <v>43909</v>
      </c>
      <c r="B9004" s="122" t="s">
        <v>5746</v>
      </c>
      <c r="C9004" s="122" t="s">
        <v>2503</v>
      </c>
      <c r="D9004" s="118"/>
      <c r="E9004" s="123">
        <v>40000</v>
      </c>
      <c r="F9004" s="123"/>
      <c r="G9004" s="123">
        <f t="shared" si="146"/>
        <v>-40000</v>
      </c>
      <c r="H9004" s="396" t="s">
        <v>5815</v>
      </c>
    </row>
    <row r="9005" spans="1:8" ht="15" x14ac:dyDescent="0.2">
      <c r="A9005" s="602">
        <v>43909</v>
      </c>
      <c r="B9005" s="122" t="s">
        <v>4553</v>
      </c>
      <c r="C9005" s="122" t="s">
        <v>2503</v>
      </c>
      <c r="D9005" s="118"/>
      <c r="E9005" s="123">
        <v>20000</v>
      </c>
      <c r="F9005" s="123"/>
      <c r="G9005" s="123">
        <f t="shared" si="146"/>
        <v>-20000</v>
      </c>
      <c r="H9005" s="396" t="s">
        <v>5815</v>
      </c>
    </row>
    <row r="9006" spans="1:8" ht="15" x14ac:dyDescent="0.2">
      <c r="A9006" s="602">
        <v>43909</v>
      </c>
      <c r="B9006" s="122" t="s">
        <v>5544</v>
      </c>
      <c r="C9006" s="122" t="s">
        <v>2503</v>
      </c>
      <c r="D9006" s="118"/>
      <c r="E9006" s="123">
        <v>25000</v>
      </c>
      <c r="F9006" s="123"/>
      <c r="G9006" s="123">
        <f t="shared" si="146"/>
        <v>-25000</v>
      </c>
      <c r="H9006" s="396" t="s">
        <v>5815</v>
      </c>
    </row>
    <row r="9007" spans="1:8" ht="15" x14ac:dyDescent="0.2">
      <c r="A9007" s="599">
        <v>43892</v>
      </c>
      <c r="B9007" s="91" t="s">
        <v>40</v>
      </c>
      <c r="C9007" s="91" t="s">
        <v>559</v>
      </c>
      <c r="D9007" s="801" t="s">
        <v>5814</v>
      </c>
      <c r="E9007" s="92"/>
      <c r="F9007" s="92">
        <v>133700</v>
      </c>
      <c r="G9007" s="92">
        <f t="shared" si="146"/>
        <v>133700</v>
      </c>
      <c r="H9007" s="428" t="s">
        <v>5815</v>
      </c>
    </row>
    <row r="9008" spans="1:8" ht="15" x14ac:dyDescent="0.2">
      <c r="A9008" s="599">
        <v>43894</v>
      </c>
      <c r="B9008" s="91" t="s">
        <v>2652</v>
      </c>
      <c r="C9008" s="91" t="s">
        <v>559</v>
      </c>
      <c r="D9008" s="801" t="s">
        <v>9145</v>
      </c>
      <c r="E9008" s="92"/>
      <c r="F9008" s="92">
        <v>1500000</v>
      </c>
      <c r="G9008" s="92">
        <f t="shared" si="146"/>
        <v>1500000</v>
      </c>
      <c r="H9008" s="428" t="s">
        <v>5815</v>
      </c>
    </row>
    <row r="9009" spans="1:8" ht="15" x14ac:dyDescent="0.2">
      <c r="A9009" s="599">
        <v>43894</v>
      </c>
      <c r="B9009" s="91" t="s">
        <v>37</v>
      </c>
      <c r="C9009" s="91" t="s">
        <v>559</v>
      </c>
      <c r="D9009" s="801" t="s">
        <v>5816</v>
      </c>
      <c r="E9009" s="92"/>
      <c r="F9009" s="92">
        <v>32375</v>
      </c>
      <c r="G9009" s="92">
        <f t="shared" si="146"/>
        <v>32375</v>
      </c>
      <c r="H9009" s="428" t="s">
        <v>5815</v>
      </c>
    </row>
    <row r="9010" spans="1:8" ht="15" x14ac:dyDescent="0.2">
      <c r="A9010" s="599">
        <v>43896</v>
      </c>
      <c r="B9010" s="91" t="s">
        <v>3946</v>
      </c>
      <c r="C9010" s="91" t="s">
        <v>559</v>
      </c>
      <c r="D9010" s="801" t="s">
        <v>5830</v>
      </c>
      <c r="E9010" s="92"/>
      <c r="F9010" s="92">
        <v>295582</v>
      </c>
      <c r="G9010" s="92">
        <f t="shared" si="146"/>
        <v>295582</v>
      </c>
      <c r="H9010" s="428" t="s">
        <v>5815</v>
      </c>
    </row>
    <row r="9011" spans="1:8" ht="15" x14ac:dyDescent="0.2">
      <c r="A9011" s="599">
        <v>43902</v>
      </c>
      <c r="B9011" s="91" t="s">
        <v>5641</v>
      </c>
      <c r="C9011" s="91" t="s">
        <v>559</v>
      </c>
      <c r="D9011" s="801" t="s">
        <v>9146</v>
      </c>
      <c r="E9011" s="92"/>
      <c r="F9011" s="92">
        <v>333025</v>
      </c>
      <c r="G9011" s="92">
        <f t="shared" si="146"/>
        <v>333025</v>
      </c>
      <c r="H9011" s="428" t="s">
        <v>5815</v>
      </c>
    </row>
    <row r="9012" spans="1:8" ht="36" x14ac:dyDescent="0.2">
      <c r="A9012" s="599">
        <v>43902</v>
      </c>
      <c r="B9012" s="91" t="s">
        <v>5641</v>
      </c>
      <c r="C9012" s="91" t="s">
        <v>559</v>
      </c>
      <c r="D9012" s="798" t="s">
        <v>5850</v>
      </c>
      <c r="E9012" s="92"/>
      <c r="F9012" s="92">
        <v>510000</v>
      </c>
      <c r="G9012" s="92">
        <f t="shared" si="146"/>
        <v>510000</v>
      </c>
      <c r="H9012" s="428" t="s">
        <v>5815</v>
      </c>
    </row>
    <row r="9013" spans="1:8" ht="15" x14ac:dyDescent="0.2">
      <c r="A9013" s="599">
        <v>43902</v>
      </c>
      <c r="B9013" s="91" t="s">
        <v>4553</v>
      </c>
      <c r="C9013" s="91" t="s">
        <v>559</v>
      </c>
      <c r="D9013" s="801" t="s">
        <v>5853</v>
      </c>
      <c r="E9013" s="92"/>
      <c r="F9013" s="92">
        <v>150000</v>
      </c>
      <c r="G9013" s="92">
        <f t="shared" si="146"/>
        <v>150000</v>
      </c>
      <c r="H9013" s="428" t="s">
        <v>5815</v>
      </c>
    </row>
    <row r="9014" spans="1:8" ht="36" x14ac:dyDescent="0.2">
      <c r="A9014" s="599">
        <v>43909</v>
      </c>
      <c r="B9014" s="91" t="s">
        <v>5641</v>
      </c>
      <c r="C9014" s="91" t="s">
        <v>559</v>
      </c>
      <c r="D9014" s="798" t="s">
        <v>5866</v>
      </c>
      <c r="E9014" s="92"/>
      <c r="F9014" s="92">
        <v>345000</v>
      </c>
      <c r="G9014" s="92">
        <f t="shared" si="146"/>
        <v>345000</v>
      </c>
      <c r="H9014" s="428" t="s">
        <v>5815</v>
      </c>
    </row>
    <row r="9015" spans="1:8" ht="15" x14ac:dyDescent="0.2">
      <c r="A9015" s="597">
        <v>43925</v>
      </c>
      <c r="B9015" s="41" t="s">
        <v>4721</v>
      </c>
      <c r="C9015" s="41" t="s">
        <v>3428</v>
      </c>
      <c r="D9015" s="129" t="s">
        <v>5872</v>
      </c>
      <c r="E9015" s="58">
        <v>50000</v>
      </c>
      <c r="F9015" s="58"/>
      <c r="G9015" s="58">
        <f t="shared" si="146"/>
        <v>-50000</v>
      </c>
      <c r="H9015" s="422" t="s">
        <v>5869</v>
      </c>
    </row>
    <row r="9016" spans="1:8" ht="15" x14ac:dyDescent="0.2">
      <c r="A9016" s="597">
        <v>43929</v>
      </c>
      <c r="B9016" s="41" t="s">
        <v>4553</v>
      </c>
      <c r="C9016" s="41" t="s">
        <v>3145</v>
      </c>
      <c r="D9016" s="129" t="s">
        <v>4966</v>
      </c>
      <c r="E9016" s="58">
        <v>30000</v>
      </c>
      <c r="F9016" s="58"/>
      <c r="G9016" s="58">
        <f t="shared" si="146"/>
        <v>-30000</v>
      </c>
      <c r="H9016" s="422" t="s">
        <v>5869</v>
      </c>
    </row>
    <row r="9017" spans="1:8" ht="15" customHeight="1" x14ac:dyDescent="0.2">
      <c r="A9017" s="597">
        <v>43929</v>
      </c>
      <c r="B9017" s="41" t="s">
        <v>2652</v>
      </c>
      <c r="C9017" s="41" t="s">
        <v>3145</v>
      </c>
      <c r="D9017" s="129" t="s">
        <v>392</v>
      </c>
      <c r="E9017" s="58">
        <v>90</v>
      </c>
      <c r="F9017" s="58"/>
      <c r="G9017" s="58">
        <f t="shared" si="146"/>
        <v>-90</v>
      </c>
      <c r="H9017" s="422" t="s">
        <v>5869</v>
      </c>
    </row>
    <row r="9018" spans="1:8" ht="36" customHeight="1" x14ac:dyDescent="0.2">
      <c r="A9018" s="597">
        <v>43929</v>
      </c>
      <c r="B9018" s="41" t="s">
        <v>1400</v>
      </c>
      <c r="C9018" s="41" t="s">
        <v>3145</v>
      </c>
      <c r="D9018" s="842" t="s">
        <v>5873</v>
      </c>
      <c r="E9018" s="58">
        <v>90329</v>
      </c>
      <c r="F9018" s="58"/>
      <c r="G9018" s="58">
        <f t="shared" si="146"/>
        <v>-90329</v>
      </c>
      <c r="H9018" s="422" t="s">
        <v>5869</v>
      </c>
    </row>
    <row r="9019" spans="1:8" ht="15" x14ac:dyDescent="0.2">
      <c r="A9019" s="597">
        <v>43934</v>
      </c>
      <c r="B9019" s="41" t="s">
        <v>5641</v>
      </c>
      <c r="C9019" s="401" t="s">
        <v>5835</v>
      </c>
      <c r="D9019" s="842" t="s">
        <v>5874</v>
      </c>
      <c r="E9019" s="434">
        <v>12000</v>
      </c>
      <c r="F9019" s="58"/>
      <c r="G9019" s="58">
        <f t="shared" si="146"/>
        <v>-12000</v>
      </c>
      <c r="H9019" s="422" t="s">
        <v>5869</v>
      </c>
    </row>
    <row r="9020" spans="1:8" ht="15" x14ac:dyDescent="0.2">
      <c r="A9020" s="597">
        <v>43934</v>
      </c>
      <c r="B9020" s="41" t="s">
        <v>5604</v>
      </c>
      <c r="C9020" s="401" t="s">
        <v>5835</v>
      </c>
      <c r="D9020" s="842" t="s">
        <v>5875</v>
      </c>
      <c r="E9020" s="434">
        <v>5000</v>
      </c>
      <c r="F9020" s="58"/>
      <c r="G9020" s="58">
        <f t="shared" si="146"/>
        <v>-5000</v>
      </c>
      <c r="H9020" s="422" t="s">
        <v>5869</v>
      </c>
    </row>
    <row r="9021" spans="1:8" ht="15" x14ac:dyDescent="0.2">
      <c r="A9021" s="597">
        <v>43934</v>
      </c>
      <c r="B9021" s="41" t="s">
        <v>5641</v>
      </c>
      <c r="C9021" s="41" t="s">
        <v>5876</v>
      </c>
      <c r="D9021" s="805" t="s">
        <v>5877</v>
      </c>
      <c r="E9021" s="58">
        <v>18000</v>
      </c>
      <c r="F9021" s="58"/>
      <c r="G9021" s="58">
        <f t="shared" si="146"/>
        <v>-18000</v>
      </c>
      <c r="H9021" s="422" t="s">
        <v>5869</v>
      </c>
    </row>
    <row r="9022" spans="1:8" ht="15" x14ac:dyDescent="0.2">
      <c r="A9022" s="597">
        <v>43936</v>
      </c>
      <c r="B9022" s="41" t="s">
        <v>3946</v>
      </c>
      <c r="C9022" s="41" t="s">
        <v>3003</v>
      </c>
      <c r="D9022" s="183" t="s">
        <v>5842</v>
      </c>
      <c r="E9022" s="58">
        <v>30160</v>
      </c>
      <c r="F9022" s="58"/>
      <c r="G9022" s="58">
        <f t="shared" si="146"/>
        <v>-30160</v>
      </c>
      <c r="H9022" s="422" t="s">
        <v>5869</v>
      </c>
    </row>
    <row r="9023" spans="1:8" ht="15" x14ac:dyDescent="0.2">
      <c r="A9023" s="597">
        <v>43936</v>
      </c>
      <c r="B9023" s="41" t="s">
        <v>3945</v>
      </c>
      <c r="C9023" s="41" t="s">
        <v>3003</v>
      </c>
      <c r="D9023" s="183" t="s">
        <v>5842</v>
      </c>
      <c r="E9023" s="58">
        <v>32760</v>
      </c>
      <c r="F9023" s="58"/>
      <c r="G9023" s="58">
        <f t="shared" si="146"/>
        <v>-32760</v>
      </c>
      <c r="H9023" s="422" t="s">
        <v>5869</v>
      </c>
    </row>
    <row r="9024" spans="1:8" ht="15" x14ac:dyDescent="0.2">
      <c r="A9024" s="597">
        <v>43936</v>
      </c>
      <c r="B9024" s="41" t="s">
        <v>37</v>
      </c>
      <c r="C9024" s="41" t="s">
        <v>3003</v>
      </c>
      <c r="D9024" s="183" t="s">
        <v>5842</v>
      </c>
      <c r="E9024" s="58">
        <v>12960</v>
      </c>
      <c r="F9024" s="58"/>
      <c r="G9024" s="58">
        <f t="shared" si="146"/>
        <v>-12960</v>
      </c>
      <c r="H9024" s="422" t="s">
        <v>5869</v>
      </c>
    </row>
    <row r="9025" spans="1:8" ht="15" x14ac:dyDescent="0.2">
      <c r="A9025" s="597">
        <v>43936</v>
      </c>
      <c r="B9025" s="41" t="s">
        <v>5746</v>
      </c>
      <c r="C9025" s="41" t="s">
        <v>3003</v>
      </c>
      <c r="D9025" s="183" t="s">
        <v>5842</v>
      </c>
      <c r="E9025" s="58">
        <v>9879</v>
      </c>
      <c r="F9025" s="58"/>
      <c r="G9025" s="58">
        <f t="shared" si="146"/>
        <v>-9879</v>
      </c>
      <c r="H9025" s="422" t="s">
        <v>5869</v>
      </c>
    </row>
    <row r="9026" spans="1:8" ht="15" x14ac:dyDescent="0.2">
      <c r="A9026" s="597">
        <v>43936</v>
      </c>
      <c r="B9026" s="41" t="s">
        <v>1400</v>
      </c>
      <c r="C9026" s="41" t="s">
        <v>4730</v>
      </c>
      <c r="D9026" s="129" t="s">
        <v>370</v>
      </c>
      <c r="E9026" s="58">
        <v>30300</v>
      </c>
      <c r="F9026" s="58"/>
      <c r="G9026" s="58">
        <f t="shared" si="146"/>
        <v>-30300</v>
      </c>
      <c r="H9026" s="422" t="s">
        <v>5869</v>
      </c>
    </row>
    <row r="9027" spans="1:8" ht="24" x14ac:dyDescent="0.2">
      <c r="A9027" s="597">
        <v>43936</v>
      </c>
      <c r="B9027" s="41" t="s">
        <v>1400</v>
      </c>
      <c r="C9027" s="41" t="s">
        <v>2503</v>
      </c>
      <c r="D9027" s="129" t="s">
        <v>5878</v>
      </c>
      <c r="E9027" s="58">
        <v>40000</v>
      </c>
      <c r="F9027" s="58"/>
      <c r="G9027" s="58">
        <f t="shared" si="146"/>
        <v>-40000</v>
      </c>
      <c r="H9027" s="422" t="s">
        <v>5869</v>
      </c>
    </row>
    <row r="9028" spans="1:8" ht="15" x14ac:dyDescent="0.2">
      <c r="A9028" s="597">
        <v>43936</v>
      </c>
      <c r="B9028" s="41" t="s">
        <v>25</v>
      </c>
      <c r="C9028" s="41" t="s">
        <v>4065</v>
      </c>
      <c r="D9028" s="129" t="s">
        <v>5879</v>
      </c>
      <c r="E9028" s="58">
        <v>5194</v>
      </c>
      <c r="F9028" s="58"/>
      <c r="G9028" s="58">
        <f t="shared" si="146"/>
        <v>-5194</v>
      </c>
      <c r="H9028" s="422" t="s">
        <v>5869</v>
      </c>
    </row>
    <row r="9029" spans="1:8" ht="15" x14ac:dyDescent="0.2">
      <c r="A9029" s="597">
        <v>43936</v>
      </c>
      <c r="B9029" s="41" t="s">
        <v>5746</v>
      </c>
      <c r="C9029" s="41" t="s">
        <v>3428</v>
      </c>
      <c r="D9029" s="129" t="s">
        <v>5570</v>
      </c>
      <c r="E9029" s="58">
        <v>83850</v>
      </c>
      <c r="F9029" s="58"/>
      <c r="G9029" s="58">
        <f t="shared" si="146"/>
        <v>-83850</v>
      </c>
      <c r="H9029" s="422" t="s">
        <v>5869</v>
      </c>
    </row>
    <row r="9030" spans="1:8" ht="15" x14ac:dyDescent="0.2">
      <c r="A9030" s="597">
        <v>43936</v>
      </c>
      <c r="B9030" s="41" t="s">
        <v>5604</v>
      </c>
      <c r="C9030" s="41" t="s">
        <v>3011</v>
      </c>
      <c r="D9030" s="129" t="s">
        <v>5570</v>
      </c>
      <c r="E9030" s="58">
        <v>50000</v>
      </c>
      <c r="F9030" s="58"/>
      <c r="G9030" s="58">
        <f t="shared" si="146"/>
        <v>-50000</v>
      </c>
      <c r="H9030" s="422" t="s">
        <v>5869</v>
      </c>
    </row>
    <row r="9031" spans="1:8" ht="15" x14ac:dyDescent="0.2">
      <c r="A9031" s="597">
        <v>43936</v>
      </c>
      <c r="B9031" s="41" t="s">
        <v>5746</v>
      </c>
      <c r="C9031" s="41" t="s">
        <v>5593</v>
      </c>
      <c r="D9031" s="129" t="s">
        <v>5570</v>
      </c>
      <c r="E9031" s="58">
        <v>50000</v>
      </c>
      <c r="F9031" s="58"/>
      <c r="G9031" s="58">
        <f t="shared" si="146"/>
        <v>-50000</v>
      </c>
      <c r="H9031" s="422" t="s">
        <v>5869</v>
      </c>
    </row>
    <row r="9032" spans="1:8" ht="15" x14ac:dyDescent="0.2">
      <c r="A9032" s="597">
        <v>43941</v>
      </c>
      <c r="B9032" s="41" t="s">
        <v>16</v>
      </c>
      <c r="C9032" s="41" t="s">
        <v>392</v>
      </c>
      <c r="D9032" s="129" t="s">
        <v>5883</v>
      </c>
      <c r="E9032" s="58">
        <v>1130</v>
      </c>
      <c r="F9032" s="58"/>
      <c r="G9032" s="58">
        <f t="shared" si="146"/>
        <v>-1130</v>
      </c>
      <c r="H9032" s="422" t="s">
        <v>5869</v>
      </c>
    </row>
    <row r="9033" spans="1:8" ht="15" x14ac:dyDescent="0.2">
      <c r="A9033" s="597">
        <v>43941</v>
      </c>
      <c r="B9033" s="41" t="s">
        <v>1400</v>
      </c>
      <c r="C9033" s="41" t="s">
        <v>5741</v>
      </c>
      <c r="D9033" s="129" t="s">
        <v>370</v>
      </c>
      <c r="E9033" s="58">
        <v>2000</v>
      </c>
      <c r="F9033" s="58"/>
      <c r="G9033" s="58">
        <f t="shared" si="146"/>
        <v>-2000</v>
      </c>
      <c r="H9033" s="422" t="s">
        <v>5869</v>
      </c>
    </row>
    <row r="9034" spans="1:8" ht="15" x14ac:dyDescent="0.2">
      <c r="A9034" s="597">
        <v>43944</v>
      </c>
      <c r="B9034" s="41" t="s">
        <v>16</v>
      </c>
      <c r="C9034" s="41" t="s">
        <v>3364</v>
      </c>
      <c r="D9034" s="129" t="s">
        <v>370</v>
      </c>
      <c r="E9034" s="58">
        <v>4161</v>
      </c>
      <c r="F9034" s="58"/>
      <c r="G9034" s="58">
        <f t="shared" si="146"/>
        <v>-4161</v>
      </c>
      <c r="H9034" s="422" t="s">
        <v>5869</v>
      </c>
    </row>
    <row r="9035" spans="1:8" ht="15" x14ac:dyDescent="0.2">
      <c r="A9035" s="597">
        <v>43945</v>
      </c>
      <c r="B9035" s="41" t="s">
        <v>16</v>
      </c>
      <c r="C9035" s="41" t="s">
        <v>1495</v>
      </c>
      <c r="D9035" s="129" t="s">
        <v>370</v>
      </c>
      <c r="E9035" s="58">
        <v>500</v>
      </c>
      <c r="F9035" s="58"/>
      <c r="G9035" s="58">
        <f t="shared" si="146"/>
        <v>-500</v>
      </c>
      <c r="H9035" s="422" t="s">
        <v>5869</v>
      </c>
    </row>
    <row r="9036" spans="1:8" ht="15" x14ac:dyDescent="0.2">
      <c r="A9036" s="597">
        <v>43945</v>
      </c>
      <c r="B9036" s="41" t="s">
        <v>25</v>
      </c>
      <c r="C9036" s="41" t="s">
        <v>1689</v>
      </c>
      <c r="D9036" s="129" t="s">
        <v>370</v>
      </c>
      <c r="E9036" s="58">
        <v>23648</v>
      </c>
      <c r="F9036" s="58"/>
      <c r="G9036" s="58">
        <f t="shared" si="146"/>
        <v>-23648</v>
      </c>
      <c r="H9036" s="422" t="s">
        <v>5869</v>
      </c>
    </row>
    <row r="9037" spans="1:8" ht="15" x14ac:dyDescent="0.2">
      <c r="A9037" s="597">
        <v>43945</v>
      </c>
      <c r="B9037" s="41" t="s">
        <v>16</v>
      </c>
      <c r="C9037" s="41" t="s">
        <v>1689</v>
      </c>
      <c r="D9037" s="129" t="s">
        <v>370</v>
      </c>
      <c r="E9037" s="58">
        <v>6508</v>
      </c>
      <c r="F9037" s="58"/>
      <c r="G9037" s="58">
        <f t="shared" si="146"/>
        <v>-6508</v>
      </c>
      <c r="H9037" s="422" t="s">
        <v>5869</v>
      </c>
    </row>
    <row r="9038" spans="1:8" ht="15" x14ac:dyDescent="0.2">
      <c r="A9038" s="597">
        <v>43946</v>
      </c>
      <c r="B9038" s="41" t="s">
        <v>1400</v>
      </c>
      <c r="C9038" s="41" t="s">
        <v>3145</v>
      </c>
      <c r="D9038" s="129" t="s">
        <v>5892</v>
      </c>
      <c r="E9038" s="58">
        <v>16580</v>
      </c>
      <c r="F9038" s="58"/>
      <c r="G9038" s="58">
        <f t="shared" si="146"/>
        <v>-16580</v>
      </c>
      <c r="H9038" s="422" t="s">
        <v>5869</v>
      </c>
    </row>
    <row r="9039" spans="1:8" ht="15" x14ac:dyDescent="0.2">
      <c r="A9039" s="597">
        <v>43946</v>
      </c>
      <c r="B9039" s="41" t="s">
        <v>2652</v>
      </c>
      <c r="C9039" s="41" t="s">
        <v>3145</v>
      </c>
      <c r="D9039" s="129" t="s">
        <v>5893</v>
      </c>
      <c r="E9039" s="58">
        <v>10300</v>
      </c>
      <c r="F9039" s="58"/>
      <c r="G9039" s="58">
        <f t="shared" si="146"/>
        <v>-10300</v>
      </c>
      <c r="H9039" s="422" t="s">
        <v>5869</v>
      </c>
    </row>
    <row r="9040" spans="1:8" ht="15" x14ac:dyDescent="0.2">
      <c r="A9040" s="597">
        <v>43951</v>
      </c>
      <c r="B9040" s="41" t="s">
        <v>2652</v>
      </c>
      <c r="C9040" s="41" t="s">
        <v>286</v>
      </c>
      <c r="D9040" s="129" t="s">
        <v>5894</v>
      </c>
      <c r="E9040" s="58">
        <v>200</v>
      </c>
      <c r="F9040" s="58"/>
      <c r="G9040" s="58">
        <f t="shared" si="146"/>
        <v>-200</v>
      </c>
      <c r="H9040" s="422" t="s">
        <v>5869</v>
      </c>
    </row>
    <row r="9041" spans="1:8" ht="15" x14ac:dyDescent="0.2">
      <c r="A9041" s="597">
        <v>43951</v>
      </c>
      <c r="B9041" s="41" t="s">
        <v>16</v>
      </c>
      <c r="C9041" s="41" t="s">
        <v>103</v>
      </c>
      <c r="D9041" s="183" t="s">
        <v>5745</v>
      </c>
      <c r="E9041" s="58">
        <v>12283</v>
      </c>
      <c r="F9041" s="58"/>
      <c r="G9041" s="58">
        <f t="shared" si="146"/>
        <v>-12283</v>
      </c>
      <c r="H9041" s="422" t="s">
        <v>5869</v>
      </c>
    </row>
    <row r="9042" spans="1:8" ht="15" x14ac:dyDescent="0.2">
      <c r="A9042" s="597">
        <v>43951</v>
      </c>
      <c r="B9042" s="41" t="s">
        <v>1400</v>
      </c>
      <c r="C9042" s="41" t="s">
        <v>2503</v>
      </c>
      <c r="D9042" s="183" t="s">
        <v>940</v>
      </c>
      <c r="E9042" s="58">
        <v>25000</v>
      </c>
      <c r="F9042" s="58"/>
      <c r="G9042" s="58">
        <f t="shared" si="146"/>
        <v>-25000</v>
      </c>
      <c r="H9042" s="422" t="s">
        <v>5869</v>
      </c>
    </row>
    <row r="9043" spans="1:8" ht="15" x14ac:dyDescent="0.2">
      <c r="A9043" s="597">
        <v>43951</v>
      </c>
      <c r="B9043" s="41" t="s">
        <v>5641</v>
      </c>
      <c r="C9043" s="41" t="s">
        <v>2503</v>
      </c>
      <c r="D9043" s="183" t="s">
        <v>940</v>
      </c>
      <c r="E9043" s="58">
        <v>25000</v>
      </c>
      <c r="F9043" s="58"/>
      <c r="G9043" s="58">
        <f t="shared" si="146"/>
        <v>-25000</v>
      </c>
      <c r="H9043" s="422" t="s">
        <v>5869</v>
      </c>
    </row>
    <row r="9044" spans="1:8" ht="15" x14ac:dyDescent="0.2">
      <c r="A9044" s="597">
        <v>43951</v>
      </c>
      <c r="B9044" s="41" t="s">
        <v>2652</v>
      </c>
      <c r="C9044" s="41" t="s">
        <v>2503</v>
      </c>
      <c r="D9044" s="183" t="s">
        <v>372</v>
      </c>
      <c r="E9044" s="58">
        <v>25000</v>
      </c>
      <c r="F9044" s="58"/>
      <c r="G9044" s="58">
        <f t="shared" si="146"/>
        <v>-25000</v>
      </c>
      <c r="H9044" s="422" t="s">
        <v>5869</v>
      </c>
    </row>
    <row r="9045" spans="1:8" ht="15" x14ac:dyDescent="0.2">
      <c r="A9045" s="597">
        <v>43951</v>
      </c>
      <c r="B9045" s="41" t="s">
        <v>1400</v>
      </c>
      <c r="C9045" s="41" t="s">
        <v>2503</v>
      </c>
      <c r="D9045" s="183" t="s">
        <v>372</v>
      </c>
      <c r="E9045" s="58">
        <v>25000</v>
      </c>
      <c r="F9045" s="58"/>
      <c r="G9045" s="58">
        <f t="shared" si="146"/>
        <v>-25000</v>
      </c>
      <c r="H9045" s="422" t="s">
        <v>5869</v>
      </c>
    </row>
    <row r="9046" spans="1:8" ht="15" x14ac:dyDescent="0.2">
      <c r="A9046" s="597">
        <v>43951</v>
      </c>
      <c r="B9046" s="41" t="s">
        <v>25</v>
      </c>
      <c r="C9046" s="41" t="s">
        <v>2503</v>
      </c>
      <c r="D9046" s="183"/>
      <c r="E9046" s="58">
        <v>60000</v>
      </c>
      <c r="F9046" s="58"/>
      <c r="G9046" s="58">
        <f t="shared" si="146"/>
        <v>-60000</v>
      </c>
      <c r="H9046" s="422" t="s">
        <v>5869</v>
      </c>
    </row>
    <row r="9047" spans="1:8" ht="15" x14ac:dyDescent="0.2">
      <c r="A9047" s="597">
        <v>43951</v>
      </c>
      <c r="B9047" s="41" t="s">
        <v>16</v>
      </c>
      <c r="C9047" s="41" t="s">
        <v>2503</v>
      </c>
      <c r="D9047" s="183"/>
      <c r="E9047" s="58">
        <v>65000</v>
      </c>
      <c r="F9047" s="58"/>
      <c r="G9047" s="58">
        <f t="shared" si="146"/>
        <v>-65000</v>
      </c>
      <c r="H9047" s="422" t="s">
        <v>5869</v>
      </c>
    </row>
    <row r="9048" spans="1:8" ht="15" x14ac:dyDescent="0.2">
      <c r="A9048" s="597">
        <v>43951</v>
      </c>
      <c r="B9048" s="41" t="s">
        <v>3945</v>
      </c>
      <c r="C9048" s="41" t="s">
        <v>2503</v>
      </c>
      <c r="D9048" s="183"/>
      <c r="E9048" s="58">
        <v>32250</v>
      </c>
      <c r="F9048" s="58"/>
      <c r="G9048" s="58">
        <f t="shared" si="146"/>
        <v>-32250</v>
      </c>
      <c r="H9048" s="422" t="s">
        <v>5869</v>
      </c>
    </row>
    <row r="9049" spans="1:8" ht="15" x14ac:dyDescent="0.2">
      <c r="A9049" s="597">
        <v>43951</v>
      </c>
      <c r="B9049" s="41" t="s">
        <v>3946</v>
      </c>
      <c r="C9049" s="41" t="s">
        <v>2503</v>
      </c>
      <c r="D9049" s="183"/>
      <c r="E9049" s="58">
        <v>34356.25</v>
      </c>
      <c r="F9049" s="58"/>
      <c r="G9049" s="58">
        <f t="shared" si="146"/>
        <v>-34356.25</v>
      </c>
      <c r="H9049" s="422" t="s">
        <v>5869</v>
      </c>
    </row>
    <row r="9050" spans="1:8" ht="15" x14ac:dyDescent="0.2">
      <c r="A9050" s="597">
        <v>43951</v>
      </c>
      <c r="B9050" s="41" t="s">
        <v>1400</v>
      </c>
      <c r="C9050" s="41" t="s">
        <v>2503</v>
      </c>
      <c r="D9050" s="183"/>
      <c r="E9050" s="58">
        <v>205395</v>
      </c>
      <c r="F9050" s="58"/>
      <c r="G9050" s="58">
        <f t="shared" si="146"/>
        <v>-205395</v>
      </c>
      <c r="H9050" s="422" t="s">
        <v>5869</v>
      </c>
    </row>
    <row r="9051" spans="1:8" ht="15" x14ac:dyDescent="0.2">
      <c r="A9051" s="597">
        <v>43951</v>
      </c>
      <c r="B9051" s="41" t="s">
        <v>6516</v>
      </c>
      <c r="C9051" s="41" t="s">
        <v>2503</v>
      </c>
      <c r="D9051" s="183"/>
      <c r="E9051" s="58">
        <v>104362.49999999999</v>
      </c>
      <c r="F9051" s="58"/>
      <c r="G9051" s="58">
        <f t="shared" si="146"/>
        <v>-104362.49999999999</v>
      </c>
      <c r="H9051" s="422" t="s">
        <v>5869</v>
      </c>
    </row>
    <row r="9052" spans="1:8" ht="15" x14ac:dyDescent="0.2">
      <c r="A9052" s="597">
        <v>43951</v>
      </c>
      <c r="B9052" s="41" t="s">
        <v>37</v>
      </c>
      <c r="C9052" s="41" t="s">
        <v>2503</v>
      </c>
      <c r="D9052" s="183"/>
      <c r="E9052" s="58">
        <v>61687.5</v>
      </c>
      <c r="F9052" s="58"/>
      <c r="G9052" s="58">
        <f t="shared" si="146"/>
        <v>-61687.5</v>
      </c>
      <c r="H9052" s="422" t="s">
        <v>5869</v>
      </c>
    </row>
    <row r="9053" spans="1:8" ht="15" x14ac:dyDescent="0.2">
      <c r="A9053" s="597">
        <v>43951</v>
      </c>
      <c r="B9053" s="41" t="s">
        <v>2933</v>
      </c>
      <c r="C9053" s="41" t="s">
        <v>2503</v>
      </c>
      <c r="D9053" s="183"/>
      <c r="E9053" s="58">
        <v>27083.333333333332</v>
      </c>
      <c r="F9053" s="58"/>
      <c r="G9053" s="58">
        <f t="shared" si="146"/>
        <v>-27083.333333333332</v>
      </c>
      <c r="H9053" s="422" t="s">
        <v>5869</v>
      </c>
    </row>
    <row r="9054" spans="1:8" ht="15" x14ac:dyDescent="0.2">
      <c r="A9054" s="597">
        <v>43951</v>
      </c>
      <c r="B9054" s="41" t="s">
        <v>2652</v>
      </c>
      <c r="C9054" s="41" t="s">
        <v>2503</v>
      </c>
      <c r="D9054" s="183"/>
      <c r="E9054" s="58">
        <v>164958.33333333337</v>
      </c>
      <c r="F9054" s="58"/>
      <c r="G9054" s="58">
        <f t="shared" si="146"/>
        <v>-164958.33333333337</v>
      </c>
      <c r="H9054" s="422" t="s">
        <v>5869</v>
      </c>
    </row>
    <row r="9055" spans="1:8" ht="15" x14ac:dyDescent="0.2">
      <c r="A9055" s="597">
        <v>43951</v>
      </c>
      <c r="B9055" s="41" t="s">
        <v>5604</v>
      </c>
      <c r="C9055" s="41" t="s">
        <v>2503</v>
      </c>
      <c r="D9055" s="183"/>
      <c r="E9055" s="58">
        <v>24500</v>
      </c>
      <c r="F9055" s="58"/>
      <c r="G9055" s="58">
        <f t="shared" si="146"/>
        <v>-24500</v>
      </c>
      <c r="H9055" s="422" t="s">
        <v>5869</v>
      </c>
    </row>
    <row r="9056" spans="1:8" ht="15" x14ac:dyDescent="0.2">
      <c r="A9056" s="597">
        <v>43951</v>
      </c>
      <c r="B9056" s="41" t="s">
        <v>5641</v>
      </c>
      <c r="C9056" s="41" t="s">
        <v>2503</v>
      </c>
      <c r="D9056" s="183"/>
      <c r="E9056" s="58">
        <f>24000+13533</f>
        <v>37533</v>
      </c>
      <c r="F9056" s="58"/>
      <c r="G9056" s="58">
        <f t="shared" si="146"/>
        <v>-37533</v>
      </c>
      <c r="H9056" s="422" t="s">
        <v>5869</v>
      </c>
    </row>
    <row r="9057" spans="1:8" ht="15" x14ac:dyDescent="0.2">
      <c r="A9057" s="597">
        <v>43951</v>
      </c>
      <c r="B9057" s="41" t="s">
        <v>4553</v>
      </c>
      <c r="C9057" s="41" t="s">
        <v>2503</v>
      </c>
      <c r="D9057" s="183"/>
      <c r="E9057" s="58">
        <v>16000</v>
      </c>
      <c r="F9057" s="58"/>
      <c r="G9057" s="58">
        <f t="shared" si="146"/>
        <v>-16000</v>
      </c>
      <c r="H9057" s="422" t="s">
        <v>5869</v>
      </c>
    </row>
    <row r="9058" spans="1:8" ht="24" x14ac:dyDescent="0.2">
      <c r="A9058" s="602">
        <v>43942</v>
      </c>
      <c r="B9058" s="122" t="s">
        <v>25</v>
      </c>
      <c r="C9058" s="122" t="s">
        <v>2428</v>
      </c>
      <c r="D9058" s="118" t="s">
        <v>5881</v>
      </c>
      <c r="E9058" s="123">
        <v>110000</v>
      </c>
      <c r="F9058" s="123"/>
      <c r="G9058" s="123">
        <f t="shared" si="146"/>
        <v>-110000</v>
      </c>
      <c r="H9058" s="396" t="s">
        <v>5869</v>
      </c>
    </row>
    <row r="9059" spans="1:8" ht="72" x14ac:dyDescent="0.2">
      <c r="A9059" s="602">
        <v>43942</v>
      </c>
      <c r="B9059" s="174" t="s">
        <v>1400</v>
      </c>
      <c r="C9059" s="174" t="s">
        <v>2515</v>
      </c>
      <c r="D9059" s="228" t="s">
        <v>5882</v>
      </c>
      <c r="E9059" s="236">
        <v>187500</v>
      </c>
      <c r="F9059" s="236"/>
      <c r="G9059" s="236">
        <f t="shared" si="146"/>
        <v>-187500</v>
      </c>
      <c r="H9059" s="396" t="s">
        <v>5869</v>
      </c>
    </row>
    <row r="9060" spans="1:8" ht="15" x14ac:dyDescent="0.2">
      <c r="A9060" s="602">
        <v>43942</v>
      </c>
      <c r="B9060" s="174" t="s">
        <v>1400</v>
      </c>
      <c r="C9060" s="174" t="s">
        <v>5885</v>
      </c>
      <c r="D9060" s="228" t="s">
        <v>5886</v>
      </c>
      <c r="E9060" s="236">
        <v>150000</v>
      </c>
      <c r="F9060" s="236"/>
      <c r="G9060" s="236">
        <f t="shared" si="146"/>
        <v>-150000</v>
      </c>
      <c r="H9060" s="396" t="s">
        <v>5869</v>
      </c>
    </row>
    <row r="9061" spans="1:8" ht="24.75" thickBot="1" x14ac:dyDescent="0.25">
      <c r="A9061" s="602">
        <v>43948</v>
      </c>
      <c r="B9061" s="174" t="s">
        <v>1400</v>
      </c>
      <c r="C9061" s="237" t="s">
        <v>5690</v>
      </c>
      <c r="D9061" s="843" t="s">
        <v>5888</v>
      </c>
      <c r="E9061" s="229">
        <v>23700</v>
      </c>
      <c r="F9061" s="236"/>
      <c r="G9061" s="236">
        <f t="shared" si="146"/>
        <v>-23700</v>
      </c>
      <c r="H9061" s="396" t="s">
        <v>5869</v>
      </c>
    </row>
    <row r="9062" spans="1:8" ht="15" x14ac:dyDescent="0.2">
      <c r="A9062" s="602">
        <v>43948</v>
      </c>
      <c r="B9062" s="438" t="s">
        <v>2933</v>
      </c>
      <c r="C9062" s="476" t="s">
        <v>1803</v>
      </c>
      <c r="D9062" s="844" t="s">
        <v>6107</v>
      </c>
      <c r="E9062" s="500">
        <v>22119</v>
      </c>
      <c r="F9062" s="323"/>
      <c r="G9062" s="236"/>
      <c r="H9062" s="396"/>
    </row>
    <row r="9063" spans="1:8" ht="15" x14ac:dyDescent="0.2">
      <c r="A9063" s="602">
        <v>43948</v>
      </c>
      <c r="B9063" s="436" t="s">
        <v>5641</v>
      </c>
      <c r="C9063" s="507" t="s">
        <v>1803</v>
      </c>
      <c r="D9063" s="837" t="s">
        <v>6107</v>
      </c>
      <c r="E9063" s="502">
        <v>64222</v>
      </c>
      <c r="F9063" s="323"/>
      <c r="G9063" s="236"/>
      <c r="H9063" s="396"/>
    </row>
    <row r="9064" spans="1:8" ht="15" x14ac:dyDescent="0.2">
      <c r="A9064" s="602">
        <v>43948</v>
      </c>
      <c r="B9064" s="436" t="s">
        <v>4553</v>
      </c>
      <c r="C9064" s="507" t="s">
        <v>1803</v>
      </c>
      <c r="D9064" s="837" t="s">
        <v>6107</v>
      </c>
      <c r="E9064" s="502">
        <v>10000</v>
      </c>
      <c r="F9064" s="323"/>
      <c r="G9064" s="236"/>
      <c r="H9064" s="396"/>
    </row>
    <row r="9065" spans="1:8" ht="15.75" thickBot="1" x14ac:dyDescent="0.25">
      <c r="A9065" s="602">
        <v>43949</v>
      </c>
      <c r="B9065" s="436" t="s">
        <v>2652</v>
      </c>
      <c r="C9065" s="509" t="s">
        <v>1803</v>
      </c>
      <c r="D9065" s="845" t="s">
        <v>6107</v>
      </c>
      <c r="E9065" s="510">
        <v>150980</v>
      </c>
      <c r="F9065" s="323"/>
      <c r="G9065" s="236">
        <f t="shared" ref="G9065:G9128" si="147">F9065-E9065</f>
        <v>-150980</v>
      </c>
      <c r="H9065" s="396" t="s">
        <v>5869</v>
      </c>
    </row>
    <row r="9066" spans="1:8" ht="15" x14ac:dyDescent="0.2">
      <c r="A9066" s="602">
        <v>43949</v>
      </c>
      <c r="B9066" s="436" t="s">
        <v>1400</v>
      </c>
      <c r="C9066" s="476" t="s">
        <v>1803</v>
      </c>
      <c r="D9066" s="844" t="s">
        <v>6106</v>
      </c>
      <c r="E9066" s="500">
        <v>4160</v>
      </c>
      <c r="F9066" s="323"/>
      <c r="G9066" s="236">
        <f t="shared" si="147"/>
        <v>-4160</v>
      </c>
      <c r="H9066" s="396" t="s">
        <v>5869</v>
      </c>
    </row>
    <row r="9067" spans="1:8" ht="15" x14ac:dyDescent="0.2">
      <c r="A9067" s="602">
        <v>43949</v>
      </c>
      <c r="B9067" s="436" t="s">
        <v>2657</v>
      </c>
      <c r="C9067" s="501" t="s">
        <v>1803</v>
      </c>
      <c r="D9067" s="228" t="s">
        <v>6106</v>
      </c>
      <c r="E9067" s="502">
        <v>8402</v>
      </c>
      <c r="F9067" s="323"/>
      <c r="G9067" s="236">
        <f t="shared" si="147"/>
        <v>-8402</v>
      </c>
      <c r="H9067" s="396" t="s">
        <v>5869</v>
      </c>
    </row>
    <row r="9068" spans="1:8" ht="15.75" thickBot="1" x14ac:dyDescent="0.25">
      <c r="A9068" s="602">
        <v>43949</v>
      </c>
      <c r="B9068" s="436" t="s">
        <v>5544</v>
      </c>
      <c r="C9068" s="477" t="s">
        <v>1803</v>
      </c>
      <c r="D9068" s="846" t="s">
        <v>6106</v>
      </c>
      <c r="E9068" s="504">
        <v>187438</v>
      </c>
      <c r="F9068" s="323"/>
      <c r="G9068" s="236">
        <f t="shared" si="147"/>
        <v>-187438</v>
      </c>
      <c r="H9068" s="396" t="s">
        <v>5869</v>
      </c>
    </row>
    <row r="9069" spans="1:8" ht="15" x14ac:dyDescent="0.2">
      <c r="A9069" s="602">
        <v>43949</v>
      </c>
      <c r="B9069" s="174" t="s">
        <v>4721</v>
      </c>
      <c r="C9069" s="240" t="s">
        <v>4334</v>
      </c>
      <c r="D9069" s="837" t="s">
        <v>5889</v>
      </c>
      <c r="E9069" s="241">
        <v>130000</v>
      </c>
      <c r="F9069" s="236"/>
      <c r="G9069" s="236">
        <f t="shared" si="147"/>
        <v>-130000</v>
      </c>
      <c r="H9069" s="396" t="s">
        <v>5869</v>
      </c>
    </row>
    <row r="9070" spans="1:8" ht="15" x14ac:dyDescent="0.2">
      <c r="A9070" s="599">
        <v>43929</v>
      </c>
      <c r="B9070" s="91" t="s">
        <v>1400</v>
      </c>
      <c r="C9070" s="91" t="s">
        <v>559</v>
      </c>
      <c r="D9070" s="801" t="s">
        <v>9147</v>
      </c>
      <c r="E9070" s="92"/>
      <c r="F9070" s="92">
        <v>4600000</v>
      </c>
      <c r="G9070" s="92">
        <f t="shared" si="147"/>
        <v>4600000</v>
      </c>
      <c r="H9070" s="428" t="s">
        <v>5869</v>
      </c>
    </row>
    <row r="9071" spans="1:8" ht="15" x14ac:dyDescent="0.2">
      <c r="A9071" s="599">
        <v>43929</v>
      </c>
      <c r="B9071" s="91" t="s">
        <v>1400</v>
      </c>
      <c r="C9071" s="91" t="s">
        <v>559</v>
      </c>
      <c r="D9071" s="801" t="s">
        <v>9148</v>
      </c>
      <c r="E9071" s="92"/>
      <c r="F9071" s="92">
        <v>850000</v>
      </c>
      <c r="G9071" s="92">
        <f t="shared" si="147"/>
        <v>850000</v>
      </c>
      <c r="H9071" s="428" t="s">
        <v>5869</v>
      </c>
    </row>
    <row r="9072" spans="1:8" ht="15" x14ac:dyDescent="0.2">
      <c r="A9072" s="599">
        <v>43929</v>
      </c>
      <c r="B9072" s="91" t="s">
        <v>1400</v>
      </c>
      <c r="C9072" s="91" t="s">
        <v>559</v>
      </c>
      <c r="D9072" s="801" t="s">
        <v>9149</v>
      </c>
      <c r="E9072" s="92"/>
      <c r="F9072" s="92">
        <v>650000</v>
      </c>
      <c r="G9072" s="92">
        <f t="shared" si="147"/>
        <v>650000</v>
      </c>
      <c r="H9072" s="428" t="s">
        <v>5869</v>
      </c>
    </row>
    <row r="9073" spans="1:8" ht="15" x14ac:dyDescent="0.2">
      <c r="A9073" s="599">
        <v>43929</v>
      </c>
      <c r="B9073" s="91" t="s">
        <v>1400</v>
      </c>
      <c r="C9073" s="91" t="s">
        <v>559</v>
      </c>
      <c r="D9073" s="801" t="s">
        <v>9148</v>
      </c>
      <c r="E9073" s="92"/>
      <c r="F9073" s="92">
        <v>750000</v>
      </c>
      <c r="G9073" s="92">
        <f t="shared" si="147"/>
        <v>750000</v>
      </c>
      <c r="H9073" s="428" t="s">
        <v>5869</v>
      </c>
    </row>
    <row r="9074" spans="1:8" ht="15" x14ac:dyDescent="0.2">
      <c r="A9074" s="599">
        <v>43929</v>
      </c>
      <c r="B9074" s="91" t="s">
        <v>1400</v>
      </c>
      <c r="C9074" s="91" t="s">
        <v>559</v>
      </c>
      <c r="D9074" s="801" t="s">
        <v>9149</v>
      </c>
      <c r="E9074" s="92"/>
      <c r="F9074" s="92">
        <v>700000</v>
      </c>
      <c r="G9074" s="92">
        <f t="shared" si="147"/>
        <v>700000</v>
      </c>
      <c r="H9074" s="428" t="s">
        <v>5869</v>
      </c>
    </row>
    <row r="9075" spans="1:8" ht="15" x14ac:dyDescent="0.2">
      <c r="A9075" s="599">
        <v>43929</v>
      </c>
      <c r="B9075" s="91" t="s">
        <v>1400</v>
      </c>
      <c r="C9075" s="91" t="s">
        <v>559</v>
      </c>
      <c r="D9075" s="801" t="s">
        <v>9149</v>
      </c>
      <c r="E9075" s="92"/>
      <c r="F9075" s="92">
        <v>800000</v>
      </c>
      <c r="G9075" s="92">
        <f t="shared" si="147"/>
        <v>800000</v>
      </c>
      <c r="H9075" s="428" t="s">
        <v>5869</v>
      </c>
    </row>
    <row r="9076" spans="1:8" ht="15" x14ac:dyDescent="0.2">
      <c r="A9076" s="599">
        <v>43929</v>
      </c>
      <c r="B9076" s="91" t="s">
        <v>1400</v>
      </c>
      <c r="C9076" s="91" t="s">
        <v>559</v>
      </c>
      <c r="D9076" s="801" t="s">
        <v>9149</v>
      </c>
      <c r="E9076" s="92"/>
      <c r="F9076" s="92">
        <v>750000</v>
      </c>
      <c r="G9076" s="92">
        <f t="shared" si="147"/>
        <v>750000</v>
      </c>
      <c r="H9076" s="428" t="s">
        <v>5869</v>
      </c>
    </row>
    <row r="9077" spans="1:8" ht="15" x14ac:dyDescent="0.2">
      <c r="A9077" s="599">
        <v>43929</v>
      </c>
      <c r="B9077" s="91" t="s">
        <v>1400</v>
      </c>
      <c r="C9077" s="91" t="s">
        <v>559</v>
      </c>
      <c r="D9077" s="801" t="s">
        <v>9149</v>
      </c>
      <c r="E9077" s="92"/>
      <c r="F9077" s="92">
        <v>600000</v>
      </c>
      <c r="G9077" s="92">
        <f t="shared" si="147"/>
        <v>600000</v>
      </c>
      <c r="H9077" s="428" t="s">
        <v>5869</v>
      </c>
    </row>
    <row r="9078" spans="1:8" ht="15" x14ac:dyDescent="0.2">
      <c r="A9078" s="599">
        <v>43929</v>
      </c>
      <c r="B9078" s="91" t="s">
        <v>1400</v>
      </c>
      <c r="C9078" s="91" t="s">
        <v>559</v>
      </c>
      <c r="D9078" s="801" t="s">
        <v>9149</v>
      </c>
      <c r="E9078" s="92"/>
      <c r="F9078" s="92">
        <v>900000</v>
      </c>
      <c r="G9078" s="92">
        <f t="shared" si="147"/>
        <v>900000</v>
      </c>
      <c r="H9078" s="428" t="s">
        <v>5869</v>
      </c>
    </row>
    <row r="9079" spans="1:8" ht="15" x14ac:dyDescent="0.2">
      <c r="A9079" s="599">
        <v>43939</v>
      </c>
      <c r="B9079" s="91" t="s">
        <v>5746</v>
      </c>
      <c r="C9079" s="91" t="s">
        <v>559</v>
      </c>
      <c r="D9079" s="801" t="s">
        <v>5880</v>
      </c>
      <c r="E9079" s="92"/>
      <c r="F9079" s="92">
        <v>742577</v>
      </c>
      <c r="G9079" s="92">
        <f t="shared" si="147"/>
        <v>742577</v>
      </c>
      <c r="H9079" s="428" t="s">
        <v>5869</v>
      </c>
    </row>
    <row r="9080" spans="1:8" ht="60" x14ac:dyDescent="0.2">
      <c r="A9080" s="599">
        <v>43944</v>
      </c>
      <c r="B9080" s="91" t="s">
        <v>6516</v>
      </c>
      <c r="C9080" s="94" t="s">
        <v>559</v>
      </c>
      <c r="D9080" s="802" t="s">
        <v>5884</v>
      </c>
      <c r="E9080" s="176"/>
      <c r="F9080" s="176">
        <v>625014</v>
      </c>
      <c r="G9080" s="176">
        <f t="shared" si="147"/>
        <v>625014</v>
      </c>
      <c r="H9080" s="428" t="s">
        <v>5869</v>
      </c>
    </row>
    <row r="9081" spans="1:8" ht="15" x14ac:dyDescent="0.2">
      <c r="A9081" s="599">
        <v>43949</v>
      </c>
      <c r="B9081" s="91" t="s">
        <v>3946</v>
      </c>
      <c r="C9081" s="94" t="s">
        <v>559</v>
      </c>
      <c r="D9081" s="801" t="s">
        <v>5890</v>
      </c>
      <c r="E9081" s="92"/>
      <c r="F9081" s="92">
        <v>443373</v>
      </c>
      <c r="G9081" s="92">
        <f t="shared" si="147"/>
        <v>443373</v>
      </c>
      <c r="H9081" s="428" t="s">
        <v>5869</v>
      </c>
    </row>
    <row r="9082" spans="1:8" ht="15" x14ac:dyDescent="0.2">
      <c r="A9082" s="599">
        <v>43949</v>
      </c>
      <c r="B9082" s="91" t="s">
        <v>3945</v>
      </c>
      <c r="C9082" s="94" t="s">
        <v>559</v>
      </c>
      <c r="D9082" s="801" t="s">
        <v>5891</v>
      </c>
      <c r="E9082" s="92"/>
      <c r="F9082" s="92">
        <v>321064</v>
      </c>
      <c r="G9082" s="92">
        <f t="shared" si="147"/>
        <v>321064</v>
      </c>
      <c r="H9082" s="428" t="s">
        <v>5869</v>
      </c>
    </row>
    <row r="9083" spans="1:8" ht="15" x14ac:dyDescent="0.2">
      <c r="A9083" s="597">
        <v>43955</v>
      </c>
      <c r="B9083" s="41" t="s">
        <v>1400</v>
      </c>
      <c r="C9083" s="63" t="s">
        <v>5741</v>
      </c>
      <c r="D9083" s="108" t="s">
        <v>5897</v>
      </c>
      <c r="E9083" s="58">
        <v>1300</v>
      </c>
      <c r="F9083" s="58"/>
      <c r="G9083" s="58">
        <f t="shared" si="147"/>
        <v>-1300</v>
      </c>
      <c r="H9083" s="422" t="s">
        <v>5896</v>
      </c>
    </row>
    <row r="9084" spans="1:8" ht="15" x14ac:dyDescent="0.2">
      <c r="A9084" s="597">
        <v>43955</v>
      </c>
      <c r="B9084" s="41" t="s">
        <v>5641</v>
      </c>
      <c r="C9084" s="63" t="s">
        <v>5741</v>
      </c>
      <c r="E9084" s="58">
        <v>1500</v>
      </c>
      <c r="F9084" s="58"/>
      <c r="G9084" s="58">
        <f t="shared" si="147"/>
        <v>-1500</v>
      </c>
      <c r="H9084" s="422" t="s">
        <v>5896</v>
      </c>
    </row>
    <row r="9085" spans="1:8" ht="15" x14ac:dyDescent="0.2">
      <c r="A9085" s="597">
        <v>43957</v>
      </c>
      <c r="B9085" s="41" t="s">
        <v>1400</v>
      </c>
      <c r="C9085" s="63" t="s">
        <v>3145</v>
      </c>
      <c r="D9085" s="108" t="s">
        <v>5898</v>
      </c>
      <c r="E9085" s="58">
        <v>18000</v>
      </c>
      <c r="F9085" s="58"/>
      <c r="G9085" s="58">
        <f t="shared" si="147"/>
        <v>-18000</v>
      </c>
      <c r="H9085" s="422" t="s">
        <v>5896</v>
      </c>
    </row>
    <row r="9086" spans="1:8" ht="15" x14ac:dyDescent="0.2">
      <c r="A9086" s="597">
        <v>43957</v>
      </c>
      <c r="B9086" s="41" t="s">
        <v>5811</v>
      </c>
      <c r="C9086" s="63" t="s">
        <v>1355</v>
      </c>
      <c r="D9086" s="108" t="s">
        <v>5899</v>
      </c>
      <c r="E9086" s="58">
        <v>55000</v>
      </c>
      <c r="F9086" s="58"/>
      <c r="G9086" s="58">
        <f t="shared" si="147"/>
        <v>-55000</v>
      </c>
      <c r="H9086" s="422" t="s">
        <v>5896</v>
      </c>
    </row>
    <row r="9087" spans="1:8" ht="15" x14ac:dyDescent="0.2">
      <c r="A9087" s="597">
        <v>43957</v>
      </c>
      <c r="B9087" s="41" t="s">
        <v>1400</v>
      </c>
      <c r="C9087" s="63" t="s">
        <v>3145</v>
      </c>
      <c r="D9087" s="108" t="s">
        <v>5136</v>
      </c>
      <c r="E9087" s="58">
        <v>18040</v>
      </c>
      <c r="F9087" s="58"/>
      <c r="G9087" s="58">
        <f t="shared" si="147"/>
        <v>-18040</v>
      </c>
      <c r="H9087" s="422" t="s">
        <v>5896</v>
      </c>
    </row>
    <row r="9088" spans="1:8" ht="15" x14ac:dyDescent="0.2">
      <c r="A9088" s="597">
        <v>43962</v>
      </c>
      <c r="B9088" s="41" t="s">
        <v>25</v>
      </c>
      <c r="C9088" s="63" t="s">
        <v>2428</v>
      </c>
      <c r="D9088" s="108" t="s">
        <v>3056</v>
      </c>
      <c r="E9088" s="58">
        <v>14778</v>
      </c>
      <c r="F9088" s="58"/>
      <c r="G9088" s="58">
        <f t="shared" si="147"/>
        <v>-14778</v>
      </c>
      <c r="H9088" s="422" t="s">
        <v>5896</v>
      </c>
    </row>
    <row r="9089" spans="1:8" ht="15" x14ac:dyDescent="0.2">
      <c r="A9089" s="597">
        <v>43962</v>
      </c>
      <c r="B9089" s="41" t="s">
        <v>1400</v>
      </c>
      <c r="C9089" s="63" t="s">
        <v>4730</v>
      </c>
      <c r="D9089" s="108" t="s">
        <v>5901</v>
      </c>
      <c r="E9089" s="58">
        <v>20500</v>
      </c>
      <c r="F9089" s="58"/>
      <c r="G9089" s="58">
        <f t="shared" si="147"/>
        <v>-20500</v>
      </c>
      <c r="H9089" s="422" t="s">
        <v>5896</v>
      </c>
    </row>
    <row r="9090" spans="1:8" ht="15" x14ac:dyDescent="0.2">
      <c r="A9090" s="597">
        <v>43962</v>
      </c>
      <c r="B9090" s="41" t="s">
        <v>1400</v>
      </c>
      <c r="C9090" s="63" t="s">
        <v>3145</v>
      </c>
      <c r="D9090" s="108" t="s">
        <v>5902</v>
      </c>
      <c r="E9090" s="58">
        <v>4950</v>
      </c>
      <c r="F9090" s="58"/>
      <c r="G9090" s="58">
        <f t="shared" si="147"/>
        <v>-4950</v>
      </c>
      <c r="H9090" s="422" t="s">
        <v>5896</v>
      </c>
    </row>
    <row r="9091" spans="1:8" ht="15" x14ac:dyDescent="0.2">
      <c r="A9091" s="597">
        <v>43963</v>
      </c>
      <c r="B9091" s="41" t="s">
        <v>4553</v>
      </c>
      <c r="C9091" s="63" t="s">
        <v>3145</v>
      </c>
      <c r="D9091" s="108" t="s">
        <v>4522</v>
      </c>
      <c r="E9091" s="58">
        <v>750</v>
      </c>
      <c r="F9091" s="58"/>
      <c r="G9091" s="58">
        <f t="shared" si="147"/>
        <v>-750</v>
      </c>
      <c r="H9091" s="422" t="s">
        <v>5896</v>
      </c>
    </row>
    <row r="9092" spans="1:8" ht="15" x14ac:dyDescent="0.2">
      <c r="A9092" s="597">
        <v>43963</v>
      </c>
      <c r="B9092" s="41" t="s">
        <v>16</v>
      </c>
      <c r="C9092" s="63" t="s">
        <v>392</v>
      </c>
      <c r="D9092" s="108" t="s">
        <v>5929</v>
      </c>
      <c r="E9092" s="58">
        <v>20000</v>
      </c>
      <c r="F9092" s="58"/>
      <c r="G9092" s="58">
        <f t="shared" si="147"/>
        <v>-20000</v>
      </c>
      <c r="H9092" s="422" t="s">
        <v>5896</v>
      </c>
    </row>
    <row r="9093" spans="1:8" ht="15" x14ac:dyDescent="0.2">
      <c r="A9093" s="597">
        <v>43963</v>
      </c>
      <c r="B9093" s="41" t="s">
        <v>1400</v>
      </c>
      <c r="C9093" s="63" t="s">
        <v>5741</v>
      </c>
      <c r="D9093" s="108" t="s">
        <v>5742</v>
      </c>
      <c r="E9093" s="58">
        <v>2500</v>
      </c>
      <c r="F9093" s="58"/>
      <c r="G9093" s="58">
        <f t="shared" si="147"/>
        <v>-2500</v>
      </c>
      <c r="H9093" s="422" t="s">
        <v>5896</v>
      </c>
    </row>
    <row r="9094" spans="1:8" ht="15" x14ac:dyDescent="0.2">
      <c r="A9094" s="597">
        <v>43970</v>
      </c>
      <c r="B9094" s="41" t="s">
        <v>1400</v>
      </c>
      <c r="C9094" s="63" t="s">
        <v>5835</v>
      </c>
      <c r="D9094" s="108" t="s">
        <v>370</v>
      </c>
      <c r="E9094" s="58">
        <v>9450</v>
      </c>
      <c r="F9094" s="58"/>
      <c r="G9094" s="58">
        <f t="shared" si="147"/>
        <v>-9450</v>
      </c>
      <c r="H9094" s="422" t="s">
        <v>5896</v>
      </c>
    </row>
    <row r="9095" spans="1:8" ht="15" x14ac:dyDescent="0.2">
      <c r="A9095" s="597">
        <v>43970</v>
      </c>
      <c r="B9095" s="41" t="s">
        <v>4553</v>
      </c>
      <c r="C9095" s="63" t="s">
        <v>3145</v>
      </c>
      <c r="D9095" s="108" t="s">
        <v>5930</v>
      </c>
      <c r="E9095" s="58">
        <v>800</v>
      </c>
      <c r="F9095" s="58"/>
      <c r="G9095" s="58">
        <f t="shared" si="147"/>
        <v>-800</v>
      </c>
      <c r="H9095" s="422" t="s">
        <v>5896</v>
      </c>
    </row>
    <row r="9096" spans="1:8" ht="15" x14ac:dyDescent="0.2">
      <c r="A9096" s="597">
        <v>43970</v>
      </c>
      <c r="B9096" s="41" t="s">
        <v>1400</v>
      </c>
      <c r="C9096" s="63" t="s">
        <v>3145</v>
      </c>
      <c r="D9096" s="108" t="s">
        <v>5694</v>
      </c>
      <c r="E9096" s="58">
        <v>4376</v>
      </c>
      <c r="F9096" s="58"/>
      <c r="G9096" s="58">
        <f t="shared" si="147"/>
        <v>-4376</v>
      </c>
      <c r="H9096" s="422" t="s">
        <v>5896</v>
      </c>
    </row>
    <row r="9097" spans="1:8" ht="15.75" thickBot="1" x14ac:dyDescent="0.25">
      <c r="A9097" s="597">
        <v>43970</v>
      </c>
      <c r="B9097" s="41" t="s">
        <v>2652</v>
      </c>
      <c r="C9097" s="221" t="s">
        <v>4870</v>
      </c>
      <c r="D9097" s="810" t="s">
        <v>5931</v>
      </c>
      <c r="E9097" s="173">
        <v>65480</v>
      </c>
      <c r="F9097" s="58"/>
      <c r="G9097" s="58">
        <f t="shared" si="147"/>
        <v>-65480</v>
      </c>
      <c r="H9097" s="422" t="s">
        <v>5896</v>
      </c>
    </row>
    <row r="9098" spans="1:8" ht="15" x14ac:dyDescent="0.2">
      <c r="A9098" s="597">
        <v>43972</v>
      </c>
      <c r="B9098" s="401" t="s">
        <v>2652</v>
      </c>
      <c r="C9098" s="446" t="s">
        <v>5895</v>
      </c>
      <c r="D9098" s="847" t="s">
        <v>5932</v>
      </c>
      <c r="E9098" s="447">
        <v>20000</v>
      </c>
      <c r="F9098" s="434"/>
      <c r="G9098" s="58">
        <f t="shared" si="147"/>
        <v>-20000</v>
      </c>
      <c r="H9098" s="422" t="s">
        <v>5896</v>
      </c>
    </row>
    <row r="9099" spans="1:8" ht="15" x14ac:dyDescent="0.2">
      <c r="A9099" s="597">
        <v>43972</v>
      </c>
      <c r="B9099" s="401" t="s">
        <v>1400</v>
      </c>
      <c r="C9099" s="448" t="s">
        <v>5895</v>
      </c>
      <c r="D9099" s="108" t="s">
        <v>5932</v>
      </c>
      <c r="E9099" s="449">
        <v>1000</v>
      </c>
      <c r="F9099" s="434"/>
      <c r="G9099" s="58">
        <f t="shared" si="147"/>
        <v>-1000</v>
      </c>
      <c r="H9099" s="422" t="s">
        <v>5896</v>
      </c>
    </row>
    <row r="9100" spans="1:8" ht="15" x14ac:dyDescent="0.2">
      <c r="A9100" s="597">
        <v>43972</v>
      </c>
      <c r="B9100" s="401" t="s">
        <v>2933</v>
      </c>
      <c r="C9100" s="448" t="s">
        <v>5895</v>
      </c>
      <c r="D9100" s="108" t="s">
        <v>5932</v>
      </c>
      <c r="E9100" s="449">
        <v>5000</v>
      </c>
      <c r="F9100" s="434"/>
      <c r="G9100" s="58">
        <f t="shared" si="147"/>
        <v>-5000</v>
      </c>
      <c r="H9100" s="422" t="s">
        <v>5896</v>
      </c>
    </row>
    <row r="9101" spans="1:8" ht="15.75" thickBot="1" x14ac:dyDescent="0.25">
      <c r="A9101" s="597">
        <v>43972</v>
      </c>
      <c r="B9101" s="401" t="s">
        <v>4553</v>
      </c>
      <c r="C9101" s="450" t="s">
        <v>5895</v>
      </c>
      <c r="D9101" s="848" t="s">
        <v>5932</v>
      </c>
      <c r="E9101" s="451">
        <v>5000</v>
      </c>
      <c r="F9101" s="434"/>
      <c r="G9101" s="58">
        <f t="shared" si="147"/>
        <v>-5000</v>
      </c>
      <c r="H9101" s="422" t="s">
        <v>5896</v>
      </c>
    </row>
    <row r="9102" spans="1:8" ht="15" x14ac:dyDescent="0.2">
      <c r="A9102" s="597">
        <v>43972</v>
      </c>
      <c r="B9102" s="41" t="s">
        <v>1400</v>
      </c>
      <c r="C9102" s="223" t="s">
        <v>1524</v>
      </c>
      <c r="D9102" s="806" t="s">
        <v>5933</v>
      </c>
      <c r="E9102" s="247">
        <v>20500</v>
      </c>
      <c r="F9102" s="58"/>
      <c r="G9102" s="58">
        <f t="shared" si="147"/>
        <v>-20500</v>
      </c>
      <c r="H9102" s="422" t="s">
        <v>5896</v>
      </c>
    </row>
    <row r="9103" spans="1:8" ht="15" x14ac:dyDescent="0.2">
      <c r="A9103" s="597">
        <v>43980</v>
      </c>
      <c r="B9103" s="41" t="s">
        <v>1400</v>
      </c>
      <c r="C9103" s="223" t="s">
        <v>3033</v>
      </c>
      <c r="D9103" s="806" t="s">
        <v>370</v>
      </c>
      <c r="E9103" s="247">
        <v>2000</v>
      </c>
      <c r="F9103" s="58"/>
      <c r="G9103" s="58">
        <f t="shared" si="147"/>
        <v>-2000</v>
      </c>
      <c r="H9103" s="422" t="s">
        <v>5896</v>
      </c>
    </row>
    <row r="9104" spans="1:8" ht="15" x14ac:dyDescent="0.2">
      <c r="A9104" s="597">
        <v>43980</v>
      </c>
      <c r="B9104" s="41" t="s">
        <v>1400</v>
      </c>
      <c r="C9104" s="223" t="s">
        <v>392</v>
      </c>
      <c r="D9104" s="806" t="s">
        <v>5934</v>
      </c>
      <c r="E9104" s="247">
        <v>770</v>
      </c>
      <c r="F9104" s="58"/>
      <c r="G9104" s="58">
        <f t="shared" si="147"/>
        <v>-770</v>
      </c>
      <c r="H9104" s="422" t="s">
        <v>5896</v>
      </c>
    </row>
    <row r="9105" spans="1:8" ht="15" x14ac:dyDescent="0.2">
      <c r="A9105" s="597">
        <v>43980</v>
      </c>
      <c r="B9105" s="41" t="s">
        <v>1400</v>
      </c>
      <c r="C9105" s="223" t="s">
        <v>2104</v>
      </c>
      <c r="D9105" s="806" t="s">
        <v>5935</v>
      </c>
      <c r="E9105" s="247">
        <v>30000</v>
      </c>
      <c r="F9105" s="58"/>
      <c r="G9105" s="58">
        <f t="shared" si="147"/>
        <v>-30000</v>
      </c>
      <c r="H9105" s="422" t="s">
        <v>5896</v>
      </c>
    </row>
    <row r="9106" spans="1:8" ht="24" x14ac:dyDescent="0.2">
      <c r="A9106" s="597">
        <v>43980</v>
      </c>
      <c r="B9106" s="41" t="s">
        <v>25</v>
      </c>
      <c r="C9106" s="223" t="s">
        <v>551</v>
      </c>
      <c r="D9106" s="805" t="s">
        <v>5936</v>
      </c>
      <c r="E9106" s="247">
        <v>100000</v>
      </c>
      <c r="F9106" s="58"/>
      <c r="G9106" s="58">
        <f t="shared" si="147"/>
        <v>-100000</v>
      </c>
      <c r="H9106" s="422" t="s">
        <v>5896</v>
      </c>
    </row>
    <row r="9107" spans="1:8" ht="15" x14ac:dyDescent="0.2">
      <c r="A9107" s="597">
        <v>43980</v>
      </c>
      <c r="B9107" s="41" t="s">
        <v>16</v>
      </c>
      <c r="C9107" s="223" t="s">
        <v>1689</v>
      </c>
      <c r="D9107" s="806" t="s">
        <v>370</v>
      </c>
      <c r="E9107" s="247">
        <v>2465</v>
      </c>
      <c r="F9107" s="58"/>
      <c r="G9107" s="58">
        <f t="shared" si="147"/>
        <v>-2465</v>
      </c>
      <c r="H9107" s="422" t="s">
        <v>5896</v>
      </c>
    </row>
    <row r="9108" spans="1:8" ht="15" x14ac:dyDescent="0.2">
      <c r="A9108" s="597">
        <v>43980</v>
      </c>
      <c r="B9108" s="41" t="s">
        <v>25</v>
      </c>
      <c r="C9108" s="223" t="s">
        <v>1689</v>
      </c>
      <c r="D9108" s="806" t="s">
        <v>370</v>
      </c>
      <c r="E9108" s="247">
        <v>46905</v>
      </c>
      <c r="F9108" s="58"/>
      <c r="G9108" s="58">
        <f t="shared" si="147"/>
        <v>-46905</v>
      </c>
      <c r="H9108" s="422" t="s">
        <v>5896</v>
      </c>
    </row>
    <row r="9109" spans="1:8" ht="15" x14ac:dyDescent="0.2">
      <c r="A9109" s="597">
        <v>43980</v>
      </c>
      <c r="B9109" s="41" t="s">
        <v>4553</v>
      </c>
      <c r="C9109" s="223" t="s">
        <v>392</v>
      </c>
      <c r="D9109" s="806" t="s">
        <v>5384</v>
      </c>
      <c r="E9109" s="247">
        <v>2000</v>
      </c>
      <c r="F9109" s="58"/>
      <c r="G9109" s="58">
        <f t="shared" si="147"/>
        <v>-2000</v>
      </c>
      <c r="H9109" s="422" t="s">
        <v>5896</v>
      </c>
    </row>
    <row r="9110" spans="1:8" ht="15" x14ac:dyDescent="0.2">
      <c r="A9110" s="597">
        <v>43981</v>
      </c>
      <c r="B9110" s="41" t="s">
        <v>16</v>
      </c>
      <c r="C9110" s="223" t="s">
        <v>5937</v>
      </c>
      <c r="D9110" s="806" t="s">
        <v>5938</v>
      </c>
      <c r="E9110" s="247">
        <v>5000</v>
      </c>
      <c r="F9110" s="58"/>
      <c r="G9110" s="58">
        <f t="shared" si="147"/>
        <v>-5000</v>
      </c>
      <c r="H9110" s="422" t="s">
        <v>5896</v>
      </c>
    </row>
    <row r="9111" spans="1:8" ht="15" x14ac:dyDescent="0.2">
      <c r="A9111" s="597">
        <v>43981</v>
      </c>
      <c r="B9111" s="41" t="s">
        <v>2652</v>
      </c>
      <c r="C9111" s="223" t="s">
        <v>5741</v>
      </c>
      <c r="D9111" s="806" t="s">
        <v>392</v>
      </c>
      <c r="E9111" s="247">
        <v>500</v>
      </c>
      <c r="F9111" s="58"/>
      <c r="G9111" s="58">
        <f t="shared" si="147"/>
        <v>-500</v>
      </c>
      <c r="H9111" s="422" t="s">
        <v>5896</v>
      </c>
    </row>
    <row r="9112" spans="1:8" ht="15" x14ac:dyDescent="0.2">
      <c r="A9112" s="597">
        <v>43981</v>
      </c>
      <c r="B9112" s="41" t="s">
        <v>16</v>
      </c>
      <c r="C9112" s="223" t="s">
        <v>3364</v>
      </c>
      <c r="D9112" s="806" t="s">
        <v>370</v>
      </c>
      <c r="E9112" s="247">
        <v>4161</v>
      </c>
      <c r="F9112" s="58"/>
      <c r="G9112" s="58">
        <f t="shared" si="147"/>
        <v>-4161</v>
      </c>
      <c r="H9112" s="422" t="s">
        <v>5896</v>
      </c>
    </row>
    <row r="9113" spans="1:8" ht="15" x14ac:dyDescent="0.2">
      <c r="A9113" s="597">
        <v>43982</v>
      </c>
      <c r="B9113" s="41" t="s">
        <v>16</v>
      </c>
      <c r="C9113" s="223" t="s">
        <v>392</v>
      </c>
      <c r="D9113" s="806" t="s">
        <v>5939</v>
      </c>
      <c r="E9113" s="247">
        <v>15920</v>
      </c>
      <c r="F9113" s="58"/>
      <c r="G9113" s="58">
        <f t="shared" si="147"/>
        <v>-15920</v>
      </c>
      <c r="H9113" s="422" t="s">
        <v>5896</v>
      </c>
    </row>
    <row r="9114" spans="1:8" ht="15" x14ac:dyDescent="0.2">
      <c r="A9114" s="597">
        <v>43982</v>
      </c>
      <c r="B9114" s="41" t="s">
        <v>1400</v>
      </c>
      <c r="C9114" s="223" t="s">
        <v>2503</v>
      </c>
      <c r="D9114" s="806" t="s">
        <v>5941</v>
      </c>
      <c r="E9114" s="247">
        <v>25000</v>
      </c>
      <c r="F9114" s="58"/>
      <c r="G9114" s="58">
        <f t="shared" si="147"/>
        <v>-25000</v>
      </c>
      <c r="H9114" s="422" t="s">
        <v>5896</v>
      </c>
    </row>
    <row r="9115" spans="1:8" ht="15" x14ac:dyDescent="0.2">
      <c r="A9115" s="597">
        <v>43982</v>
      </c>
      <c r="B9115" s="41" t="s">
        <v>5641</v>
      </c>
      <c r="C9115" s="223" t="s">
        <v>2503</v>
      </c>
      <c r="D9115" s="806" t="s">
        <v>5941</v>
      </c>
      <c r="E9115" s="247">
        <v>25000</v>
      </c>
      <c r="F9115" s="58"/>
      <c r="G9115" s="58">
        <f t="shared" si="147"/>
        <v>-25000</v>
      </c>
      <c r="H9115" s="422" t="s">
        <v>5896</v>
      </c>
    </row>
    <row r="9116" spans="1:8" ht="15" x14ac:dyDescent="0.2">
      <c r="A9116" s="597">
        <v>43982</v>
      </c>
      <c r="B9116" s="41" t="s">
        <v>1400</v>
      </c>
      <c r="C9116" s="223" t="s">
        <v>2503</v>
      </c>
      <c r="D9116" s="806" t="s">
        <v>372</v>
      </c>
      <c r="E9116" s="247">
        <v>25000</v>
      </c>
      <c r="F9116" s="58"/>
      <c r="G9116" s="58">
        <f t="shared" si="147"/>
        <v>-25000</v>
      </c>
      <c r="H9116" s="422" t="s">
        <v>5896</v>
      </c>
    </row>
    <row r="9117" spans="1:8" ht="15" x14ac:dyDescent="0.2">
      <c r="A9117" s="597">
        <v>43982</v>
      </c>
      <c r="B9117" s="41" t="s">
        <v>37</v>
      </c>
      <c r="C9117" s="223" t="s">
        <v>2503</v>
      </c>
      <c r="D9117" s="806" t="s">
        <v>372</v>
      </c>
      <c r="E9117" s="247">
        <v>25000</v>
      </c>
      <c r="F9117" s="58"/>
      <c r="G9117" s="58">
        <f t="shared" si="147"/>
        <v>-25000</v>
      </c>
      <c r="H9117" s="422" t="s">
        <v>5896</v>
      </c>
    </row>
    <row r="9118" spans="1:8" ht="15" x14ac:dyDescent="0.2">
      <c r="A9118" s="597">
        <v>43982</v>
      </c>
      <c r="B9118" s="41" t="s">
        <v>25</v>
      </c>
      <c r="C9118" s="223" t="s">
        <v>2503</v>
      </c>
      <c r="D9118" s="806"/>
      <c r="E9118" s="247">
        <v>60000</v>
      </c>
      <c r="F9118" s="58"/>
      <c r="G9118" s="58">
        <f t="shared" si="147"/>
        <v>-60000</v>
      </c>
      <c r="H9118" s="422" t="s">
        <v>5896</v>
      </c>
    </row>
    <row r="9119" spans="1:8" ht="15" x14ac:dyDescent="0.2">
      <c r="A9119" s="597">
        <v>43982</v>
      </c>
      <c r="B9119" s="41" t="s">
        <v>16</v>
      </c>
      <c r="C9119" s="223" t="s">
        <v>2503</v>
      </c>
      <c r="D9119" s="806"/>
      <c r="E9119" s="247">
        <v>67000</v>
      </c>
      <c r="F9119" s="58"/>
      <c r="G9119" s="58">
        <f t="shared" si="147"/>
        <v>-67000</v>
      </c>
      <c r="H9119" s="422" t="s">
        <v>5896</v>
      </c>
    </row>
    <row r="9120" spans="1:8" ht="15" x14ac:dyDescent="0.2">
      <c r="A9120" s="597">
        <v>43982</v>
      </c>
      <c r="B9120" s="41" t="s">
        <v>3945</v>
      </c>
      <c r="C9120" s="223" t="s">
        <v>2503</v>
      </c>
      <c r="D9120" s="806"/>
      <c r="E9120" s="247">
        <v>32250</v>
      </c>
      <c r="F9120" s="58"/>
      <c r="G9120" s="58">
        <f t="shared" si="147"/>
        <v>-32250</v>
      </c>
      <c r="H9120" s="422" t="s">
        <v>5896</v>
      </c>
    </row>
    <row r="9121" spans="1:8" ht="15" x14ac:dyDescent="0.2">
      <c r="A9121" s="597">
        <v>43982</v>
      </c>
      <c r="B9121" s="41" t="s">
        <v>3946</v>
      </c>
      <c r="C9121" s="223" t="s">
        <v>2503</v>
      </c>
      <c r="D9121" s="806"/>
      <c r="E9121" s="247">
        <v>53254</v>
      </c>
      <c r="F9121" s="58"/>
      <c r="G9121" s="58">
        <f t="shared" si="147"/>
        <v>-53254</v>
      </c>
      <c r="H9121" s="422" t="s">
        <v>5896</v>
      </c>
    </row>
    <row r="9122" spans="1:8" ht="15" x14ac:dyDescent="0.2">
      <c r="A9122" s="597">
        <v>43982</v>
      </c>
      <c r="B9122" s="41" t="s">
        <v>1400</v>
      </c>
      <c r="C9122" s="223" t="s">
        <v>2503</v>
      </c>
      <c r="D9122" s="806"/>
      <c r="E9122" s="247">
        <v>254848</v>
      </c>
      <c r="F9122" s="58"/>
      <c r="G9122" s="58">
        <f t="shared" si="147"/>
        <v>-254848</v>
      </c>
      <c r="H9122" s="422" t="s">
        <v>5896</v>
      </c>
    </row>
    <row r="9123" spans="1:8" ht="15" x14ac:dyDescent="0.2">
      <c r="A9123" s="597">
        <v>43982</v>
      </c>
      <c r="B9123" s="41" t="s">
        <v>6516</v>
      </c>
      <c r="C9123" s="223" t="s">
        <v>2503</v>
      </c>
      <c r="D9123" s="806"/>
      <c r="E9123" s="247">
        <v>104752</v>
      </c>
      <c r="F9123" s="58"/>
      <c r="G9123" s="58">
        <f t="shared" si="147"/>
        <v>-104752</v>
      </c>
      <c r="H9123" s="422" t="s">
        <v>5896</v>
      </c>
    </row>
    <row r="9124" spans="1:8" ht="15" x14ac:dyDescent="0.2">
      <c r="A9124" s="597">
        <v>43982</v>
      </c>
      <c r="B9124" s="41" t="s">
        <v>37</v>
      </c>
      <c r="C9124" s="223" t="s">
        <v>2503</v>
      </c>
      <c r="D9124" s="806"/>
      <c r="E9124" s="247">
        <v>72469</v>
      </c>
      <c r="F9124" s="58"/>
      <c r="G9124" s="58">
        <f t="shared" si="147"/>
        <v>-72469</v>
      </c>
      <c r="H9124" s="422" t="s">
        <v>5896</v>
      </c>
    </row>
    <row r="9125" spans="1:8" ht="15" x14ac:dyDescent="0.2">
      <c r="A9125" s="597">
        <v>43982</v>
      </c>
      <c r="B9125" s="41" t="s">
        <v>2933</v>
      </c>
      <c r="C9125" s="223" t="s">
        <v>2503</v>
      </c>
      <c r="D9125" s="806"/>
      <c r="E9125" s="247">
        <v>28831</v>
      </c>
      <c r="F9125" s="58"/>
      <c r="G9125" s="58">
        <f t="shared" si="147"/>
        <v>-28831</v>
      </c>
      <c r="H9125" s="422" t="s">
        <v>5896</v>
      </c>
    </row>
    <row r="9126" spans="1:8" ht="15" x14ac:dyDescent="0.2">
      <c r="A9126" s="597">
        <v>43982</v>
      </c>
      <c r="B9126" s="41" t="s">
        <v>2652</v>
      </c>
      <c r="C9126" s="223" t="s">
        <v>2503</v>
      </c>
      <c r="D9126" s="806"/>
      <c r="E9126" s="247">
        <v>201414</v>
      </c>
      <c r="F9126" s="58"/>
      <c r="G9126" s="58">
        <f t="shared" si="147"/>
        <v>-201414</v>
      </c>
      <c r="H9126" s="422" t="s">
        <v>5896</v>
      </c>
    </row>
    <row r="9127" spans="1:8" ht="15" x14ac:dyDescent="0.2">
      <c r="A9127" s="597">
        <v>43982</v>
      </c>
      <c r="B9127" s="41" t="s">
        <v>5641</v>
      </c>
      <c r="C9127" s="223" t="s">
        <v>2503</v>
      </c>
      <c r="D9127" s="806"/>
      <c r="E9127" s="247">
        <v>45387</v>
      </c>
      <c r="F9127" s="58"/>
      <c r="G9127" s="58">
        <f t="shared" si="147"/>
        <v>-45387</v>
      </c>
      <c r="H9127" s="422" t="s">
        <v>5896</v>
      </c>
    </row>
    <row r="9128" spans="1:8" ht="15" x14ac:dyDescent="0.2">
      <c r="A9128" s="597">
        <v>43982</v>
      </c>
      <c r="B9128" s="41" t="s">
        <v>5604</v>
      </c>
      <c r="C9128" s="223" t="s">
        <v>2503</v>
      </c>
      <c r="D9128" s="806"/>
      <c r="E9128" s="247">
        <v>40000</v>
      </c>
      <c r="F9128" s="58"/>
      <c r="G9128" s="58">
        <f t="shared" si="147"/>
        <v>-40000</v>
      </c>
      <c r="H9128" s="422" t="s">
        <v>5896</v>
      </c>
    </row>
    <row r="9129" spans="1:8" ht="15" x14ac:dyDescent="0.2">
      <c r="A9129" s="597">
        <v>43982</v>
      </c>
      <c r="B9129" s="41" t="s">
        <v>4553</v>
      </c>
      <c r="C9129" s="223" t="s">
        <v>2503</v>
      </c>
      <c r="D9129" s="806"/>
      <c r="E9129" s="247">
        <v>15000</v>
      </c>
      <c r="F9129" s="58"/>
      <c r="G9129" s="58">
        <f t="shared" ref="G9129:G9192" si="148">F9129-E9129</f>
        <v>-15000</v>
      </c>
      <c r="H9129" s="422" t="s">
        <v>5896</v>
      </c>
    </row>
    <row r="9130" spans="1:8" ht="15" x14ac:dyDescent="0.2">
      <c r="A9130" s="602">
        <v>43962</v>
      </c>
      <c r="B9130" s="122" t="s">
        <v>1400</v>
      </c>
      <c r="C9130" s="174" t="s">
        <v>5652</v>
      </c>
      <c r="D9130" s="812" t="s">
        <v>5905</v>
      </c>
      <c r="E9130" s="123">
        <v>23000</v>
      </c>
      <c r="F9130" s="123"/>
      <c r="G9130" s="123">
        <f t="shared" si="148"/>
        <v>-23000</v>
      </c>
      <c r="H9130" s="396" t="s">
        <v>5896</v>
      </c>
    </row>
    <row r="9131" spans="1:8" ht="15" x14ac:dyDescent="0.2">
      <c r="A9131" s="602">
        <v>43962</v>
      </c>
      <c r="B9131" s="122" t="s">
        <v>5641</v>
      </c>
      <c r="C9131" s="174" t="s">
        <v>3884</v>
      </c>
      <c r="D9131" s="812" t="s">
        <v>5906</v>
      </c>
      <c r="E9131" s="123">
        <v>58000</v>
      </c>
      <c r="F9131" s="123"/>
      <c r="G9131" s="123">
        <f t="shared" si="148"/>
        <v>-58000</v>
      </c>
      <c r="H9131" s="396" t="s">
        <v>5896</v>
      </c>
    </row>
    <row r="9132" spans="1:8" ht="15" x14ac:dyDescent="0.2">
      <c r="A9132" s="602">
        <v>43962</v>
      </c>
      <c r="B9132" s="122" t="s">
        <v>5641</v>
      </c>
      <c r="C9132" s="174" t="s">
        <v>3884</v>
      </c>
      <c r="D9132" s="812" t="s">
        <v>5907</v>
      </c>
      <c r="E9132" s="123">
        <v>20000</v>
      </c>
      <c r="F9132" s="123"/>
      <c r="G9132" s="123">
        <f t="shared" si="148"/>
        <v>-20000</v>
      </c>
      <c r="H9132" s="396" t="s">
        <v>5896</v>
      </c>
    </row>
    <row r="9133" spans="1:8" ht="15" x14ac:dyDescent="0.2">
      <c r="A9133" s="602">
        <v>43962</v>
      </c>
      <c r="B9133" s="122" t="s">
        <v>1400</v>
      </c>
      <c r="C9133" s="174" t="s">
        <v>4988</v>
      </c>
      <c r="D9133" s="812" t="s">
        <v>5904</v>
      </c>
      <c r="E9133" s="123">
        <v>200000</v>
      </c>
      <c r="F9133" s="123"/>
      <c r="G9133" s="123">
        <f t="shared" si="148"/>
        <v>-200000</v>
      </c>
      <c r="H9133" s="396" t="s">
        <v>5896</v>
      </c>
    </row>
    <row r="9134" spans="1:8" ht="15.75" thickBot="1" x14ac:dyDescent="0.25">
      <c r="A9134" s="602">
        <v>43962</v>
      </c>
      <c r="B9134" s="122" t="s">
        <v>2652</v>
      </c>
      <c r="C9134" s="174" t="s">
        <v>4870</v>
      </c>
      <c r="D9134" s="849" t="s">
        <v>5903</v>
      </c>
      <c r="E9134" s="155">
        <v>54000</v>
      </c>
      <c r="F9134" s="123"/>
      <c r="G9134" s="123">
        <f t="shared" si="148"/>
        <v>-54000</v>
      </c>
      <c r="H9134" s="396" t="s">
        <v>5896</v>
      </c>
    </row>
    <row r="9135" spans="1:8" ht="15" x14ac:dyDescent="0.2">
      <c r="A9135" s="602">
        <v>43964</v>
      </c>
      <c r="B9135" s="122" t="s">
        <v>5746</v>
      </c>
      <c r="C9135" s="436" t="s">
        <v>5681</v>
      </c>
      <c r="D9135" s="850" t="s">
        <v>5908</v>
      </c>
      <c r="E9135" s="385">
        <v>50000</v>
      </c>
      <c r="F9135" s="381"/>
      <c r="G9135" s="123">
        <f t="shared" si="148"/>
        <v>-50000</v>
      </c>
      <c r="H9135" s="396" t="s">
        <v>5896</v>
      </c>
    </row>
    <row r="9136" spans="1:8" ht="15" x14ac:dyDescent="0.2">
      <c r="A9136" s="602">
        <v>43964</v>
      </c>
      <c r="B9136" s="122" t="s">
        <v>5604</v>
      </c>
      <c r="C9136" s="436" t="s">
        <v>5681</v>
      </c>
      <c r="D9136" s="851" t="s">
        <v>5908</v>
      </c>
      <c r="E9136" s="387">
        <v>38000</v>
      </c>
      <c r="F9136" s="381"/>
      <c r="G9136" s="123">
        <f t="shared" si="148"/>
        <v>-38000</v>
      </c>
      <c r="H9136" s="396" t="s">
        <v>5896</v>
      </c>
    </row>
    <row r="9137" spans="1:8" ht="15" x14ac:dyDescent="0.2">
      <c r="A9137" s="602">
        <v>43964</v>
      </c>
      <c r="B9137" s="122" t="s">
        <v>1400</v>
      </c>
      <c r="C9137" s="436" t="s">
        <v>5681</v>
      </c>
      <c r="D9137" s="851" t="s">
        <v>5908</v>
      </c>
      <c r="E9137" s="387">
        <v>20000</v>
      </c>
      <c r="F9137" s="381"/>
      <c r="G9137" s="123">
        <f t="shared" si="148"/>
        <v>-20000</v>
      </c>
      <c r="H9137" s="396" t="s">
        <v>5896</v>
      </c>
    </row>
    <row r="9138" spans="1:8" ht="15.75" thickBot="1" x14ac:dyDescent="0.25">
      <c r="A9138" s="604">
        <v>43964</v>
      </c>
      <c r="B9138" s="154" t="s">
        <v>5641</v>
      </c>
      <c r="C9138" s="437" t="s">
        <v>5681</v>
      </c>
      <c r="D9138" s="852" t="s">
        <v>5909</v>
      </c>
      <c r="E9138" s="389">
        <v>42000</v>
      </c>
      <c r="F9138" s="395"/>
      <c r="G9138" s="155">
        <f t="shared" si="148"/>
        <v>-42000</v>
      </c>
      <c r="H9138" s="396" t="s">
        <v>5896</v>
      </c>
    </row>
    <row r="9139" spans="1:8" ht="24" x14ac:dyDescent="0.2">
      <c r="A9139" s="602">
        <v>43965</v>
      </c>
      <c r="B9139" s="122" t="s">
        <v>1400</v>
      </c>
      <c r="C9139" s="174" t="s">
        <v>5910</v>
      </c>
      <c r="D9139" s="157" t="s">
        <v>5911</v>
      </c>
      <c r="E9139" s="158">
        <v>50000</v>
      </c>
      <c r="F9139" s="123"/>
      <c r="G9139" s="123">
        <f t="shared" si="148"/>
        <v>-50000</v>
      </c>
      <c r="H9139" s="396" t="s">
        <v>5896</v>
      </c>
    </row>
    <row r="9140" spans="1:8" ht="15.75" thickBot="1" x14ac:dyDescent="0.25">
      <c r="A9140" s="602">
        <v>43965</v>
      </c>
      <c r="B9140" s="122" t="s">
        <v>1400</v>
      </c>
      <c r="C9140" s="174" t="s">
        <v>4331</v>
      </c>
      <c r="D9140" s="808" t="s">
        <v>5914</v>
      </c>
      <c r="E9140" s="155">
        <v>25000</v>
      </c>
      <c r="F9140" s="123"/>
      <c r="G9140" s="123">
        <f t="shared" si="148"/>
        <v>-25000</v>
      </c>
      <c r="H9140" s="396" t="s">
        <v>5896</v>
      </c>
    </row>
    <row r="9141" spans="1:8" ht="15" x14ac:dyDescent="0.2">
      <c r="A9141" s="602">
        <v>43965</v>
      </c>
      <c r="B9141" s="156" t="s">
        <v>2652</v>
      </c>
      <c r="C9141" s="438" t="s">
        <v>5912</v>
      </c>
      <c r="D9141" s="853" t="s">
        <v>5913</v>
      </c>
      <c r="E9141" s="385">
        <v>5000</v>
      </c>
      <c r="F9141" s="439"/>
      <c r="G9141" s="158">
        <f t="shared" si="148"/>
        <v>-5000</v>
      </c>
      <c r="H9141" s="396" t="s">
        <v>5896</v>
      </c>
    </row>
    <row r="9142" spans="1:8" ht="15.75" thickBot="1" x14ac:dyDescent="0.25">
      <c r="A9142" s="602">
        <v>43965</v>
      </c>
      <c r="B9142" s="156" t="s">
        <v>2652</v>
      </c>
      <c r="C9142" s="438" t="s">
        <v>5912</v>
      </c>
      <c r="D9142" s="854" t="s">
        <v>5915</v>
      </c>
      <c r="E9142" s="440">
        <v>25000</v>
      </c>
      <c r="F9142" s="439"/>
      <c r="G9142" s="158">
        <f t="shared" si="148"/>
        <v>-25000</v>
      </c>
      <c r="H9142" s="396" t="s">
        <v>5896</v>
      </c>
    </row>
    <row r="9143" spans="1:8" ht="24.75" thickBot="1" x14ac:dyDescent="0.25">
      <c r="A9143" s="602">
        <v>43967</v>
      </c>
      <c r="B9143" s="156" t="s">
        <v>1400</v>
      </c>
      <c r="C9143" s="240" t="s">
        <v>3145</v>
      </c>
      <c r="D9143" s="832" t="s">
        <v>5916</v>
      </c>
      <c r="E9143" s="383">
        <v>45000</v>
      </c>
      <c r="F9143" s="158"/>
      <c r="G9143" s="158">
        <f t="shared" si="148"/>
        <v>-45000</v>
      </c>
      <c r="H9143" s="396" t="s">
        <v>5896</v>
      </c>
    </row>
    <row r="9144" spans="1:8" ht="15" x14ac:dyDescent="0.2">
      <c r="A9144" s="602">
        <v>43970</v>
      </c>
      <c r="B9144" s="156" t="s">
        <v>5811</v>
      </c>
      <c r="C9144" s="438" t="s">
        <v>705</v>
      </c>
      <c r="D9144" s="853" t="s">
        <v>5917</v>
      </c>
      <c r="E9144" s="385">
        <v>100000</v>
      </c>
      <c r="F9144" s="439"/>
      <c r="G9144" s="158">
        <f t="shared" si="148"/>
        <v>-100000</v>
      </c>
      <c r="H9144" s="396" t="s">
        <v>5896</v>
      </c>
    </row>
    <row r="9145" spans="1:8" ht="15" x14ac:dyDescent="0.2">
      <c r="A9145" s="602">
        <v>43970</v>
      </c>
      <c r="B9145" s="156" t="s">
        <v>5544</v>
      </c>
      <c r="C9145" s="438" t="s">
        <v>705</v>
      </c>
      <c r="D9145" s="855" t="s">
        <v>5917</v>
      </c>
      <c r="E9145" s="441">
        <v>5950</v>
      </c>
      <c r="F9145" s="439"/>
      <c r="G9145" s="158">
        <f t="shared" si="148"/>
        <v>-5950</v>
      </c>
      <c r="H9145" s="396" t="s">
        <v>5896</v>
      </c>
    </row>
    <row r="9146" spans="1:8" ht="15.75" thickBot="1" x14ac:dyDescent="0.25">
      <c r="A9146" s="602">
        <v>43970</v>
      </c>
      <c r="B9146" s="156" t="s">
        <v>5227</v>
      </c>
      <c r="C9146" s="438" t="s">
        <v>705</v>
      </c>
      <c r="D9146" s="854" t="s">
        <v>5917</v>
      </c>
      <c r="E9146" s="440">
        <v>44050</v>
      </c>
      <c r="F9146" s="439"/>
      <c r="G9146" s="158">
        <f t="shared" si="148"/>
        <v>-44050</v>
      </c>
      <c r="H9146" s="396" t="s">
        <v>5896</v>
      </c>
    </row>
    <row r="9147" spans="1:8" ht="24.75" thickBot="1" x14ac:dyDescent="0.25">
      <c r="A9147" s="602">
        <v>43970</v>
      </c>
      <c r="B9147" s="156" t="s">
        <v>1400</v>
      </c>
      <c r="C9147" s="240" t="s">
        <v>2310</v>
      </c>
      <c r="D9147" s="856" t="s">
        <v>5918</v>
      </c>
      <c r="E9147" s="445">
        <v>312244</v>
      </c>
      <c r="F9147" s="439"/>
      <c r="G9147" s="158">
        <f t="shared" si="148"/>
        <v>-312244</v>
      </c>
      <c r="H9147" s="396" t="s">
        <v>5896</v>
      </c>
    </row>
    <row r="9148" spans="1:8" ht="24.75" thickBot="1" x14ac:dyDescent="0.25">
      <c r="A9148" s="602">
        <v>43970</v>
      </c>
      <c r="B9148" s="156" t="s">
        <v>2652</v>
      </c>
      <c r="C9148" s="240" t="s">
        <v>1803</v>
      </c>
      <c r="D9148" s="856" t="s">
        <v>6002</v>
      </c>
      <c r="E9148" s="445">
        <v>500000</v>
      </c>
      <c r="F9148" s="439"/>
      <c r="G9148" s="158">
        <f t="shared" si="148"/>
        <v>-500000</v>
      </c>
      <c r="H9148" s="396" t="s">
        <v>5896</v>
      </c>
    </row>
    <row r="9149" spans="1:8" ht="48.75" thickBot="1" x14ac:dyDescent="0.25">
      <c r="A9149" s="602">
        <v>43970</v>
      </c>
      <c r="B9149" s="156" t="s">
        <v>1400</v>
      </c>
      <c r="C9149" s="240" t="s">
        <v>6001</v>
      </c>
      <c r="D9149" s="856" t="s">
        <v>6003</v>
      </c>
      <c r="E9149" s="445">
        <v>15000</v>
      </c>
      <c r="F9149" s="439"/>
      <c r="G9149" s="158">
        <f t="shared" si="148"/>
        <v>-15000</v>
      </c>
      <c r="H9149" s="396" t="s">
        <v>5896</v>
      </c>
    </row>
    <row r="9150" spans="1:8" ht="15.75" thickBot="1" x14ac:dyDescent="0.25">
      <c r="A9150" s="602">
        <v>43970</v>
      </c>
      <c r="B9150" s="156" t="s">
        <v>1400</v>
      </c>
      <c r="C9150" s="240" t="s">
        <v>166</v>
      </c>
      <c r="D9150" s="856" t="s">
        <v>5917</v>
      </c>
      <c r="E9150" s="445">
        <v>100000</v>
      </c>
      <c r="F9150" s="439"/>
      <c r="G9150" s="158">
        <f t="shared" si="148"/>
        <v>-100000</v>
      </c>
      <c r="H9150" s="396" t="s">
        <v>5896</v>
      </c>
    </row>
    <row r="9151" spans="1:8" ht="15" x14ac:dyDescent="0.2">
      <c r="A9151" s="602">
        <v>43970</v>
      </c>
      <c r="B9151" s="156" t="s">
        <v>2652</v>
      </c>
      <c r="C9151" s="240" t="s">
        <v>5187</v>
      </c>
      <c r="D9151" s="157" t="s">
        <v>5919</v>
      </c>
      <c r="E9151" s="158">
        <v>40000</v>
      </c>
      <c r="F9151" s="158"/>
      <c r="G9151" s="158">
        <f t="shared" si="148"/>
        <v>-40000</v>
      </c>
      <c r="H9151" s="396" t="s">
        <v>5896</v>
      </c>
    </row>
    <row r="9152" spans="1:8" ht="15" x14ac:dyDescent="0.2">
      <c r="A9152" s="602">
        <v>43970</v>
      </c>
      <c r="B9152" s="156" t="s">
        <v>2933</v>
      </c>
      <c r="C9152" s="240" t="s">
        <v>5187</v>
      </c>
      <c r="D9152" s="157" t="s">
        <v>5920</v>
      </c>
      <c r="E9152" s="158">
        <v>100000</v>
      </c>
      <c r="F9152" s="158"/>
      <c r="G9152" s="158">
        <f t="shared" si="148"/>
        <v>-100000</v>
      </c>
      <c r="H9152" s="396" t="s">
        <v>5896</v>
      </c>
    </row>
    <row r="9153" spans="1:8" ht="15" x14ac:dyDescent="0.2">
      <c r="A9153" s="602">
        <v>43970</v>
      </c>
      <c r="B9153" s="156" t="s">
        <v>1400</v>
      </c>
      <c r="C9153" s="240" t="s">
        <v>2386</v>
      </c>
      <c r="D9153" s="157" t="s">
        <v>1157</v>
      </c>
      <c r="E9153" s="158">
        <v>100000</v>
      </c>
      <c r="F9153" s="158"/>
      <c r="G9153" s="158">
        <f t="shared" si="148"/>
        <v>-100000</v>
      </c>
      <c r="H9153" s="396" t="s">
        <v>5896</v>
      </c>
    </row>
    <row r="9154" spans="1:8" ht="15.75" thickBot="1" x14ac:dyDescent="0.25">
      <c r="A9154" s="602">
        <v>43970</v>
      </c>
      <c r="B9154" s="156" t="s">
        <v>5746</v>
      </c>
      <c r="C9154" s="240" t="s">
        <v>5593</v>
      </c>
      <c r="D9154" s="832" t="s">
        <v>5921</v>
      </c>
      <c r="E9154" s="383">
        <v>80000</v>
      </c>
      <c r="F9154" s="158"/>
      <c r="G9154" s="158">
        <f t="shared" si="148"/>
        <v>-80000</v>
      </c>
      <c r="H9154" s="396" t="s">
        <v>5896</v>
      </c>
    </row>
    <row r="9155" spans="1:8" ht="15" x14ac:dyDescent="0.2">
      <c r="A9155" s="602">
        <v>43970</v>
      </c>
      <c r="B9155" s="156" t="s">
        <v>1400</v>
      </c>
      <c r="C9155" s="438" t="s">
        <v>2515</v>
      </c>
      <c r="D9155" s="853" t="s">
        <v>6011</v>
      </c>
      <c r="E9155" s="385">
        <v>150000</v>
      </c>
      <c r="F9155" s="439"/>
      <c r="G9155" s="158">
        <f t="shared" si="148"/>
        <v>-150000</v>
      </c>
      <c r="H9155" s="396" t="s">
        <v>5896</v>
      </c>
    </row>
    <row r="9156" spans="1:8" ht="15" x14ac:dyDescent="0.2">
      <c r="A9156" s="602">
        <v>43970</v>
      </c>
      <c r="B9156" s="156" t="s">
        <v>1400</v>
      </c>
      <c r="C9156" s="438" t="s">
        <v>2515</v>
      </c>
      <c r="D9156" s="855" t="s">
        <v>5922</v>
      </c>
      <c r="E9156" s="441">
        <v>104000</v>
      </c>
      <c r="F9156" s="439"/>
      <c r="G9156" s="158">
        <f t="shared" si="148"/>
        <v>-104000</v>
      </c>
      <c r="H9156" s="396" t="s">
        <v>5896</v>
      </c>
    </row>
    <row r="9157" spans="1:8" ht="15.75" thickBot="1" x14ac:dyDescent="0.25">
      <c r="A9157" s="602">
        <v>43970</v>
      </c>
      <c r="B9157" s="156" t="s">
        <v>1400</v>
      </c>
      <c r="C9157" s="438" t="s">
        <v>2515</v>
      </c>
      <c r="D9157" s="854" t="s">
        <v>5923</v>
      </c>
      <c r="E9157" s="440">
        <v>20000</v>
      </c>
      <c r="F9157" s="439"/>
      <c r="G9157" s="158">
        <f t="shared" si="148"/>
        <v>-20000</v>
      </c>
      <c r="H9157" s="396" t="s">
        <v>5896</v>
      </c>
    </row>
    <row r="9158" spans="1:8" ht="15" x14ac:dyDescent="0.2">
      <c r="A9158" s="602">
        <v>43972</v>
      </c>
      <c r="B9158" s="156" t="s">
        <v>3946</v>
      </c>
      <c r="C9158" s="438" t="s">
        <v>3003</v>
      </c>
      <c r="D9158" s="853" t="s">
        <v>1157</v>
      </c>
      <c r="E9158" s="385">
        <v>15080</v>
      </c>
      <c r="F9158" s="439"/>
      <c r="G9158" s="158">
        <f t="shared" si="148"/>
        <v>-15080</v>
      </c>
      <c r="H9158" s="396" t="s">
        <v>5896</v>
      </c>
    </row>
    <row r="9159" spans="1:8" ht="15" x14ac:dyDescent="0.2">
      <c r="A9159" s="602">
        <v>43972</v>
      </c>
      <c r="B9159" s="174" t="s">
        <v>6516</v>
      </c>
      <c r="C9159" s="438" t="s">
        <v>3003</v>
      </c>
      <c r="D9159" s="855" t="s">
        <v>1157</v>
      </c>
      <c r="E9159" s="441">
        <v>60743</v>
      </c>
      <c r="F9159" s="439"/>
      <c r="G9159" s="158">
        <f t="shared" si="148"/>
        <v>-60743</v>
      </c>
      <c r="H9159" s="396" t="s">
        <v>5896</v>
      </c>
    </row>
    <row r="9160" spans="1:8" ht="15.75" thickBot="1" x14ac:dyDescent="0.25">
      <c r="A9160" s="602">
        <v>43972</v>
      </c>
      <c r="B9160" s="156" t="s">
        <v>37</v>
      </c>
      <c r="C9160" s="438" t="s">
        <v>3003</v>
      </c>
      <c r="D9160" s="854" t="s">
        <v>1157</v>
      </c>
      <c r="E9160" s="440">
        <v>12960</v>
      </c>
      <c r="F9160" s="439"/>
      <c r="G9160" s="158">
        <f t="shared" si="148"/>
        <v>-12960</v>
      </c>
      <c r="H9160" s="396" t="s">
        <v>5896</v>
      </c>
    </row>
    <row r="9161" spans="1:8" ht="24" x14ac:dyDescent="0.2">
      <c r="A9161" s="602">
        <v>43982</v>
      </c>
      <c r="B9161" s="156" t="s">
        <v>1400</v>
      </c>
      <c r="C9161" s="438" t="s">
        <v>5956</v>
      </c>
      <c r="D9161" s="157" t="s">
        <v>5926</v>
      </c>
      <c r="E9161" s="158">
        <v>100000</v>
      </c>
      <c r="F9161" s="439"/>
      <c r="G9161" s="158">
        <f t="shared" si="148"/>
        <v>-100000</v>
      </c>
      <c r="H9161" s="396" t="s">
        <v>5896</v>
      </c>
    </row>
    <row r="9162" spans="1:8" ht="15" x14ac:dyDescent="0.2">
      <c r="A9162" s="602">
        <v>43982</v>
      </c>
      <c r="B9162" s="156" t="s">
        <v>2652</v>
      </c>
      <c r="C9162" s="438" t="s">
        <v>4870</v>
      </c>
      <c r="D9162" s="118" t="s">
        <v>5927</v>
      </c>
      <c r="E9162" s="123">
        <v>73200</v>
      </c>
      <c r="F9162" s="439"/>
      <c r="G9162" s="158">
        <f t="shared" si="148"/>
        <v>-73200</v>
      </c>
      <c r="H9162" s="396" t="s">
        <v>5896</v>
      </c>
    </row>
    <row r="9163" spans="1:8" ht="15" x14ac:dyDescent="0.2">
      <c r="A9163" s="602">
        <v>43982</v>
      </c>
      <c r="B9163" s="156" t="s">
        <v>1400</v>
      </c>
      <c r="C9163" s="438" t="s">
        <v>4684</v>
      </c>
      <c r="D9163" s="157" t="s">
        <v>5948</v>
      </c>
      <c r="E9163" s="123">
        <v>100000</v>
      </c>
      <c r="F9163" s="439"/>
      <c r="G9163" s="158">
        <f t="shared" si="148"/>
        <v>-100000</v>
      </c>
      <c r="H9163" s="396" t="s">
        <v>5896</v>
      </c>
    </row>
    <row r="9164" spans="1:8" ht="24" x14ac:dyDescent="0.2">
      <c r="A9164" s="602">
        <v>43982</v>
      </c>
      <c r="B9164" s="156" t="s">
        <v>1400</v>
      </c>
      <c r="C9164" s="438" t="s">
        <v>5910</v>
      </c>
      <c r="D9164" s="157" t="s">
        <v>5928</v>
      </c>
      <c r="E9164" s="123">
        <v>50000</v>
      </c>
      <c r="F9164" s="439"/>
      <c r="G9164" s="158">
        <f t="shared" si="148"/>
        <v>-50000</v>
      </c>
      <c r="H9164" s="396" t="s">
        <v>5896</v>
      </c>
    </row>
    <row r="9165" spans="1:8" ht="15" x14ac:dyDescent="0.2">
      <c r="A9165" s="613">
        <v>43953</v>
      </c>
      <c r="B9165" s="238" t="s">
        <v>2652</v>
      </c>
      <c r="C9165" s="262" t="s">
        <v>559</v>
      </c>
      <c r="D9165" s="839" t="s">
        <v>9150</v>
      </c>
      <c r="E9165" s="239"/>
      <c r="F9165" s="239">
        <v>800000</v>
      </c>
      <c r="G9165" s="239">
        <f t="shared" si="148"/>
        <v>800000</v>
      </c>
      <c r="H9165" s="428" t="s">
        <v>5896</v>
      </c>
    </row>
    <row r="9166" spans="1:8" ht="24" x14ac:dyDescent="0.2">
      <c r="A9166" s="613">
        <v>43970</v>
      </c>
      <c r="B9166" s="91" t="s">
        <v>4721</v>
      </c>
      <c r="C9166" s="91" t="s">
        <v>559</v>
      </c>
      <c r="D9166" s="798" t="s">
        <v>9151</v>
      </c>
      <c r="E9166" s="92"/>
      <c r="F9166" s="92">
        <v>312244</v>
      </c>
      <c r="G9166" s="239">
        <f t="shared" si="148"/>
        <v>312244</v>
      </c>
      <c r="H9166" s="428" t="s">
        <v>5896</v>
      </c>
    </row>
    <row r="9167" spans="1:8" ht="24" x14ac:dyDescent="0.2">
      <c r="A9167" s="613">
        <v>43970</v>
      </c>
      <c r="B9167" s="91" t="s">
        <v>4721</v>
      </c>
      <c r="C9167" s="91" t="s">
        <v>559</v>
      </c>
      <c r="D9167" s="798" t="s">
        <v>9152</v>
      </c>
      <c r="E9167" s="92"/>
      <c r="F9167" s="92">
        <v>500000</v>
      </c>
      <c r="G9167" s="239">
        <f t="shared" si="148"/>
        <v>500000</v>
      </c>
      <c r="H9167" s="428" t="s">
        <v>5896</v>
      </c>
    </row>
    <row r="9168" spans="1:8" ht="15" x14ac:dyDescent="0.2">
      <c r="A9168" s="613">
        <v>43970</v>
      </c>
      <c r="B9168" s="91" t="s">
        <v>4721</v>
      </c>
      <c r="C9168" s="91" t="s">
        <v>559</v>
      </c>
      <c r="D9168" s="798" t="s">
        <v>9153</v>
      </c>
      <c r="E9168" s="92"/>
      <c r="F9168" s="92">
        <v>100000</v>
      </c>
      <c r="G9168" s="239">
        <f t="shared" si="148"/>
        <v>100000</v>
      </c>
      <c r="H9168" s="428" t="s">
        <v>5896</v>
      </c>
    </row>
    <row r="9169" spans="1:8" ht="15" x14ac:dyDescent="0.2">
      <c r="A9169" s="613">
        <v>43970</v>
      </c>
      <c r="B9169" s="91" t="s">
        <v>4721</v>
      </c>
      <c r="C9169" s="91" t="s">
        <v>559</v>
      </c>
      <c r="D9169" s="798" t="s">
        <v>9154</v>
      </c>
      <c r="E9169" s="92"/>
      <c r="F9169" s="92">
        <v>150000</v>
      </c>
      <c r="G9169" s="92">
        <f t="shared" si="148"/>
        <v>150000</v>
      </c>
      <c r="H9169" s="428" t="s">
        <v>5896</v>
      </c>
    </row>
    <row r="9170" spans="1:8" ht="15" x14ac:dyDescent="0.2">
      <c r="A9170" s="613">
        <v>43970</v>
      </c>
      <c r="B9170" s="91" t="s">
        <v>4721</v>
      </c>
      <c r="C9170" s="91" t="s">
        <v>559</v>
      </c>
      <c r="D9170" s="801" t="s">
        <v>9155</v>
      </c>
      <c r="E9170" s="92"/>
      <c r="F9170" s="92">
        <v>98334</v>
      </c>
      <c r="G9170" s="92">
        <f t="shared" si="148"/>
        <v>98334</v>
      </c>
      <c r="H9170" s="428" t="s">
        <v>5896</v>
      </c>
    </row>
    <row r="9171" spans="1:8" ht="15" x14ac:dyDescent="0.2">
      <c r="A9171" s="613">
        <v>43980</v>
      </c>
      <c r="B9171" s="91" t="s">
        <v>4553</v>
      </c>
      <c r="C9171" s="91" t="s">
        <v>559</v>
      </c>
      <c r="D9171" s="801" t="s">
        <v>5924</v>
      </c>
      <c r="E9171" s="92"/>
      <c r="F9171" s="92">
        <v>200000</v>
      </c>
      <c r="G9171" s="92">
        <f t="shared" si="148"/>
        <v>200000</v>
      </c>
      <c r="H9171" s="428" t="s">
        <v>5896</v>
      </c>
    </row>
    <row r="9172" spans="1:8" ht="15" x14ac:dyDescent="0.2">
      <c r="A9172" s="613">
        <v>43970</v>
      </c>
      <c r="B9172" s="91" t="s">
        <v>2933</v>
      </c>
      <c r="C9172" s="91" t="s">
        <v>559</v>
      </c>
      <c r="D9172" s="801" t="s">
        <v>5925</v>
      </c>
      <c r="E9172" s="92"/>
      <c r="F9172" s="92">
        <v>5902367</v>
      </c>
      <c r="G9172" s="92">
        <f t="shared" si="148"/>
        <v>5902367</v>
      </c>
      <c r="H9172" s="428" t="s">
        <v>5896</v>
      </c>
    </row>
    <row r="9173" spans="1:8" ht="15" x14ac:dyDescent="0.2">
      <c r="A9173" s="597">
        <v>43983</v>
      </c>
      <c r="B9173" s="41" t="s">
        <v>25</v>
      </c>
      <c r="C9173" s="223" t="s">
        <v>551</v>
      </c>
      <c r="D9173" s="806" t="s">
        <v>72</v>
      </c>
      <c r="E9173" s="247">
        <v>23750</v>
      </c>
      <c r="F9173" s="58"/>
      <c r="G9173" s="58">
        <f t="shared" si="148"/>
        <v>-23750</v>
      </c>
      <c r="H9173" s="422" t="s">
        <v>5940</v>
      </c>
    </row>
    <row r="9174" spans="1:8" ht="15" x14ac:dyDescent="0.2">
      <c r="A9174" s="597">
        <v>43984</v>
      </c>
      <c r="B9174" s="41" t="s">
        <v>5604</v>
      </c>
      <c r="C9174" s="223" t="s">
        <v>2190</v>
      </c>
      <c r="D9174" s="806"/>
      <c r="E9174" s="247">
        <v>650</v>
      </c>
      <c r="F9174" s="58"/>
      <c r="G9174" s="58">
        <f t="shared" si="148"/>
        <v>-650</v>
      </c>
      <c r="H9174" s="422" t="s">
        <v>5940</v>
      </c>
    </row>
    <row r="9175" spans="1:8" ht="15" x14ac:dyDescent="0.2">
      <c r="A9175" s="597">
        <v>43987</v>
      </c>
      <c r="B9175" s="41" t="s">
        <v>4553</v>
      </c>
      <c r="C9175" s="223" t="s">
        <v>3145</v>
      </c>
      <c r="D9175" s="806" t="s">
        <v>4966</v>
      </c>
      <c r="E9175" s="247">
        <v>5280</v>
      </c>
      <c r="F9175" s="58"/>
      <c r="G9175" s="58">
        <f t="shared" si="148"/>
        <v>-5280</v>
      </c>
      <c r="H9175" s="422" t="s">
        <v>5940</v>
      </c>
    </row>
    <row r="9176" spans="1:8" ht="15" x14ac:dyDescent="0.2">
      <c r="A9176" s="597">
        <v>43987</v>
      </c>
      <c r="B9176" s="41" t="s">
        <v>2652</v>
      </c>
      <c r="C9176" s="223" t="s">
        <v>3145</v>
      </c>
      <c r="D9176" s="806" t="s">
        <v>5944</v>
      </c>
      <c r="E9176" s="247">
        <v>6000</v>
      </c>
      <c r="F9176" s="58"/>
      <c r="G9176" s="58">
        <f t="shared" si="148"/>
        <v>-6000</v>
      </c>
      <c r="H9176" s="422" t="s">
        <v>5940</v>
      </c>
    </row>
    <row r="9177" spans="1:8" ht="15" x14ac:dyDescent="0.2">
      <c r="A9177" s="597">
        <v>43987</v>
      </c>
      <c r="B9177" s="41" t="s">
        <v>4553</v>
      </c>
      <c r="C9177" s="223" t="s">
        <v>5945</v>
      </c>
      <c r="D9177" s="806" t="s">
        <v>5946</v>
      </c>
      <c r="E9177" s="247">
        <v>2500</v>
      </c>
      <c r="F9177" s="58"/>
      <c r="G9177" s="58">
        <f t="shared" si="148"/>
        <v>-2500</v>
      </c>
      <c r="H9177" s="422" t="s">
        <v>5940</v>
      </c>
    </row>
    <row r="9178" spans="1:8" ht="15" x14ac:dyDescent="0.2">
      <c r="A9178" s="597">
        <v>43987</v>
      </c>
      <c r="B9178" s="41" t="s">
        <v>5811</v>
      </c>
      <c r="C9178" s="223" t="s">
        <v>3145</v>
      </c>
      <c r="D9178" s="806" t="s">
        <v>5947</v>
      </c>
      <c r="E9178" s="247">
        <v>2000</v>
      </c>
      <c r="F9178" s="58"/>
      <c r="G9178" s="58">
        <f t="shared" si="148"/>
        <v>-2000</v>
      </c>
      <c r="H9178" s="422" t="s">
        <v>5940</v>
      </c>
    </row>
    <row r="9179" spans="1:8" ht="15" x14ac:dyDescent="0.2">
      <c r="A9179" s="597">
        <v>43991</v>
      </c>
      <c r="B9179" s="41" t="s">
        <v>1400</v>
      </c>
      <c r="C9179" s="223" t="s">
        <v>3033</v>
      </c>
      <c r="D9179" s="806" t="s">
        <v>370</v>
      </c>
      <c r="E9179" s="247">
        <v>2000</v>
      </c>
      <c r="F9179" s="58"/>
      <c r="G9179" s="58">
        <f t="shared" si="148"/>
        <v>-2000</v>
      </c>
      <c r="H9179" s="422" t="s">
        <v>5940</v>
      </c>
    </row>
    <row r="9180" spans="1:8" ht="15" x14ac:dyDescent="0.2">
      <c r="A9180" s="597">
        <v>43991</v>
      </c>
      <c r="B9180" s="41" t="s">
        <v>16</v>
      </c>
      <c r="C9180" s="223" t="s">
        <v>3364</v>
      </c>
      <c r="D9180" s="806" t="s">
        <v>370</v>
      </c>
      <c r="E9180" s="247">
        <v>4371</v>
      </c>
      <c r="F9180" s="58"/>
      <c r="G9180" s="58">
        <f t="shared" si="148"/>
        <v>-4371</v>
      </c>
      <c r="H9180" s="422" t="s">
        <v>5940</v>
      </c>
    </row>
    <row r="9181" spans="1:8" ht="15" x14ac:dyDescent="0.2">
      <c r="A9181" s="597">
        <v>43991</v>
      </c>
      <c r="B9181" s="41" t="s">
        <v>1400</v>
      </c>
      <c r="C9181" s="223" t="s">
        <v>1391</v>
      </c>
      <c r="D9181" s="806" t="s">
        <v>5953</v>
      </c>
      <c r="E9181" s="247">
        <v>640</v>
      </c>
      <c r="F9181" s="58"/>
      <c r="G9181" s="58">
        <f t="shared" si="148"/>
        <v>-640</v>
      </c>
      <c r="H9181" s="422" t="s">
        <v>5940</v>
      </c>
    </row>
    <row r="9182" spans="1:8" ht="15" x14ac:dyDescent="0.2">
      <c r="A9182" s="597">
        <v>43992</v>
      </c>
      <c r="B9182" s="41" t="s">
        <v>1400</v>
      </c>
      <c r="C9182" s="223" t="s">
        <v>3033</v>
      </c>
      <c r="D9182" s="806" t="s">
        <v>370</v>
      </c>
      <c r="E9182" s="247">
        <v>2000</v>
      </c>
      <c r="F9182" s="58"/>
      <c r="G9182" s="58">
        <f t="shared" si="148"/>
        <v>-2000</v>
      </c>
      <c r="H9182" s="422" t="s">
        <v>5940</v>
      </c>
    </row>
    <row r="9183" spans="1:8" ht="15" x14ac:dyDescent="0.2">
      <c r="A9183" s="597">
        <v>43992</v>
      </c>
      <c r="B9183" s="41" t="s">
        <v>5604</v>
      </c>
      <c r="C9183" s="223" t="s">
        <v>3145</v>
      </c>
      <c r="D9183" s="806" t="s">
        <v>4535</v>
      </c>
      <c r="E9183" s="247">
        <v>5085</v>
      </c>
      <c r="F9183" s="58"/>
      <c r="G9183" s="58">
        <f t="shared" si="148"/>
        <v>-5085</v>
      </c>
      <c r="H9183" s="422" t="s">
        <v>5940</v>
      </c>
    </row>
    <row r="9184" spans="1:8" ht="15" x14ac:dyDescent="0.2">
      <c r="A9184" s="597">
        <v>43992</v>
      </c>
      <c r="B9184" s="41" t="s">
        <v>5641</v>
      </c>
      <c r="C9184" s="223" t="s">
        <v>3145</v>
      </c>
      <c r="D9184" s="806" t="s">
        <v>4535</v>
      </c>
      <c r="E9184" s="247">
        <v>5085</v>
      </c>
      <c r="F9184" s="58"/>
      <c r="G9184" s="58">
        <f t="shared" si="148"/>
        <v>-5085</v>
      </c>
      <c r="H9184" s="422" t="s">
        <v>5940</v>
      </c>
    </row>
    <row r="9185" spans="1:8" ht="15" x14ac:dyDescent="0.2">
      <c r="A9185" s="597">
        <v>43992</v>
      </c>
      <c r="B9185" s="41" t="s">
        <v>2652</v>
      </c>
      <c r="C9185" s="223" t="s">
        <v>5741</v>
      </c>
      <c r="D9185" s="806" t="s">
        <v>370</v>
      </c>
      <c r="E9185" s="247">
        <v>3000</v>
      </c>
      <c r="F9185" s="58"/>
      <c r="G9185" s="58">
        <f t="shared" si="148"/>
        <v>-3000</v>
      </c>
      <c r="H9185" s="422" t="s">
        <v>5940</v>
      </c>
    </row>
    <row r="9186" spans="1:8" ht="15" x14ac:dyDescent="0.2">
      <c r="A9186" s="597">
        <v>43992</v>
      </c>
      <c r="B9186" s="41" t="s">
        <v>1400</v>
      </c>
      <c r="C9186" s="223" t="s">
        <v>3145</v>
      </c>
      <c r="D9186" s="806" t="s">
        <v>5954</v>
      </c>
      <c r="E9186" s="247">
        <v>66000</v>
      </c>
      <c r="F9186" s="58"/>
      <c r="G9186" s="58">
        <f t="shared" si="148"/>
        <v>-66000</v>
      </c>
      <c r="H9186" s="422" t="s">
        <v>5940</v>
      </c>
    </row>
    <row r="9187" spans="1:8" ht="15" x14ac:dyDescent="0.2">
      <c r="A9187" s="597">
        <v>43992</v>
      </c>
      <c r="B9187" s="41" t="s">
        <v>1400</v>
      </c>
      <c r="C9187" s="223" t="s">
        <v>3145</v>
      </c>
      <c r="D9187" s="806" t="s">
        <v>392</v>
      </c>
      <c r="E9187" s="247">
        <v>1200</v>
      </c>
      <c r="F9187" s="58"/>
      <c r="G9187" s="58">
        <f t="shared" si="148"/>
        <v>-1200</v>
      </c>
      <c r="H9187" s="422" t="s">
        <v>5940</v>
      </c>
    </row>
    <row r="9188" spans="1:8" ht="15" x14ac:dyDescent="0.2">
      <c r="A9188" s="597">
        <v>43997</v>
      </c>
      <c r="B9188" s="41" t="s">
        <v>4553</v>
      </c>
      <c r="C9188" s="223" t="s">
        <v>3145</v>
      </c>
      <c r="D9188" s="806" t="s">
        <v>5384</v>
      </c>
      <c r="E9188" s="247">
        <v>5000</v>
      </c>
      <c r="F9188" s="58"/>
      <c r="G9188" s="58">
        <f t="shared" si="148"/>
        <v>-5000</v>
      </c>
      <c r="H9188" s="422" t="s">
        <v>5940</v>
      </c>
    </row>
    <row r="9189" spans="1:8" ht="15" x14ac:dyDescent="0.2">
      <c r="A9189" s="597">
        <v>43997</v>
      </c>
      <c r="B9189" s="41" t="s">
        <v>2652</v>
      </c>
      <c r="C9189" s="223" t="s">
        <v>286</v>
      </c>
      <c r="D9189" s="806" t="s">
        <v>5384</v>
      </c>
      <c r="E9189" s="247">
        <v>2000</v>
      </c>
      <c r="F9189" s="58"/>
      <c r="G9189" s="58">
        <f t="shared" si="148"/>
        <v>-2000</v>
      </c>
      <c r="H9189" s="422" t="s">
        <v>5940</v>
      </c>
    </row>
    <row r="9190" spans="1:8" ht="15" x14ac:dyDescent="0.2">
      <c r="A9190" s="597">
        <v>43997</v>
      </c>
      <c r="B9190" s="41" t="s">
        <v>4553</v>
      </c>
      <c r="C9190" s="223" t="s">
        <v>3145</v>
      </c>
      <c r="D9190" s="806" t="s">
        <v>5955</v>
      </c>
      <c r="E9190" s="247">
        <v>3500</v>
      </c>
      <c r="F9190" s="58"/>
      <c r="G9190" s="58">
        <f t="shared" si="148"/>
        <v>-3500</v>
      </c>
      <c r="H9190" s="422" t="s">
        <v>5940</v>
      </c>
    </row>
    <row r="9191" spans="1:8" ht="15" x14ac:dyDescent="0.2">
      <c r="A9191" s="597">
        <v>43997</v>
      </c>
      <c r="B9191" s="41" t="s">
        <v>1400</v>
      </c>
      <c r="C9191" s="223" t="s">
        <v>5956</v>
      </c>
      <c r="D9191" s="806" t="s">
        <v>5957</v>
      </c>
      <c r="E9191" s="247">
        <v>100000</v>
      </c>
      <c r="F9191" s="58"/>
      <c r="G9191" s="58">
        <f t="shared" si="148"/>
        <v>-100000</v>
      </c>
      <c r="H9191" s="422" t="s">
        <v>5940</v>
      </c>
    </row>
    <row r="9192" spans="1:8" ht="15" x14ac:dyDescent="0.2">
      <c r="A9192" s="597">
        <v>43998</v>
      </c>
      <c r="B9192" s="41" t="s">
        <v>1400</v>
      </c>
      <c r="C9192" s="223" t="s">
        <v>392</v>
      </c>
      <c r="D9192" s="806" t="s">
        <v>5968</v>
      </c>
      <c r="E9192" s="247">
        <v>600</v>
      </c>
      <c r="F9192" s="58"/>
      <c r="G9192" s="58">
        <f t="shared" si="148"/>
        <v>-600</v>
      </c>
      <c r="H9192" s="422" t="s">
        <v>5940</v>
      </c>
    </row>
    <row r="9193" spans="1:8" ht="15" x14ac:dyDescent="0.2">
      <c r="A9193" s="597">
        <v>43998</v>
      </c>
      <c r="B9193" s="41" t="s">
        <v>25</v>
      </c>
      <c r="C9193" s="223" t="s">
        <v>551</v>
      </c>
      <c r="D9193" s="806" t="s">
        <v>5969</v>
      </c>
      <c r="E9193" s="247">
        <v>10000</v>
      </c>
      <c r="F9193" s="58"/>
      <c r="G9193" s="58">
        <f t="shared" ref="G9193:G9256" si="149">F9193-E9193</f>
        <v>-10000</v>
      </c>
      <c r="H9193" s="422" t="s">
        <v>5940</v>
      </c>
    </row>
    <row r="9194" spans="1:8" ht="15" x14ac:dyDescent="0.2">
      <c r="A9194" s="597">
        <v>43998</v>
      </c>
      <c r="B9194" s="41" t="s">
        <v>25</v>
      </c>
      <c r="C9194" s="223" t="s">
        <v>551</v>
      </c>
      <c r="D9194" s="806" t="s">
        <v>5970</v>
      </c>
      <c r="E9194" s="247">
        <v>13000</v>
      </c>
      <c r="F9194" s="58"/>
      <c r="G9194" s="58">
        <f t="shared" si="149"/>
        <v>-13000</v>
      </c>
      <c r="H9194" s="422" t="s">
        <v>5940</v>
      </c>
    </row>
    <row r="9195" spans="1:8" ht="15" x14ac:dyDescent="0.2">
      <c r="A9195" s="597">
        <v>43999</v>
      </c>
      <c r="B9195" s="41" t="s">
        <v>2652</v>
      </c>
      <c r="C9195" s="223" t="s">
        <v>392</v>
      </c>
      <c r="D9195" s="806" t="s">
        <v>5971</v>
      </c>
      <c r="E9195" s="247">
        <v>5000</v>
      </c>
      <c r="F9195" s="58"/>
      <c r="G9195" s="58">
        <f t="shared" si="149"/>
        <v>-5000</v>
      </c>
      <c r="H9195" s="422" t="s">
        <v>5940</v>
      </c>
    </row>
    <row r="9196" spans="1:8" ht="15" x14ac:dyDescent="0.2">
      <c r="A9196" s="597">
        <v>43999</v>
      </c>
      <c r="B9196" s="41" t="s">
        <v>1400</v>
      </c>
      <c r="C9196" s="223" t="s">
        <v>3145</v>
      </c>
      <c r="D9196" s="806" t="s">
        <v>4450</v>
      </c>
      <c r="E9196" s="247">
        <v>36285</v>
      </c>
      <c r="F9196" s="58"/>
      <c r="G9196" s="58">
        <f t="shared" si="149"/>
        <v>-36285</v>
      </c>
      <c r="H9196" s="422" t="s">
        <v>5940</v>
      </c>
    </row>
    <row r="9197" spans="1:8" ht="15" x14ac:dyDescent="0.2">
      <c r="A9197" s="597">
        <v>43999</v>
      </c>
      <c r="B9197" s="41" t="s">
        <v>16</v>
      </c>
      <c r="C9197" s="223" t="s">
        <v>5410</v>
      </c>
      <c r="D9197" s="806" t="s">
        <v>370</v>
      </c>
      <c r="E9197" s="247">
        <v>5000</v>
      </c>
      <c r="F9197" s="58"/>
      <c r="G9197" s="58">
        <f t="shared" si="149"/>
        <v>-5000</v>
      </c>
      <c r="H9197" s="422" t="s">
        <v>5940</v>
      </c>
    </row>
    <row r="9198" spans="1:8" ht="15" x14ac:dyDescent="0.2">
      <c r="A9198" s="597">
        <v>43999</v>
      </c>
      <c r="B9198" s="41" t="s">
        <v>1400</v>
      </c>
      <c r="C9198" s="223" t="s">
        <v>392</v>
      </c>
      <c r="D9198" s="806" t="s">
        <v>5972</v>
      </c>
      <c r="E9198" s="247">
        <v>880</v>
      </c>
      <c r="F9198" s="58"/>
      <c r="G9198" s="58">
        <f t="shared" si="149"/>
        <v>-880</v>
      </c>
      <c r="H9198" s="422" t="s">
        <v>5940</v>
      </c>
    </row>
    <row r="9199" spans="1:8" ht="15" x14ac:dyDescent="0.2">
      <c r="A9199" s="597">
        <v>44000</v>
      </c>
      <c r="B9199" s="41" t="s">
        <v>16</v>
      </c>
      <c r="C9199" s="223" t="s">
        <v>392</v>
      </c>
      <c r="D9199" s="806" t="s">
        <v>5973</v>
      </c>
      <c r="E9199" s="247">
        <v>2000</v>
      </c>
      <c r="F9199" s="58"/>
      <c r="G9199" s="58">
        <f t="shared" si="149"/>
        <v>-2000</v>
      </c>
      <c r="H9199" s="422" t="s">
        <v>5940</v>
      </c>
    </row>
    <row r="9200" spans="1:8" ht="15" x14ac:dyDescent="0.2">
      <c r="A9200" s="597">
        <v>44002</v>
      </c>
      <c r="B9200" s="41" t="s">
        <v>25</v>
      </c>
      <c r="C9200" s="223" t="s">
        <v>392</v>
      </c>
      <c r="D9200" s="806" t="s">
        <v>5974</v>
      </c>
      <c r="E9200" s="247">
        <v>10000</v>
      </c>
      <c r="F9200" s="58"/>
      <c r="G9200" s="58">
        <f t="shared" si="149"/>
        <v>-10000</v>
      </c>
      <c r="H9200" s="422" t="s">
        <v>5940</v>
      </c>
    </row>
    <row r="9201" spans="1:8" ht="15.75" thickBot="1" x14ac:dyDescent="0.25">
      <c r="A9201" s="597">
        <v>44002</v>
      </c>
      <c r="B9201" s="41" t="s">
        <v>2933</v>
      </c>
      <c r="C9201" s="458" t="s">
        <v>3446</v>
      </c>
      <c r="D9201" s="827" t="s">
        <v>5975</v>
      </c>
      <c r="E9201" s="224">
        <v>10000</v>
      </c>
      <c r="F9201" s="58"/>
      <c r="G9201" s="58">
        <f t="shared" si="149"/>
        <v>-10000</v>
      </c>
      <c r="H9201" s="422" t="s">
        <v>5940</v>
      </c>
    </row>
    <row r="9202" spans="1:8" ht="15" x14ac:dyDescent="0.2">
      <c r="A9202" s="597">
        <v>44000</v>
      </c>
      <c r="B9202" s="401" t="s">
        <v>2652</v>
      </c>
      <c r="C9202" s="459" t="s">
        <v>3145</v>
      </c>
      <c r="D9202" s="857" t="s">
        <v>4535</v>
      </c>
      <c r="E9202" s="460">
        <v>5664</v>
      </c>
      <c r="F9202" s="434"/>
      <c r="G9202" s="58">
        <f t="shared" si="149"/>
        <v>-5664</v>
      </c>
      <c r="H9202" s="422" t="s">
        <v>5940</v>
      </c>
    </row>
    <row r="9203" spans="1:8" ht="15.75" thickBot="1" x14ac:dyDescent="0.25">
      <c r="A9203" s="597">
        <v>44000</v>
      </c>
      <c r="B9203" s="401" t="s">
        <v>5811</v>
      </c>
      <c r="C9203" s="461" t="s">
        <v>3145</v>
      </c>
      <c r="D9203" s="858" t="s">
        <v>4535</v>
      </c>
      <c r="E9203" s="462">
        <v>21736</v>
      </c>
      <c r="F9203" s="434"/>
      <c r="G9203" s="58">
        <f t="shared" si="149"/>
        <v>-21736</v>
      </c>
      <c r="H9203" s="422" t="s">
        <v>5940</v>
      </c>
    </row>
    <row r="9204" spans="1:8" ht="15" x14ac:dyDescent="0.2">
      <c r="A9204" s="597">
        <v>44000</v>
      </c>
      <c r="B9204" s="41" t="s">
        <v>1400</v>
      </c>
      <c r="C9204" s="223" t="s">
        <v>3033</v>
      </c>
      <c r="D9204" s="806" t="s">
        <v>370</v>
      </c>
      <c r="E9204" s="247">
        <v>6000</v>
      </c>
      <c r="F9204" s="58"/>
      <c r="G9204" s="58">
        <f t="shared" si="149"/>
        <v>-6000</v>
      </c>
      <c r="H9204" s="422" t="s">
        <v>5940</v>
      </c>
    </row>
    <row r="9205" spans="1:8" ht="15" x14ac:dyDescent="0.2">
      <c r="A9205" s="597">
        <v>44004</v>
      </c>
      <c r="B9205" s="41" t="s">
        <v>1400</v>
      </c>
      <c r="C9205" s="223" t="s">
        <v>3145</v>
      </c>
      <c r="D9205" s="806" t="s">
        <v>5976</v>
      </c>
      <c r="E9205" s="247">
        <v>35202</v>
      </c>
      <c r="F9205" s="58"/>
      <c r="G9205" s="58">
        <f t="shared" si="149"/>
        <v>-35202</v>
      </c>
      <c r="H9205" s="422" t="s">
        <v>5940</v>
      </c>
    </row>
    <row r="9206" spans="1:8" ht="15" x14ac:dyDescent="0.2">
      <c r="A9206" s="597">
        <v>44004</v>
      </c>
      <c r="B9206" s="41" t="s">
        <v>25</v>
      </c>
      <c r="C9206" s="223" t="s">
        <v>551</v>
      </c>
      <c r="D9206" s="806" t="s">
        <v>5991</v>
      </c>
      <c r="E9206" s="247">
        <v>4200</v>
      </c>
      <c r="F9206" s="58"/>
      <c r="G9206" s="58">
        <f t="shared" si="149"/>
        <v>-4200</v>
      </c>
      <c r="H9206" s="422" t="s">
        <v>5940</v>
      </c>
    </row>
    <row r="9207" spans="1:8" ht="15.75" thickBot="1" x14ac:dyDescent="0.25">
      <c r="A9207" s="597">
        <v>44005</v>
      </c>
      <c r="B9207" s="41" t="s">
        <v>4553</v>
      </c>
      <c r="C9207" s="458" t="s">
        <v>392</v>
      </c>
      <c r="D9207" s="827" t="s">
        <v>5992</v>
      </c>
      <c r="E9207" s="224">
        <v>3500</v>
      </c>
      <c r="F9207" s="58"/>
      <c r="G9207" s="58">
        <f t="shared" si="149"/>
        <v>-3500</v>
      </c>
      <c r="H9207" s="422" t="s">
        <v>5940</v>
      </c>
    </row>
    <row r="9208" spans="1:8" ht="24" x14ac:dyDescent="0.2">
      <c r="A9208" s="597">
        <v>44005</v>
      </c>
      <c r="B9208" s="401" t="s">
        <v>2652</v>
      </c>
      <c r="C9208" s="459" t="s">
        <v>3145</v>
      </c>
      <c r="D9208" s="859" t="s">
        <v>5993</v>
      </c>
      <c r="E9208" s="460">
        <v>1500</v>
      </c>
      <c r="F9208" s="434"/>
      <c r="G9208" s="58">
        <f t="shared" si="149"/>
        <v>-1500</v>
      </c>
      <c r="H9208" s="422" t="s">
        <v>5940</v>
      </c>
    </row>
    <row r="9209" spans="1:8" ht="24" x14ac:dyDescent="0.2">
      <c r="A9209" s="597">
        <v>44005</v>
      </c>
      <c r="B9209" s="401" t="s">
        <v>1400</v>
      </c>
      <c r="C9209" s="478" t="s">
        <v>3145</v>
      </c>
      <c r="D9209" s="805" t="s">
        <v>5993</v>
      </c>
      <c r="E9209" s="479">
        <v>3830</v>
      </c>
      <c r="F9209" s="434"/>
      <c r="G9209" s="58">
        <f t="shared" si="149"/>
        <v>-3830</v>
      </c>
      <c r="H9209" s="422" t="s">
        <v>5940</v>
      </c>
    </row>
    <row r="9210" spans="1:8" ht="24.75" thickBot="1" x14ac:dyDescent="0.25">
      <c r="A9210" s="597">
        <v>44005</v>
      </c>
      <c r="B9210" s="401" t="s">
        <v>4553</v>
      </c>
      <c r="C9210" s="461" t="s">
        <v>3145</v>
      </c>
      <c r="D9210" s="860" t="s">
        <v>5993</v>
      </c>
      <c r="E9210" s="462">
        <v>6000</v>
      </c>
      <c r="F9210" s="434"/>
      <c r="G9210" s="58">
        <f t="shared" si="149"/>
        <v>-6000</v>
      </c>
      <c r="H9210" s="422" t="s">
        <v>5940</v>
      </c>
    </row>
    <row r="9211" spans="1:8" ht="15.75" thickBot="1" x14ac:dyDescent="0.25">
      <c r="A9211" s="597">
        <v>44005</v>
      </c>
      <c r="B9211" s="41" t="s">
        <v>1400</v>
      </c>
      <c r="C9211" s="458" t="s">
        <v>3145</v>
      </c>
      <c r="D9211" s="861" t="s">
        <v>5994</v>
      </c>
      <c r="E9211" s="224">
        <v>8250</v>
      </c>
      <c r="F9211" s="58"/>
      <c r="G9211" s="58">
        <f t="shared" si="149"/>
        <v>-8250</v>
      </c>
      <c r="H9211" s="422" t="s">
        <v>5940</v>
      </c>
    </row>
    <row r="9212" spans="1:8" ht="15" x14ac:dyDescent="0.2">
      <c r="A9212" s="597">
        <v>44005</v>
      </c>
      <c r="B9212" s="401" t="s">
        <v>4553</v>
      </c>
      <c r="C9212" s="459" t="s">
        <v>5460</v>
      </c>
      <c r="D9212" s="859" t="s">
        <v>370</v>
      </c>
      <c r="E9212" s="460">
        <v>2000</v>
      </c>
      <c r="F9212" s="434"/>
      <c r="G9212" s="58">
        <f t="shared" si="149"/>
        <v>-2000</v>
      </c>
      <c r="H9212" s="422" t="s">
        <v>5940</v>
      </c>
    </row>
    <row r="9213" spans="1:8" ht="15.75" thickBot="1" x14ac:dyDescent="0.25">
      <c r="A9213" s="597">
        <v>44005</v>
      </c>
      <c r="B9213" s="420" t="s">
        <v>2652</v>
      </c>
      <c r="C9213" s="481" t="s">
        <v>5460</v>
      </c>
      <c r="D9213" s="862" t="s">
        <v>370</v>
      </c>
      <c r="E9213" s="482">
        <v>12000</v>
      </c>
      <c r="F9213" s="480"/>
      <c r="G9213" s="173">
        <f t="shared" si="149"/>
        <v>-12000</v>
      </c>
      <c r="H9213" s="422" t="s">
        <v>5940</v>
      </c>
    </row>
    <row r="9214" spans="1:8" ht="15" x14ac:dyDescent="0.2">
      <c r="A9214" s="597">
        <v>44009</v>
      </c>
      <c r="B9214" s="41" t="s">
        <v>1400</v>
      </c>
      <c r="C9214" s="223" t="s">
        <v>4908</v>
      </c>
      <c r="D9214" s="805" t="s">
        <v>5995</v>
      </c>
      <c r="E9214" s="247">
        <v>12000</v>
      </c>
      <c r="F9214" s="58"/>
      <c r="G9214" s="58">
        <f t="shared" si="149"/>
        <v>-12000</v>
      </c>
      <c r="H9214" s="422" t="s">
        <v>5940</v>
      </c>
    </row>
    <row r="9215" spans="1:8" ht="15" x14ac:dyDescent="0.2">
      <c r="A9215" s="597">
        <v>44009</v>
      </c>
      <c r="B9215" s="41" t="s">
        <v>4553</v>
      </c>
      <c r="C9215" s="63" t="s">
        <v>392</v>
      </c>
      <c r="D9215" s="108" t="s">
        <v>5996</v>
      </c>
      <c r="E9215" s="58">
        <v>6300</v>
      </c>
      <c r="F9215" s="58"/>
      <c r="G9215" s="58">
        <f t="shared" si="149"/>
        <v>-6300</v>
      </c>
      <c r="H9215" s="422" t="s">
        <v>5940</v>
      </c>
    </row>
    <row r="9216" spans="1:8" ht="15" x14ac:dyDescent="0.2">
      <c r="A9216" s="597">
        <v>44009</v>
      </c>
      <c r="B9216" s="41" t="s">
        <v>1400</v>
      </c>
      <c r="C9216" s="63" t="s">
        <v>3145</v>
      </c>
      <c r="D9216" s="108" t="s">
        <v>6012</v>
      </c>
      <c r="E9216" s="58">
        <v>8000</v>
      </c>
      <c r="F9216" s="58"/>
      <c r="G9216" s="58">
        <f t="shared" si="149"/>
        <v>-8000</v>
      </c>
      <c r="H9216" s="422" t="s">
        <v>5940</v>
      </c>
    </row>
    <row r="9217" spans="1:8" ht="15" x14ac:dyDescent="0.2">
      <c r="A9217" s="597">
        <v>44012</v>
      </c>
      <c r="B9217" s="41" t="s">
        <v>4553</v>
      </c>
      <c r="C9217" s="63" t="s">
        <v>3145</v>
      </c>
      <c r="D9217" s="108" t="s">
        <v>6013</v>
      </c>
      <c r="E9217" s="58">
        <v>3000</v>
      </c>
      <c r="F9217" s="58"/>
      <c r="G9217" s="58">
        <f t="shared" si="149"/>
        <v>-3000</v>
      </c>
      <c r="H9217" s="422" t="s">
        <v>5940</v>
      </c>
    </row>
    <row r="9218" spans="1:8" ht="15" x14ac:dyDescent="0.2">
      <c r="A9218" s="597">
        <v>44012</v>
      </c>
      <c r="B9218" s="41" t="s">
        <v>25</v>
      </c>
      <c r="C9218" s="63" t="s">
        <v>1005</v>
      </c>
      <c r="D9218" s="108" t="s">
        <v>6014</v>
      </c>
      <c r="E9218" s="58">
        <v>1250</v>
      </c>
      <c r="F9218" s="58"/>
      <c r="G9218" s="58">
        <f t="shared" si="149"/>
        <v>-1250</v>
      </c>
      <c r="H9218" s="422" t="s">
        <v>5940</v>
      </c>
    </row>
    <row r="9219" spans="1:8" ht="15" x14ac:dyDescent="0.2">
      <c r="A9219" s="597">
        <v>44012</v>
      </c>
      <c r="B9219" s="41" t="s">
        <v>16</v>
      </c>
      <c r="C9219" s="63" t="s">
        <v>392</v>
      </c>
      <c r="D9219" s="108" t="s">
        <v>6015</v>
      </c>
      <c r="E9219" s="58">
        <v>120</v>
      </c>
      <c r="F9219" s="58"/>
      <c r="G9219" s="58">
        <f t="shared" si="149"/>
        <v>-120</v>
      </c>
      <c r="H9219" s="422" t="s">
        <v>5940</v>
      </c>
    </row>
    <row r="9220" spans="1:8" ht="15" x14ac:dyDescent="0.2">
      <c r="A9220" s="597">
        <v>44012</v>
      </c>
      <c r="B9220" s="41" t="s">
        <v>16</v>
      </c>
      <c r="C9220" s="63" t="s">
        <v>1495</v>
      </c>
      <c r="D9220" s="108" t="s">
        <v>370</v>
      </c>
      <c r="E9220" s="58">
        <v>1200</v>
      </c>
      <c r="F9220" s="58"/>
      <c r="G9220" s="58">
        <f t="shared" si="149"/>
        <v>-1200</v>
      </c>
      <c r="H9220" s="422" t="s">
        <v>5940</v>
      </c>
    </row>
    <row r="9221" spans="1:8" ht="15" x14ac:dyDescent="0.2">
      <c r="A9221" s="597">
        <v>44012</v>
      </c>
      <c r="B9221" s="41" t="s">
        <v>16</v>
      </c>
      <c r="C9221" s="63" t="s">
        <v>463</v>
      </c>
      <c r="D9221" s="108" t="s">
        <v>6016</v>
      </c>
      <c r="E9221" s="58">
        <v>20562</v>
      </c>
      <c r="F9221" s="58"/>
      <c r="G9221" s="58">
        <f t="shared" si="149"/>
        <v>-20562</v>
      </c>
      <c r="H9221" s="422" t="s">
        <v>5940</v>
      </c>
    </row>
    <row r="9222" spans="1:8" ht="15" x14ac:dyDescent="0.2">
      <c r="A9222" s="597">
        <v>44012</v>
      </c>
      <c r="B9222" s="41" t="s">
        <v>1400</v>
      </c>
      <c r="C9222" s="223" t="s">
        <v>2503</v>
      </c>
      <c r="D9222" s="806" t="s">
        <v>5941</v>
      </c>
      <c r="E9222" s="247">
        <v>25000</v>
      </c>
      <c r="F9222" s="58"/>
      <c r="G9222" s="58">
        <f t="shared" si="149"/>
        <v>-25000</v>
      </c>
      <c r="H9222" s="422" t="s">
        <v>5896</v>
      </c>
    </row>
    <row r="9223" spans="1:8" ht="15" x14ac:dyDescent="0.2">
      <c r="A9223" s="597">
        <v>44012</v>
      </c>
      <c r="B9223" s="41" t="s">
        <v>5641</v>
      </c>
      <c r="C9223" s="223" t="s">
        <v>2503</v>
      </c>
      <c r="D9223" s="806" t="s">
        <v>5941</v>
      </c>
      <c r="E9223" s="247">
        <v>25000</v>
      </c>
      <c r="F9223" s="58"/>
      <c r="G9223" s="58">
        <f t="shared" si="149"/>
        <v>-25000</v>
      </c>
      <c r="H9223" s="422" t="s">
        <v>5896</v>
      </c>
    </row>
    <row r="9224" spans="1:8" ht="15" x14ac:dyDescent="0.2">
      <c r="A9224" s="597">
        <v>44012</v>
      </c>
      <c r="B9224" s="41" t="s">
        <v>1400</v>
      </c>
      <c r="C9224" s="223" t="s">
        <v>2503</v>
      </c>
      <c r="D9224" s="806" t="s">
        <v>372</v>
      </c>
      <c r="E9224" s="247">
        <v>25000</v>
      </c>
      <c r="F9224" s="58"/>
      <c r="G9224" s="58">
        <f t="shared" si="149"/>
        <v>-25000</v>
      </c>
      <c r="H9224" s="422" t="s">
        <v>5896</v>
      </c>
    </row>
    <row r="9225" spans="1:8" ht="15" x14ac:dyDescent="0.2">
      <c r="A9225" s="597">
        <v>44012</v>
      </c>
      <c r="B9225" s="41" t="s">
        <v>37</v>
      </c>
      <c r="C9225" s="223" t="s">
        <v>2503</v>
      </c>
      <c r="D9225" s="806" t="s">
        <v>372</v>
      </c>
      <c r="E9225" s="247">
        <v>25000</v>
      </c>
      <c r="F9225" s="58"/>
      <c r="G9225" s="58">
        <f t="shared" si="149"/>
        <v>-25000</v>
      </c>
      <c r="H9225" s="422" t="s">
        <v>5896</v>
      </c>
    </row>
    <row r="9226" spans="1:8" ht="15" x14ac:dyDescent="0.2">
      <c r="A9226" s="597">
        <v>44012</v>
      </c>
      <c r="B9226" s="41" t="s">
        <v>25</v>
      </c>
      <c r="C9226" s="223" t="s">
        <v>2503</v>
      </c>
      <c r="D9226" s="806"/>
      <c r="E9226" s="247">
        <v>60000</v>
      </c>
      <c r="F9226" s="58"/>
      <c r="G9226" s="58">
        <f t="shared" si="149"/>
        <v>-60000</v>
      </c>
      <c r="H9226" s="422" t="s">
        <v>5896</v>
      </c>
    </row>
    <row r="9227" spans="1:8" ht="15" x14ac:dyDescent="0.2">
      <c r="A9227" s="597">
        <v>44012</v>
      </c>
      <c r="B9227" s="41" t="s">
        <v>16</v>
      </c>
      <c r="C9227" s="223" t="s">
        <v>2503</v>
      </c>
      <c r="D9227" s="806"/>
      <c r="E9227" s="247">
        <v>65000</v>
      </c>
      <c r="F9227" s="58"/>
      <c r="G9227" s="58">
        <f t="shared" si="149"/>
        <v>-65000</v>
      </c>
      <c r="H9227" s="422" t="s">
        <v>5896</v>
      </c>
    </row>
    <row r="9228" spans="1:8" ht="15" x14ac:dyDescent="0.2">
      <c r="A9228" s="597">
        <v>44012</v>
      </c>
      <c r="B9228" s="41" t="s">
        <v>3945</v>
      </c>
      <c r="C9228" s="223" t="s">
        <v>2503</v>
      </c>
      <c r="D9228" s="806"/>
      <c r="E9228" s="247">
        <v>32250</v>
      </c>
      <c r="F9228" s="58"/>
      <c r="G9228" s="58">
        <f t="shared" si="149"/>
        <v>-32250</v>
      </c>
      <c r="H9228" s="422" t="s">
        <v>5896</v>
      </c>
    </row>
    <row r="9229" spans="1:8" ht="15" x14ac:dyDescent="0.2">
      <c r="A9229" s="597">
        <v>44012</v>
      </c>
      <c r="B9229" s="41" t="s">
        <v>3946</v>
      </c>
      <c r="C9229" s="223" t="s">
        <v>2503</v>
      </c>
      <c r="D9229" s="806"/>
      <c r="E9229" s="247">
        <v>42143.75</v>
      </c>
      <c r="F9229" s="58"/>
      <c r="G9229" s="58">
        <f t="shared" si="149"/>
        <v>-42143.75</v>
      </c>
      <c r="H9229" s="422" t="s">
        <v>5896</v>
      </c>
    </row>
    <row r="9230" spans="1:8" ht="15" x14ac:dyDescent="0.2">
      <c r="A9230" s="597">
        <v>44012</v>
      </c>
      <c r="B9230" s="41" t="s">
        <v>1400</v>
      </c>
      <c r="C9230" s="223" t="s">
        <v>2503</v>
      </c>
      <c r="D9230" s="806"/>
      <c r="E9230" s="247">
        <v>285739.58333333343</v>
      </c>
      <c r="F9230" s="58"/>
      <c r="G9230" s="58">
        <f t="shared" si="149"/>
        <v>-285739.58333333343</v>
      </c>
      <c r="H9230" s="422" t="s">
        <v>5896</v>
      </c>
    </row>
    <row r="9231" spans="1:8" ht="15" x14ac:dyDescent="0.2">
      <c r="A9231" s="597">
        <v>44012</v>
      </c>
      <c r="B9231" s="41" t="s">
        <v>6516</v>
      </c>
      <c r="C9231" s="223" t="s">
        <v>2503</v>
      </c>
      <c r="D9231" s="806"/>
      <c r="E9231" s="247">
        <v>113883.33333333334</v>
      </c>
      <c r="F9231" s="58"/>
      <c r="G9231" s="58">
        <f t="shared" si="149"/>
        <v>-113883.33333333334</v>
      </c>
      <c r="H9231" s="422" t="s">
        <v>5896</v>
      </c>
    </row>
    <row r="9232" spans="1:8" ht="15" x14ac:dyDescent="0.2">
      <c r="A9232" s="597">
        <v>44012</v>
      </c>
      <c r="B9232" s="41" t="s">
        <v>37</v>
      </c>
      <c r="C9232" s="223" t="s">
        <v>2503</v>
      </c>
      <c r="D9232" s="806"/>
      <c r="E9232" s="247">
        <v>92054.166666666672</v>
      </c>
      <c r="F9232" s="58"/>
      <c r="G9232" s="58">
        <f t="shared" si="149"/>
        <v>-92054.166666666672</v>
      </c>
      <c r="H9232" s="422" t="s">
        <v>5896</v>
      </c>
    </row>
    <row r="9233" spans="1:8" ht="15" x14ac:dyDescent="0.2">
      <c r="A9233" s="597">
        <v>44012</v>
      </c>
      <c r="B9233" s="41" t="s">
        <v>2933</v>
      </c>
      <c r="C9233" s="223" t="s">
        <v>2503</v>
      </c>
      <c r="D9233" s="806"/>
      <c r="E9233" s="247">
        <v>27083.333333333332</v>
      </c>
      <c r="F9233" s="58"/>
      <c r="G9233" s="58">
        <f t="shared" si="149"/>
        <v>-27083.333333333332</v>
      </c>
      <c r="H9233" s="422" t="s">
        <v>5896</v>
      </c>
    </row>
    <row r="9234" spans="1:8" ht="15" x14ac:dyDescent="0.2">
      <c r="A9234" s="597">
        <v>44012</v>
      </c>
      <c r="B9234" s="41" t="s">
        <v>2652</v>
      </c>
      <c r="C9234" s="223" t="s">
        <v>2503</v>
      </c>
      <c r="D9234" s="806"/>
      <c r="E9234" s="247">
        <v>185683</v>
      </c>
      <c r="F9234" s="58"/>
      <c r="G9234" s="58">
        <f t="shared" si="149"/>
        <v>-185683</v>
      </c>
      <c r="H9234" s="422" t="s">
        <v>5896</v>
      </c>
    </row>
    <row r="9235" spans="1:8" ht="15" x14ac:dyDescent="0.2">
      <c r="A9235" s="597">
        <v>44012</v>
      </c>
      <c r="B9235" s="41" t="s">
        <v>5811</v>
      </c>
      <c r="C9235" s="223" t="s">
        <v>2503</v>
      </c>
      <c r="D9235" s="806" t="s">
        <v>6032</v>
      </c>
      <c r="E9235" s="247">
        <v>30933</v>
      </c>
      <c r="F9235" s="58"/>
      <c r="G9235" s="58">
        <f t="shared" si="149"/>
        <v>-30933</v>
      </c>
      <c r="H9235" s="422" t="s">
        <v>5896</v>
      </c>
    </row>
    <row r="9236" spans="1:8" ht="15" x14ac:dyDescent="0.2">
      <c r="A9236" s="597">
        <v>44012</v>
      </c>
      <c r="B9236" s="41" t="s">
        <v>4553</v>
      </c>
      <c r="C9236" s="223" t="s">
        <v>2503</v>
      </c>
      <c r="D9236" s="806"/>
      <c r="E9236" s="247">
        <v>10801</v>
      </c>
      <c r="F9236" s="58"/>
      <c r="G9236" s="58">
        <f t="shared" si="149"/>
        <v>-10801</v>
      </c>
      <c r="H9236" s="422" t="s">
        <v>5896</v>
      </c>
    </row>
    <row r="9237" spans="1:8" ht="15" x14ac:dyDescent="0.2">
      <c r="A9237" s="602">
        <v>43985</v>
      </c>
      <c r="B9237" s="122" t="s">
        <v>1400</v>
      </c>
      <c r="C9237" s="174" t="s">
        <v>4684</v>
      </c>
      <c r="D9237" s="812" t="s">
        <v>2711</v>
      </c>
      <c r="E9237" s="123">
        <v>58110</v>
      </c>
      <c r="F9237" s="123"/>
      <c r="G9237" s="123">
        <f t="shared" si="149"/>
        <v>-58110</v>
      </c>
      <c r="H9237" s="396" t="s">
        <v>5940</v>
      </c>
    </row>
    <row r="9238" spans="1:8" ht="15" x14ac:dyDescent="0.2">
      <c r="A9238" s="602">
        <v>43985</v>
      </c>
      <c r="B9238" s="122" t="s">
        <v>5746</v>
      </c>
      <c r="C9238" s="174" t="s">
        <v>4684</v>
      </c>
      <c r="D9238" s="812" t="s">
        <v>2711</v>
      </c>
      <c r="E9238" s="123">
        <v>34890</v>
      </c>
      <c r="F9238" s="123"/>
      <c r="G9238" s="123">
        <f t="shared" si="149"/>
        <v>-34890</v>
      </c>
      <c r="H9238" s="396" t="s">
        <v>5940</v>
      </c>
    </row>
    <row r="9239" spans="1:8" ht="15" x14ac:dyDescent="0.2">
      <c r="A9239" s="602">
        <v>43994</v>
      </c>
      <c r="B9239" s="122" t="s">
        <v>1400</v>
      </c>
      <c r="C9239" s="174" t="s">
        <v>5681</v>
      </c>
      <c r="D9239" s="812" t="s">
        <v>1157</v>
      </c>
      <c r="E9239" s="123">
        <v>100000</v>
      </c>
      <c r="F9239" s="123"/>
      <c r="G9239" s="123">
        <f t="shared" si="149"/>
        <v>-100000</v>
      </c>
      <c r="H9239" s="396" t="s">
        <v>5940</v>
      </c>
    </row>
    <row r="9240" spans="1:8" ht="15" x14ac:dyDescent="0.2">
      <c r="A9240" s="602">
        <v>43995</v>
      </c>
      <c r="B9240" s="122" t="s">
        <v>2652</v>
      </c>
      <c r="C9240" s="174" t="s">
        <v>4870</v>
      </c>
      <c r="D9240" s="812" t="s">
        <v>5950</v>
      </c>
      <c r="E9240" s="123">
        <v>80300</v>
      </c>
      <c r="F9240" s="123"/>
      <c r="G9240" s="123">
        <f t="shared" si="149"/>
        <v>-80300</v>
      </c>
      <c r="H9240" s="396" t="s">
        <v>5940</v>
      </c>
    </row>
    <row r="9241" spans="1:8" ht="15" x14ac:dyDescent="0.2">
      <c r="A9241" s="602">
        <v>43995</v>
      </c>
      <c r="B9241" s="174" t="s">
        <v>6516</v>
      </c>
      <c r="C9241" s="174" t="s">
        <v>3003</v>
      </c>
      <c r="D9241" s="812" t="s">
        <v>5951</v>
      </c>
      <c r="E9241" s="123">
        <v>60743</v>
      </c>
      <c r="F9241" s="123"/>
      <c r="G9241" s="123">
        <f t="shared" si="149"/>
        <v>-60743</v>
      </c>
      <c r="H9241" s="396" t="s">
        <v>5940</v>
      </c>
    </row>
    <row r="9242" spans="1:8" ht="24" x14ac:dyDescent="0.2">
      <c r="A9242" s="602">
        <v>43995</v>
      </c>
      <c r="B9242" s="122" t="s">
        <v>5671</v>
      </c>
      <c r="C9242" s="174" t="s">
        <v>5123</v>
      </c>
      <c r="D9242" s="118" t="s">
        <v>5965</v>
      </c>
      <c r="E9242" s="123">
        <v>110000</v>
      </c>
      <c r="F9242" s="123"/>
      <c r="G9242" s="123">
        <f t="shared" si="149"/>
        <v>-110000</v>
      </c>
      <c r="H9242" s="396" t="s">
        <v>5940</v>
      </c>
    </row>
    <row r="9243" spans="1:8" ht="15" x14ac:dyDescent="0.2">
      <c r="A9243" s="602">
        <v>43995</v>
      </c>
      <c r="B9243" s="122" t="s">
        <v>1400</v>
      </c>
      <c r="C9243" s="174" t="s">
        <v>4988</v>
      </c>
      <c r="D9243" s="812" t="s">
        <v>5952</v>
      </c>
      <c r="E9243" s="123">
        <v>203000</v>
      </c>
      <c r="F9243" s="123"/>
      <c r="G9243" s="123">
        <f t="shared" si="149"/>
        <v>-203000</v>
      </c>
      <c r="H9243" s="396" t="s">
        <v>5940</v>
      </c>
    </row>
    <row r="9244" spans="1:8" ht="24" x14ac:dyDescent="0.2">
      <c r="A9244" s="602">
        <v>44000</v>
      </c>
      <c r="B9244" s="122" t="s">
        <v>5671</v>
      </c>
      <c r="C9244" s="174" t="s">
        <v>5961</v>
      </c>
      <c r="D9244" s="118" t="s">
        <v>5962</v>
      </c>
      <c r="E9244" s="123">
        <v>120526</v>
      </c>
      <c r="F9244" s="123"/>
      <c r="G9244" s="123">
        <f t="shared" si="149"/>
        <v>-120526</v>
      </c>
      <c r="H9244" s="396" t="s">
        <v>5940</v>
      </c>
    </row>
    <row r="9245" spans="1:8" ht="15" x14ac:dyDescent="0.2">
      <c r="A9245" s="602">
        <v>44000</v>
      </c>
      <c r="B9245" s="122" t="s">
        <v>1400</v>
      </c>
      <c r="C9245" s="174" t="s">
        <v>2310</v>
      </c>
      <c r="D9245" s="118" t="s">
        <v>5963</v>
      </c>
      <c r="E9245" s="123">
        <v>390730</v>
      </c>
      <c r="F9245" s="123"/>
      <c r="G9245" s="123">
        <f t="shared" si="149"/>
        <v>-390730</v>
      </c>
      <c r="H9245" s="396" t="s">
        <v>5940</v>
      </c>
    </row>
    <row r="9246" spans="1:8" ht="15" x14ac:dyDescent="0.2">
      <c r="A9246" s="602">
        <v>44000</v>
      </c>
      <c r="B9246" s="122" t="s">
        <v>1400</v>
      </c>
      <c r="C9246" s="174" t="s">
        <v>166</v>
      </c>
      <c r="D9246" s="118" t="s">
        <v>5963</v>
      </c>
      <c r="E9246" s="123">
        <v>400000</v>
      </c>
      <c r="F9246" s="123"/>
      <c r="G9246" s="123">
        <f t="shared" si="149"/>
        <v>-400000</v>
      </c>
      <c r="H9246" s="396" t="s">
        <v>5940</v>
      </c>
    </row>
    <row r="9247" spans="1:8" ht="15" x14ac:dyDescent="0.2">
      <c r="A9247" s="602">
        <v>44000</v>
      </c>
      <c r="B9247" s="122" t="s">
        <v>1400</v>
      </c>
      <c r="C9247" s="174" t="s">
        <v>1815</v>
      </c>
      <c r="D9247" s="118" t="s">
        <v>5963</v>
      </c>
      <c r="E9247" s="123">
        <v>300000</v>
      </c>
      <c r="F9247" s="123"/>
      <c r="G9247" s="123">
        <f t="shared" si="149"/>
        <v>-300000</v>
      </c>
      <c r="H9247" s="396" t="s">
        <v>5940</v>
      </c>
    </row>
    <row r="9248" spans="1:8" ht="15.75" thickBot="1" x14ac:dyDescent="0.25">
      <c r="A9248" s="602">
        <v>44001</v>
      </c>
      <c r="B9248" s="122" t="s">
        <v>1400</v>
      </c>
      <c r="C9248" s="237" t="s">
        <v>318</v>
      </c>
      <c r="D9248" s="849" t="s">
        <v>5967</v>
      </c>
      <c r="E9248" s="155">
        <v>200000</v>
      </c>
      <c r="F9248" s="123"/>
      <c r="G9248" s="123">
        <f t="shared" si="149"/>
        <v>-200000</v>
      </c>
      <c r="H9248" s="396" t="s">
        <v>5940</v>
      </c>
    </row>
    <row r="9249" spans="1:8" ht="15" x14ac:dyDescent="0.2">
      <c r="A9249" s="602">
        <v>44006</v>
      </c>
      <c r="B9249" s="380" t="s">
        <v>25</v>
      </c>
      <c r="C9249" s="476" t="s">
        <v>1689</v>
      </c>
      <c r="D9249" s="863" t="s">
        <v>370</v>
      </c>
      <c r="E9249" s="412">
        <v>58985</v>
      </c>
      <c r="F9249" s="381"/>
      <c r="G9249" s="123">
        <f t="shared" si="149"/>
        <v>-58985</v>
      </c>
      <c r="H9249" s="396" t="s">
        <v>5940</v>
      </c>
    </row>
    <row r="9250" spans="1:8" ht="15.75" customHeight="1" thickBot="1" x14ac:dyDescent="0.25">
      <c r="A9250" s="602">
        <v>44006</v>
      </c>
      <c r="B9250" s="380" t="s">
        <v>16</v>
      </c>
      <c r="C9250" s="477" t="s">
        <v>1689</v>
      </c>
      <c r="D9250" s="864" t="s">
        <v>370</v>
      </c>
      <c r="E9250" s="416">
        <v>2539</v>
      </c>
      <c r="F9250" s="381"/>
      <c r="G9250" s="123">
        <f t="shared" si="149"/>
        <v>-2539</v>
      </c>
      <c r="H9250" s="396" t="s">
        <v>5940</v>
      </c>
    </row>
    <row r="9251" spans="1:8" ht="15" x14ac:dyDescent="0.2">
      <c r="A9251" s="602">
        <v>44011</v>
      </c>
      <c r="B9251" s="122" t="s">
        <v>1400</v>
      </c>
      <c r="C9251" s="240" t="s">
        <v>5956</v>
      </c>
      <c r="D9251" s="157" t="s">
        <v>5999</v>
      </c>
      <c r="E9251" s="158">
        <v>62500</v>
      </c>
      <c r="F9251" s="123"/>
      <c r="G9251" s="123">
        <f t="shared" si="149"/>
        <v>-62500</v>
      </c>
      <c r="H9251" s="396" t="s">
        <v>5940</v>
      </c>
    </row>
    <row r="9252" spans="1:8" ht="15" x14ac:dyDescent="0.2">
      <c r="A9252" s="602">
        <v>44011</v>
      </c>
      <c r="B9252" s="122" t="s">
        <v>1400</v>
      </c>
      <c r="C9252" s="240" t="s">
        <v>4684</v>
      </c>
      <c r="D9252" s="157" t="s">
        <v>5570</v>
      </c>
      <c r="E9252" s="158">
        <v>130000</v>
      </c>
      <c r="F9252" s="123"/>
      <c r="G9252" s="123">
        <f t="shared" si="149"/>
        <v>-130000</v>
      </c>
      <c r="H9252" s="396" t="s">
        <v>5940</v>
      </c>
    </row>
    <row r="9253" spans="1:8" ht="15" x14ac:dyDescent="0.2">
      <c r="A9253" s="602">
        <v>44011</v>
      </c>
      <c r="B9253" s="122" t="s">
        <v>2652</v>
      </c>
      <c r="C9253" s="240" t="s">
        <v>4684</v>
      </c>
      <c r="D9253" s="157" t="s">
        <v>5570</v>
      </c>
      <c r="E9253" s="158">
        <v>40000</v>
      </c>
      <c r="F9253" s="123"/>
      <c r="G9253" s="123">
        <f t="shared" si="149"/>
        <v>-40000</v>
      </c>
      <c r="H9253" s="396" t="s">
        <v>5940</v>
      </c>
    </row>
    <row r="9254" spans="1:8" ht="15" x14ac:dyDescent="0.2">
      <c r="A9254" s="602">
        <v>44011</v>
      </c>
      <c r="B9254" s="122" t="s">
        <v>1400</v>
      </c>
      <c r="C9254" s="240" t="s">
        <v>4798</v>
      </c>
      <c r="D9254" s="157" t="s">
        <v>6000</v>
      </c>
      <c r="E9254" s="158">
        <v>44000</v>
      </c>
      <c r="F9254" s="123"/>
      <c r="G9254" s="123">
        <f t="shared" si="149"/>
        <v>-44000</v>
      </c>
      <c r="H9254" s="396" t="s">
        <v>5940</v>
      </c>
    </row>
    <row r="9255" spans="1:8" ht="48" x14ac:dyDescent="0.2">
      <c r="A9255" s="602">
        <v>44006</v>
      </c>
      <c r="B9255" s="174" t="s">
        <v>1400</v>
      </c>
      <c r="C9255" s="240" t="s">
        <v>2515</v>
      </c>
      <c r="D9255" s="837" t="s">
        <v>9156</v>
      </c>
      <c r="E9255" s="241">
        <v>178000</v>
      </c>
      <c r="F9255" s="236"/>
      <c r="G9255" s="236">
        <f t="shared" si="149"/>
        <v>-178000</v>
      </c>
      <c r="H9255" s="396" t="s">
        <v>5940</v>
      </c>
    </row>
    <row r="9256" spans="1:8" ht="15.75" thickBot="1" x14ac:dyDescent="0.25">
      <c r="A9256" s="602">
        <v>44012</v>
      </c>
      <c r="B9256" s="122" t="s">
        <v>1400</v>
      </c>
      <c r="C9256" s="258" t="s">
        <v>5690</v>
      </c>
      <c r="D9256" s="832" t="s">
        <v>6008</v>
      </c>
      <c r="E9256" s="383">
        <v>23680</v>
      </c>
      <c r="F9256" s="123"/>
      <c r="G9256" s="123">
        <f t="shared" si="149"/>
        <v>-23680</v>
      </c>
      <c r="H9256" s="396" t="s">
        <v>5940</v>
      </c>
    </row>
    <row r="9257" spans="1:8" ht="15.75" thickBot="1" x14ac:dyDescent="0.25">
      <c r="A9257" s="602">
        <v>44012</v>
      </c>
      <c r="B9257" s="380" t="s">
        <v>1400</v>
      </c>
      <c r="C9257" s="476" t="s">
        <v>2104</v>
      </c>
      <c r="D9257" s="161" t="s">
        <v>2711</v>
      </c>
      <c r="E9257" s="412">
        <v>28700</v>
      </c>
      <c r="F9257" s="381"/>
      <c r="G9257" s="123">
        <f t="shared" ref="G9257:G9320" si="150">F9257-E9257</f>
        <v>-28700</v>
      </c>
      <c r="H9257" s="396" t="s">
        <v>5940</v>
      </c>
    </row>
    <row r="9258" spans="1:8" ht="15.75" thickBot="1" x14ac:dyDescent="0.25">
      <c r="A9258" s="602">
        <v>44012</v>
      </c>
      <c r="B9258" s="380" t="s">
        <v>4553</v>
      </c>
      <c r="C9258" s="509" t="s">
        <v>2104</v>
      </c>
      <c r="D9258" s="161" t="s">
        <v>2711</v>
      </c>
      <c r="E9258" s="545">
        <v>16200</v>
      </c>
      <c r="F9258" s="381"/>
      <c r="G9258" s="123">
        <f t="shared" si="150"/>
        <v>-16200</v>
      </c>
      <c r="H9258" s="396" t="s">
        <v>5940</v>
      </c>
    </row>
    <row r="9259" spans="1:8" ht="15" customHeight="1" x14ac:dyDescent="0.2">
      <c r="A9259" s="602">
        <v>44012</v>
      </c>
      <c r="B9259" s="122" t="s">
        <v>1400</v>
      </c>
      <c r="C9259" s="240" t="s">
        <v>6009</v>
      </c>
      <c r="D9259" s="157" t="s">
        <v>6010</v>
      </c>
      <c r="E9259" s="158">
        <v>12400</v>
      </c>
      <c r="F9259" s="123"/>
      <c r="G9259" s="123">
        <f t="shared" si="150"/>
        <v>-12400</v>
      </c>
      <c r="H9259" s="396" t="s">
        <v>5940</v>
      </c>
    </row>
    <row r="9260" spans="1:8" ht="24" x14ac:dyDescent="0.2">
      <c r="A9260" s="613">
        <v>43984</v>
      </c>
      <c r="B9260" s="91" t="s">
        <v>6516</v>
      </c>
      <c r="C9260" s="91" t="s">
        <v>559</v>
      </c>
      <c r="D9260" s="798" t="s">
        <v>5966</v>
      </c>
      <c r="E9260" s="92"/>
      <c r="F9260" s="92">
        <v>625015</v>
      </c>
      <c r="G9260" s="92">
        <f t="shared" si="150"/>
        <v>625015</v>
      </c>
      <c r="H9260" s="428" t="s">
        <v>5940</v>
      </c>
    </row>
    <row r="9261" spans="1:8" ht="15" x14ac:dyDescent="0.2">
      <c r="A9261" s="613">
        <v>43985</v>
      </c>
      <c r="B9261" s="91" t="s">
        <v>5604</v>
      </c>
      <c r="C9261" s="91" t="s">
        <v>559</v>
      </c>
      <c r="D9261" s="801" t="s">
        <v>9157</v>
      </c>
      <c r="E9261" s="92"/>
      <c r="F9261" s="92">
        <v>451366</v>
      </c>
      <c r="G9261" s="92">
        <f t="shared" si="150"/>
        <v>451366</v>
      </c>
      <c r="H9261" s="428" t="s">
        <v>5940</v>
      </c>
    </row>
    <row r="9262" spans="1:8" ht="15" x14ac:dyDescent="0.2">
      <c r="A9262" s="613">
        <v>43985</v>
      </c>
      <c r="B9262" s="91" t="s">
        <v>1400</v>
      </c>
      <c r="C9262" s="91" t="s">
        <v>559</v>
      </c>
      <c r="D9262" s="801" t="s">
        <v>9158</v>
      </c>
      <c r="E9262" s="92"/>
      <c r="F9262" s="92">
        <v>500000</v>
      </c>
      <c r="G9262" s="92">
        <f t="shared" si="150"/>
        <v>500000</v>
      </c>
      <c r="H9262" s="428" t="s">
        <v>5940</v>
      </c>
    </row>
    <row r="9263" spans="1:8" ht="15" x14ac:dyDescent="0.2">
      <c r="A9263" s="613">
        <v>43985</v>
      </c>
      <c r="B9263" s="91" t="s">
        <v>1400</v>
      </c>
      <c r="C9263" s="91" t="s">
        <v>559</v>
      </c>
      <c r="D9263" s="801" t="s">
        <v>9158</v>
      </c>
      <c r="E9263" s="92"/>
      <c r="F9263" s="92">
        <v>500000</v>
      </c>
      <c r="G9263" s="92">
        <f t="shared" si="150"/>
        <v>500000</v>
      </c>
      <c r="H9263" s="428" t="s">
        <v>5940</v>
      </c>
    </row>
    <row r="9264" spans="1:8" ht="15" x14ac:dyDescent="0.2">
      <c r="A9264" s="613">
        <v>43986</v>
      </c>
      <c r="B9264" s="91" t="s">
        <v>37</v>
      </c>
      <c r="C9264" s="91" t="s">
        <v>559</v>
      </c>
      <c r="D9264" s="801" t="s">
        <v>5942</v>
      </c>
      <c r="E9264" s="92"/>
      <c r="F9264" s="92">
        <v>157140</v>
      </c>
      <c r="G9264" s="92">
        <f t="shared" si="150"/>
        <v>157140</v>
      </c>
      <c r="H9264" s="428" t="s">
        <v>5940</v>
      </c>
    </row>
    <row r="9265" spans="1:8" ht="15" x14ac:dyDescent="0.2">
      <c r="A9265" s="613">
        <v>43986</v>
      </c>
      <c r="B9265" s="91" t="s">
        <v>37</v>
      </c>
      <c r="C9265" s="91" t="s">
        <v>559</v>
      </c>
      <c r="D9265" s="801" t="s">
        <v>5943</v>
      </c>
      <c r="E9265" s="92"/>
      <c r="F9265" s="92">
        <v>157140</v>
      </c>
      <c r="G9265" s="92">
        <f t="shared" si="150"/>
        <v>157140</v>
      </c>
      <c r="H9265" s="428" t="s">
        <v>5940</v>
      </c>
    </row>
    <row r="9266" spans="1:8" ht="24" x14ac:dyDescent="0.2">
      <c r="A9266" s="613">
        <v>43995</v>
      </c>
      <c r="B9266" s="91" t="s">
        <v>5671</v>
      </c>
      <c r="C9266" s="91" t="s">
        <v>559</v>
      </c>
      <c r="D9266" s="798" t="s">
        <v>9159</v>
      </c>
      <c r="E9266" s="92"/>
      <c r="F9266" s="92">
        <v>203000</v>
      </c>
      <c r="G9266" s="92">
        <f t="shared" si="150"/>
        <v>203000</v>
      </c>
      <c r="H9266" s="428" t="s">
        <v>5940</v>
      </c>
    </row>
    <row r="9267" spans="1:8" ht="15" x14ac:dyDescent="0.2">
      <c r="A9267" s="613">
        <v>43995</v>
      </c>
      <c r="B9267" s="91" t="s">
        <v>5671</v>
      </c>
      <c r="C9267" s="91" t="s">
        <v>559</v>
      </c>
      <c r="D9267" s="801" t="s">
        <v>5949</v>
      </c>
      <c r="E9267" s="92"/>
      <c r="F9267" s="92">
        <v>360000</v>
      </c>
      <c r="G9267" s="92">
        <f t="shared" si="150"/>
        <v>360000</v>
      </c>
      <c r="H9267" s="428" t="s">
        <v>5940</v>
      </c>
    </row>
    <row r="9268" spans="1:8" ht="15" x14ac:dyDescent="0.2">
      <c r="A9268" s="613">
        <v>43998</v>
      </c>
      <c r="B9268" s="91" t="s">
        <v>3945</v>
      </c>
      <c r="C9268" s="91" t="s">
        <v>559</v>
      </c>
      <c r="D9268" s="801" t="s">
        <v>5959</v>
      </c>
      <c r="E9268" s="92"/>
      <c r="F9268" s="92">
        <v>290486</v>
      </c>
      <c r="G9268" s="92">
        <f t="shared" si="150"/>
        <v>290486</v>
      </c>
      <c r="H9268" s="428" t="s">
        <v>5940</v>
      </c>
    </row>
    <row r="9269" spans="1:8" ht="15" x14ac:dyDescent="0.2">
      <c r="A9269" s="613">
        <v>43998</v>
      </c>
      <c r="B9269" s="91" t="s">
        <v>3945</v>
      </c>
      <c r="C9269" s="91" t="s">
        <v>559</v>
      </c>
      <c r="D9269" s="801" t="s">
        <v>5960</v>
      </c>
      <c r="E9269" s="92"/>
      <c r="F9269" s="92">
        <v>50962</v>
      </c>
      <c r="G9269" s="92">
        <f t="shared" si="150"/>
        <v>50962</v>
      </c>
      <c r="H9269" s="428" t="s">
        <v>5940</v>
      </c>
    </row>
    <row r="9270" spans="1:8" ht="15" x14ac:dyDescent="0.2">
      <c r="A9270" s="613">
        <v>44000</v>
      </c>
      <c r="B9270" s="91" t="s">
        <v>1400</v>
      </c>
      <c r="C9270" s="91" t="s">
        <v>559</v>
      </c>
      <c r="D9270" s="801" t="s">
        <v>9160</v>
      </c>
      <c r="E9270" s="92"/>
      <c r="F9270" s="92">
        <v>390730</v>
      </c>
      <c r="G9270" s="92">
        <f t="shared" si="150"/>
        <v>390730</v>
      </c>
      <c r="H9270" s="428" t="s">
        <v>5940</v>
      </c>
    </row>
    <row r="9271" spans="1:8" ht="15" x14ac:dyDescent="0.2">
      <c r="A9271" s="613">
        <v>44000</v>
      </c>
      <c r="B9271" s="91" t="s">
        <v>1400</v>
      </c>
      <c r="C9271" s="91" t="s">
        <v>559</v>
      </c>
      <c r="D9271" s="801" t="s">
        <v>9161</v>
      </c>
      <c r="E9271" s="92"/>
      <c r="F9271" s="92">
        <v>300000</v>
      </c>
      <c r="G9271" s="92">
        <f t="shared" si="150"/>
        <v>300000</v>
      </c>
      <c r="H9271" s="428" t="s">
        <v>5940</v>
      </c>
    </row>
    <row r="9272" spans="1:8" ht="24" x14ac:dyDescent="0.2">
      <c r="A9272" s="613">
        <v>44000</v>
      </c>
      <c r="B9272" s="91" t="s">
        <v>1400</v>
      </c>
      <c r="C9272" s="91" t="s">
        <v>559</v>
      </c>
      <c r="D9272" s="798" t="s">
        <v>9162</v>
      </c>
      <c r="E9272" s="92"/>
      <c r="F9272" s="92">
        <v>120528</v>
      </c>
      <c r="G9272" s="92">
        <f t="shared" si="150"/>
        <v>120528</v>
      </c>
      <c r="H9272" s="428" t="s">
        <v>5940</v>
      </c>
    </row>
    <row r="9273" spans="1:8" ht="15" x14ac:dyDescent="0.2">
      <c r="A9273" s="613">
        <v>44000</v>
      </c>
      <c r="B9273" s="91" t="s">
        <v>1400</v>
      </c>
      <c r="C9273" s="91" t="s">
        <v>559</v>
      </c>
      <c r="D9273" s="801" t="s">
        <v>9163</v>
      </c>
      <c r="E9273" s="92"/>
      <c r="F9273" s="92">
        <v>400000</v>
      </c>
      <c r="G9273" s="92">
        <f t="shared" si="150"/>
        <v>400000</v>
      </c>
      <c r="H9273" s="428" t="s">
        <v>5940</v>
      </c>
    </row>
    <row r="9274" spans="1:8" ht="24" x14ac:dyDescent="0.2">
      <c r="A9274" s="613">
        <v>44000</v>
      </c>
      <c r="B9274" s="91" t="s">
        <v>1400</v>
      </c>
      <c r="C9274" s="91" t="s">
        <v>559</v>
      </c>
      <c r="D9274" s="798" t="s">
        <v>9164</v>
      </c>
      <c r="E9274" s="92"/>
      <c r="F9274" s="92">
        <v>315900</v>
      </c>
      <c r="G9274" s="92">
        <f t="shared" si="150"/>
        <v>315900</v>
      </c>
      <c r="H9274" s="428" t="s">
        <v>5940</v>
      </c>
    </row>
    <row r="9275" spans="1:8" ht="15" x14ac:dyDescent="0.2">
      <c r="A9275" s="613">
        <v>44000</v>
      </c>
      <c r="B9275" s="91" t="s">
        <v>1400</v>
      </c>
      <c r="C9275" s="91" t="s">
        <v>559</v>
      </c>
      <c r="D9275" s="801" t="s">
        <v>9165</v>
      </c>
      <c r="E9275" s="92"/>
      <c r="F9275" s="92">
        <v>500000</v>
      </c>
      <c r="G9275" s="92">
        <f t="shared" si="150"/>
        <v>500000</v>
      </c>
      <c r="H9275" s="428" t="s">
        <v>5940</v>
      </c>
    </row>
    <row r="9276" spans="1:8" ht="15" x14ac:dyDescent="0.2">
      <c r="A9276" s="613">
        <v>44000</v>
      </c>
      <c r="B9276" s="91" t="s">
        <v>1400</v>
      </c>
      <c r="C9276" s="91" t="s">
        <v>559</v>
      </c>
      <c r="D9276" s="801" t="s">
        <v>9165</v>
      </c>
      <c r="E9276" s="92"/>
      <c r="F9276" s="92">
        <v>500000</v>
      </c>
      <c r="G9276" s="92">
        <f t="shared" si="150"/>
        <v>500000</v>
      </c>
      <c r="H9276" s="428" t="s">
        <v>5940</v>
      </c>
    </row>
    <row r="9277" spans="1:8" ht="15" x14ac:dyDescent="0.2">
      <c r="A9277" s="597">
        <v>44013</v>
      </c>
      <c r="B9277" s="41" t="s">
        <v>2652</v>
      </c>
      <c r="C9277" s="63" t="s">
        <v>3145</v>
      </c>
      <c r="D9277" s="108" t="s">
        <v>6034</v>
      </c>
      <c r="E9277" s="58">
        <v>6000</v>
      </c>
      <c r="F9277" s="58"/>
      <c r="G9277" s="58">
        <f t="shared" si="150"/>
        <v>-6000</v>
      </c>
      <c r="H9277" s="121" t="s">
        <v>6007</v>
      </c>
    </row>
    <row r="9278" spans="1:8" ht="15" x14ac:dyDescent="0.2">
      <c r="A9278" s="597">
        <v>44013</v>
      </c>
      <c r="B9278" s="41" t="s">
        <v>2652</v>
      </c>
      <c r="C9278" s="63" t="s">
        <v>392</v>
      </c>
      <c r="D9278" s="108" t="s">
        <v>6035</v>
      </c>
      <c r="E9278" s="58">
        <v>1500</v>
      </c>
      <c r="F9278" s="58"/>
      <c r="G9278" s="58">
        <f t="shared" si="150"/>
        <v>-1500</v>
      </c>
      <c r="H9278" s="121" t="s">
        <v>6007</v>
      </c>
    </row>
    <row r="9279" spans="1:8" ht="15" x14ac:dyDescent="0.2">
      <c r="A9279" s="597">
        <v>44013</v>
      </c>
      <c r="B9279" s="41" t="s">
        <v>1400</v>
      </c>
      <c r="C9279" s="63" t="s">
        <v>3145</v>
      </c>
      <c r="D9279" s="108" t="s">
        <v>6036</v>
      </c>
      <c r="E9279" s="58">
        <v>5840</v>
      </c>
      <c r="F9279" s="58"/>
      <c r="G9279" s="58">
        <f t="shared" si="150"/>
        <v>-5840</v>
      </c>
      <c r="H9279" s="121" t="s">
        <v>6007</v>
      </c>
    </row>
    <row r="9280" spans="1:8" ht="15" x14ac:dyDescent="0.2">
      <c r="A9280" s="597">
        <v>44013</v>
      </c>
      <c r="B9280" s="41" t="s">
        <v>2652</v>
      </c>
      <c r="C9280" s="63" t="s">
        <v>392</v>
      </c>
      <c r="D9280" s="108" t="s">
        <v>6037</v>
      </c>
      <c r="E9280" s="58">
        <v>600</v>
      </c>
      <c r="F9280" s="58"/>
      <c r="G9280" s="58">
        <f t="shared" si="150"/>
        <v>-600</v>
      </c>
      <c r="H9280" s="121" t="s">
        <v>6007</v>
      </c>
    </row>
    <row r="9281" spans="1:8" ht="15" x14ac:dyDescent="0.2">
      <c r="A9281" s="597">
        <v>44013</v>
      </c>
      <c r="B9281" s="41" t="s">
        <v>16</v>
      </c>
      <c r="C9281" s="63" t="s">
        <v>3145</v>
      </c>
      <c r="D9281" s="108" t="s">
        <v>6038</v>
      </c>
      <c r="E9281" s="58">
        <v>3721</v>
      </c>
      <c r="F9281" s="58"/>
      <c r="G9281" s="58">
        <f t="shared" si="150"/>
        <v>-3721</v>
      </c>
      <c r="H9281" s="121" t="s">
        <v>6007</v>
      </c>
    </row>
    <row r="9282" spans="1:8" ht="15" x14ac:dyDescent="0.2">
      <c r="A9282" s="597">
        <v>44013</v>
      </c>
      <c r="B9282" s="41" t="s">
        <v>1400</v>
      </c>
      <c r="C9282" s="63" t="s">
        <v>6039</v>
      </c>
      <c r="D9282" s="108" t="s">
        <v>6040</v>
      </c>
      <c r="E9282" s="58">
        <v>8200</v>
      </c>
      <c r="F9282" s="58"/>
      <c r="G9282" s="58">
        <f t="shared" si="150"/>
        <v>-8200</v>
      </c>
      <c r="H9282" s="121" t="s">
        <v>6007</v>
      </c>
    </row>
    <row r="9283" spans="1:8" ht="15" x14ac:dyDescent="0.2">
      <c r="A9283" s="597">
        <v>44013</v>
      </c>
      <c r="B9283" s="41" t="s">
        <v>1400</v>
      </c>
      <c r="C9283" s="63" t="s">
        <v>392</v>
      </c>
      <c r="D9283" s="108" t="s">
        <v>6041</v>
      </c>
      <c r="E9283" s="58">
        <v>5000</v>
      </c>
      <c r="F9283" s="58"/>
      <c r="G9283" s="58">
        <f t="shared" si="150"/>
        <v>-5000</v>
      </c>
      <c r="H9283" s="121" t="s">
        <v>6007</v>
      </c>
    </row>
    <row r="9284" spans="1:8" ht="15" x14ac:dyDescent="0.2">
      <c r="A9284" s="597">
        <v>44014</v>
      </c>
      <c r="B9284" s="41" t="s">
        <v>1400</v>
      </c>
      <c r="C9284" s="63" t="s">
        <v>392</v>
      </c>
      <c r="D9284" s="108" t="s">
        <v>6037</v>
      </c>
      <c r="E9284" s="58">
        <v>2500</v>
      </c>
      <c r="F9284" s="58"/>
      <c r="G9284" s="58">
        <f t="shared" si="150"/>
        <v>-2500</v>
      </c>
      <c r="H9284" s="121" t="s">
        <v>6007</v>
      </c>
    </row>
    <row r="9285" spans="1:8" ht="15" x14ac:dyDescent="0.2">
      <c r="A9285" s="597">
        <v>44014</v>
      </c>
      <c r="B9285" s="41" t="s">
        <v>2652</v>
      </c>
      <c r="C9285" s="63" t="s">
        <v>392</v>
      </c>
      <c r="D9285" s="108" t="s">
        <v>6037</v>
      </c>
      <c r="E9285" s="58">
        <v>2500</v>
      </c>
      <c r="F9285" s="58"/>
      <c r="G9285" s="58">
        <f t="shared" si="150"/>
        <v>-2500</v>
      </c>
      <c r="H9285" s="121" t="s">
        <v>6007</v>
      </c>
    </row>
    <row r="9286" spans="1:8" ht="15" x14ac:dyDescent="0.2">
      <c r="A9286" s="597">
        <v>44015</v>
      </c>
      <c r="B9286" s="41" t="s">
        <v>25</v>
      </c>
      <c r="C9286" s="63" t="s">
        <v>551</v>
      </c>
      <c r="D9286" s="108" t="s">
        <v>6042</v>
      </c>
      <c r="E9286" s="58">
        <v>3500</v>
      </c>
      <c r="F9286" s="58"/>
      <c r="G9286" s="58">
        <f t="shared" si="150"/>
        <v>-3500</v>
      </c>
      <c r="H9286" s="121" t="s">
        <v>6007</v>
      </c>
    </row>
    <row r="9287" spans="1:8" ht="15" x14ac:dyDescent="0.2">
      <c r="A9287" s="597">
        <v>44015</v>
      </c>
      <c r="B9287" s="41" t="s">
        <v>4553</v>
      </c>
      <c r="C9287" s="63" t="s">
        <v>3145</v>
      </c>
      <c r="D9287" s="108" t="s">
        <v>392</v>
      </c>
      <c r="E9287" s="58">
        <v>1080</v>
      </c>
      <c r="F9287" s="58"/>
      <c r="G9287" s="58">
        <f t="shared" si="150"/>
        <v>-1080</v>
      </c>
      <c r="H9287" s="121" t="s">
        <v>6007</v>
      </c>
    </row>
    <row r="9288" spans="1:8" ht="15" x14ac:dyDescent="0.2">
      <c r="A9288" s="597">
        <v>44015</v>
      </c>
      <c r="B9288" s="41" t="s">
        <v>1400</v>
      </c>
      <c r="C9288" s="63" t="s">
        <v>392</v>
      </c>
      <c r="D9288" s="108" t="s">
        <v>5384</v>
      </c>
      <c r="E9288" s="58">
        <v>3000</v>
      </c>
      <c r="F9288" s="58"/>
      <c r="G9288" s="58">
        <f t="shared" si="150"/>
        <v>-3000</v>
      </c>
      <c r="H9288" s="121" t="s">
        <v>6007</v>
      </c>
    </row>
    <row r="9289" spans="1:8" ht="15" x14ac:dyDescent="0.2">
      <c r="A9289" s="597">
        <v>44015</v>
      </c>
      <c r="B9289" s="41" t="s">
        <v>1400</v>
      </c>
      <c r="C9289" s="63" t="s">
        <v>3145</v>
      </c>
      <c r="D9289" s="108" t="s">
        <v>6043</v>
      </c>
      <c r="E9289" s="58">
        <v>2000</v>
      </c>
      <c r="F9289" s="58"/>
      <c r="G9289" s="58">
        <f t="shared" si="150"/>
        <v>-2000</v>
      </c>
      <c r="H9289" s="121" t="s">
        <v>6007</v>
      </c>
    </row>
    <row r="9290" spans="1:8" ht="15" x14ac:dyDescent="0.2">
      <c r="A9290" s="597">
        <v>44018</v>
      </c>
      <c r="B9290" s="41" t="s">
        <v>1400</v>
      </c>
      <c r="C9290" s="63" t="s">
        <v>392</v>
      </c>
      <c r="D9290" s="108" t="s">
        <v>6044</v>
      </c>
      <c r="E9290" s="58">
        <v>5000</v>
      </c>
      <c r="F9290" s="58"/>
      <c r="G9290" s="58">
        <f t="shared" si="150"/>
        <v>-5000</v>
      </c>
      <c r="H9290" s="121" t="s">
        <v>6007</v>
      </c>
    </row>
    <row r="9291" spans="1:8" ht="15" x14ac:dyDescent="0.2">
      <c r="A9291" s="597">
        <v>44018</v>
      </c>
      <c r="B9291" s="41" t="s">
        <v>16</v>
      </c>
      <c r="C9291" s="63" t="s">
        <v>3364</v>
      </c>
      <c r="D9291" s="108" t="s">
        <v>370</v>
      </c>
      <c r="E9291" s="58">
        <v>4152</v>
      </c>
      <c r="F9291" s="58"/>
      <c r="G9291" s="58">
        <f t="shared" si="150"/>
        <v>-4152</v>
      </c>
      <c r="H9291" s="121" t="s">
        <v>6007</v>
      </c>
    </row>
    <row r="9292" spans="1:8" ht="15" customHeight="1" x14ac:dyDescent="0.2">
      <c r="A9292" s="597">
        <v>44018</v>
      </c>
      <c r="B9292" s="41" t="s">
        <v>5604</v>
      </c>
      <c r="C9292" s="63" t="s">
        <v>2190</v>
      </c>
      <c r="E9292" s="58">
        <v>150</v>
      </c>
      <c r="F9292" s="58"/>
      <c r="G9292" s="58">
        <f t="shared" si="150"/>
        <v>-150</v>
      </c>
      <c r="H9292" s="121" t="s">
        <v>6007</v>
      </c>
    </row>
    <row r="9293" spans="1:8" ht="15" x14ac:dyDescent="0.2">
      <c r="A9293" s="597">
        <v>44018</v>
      </c>
      <c r="B9293" s="41" t="s">
        <v>1400</v>
      </c>
      <c r="C9293" s="63" t="s">
        <v>3145</v>
      </c>
      <c r="D9293" s="108" t="s">
        <v>4694</v>
      </c>
      <c r="E9293" s="58">
        <v>14290</v>
      </c>
      <c r="F9293" s="58"/>
      <c r="G9293" s="58">
        <f t="shared" si="150"/>
        <v>-14290</v>
      </c>
      <c r="H9293" s="121" t="s">
        <v>6007</v>
      </c>
    </row>
    <row r="9294" spans="1:8" ht="15" x14ac:dyDescent="0.2">
      <c r="A9294" s="597">
        <v>44021</v>
      </c>
      <c r="B9294" s="41" t="s">
        <v>1400</v>
      </c>
      <c r="C9294" s="63" t="s">
        <v>5835</v>
      </c>
      <c r="D9294" s="108" t="s">
        <v>370</v>
      </c>
      <c r="E9294" s="58">
        <v>13800</v>
      </c>
      <c r="F9294" s="58"/>
      <c r="G9294" s="58">
        <f t="shared" si="150"/>
        <v>-13800</v>
      </c>
      <c r="H9294" s="121" t="s">
        <v>6007</v>
      </c>
    </row>
    <row r="9295" spans="1:8" ht="15" x14ac:dyDescent="0.2">
      <c r="A9295" s="597">
        <v>44021</v>
      </c>
      <c r="B9295" s="424" t="s">
        <v>25</v>
      </c>
      <c r="C9295" s="495" t="s">
        <v>551</v>
      </c>
      <c r="D9295" s="806" t="s">
        <v>6045</v>
      </c>
      <c r="E9295" s="496">
        <v>4500</v>
      </c>
      <c r="F9295" s="497"/>
      <c r="G9295" s="247">
        <f t="shared" si="150"/>
        <v>-4500</v>
      </c>
      <c r="H9295" s="121" t="s">
        <v>6007</v>
      </c>
    </row>
    <row r="9296" spans="1:8" ht="15" x14ac:dyDescent="0.2">
      <c r="A9296" s="597">
        <v>44021</v>
      </c>
      <c r="B9296" s="424" t="s">
        <v>25</v>
      </c>
      <c r="C9296" s="495" t="s">
        <v>551</v>
      </c>
      <c r="D9296" s="806" t="s">
        <v>72</v>
      </c>
      <c r="E9296" s="496">
        <v>37130</v>
      </c>
      <c r="F9296" s="497"/>
      <c r="G9296" s="247">
        <f t="shared" si="150"/>
        <v>-37130</v>
      </c>
      <c r="H9296" s="121" t="s">
        <v>6007</v>
      </c>
    </row>
    <row r="9297" spans="1:8" ht="24" x14ac:dyDescent="0.2">
      <c r="A9297" s="597">
        <v>44021</v>
      </c>
      <c r="B9297" s="424" t="s">
        <v>1400</v>
      </c>
      <c r="C9297" s="495" t="s">
        <v>3145</v>
      </c>
      <c r="D9297" s="805" t="s">
        <v>6046</v>
      </c>
      <c r="E9297" s="496">
        <v>20065</v>
      </c>
      <c r="F9297" s="497"/>
      <c r="G9297" s="247">
        <f t="shared" si="150"/>
        <v>-20065</v>
      </c>
      <c r="H9297" s="121" t="s">
        <v>6007</v>
      </c>
    </row>
    <row r="9298" spans="1:8" ht="24" x14ac:dyDescent="0.2">
      <c r="A9298" s="597">
        <v>44026</v>
      </c>
      <c r="B9298" s="424" t="s">
        <v>16</v>
      </c>
      <c r="C9298" s="495" t="s">
        <v>6053</v>
      </c>
      <c r="D9298" s="805" t="s">
        <v>6054</v>
      </c>
      <c r="E9298" s="496">
        <v>8500</v>
      </c>
      <c r="F9298" s="497"/>
      <c r="G9298" s="247">
        <f t="shared" si="150"/>
        <v>-8500</v>
      </c>
      <c r="H9298" s="121" t="s">
        <v>6007</v>
      </c>
    </row>
    <row r="9299" spans="1:8" ht="15" x14ac:dyDescent="0.2">
      <c r="A9299" s="597">
        <v>44026</v>
      </c>
      <c r="B9299" s="424" t="s">
        <v>2652</v>
      </c>
      <c r="C9299" s="495" t="s">
        <v>2190</v>
      </c>
      <c r="D9299" s="805"/>
      <c r="E9299" s="496">
        <v>240</v>
      </c>
      <c r="F9299" s="497"/>
      <c r="G9299" s="247">
        <f t="shared" si="150"/>
        <v>-240</v>
      </c>
      <c r="H9299" s="121" t="s">
        <v>6007</v>
      </c>
    </row>
    <row r="9300" spans="1:8" ht="15" x14ac:dyDescent="0.2">
      <c r="A9300" s="597">
        <v>44026</v>
      </c>
      <c r="B9300" s="424" t="s">
        <v>2652</v>
      </c>
      <c r="C9300" s="495" t="s">
        <v>286</v>
      </c>
      <c r="D9300" s="805" t="s">
        <v>6055</v>
      </c>
      <c r="E9300" s="496">
        <v>100</v>
      </c>
      <c r="F9300" s="497"/>
      <c r="G9300" s="247">
        <f t="shared" si="150"/>
        <v>-100</v>
      </c>
      <c r="H9300" s="121" t="s">
        <v>6007</v>
      </c>
    </row>
    <row r="9301" spans="1:8" ht="15" x14ac:dyDescent="0.2">
      <c r="A9301" s="597">
        <v>44026</v>
      </c>
      <c r="B9301" s="424" t="s">
        <v>82</v>
      </c>
      <c r="C9301" s="495" t="s">
        <v>3145</v>
      </c>
      <c r="D9301" s="805" t="s">
        <v>6056</v>
      </c>
      <c r="E9301" s="496">
        <v>3045</v>
      </c>
      <c r="F9301" s="497"/>
      <c r="G9301" s="247">
        <f t="shared" si="150"/>
        <v>-3045</v>
      </c>
      <c r="H9301" s="121" t="s">
        <v>6007</v>
      </c>
    </row>
    <row r="9302" spans="1:8" ht="15" x14ac:dyDescent="0.2">
      <c r="A9302" s="597">
        <v>44026</v>
      </c>
      <c r="B9302" s="424" t="s">
        <v>82</v>
      </c>
      <c r="C9302" s="495" t="s">
        <v>3145</v>
      </c>
      <c r="D9302" s="805" t="s">
        <v>6057</v>
      </c>
      <c r="E9302" s="496">
        <v>4400</v>
      </c>
      <c r="F9302" s="497"/>
      <c r="G9302" s="247">
        <f t="shared" si="150"/>
        <v>-4400</v>
      </c>
      <c r="H9302" s="121" t="s">
        <v>6007</v>
      </c>
    </row>
    <row r="9303" spans="1:8" ht="15" x14ac:dyDescent="0.2">
      <c r="A9303" s="597">
        <v>44027</v>
      </c>
      <c r="B9303" s="424" t="s">
        <v>5641</v>
      </c>
      <c r="C9303" s="495" t="s">
        <v>5741</v>
      </c>
      <c r="D9303" s="805" t="s">
        <v>5742</v>
      </c>
      <c r="E9303" s="496">
        <v>1500</v>
      </c>
      <c r="F9303" s="497"/>
      <c r="G9303" s="247">
        <f t="shared" si="150"/>
        <v>-1500</v>
      </c>
      <c r="H9303" s="121" t="s">
        <v>6007</v>
      </c>
    </row>
    <row r="9304" spans="1:8" ht="15" x14ac:dyDescent="0.2">
      <c r="A9304" s="597">
        <v>44027</v>
      </c>
      <c r="B9304" s="424" t="s">
        <v>1400</v>
      </c>
      <c r="C9304" s="495" t="s">
        <v>6141</v>
      </c>
      <c r="D9304" s="805" t="s">
        <v>6058</v>
      </c>
      <c r="E9304" s="496">
        <v>45800</v>
      </c>
      <c r="F9304" s="497"/>
      <c r="G9304" s="247">
        <f t="shared" si="150"/>
        <v>-45800</v>
      </c>
      <c r="H9304" s="121" t="s">
        <v>6007</v>
      </c>
    </row>
    <row r="9305" spans="1:8" ht="15" x14ac:dyDescent="0.2">
      <c r="A9305" s="597">
        <v>44027</v>
      </c>
      <c r="B9305" s="424" t="s">
        <v>5604</v>
      </c>
      <c r="C9305" s="495" t="s">
        <v>2190</v>
      </c>
      <c r="D9305" s="805"/>
      <c r="E9305" s="496">
        <v>300</v>
      </c>
      <c r="F9305" s="497"/>
      <c r="G9305" s="247">
        <f t="shared" si="150"/>
        <v>-300</v>
      </c>
      <c r="H9305" s="121" t="s">
        <v>6007</v>
      </c>
    </row>
    <row r="9306" spans="1:8" ht="24" x14ac:dyDescent="0.2">
      <c r="A9306" s="597">
        <v>44028</v>
      </c>
      <c r="B9306" s="424" t="s">
        <v>2652</v>
      </c>
      <c r="C9306" s="495" t="s">
        <v>4870</v>
      </c>
      <c r="D9306" s="805" t="s">
        <v>6059</v>
      </c>
      <c r="E9306" s="496">
        <v>23000</v>
      </c>
      <c r="F9306" s="497"/>
      <c r="G9306" s="247">
        <f t="shared" si="150"/>
        <v>-23000</v>
      </c>
      <c r="H9306" s="121" t="s">
        <v>6007</v>
      </c>
    </row>
    <row r="9307" spans="1:8" ht="15" x14ac:dyDescent="0.2">
      <c r="A9307" s="597">
        <v>44028</v>
      </c>
      <c r="B9307" s="424" t="s">
        <v>2652</v>
      </c>
      <c r="C9307" s="495" t="s">
        <v>3145</v>
      </c>
      <c r="D9307" s="805" t="s">
        <v>6060</v>
      </c>
      <c r="E9307" s="496">
        <v>8500</v>
      </c>
      <c r="F9307" s="497"/>
      <c r="G9307" s="247">
        <f t="shared" si="150"/>
        <v>-8500</v>
      </c>
      <c r="H9307" s="121" t="s">
        <v>6007</v>
      </c>
    </row>
    <row r="9308" spans="1:8" ht="15" x14ac:dyDescent="0.2">
      <c r="A9308" s="597">
        <v>44029</v>
      </c>
      <c r="B9308" s="424" t="s">
        <v>5604</v>
      </c>
      <c r="C9308" s="495" t="s">
        <v>3145</v>
      </c>
      <c r="D9308" s="805" t="s">
        <v>4535</v>
      </c>
      <c r="E9308" s="496">
        <v>5000</v>
      </c>
      <c r="F9308" s="497"/>
      <c r="G9308" s="247">
        <f t="shared" si="150"/>
        <v>-5000</v>
      </c>
      <c r="H9308" s="121" t="s">
        <v>6007</v>
      </c>
    </row>
    <row r="9309" spans="1:8" ht="15" x14ac:dyDescent="0.2">
      <c r="A9309" s="597">
        <v>44029</v>
      </c>
      <c r="B9309" s="424" t="s">
        <v>5811</v>
      </c>
      <c r="C9309" s="495" t="s">
        <v>3145</v>
      </c>
      <c r="D9309" s="805" t="s">
        <v>4535</v>
      </c>
      <c r="E9309" s="496">
        <v>21950</v>
      </c>
      <c r="F9309" s="497"/>
      <c r="G9309" s="247">
        <f t="shared" si="150"/>
        <v>-21950</v>
      </c>
      <c r="H9309" s="121" t="s">
        <v>6007</v>
      </c>
    </row>
    <row r="9310" spans="1:8" ht="15" x14ac:dyDescent="0.2">
      <c r="A9310" s="597">
        <v>44033</v>
      </c>
      <c r="B9310" s="424" t="s">
        <v>1400</v>
      </c>
      <c r="C9310" s="495" t="s">
        <v>3145</v>
      </c>
      <c r="D9310" s="805" t="s">
        <v>6064</v>
      </c>
      <c r="E9310" s="496">
        <v>18972</v>
      </c>
      <c r="F9310" s="497"/>
      <c r="G9310" s="247">
        <f t="shared" si="150"/>
        <v>-18972</v>
      </c>
      <c r="H9310" s="121" t="s">
        <v>6007</v>
      </c>
    </row>
    <row r="9311" spans="1:8" ht="15" x14ac:dyDescent="0.2">
      <c r="A9311" s="597">
        <v>44033</v>
      </c>
      <c r="B9311" s="424" t="s">
        <v>1400</v>
      </c>
      <c r="C9311" s="495" t="s">
        <v>3145</v>
      </c>
      <c r="D9311" s="805" t="s">
        <v>6064</v>
      </c>
      <c r="E9311" s="496">
        <v>21410</v>
      </c>
      <c r="F9311" s="497"/>
      <c r="G9311" s="247">
        <f t="shared" si="150"/>
        <v>-21410</v>
      </c>
      <c r="H9311" s="121" t="s">
        <v>6007</v>
      </c>
    </row>
    <row r="9312" spans="1:8" ht="15" x14ac:dyDescent="0.2">
      <c r="A9312" s="597">
        <v>44033</v>
      </c>
      <c r="B9312" s="424" t="s">
        <v>82</v>
      </c>
      <c r="C9312" s="495" t="s">
        <v>3145</v>
      </c>
      <c r="D9312" s="805" t="s">
        <v>6065</v>
      </c>
      <c r="E9312" s="496">
        <v>4342</v>
      </c>
      <c r="F9312" s="497"/>
      <c r="G9312" s="247">
        <f t="shared" si="150"/>
        <v>-4342</v>
      </c>
      <c r="H9312" s="121" t="s">
        <v>6007</v>
      </c>
    </row>
    <row r="9313" spans="1:8" ht="24" x14ac:dyDescent="0.2">
      <c r="A9313" s="597">
        <v>44033</v>
      </c>
      <c r="B9313" s="424" t="s">
        <v>1400</v>
      </c>
      <c r="C9313" s="495" t="s">
        <v>3145</v>
      </c>
      <c r="D9313" s="805" t="s">
        <v>6066</v>
      </c>
      <c r="E9313" s="496">
        <v>24600</v>
      </c>
      <c r="F9313" s="497"/>
      <c r="G9313" s="247">
        <f t="shared" si="150"/>
        <v>-24600</v>
      </c>
      <c r="H9313" s="121" t="s">
        <v>6007</v>
      </c>
    </row>
    <row r="9314" spans="1:8" ht="15" x14ac:dyDescent="0.2">
      <c r="A9314" s="597">
        <v>44033</v>
      </c>
      <c r="B9314" s="424" t="s">
        <v>25</v>
      </c>
      <c r="C9314" s="495" t="s">
        <v>1689</v>
      </c>
      <c r="D9314" s="805" t="s">
        <v>370</v>
      </c>
      <c r="E9314" s="496">
        <v>61097</v>
      </c>
      <c r="F9314" s="497"/>
      <c r="G9314" s="247">
        <f t="shared" si="150"/>
        <v>-61097</v>
      </c>
      <c r="H9314" s="121" t="s">
        <v>6007</v>
      </c>
    </row>
    <row r="9315" spans="1:8" ht="15" x14ac:dyDescent="0.2">
      <c r="A9315" s="597">
        <v>44033</v>
      </c>
      <c r="B9315" s="424" t="s">
        <v>16</v>
      </c>
      <c r="C9315" s="495" t="s">
        <v>1689</v>
      </c>
      <c r="D9315" s="805" t="s">
        <v>370</v>
      </c>
      <c r="E9315" s="496">
        <v>4120</v>
      </c>
      <c r="F9315" s="497"/>
      <c r="G9315" s="247">
        <f t="shared" si="150"/>
        <v>-4120</v>
      </c>
      <c r="H9315" s="121" t="s">
        <v>6007</v>
      </c>
    </row>
    <row r="9316" spans="1:8" ht="15" x14ac:dyDescent="0.2">
      <c r="A9316" s="597">
        <v>44034</v>
      </c>
      <c r="B9316" s="424" t="s">
        <v>5641</v>
      </c>
      <c r="C9316" s="495" t="s">
        <v>3145</v>
      </c>
      <c r="D9316" s="805" t="s">
        <v>6074</v>
      </c>
      <c r="E9316" s="496">
        <v>5350</v>
      </c>
      <c r="F9316" s="497"/>
      <c r="G9316" s="247">
        <f t="shared" si="150"/>
        <v>-5350</v>
      </c>
      <c r="H9316" s="121" t="s">
        <v>6007</v>
      </c>
    </row>
    <row r="9317" spans="1:8" ht="15" x14ac:dyDescent="0.2">
      <c r="A9317" s="597">
        <v>44034</v>
      </c>
      <c r="B9317" s="424" t="s">
        <v>2652</v>
      </c>
      <c r="C9317" s="495" t="s">
        <v>3145</v>
      </c>
      <c r="D9317" s="805" t="s">
        <v>5358</v>
      </c>
      <c r="E9317" s="496">
        <v>2950</v>
      </c>
      <c r="F9317" s="497"/>
      <c r="G9317" s="247">
        <f t="shared" si="150"/>
        <v>-2950</v>
      </c>
      <c r="H9317" s="121" t="s">
        <v>6007</v>
      </c>
    </row>
    <row r="9318" spans="1:8" ht="15" x14ac:dyDescent="0.2">
      <c r="A9318" s="597">
        <v>44034</v>
      </c>
      <c r="B9318" s="424" t="s">
        <v>5641</v>
      </c>
      <c r="C9318" s="495" t="s">
        <v>3145</v>
      </c>
      <c r="D9318" s="805" t="s">
        <v>5358</v>
      </c>
      <c r="E9318" s="496">
        <v>6700</v>
      </c>
      <c r="F9318" s="497"/>
      <c r="G9318" s="247">
        <f t="shared" si="150"/>
        <v>-6700</v>
      </c>
      <c r="H9318" s="121" t="s">
        <v>6007</v>
      </c>
    </row>
    <row r="9319" spans="1:8" ht="15" x14ac:dyDescent="0.2">
      <c r="A9319" s="597">
        <v>44034</v>
      </c>
      <c r="B9319" s="424" t="s">
        <v>11</v>
      </c>
      <c r="C9319" s="495" t="s">
        <v>2503</v>
      </c>
      <c r="D9319" s="805" t="s">
        <v>6129</v>
      </c>
      <c r="E9319" s="496">
        <v>3000</v>
      </c>
      <c r="F9319" s="497"/>
      <c r="G9319" s="247">
        <f t="shared" si="150"/>
        <v>-3000</v>
      </c>
      <c r="H9319" s="121" t="s">
        <v>6007</v>
      </c>
    </row>
    <row r="9320" spans="1:8" ht="15" x14ac:dyDescent="0.2">
      <c r="A9320" s="597">
        <v>44035</v>
      </c>
      <c r="B9320" s="424" t="s">
        <v>1400</v>
      </c>
      <c r="C9320" s="495" t="s">
        <v>3033</v>
      </c>
      <c r="D9320" s="805" t="s">
        <v>370</v>
      </c>
      <c r="E9320" s="496">
        <v>4000</v>
      </c>
      <c r="F9320" s="497"/>
      <c r="G9320" s="247">
        <f t="shared" si="150"/>
        <v>-4000</v>
      </c>
      <c r="H9320" s="121" t="s">
        <v>6007</v>
      </c>
    </row>
    <row r="9321" spans="1:8" ht="15" x14ac:dyDescent="0.2">
      <c r="A9321" s="597">
        <v>44035</v>
      </c>
      <c r="B9321" s="424" t="s">
        <v>2652</v>
      </c>
      <c r="C9321" s="495" t="s">
        <v>3145</v>
      </c>
      <c r="D9321" s="805" t="s">
        <v>6075</v>
      </c>
      <c r="E9321" s="496">
        <v>440</v>
      </c>
      <c r="F9321" s="497"/>
      <c r="G9321" s="247">
        <f t="shared" ref="G9321:G9384" si="151">F9321-E9321</f>
        <v>-440</v>
      </c>
      <c r="H9321" s="121" t="s">
        <v>6007</v>
      </c>
    </row>
    <row r="9322" spans="1:8" ht="15" x14ac:dyDescent="0.2">
      <c r="A9322" s="597">
        <v>44035</v>
      </c>
      <c r="B9322" s="424" t="s">
        <v>4553</v>
      </c>
      <c r="C9322" s="495" t="s">
        <v>3145</v>
      </c>
      <c r="D9322" s="805" t="s">
        <v>6076</v>
      </c>
      <c r="E9322" s="496">
        <v>8000</v>
      </c>
      <c r="F9322" s="497"/>
      <c r="G9322" s="247">
        <f t="shared" si="151"/>
        <v>-8000</v>
      </c>
      <c r="H9322" s="121" t="s">
        <v>6007</v>
      </c>
    </row>
    <row r="9323" spans="1:8" ht="15" x14ac:dyDescent="0.2">
      <c r="A9323" s="597">
        <v>44035</v>
      </c>
      <c r="B9323" s="424" t="s">
        <v>1400</v>
      </c>
      <c r="C9323" s="495" t="s">
        <v>551</v>
      </c>
      <c r="D9323" s="805" t="s">
        <v>6193</v>
      </c>
      <c r="E9323" s="496">
        <v>4200</v>
      </c>
      <c r="F9323" s="497"/>
      <c r="G9323" s="247">
        <f t="shared" si="151"/>
        <v>-4200</v>
      </c>
      <c r="H9323" s="121" t="s">
        <v>6007</v>
      </c>
    </row>
    <row r="9324" spans="1:8" ht="15" x14ac:dyDescent="0.2">
      <c r="A9324" s="597">
        <v>44035</v>
      </c>
      <c r="B9324" s="424" t="s">
        <v>2652</v>
      </c>
      <c r="C9324" s="495" t="s">
        <v>5741</v>
      </c>
      <c r="D9324" s="805"/>
      <c r="E9324" s="496">
        <v>2350</v>
      </c>
      <c r="F9324" s="497"/>
      <c r="G9324" s="247">
        <f t="shared" si="151"/>
        <v>-2350</v>
      </c>
      <c r="H9324" s="121" t="s">
        <v>6007</v>
      </c>
    </row>
    <row r="9325" spans="1:8" ht="15" x14ac:dyDescent="0.2">
      <c r="A9325" s="597">
        <v>44036</v>
      </c>
      <c r="B9325" s="424" t="s">
        <v>1400</v>
      </c>
      <c r="C9325" s="495"/>
      <c r="D9325" s="805" t="s">
        <v>6077</v>
      </c>
      <c r="E9325" s="496">
        <v>600</v>
      </c>
      <c r="F9325" s="497"/>
      <c r="G9325" s="247">
        <f t="shared" si="151"/>
        <v>-600</v>
      </c>
      <c r="H9325" s="121" t="s">
        <v>6007</v>
      </c>
    </row>
    <row r="9326" spans="1:8" ht="15" x14ac:dyDescent="0.2">
      <c r="A9326" s="597">
        <v>44039</v>
      </c>
      <c r="B9326" s="424" t="s">
        <v>16</v>
      </c>
      <c r="C9326" s="495" t="s">
        <v>6078</v>
      </c>
      <c r="D9326" s="805" t="s">
        <v>370</v>
      </c>
      <c r="E9326" s="496">
        <v>2000</v>
      </c>
      <c r="F9326" s="497"/>
      <c r="G9326" s="247">
        <f t="shared" si="151"/>
        <v>-2000</v>
      </c>
      <c r="H9326" s="121" t="s">
        <v>6007</v>
      </c>
    </row>
    <row r="9327" spans="1:8" ht="15" x14ac:dyDescent="0.2">
      <c r="A9327" s="597">
        <v>44039</v>
      </c>
      <c r="B9327" s="424" t="s">
        <v>1400</v>
      </c>
      <c r="C9327" s="495" t="s">
        <v>3145</v>
      </c>
      <c r="D9327" s="805" t="s">
        <v>5384</v>
      </c>
      <c r="E9327" s="496">
        <v>3715</v>
      </c>
      <c r="F9327" s="497"/>
      <c r="G9327" s="247">
        <f t="shared" si="151"/>
        <v>-3715</v>
      </c>
      <c r="H9327" s="121" t="s">
        <v>6007</v>
      </c>
    </row>
    <row r="9328" spans="1:8" ht="15" x14ac:dyDescent="0.2">
      <c r="A9328" s="597">
        <v>44039</v>
      </c>
      <c r="B9328" s="424" t="s">
        <v>5811</v>
      </c>
      <c r="C9328" s="495" t="s">
        <v>3145</v>
      </c>
      <c r="D9328" s="805" t="s">
        <v>6079</v>
      </c>
      <c r="E9328" s="496">
        <v>1900</v>
      </c>
      <c r="F9328" s="497"/>
      <c r="G9328" s="247">
        <f t="shared" si="151"/>
        <v>-1900</v>
      </c>
      <c r="H9328" s="121" t="s">
        <v>6007</v>
      </c>
    </row>
    <row r="9329" spans="1:8" ht="15" x14ac:dyDescent="0.2">
      <c r="A9329" s="597">
        <v>44039</v>
      </c>
      <c r="B9329" s="424" t="s">
        <v>5811</v>
      </c>
      <c r="C9329" s="495" t="s">
        <v>3145</v>
      </c>
      <c r="D9329" s="805" t="s">
        <v>6080</v>
      </c>
      <c r="E9329" s="496">
        <v>5450</v>
      </c>
      <c r="F9329" s="497"/>
      <c r="G9329" s="247">
        <f t="shared" si="151"/>
        <v>-5450</v>
      </c>
      <c r="H9329" s="121" t="s">
        <v>6007</v>
      </c>
    </row>
    <row r="9330" spans="1:8" ht="15" x14ac:dyDescent="0.2">
      <c r="A9330" s="597">
        <v>44039</v>
      </c>
      <c r="B9330" s="424" t="s">
        <v>5544</v>
      </c>
      <c r="C9330" s="495" t="s">
        <v>3145</v>
      </c>
      <c r="D9330" s="805" t="s">
        <v>5747</v>
      </c>
      <c r="E9330" s="496">
        <v>3500</v>
      </c>
      <c r="F9330" s="497"/>
      <c r="G9330" s="247">
        <f t="shared" si="151"/>
        <v>-3500</v>
      </c>
      <c r="H9330" s="121" t="s">
        <v>6007</v>
      </c>
    </row>
    <row r="9331" spans="1:8" ht="15" x14ac:dyDescent="0.2">
      <c r="A9331" s="597">
        <v>44039</v>
      </c>
      <c r="B9331" s="424" t="s">
        <v>1400</v>
      </c>
      <c r="C9331" s="495" t="s">
        <v>3145</v>
      </c>
      <c r="D9331" s="805" t="s">
        <v>6081</v>
      </c>
      <c r="E9331" s="496">
        <v>31520</v>
      </c>
      <c r="F9331" s="497"/>
      <c r="G9331" s="247">
        <f t="shared" si="151"/>
        <v>-31520</v>
      </c>
      <c r="H9331" s="121" t="s">
        <v>6007</v>
      </c>
    </row>
    <row r="9332" spans="1:8" ht="15" x14ac:dyDescent="0.2">
      <c r="A9332" s="597">
        <v>44039</v>
      </c>
      <c r="B9332" s="424" t="s">
        <v>16</v>
      </c>
      <c r="C9332" s="495" t="s">
        <v>5341</v>
      </c>
      <c r="D9332" s="805" t="s">
        <v>6082</v>
      </c>
      <c r="E9332" s="496">
        <v>3000</v>
      </c>
      <c r="F9332" s="497"/>
      <c r="G9332" s="247">
        <f t="shared" si="151"/>
        <v>-3000</v>
      </c>
      <c r="H9332" s="121" t="s">
        <v>6007</v>
      </c>
    </row>
    <row r="9333" spans="1:8" ht="15" x14ac:dyDescent="0.2">
      <c r="A9333" s="597">
        <v>44041</v>
      </c>
      <c r="B9333" s="424" t="s">
        <v>1400</v>
      </c>
      <c r="C9333" s="495" t="s">
        <v>4908</v>
      </c>
      <c r="D9333" s="805" t="s">
        <v>370</v>
      </c>
      <c r="E9333" s="496">
        <v>12000</v>
      </c>
      <c r="F9333" s="497"/>
      <c r="G9333" s="247">
        <f t="shared" si="151"/>
        <v>-12000</v>
      </c>
      <c r="H9333" s="121" t="s">
        <v>6007</v>
      </c>
    </row>
    <row r="9334" spans="1:8" ht="15" x14ac:dyDescent="0.2">
      <c r="A9334" s="597">
        <v>44041</v>
      </c>
      <c r="B9334" s="424" t="s">
        <v>1400</v>
      </c>
      <c r="C9334" s="495" t="s">
        <v>3145</v>
      </c>
      <c r="D9334" s="805" t="s">
        <v>6081</v>
      </c>
      <c r="E9334" s="496">
        <v>42300</v>
      </c>
      <c r="F9334" s="497"/>
      <c r="G9334" s="247">
        <f t="shared" si="151"/>
        <v>-42300</v>
      </c>
      <c r="H9334" s="121" t="s">
        <v>6007</v>
      </c>
    </row>
    <row r="9335" spans="1:8" ht="15" x14ac:dyDescent="0.2">
      <c r="A9335" s="597">
        <v>44041</v>
      </c>
      <c r="B9335" s="424" t="s">
        <v>1400</v>
      </c>
      <c r="C9335" s="495" t="s">
        <v>2190</v>
      </c>
      <c r="D9335" s="805"/>
      <c r="E9335" s="496">
        <v>2700</v>
      </c>
      <c r="F9335" s="497"/>
      <c r="G9335" s="247">
        <f t="shared" si="151"/>
        <v>-2700</v>
      </c>
      <c r="H9335" s="121" t="s">
        <v>6007</v>
      </c>
    </row>
    <row r="9336" spans="1:8" ht="15" x14ac:dyDescent="0.2">
      <c r="A9336" s="597">
        <v>44041</v>
      </c>
      <c r="B9336" s="424" t="s">
        <v>2652</v>
      </c>
      <c r="C9336" s="495" t="s">
        <v>2190</v>
      </c>
      <c r="D9336" s="805"/>
      <c r="E9336" s="496">
        <v>600</v>
      </c>
      <c r="F9336" s="497"/>
      <c r="G9336" s="247">
        <f t="shared" si="151"/>
        <v>-600</v>
      </c>
      <c r="H9336" s="121" t="s">
        <v>6007</v>
      </c>
    </row>
    <row r="9337" spans="1:8" ht="15" x14ac:dyDescent="0.2">
      <c r="A9337" s="597">
        <v>44042</v>
      </c>
      <c r="B9337" s="424" t="s">
        <v>1400</v>
      </c>
      <c r="C9337" s="495" t="s">
        <v>6141</v>
      </c>
      <c r="D9337" s="805" t="s">
        <v>6092</v>
      </c>
      <c r="E9337" s="496">
        <v>30400</v>
      </c>
      <c r="F9337" s="497"/>
      <c r="G9337" s="247">
        <f t="shared" si="151"/>
        <v>-30400</v>
      </c>
      <c r="H9337" s="121" t="s">
        <v>6007</v>
      </c>
    </row>
    <row r="9338" spans="1:8" ht="15" x14ac:dyDescent="0.2">
      <c r="A9338" s="597">
        <v>44042</v>
      </c>
      <c r="B9338" s="424" t="s">
        <v>16</v>
      </c>
      <c r="C9338" s="495" t="s">
        <v>392</v>
      </c>
      <c r="D9338" s="805" t="s">
        <v>6093</v>
      </c>
      <c r="E9338" s="496">
        <v>120</v>
      </c>
      <c r="F9338" s="497"/>
      <c r="G9338" s="247">
        <f t="shared" si="151"/>
        <v>-120</v>
      </c>
      <c r="H9338" s="121" t="s">
        <v>6007</v>
      </c>
    </row>
    <row r="9339" spans="1:8" ht="15" x14ac:dyDescent="0.2">
      <c r="A9339" s="597">
        <v>44042</v>
      </c>
      <c r="B9339" s="424" t="s">
        <v>16</v>
      </c>
      <c r="C9339" s="495" t="s">
        <v>392</v>
      </c>
      <c r="D9339" s="805" t="s">
        <v>6093</v>
      </c>
      <c r="E9339" s="496">
        <v>250</v>
      </c>
      <c r="F9339" s="497"/>
      <c r="G9339" s="247">
        <f t="shared" si="151"/>
        <v>-250</v>
      </c>
      <c r="H9339" s="121" t="s">
        <v>6007</v>
      </c>
    </row>
    <row r="9340" spans="1:8" ht="15.75" thickBot="1" x14ac:dyDescent="0.25">
      <c r="A9340" s="597">
        <v>44042</v>
      </c>
      <c r="B9340" s="424" t="s">
        <v>2652</v>
      </c>
      <c r="C9340" s="513" t="s">
        <v>4870</v>
      </c>
      <c r="D9340" s="861" t="s">
        <v>6094</v>
      </c>
      <c r="E9340" s="514">
        <v>22000</v>
      </c>
      <c r="F9340" s="497"/>
      <c r="G9340" s="247">
        <f t="shared" si="151"/>
        <v>-22000</v>
      </c>
      <c r="H9340" s="121" t="s">
        <v>6007</v>
      </c>
    </row>
    <row r="9341" spans="1:8" ht="15" x14ac:dyDescent="0.2">
      <c r="A9341" s="597">
        <v>44042</v>
      </c>
      <c r="B9341" s="424" t="s">
        <v>2933</v>
      </c>
      <c r="C9341" s="459" t="s">
        <v>2386</v>
      </c>
      <c r="D9341" s="859" t="s">
        <v>6095</v>
      </c>
      <c r="E9341" s="460">
        <v>6604</v>
      </c>
      <c r="F9341" s="497"/>
      <c r="G9341" s="247">
        <f t="shared" si="151"/>
        <v>-6604</v>
      </c>
      <c r="H9341" s="121" t="s">
        <v>6007</v>
      </c>
    </row>
    <row r="9342" spans="1:8" ht="15" x14ac:dyDescent="0.2">
      <c r="A9342" s="597">
        <v>44042</v>
      </c>
      <c r="B9342" s="424" t="s">
        <v>5604</v>
      </c>
      <c r="C9342" s="478" t="s">
        <v>2386</v>
      </c>
      <c r="D9342" s="805" t="s">
        <v>6095</v>
      </c>
      <c r="E9342" s="479">
        <v>13922</v>
      </c>
      <c r="F9342" s="497"/>
      <c r="G9342" s="247">
        <f t="shared" si="151"/>
        <v>-13922</v>
      </c>
      <c r="H9342" s="121" t="s">
        <v>6007</v>
      </c>
    </row>
    <row r="9343" spans="1:8" ht="15.75" thickBot="1" x14ac:dyDescent="0.25">
      <c r="A9343" s="597">
        <v>44042</v>
      </c>
      <c r="B9343" s="424" t="s">
        <v>1400</v>
      </c>
      <c r="C9343" s="461" t="s">
        <v>2386</v>
      </c>
      <c r="D9343" s="860" t="s">
        <v>6095</v>
      </c>
      <c r="E9343" s="462">
        <v>4474</v>
      </c>
      <c r="F9343" s="497"/>
      <c r="G9343" s="247">
        <f t="shared" si="151"/>
        <v>-4474</v>
      </c>
      <c r="H9343" s="121" t="s">
        <v>6007</v>
      </c>
    </row>
    <row r="9344" spans="1:8" ht="15" x14ac:dyDescent="0.2">
      <c r="A9344" s="597">
        <v>44042</v>
      </c>
      <c r="B9344" s="424" t="s">
        <v>2652</v>
      </c>
      <c r="C9344" s="495" t="s">
        <v>5741</v>
      </c>
      <c r="D9344" s="805" t="s">
        <v>6096</v>
      </c>
      <c r="E9344" s="496">
        <v>500</v>
      </c>
      <c r="F9344" s="497"/>
      <c r="G9344" s="247">
        <f t="shared" si="151"/>
        <v>-500</v>
      </c>
      <c r="H9344" s="121" t="s">
        <v>6007</v>
      </c>
    </row>
    <row r="9345" spans="1:8" ht="15" x14ac:dyDescent="0.2">
      <c r="A9345" s="597">
        <v>44042</v>
      </c>
      <c r="B9345" s="424" t="s">
        <v>4553</v>
      </c>
      <c r="C9345" s="495" t="s">
        <v>286</v>
      </c>
      <c r="D9345" s="805" t="s">
        <v>6055</v>
      </c>
      <c r="E9345" s="496">
        <v>1000</v>
      </c>
      <c r="F9345" s="497"/>
      <c r="G9345" s="247">
        <f t="shared" si="151"/>
        <v>-1000</v>
      </c>
      <c r="H9345" s="121" t="s">
        <v>6007</v>
      </c>
    </row>
    <row r="9346" spans="1:8" ht="15" x14ac:dyDescent="0.2">
      <c r="A9346" s="597">
        <v>44042</v>
      </c>
      <c r="B9346" s="424" t="s">
        <v>16</v>
      </c>
      <c r="C9346" s="495" t="s">
        <v>463</v>
      </c>
      <c r="D9346" s="805" t="s">
        <v>6102</v>
      </c>
      <c r="E9346" s="496">
        <v>38381</v>
      </c>
      <c r="F9346" s="497"/>
      <c r="G9346" s="247">
        <f t="shared" si="151"/>
        <v>-38381</v>
      </c>
      <c r="H9346" s="121" t="s">
        <v>6007</v>
      </c>
    </row>
    <row r="9347" spans="1:8" ht="15" x14ac:dyDescent="0.2">
      <c r="A9347" s="597">
        <v>44042</v>
      </c>
      <c r="B9347" s="424" t="s">
        <v>1400</v>
      </c>
      <c r="C9347" s="495" t="s">
        <v>2503</v>
      </c>
      <c r="D9347" s="805" t="s">
        <v>372</v>
      </c>
      <c r="E9347" s="496">
        <v>50000</v>
      </c>
      <c r="F9347" s="497"/>
      <c r="G9347" s="247">
        <f t="shared" si="151"/>
        <v>-50000</v>
      </c>
      <c r="H9347" s="121" t="s">
        <v>6007</v>
      </c>
    </row>
    <row r="9348" spans="1:8" ht="15" x14ac:dyDescent="0.2">
      <c r="A9348" s="597">
        <v>44042</v>
      </c>
      <c r="B9348" s="424" t="s">
        <v>2652</v>
      </c>
      <c r="C9348" s="495" t="s">
        <v>2503</v>
      </c>
      <c r="D9348" s="805" t="s">
        <v>551</v>
      </c>
      <c r="E9348" s="496">
        <v>50000</v>
      </c>
      <c r="F9348" s="497"/>
      <c r="G9348" s="247">
        <f t="shared" si="151"/>
        <v>-50000</v>
      </c>
      <c r="H9348" s="121" t="s">
        <v>6007</v>
      </c>
    </row>
    <row r="9349" spans="1:8" ht="15" x14ac:dyDescent="0.2">
      <c r="A9349" s="597">
        <v>44042</v>
      </c>
      <c r="B9349" s="424" t="s">
        <v>25</v>
      </c>
      <c r="C9349" s="495" t="s">
        <v>2503</v>
      </c>
      <c r="D9349" s="805"/>
      <c r="E9349" s="496">
        <v>60000</v>
      </c>
      <c r="F9349" s="497"/>
      <c r="G9349" s="247">
        <f t="shared" si="151"/>
        <v>-60000</v>
      </c>
      <c r="H9349" s="121" t="s">
        <v>6007</v>
      </c>
    </row>
    <row r="9350" spans="1:8" ht="15" x14ac:dyDescent="0.2">
      <c r="A9350" s="597">
        <v>44042</v>
      </c>
      <c r="B9350" s="424" t="s">
        <v>16</v>
      </c>
      <c r="C9350" s="495" t="s">
        <v>2503</v>
      </c>
      <c r="D9350" s="805"/>
      <c r="E9350" s="496">
        <v>66000</v>
      </c>
      <c r="F9350" s="497"/>
      <c r="G9350" s="247">
        <f t="shared" si="151"/>
        <v>-66000</v>
      </c>
      <c r="H9350" s="121" t="s">
        <v>6007</v>
      </c>
    </row>
    <row r="9351" spans="1:8" ht="15" x14ac:dyDescent="0.2">
      <c r="A9351" s="597">
        <v>44042</v>
      </c>
      <c r="B9351" s="424" t="s">
        <v>3945</v>
      </c>
      <c r="C9351" s="495" t="s">
        <v>2503</v>
      </c>
      <c r="D9351" s="805"/>
      <c r="E9351" s="496">
        <v>32250</v>
      </c>
      <c r="F9351" s="497"/>
      <c r="G9351" s="247">
        <f t="shared" si="151"/>
        <v>-32250</v>
      </c>
      <c r="H9351" s="121" t="s">
        <v>6007</v>
      </c>
    </row>
    <row r="9352" spans="1:8" ht="15" x14ac:dyDescent="0.2">
      <c r="A9352" s="597">
        <v>44042</v>
      </c>
      <c r="B9352" s="424" t="s">
        <v>3946</v>
      </c>
      <c r="C9352" s="495" t="s">
        <v>2503</v>
      </c>
      <c r="D9352" s="805"/>
      <c r="E9352" s="496">
        <v>30919.354838709678</v>
      </c>
      <c r="F9352" s="497"/>
      <c r="G9352" s="247">
        <f t="shared" si="151"/>
        <v>-30919.354838709678</v>
      </c>
      <c r="H9352" s="121" t="s">
        <v>6007</v>
      </c>
    </row>
    <row r="9353" spans="1:8" ht="15" x14ac:dyDescent="0.2">
      <c r="A9353" s="597">
        <v>44042</v>
      </c>
      <c r="B9353" s="424" t="s">
        <v>1400</v>
      </c>
      <c r="C9353" s="495" t="s">
        <v>2503</v>
      </c>
      <c r="D9353" s="805"/>
      <c r="E9353" s="496">
        <v>168661.24193548388</v>
      </c>
      <c r="F9353" s="497"/>
      <c r="G9353" s="247">
        <f t="shared" si="151"/>
        <v>-168661.24193548388</v>
      </c>
      <c r="H9353" s="121" t="s">
        <v>6007</v>
      </c>
    </row>
    <row r="9354" spans="1:8" ht="15" x14ac:dyDescent="0.2">
      <c r="A9354" s="597">
        <v>44042</v>
      </c>
      <c r="B9354" s="424" t="s">
        <v>6516</v>
      </c>
      <c r="C9354" s="495" t="s">
        <v>2503</v>
      </c>
      <c r="D9354" s="805"/>
      <c r="E9354" s="496">
        <v>105737.90322580645</v>
      </c>
      <c r="F9354" s="497"/>
      <c r="G9354" s="247">
        <f t="shared" si="151"/>
        <v>-105737.90322580645</v>
      </c>
      <c r="H9354" s="121" t="s">
        <v>6007</v>
      </c>
    </row>
    <row r="9355" spans="1:8" ht="15" x14ac:dyDescent="0.2">
      <c r="A9355" s="597">
        <v>44042</v>
      </c>
      <c r="B9355" s="424" t="s">
        <v>37</v>
      </c>
      <c r="C9355" s="495" t="s">
        <v>2503</v>
      </c>
      <c r="D9355" s="805"/>
      <c r="E9355" s="496">
        <v>92983.870967741939</v>
      </c>
      <c r="F9355" s="497"/>
      <c r="G9355" s="247">
        <f t="shared" si="151"/>
        <v>-92983.870967741939</v>
      </c>
      <c r="H9355" s="121" t="s">
        <v>6007</v>
      </c>
    </row>
    <row r="9356" spans="1:8" ht="15" x14ac:dyDescent="0.2">
      <c r="A9356" s="597">
        <v>44042</v>
      </c>
      <c r="B9356" s="424" t="s">
        <v>2933</v>
      </c>
      <c r="C9356" s="495" t="s">
        <v>2503</v>
      </c>
      <c r="D9356" s="805"/>
      <c r="E9356" s="496">
        <v>31726</v>
      </c>
      <c r="F9356" s="497"/>
      <c r="G9356" s="247">
        <f t="shared" si="151"/>
        <v>-31726</v>
      </c>
      <c r="H9356" s="121" t="s">
        <v>6007</v>
      </c>
    </row>
    <row r="9357" spans="1:8" ht="15" x14ac:dyDescent="0.2">
      <c r="A9357" s="597">
        <v>44042</v>
      </c>
      <c r="B9357" s="424" t="s">
        <v>2652</v>
      </c>
      <c r="C9357" s="495" t="s">
        <v>2503</v>
      </c>
      <c r="D9357" s="805"/>
      <c r="E9357" s="496">
        <v>178672</v>
      </c>
      <c r="F9357" s="497"/>
      <c r="G9357" s="247">
        <f t="shared" si="151"/>
        <v>-178672</v>
      </c>
      <c r="H9357" s="121" t="s">
        <v>6007</v>
      </c>
    </row>
    <row r="9358" spans="1:8" ht="15" x14ac:dyDescent="0.2">
      <c r="A9358" s="597">
        <v>44042</v>
      </c>
      <c r="B9358" s="424" t="s">
        <v>5811</v>
      </c>
      <c r="C9358" s="495" t="s">
        <v>2503</v>
      </c>
      <c r="D9358" s="805"/>
      <c r="E9358" s="496">
        <v>36258</v>
      </c>
      <c r="F9358" s="497"/>
      <c r="G9358" s="247">
        <f t="shared" si="151"/>
        <v>-36258</v>
      </c>
      <c r="H9358" s="121" t="s">
        <v>6007</v>
      </c>
    </row>
    <row r="9359" spans="1:8" ht="15" x14ac:dyDescent="0.2">
      <c r="A9359" s="607">
        <v>44018</v>
      </c>
      <c r="B9359" s="492" t="s">
        <v>1400</v>
      </c>
      <c r="C9359" s="490" t="s">
        <v>6024</v>
      </c>
      <c r="D9359" s="865" t="s">
        <v>6025</v>
      </c>
      <c r="E9359" s="441">
        <v>32020</v>
      </c>
      <c r="F9359" s="439"/>
      <c r="G9359" s="158">
        <f t="shared" si="151"/>
        <v>-32020</v>
      </c>
      <c r="H9359" s="423" t="s">
        <v>6007</v>
      </c>
    </row>
    <row r="9360" spans="1:8" ht="15.75" thickBot="1" x14ac:dyDescent="0.25">
      <c r="A9360" s="602">
        <v>44018</v>
      </c>
      <c r="B9360" s="380" t="s">
        <v>2652</v>
      </c>
      <c r="C9360" s="494" t="s">
        <v>6024</v>
      </c>
      <c r="D9360" s="849" t="s">
        <v>6025</v>
      </c>
      <c r="E9360" s="393">
        <v>67980</v>
      </c>
      <c r="F9360" s="381"/>
      <c r="G9360" s="123">
        <f t="shared" si="151"/>
        <v>-67980</v>
      </c>
      <c r="H9360" s="244" t="s">
        <v>6007</v>
      </c>
    </row>
    <row r="9361" spans="1:8" ht="15.75" thickBot="1" x14ac:dyDescent="0.25">
      <c r="A9361" s="602">
        <v>44018</v>
      </c>
      <c r="B9361" s="492" t="s">
        <v>2933</v>
      </c>
      <c r="C9361" s="493" t="s">
        <v>5643</v>
      </c>
      <c r="D9361" s="866" t="s">
        <v>6026</v>
      </c>
      <c r="E9361" s="445">
        <v>306000</v>
      </c>
      <c r="F9361" s="439"/>
      <c r="G9361" s="123">
        <f t="shared" si="151"/>
        <v>-306000</v>
      </c>
      <c r="H9361" s="244" t="s">
        <v>6007</v>
      </c>
    </row>
    <row r="9362" spans="1:8" ht="24.75" thickBot="1" x14ac:dyDescent="0.25">
      <c r="A9362" s="602">
        <v>44018</v>
      </c>
      <c r="B9362" s="492" t="s">
        <v>1400</v>
      </c>
      <c r="C9362" s="498" t="s">
        <v>6378</v>
      </c>
      <c r="D9362" s="832" t="s">
        <v>6047</v>
      </c>
      <c r="E9362" s="499">
        <v>50000</v>
      </c>
      <c r="F9362" s="439"/>
      <c r="G9362" s="123">
        <f t="shared" si="151"/>
        <v>-50000</v>
      </c>
      <c r="H9362" s="244" t="s">
        <v>6007</v>
      </c>
    </row>
    <row r="9363" spans="1:8" ht="24.75" thickBot="1" x14ac:dyDescent="0.25">
      <c r="A9363" s="602">
        <v>44018</v>
      </c>
      <c r="B9363" s="438" t="s">
        <v>5811</v>
      </c>
      <c r="C9363" s="476" t="s">
        <v>1355</v>
      </c>
      <c r="D9363" s="844" t="s">
        <v>6162</v>
      </c>
      <c r="E9363" s="500">
        <v>295400</v>
      </c>
      <c r="F9363" s="491"/>
      <c r="G9363" s="236">
        <f t="shared" si="151"/>
        <v>-295400</v>
      </c>
      <c r="H9363" s="244" t="s">
        <v>6007</v>
      </c>
    </row>
    <row r="9364" spans="1:8" ht="24.75" thickBot="1" x14ac:dyDescent="0.25">
      <c r="A9364" s="602">
        <v>44018</v>
      </c>
      <c r="B9364" s="436" t="s">
        <v>4553</v>
      </c>
      <c r="C9364" s="501" t="s">
        <v>1355</v>
      </c>
      <c r="D9364" s="844" t="s">
        <v>6162</v>
      </c>
      <c r="E9364" s="502">
        <v>12000</v>
      </c>
      <c r="F9364" s="323"/>
      <c r="G9364" s="323">
        <f t="shared" si="151"/>
        <v>-12000</v>
      </c>
      <c r="H9364" s="396" t="s">
        <v>6007</v>
      </c>
    </row>
    <row r="9365" spans="1:8" ht="24.75" thickBot="1" x14ac:dyDescent="0.25">
      <c r="A9365" s="602">
        <v>44018</v>
      </c>
      <c r="B9365" s="436" t="s">
        <v>1400</v>
      </c>
      <c r="C9365" s="501" t="s">
        <v>1355</v>
      </c>
      <c r="D9365" s="844" t="s">
        <v>6162</v>
      </c>
      <c r="E9365" s="503">
        <v>25800</v>
      </c>
      <c r="F9365" s="323"/>
      <c r="G9365" s="323">
        <f t="shared" si="151"/>
        <v>-25800</v>
      </c>
      <c r="H9365" s="396" t="s">
        <v>6007</v>
      </c>
    </row>
    <row r="9366" spans="1:8" ht="24.75" thickBot="1" x14ac:dyDescent="0.25">
      <c r="A9366" s="602">
        <v>44018</v>
      </c>
      <c r="B9366" s="436" t="s">
        <v>1400</v>
      </c>
      <c r="C9366" s="501" t="s">
        <v>1355</v>
      </c>
      <c r="D9366" s="844" t="s">
        <v>6162</v>
      </c>
      <c r="E9366" s="503">
        <v>54800</v>
      </c>
      <c r="F9366" s="505"/>
      <c r="G9366" s="505">
        <f t="shared" si="151"/>
        <v>-54800</v>
      </c>
      <c r="H9366" s="396" t="s">
        <v>6007</v>
      </c>
    </row>
    <row r="9367" spans="1:8" ht="24.75" thickBot="1" x14ac:dyDescent="0.25">
      <c r="A9367" s="604">
        <v>44018</v>
      </c>
      <c r="B9367" s="437" t="s">
        <v>4553</v>
      </c>
      <c r="C9367" s="477" t="s">
        <v>1355</v>
      </c>
      <c r="D9367" s="867" t="s">
        <v>6162</v>
      </c>
      <c r="E9367" s="504">
        <v>12000</v>
      </c>
      <c r="F9367" s="505"/>
      <c r="G9367" s="505">
        <f t="shared" si="151"/>
        <v>-12000</v>
      </c>
      <c r="H9367" s="396" t="s">
        <v>6007</v>
      </c>
    </row>
    <row r="9368" spans="1:8" ht="15" x14ac:dyDescent="0.2">
      <c r="A9368" s="602">
        <v>44027</v>
      </c>
      <c r="B9368" s="174" t="s">
        <v>2652</v>
      </c>
      <c r="C9368" s="240" t="s">
        <v>5681</v>
      </c>
      <c r="D9368" s="837" t="s">
        <v>6049</v>
      </c>
      <c r="E9368" s="241">
        <v>77000</v>
      </c>
      <c r="F9368" s="236"/>
      <c r="G9368" s="236">
        <f t="shared" si="151"/>
        <v>-77000</v>
      </c>
      <c r="H9368" s="396" t="s">
        <v>6007</v>
      </c>
    </row>
    <row r="9369" spans="1:8" ht="15.75" thickBot="1" x14ac:dyDescent="0.25">
      <c r="A9369" s="602">
        <v>44027</v>
      </c>
      <c r="B9369" s="174" t="s">
        <v>1400</v>
      </c>
      <c r="C9369" s="258" t="s">
        <v>5681</v>
      </c>
      <c r="D9369" s="868" t="s">
        <v>6048</v>
      </c>
      <c r="E9369" s="229">
        <v>148600</v>
      </c>
      <c r="F9369" s="236"/>
      <c r="G9369" s="236">
        <f t="shared" si="151"/>
        <v>-148600</v>
      </c>
      <c r="H9369" s="396" t="s">
        <v>6007</v>
      </c>
    </row>
    <row r="9370" spans="1:8" ht="15" x14ac:dyDescent="0.2">
      <c r="A9370" s="602">
        <v>44027</v>
      </c>
      <c r="B9370" s="436" t="s">
        <v>5641</v>
      </c>
      <c r="C9370" s="476" t="s">
        <v>3011</v>
      </c>
      <c r="D9370" s="844" t="s">
        <v>6051</v>
      </c>
      <c r="E9370" s="500">
        <v>45440</v>
      </c>
      <c r="F9370" s="323"/>
      <c r="G9370" s="236">
        <f t="shared" si="151"/>
        <v>-45440</v>
      </c>
      <c r="H9370" s="396" t="s">
        <v>6007</v>
      </c>
    </row>
    <row r="9371" spans="1:8" ht="15.75" thickBot="1" x14ac:dyDescent="0.25">
      <c r="A9371" s="602">
        <v>44027</v>
      </c>
      <c r="B9371" s="436" t="s">
        <v>5604</v>
      </c>
      <c r="C9371" s="477" t="s">
        <v>3011</v>
      </c>
      <c r="D9371" s="845" t="s">
        <v>6050</v>
      </c>
      <c r="E9371" s="504">
        <v>54560</v>
      </c>
      <c r="F9371" s="323"/>
      <c r="G9371" s="236">
        <f t="shared" si="151"/>
        <v>-54560</v>
      </c>
      <c r="H9371" s="396" t="s">
        <v>6007</v>
      </c>
    </row>
    <row r="9372" spans="1:8" ht="15" x14ac:dyDescent="0.2">
      <c r="A9372" s="602">
        <v>44027</v>
      </c>
      <c r="B9372" s="174" t="s">
        <v>2933</v>
      </c>
      <c r="C9372" s="240" t="s">
        <v>3446</v>
      </c>
      <c r="D9372" s="837" t="s">
        <v>6052</v>
      </c>
      <c r="E9372" s="241">
        <v>80000</v>
      </c>
      <c r="F9372" s="236"/>
      <c r="G9372" s="236">
        <f t="shared" si="151"/>
        <v>-80000</v>
      </c>
      <c r="H9372" s="396" t="s">
        <v>6007</v>
      </c>
    </row>
    <row r="9373" spans="1:8" ht="15.75" thickBot="1" x14ac:dyDescent="0.25">
      <c r="A9373" s="602">
        <v>44033</v>
      </c>
      <c r="B9373" s="240" t="s">
        <v>1400</v>
      </c>
      <c r="C9373" s="258" t="s">
        <v>6062</v>
      </c>
      <c r="D9373" s="868" t="s">
        <v>6063</v>
      </c>
      <c r="E9373" s="259">
        <v>39000</v>
      </c>
      <c r="F9373" s="241"/>
      <c r="G9373" s="241">
        <f t="shared" si="151"/>
        <v>-39000</v>
      </c>
      <c r="H9373" s="396" t="s">
        <v>6007</v>
      </c>
    </row>
    <row r="9374" spans="1:8" ht="15" x14ac:dyDescent="0.2">
      <c r="A9374" s="602">
        <v>44033</v>
      </c>
      <c r="B9374" s="438" t="s">
        <v>3946</v>
      </c>
      <c r="C9374" s="476" t="s">
        <v>3003</v>
      </c>
      <c r="D9374" s="844" t="s">
        <v>1157</v>
      </c>
      <c r="E9374" s="500">
        <v>18200</v>
      </c>
      <c r="F9374" s="491"/>
      <c r="G9374" s="241">
        <f t="shared" si="151"/>
        <v>-18200</v>
      </c>
      <c r="H9374" s="396" t="s">
        <v>6007</v>
      </c>
    </row>
    <row r="9375" spans="1:8" ht="15" x14ac:dyDescent="0.2">
      <c r="A9375" s="602">
        <v>44033</v>
      </c>
      <c r="B9375" s="438" t="s">
        <v>3945</v>
      </c>
      <c r="C9375" s="507" t="s">
        <v>3003</v>
      </c>
      <c r="D9375" s="837" t="s">
        <v>1157</v>
      </c>
      <c r="E9375" s="508">
        <v>37584</v>
      </c>
      <c r="F9375" s="491"/>
      <c r="G9375" s="241">
        <f t="shared" si="151"/>
        <v>-37584</v>
      </c>
      <c r="H9375" s="396" t="s">
        <v>6007</v>
      </c>
    </row>
    <row r="9376" spans="1:8" ht="15.75" thickBot="1" x14ac:dyDescent="0.25">
      <c r="A9376" s="602">
        <v>44033</v>
      </c>
      <c r="B9376" s="438" t="s">
        <v>37</v>
      </c>
      <c r="C9376" s="509" t="s">
        <v>3003</v>
      </c>
      <c r="D9376" s="845" t="s">
        <v>1157</v>
      </c>
      <c r="E9376" s="510">
        <v>36460</v>
      </c>
      <c r="F9376" s="491"/>
      <c r="G9376" s="241">
        <f t="shared" si="151"/>
        <v>-36460</v>
      </c>
      <c r="H9376" s="396" t="s">
        <v>6007</v>
      </c>
    </row>
    <row r="9377" spans="1:8" ht="15" x14ac:dyDescent="0.2">
      <c r="A9377" s="602">
        <v>44034</v>
      </c>
      <c r="B9377" s="174" t="s">
        <v>16</v>
      </c>
      <c r="C9377" s="240" t="s">
        <v>6085</v>
      </c>
      <c r="D9377" s="837" t="s">
        <v>6086</v>
      </c>
      <c r="E9377" s="241">
        <v>5000</v>
      </c>
      <c r="F9377" s="241"/>
      <c r="G9377" s="241">
        <f t="shared" si="151"/>
        <v>-5000</v>
      </c>
      <c r="H9377" s="396" t="s">
        <v>6007</v>
      </c>
    </row>
    <row r="9378" spans="1:8" ht="15" x14ac:dyDescent="0.2">
      <c r="A9378" s="602">
        <v>44041</v>
      </c>
      <c r="B9378" s="174" t="s">
        <v>1400</v>
      </c>
      <c r="C9378" s="240" t="s">
        <v>2310</v>
      </c>
      <c r="D9378" s="837" t="s">
        <v>6087</v>
      </c>
      <c r="E9378" s="241">
        <v>250080</v>
      </c>
      <c r="F9378" s="241"/>
      <c r="G9378" s="241">
        <f t="shared" si="151"/>
        <v>-250080</v>
      </c>
      <c r="H9378" s="396" t="s">
        <v>6007</v>
      </c>
    </row>
    <row r="9379" spans="1:8" ht="15.75" thickBot="1" x14ac:dyDescent="0.25">
      <c r="A9379" s="602">
        <v>44041</v>
      </c>
      <c r="B9379" s="240" t="s">
        <v>1400</v>
      </c>
      <c r="C9379" s="258" t="s">
        <v>166</v>
      </c>
      <c r="D9379" s="868" t="s">
        <v>6087</v>
      </c>
      <c r="E9379" s="259">
        <v>200000</v>
      </c>
      <c r="F9379" s="241"/>
      <c r="G9379" s="241">
        <f t="shared" si="151"/>
        <v>-200000</v>
      </c>
      <c r="H9379" s="396" t="s">
        <v>6007</v>
      </c>
    </row>
    <row r="9380" spans="1:8" ht="15" x14ac:dyDescent="0.2">
      <c r="A9380" s="602">
        <v>44041</v>
      </c>
      <c r="B9380" s="438" t="s">
        <v>2933</v>
      </c>
      <c r="C9380" s="476" t="s">
        <v>359</v>
      </c>
      <c r="D9380" s="844" t="s">
        <v>6087</v>
      </c>
      <c r="E9380" s="500">
        <v>74001</v>
      </c>
      <c r="F9380" s="491"/>
      <c r="G9380" s="241">
        <f t="shared" si="151"/>
        <v>-74001</v>
      </c>
      <c r="H9380" s="396" t="s">
        <v>6007</v>
      </c>
    </row>
    <row r="9381" spans="1:8" ht="15" x14ac:dyDescent="0.2">
      <c r="A9381" s="602">
        <v>44041</v>
      </c>
      <c r="B9381" s="438" t="s">
        <v>5604</v>
      </c>
      <c r="C9381" s="507" t="s">
        <v>359</v>
      </c>
      <c r="D9381" s="837" t="s">
        <v>6087</v>
      </c>
      <c r="E9381" s="508">
        <v>14629</v>
      </c>
      <c r="F9381" s="491"/>
      <c r="G9381" s="241">
        <f t="shared" si="151"/>
        <v>-14629</v>
      </c>
      <c r="H9381" s="396" t="s">
        <v>6007</v>
      </c>
    </row>
    <row r="9382" spans="1:8" ht="15.75" thickBot="1" x14ac:dyDescent="0.25">
      <c r="A9382" s="602">
        <v>44041</v>
      </c>
      <c r="B9382" s="174" t="s">
        <v>6516</v>
      </c>
      <c r="C9382" s="509" t="s">
        <v>359</v>
      </c>
      <c r="D9382" s="845" t="s">
        <v>6087</v>
      </c>
      <c r="E9382" s="510">
        <v>443</v>
      </c>
      <c r="F9382" s="491"/>
      <c r="G9382" s="241">
        <f t="shared" si="151"/>
        <v>-443</v>
      </c>
      <c r="H9382" s="396" t="s">
        <v>6007</v>
      </c>
    </row>
    <row r="9383" spans="1:8" ht="15" x14ac:dyDescent="0.2">
      <c r="A9383" s="613">
        <v>44014</v>
      </c>
      <c r="B9383" s="238" t="s">
        <v>37</v>
      </c>
      <c r="C9383" s="238" t="s">
        <v>559</v>
      </c>
      <c r="D9383" s="839" t="s">
        <v>6005</v>
      </c>
      <c r="E9383" s="239"/>
      <c r="F9383" s="239">
        <v>141426</v>
      </c>
      <c r="G9383" s="239">
        <f t="shared" si="151"/>
        <v>141426</v>
      </c>
      <c r="H9383" s="506" t="s">
        <v>6007</v>
      </c>
    </row>
    <row r="9384" spans="1:8" ht="15" x14ac:dyDescent="0.2">
      <c r="A9384" s="613">
        <v>44014</v>
      </c>
      <c r="B9384" s="91" t="s">
        <v>37</v>
      </c>
      <c r="C9384" s="91" t="s">
        <v>559</v>
      </c>
      <c r="D9384" s="801" t="s">
        <v>6006</v>
      </c>
      <c r="E9384" s="92"/>
      <c r="F9384" s="92">
        <v>314280</v>
      </c>
      <c r="G9384" s="92">
        <f t="shared" si="151"/>
        <v>314280</v>
      </c>
      <c r="H9384" s="428" t="s">
        <v>6007</v>
      </c>
    </row>
    <row r="9385" spans="1:8" ht="15" x14ac:dyDescent="0.2">
      <c r="A9385" s="618">
        <v>44014</v>
      </c>
      <c r="B9385" s="130" t="s">
        <v>5641</v>
      </c>
      <c r="C9385" s="130" t="s">
        <v>559</v>
      </c>
      <c r="D9385" s="869" t="s">
        <v>6018</v>
      </c>
      <c r="E9385" s="485"/>
      <c r="F9385" s="485">
        <v>239207</v>
      </c>
      <c r="G9385" s="485">
        <f t="shared" ref="G9385:G9448" si="152">F9385-E9385</f>
        <v>239207</v>
      </c>
      <c r="H9385" s="486" t="s">
        <v>6007</v>
      </c>
    </row>
    <row r="9386" spans="1:8" ht="15" x14ac:dyDescent="0.2">
      <c r="A9386" s="618">
        <v>44016</v>
      </c>
      <c r="B9386" s="91" t="s">
        <v>1400</v>
      </c>
      <c r="C9386" s="130" t="s">
        <v>559</v>
      </c>
      <c r="D9386" s="869" t="s">
        <v>9165</v>
      </c>
      <c r="E9386" s="487"/>
      <c r="F9386" s="487">
        <v>700000</v>
      </c>
      <c r="G9386" s="487">
        <f t="shared" si="152"/>
        <v>700000</v>
      </c>
      <c r="H9386" s="486" t="s">
        <v>6007</v>
      </c>
    </row>
    <row r="9387" spans="1:8" ht="15" x14ac:dyDescent="0.2">
      <c r="A9387" s="618">
        <v>44016</v>
      </c>
      <c r="B9387" s="94" t="s">
        <v>1400</v>
      </c>
      <c r="C9387" s="488" t="s">
        <v>559</v>
      </c>
      <c r="D9387" s="802" t="s">
        <v>9166</v>
      </c>
      <c r="E9387" s="489"/>
      <c r="F9387" s="176">
        <v>400000</v>
      </c>
      <c r="G9387" s="176">
        <f t="shared" si="152"/>
        <v>400000</v>
      </c>
      <c r="H9387" s="486" t="s">
        <v>6007</v>
      </c>
    </row>
    <row r="9388" spans="1:8" ht="24" x14ac:dyDescent="0.2">
      <c r="A9388" s="618">
        <v>44019</v>
      </c>
      <c r="B9388" s="94" t="s">
        <v>1400</v>
      </c>
      <c r="C9388" s="488" t="s">
        <v>559</v>
      </c>
      <c r="D9388" s="870" t="s">
        <v>9167</v>
      </c>
      <c r="E9388" s="489"/>
      <c r="F9388" s="92">
        <v>306000</v>
      </c>
      <c r="G9388" s="176">
        <f t="shared" si="152"/>
        <v>306000</v>
      </c>
      <c r="H9388" s="486" t="s">
        <v>6007</v>
      </c>
    </row>
    <row r="9389" spans="1:8" ht="15" x14ac:dyDescent="0.2">
      <c r="A9389" s="618">
        <v>44020</v>
      </c>
      <c r="B9389" s="91" t="s">
        <v>3946</v>
      </c>
      <c r="C9389" s="488" t="s">
        <v>559</v>
      </c>
      <c r="D9389" s="801" t="s">
        <v>6027</v>
      </c>
      <c r="E9389" s="92"/>
      <c r="F9389" s="92">
        <v>168175</v>
      </c>
      <c r="G9389" s="176">
        <f t="shared" si="152"/>
        <v>168175</v>
      </c>
      <c r="H9389" s="486" t="s">
        <v>6007</v>
      </c>
    </row>
    <row r="9390" spans="1:8" ht="15" x14ac:dyDescent="0.2">
      <c r="A9390" s="618">
        <v>44020</v>
      </c>
      <c r="B9390" s="91" t="s">
        <v>3945</v>
      </c>
      <c r="C9390" s="488" t="s">
        <v>559</v>
      </c>
      <c r="D9390" s="801" t="s">
        <v>6033</v>
      </c>
      <c r="E9390" s="92"/>
      <c r="F9390" s="92">
        <v>50962</v>
      </c>
      <c r="G9390" s="176">
        <f t="shared" si="152"/>
        <v>50962</v>
      </c>
      <c r="H9390" s="486" t="s">
        <v>6007</v>
      </c>
    </row>
    <row r="9391" spans="1:8" ht="15" x14ac:dyDescent="0.2">
      <c r="A9391" s="618">
        <v>44025</v>
      </c>
      <c r="B9391" s="91" t="s">
        <v>2652</v>
      </c>
      <c r="C9391" s="488" t="s">
        <v>559</v>
      </c>
      <c r="D9391" s="801" t="s">
        <v>9168</v>
      </c>
      <c r="E9391" s="92"/>
      <c r="F9391" s="92">
        <v>1000000</v>
      </c>
      <c r="G9391" s="92">
        <f t="shared" si="152"/>
        <v>1000000</v>
      </c>
      <c r="H9391" s="486" t="s">
        <v>6007</v>
      </c>
    </row>
    <row r="9392" spans="1:8" ht="15" x14ac:dyDescent="0.2">
      <c r="A9392" s="618">
        <v>44041</v>
      </c>
      <c r="B9392" s="91" t="s">
        <v>1400</v>
      </c>
      <c r="C9392" s="488" t="s">
        <v>559</v>
      </c>
      <c r="D9392" s="801" t="s">
        <v>9169</v>
      </c>
      <c r="E9392" s="92"/>
      <c r="F9392" s="92">
        <v>89073</v>
      </c>
      <c r="G9392" s="92">
        <f t="shared" si="152"/>
        <v>89073</v>
      </c>
      <c r="H9392" s="486" t="s">
        <v>6007</v>
      </c>
    </row>
    <row r="9393" spans="1:8" ht="15" x14ac:dyDescent="0.2">
      <c r="A9393" s="618">
        <v>44041</v>
      </c>
      <c r="B9393" s="91" t="s">
        <v>1400</v>
      </c>
      <c r="C9393" s="488" t="s">
        <v>559</v>
      </c>
      <c r="D9393" s="801" t="s">
        <v>9170</v>
      </c>
      <c r="E9393" s="92"/>
      <c r="F9393" s="92">
        <v>200000</v>
      </c>
      <c r="G9393" s="92">
        <f t="shared" si="152"/>
        <v>200000</v>
      </c>
      <c r="H9393" s="486" t="s">
        <v>6007</v>
      </c>
    </row>
    <row r="9394" spans="1:8" ht="15" x14ac:dyDescent="0.2">
      <c r="A9394" s="618">
        <v>44041</v>
      </c>
      <c r="B9394" s="91" t="s">
        <v>1400</v>
      </c>
      <c r="C9394" s="488" t="s">
        <v>559</v>
      </c>
      <c r="D9394" s="801" t="s">
        <v>9171</v>
      </c>
      <c r="E9394" s="92"/>
      <c r="F9394" s="92">
        <v>250080</v>
      </c>
      <c r="G9394" s="92">
        <f t="shared" si="152"/>
        <v>250080</v>
      </c>
      <c r="H9394" s="486" t="s">
        <v>6007</v>
      </c>
    </row>
    <row r="9395" spans="1:8" ht="15" x14ac:dyDescent="0.2">
      <c r="A9395" s="618">
        <v>44041</v>
      </c>
      <c r="B9395" s="91" t="s">
        <v>1400</v>
      </c>
      <c r="C9395" s="488" t="s">
        <v>559</v>
      </c>
      <c r="D9395" s="801" t="s">
        <v>9172</v>
      </c>
      <c r="E9395" s="92"/>
      <c r="F9395" s="92">
        <v>130745</v>
      </c>
      <c r="G9395" s="92">
        <f t="shared" si="152"/>
        <v>130745</v>
      </c>
      <c r="H9395" s="486" t="s">
        <v>6007</v>
      </c>
    </row>
    <row r="9396" spans="1:8" ht="15" x14ac:dyDescent="0.2">
      <c r="A9396" s="597">
        <v>44044</v>
      </c>
      <c r="B9396" s="41" t="s">
        <v>2652</v>
      </c>
      <c r="C9396" s="63" t="s">
        <v>5741</v>
      </c>
      <c r="D9396" s="129" t="s">
        <v>6096</v>
      </c>
      <c r="E9396" s="58">
        <v>500</v>
      </c>
      <c r="F9396" s="497"/>
      <c r="G9396" s="247">
        <f t="shared" si="152"/>
        <v>-500</v>
      </c>
      <c r="H9396" s="121" t="s">
        <v>6097</v>
      </c>
    </row>
    <row r="9397" spans="1:8" ht="15" x14ac:dyDescent="0.2">
      <c r="A9397" s="597">
        <v>44044</v>
      </c>
      <c r="B9397" s="41" t="s">
        <v>4553</v>
      </c>
      <c r="C9397" s="63" t="s">
        <v>286</v>
      </c>
      <c r="D9397" s="129" t="s">
        <v>6055</v>
      </c>
      <c r="E9397" s="58">
        <v>1000</v>
      </c>
      <c r="F9397" s="497"/>
      <c r="G9397" s="247">
        <f t="shared" si="152"/>
        <v>-1000</v>
      </c>
      <c r="H9397" s="121" t="s">
        <v>6097</v>
      </c>
    </row>
    <row r="9398" spans="1:8" ht="15" x14ac:dyDescent="0.2">
      <c r="A9398" s="597">
        <v>44044</v>
      </c>
      <c r="B9398" s="41" t="s">
        <v>25</v>
      </c>
      <c r="C9398" s="63" t="s">
        <v>2428</v>
      </c>
      <c r="D9398" s="129" t="s">
        <v>6194</v>
      </c>
      <c r="E9398" s="58">
        <v>37668</v>
      </c>
      <c r="F9398" s="497"/>
      <c r="G9398" s="247">
        <f t="shared" si="152"/>
        <v>-37668</v>
      </c>
      <c r="H9398" s="121" t="s">
        <v>6097</v>
      </c>
    </row>
    <row r="9399" spans="1:8" ht="15" x14ac:dyDescent="0.2">
      <c r="A9399" s="597">
        <v>44044</v>
      </c>
      <c r="B9399" s="41" t="s">
        <v>16</v>
      </c>
      <c r="C9399" s="63" t="s">
        <v>3364</v>
      </c>
      <c r="D9399" s="129" t="s">
        <v>370</v>
      </c>
      <c r="E9399" s="58">
        <v>3980</v>
      </c>
      <c r="F9399" s="497"/>
      <c r="G9399" s="247">
        <f t="shared" si="152"/>
        <v>-3980</v>
      </c>
      <c r="H9399" s="121" t="s">
        <v>6097</v>
      </c>
    </row>
    <row r="9400" spans="1:8" ht="15" x14ac:dyDescent="0.2">
      <c r="A9400" s="597">
        <v>44046</v>
      </c>
      <c r="B9400" s="41" t="s">
        <v>16</v>
      </c>
      <c r="C9400" s="63" t="s">
        <v>1495</v>
      </c>
      <c r="D9400" s="129" t="s">
        <v>370</v>
      </c>
      <c r="E9400" s="58">
        <v>1200</v>
      </c>
      <c r="F9400" s="497"/>
      <c r="G9400" s="247">
        <f t="shared" si="152"/>
        <v>-1200</v>
      </c>
      <c r="H9400" s="121" t="s">
        <v>6097</v>
      </c>
    </row>
    <row r="9401" spans="1:8" ht="15" x14ac:dyDescent="0.2">
      <c r="A9401" s="597">
        <v>44048</v>
      </c>
      <c r="B9401" s="41" t="s">
        <v>25</v>
      </c>
      <c r="C9401" s="63" t="s">
        <v>392</v>
      </c>
      <c r="D9401" s="129" t="s">
        <v>2996</v>
      </c>
      <c r="E9401" s="58">
        <v>10500</v>
      </c>
      <c r="F9401" s="497"/>
      <c r="G9401" s="247">
        <f t="shared" si="152"/>
        <v>-10500</v>
      </c>
      <c r="H9401" s="121" t="s">
        <v>6097</v>
      </c>
    </row>
    <row r="9402" spans="1:8" ht="15" x14ac:dyDescent="0.2">
      <c r="A9402" s="597">
        <v>44053</v>
      </c>
      <c r="B9402" s="41" t="s">
        <v>1400</v>
      </c>
      <c r="C9402" s="63" t="s">
        <v>3446</v>
      </c>
      <c r="D9402" s="129" t="s">
        <v>370</v>
      </c>
      <c r="E9402" s="58">
        <v>15000</v>
      </c>
      <c r="F9402" s="497"/>
      <c r="G9402" s="247">
        <f t="shared" si="152"/>
        <v>-15000</v>
      </c>
      <c r="H9402" s="121" t="s">
        <v>6097</v>
      </c>
    </row>
    <row r="9403" spans="1:8" ht="15" x14ac:dyDescent="0.2">
      <c r="A9403" s="597">
        <v>44053</v>
      </c>
      <c r="B9403" s="424" t="s">
        <v>1400</v>
      </c>
      <c r="C9403" s="495" t="s">
        <v>3145</v>
      </c>
      <c r="D9403" s="805" t="s">
        <v>6098</v>
      </c>
      <c r="E9403" s="496">
        <v>4800</v>
      </c>
      <c r="F9403" s="497"/>
      <c r="G9403" s="247">
        <f t="shared" si="152"/>
        <v>-4800</v>
      </c>
      <c r="H9403" s="121" t="s">
        <v>6097</v>
      </c>
    </row>
    <row r="9404" spans="1:8" ht="15" x14ac:dyDescent="0.2">
      <c r="A9404" s="597">
        <v>44060</v>
      </c>
      <c r="B9404" s="424" t="s">
        <v>3945</v>
      </c>
      <c r="C9404" s="513" t="s">
        <v>3003</v>
      </c>
      <c r="D9404" s="861" t="s">
        <v>1157</v>
      </c>
      <c r="E9404" s="514">
        <v>5200</v>
      </c>
      <c r="F9404" s="497"/>
      <c r="G9404" s="247">
        <f t="shared" si="152"/>
        <v>-5200</v>
      </c>
      <c r="H9404" s="121" t="s">
        <v>6097</v>
      </c>
    </row>
    <row r="9405" spans="1:8" ht="15" x14ac:dyDescent="0.2">
      <c r="A9405" s="597">
        <v>44060</v>
      </c>
      <c r="B9405" s="424" t="s">
        <v>1400</v>
      </c>
      <c r="C9405" s="513" t="s">
        <v>392</v>
      </c>
      <c r="D9405" s="861" t="s">
        <v>6195</v>
      </c>
      <c r="E9405" s="514">
        <v>600</v>
      </c>
      <c r="F9405" s="497"/>
      <c r="G9405" s="247">
        <f t="shared" si="152"/>
        <v>-600</v>
      </c>
      <c r="H9405" s="121" t="s">
        <v>6097</v>
      </c>
    </row>
    <row r="9406" spans="1:8" ht="15" x14ac:dyDescent="0.2">
      <c r="A9406" s="597">
        <v>44060</v>
      </c>
      <c r="B9406" s="424" t="s">
        <v>5811</v>
      </c>
      <c r="C9406" s="513" t="s">
        <v>392</v>
      </c>
      <c r="D9406" s="861" t="s">
        <v>6208</v>
      </c>
      <c r="E9406" s="514">
        <v>5000</v>
      </c>
      <c r="F9406" s="497"/>
      <c r="G9406" s="247">
        <f t="shared" si="152"/>
        <v>-5000</v>
      </c>
      <c r="H9406" s="121" t="s">
        <v>6097</v>
      </c>
    </row>
    <row r="9407" spans="1:8" ht="15" x14ac:dyDescent="0.2">
      <c r="A9407" s="597">
        <v>44060</v>
      </c>
      <c r="B9407" s="424" t="s">
        <v>2652</v>
      </c>
      <c r="C9407" s="513" t="s">
        <v>392</v>
      </c>
      <c r="D9407" s="861" t="s">
        <v>6119</v>
      </c>
      <c r="E9407" s="514">
        <v>1000</v>
      </c>
      <c r="F9407" s="497"/>
      <c r="G9407" s="247">
        <f t="shared" si="152"/>
        <v>-1000</v>
      </c>
      <c r="H9407" s="121" t="s">
        <v>6097</v>
      </c>
    </row>
    <row r="9408" spans="1:8" ht="15" x14ac:dyDescent="0.2">
      <c r="A9408" s="597">
        <v>44060</v>
      </c>
      <c r="B9408" s="424" t="s">
        <v>25</v>
      </c>
      <c r="C9408" s="513" t="s">
        <v>2428</v>
      </c>
      <c r="D9408" s="861" t="s">
        <v>6120</v>
      </c>
      <c r="E9408" s="514">
        <v>23144</v>
      </c>
      <c r="F9408" s="497"/>
      <c r="G9408" s="247">
        <f t="shared" si="152"/>
        <v>-23144</v>
      </c>
      <c r="H9408" s="121" t="s">
        <v>6097</v>
      </c>
    </row>
    <row r="9409" spans="1:8" ht="15" x14ac:dyDescent="0.2">
      <c r="A9409" s="597">
        <v>44061</v>
      </c>
      <c r="B9409" s="424" t="s">
        <v>2652</v>
      </c>
      <c r="C9409" s="513" t="s">
        <v>5741</v>
      </c>
      <c r="D9409" s="861" t="s">
        <v>370</v>
      </c>
      <c r="E9409" s="514">
        <v>500</v>
      </c>
      <c r="F9409" s="497"/>
      <c r="G9409" s="247">
        <f t="shared" si="152"/>
        <v>-500</v>
      </c>
      <c r="H9409" s="121" t="s">
        <v>6097</v>
      </c>
    </row>
    <row r="9410" spans="1:8" ht="15" x14ac:dyDescent="0.2">
      <c r="A9410" s="597">
        <v>44061</v>
      </c>
      <c r="B9410" s="424" t="s">
        <v>3946</v>
      </c>
      <c r="C9410" s="513" t="s">
        <v>286</v>
      </c>
      <c r="D9410" s="861" t="s">
        <v>4901</v>
      </c>
      <c r="E9410" s="514">
        <v>6250</v>
      </c>
      <c r="F9410" s="497"/>
      <c r="G9410" s="247">
        <f t="shared" si="152"/>
        <v>-6250</v>
      </c>
      <c r="H9410" s="121" t="s">
        <v>6097</v>
      </c>
    </row>
    <row r="9411" spans="1:8" ht="15" x14ac:dyDescent="0.2">
      <c r="A9411" s="597">
        <v>44061</v>
      </c>
      <c r="B9411" s="424" t="s">
        <v>3945</v>
      </c>
      <c r="C9411" s="513" t="s">
        <v>286</v>
      </c>
      <c r="D9411" s="861" t="s">
        <v>4901</v>
      </c>
      <c r="E9411" s="514">
        <v>6250</v>
      </c>
      <c r="F9411" s="497"/>
      <c r="G9411" s="247">
        <f t="shared" si="152"/>
        <v>-6250</v>
      </c>
      <c r="H9411" s="121" t="s">
        <v>6097</v>
      </c>
    </row>
    <row r="9412" spans="1:8" ht="15" x14ac:dyDescent="0.2">
      <c r="A9412" s="597">
        <v>44061</v>
      </c>
      <c r="B9412" s="424" t="s">
        <v>1400</v>
      </c>
      <c r="C9412" s="513" t="s">
        <v>286</v>
      </c>
      <c r="D9412" s="861" t="s">
        <v>4901</v>
      </c>
      <c r="E9412" s="514">
        <v>6250</v>
      </c>
      <c r="F9412" s="497"/>
      <c r="G9412" s="247">
        <f t="shared" si="152"/>
        <v>-6250</v>
      </c>
      <c r="H9412" s="121" t="s">
        <v>6097</v>
      </c>
    </row>
    <row r="9413" spans="1:8" ht="15" x14ac:dyDescent="0.2">
      <c r="A9413" s="597">
        <v>44061</v>
      </c>
      <c r="B9413" s="424" t="s">
        <v>2652</v>
      </c>
      <c r="C9413" s="513" t="s">
        <v>286</v>
      </c>
      <c r="D9413" s="861" t="s">
        <v>4901</v>
      </c>
      <c r="E9413" s="514">
        <v>6250</v>
      </c>
      <c r="F9413" s="497"/>
      <c r="G9413" s="247">
        <f t="shared" si="152"/>
        <v>-6250</v>
      </c>
      <c r="H9413" s="121" t="s">
        <v>6097</v>
      </c>
    </row>
    <row r="9414" spans="1:8" ht="15" x14ac:dyDescent="0.2">
      <c r="A9414" s="597">
        <v>44061</v>
      </c>
      <c r="B9414" s="424" t="s">
        <v>82</v>
      </c>
      <c r="C9414" s="513" t="s">
        <v>392</v>
      </c>
      <c r="D9414" s="861" t="s">
        <v>72</v>
      </c>
      <c r="E9414" s="514">
        <v>1800</v>
      </c>
      <c r="F9414" s="497"/>
      <c r="G9414" s="247">
        <f t="shared" si="152"/>
        <v>-1800</v>
      </c>
      <c r="H9414" s="121" t="s">
        <v>6097</v>
      </c>
    </row>
    <row r="9415" spans="1:8" ht="15" x14ac:dyDescent="0.2">
      <c r="A9415" s="597">
        <v>44061</v>
      </c>
      <c r="B9415" s="424" t="s">
        <v>16</v>
      </c>
      <c r="C9415" s="513" t="s">
        <v>392</v>
      </c>
      <c r="D9415" s="861" t="s">
        <v>6121</v>
      </c>
      <c r="E9415" s="514">
        <v>3098</v>
      </c>
      <c r="F9415" s="497"/>
      <c r="G9415" s="247">
        <f t="shared" si="152"/>
        <v>-3098</v>
      </c>
      <c r="H9415" s="121" t="s">
        <v>6097</v>
      </c>
    </row>
    <row r="9416" spans="1:8" ht="15" x14ac:dyDescent="0.2">
      <c r="A9416" s="597">
        <v>44061</v>
      </c>
      <c r="B9416" s="424" t="s">
        <v>16</v>
      </c>
      <c r="C9416" s="513" t="s">
        <v>392</v>
      </c>
      <c r="D9416" s="861" t="s">
        <v>6122</v>
      </c>
      <c r="E9416" s="514">
        <v>120</v>
      </c>
      <c r="F9416" s="497"/>
      <c r="G9416" s="247">
        <f t="shared" si="152"/>
        <v>-120</v>
      </c>
      <c r="H9416" s="121" t="s">
        <v>6097</v>
      </c>
    </row>
    <row r="9417" spans="1:8" ht="15" x14ac:dyDescent="0.2">
      <c r="A9417" s="597">
        <v>44061</v>
      </c>
      <c r="B9417" s="424" t="s">
        <v>2652</v>
      </c>
      <c r="C9417" s="513" t="s">
        <v>392</v>
      </c>
      <c r="D9417" s="861" t="s">
        <v>6123</v>
      </c>
      <c r="E9417" s="514">
        <v>580</v>
      </c>
      <c r="F9417" s="497"/>
      <c r="G9417" s="247">
        <f t="shared" si="152"/>
        <v>-580</v>
      </c>
      <c r="H9417" s="121" t="s">
        <v>6097</v>
      </c>
    </row>
    <row r="9418" spans="1:8" ht="15" x14ac:dyDescent="0.2">
      <c r="A9418" s="597">
        <v>44061</v>
      </c>
      <c r="B9418" s="424" t="s">
        <v>16</v>
      </c>
      <c r="C9418" s="513" t="s">
        <v>5410</v>
      </c>
      <c r="D9418" s="861" t="s">
        <v>6124</v>
      </c>
      <c r="E9418" s="514">
        <v>5000</v>
      </c>
      <c r="F9418" s="497"/>
      <c r="G9418" s="247">
        <f t="shared" si="152"/>
        <v>-5000</v>
      </c>
      <c r="H9418" s="121" t="s">
        <v>6097</v>
      </c>
    </row>
    <row r="9419" spans="1:8" ht="15" x14ac:dyDescent="0.2">
      <c r="A9419" s="597">
        <v>44061</v>
      </c>
      <c r="B9419" s="424" t="s">
        <v>16</v>
      </c>
      <c r="C9419" s="513" t="s">
        <v>103</v>
      </c>
      <c r="D9419" s="861" t="s">
        <v>6125</v>
      </c>
      <c r="E9419" s="514">
        <v>5140</v>
      </c>
      <c r="F9419" s="497"/>
      <c r="G9419" s="247">
        <f t="shared" si="152"/>
        <v>-5140</v>
      </c>
      <c r="H9419" s="121" t="s">
        <v>6097</v>
      </c>
    </row>
    <row r="9420" spans="1:8" ht="15" x14ac:dyDescent="0.2">
      <c r="A9420" s="597">
        <v>44064</v>
      </c>
      <c r="B9420" s="424" t="s">
        <v>1400</v>
      </c>
      <c r="C9420" s="513" t="s">
        <v>2515</v>
      </c>
      <c r="D9420" s="861" t="s">
        <v>6176</v>
      </c>
      <c r="E9420" s="514">
        <v>20000</v>
      </c>
      <c r="F9420" s="497"/>
      <c r="G9420" s="247">
        <f t="shared" si="152"/>
        <v>-20000</v>
      </c>
      <c r="H9420" s="121" t="s">
        <v>6097</v>
      </c>
    </row>
    <row r="9421" spans="1:8" ht="15" x14ac:dyDescent="0.2">
      <c r="A9421" s="597">
        <v>44061</v>
      </c>
      <c r="B9421" s="424" t="s">
        <v>2933</v>
      </c>
      <c r="C9421" s="513" t="s">
        <v>3145</v>
      </c>
      <c r="D9421" s="861" t="s">
        <v>6126</v>
      </c>
      <c r="E9421" s="514">
        <v>6000</v>
      </c>
      <c r="F9421" s="497"/>
      <c r="G9421" s="247">
        <f t="shared" si="152"/>
        <v>-6000</v>
      </c>
      <c r="H9421" s="121" t="s">
        <v>6097</v>
      </c>
    </row>
    <row r="9422" spans="1:8" ht="15" x14ac:dyDescent="0.2">
      <c r="A9422" s="612">
        <v>44067</v>
      </c>
      <c r="B9422" s="538" t="s">
        <v>25</v>
      </c>
      <c r="C9422" s="513" t="s">
        <v>1689</v>
      </c>
      <c r="D9422" s="861" t="s">
        <v>370</v>
      </c>
      <c r="E9422" s="514">
        <v>52277</v>
      </c>
      <c r="F9422" s="539"/>
      <c r="G9422" s="224">
        <f t="shared" si="152"/>
        <v>-52277</v>
      </c>
      <c r="H9422" s="422" t="s">
        <v>6097</v>
      </c>
    </row>
    <row r="9423" spans="1:8" ht="15" customHeight="1" x14ac:dyDescent="0.2">
      <c r="A9423" s="597">
        <v>44067</v>
      </c>
      <c r="B9423" s="41" t="s">
        <v>16</v>
      </c>
      <c r="C9423" s="63" t="s">
        <v>1689</v>
      </c>
      <c r="D9423" s="129" t="s">
        <v>370</v>
      </c>
      <c r="E9423" s="58">
        <v>2700</v>
      </c>
      <c r="F9423" s="58"/>
      <c r="G9423" s="58">
        <f t="shared" si="152"/>
        <v>-2700</v>
      </c>
      <c r="H9423" s="121" t="s">
        <v>6097</v>
      </c>
    </row>
    <row r="9424" spans="1:8" ht="15" x14ac:dyDescent="0.2">
      <c r="A9424" s="597">
        <v>44069</v>
      </c>
      <c r="B9424" s="41" t="s">
        <v>25</v>
      </c>
      <c r="C9424" s="63" t="s">
        <v>1005</v>
      </c>
      <c r="D9424" s="129" t="s">
        <v>370</v>
      </c>
      <c r="E9424" s="58">
        <v>670</v>
      </c>
      <c r="F9424" s="58"/>
      <c r="G9424" s="58">
        <f t="shared" si="152"/>
        <v>-670</v>
      </c>
      <c r="H9424" s="121" t="s">
        <v>6097</v>
      </c>
    </row>
    <row r="9425" spans="1:8" ht="15" x14ac:dyDescent="0.2">
      <c r="A9425" s="597">
        <v>44069</v>
      </c>
      <c r="B9425" s="41" t="s">
        <v>2652</v>
      </c>
      <c r="C9425" s="63" t="s">
        <v>392</v>
      </c>
      <c r="D9425" s="129" t="s">
        <v>6209</v>
      </c>
      <c r="E9425" s="58">
        <v>2500</v>
      </c>
      <c r="F9425" s="58"/>
      <c r="G9425" s="58">
        <f t="shared" si="152"/>
        <v>-2500</v>
      </c>
      <c r="H9425" s="121" t="s">
        <v>6097</v>
      </c>
    </row>
    <row r="9426" spans="1:8" ht="15" customHeight="1" x14ac:dyDescent="0.2">
      <c r="A9426" s="597">
        <v>44074</v>
      </c>
      <c r="B9426" s="41" t="s">
        <v>4721</v>
      </c>
      <c r="C9426" s="63" t="s">
        <v>392</v>
      </c>
      <c r="D9426" s="129" t="s">
        <v>6209</v>
      </c>
      <c r="E9426" s="58">
        <v>2500</v>
      </c>
      <c r="F9426" s="58"/>
      <c r="G9426" s="58">
        <f t="shared" si="152"/>
        <v>-2500</v>
      </c>
      <c r="H9426" s="121" t="s">
        <v>6097</v>
      </c>
    </row>
    <row r="9427" spans="1:8" ht="15" customHeight="1" x14ac:dyDescent="0.2">
      <c r="A9427" s="597">
        <v>44074</v>
      </c>
      <c r="B9427" s="424" t="s">
        <v>16</v>
      </c>
      <c r="C9427" s="495" t="s">
        <v>463</v>
      </c>
      <c r="D9427" s="805" t="s">
        <v>6102</v>
      </c>
      <c r="E9427" s="496">
        <v>12190</v>
      </c>
      <c r="F9427" s="497"/>
      <c r="G9427" s="247">
        <f t="shared" si="152"/>
        <v>-12190</v>
      </c>
      <c r="H9427" s="121" t="s">
        <v>6097</v>
      </c>
    </row>
    <row r="9428" spans="1:8" ht="15" customHeight="1" x14ac:dyDescent="0.2">
      <c r="A9428" s="597">
        <v>44074</v>
      </c>
      <c r="B9428" s="41" t="s">
        <v>1400</v>
      </c>
      <c r="C9428" s="63" t="s">
        <v>2503</v>
      </c>
      <c r="D9428" s="129" t="s">
        <v>372</v>
      </c>
      <c r="E9428" s="58">
        <v>25000</v>
      </c>
      <c r="F9428" s="58"/>
      <c r="G9428" s="58">
        <f t="shared" si="152"/>
        <v>-25000</v>
      </c>
      <c r="H9428" s="121" t="s">
        <v>6097</v>
      </c>
    </row>
    <row r="9429" spans="1:8" ht="15" customHeight="1" x14ac:dyDescent="0.2">
      <c r="A9429" s="597">
        <v>44074</v>
      </c>
      <c r="B9429" s="41" t="s">
        <v>2652</v>
      </c>
      <c r="C9429" s="63" t="s">
        <v>2503</v>
      </c>
      <c r="D9429" s="129" t="s">
        <v>372</v>
      </c>
      <c r="E9429" s="58">
        <v>25000</v>
      </c>
      <c r="F9429" s="58"/>
      <c r="G9429" s="58">
        <f t="shared" si="152"/>
        <v>-25000</v>
      </c>
      <c r="H9429" s="121" t="s">
        <v>6097</v>
      </c>
    </row>
    <row r="9430" spans="1:8" ht="15" customHeight="1" x14ac:dyDescent="0.2">
      <c r="A9430" s="597">
        <v>44074</v>
      </c>
      <c r="B9430" s="41" t="s">
        <v>4721</v>
      </c>
      <c r="C9430" s="63" t="s">
        <v>2503</v>
      </c>
      <c r="D9430" s="129" t="s">
        <v>551</v>
      </c>
      <c r="E9430" s="58">
        <v>25000</v>
      </c>
      <c r="F9430" s="58"/>
      <c r="G9430" s="58">
        <f t="shared" si="152"/>
        <v>-25000</v>
      </c>
      <c r="H9430" s="121" t="s">
        <v>6097</v>
      </c>
    </row>
    <row r="9431" spans="1:8" ht="15" customHeight="1" x14ac:dyDescent="0.2">
      <c r="A9431" s="597">
        <v>44074</v>
      </c>
      <c r="B9431" s="41" t="s">
        <v>2933</v>
      </c>
      <c r="C9431" s="63" t="s">
        <v>2503</v>
      </c>
      <c r="D9431" s="129" t="s">
        <v>551</v>
      </c>
      <c r="E9431" s="58">
        <v>25000</v>
      </c>
      <c r="F9431" s="58"/>
      <c r="G9431" s="58">
        <f t="shared" si="152"/>
        <v>-25000</v>
      </c>
      <c r="H9431" s="121" t="s">
        <v>6097</v>
      </c>
    </row>
    <row r="9432" spans="1:8" ht="15" customHeight="1" x14ac:dyDescent="0.2">
      <c r="A9432" s="597">
        <v>44074</v>
      </c>
      <c r="B9432" s="41" t="s">
        <v>25</v>
      </c>
      <c r="C9432" s="63" t="s">
        <v>2503</v>
      </c>
      <c r="D9432" s="129" t="s">
        <v>6196</v>
      </c>
      <c r="E9432" s="58">
        <v>60000</v>
      </c>
      <c r="F9432" s="58"/>
      <c r="G9432" s="58">
        <f t="shared" si="152"/>
        <v>-60000</v>
      </c>
      <c r="H9432" s="121" t="s">
        <v>6097</v>
      </c>
    </row>
    <row r="9433" spans="1:8" ht="15" x14ac:dyDescent="0.2">
      <c r="A9433" s="597">
        <v>44074</v>
      </c>
      <c r="B9433" s="41" t="s">
        <v>16</v>
      </c>
      <c r="C9433" s="63" t="s">
        <v>2503</v>
      </c>
      <c r="D9433" s="129" t="s">
        <v>6197</v>
      </c>
      <c r="E9433" s="58">
        <v>88000</v>
      </c>
      <c r="F9433" s="58"/>
      <c r="G9433" s="58">
        <f t="shared" si="152"/>
        <v>-88000</v>
      </c>
      <c r="H9433" s="121" t="s">
        <v>6097</v>
      </c>
    </row>
    <row r="9434" spans="1:8" ht="15" x14ac:dyDescent="0.2">
      <c r="A9434" s="597">
        <v>44074</v>
      </c>
      <c r="B9434" s="41" t="s">
        <v>3945</v>
      </c>
      <c r="C9434" s="63" t="s">
        <v>2503</v>
      </c>
      <c r="D9434" s="129" t="s">
        <v>6198</v>
      </c>
      <c r="E9434" s="58">
        <v>32250</v>
      </c>
      <c r="F9434" s="58"/>
      <c r="G9434" s="58">
        <f t="shared" si="152"/>
        <v>-32250</v>
      </c>
      <c r="H9434" s="121" t="s">
        <v>6097</v>
      </c>
    </row>
    <row r="9435" spans="1:8" ht="15" customHeight="1" x14ac:dyDescent="0.2">
      <c r="A9435" s="597">
        <v>44074</v>
      </c>
      <c r="B9435" s="41" t="s">
        <v>3946</v>
      </c>
      <c r="C9435" s="63" t="s">
        <v>2503</v>
      </c>
      <c r="D9435" s="129" t="s">
        <v>6199</v>
      </c>
      <c r="E9435" s="58">
        <v>33750</v>
      </c>
      <c r="F9435" s="58"/>
      <c r="G9435" s="58">
        <f t="shared" si="152"/>
        <v>-33750</v>
      </c>
      <c r="H9435" s="121" t="s">
        <v>6097</v>
      </c>
    </row>
    <row r="9436" spans="1:8" ht="15" customHeight="1" x14ac:dyDescent="0.2">
      <c r="A9436" s="597">
        <v>44074</v>
      </c>
      <c r="B9436" s="41" t="s">
        <v>1400</v>
      </c>
      <c r="C9436" s="63" t="s">
        <v>2503</v>
      </c>
      <c r="D9436" s="129" t="s">
        <v>6200</v>
      </c>
      <c r="E9436" s="58">
        <v>205367</v>
      </c>
      <c r="F9436" s="58"/>
      <c r="G9436" s="58">
        <f t="shared" si="152"/>
        <v>-205367</v>
      </c>
      <c r="H9436" s="121" t="s">
        <v>6097</v>
      </c>
    </row>
    <row r="9437" spans="1:8" ht="15" customHeight="1" x14ac:dyDescent="0.2">
      <c r="A9437" s="597">
        <v>44074</v>
      </c>
      <c r="B9437" s="41" t="s">
        <v>6516</v>
      </c>
      <c r="C9437" s="63" t="s">
        <v>2503</v>
      </c>
      <c r="D9437" s="129" t="s">
        <v>6201</v>
      </c>
      <c r="E9437" s="58">
        <v>103883.06451612903</v>
      </c>
      <c r="F9437" s="58"/>
      <c r="G9437" s="58">
        <f t="shared" si="152"/>
        <v>-103883.06451612903</v>
      </c>
      <c r="H9437" s="121" t="s">
        <v>6097</v>
      </c>
    </row>
    <row r="9438" spans="1:8" ht="15" x14ac:dyDescent="0.2">
      <c r="A9438" s="597">
        <v>44074</v>
      </c>
      <c r="B9438" s="41" t="s">
        <v>37</v>
      </c>
      <c r="C9438" s="63" t="s">
        <v>2503</v>
      </c>
      <c r="D9438" s="129" t="s">
        <v>6202</v>
      </c>
      <c r="E9438" s="58">
        <v>95745.967741935485</v>
      </c>
      <c r="F9438" s="58"/>
      <c r="G9438" s="58">
        <f t="shared" si="152"/>
        <v>-95745.967741935485</v>
      </c>
      <c r="H9438" s="121" t="s">
        <v>6097</v>
      </c>
    </row>
    <row r="9439" spans="1:8" ht="15" x14ac:dyDescent="0.2">
      <c r="A9439" s="597">
        <v>44074</v>
      </c>
      <c r="B9439" s="41" t="s">
        <v>2933</v>
      </c>
      <c r="C9439" s="63" t="s">
        <v>2503</v>
      </c>
      <c r="D9439" s="129" t="s">
        <v>6203</v>
      </c>
      <c r="E9439" s="58">
        <f>33339+12258</f>
        <v>45597</v>
      </c>
      <c r="F9439" s="58"/>
      <c r="G9439" s="58">
        <f t="shared" si="152"/>
        <v>-45597</v>
      </c>
      <c r="H9439" s="121" t="s">
        <v>6097</v>
      </c>
    </row>
    <row r="9440" spans="1:8" ht="15" x14ac:dyDescent="0.2">
      <c r="A9440" s="597">
        <v>44074</v>
      </c>
      <c r="B9440" s="41" t="s">
        <v>2652</v>
      </c>
      <c r="C9440" s="63" t="s">
        <v>2503</v>
      </c>
      <c r="D9440" s="129" t="s">
        <v>6204</v>
      </c>
      <c r="E9440" s="58">
        <v>186924</v>
      </c>
      <c r="F9440" s="58"/>
      <c r="G9440" s="58">
        <f t="shared" si="152"/>
        <v>-186924</v>
      </c>
      <c r="H9440" s="121" t="s">
        <v>6097</v>
      </c>
    </row>
    <row r="9441" spans="1:8" ht="15" x14ac:dyDescent="0.2">
      <c r="A9441" s="597">
        <v>44074</v>
      </c>
      <c r="B9441" s="41" t="s">
        <v>4553</v>
      </c>
      <c r="C9441" s="63" t="s">
        <v>2503</v>
      </c>
      <c r="D9441" s="129" t="s">
        <v>794</v>
      </c>
      <c r="E9441" s="58">
        <v>9252</v>
      </c>
      <c r="F9441" s="58"/>
      <c r="G9441" s="58">
        <f t="shared" si="152"/>
        <v>-9252</v>
      </c>
      <c r="H9441" s="121" t="s">
        <v>6097</v>
      </c>
    </row>
    <row r="9442" spans="1:8" ht="15" x14ac:dyDescent="0.2">
      <c r="A9442" s="597">
        <v>44074</v>
      </c>
      <c r="B9442" s="41" t="s">
        <v>5811</v>
      </c>
      <c r="C9442" s="63" t="s">
        <v>2503</v>
      </c>
      <c r="D9442" s="129" t="s">
        <v>6205</v>
      </c>
      <c r="E9442" s="58">
        <v>34871</v>
      </c>
      <c r="F9442" s="58"/>
      <c r="G9442" s="58">
        <f t="shared" si="152"/>
        <v>-34871</v>
      </c>
      <c r="H9442" s="121" t="s">
        <v>6097</v>
      </c>
    </row>
    <row r="9443" spans="1:8" ht="144.75" thickBot="1" x14ac:dyDescent="0.25">
      <c r="A9443" s="607">
        <v>44054</v>
      </c>
      <c r="B9443" s="438" t="s">
        <v>1400</v>
      </c>
      <c r="C9443" s="509" t="s">
        <v>2515</v>
      </c>
      <c r="D9443" s="845" t="s">
        <v>9173</v>
      </c>
      <c r="E9443" s="510">
        <v>192000</v>
      </c>
      <c r="F9443" s="491"/>
      <c r="G9443" s="241">
        <f t="shared" si="152"/>
        <v>-192000</v>
      </c>
      <c r="H9443" s="423" t="s">
        <v>6097</v>
      </c>
    </row>
    <row r="9444" spans="1:8" ht="15" x14ac:dyDescent="0.2">
      <c r="A9444" s="602">
        <v>44055</v>
      </c>
      <c r="B9444" s="174" t="s">
        <v>1400</v>
      </c>
      <c r="C9444" s="515" t="s">
        <v>5652</v>
      </c>
      <c r="D9444" s="868" t="s">
        <v>6100</v>
      </c>
      <c r="E9444" s="516">
        <v>19800</v>
      </c>
      <c r="F9444" s="236"/>
      <c r="G9444" s="241">
        <f t="shared" si="152"/>
        <v>-19800</v>
      </c>
      <c r="H9444" s="244" t="s">
        <v>6097</v>
      </c>
    </row>
    <row r="9445" spans="1:8" ht="24" x14ac:dyDescent="0.2">
      <c r="A9445" s="602">
        <v>44056</v>
      </c>
      <c r="B9445" s="174" t="s">
        <v>1400</v>
      </c>
      <c r="C9445" s="174" t="s">
        <v>4684</v>
      </c>
      <c r="D9445" s="228" t="s">
        <v>6101</v>
      </c>
      <c r="E9445" s="236">
        <v>165720</v>
      </c>
      <c r="F9445" s="236"/>
      <c r="G9445" s="241">
        <f t="shared" si="152"/>
        <v>-165720</v>
      </c>
      <c r="H9445" s="244" t="s">
        <v>6097</v>
      </c>
    </row>
    <row r="9446" spans="1:8" ht="60.75" thickBot="1" x14ac:dyDescent="0.25">
      <c r="A9446" s="602">
        <v>44056</v>
      </c>
      <c r="B9446" s="174" t="s">
        <v>2652</v>
      </c>
      <c r="C9446" s="174" t="s">
        <v>4684</v>
      </c>
      <c r="D9446" s="228" t="s">
        <v>9174</v>
      </c>
      <c r="E9446" s="236">
        <v>215000</v>
      </c>
      <c r="F9446" s="236"/>
      <c r="G9446" s="236">
        <f t="shared" si="152"/>
        <v>-215000</v>
      </c>
      <c r="H9446" s="244" t="s">
        <v>6097</v>
      </c>
    </row>
    <row r="9447" spans="1:8" ht="24.75" thickBot="1" x14ac:dyDescent="0.25">
      <c r="A9447" s="602">
        <v>44058</v>
      </c>
      <c r="B9447" s="436" t="s">
        <v>1400</v>
      </c>
      <c r="C9447" s="562" t="s">
        <v>166</v>
      </c>
      <c r="D9447" s="871" t="s">
        <v>6104</v>
      </c>
      <c r="E9447" s="563">
        <v>127115</v>
      </c>
      <c r="F9447" s="323"/>
      <c r="G9447" s="236">
        <f t="shared" si="152"/>
        <v>-127115</v>
      </c>
      <c r="H9447" s="244" t="s">
        <v>6097</v>
      </c>
    </row>
    <row r="9448" spans="1:8" ht="24.75" thickBot="1" x14ac:dyDescent="0.25">
      <c r="A9448" s="602">
        <v>44058</v>
      </c>
      <c r="B9448" s="436" t="s">
        <v>2652</v>
      </c>
      <c r="C9448" s="568" t="s">
        <v>166</v>
      </c>
      <c r="D9448" s="871" t="s">
        <v>6104</v>
      </c>
      <c r="E9448" s="569">
        <v>13200</v>
      </c>
      <c r="F9448" s="323"/>
      <c r="G9448" s="236">
        <f t="shared" si="152"/>
        <v>-13200</v>
      </c>
      <c r="H9448" s="244" t="s">
        <v>6097</v>
      </c>
    </row>
    <row r="9449" spans="1:8" ht="24.75" thickBot="1" x14ac:dyDescent="0.25">
      <c r="A9449" s="602">
        <v>44058</v>
      </c>
      <c r="B9449" s="436" t="s">
        <v>5811</v>
      </c>
      <c r="C9449" s="568" t="s">
        <v>166</v>
      </c>
      <c r="D9449" s="871" t="s">
        <v>6104</v>
      </c>
      <c r="E9449" s="569">
        <v>56510</v>
      </c>
      <c r="F9449" s="323"/>
      <c r="G9449" s="236">
        <f t="shared" ref="G9449:G9512" si="153">F9449-E9449</f>
        <v>-56510</v>
      </c>
      <c r="H9449" s="244" t="s">
        <v>6097</v>
      </c>
    </row>
    <row r="9450" spans="1:8" ht="24" x14ac:dyDescent="0.2">
      <c r="A9450" s="602">
        <v>44058</v>
      </c>
      <c r="B9450" s="436" t="s">
        <v>4553</v>
      </c>
      <c r="C9450" s="562" t="s">
        <v>1803</v>
      </c>
      <c r="D9450" s="871" t="s">
        <v>6104</v>
      </c>
      <c r="E9450" s="563">
        <v>60802</v>
      </c>
      <c r="F9450" s="323"/>
      <c r="G9450" s="236">
        <f t="shared" si="153"/>
        <v>-60802</v>
      </c>
      <c r="H9450" s="244" t="s">
        <v>6097</v>
      </c>
    </row>
    <row r="9451" spans="1:8" ht="24" x14ac:dyDescent="0.2">
      <c r="A9451" s="602">
        <v>44058</v>
      </c>
      <c r="B9451" s="436" t="s">
        <v>5544</v>
      </c>
      <c r="C9451" s="570" t="s">
        <v>1803</v>
      </c>
      <c r="D9451" s="872" t="s">
        <v>6104</v>
      </c>
      <c r="E9451" s="571">
        <v>9010</v>
      </c>
      <c r="F9451" s="323"/>
      <c r="G9451" s="236">
        <f t="shared" si="153"/>
        <v>-9010</v>
      </c>
      <c r="H9451" s="244" t="s">
        <v>6097</v>
      </c>
    </row>
    <row r="9452" spans="1:8" ht="24.75" thickBot="1" x14ac:dyDescent="0.25">
      <c r="A9452" s="602">
        <v>44058</v>
      </c>
      <c r="B9452" s="436" t="s">
        <v>2652</v>
      </c>
      <c r="C9452" s="572" t="s">
        <v>1803</v>
      </c>
      <c r="D9452" s="873" t="s">
        <v>6104</v>
      </c>
      <c r="E9452" s="573">
        <v>130188</v>
      </c>
      <c r="F9452" s="323"/>
      <c r="G9452" s="236">
        <f t="shared" si="153"/>
        <v>-130188</v>
      </c>
      <c r="H9452" s="244" t="s">
        <v>6097</v>
      </c>
    </row>
    <row r="9453" spans="1:8" ht="24.75" thickBot="1" x14ac:dyDescent="0.25">
      <c r="A9453" s="602">
        <v>44058</v>
      </c>
      <c r="B9453" s="436" t="s">
        <v>2652</v>
      </c>
      <c r="C9453" s="574" t="s">
        <v>1803</v>
      </c>
      <c r="D9453" s="874" t="s">
        <v>6108</v>
      </c>
      <c r="E9453" s="575">
        <v>300000</v>
      </c>
      <c r="F9453" s="323"/>
      <c r="G9453" s="236">
        <f t="shared" si="153"/>
        <v>-300000</v>
      </c>
      <c r="H9453" s="244" t="s">
        <v>6097</v>
      </c>
    </row>
    <row r="9454" spans="1:8" ht="24" x14ac:dyDescent="0.2">
      <c r="A9454" s="602">
        <v>44058</v>
      </c>
      <c r="B9454" s="436" t="s">
        <v>1400</v>
      </c>
      <c r="C9454" s="562" t="s">
        <v>2310</v>
      </c>
      <c r="D9454" s="871" t="s">
        <v>6109</v>
      </c>
      <c r="E9454" s="563">
        <v>102435</v>
      </c>
      <c r="F9454" s="323"/>
      <c r="G9454" s="236">
        <f t="shared" si="153"/>
        <v>-102435</v>
      </c>
      <c r="H9454" s="244" t="s">
        <v>6097</v>
      </c>
    </row>
    <row r="9455" spans="1:8" ht="24" x14ac:dyDescent="0.2">
      <c r="A9455" s="602">
        <v>44058</v>
      </c>
      <c r="B9455" s="436" t="s">
        <v>1400</v>
      </c>
      <c r="C9455" s="568" t="s">
        <v>2310</v>
      </c>
      <c r="D9455" s="875" t="s">
        <v>6109</v>
      </c>
      <c r="E9455" s="569">
        <v>149940</v>
      </c>
      <c r="F9455" s="323"/>
      <c r="G9455" s="236">
        <f t="shared" si="153"/>
        <v>-149940</v>
      </c>
      <c r="H9455" s="244" t="s">
        <v>6097</v>
      </c>
    </row>
    <row r="9456" spans="1:8" ht="24.75" thickBot="1" x14ac:dyDescent="0.25">
      <c r="A9456" s="602">
        <v>44058</v>
      </c>
      <c r="B9456" s="436" t="s">
        <v>1400</v>
      </c>
      <c r="C9456" s="564" t="s">
        <v>2310</v>
      </c>
      <c r="D9456" s="876" t="s">
        <v>9175</v>
      </c>
      <c r="E9456" s="565">
        <v>22426</v>
      </c>
      <c r="F9456" s="323"/>
      <c r="G9456" s="236">
        <f t="shared" si="153"/>
        <v>-22426</v>
      </c>
      <c r="H9456" s="244" t="s">
        <v>6097</v>
      </c>
    </row>
    <row r="9457" spans="1:10" ht="15" x14ac:dyDescent="0.2">
      <c r="A9457" s="618">
        <v>44048</v>
      </c>
      <c r="B9457" s="91" t="s">
        <v>5604</v>
      </c>
      <c r="C9457" s="540" t="s">
        <v>559</v>
      </c>
      <c r="D9457" s="839" t="s">
        <v>6090</v>
      </c>
      <c r="E9457" s="239"/>
      <c r="F9457" s="92">
        <v>288750</v>
      </c>
      <c r="G9457" s="92">
        <f t="shared" si="153"/>
        <v>288750</v>
      </c>
      <c r="H9457" s="261" t="s">
        <v>6097</v>
      </c>
    </row>
    <row r="9458" spans="1:10" ht="15" x14ac:dyDescent="0.2">
      <c r="A9458" s="618">
        <v>44048</v>
      </c>
      <c r="B9458" s="91" t="s">
        <v>4721</v>
      </c>
      <c r="C9458" s="488" t="s">
        <v>559</v>
      </c>
      <c r="D9458" s="801" t="s">
        <v>9176</v>
      </c>
      <c r="E9458" s="92"/>
      <c r="F9458" s="92">
        <v>900000</v>
      </c>
      <c r="G9458" s="92">
        <f t="shared" si="153"/>
        <v>900000</v>
      </c>
      <c r="H9458" s="261" t="s">
        <v>6097</v>
      </c>
    </row>
    <row r="9459" spans="1:10" ht="15" x14ac:dyDescent="0.2">
      <c r="A9459" s="618">
        <v>44048</v>
      </c>
      <c r="B9459" s="91" t="s">
        <v>1400</v>
      </c>
      <c r="C9459" s="488" t="s">
        <v>559</v>
      </c>
      <c r="D9459" s="801" t="s">
        <v>9177</v>
      </c>
      <c r="E9459" s="92"/>
      <c r="F9459" s="92">
        <v>900000</v>
      </c>
      <c r="G9459" s="92">
        <f t="shared" si="153"/>
        <v>900000</v>
      </c>
      <c r="H9459" s="261" t="s">
        <v>6097</v>
      </c>
    </row>
    <row r="9460" spans="1:10" ht="15" x14ac:dyDescent="0.2">
      <c r="A9460" s="618">
        <v>44048</v>
      </c>
      <c r="B9460" s="91" t="s">
        <v>1400</v>
      </c>
      <c r="C9460" s="488" t="s">
        <v>559</v>
      </c>
      <c r="D9460" s="801" t="s">
        <v>9178</v>
      </c>
      <c r="E9460" s="92"/>
      <c r="F9460" s="92">
        <v>900000</v>
      </c>
      <c r="G9460" s="92">
        <f t="shared" si="153"/>
        <v>900000</v>
      </c>
      <c r="H9460" s="261" t="s">
        <v>6097</v>
      </c>
    </row>
    <row r="9461" spans="1:10" ht="15" x14ac:dyDescent="0.2">
      <c r="A9461" s="618">
        <v>44048</v>
      </c>
      <c r="B9461" s="91" t="s">
        <v>1400</v>
      </c>
      <c r="C9461" s="488" t="s">
        <v>559</v>
      </c>
      <c r="D9461" s="801" t="s">
        <v>9178</v>
      </c>
      <c r="E9461" s="92"/>
      <c r="F9461" s="92">
        <v>900000</v>
      </c>
      <c r="G9461" s="92">
        <f t="shared" si="153"/>
        <v>900000</v>
      </c>
      <c r="H9461" s="261" t="s">
        <v>6097</v>
      </c>
    </row>
    <row r="9462" spans="1:10" ht="15" x14ac:dyDescent="0.2">
      <c r="A9462" s="618">
        <v>44048</v>
      </c>
      <c r="B9462" s="91" t="s">
        <v>1400</v>
      </c>
      <c r="C9462" s="488" t="s">
        <v>559</v>
      </c>
      <c r="D9462" s="801" t="s">
        <v>9178</v>
      </c>
      <c r="E9462" s="92"/>
      <c r="F9462" s="92">
        <v>900000</v>
      </c>
      <c r="G9462" s="92">
        <f t="shared" si="153"/>
        <v>900000</v>
      </c>
      <c r="H9462" s="261" t="s">
        <v>6097</v>
      </c>
    </row>
    <row r="9463" spans="1:10" ht="15" x14ac:dyDescent="0.2">
      <c r="A9463" s="618">
        <v>44048</v>
      </c>
      <c r="B9463" s="91" t="s">
        <v>1400</v>
      </c>
      <c r="C9463" s="488" t="s">
        <v>559</v>
      </c>
      <c r="D9463" s="801" t="s">
        <v>9178</v>
      </c>
      <c r="E9463" s="92"/>
      <c r="F9463" s="92">
        <v>900000</v>
      </c>
      <c r="G9463" s="92">
        <f t="shared" si="153"/>
        <v>900000</v>
      </c>
      <c r="H9463" s="261" t="s">
        <v>6097</v>
      </c>
    </row>
    <row r="9464" spans="1:10" ht="15" x14ac:dyDescent="0.2">
      <c r="A9464" s="618">
        <v>44048</v>
      </c>
      <c r="B9464" s="91" t="s">
        <v>1400</v>
      </c>
      <c r="C9464" s="488" t="s">
        <v>559</v>
      </c>
      <c r="D9464" s="801" t="s">
        <v>9178</v>
      </c>
      <c r="E9464" s="92"/>
      <c r="F9464" s="92">
        <v>900000</v>
      </c>
      <c r="G9464" s="92">
        <f t="shared" si="153"/>
        <v>900000</v>
      </c>
      <c r="H9464" s="261" t="s">
        <v>6097</v>
      </c>
    </row>
    <row r="9465" spans="1:10" ht="15" x14ac:dyDescent="0.2">
      <c r="A9465" s="618">
        <v>44048</v>
      </c>
      <c r="B9465" s="91" t="s">
        <v>1400</v>
      </c>
      <c r="C9465" s="488" t="s">
        <v>559</v>
      </c>
      <c r="D9465" s="801" t="s">
        <v>9178</v>
      </c>
      <c r="E9465" s="92"/>
      <c r="F9465" s="92">
        <v>600000</v>
      </c>
      <c r="G9465" s="92">
        <f t="shared" si="153"/>
        <v>600000</v>
      </c>
      <c r="H9465" s="261" t="s">
        <v>6097</v>
      </c>
    </row>
    <row r="9466" spans="1:10" ht="24" x14ac:dyDescent="0.2">
      <c r="A9466" s="618">
        <v>44058</v>
      </c>
      <c r="B9466" s="91" t="s">
        <v>4721</v>
      </c>
      <c r="C9466" s="488" t="s">
        <v>559</v>
      </c>
      <c r="D9466" s="798" t="s">
        <v>9179</v>
      </c>
      <c r="E9466" s="92"/>
      <c r="F9466" s="92">
        <v>1000069</v>
      </c>
      <c r="G9466" s="92">
        <f t="shared" si="153"/>
        <v>1000069</v>
      </c>
      <c r="H9466" s="261" t="s">
        <v>6097</v>
      </c>
      <c r="J9466" s="40"/>
    </row>
    <row r="9467" spans="1:10" ht="24" x14ac:dyDescent="0.2">
      <c r="A9467" s="618">
        <v>44058</v>
      </c>
      <c r="B9467" s="91" t="s">
        <v>4721</v>
      </c>
      <c r="C9467" s="488" t="s">
        <v>559</v>
      </c>
      <c r="D9467" s="798" t="s">
        <v>9180</v>
      </c>
      <c r="E9467" s="92"/>
      <c r="F9467" s="92">
        <v>300000</v>
      </c>
      <c r="G9467" s="92">
        <f t="shared" si="153"/>
        <v>300000</v>
      </c>
      <c r="H9467" s="261" t="s">
        <v>6097</v>
      </c>
    </row>
    <row r="9468" spans="1:10" ht="24" x14ac:dyDescent="0.2">
      <c r="A9468" s="618">
        <v>44058</v>
      </c>
      <c r="B9468" s="91" t="s">
        <v>4721</v>
      </c>
      <c r="C9468" s="488" t="s">
        <v>559</v>
      </c>
      <c r="D9468" s="798" t="s">
        <v>9181</v>
      </c>
      <c r="E9468" s="92"/>
      <c r="F9468" s="92">
        <v>200000</v>
      </c>
      <c r="G9468" s="92">
        <f t="shared" si="153"/>
        <v>200000</v>
      </c>
      <c r="H9468" s="261" t="s">
        <v>6097</v>
      </c>
    </row>
    <row r="9469" spans="1:10" ht="15" x14ac:dyDescent="0.2">
      <c r="A9469" s="618">
        <v>44058</v>
      </c>
      <c r="B9469" s="91" t="s">
        <v>4721</v>
      </c>
      <c r="C9469" s="488" t="s">
        <v>559</v>
      </c>
      <c r="D9469" s="798" t="s">
        <v>9182</v>
      </c>
      <c r="E9469" s="92"/>
      <c r="F9469" s="92">
        <v>200000</v>
      </c>
      <c r="G9469" s="92">
        <f t="shared" si="153"/>
        <v>200000</v>
      </c>
      <c r="H9469" s="261" t="s">
        <v>6097</v>
      </c>
    </row>
    <row r="9470" spans="1:10" ht="24" x14ac:dyDescent="0.2">
      <c r="A9470" s="618">
        <v>44058</v>
      </c>
      <c r="B9470" s="91" t="s">
        <v>4721</v>
      </c>
      <c r="C9470" s="488" t="s">
        <v>559</v>
      </c>
      <c r="D9470" s="798" t="s">
        <v>9183</v>
      </c>
      <c r="E9470" s="92"/>
      <c r="F9470" s="92">
        <v>300000</v>
      </c>
      <c r="G9470" s="92">
        <f t="shared" si="153"/>
        <v>300000</v>
      </c>
      <c r="H9470" s="261" t="s">
        <v>6097</v>
      </c>
    </row>
    <row r="9471" spans="1:10" ht="24" x14ac:dyDescent="0.2">
      <c r="A9471" s="618">
        <v>44058</v>
      </c>
      <c r="B9471" s="91" t="s">
        <v>4721</v>
      </c>
      <c r="C9471" s="488" t="s">
        <v>559</v>
      </c>
      <c r="D9471" s="798" t="s">
        <v>9184</v>
      </c>
      <c r="E9471" s="92"/>
      <c r="F9471" s="92">
        <v>400000</v>
      </c>
      <c r="G9471" s="92">
        <f t="shared" si="153"/>
        <v>400000</v>
      </c>
      <c r="H9471" s="261" t="s">
        <v>6097</v>
      </c>
    </row>
    <row r="9472" spans="1:10" ht="24" x14ac:dyDescent="0.2">
      <c r="A9472" s="618">
        <v>44058</v>
      </c>
      <c r="B9472" s="91" t="s">
        <v>4721</v>
      </c>
      <c r="C9472" s="488" t="s">
        <v>559</v>
      </c>
      <c r="D9472" s="798" t="s">
        <v>9184</v>
      </c>
      <c r="E9472" s="92"/>
      <c r="F9472" s="92">
        <v>463000</v>
      </c>
      <c r="G9472" s="92">
        <f t="shared" si="153"/>
        <v>463000</v>
      </c>
      <c r="H9472" s="261" t="s">
        <v>6097</v>
      </c>
    </row>
    <row r="9473" spans="1:8" ht="15" x14ac:dyDescent="0.2">
      <c r="A9473" s="618">
        <v>44058</v>
      </c>
      <c r="B9473" s="91" t="s">
        <v>6103</v>
      </c>
      <c r="C9473" s="488" t="s">
        <v>559</v>
      </c>
      <c r="D9473" s="798" t="s">
        <v>9185</v>
      </c>
      <c r="E9473" s="92"/>
      <c r="F9473" s="92">
        <v>437000</v>
      </c>
      <c r="G9473" s="92">
        <f t="shared" si="153"/>
        <v>437000</v>
      </c>
      <c r="H9473" s="261" t="s">
        <v>6097</v>
      </c>
    </row>
    <row r="9474" spans="1:8" ht="15" x14ac:dyDescent="0.2">
      <c r="A9474" s="618">
        <v>44058</v>
      </c>
      <c r="B9474" s="91" t="s">
        <v>6103</v>
      </c>
      <c r="C9474" s="488" t="s">
        <v>559</v>
      </c>
      <c r="D9474" s="798" t="s">
        <v>9186</v>
      </c>
      <c r="E9474" s="92"/>
      <c r="F9474" s="92">
        <v>400000</v>
      </c>
      <c r="G9474" s="92">
        <f t="shared" si="153"/>
        <v>400000</v>
      </c>
      <c r="H9474" s="261" t="s">
        <v>6097</v>
      </c>
    </row>
    <row r="9475" spans="1:8" ht="15" x14ac:dyDescent="0.2">
      <c r="A9475" s="618">
        <v>44064</v>
      </c>
      <c r="B9475" s="91" t="s">
        <v>3946</v>
      </c>
      <c r="C9475" s="488" t="s">
        <v>559</v>
      </c>
      <c r="D9475" s="801" t="s">
        <v>6114</v>
      </c>
      <c r="E9475" s="92"/>
      <c r="F9475" s="92">
        <v>107010</v>
      </c>
      <c r="G9475" s="92">
        <f t="shared" si="153"/>
        <v>107010</v>
      </c>
      <c r="H9475" s="261" t="s">
        <v>6097</v>
      </c>
    </row>
    <row r="9476" spans="1:8" ht="15" x14ac:dyDescent="0.2">
      <c r="A9476" s="597">
        <v>44075</v>
      </c>
      <c r="B9476" s="41" t="s">
        <v>4721</v>
      </c>
      <c r="C9476" s="63" t="s">
        <v>392</v>
      </c>
      <c r="D9476" s="129" t="s">
        <v>6206</v>
      </c>
      <c r="E9476" s="58">
        <v>3000</v>
      </c>
      <c r="F9476" s="58"/>
      <c r="G9476" s="58">
        <f t="shared" si="153"/>
        <v>-3000</v>
      </c>
      <c r="H9476" s="121" t="s">
        <v>6118</v>
      </c>
    </row>
    <row r="9477" spans="1:8" ht="15" x14ac:dyDescent="0.2">
      <c r="A9477" s="597">
        <v>44075</v>
      </c>
      <c r="B9477" s="41" t="s">
        <v>3946</v>
      </c>
      <c r="C9477" s="63" t="s">
        <v>392</v>
      </c>
      <c r="D9477" s="129" t="s">
        <v>6207</v>
      </c>
      <c r="E9477" s="58">
        <v>8000</v>
      </c>
      <c r="F9477" s="58"/>
      <c r="G9477" s="58">
        <f t="shared" si="153"/>
        <v>-8000</v>
      </c>
      <c r="H9477" s="121" t="s">
        <v>6118</v>
      </c>
    </row>
    <row r="9478" spans="1:8" ht="15" x14ac:dyDescent="0.2">
      <c r="A9478" s="597">
        <v>44076</v>
      </c>
      <c r="B9478" s="41" t="s">
        <v>2652</v>
      </c>
      <c r="C9478" s="63" t="s">
        <v>6857</v>
      </c>
      <c r="D9478" s="129" t="s">
        <v>6127</v>
      </c>
      <c r="E9478" s="58">
        <v>150000</v>
      </c>
      <c r="F9478" s="58"/>
      <c r="G9478" s="58">
        <f t="shared" si="153"/>
        <v>-150000</v>
      </c>
      <c r="H9478" s="121" t="s">
        <v>6118</v>
      </c>
    </row>
    <row r="9479" spans="1:8" ht="15" x14ac:dyDescent="0.2">
      <c r="A9479" s="597">
        <v>44076</v>
      </c>
      <c r="B9479" s="41" t="s">
        <v>1400</v>
      </c>
      <c r="C9479" s="63" t="s">
        <v>3145</v>
      </c>
      <c r="D9479" s="129" t="s">
        <v>4450</v>
      </c>
      <c r="E9479" s="58">
        <v>21952</v>
      </c>
      <c r="F9479" s="58"/>
      <c r="G9479" s="58">
        <f t="shared" si="153"/>
        <v>-21952</v>
      </c>
      <c r="H9479" s="121" t="s">
        <v>6118</v>
      </c>
    </row>
    <row r="9480" spans="1:8" ht="15" x14ac:dyDescent="0.2">
      <c r="A9480" s="597">
        <v>44076</v>
      </c>
      <c r="B9480" s="41" t="s">
        <v>2652</v>
      </c>
      <c r="C9480" s="63" t="s">
        <v>4870</v>
      </c>
      <c r="D9480" s="129" t="s">
        <v>6128</v>
      </c>
      <c r="E9480" s="58">
        <v>44600</v>
      </c>
      <c r="F9480" s="58"/>
      <c r="G9480" s="58">
        <f t="shared" si="153"/>
        <v>-44600</v>
      </c>
      <c r="H9480" s="121" t="s">
        <v>6118</v>
      </c>
    </row>
    <row r="9481" spans="1:8" ht="15" x14ac:dyDescent="0.2">
      <c r="A9481" s="597">
        <v>44077</v>
      </c>
      <c r="B9481" s="41" t="s">
        <v>1400</v>
      </c>
      <c r="C9481" s="63" t="s">
        <v>5593</v>
      </c>
      <c r="D9481" s="129" t="s">
        <v>370</v>
      </c>
      <c r="E9481" s="58">
        <v>50000</v>
      </c>
      <c r="F9481" s="58"/>
      <c r="G9481" s="58">
        <f t="shared" si="153"/>
        <v>-50000</v>
      </c>
      <c r="H9481" s="121" t="s">
        <v>6118</v>
      </c>
    </row>
    <row r="9482" spans="1:8" ht="15" x14ac:dyDescent="0.2">
      <c r="A9482" s="597">
        <v>44077</v>
      </c>
      <c r="B9482" s="41" t="s">
        <v>16</v>
      </c>
      <c r="C9482" s="63" t="s">
        <v>3364</v>
      </c>
      <c r="D9482" s="129" t="s">
        <v>370</v>
      </c>
      <c r="E9482" s="58">
        <v>4170</v>
      </c>
      <c r="F9482" s="58"/>
      <c r="G9482" s="58">
        <f t="shared" si="153"/>
        <v>-4170</v>
      </c>
      <c r="H9482" s="121" t="s">
        <v>6118</v>
      </c>
    </row>
    <row r="9483" spans="1:8" ht="15" x14ac:dyDescent="0.2">
      <c r="A9483" s="597">
        <v>44077</v>
      </c>
      <c r="B9483" s="41" t="s">
        <v>3946</v>
      </c>
      <c r="C9483" s="63" t="s">
        <v>392</v>
      </c>
      <c r="D9483" s="129" t="s">
        <v>392</v>
      </c>
      <c r="E9483" s="58">
        <v>400</v>
      </c>
      <c r="F9483" s="58"/>
      <c r="G9483" s="58">
        <f t="shared" si="153"/>
        <v>-400</v>
      </c>
      <c r="H9483" s="121" t="s">
        <v>6118</v>
      </c>
    </row>
    <row r="9484" spans="1:8" ht="15" x14ac:dyDescent="0.2">
      <c r="A9484" s="597">
        <v>44078</v>
      </c>
      <c r="B9484" s="41" t="s">
        <v>1400</v>
      </c>
      <c r="C9484" s="63" t="s">
        <v>6141</v>
      </c>
      <c r="D9484" s="129" t="s">
        <v>6142</v>
      </c>
      <c r="E9484" s="58">
        <v>24000</v>
      </c>
      <c r="F9484" s="58"/>
      <c r="G9484" s="58">
        <f t="shared" si="153"/>
        <v>-24000</v>
      </c>
      <c r="H9484" s="121" t="s">
        <v>6118</v>
      </c>
    </row>
    <row r="9485" spans="1:8" ht="15" x14ac:dyDescent="0.2">
      <c r="A9485" s="597">
        <v>44078</v>
      </c>
      <c r="B9485" s="41" t="s">
        <v>1400</v>
      </c>
      <c r="C9485" s="63" t="s">
        <v>3145</v>
      </c>
      <c r="D9485" s="129" t="s">
        <v>6143</v>
      </c>
      <c r="E9485" s="58">
        <v>1000</v>
      </c>
      <c r="F9485" s="58"/>
      <c r="G9485" s="58">
        <f t="shared" si="153"/>
        <v>-1000</v>
      </c>
      <c r="H9485" s="121" t="s">
        <v>6118</v>
      </c>
    </row>
    <row r="9486" spans="1:8" ht="15" x14ac:dyDescent="0.2">
      <c r="A9486" s="597">
        <v>44078</v>
      </c>
      <c r="B9486" s="41" t="s">
        <v>1400</v>
      </c>
      <c r="C9486" s="63" t="s">
        <v>3145</v>
      </c>
      <c r="D9486" s="129" t="s">
        <v>6144</v>
      </c>
      <c r="E9486" s="58">
        <v>4000</v>
      </c>
      <c r="F9486" s="58"/>
      <c r="G9486" s="58">
        <f t="shared" si="153"/>
        <v>-4000</v>
      </c>
      <c r="H9486" s="121" t="s">
        <v>6118</v>
      </c>
    </row>
    <row r="9487" spans="1:8" ht="15" x14ac:dyDescent="0.2">
      <c r="A9487" s="597">
        <v>44078</v>
      </c>
      <c r="B9487" s="41" t="s">
        <v>1400</v>
      </c>
      <c r="C9487" s="63" t="s">
        <v>5741</v>
      </c>
      <c r="D9487" s="129" t="s">
        <v>6145</v>
      </c>
      <c r="E9487" s="58">
        <v>3000</v>
      </c>
      <c r="F9487" s="58"/>
      <c r="G9487" s="58">
        <f t="shared" si="153"/>
        <v>-3000</v>
      </c>
      <c r="H9487" s="121" t="s">
        <v>6118</v>
      </c>
    </row>
    <row r="9488" spans="1:8" ht="15" x14ac:dyDescent="0.2">
      <c r="A9488" s="597">
        <v>44078</v>
      </c>
      <c r="B9488" s="41" t="s">
        <v>1400</v>
      </c>
      <c r="C9488" s="63" t="s">
        <v>392</v>
      </c>
      <c r="D9488" s="129" t="s">
        <v>6145</v>
      </c>
      <c r="E9488" s="58">
        <v>1000</v>
      </c>
      <c r="F9488" s="58"/>
      <c r="G9488" s="58">
        <f t="shared" si="153"/>
        <v>-1000</v>
      </c>
      <c r="H9488" s="121" t="s">
        <v>6118</v>
      </c>
    </row>
    <row r="9489" spans="1:8" ht="15" x14ac:dyDescent="0.2">
      <c r="A9489" s="597">
        <v>44078</v>
      </c>
      <c r="B9489" s="41" t="s">
        <v>2933</v>
      </c>
      <c r="C9489" s="63" t="s">
        <v>3145</v>
      </c>
      <c r="D9489" s="129" t="s">
        <v>6146</v>
      </c>
      <c r="E9489" s="58">
        <v>1000</v>
      </c>
      <c r="F9489" s="58"/>
      <c r="G9489" s="58">
        <f t="shared" si="153"/>
        <v>-1000</v>
      </c>
      <c r="H9489" s="121" t="s">
        <v>6118</v>
      </c>
    </row>
    <row r="9490" spans="1:8" ht="15" x14ac:dyDescent="0.2">
      <c r="A9490" s="597">
        <v>44078</v>
      </c>
      <c r="B9490" s="41" t="s">
        <v>1400</v>
      </c>
      <c r="C9490" s="63" t="s">
        <v>3145</v>
      </c>
      <c r="D9490" s="129" t="s">
        <v>6147</v>
      </c>
      <c r="E9490" s="58">
        <v>4000</v>
      </c>
      <c r="F9490" s="58"/>
      <c r="G9490" s="58">
        <f t="shared" si="153"/>
        <v>-4000</v>
      </c>
      <c r="H9490" s="121" t="s">
        <v>6118</v>
      </c>
    </row>
    <row r="9491" spans="1:8" ht="15" x14ac:dyDescent="0.2">
      <c r="A9491" s="597">
        <v>44078</v>
      </c>
      <c r="B9491" s="41" t="s">
        <v>82</v>
      </c>
      <c r="C9491" s="63" t="s">
        <v>392</v>
      </c>
      <c r="D9491" s="129" t="s">
        <v>3794</v>
      </c>
      <c r="E9491" s="58">
        <v>1000</v>
      </c>
      <c r="F9491" s="58"/>
      <c r="G9491" s="58">
        <f t="shared" si="153"/>
        <v>-1000</v>
      </c>
      <c r="H9491" s="121" t="s">
        <v>6118</v>
      </c>
    </row>
    <row r="9492" spans="1:8" ht="15" x14ac:dyDescent="0.2">
      <c r="A9492" s="597">
        <v>44078</v>
      </c>
      <c r="B9492" s="41" t="s">
        <v>1400</v>
      </c>
      <c r="C9492" s="63" t="s">
        <v>2190</v>
      </c>
      <c r="D9492" s="129"/>
      <c r="E9492" s="58">
        <v>1950</v>
      </c>
      <c r="F9492" s="58"/>
      <c r="G9492" s="58">
        <f t="shared" si="153"/>
        <v>-1950</v>
      </c>
      <c r="H9492" s="121" t="s">
        <v>6118</v>
      </c>
    </row>
    <row r="9493" spans="1:8" ht="15" x14ac:dyDescent="0.2">
      <c r="A9493" s="597">
        <v>44078</v>
      </c>
      <c r="B9493" s="41" t="s">
        <v>1400</v>
      </c>
      <c r="C9493" s="63" t="s">
        <v>2190</v>
      </c>
      <c r="D9493" s="129"/>
      <c r="E9493" s="58">
        <v>150</v>
      </c>
      <c r="F9493" s="58"/>
      <c r="G9493" s="58">
        <f t="shared" si="153"/>
        <v>-150</v>
      </c>
      <c r="H9493" s="121" t="s">
        <v>6118</v>
      </c>
    </row>
    <row r="9494" spans="1:8" ht="15" x14ac:dyDescent="0.2">
      <c r="A9494" s="597">
        <v>44078</v>
      </c>
      <c r="B9494" s="41" t="s">
        <v>25</v>
      </c>
      <c r="C9494" s="63" t="s">
        <v>2428</v>
      </c>
      <c r="D9494" s="129" t="s">
        <v>3056</v>
      </c>
      <c r="E9494" s="58">
        <v>43250</v>
      </c>
      <c r="F9494" s="58"/>
      <c r="G9494" s="58">
        <f t="shared" si="153"/>
        <v>-43250</v>
      </c>
      <c r="H9494" s="121" t="s">
        <v>6118</v>
      </c>
    </row>
    <row r="9495" spans="1:8" ht="15" x14ac:dyDescent="0.2">
      <c r="A9495" s="597">
        <v>44078</v>
      </c>
      <c r="B9495" s="41" t="s">
        <v>1400</v>
      </c>
      <c r="C9495" s="63" t="s">
        <v>3145</v>
      </c>
      <c r="D9495" s="129" t="s">
        <v>6148</v>
      </c>
      <c r="E9495" s="58">
        <v>78710</v>
      </c>
      <c r="F9495" s="58"/>
      <c r="G9495" s="58">
        <f t="shared" si="153"/>
        <v>-78710</v>
      </c>
      <c r="H9495" s="121" t="s">
        <v>6118</v>
      </c>
    </row>
    <row r="9496" spans="1:8" ht="15" x14ac:dyDescent="0.2">
      <c r="A9496" s="597">
        <v>44078</v>
      </c>
      <c r="B9496" s="41" t="s">
        <v>4553</v>
      </c>
      <c r="C9496" s="63" t="s">
        <v>3145</v>
      </c>
      <c r="D9496" s="129" t="s">
        <v>6150</v>
      </c>
      <c r="E9496" s="58">
        <v>3000</v>
      </c>
      <c r="F9496" s="58"/>
      <c r="G9496" s="58">
        <f t="shared" si="153"/>
        <v>-3000</v>
      </c>
      <c r="H9496" s="121" t="s">
        <v>6118</v>
      </c>
    </row>
    <row r="9497" spans="1:8" ht="15" x14ac:dyDescent="0.2">
      <c r="A9497" s="597">
        <v>44078</v>
      </c>
      <c r="B9497" s="41" t="s">
        <v>2933</v>
      </c>
      <c r="C9497" s="63" t="s">
        <v>3145</v>
      </c>
      <c r="D9497" s="129" t="s">
        <v>6149</v>
      </c>
      <c r="E9497" s="58">
        <v>17488</v>
      </c>
      <c r="F9497" s="58"/>
      <c r="G9497" s="58">
        <f t="shared" si="153"/>
        <v>-17488</v>
      </c>
      <c r="H9497" s="121" t="s">
        <v>6118</v>
      </c>
    </row>
    <row r="9498" spans="1:8" ht="15" x14ac:dyDescent="0.2">
      <c r="A9498" s="597">
        <v>44078</v>
      </c>
      <c r="B9498" s="41" t="s">
        <v>16</v>
      </c>
      <c r="C9498" s="63" t="s">
        <v>1495</v>
      </c>
      <c r="D9498" s="129" t="s">
        <v>370</v>
      </c>
      <c r="E9498" s="58">
        <v>1100</v>
      </c>
      <c r="F9498" s="58"/>
      <c r="G9498" s="58">
        <f t="shared" si="153"/>
        <v>-1100</v>
      </c>
      <c r="H9498" s="121" t="s">
        <v>6118</v>
      </c>
    </row>
    <row r="9499" spans="1:8" ht="15" x14ac:dyDescent="0.2">
      <c r="A9499" s="597">
        <v>44078</v>
      </c>
      <c r="B9499" s="41" t="s">
        <v>5811</v>
      </c>
      <c r="C9499" s="63" t="s">
        <v>3145</v>
      </c>
      <c r="D9499" s="129" t="s">
        <v>392</v>
      </c>
      <c r="E9499" s="58">
        <v>460</v>
      </c>
      <c r="F9499" s="58"/>
      <c r="G9499" s="58">
        <f t="shared" si="153"/>
        <v>-460</v>
      </c>
      <c r="H9499" s="121" t="s">
        <v>6118</v>
      </c>
    </row>
    <row r="9500" spans="1:8" ht="15.75" thickBot="1" x14ac:dyDescent="0.25">
      <c r="A9500" s="597">
        <v>44079</v>
      </c>
      <c r="B9500" s="41" t="s">
        <v>1400</v>
      </c>
      <c r="C9500" s="221" t="s">
        <v>2104</v>
      </c>
      <c r="D9500" s="842" t="s">
        <v>370</v>
      </c>
      <c r="E9500" s="173">
        <v>51000</v>
      </c>
      <c r="F9500" s="58"/>
      <c r="G9500" s="58">
        <f t="shared" si="153"/>
        <v>-51000</v>
      </c>
      <c r="H9500" s="121" t="s">
        <v>6118</v>
      </c>
    </row>
    <row r="9501" spans="1:8" ht="15" x14ac:dyDescent="0.2">
      <c r="A9501" s="597">
        <v>44081</v>
      </c>
      <c r="B9501" s="401" t="s">
        <v>6103</v>
      </c>
      <c r="C9501" s="459" t="s">
        <v>3145</v>
      </c>
      <c r="D9501" s="877" t="s">
        <v>6152</v>
      </c>
      <c r="E9501" s="460">
        <v>71000</v>
      </c>
      <c r="F9501" s="434"/>
      <c r="G9501" s="58">
        <f t="shared" si="153"/>
        <v>-71000</v>
      </c>
      <c r="H9501" s="121" t="s">
        <v>6118</v>
      </c>
    </row>
    <row r="9502" spans="1:8" ht="15" customHeight="1" x14ac:dyDescent="0.2">
      <c r="A9502" s="597">
        <v>44081</v>
      </c>
      <c r="B9502" s="401" t="s">
        <v>4721</v>
      </c>
      <c r="C9502" s="541" t="s">
        <v>3145</v>
      </c>
      <c r="D9502" s="878" t="s">
        <v>6151</v>
      </c>
      <c r="E9502" s="542">
        <v>30500</v>
      </c>
      <c r="F9502" s="434"/>
      <c r="G9502" s="58">
        <f t="shared" si="153"/>
        <v>-30500</v>
      </c>
      <c r="H9502" s="121" t="s">
        <v>6118</v>
      </c>
    </row>
    <row r="9503" spans="1:8" ht="15.75" customHeight="1" thickBot="1" x14ac:dyDescent="0.25">
      <c r="A9503" s="597">
        <v>44081</v>
      </c>
      <c r="B9503" s="401" t="s">
        <v>1400</v>
      </c>
      <c r="C9503" s="481" t="s">
        <v>3145</v>
      </c>
      <c r="D9503" s="879" t="s">
        <v>5136</v>
      </c>
      <c r="E9503" s="482">
        <v>56318</v>
      </c>
      <c r="F9503" s="434"/>
      <c r="G9503" s="58">
        <f t="shared" si="153"/>
        <v>-56318</v>
      </c>
      <c r="H9503" s="121" t="s">
        <v>6118</v>
      </c>
    </row>
    <row r="9504" spans="1:8" ht="15.75" thickBot="1" x14ac:dyDescent="0.25">
      <c r="A9504" s="597">
        <v>44081</v>
      </c>
      <c r="B9504" s="41" t="s">
        <v>1400</v>
      </c>
      <c r="C9504" s="458" t="s">
        <v>5741</v>
      </c>
      <c r="D9504" s="861" t="s">
        <v>370</v>
      </c>
      <c r="E9504" s="224">
        <v>1000</v>
      </c>
      <c r="F9504" s="58"/>
      <c r="G9504" s="58">
        <f t="shared" si="153"/>
        <v>-1000</v>
      </c>
      <c r="H9504" s="121" t="s">
        <v>6118</v>
      </c>
    </row>
    <row r="9505" spans="1:8" ht="15" x14ac:dyDescent="0.2">
      <c r="A9505" s="597">
        <v>44081</v>
      </c>
      <c r="B9505" s="401" t="s">
        <v>2652</v>
      </c>
      <c r="C9505" s="459" t="s">
        <v>3145</v>
      </c>
      <c r="D9505" s="859" t="s">
        <v>6153</v>
      </c>
      <c r="E9505" s="460">
        <v>16075</v>
      </c>
      <c r="F9505" s="434"/>
      <c r="G9505" s="58">
        <f t="shared" si="153"/>
        <v>-16075</v>
      </c>
      <c r="H9505" s="121" t="s">
        <v>6118</v>
      </c>
    </row>
    <row r="9506" spans="1:8" ht="15.75" thickBot="1" x14ac:dyDescent="0.25">
      <c r="A9506" s="597">
        <v>44081</v>
      </c>
      <c r="B9506" s="401" t="s">
        <v>1400</v>
      </c>
      <c r="C9506" s="481" t="s">
        <v>3145</v>
      </c>
      <c r="D9506" s="862" t="s">
        <v>6154</v>
      </c>
      <c r="E9506" s="482">
        <v>11800</v>
      </c>
      <c r="F9506" s="434"/>
      <c r="G9506" s="58">
        <f t="shared" si="153"/>
        <v>-11800</v>
      </c>
      <c r="H9506" s="121" t="s">
        <v>6118</v>
      </c>
    </row>
    <row r="9507" spans="1:8" ht="15" x14ac:dyDescent="0.2">
      <c r="A9507" s="597">
        <v>44081</v>
      </c>
      <c r="B9507" s="41" t="s">
        <v>3622</v>
      </c>
      <c r="C9507" s="223" t="s">
        <v>3145</v>
      </c>
      <c r="D9507" s="805" t="s">
        <v>3253</v>
      </c>
      <c r="E9507" s="247">
        <v>5160</v>
      </c>
      <c r="F9507" s="58"/>
      <c r="G9507" s="58">
        <f t="shared" si="153"/>
        <v>-5160</v>
      </c>
      <c r="H9507" s="121" t="s">
        <v>6118</v>
      </c>
    </row>
    <row r="9508" spans="1:8" ht="15" x14ac:dyDescent="0.2">
      <c r="A9508" s="597">
        <v>44083</v>
      </c>
      <c r="B9508" s="41" t="s">
        <v>1400</v>
      </c>
      <c r="C9508" s="223" t="s">
        <v>6141</v>
      </c>
      <c r="D9508" s="805" t="s">
        <v>6155</v>
      </c>
      <c r="E9508" s="247">
        <v>28200</v>
      </c>
      <c r="F9508" s="58"/>
      <c r="G9508" s="58">
        <f t="shared" si="153"/>
        <v>-28200</v>
      </c>
      <c r="H9508" s="121" t="s">
        <v>6118</v>
      </c>
    </row>
    <row r="9509" spans="1:8" ht="15" x14ac:dyDescent="0.2">
      <c r="A9509" s="597">
        <v>44084</v>
      </c>
      <c r="B9509" s="41" t="s">
        <v>1400</v>
      </c>
      <c r="C9509" s="223" t="s">
        <v>3145</v>
      </c>
      <c r="D9509" s="805" t="s">
        <v>5136</v>
      </c>
      <c r="E9509" s="247">
        <v>15615</v>
      </c>
      <c r="F9509" s="58"/>
      <c r="G9509" s="58">
        <f t="shared" si="153"/>
        <v>-15615</v>
      </c>
      <c r="H9509" s="121" t="s">
        <v>6118</v>
      </c>
    </row>
    <row r="9510" spans="1:8" ht="15.75" thickBot="1" x14ac:dyDescent="0.25">
      <c r="A9510" s="597">
        <v>44084</v>
      </c>
      <c r="B9510" s="41" t="s">
        <v>2652</v>
      </c>
      <c r="C9510" s="458" t="s">
        <v>5741</v>
      </c>
      <c r="D9510" s="861" t="s">
        <v>370</v>
      </c>
      <c r="E9510" s="224">
        <v>450</v>
      </c>
      <c r="F9510" s="58"/>
      <c r="G9510" s="58">
        <f t="shared" si="153"/>
        <v>-450</v>
      </c>
      <c r="H9510" s="121" t="s">
        <v>6118</v>
      </c>
    </row>
    <row r="9511" spans="1:8" ht="15" x14ac:dyDescent="0.2">
      <c r="A9511" s="597">
        <v>44084</v>
      </c>
      <c r="B9511" s="401" t="s">
        <v>1400</v>
      </c>
      <c r="C9511" s="459" t="s">
        <v>6156</v>
      </c>
      <c r="D9511" s="859" t="s">
        <v>370</v>
      </c>
      <c r="E9511" s="460">
        <v>7600</v>
      </c>
      <c r="F9511" s="434"/>
      <c r="G9511" s="58">
        <f t="shared" si="153"/>
        <v>-7600</v>
      </c>
      <c r="H9511" s="121" t="s">
        <v>6118</v>
      </c>
    </row>
    <row r="9512" spans="1:8" ht="15.75" thickBot="1" x14ac:dyDescent="0.25">
      <c r="A9512" s="597">
        <v>44084</v>
      </c>
      <c r="B9512" s="401" t="s">
        <v>2652</v>
      </c>
      <c r="C9512" s="461" t="s">
        <v>6156</v>
      </c>
      <c r="D9512" s="880" t="s">
        <v>6157</v>
      </c>
      <c r="E9512" s="462">
        <v>23360</v>
      </c>
      <c r="F9512" s="434"/>
      <c r="G9512" s="58">
        <f t="shared" si="153"/>
        <v>-23360</v>
      </c>
      <c r="H9512" s="121" t="s">
        <v>6118</v>
      </c>
    </row>
    <row r="9513" spans="1:8" ht="15" x14ac:dyDescent="0.2">
      <c r="A9513" s="597">
        <v>44084</v>
      </c>
      <c r="B9513" s="41" t="s">
        <v>4553</v>
      </c>
      <c r="C9513" s="223" t="s">
        <v>392</v>
      </c>
      <c r="D9513" s="805" t="s">
        <v>6158</v>
      </c>
      <c r="E9513" s="247">
        <v>2000</v>
      </c>
      <c r="F9513" s="58"/>
      <c r="G9513" s="58">
        <f t="shared" ref="G9513:G9576" si="154">F9513-E9513</f>
        <v>-2000</v>
      </c>
      <c r="H9513" s="121" t="s">
        <v>6118</v>
      </c>
    </row>
    <row r="9514" spans="1:8" ht="15" x14ac:dyDescent="0.2">
      <c r="A9514" s="597">
        <v>44084</v>
      </c>
      <c r="B9514" s="41" t="s">
        <v>2933</v>
      </c>
      <c r="C9514" s="223" t="s">
        <v>3446</v>
      </c>
      <c r="D9514" s="805" t="s">
        <v>6159</v>
      </c>
      <c r="E9514" s="247">
        <v>30000</v>
      </c>
      <c r="F9514" s="58"/>
      <c r="G9514" s="58">
        <f t="shared" si="154"/>
        <v>-30000</v>
      </c>
      <c r="H9514" s="121" t="s">
        <v>6118</v>
      </c>
    </row>
    <row r="9515" spans="1:8" ht="15" x14ac:dyDescent="0.2">
      <c r="A9515" s="597">
        <v>44088</v>
      </c>
      <c r="B9515" s="41" t="s">
        <v>4721</v>
      </c>
      <c r="C9515" s="223" t="s">
        <v>3145</v>
      </c>
      <c r="D9515" s="805" t="s">
        <v>1121</v>
      </c>
      <c r="E9515" s="247">
        <v>35500</v>
      </c>
      <c r="F9515" s="58"/>
      <c r="G9515" s="58">
        <f t="shared" si="154"/>
        <v>-35500</v>
      </c>
      <c r="H9515" s="121" t="s">
        <v>6118</v>
      </c>
    </row>
    <row r="9516" spans="1:8" ht="15" x14ac:dyDescent="0.2">
      <c r="A9516" s="597">
        <v>44089</v>
      </c>
      <c r="B9516" s="41" t="s">
        <v>25</v>
      </c>
      <c r="C9516" s="223" t="s">
        <v>392</v>
      </c>
      <c r="D9516" s="805" t="s">
        <v>6160</v>
      </c>
      <c r="E9516" s="247">
        <v>700</v>
      </c>
      <c r="F9516" s="58"/>
      <c r="G9516" s="58">
        <f t="shared" si="154"/>
        <v>-700</v>
      </c>
      <c r="H9516" s="121" t="s">
        <v>6118</v>
      </c>
    </row>
    <row r="9517" spans="1:8" ht="15" x14ac:dyDescent="0.2">
      <c r="A9517" s="597">
        <v>44089</v>
      </c>
      <c r="B9517" s="41" t="s">
        <v>1400</v>
      </c>
      <c r="C9517" s="223" t="s">
        <v>3145</v>
      </c>
      <c r="D9517" s="805" t="s">
        <v>5257</v>
      </c>
      <c r="E9517" s="247">
        <v>24300</v>
      </c>
      <c r="F9517" s="58"/>
      <c r="G9517" s="58">
        <f t="shared" si="154"/>
        <v>-24300</v>
      </c>
      <c r="H9517" s="121" t="s">
        <v>6118</v>
      </c>
    </row>
    <row r="9518" spans="1:8" ht="15" x14ac:dyDescent="0.2">
      <c r="A9518" s="597">
        <v>44089</v>
      </c>
      <c r="B9518" s="41" t="s">
        <v>2933</v>
      </c>
      <c r="C9518" s="223" t="s">
        <v>5741</v>
      </c>
      <c r="D9518" s="805" t="s">
        <v>370</v>
      </c>
      <c r="E9518" s="247">
        <v>1500</v>
      </c>
      <c r="F9518" s="58"/>
      <c r="G9518" s="58">
        <f t="shared" si="154"/>
        <v>-1500</v>
      </c>
      <c r="H9518" s="121" t="s">
        <v>6118</v>
      </c>
    </row>
    <row r="9519" spans="1:8" ht="15" x14ac:dyDescent="0.2">
      <c r="A9519" s="597">
        <v>44089</v>
      </c>
      <c r="B9519" s="41" t="s">
        <v>16</v>
      </c>
      <c r="C9519" s="223" t="s">
        <v>392</v>
      </c>
      <c r="D9519" s="805" t="s">
        <v>6122</v>
      </c>
      <c r="E9519" s="247">
        <v>120</v>
      </c>
      <c r="F9519" s="58"/>
      <c r="G9519" s="58">
        <f t="shared" si="154"/>
        <v>-120</v>
      </c>
      <c r="H9519" s="121" t="s">
        <v>6118</v>
      </c>
    </row>
    <row r="9520" spans="1:8" ht="15" x14ac:dyDescent="0.2">
      <c r="A9520" s="597">
        <v>44090</v>
      </c>
      <c r="B9520" s="41" t="s">
        <v>16</v>
      </c>
      <c r="C9520" s="223" t="s">
        <v>392</v>
      </c>
      <c r="D9520" s="805" t="s">
        <v>2783</v>
      </c>
      <c r="E9520" s="247">
        <v>390</v>
      </c>
      <c r="F9520" s="58"/>
      <c r="G9520" s="58">
        <f t="shared" si="154"/>
        <v>-390</v>
      </c>
      <c r="H9520" s="121" t="s">
        <v>6118</v>
      </c>
    </row>
    <row r="9521" spans="1:8" ht="15.75" thickBot="1" x14ac:dyDescent="0.25">
      <c r="A9521" s="597">
        <v>44091</v>
      </c>
      <c r="B9521" s="41" t="s">
        <v>1400</v>
      </c>
      <c r="C9521" s="458" t="s">
        <v>4331</v>
      </c>
      <c r="D9521" s="861" t="s">
        <v>370</v>
      </c>
      <c r="E9521" s="224">
        <v>3500</v>
      </c>
      <c r="F9521" s="58"/>
      <c r="G9521" s="58">
        <f t="shared" si="154"/>
        <v>-3500</v>
      </c>
      <c r="H9521" s="121" t="s">
        <v>6118</v>
      </c>
    </row>
    <row r="9522" spans="1:8" ht="15" x14ac:dyDescent="0.2">
      <c r="A9522" s="597">
        <v>44091</v>
      </c>
      <c r="B9522" s="401" t="s">
        <v>2933</v>
      </c>
      <c r="C9522" s="459" t="s">
        <v>6161</v>
      </c>
      <c r="D9522" s="859" t="s">
        <v>370</v>
      </c>
      <c r="E9522" s="460">
        <v>7000</v>
      </c>
      <c r="F9522" s="434"/>
      <c r="G9522" s="58">
        <f t="shared" si="154"/>
        <v>-7000</v>
      </c>
      <c r="H9522" s="121" t="s">
        <v>6118</v>
      </c>
    </row>
    <row r="9523" spans="1:8" ht="15.75" thickBot="1" x14ac:dyDescent="0.25">
      <c r="A9523" s="597">
        <v>44091</v>
      </c>
      <c r="B9523" s="401" t="s">
        <v>1400</v>
      </c>
      <c r="C9523" s="461" t="s">
        <v>6161</v>
      </c>
      <c r="D9523" s="860" t="s">
        <v>370</v>
      </c>
      <c r="E9523" s="462">
        <v>90800</v>
      </c>
      <c r="F9523" s="434"/>
      <c r="G9523" s="58">
        <f t="shared" si="154"/>
        <v>-90800</v>
      </c>
      <c r="H9523" s="121" t="s">
        <v>6118</v>
      </c>
    </row>
    <row r="9524" spans="1:8" ht="15" x14ac:dyDescent="0.2">
      <c r="A9524" s="597">
        <v>44091</v>
      </c>
      <c r="B9524" s="401" t="s">
        <v>2652</v>
      </c>
      <c r="C9524" s="513" t="s">
        <v>3145</v>
      </c>
      <c r="D9524" s="861" t="s">
        <v>6168</v>
      </c>
      <c r="E9524" s="514">
        <v>2000</v>
      </c>
      <c r="F9524" s="434"/>
      <c r="G9524" s="58">
        <f t="shared" si="154"/>
        <v>-2000</v>
      </c>
      <c r="H9524" s="121" t="s">
        <v>6118</v>
      </c>
    </row>
    <row r="9525" spans="1:8" ht="15" x14ac:dyDescent="0.2">
      <c r="A9525" s="597">
        <v>44091</v>
      </c>
      <c r="B9525" s="401" t="s">
        <v>1400</v>
      </c>
      <c r="C9525" s="513" t="s">
        <v>3145</v>
      </c>
      <c r="D9525" s="861" t="s">
        <v>6169</v>
      </c>
      <c r="E9525" s="514">
        <v>4884</v>
      </c>
      <c r="F9525" s="434"/>
      <c r="G9525" s="58">
        <f t="shared" si="154"/>
        <v>-4884</v>
      </c>
      <c r="H9525" s="121" t="s">
        <v>6118</v>
      </c>
    </row>
    <row r="9526" spans="1:8" ht="15" x14ac:dyDescent="0.2">
      <c r="A9526" s="597">
        <v>44093</v>
      </c>
      <c r="B9526" s="401" t="s">
        <v>1400</v>
      </c>
      <c r="C9526" s="513" t="s">
        <v>6171</v>
      </c>
      <c r="D9526" s="861" t="s">
        <v>6172</v>
      </c>
      <c r="E9526" s="514">
        <v>60000</v>
      </c>
      <c r="F9526" s="434"/>
      <c r="G9526" s="58">
        <f t="shared" si="154"/>
        <v>-60000</v>
      </c>
      <c r="H9526" s="121" t="s">
        <v>6118</v>
      </c>
    </row>
    <row r="9527" spans="1:8" ht="15" x14ac:dyDescent="0.2">
      <c r="A9527" s="597">
        <v>44093</v>
      </c>
      <c r="B9527" s="401" t="s">
        <v>16</v>
      </c>
      <c r="C9527" s="513" t="s">
        <v>1689</v>
      </c>
      <c r="D9527" s="861" t="s">
        <v>6173</v>
      </c>
      <c r="E9527" s="514">
        <v>6320</v>
      </c>
      <c r="F9527" s="434"/>
      <c r="G9527" s="58">
        <f t="shared" si="154"/>
        <v>-6320</v>
      </c>
      <c r="H9527" s="121" t="s">
        <v>6118</v>
      </c>
    </row>
    <row r="9528" spans="1:8" ht="15" x14ac:dyDescent="0.2">
      <c r="A9528" s="597">
        <v>44093</v>
      </c>
      <c r="B9528" s="401" t="s">
        <v>25</v>
      </c>
      <c r="C9528" s="513" t="s">
        <v>1689</v>
      </c>
      <c r="D9528" s="861" t="s">
        <v>6174</v>
      </c>
      <c r="E9528" s="514">
        <v>1850</v>
      </c>
      <c r="F9528" s="434"/>
      <c r="G9528" s="58">
        <f t="shared" si="154"/>
        <v>-1850</v>
      </c>
      <c r="H9528" s="121" t="s">
        <v>6118</v>
      </c>
    </row>
    <row r="9529" spans="1:8" ht="15" x14ac:dyDescent="0.2">
      <c r="A9529" s="597">
        <v>44095</v>
      </c>
      <c r="B9529" s="401" t="s">
        <v>1400</v>
      </c>
      <c r="C9529" s="513" t="s">
        <v>2515</v>
      </c>
      <c r="D9529" s="861" t="s">
        <v>6175</v>
      </c>
      <c r="E9529" s="514">
        <v>20000</v>
      </c>
      <c r="F9529" s="434"/>
      <c r="G9529" s="58">
        <f t="shared" si="154"/>
        <v>-20000</v>
      </c>
      <c r="H9529" s="121" t="s">
        <v>6118</v>
      </c>
    </row>
    <row r="9530" spans="1:8" ht="15.75" thickBot="1" x14ac:dyDescent="0.25">
      <c r="A9530" s="597">
        <v>44097</v>
      </c>
      <c r="B9530" s="401" t="s">
        <v>2933</v>
      </c>
      <c r="C9530" s="513" t="s">
        <v>3145</v>
      </c>
      <c r="D9530" s="861" t="s">
        <v>4535</v>
      </c>
      <c r="E9530" s="514">
        <v>15020</v>
      </c>
      <c r="F9530" s="434"/>
      <c r="G9530" s="58">
        <f t="shared" si="154"/>
        <v>-15020</v>
      </c>
      <c r="H9530" s="121" t="s">
        <v>6118</v>
      </c>
    </row>
    <row r="9531" spans="1:8" ht="15" customHeight="1" x14ac:dyDescent="0.2">
      <c r="A9531" s="597">
        <v>44097</v>
      </c>
      <c r="B9531" s="401" t="s">
        <v>2652</v>
      </c>
      <c r="C9531" s="543" t="s">
        <v>3145</v>
      </c>
      <c r="D9531" s="881" t="s">
        <v>4535</v>
      </c>
      <c r="E9531" s="544">
        <v>3605</v>
      </c>
      <c r="F9531" s="434"/>
      <c r="G9531" s="58">
        <f t="shared" si="154"/>
        <v>-3605</v>
      </c>
      <c r="H9531" s="121" t="s">
        <v>6118</v>
      </c>
    </row>
    <row r="9532" spans="1:8" ht="15.75" customHeight="1" thickBot="1" x14ac:dyDescent="0.25">
      <c r="A9532" s="597">
        <v>44097</v>
      </c>
      <c r="B9532" s="401" t="s">
        <v>5641</v>
      </c>
      <c r="C9532" s="461" t="s">
        <v>3145</v>
      </c>
      <c r="D9532" s="860" t="s">
        <v>4535</v>
      </c>
      <c r="E9532" s="462">
        <v>6905</v>
      </c>
      <c r="F9532" s="434"/>
      <c r="G9532" s="58">
        <f t="shared" si="154"/>
        <v>-6905</v>
      </c>
      <c r="H9532" s="121" t="s">
        <v>6118</v>
      </c>
    </row>
    <row r="9533" spans="1:8" ht="15" customHeight="1" x14ac:dyDescent="0.2">
      <c r="A9533" s="597">
        <v>44097</v>
      </c>
      <c r="B9533" s="401" t="s">
        <v>3946</v>
      </c>
      <c r="C9533" s="513" t="s">
        <v>2503</v>
      </c>
      <c r="D9533" s="861" t="s">
        <v>6177</v>
      </c>
      <c r="E9533" s="514">
        <v>9000</v>
      </c>
      <c r="F9533" s="434"/>
      <c r="G9533" s="58">
        <f t="shared" si="154"/>
        <v>-9000</v>
      </c>
      <c r="H9533" s="121" t="s">
        <v>6118</v>
      </c>
    </row>
    <row r="9534" spans="1:8" ht="15" customHeight="1" x14ac:dyDescent="0.2">
      <c r="A9534" s="597">
        <v>44097</v>
      </c>
      <c r="B9534" s="401" t="s">
        <v>82</v>
      </c>
      <c r="C9534" s="513" t="s">
        <v>6091</v>
      </c>
      <c r="D9534" s="861" t="s">
        <v>6178</v>
      </c>
      <c r="E9534" s="514">
        <v>35000</v>
      </c>
      <c r="F9534" s="434"/>
      <c r="G9534" s="58">
        <f t="shared" si="154"/>
        <v>-35000</v>
      </c>
      <c r="H9534" s="121" t="s">
        <v>6118</v>
      </c>
    </row>
    <row r="9535" spans="1:8" ht="15.75" customHeight="1" thickBot="1" x14ac:dyDescent="0.25">
      <c r="A9535" s="597">
        <v>44098</v>
      </c>
      <c r="B9535" s="401" t="s">
        <v>25</v>
      </c>
      <c r="C9535" s="513" t="s">
        <v>6179</v>
      </c>
      <c r="D9535" s="861" t="s">
        <v>6180</v>
      </c>
      <c r="E9535" s="514">
        <v>30000</v>
      </c>
      <c r="F9535" s="434"/>
      <c r="G9535" s="58">
        <f t="shared" si="154"/>
        <v>-30000</v>
      </c>
      <c r="H9535" s="121" t="s">
        <v>6118</v>
      </c>
    </row>
    <row r="9536" spans="1:8" ht="15" customHeight="1" x14ac:dyDescent="0.2">
      <c r="A9536" s="597">
        <v>44098</v>
      </c>
      <c r="B9536" s="401" t="s">
        <v>11</v>
      </c>
      <c r="C9536" s="543" t="s">
        <v>2104</v>
      </c>
      <c r="D9536" s="881" t="s">
        <v>6181</v>
      </c>
      <c r="E9536" s="544">
        <v>22400</v>
      </c>
      <c r="F9536" s="434"/>
      <c r="G9536" s="58">
        <f t="shared" si="154"/>
        <v>-22400</v>
      </c>
      <c r="H9536" s="121" t="s">
        <v>6118</v>
      </c>
    </row>
    <row r="9537" spans="1:8" ht="15.75" customHeight="1" thickBot="1" x14ac:dyDescent="0.25">
      <c r="A9537" s="597">
        <v>44098</v>
      </c>
      <c r="B9537" s="401" t="s">
        <v>1400</v>
      </c>
      <c r="C9537" s="461" t="s">
        <v>2104</v>
      </c>
      <c r="D9537" s="860" t="s">
        <v>6181</v>
      </c>
      <c r="E9537" s="462">
        <v>12980</v>
      </c>
      <c r="F9537" s="434"/>
      <c r="G9537" s="58">
        <f t="shared" si="154"/>
        <v>-12980</v>
      </c>
      <c r="H9537" s="121" t="s">
        <v>6118</v>
      </c>
    </row>
    <row r="9538" spans="1:8" ht="15" customHeight="1" x14ac:dyDescent="0.2">
      <c r="A9538" s="597">
        <v>44098</v>
      </c>
      <c r="B9538" s="401" t="s">
        <v>1400</v>
      </c>
      <c r="C9538" s="513" t="s">
        <v>3145</v>
      </c>
      <c r="D9538" s="861" t="s">
        <v>4450</v>
      </c>
      <c r="E9538" s="514">
        <v>87350</v>
      </c>
      <c r="F9538" s="434"/>
      <c r="G9538" s="58">
        <f t="shared" si="154"/>
        <v>-87350</v>
      </c>
      <c r="H9538" s="121" t="s">
        <v>6118</v>
      </c>
    </row>
    <row r="9539" spans="1:8" ht="15" x14ac:dyDescent="0.2">
      <c r="A9539" s="597">
        <v>44098</v>
      </c>
      <c r="B9539" s="401" t="s">
        <v>2652</v>
      </c>
      <c r="C9539" s="513" t="s">
        <v>3145</v>
      </c>
      <c r="D9539" s="861" t="s">
        <v>6182</v>
      </c>
      <c r="E9539" s="514">
        <v>1140</v>
      </c>
      <c r="F9539" s="434"/>
      <c r="G9539" s="58">
        <f t="shared" si="154"/>
        <v>-1140</v>
      </c>
      <c r="H9539" s="121" t="s">
        <v>6118</v>
      </c>
    </row>
    <row r="9540" spans="1:8" ht="15" x14ac:dyDescent="0.2">
      <c r="A9540" s="597">
        <v>44098</v>
      </c>
      <c r="B9540" s="401" t="s">
        <v>3945</v>
      </c>
      <c r="C9540" s="513" t="s">
        <v>3145</v>
      </c>
      <c r="D9540" s="861" t="s">
        <v>6182</v>
      </c>
      <c r="E9540" s="514">
        <v>3600</v>
      </c>
      <c r="F9540" s="434"/>
      <c r="G9540" s="58">
        <f t="shared" si="154"/>
        <v>-3600</v>
      </c>
      <c r="H9540" s="121" t="s">
        <v>6118</v>
      </c>
    </row>
    <row r="9541" spans="1:8" ht="15" x14ac:dyDescent="0.2">
      <c r="A9541" s="597">
        <v>44098</v>
      </c>
      <c r="B9541" s="401" t="s">
        <v>5811</v>
      </c>
      <c r="C9541" s="513" t="s">
        <v>3145</v>
      </c>
      <c r="D9541" s="861" t="s">
        <v>6182</v>
      </c>
      <c r="E9541" s="514">
        <v>780</v>
      </c>
      <c r="F9541" s="434"/>
      <c r="G9541" s="58">
        <f t="shared" si="154"/>
        <v>-780</v>
      </c>
      <c r="H9541" s="121" t="s">
        <v>6118</v>
      </c>
    </row>
    <row r="9542" spans="1:8" ht="15" x14ac:dyDescent="0.2">
      <c r="A9542" s="597">
        <v>44098</v>
      </c>
      <c r="B9542" s="401" t="s">
        <v>5811</v>
      </c>
      <c r="C9542" s="513" t="s">
        <v>3145</v>
      </c>
      <c r="D9542" s="861" t="s">
        <v>6182</v>
      </c>
      <c r="E9542" s="514">
        <v>24200</v>
      </c>
      <c r="F9542" s="434"/>
      <c r="G9542" s="58">
        <f t="shared" si="154"/>
        <v>-24200</v>
      </c>
      <c r="H9542" s="121" t="s">
        <v>6118</v>
      </c>
    </row>
    <row r="9543" spans="1:8" ht="24" x14ac:dyDescent="0.2">
      <c r="A9543" s="597">
        <v>44098</v>
      </c>
      <c r="B9543" s="401" t="s">
        <v>1400</v>
      </c>
      <c r="C9543" s="513" t="s">
        <v>392</v>
      </c>
      <c r="D9543" s="861" t="s">
        <v>6183</v>
      </c>
      <c r="E9543" s="514">
        <v>7000</v>
      </c>
      <c r="F9543" s="434"/>
      <c r="G9543" s="58">
        <f t="shared" si="154"/>
        <v>-7000</v>
      </c>
      <c r="H9543" s="121" t="s">
        <v>6118</v>
      </c>
    </row>
    <row r="9544" spans="1:8" ht="15" x14ac:dyDescent="0.2">
      <c r="A9544" s="597">
        <v>44098</v>
      </c>
      <c r="B9544" s="401" t="s">
        <v>5811</v>
      </c>
      <c r="C9544" s="513" t="s">
        <v>3145</v>
      </c>
      <c r="D9544" s="861" t="s">
        <v>6182</v>
      </c>
      <c r="E9544" s="514">
        <v>1120</v>
      </c>
      <c r="F9544" s="434"/>
      <c r="G9544" s="58">
        <f t="shared" si="154"/>
        <v>-1120</v>
      </c>
      <c r="H9544" s="121" t="s">
        <v>6118</v>
      </c>
    </row>
    <row r="9545" spans="1:8" ht="15" x14ac:dyDescent="0.2">
      <c r="A9545" s="597">
        <v>44099</v>
      </c>
      <c r="B9545" s="401" t="s">
        <v>5641</v>
      </c>
      <c r="C9545" s="513" t="s">
        <v>3145</v>
      </c>
      <c r="D9545" s="861" t="s">
        <v>6184</v>
      </c>
      <c r="E9545" s="514">
        <v>34750</v>
      </c>
      <c r="F9545" s="434"/>
      <c r="G9545" s="58">
        <f t="shared" si="154"/>
        <v>-34750</v>
      </c>
      <c r="H9545" s="121" t="s">
        <v>6118</v>
      </c>
    </row>
    <row r="9546" spans="1:8" ht="15" x14ac:dyDescent="0.2">
      <c r="A9546" s="597">
        <v>44099</v>
      </c>
      <c r="B9546" s="401" t="s">
        <v>1400</v>
      </c>
      <c r="C9546" s="513" t="s">
        <v>392</v>
      </c>
      <c r="D9546" s="861" t="s">
        <v>6185</v>
      </c>
      <c r="E9546" s="514">
        <v>3000</v>
      </c>
      <c r="F9546" s="434"/>
      <c r="G9546" s="58">
        <f t="shared" si="154"/>
        <v>-3000</v>
      </c>
      <c r="H9546" s="121" t="s">
        <v>6118</v>
      </c>
    </row>
    <row r="9547" spans="1:8" ht="15" x14ac:dyDescent="0.2">
      <c r="A9547" s="597">
        <v>44099</v>
      </c>
      <c r="B9547" s="401" t="s">
        <v>25</v>
      </c>
      <c r="C9547" s="513" t="s">
        <v>2428</v>
      </c>
      <c r="D9547" s="861" t="s">
        <v>6210</v>
      </c>
      <c r="E9547" s="514">
        <v>13180</v>
      </c>
      <c r="F9547" s="434"/>
      <c r="G9547" s="58">
        <f t="shared" si="154"/>
        <v>-13180</v>
      </c>
      <c r="H9547" s="121" t="s">
        <v>6118</v>
      </c>
    </row>
    <row r="9548" spans="1:8" ht="15" x14ac:dyDescent="0.2">
      <c r="A9548" s="597">
        <v>44100</v>
      </c>
      <c r="B9548" s="401" t="s">
        <v>392</v>
      </c>
      <c r="C9548" s="513" t="s">
        <v>6211</v>
      </c>
      <c r="D9548" s="861" t="s">
        <v>6212</v>
      </c>
      <c r="E9548" s="514">
        <v>2000</v>
      </c>
      <c r="F9548" s="434"/>
      <c r="G9548" s="58">
        <f t="shared" si="154"/>
        <v>-2000</v>
      </c>
      <c r="H9548" s="121" t="s">
        <v>6118</v>
      </c>
    </row>
    <row r="9549" spans="1:8" ht="15" x14ac:dyDescent="0.2">
      <c r="A9549" s="597">
        <v>44100</v>
      </c>
      <c r="B9549" s="401" t="s">
        <v>25</v>
      </c>
      <c r="C9549" s="513" t="s">
        <v>1005</v>
      </c>
      <c r="D9549" s="861"/>
      <c r="E9549" s="514">
        <v>600</v>
      </c>
      <c r="F9549" s="434"/>
      <c r="G9549" s="58">
        <f t="shared" si="154"/>
        <v>-600</v>
      </c>
      <c r="H9549" s="121" t="s">
        <v>6118</v>
      </c>
    </row>
    <row r="9550" spans="1:8" ht="15" x14ac:dyDescent="0.2">
      <c r="A9550" s="597">
        <v>44100</v>
      </c>
      <c r="B9550" s="401" t="s">
        <v>16</v>
      </c>
      <c r="C9550" s="513" t="s">
        <v>392</v>
      </c>
      <c r="D9550" s="861" t="s">
        <v>6213</v>
      </c>
      <c r="E9550" s="514">
        <v>120</v>
      </c>
      <c r="F9550" s="434"/>
      <c r="G9550" s="58">
        <f t="shared" si="154"/>
        <v>-120</v>
      </c>
      <c r="H9550" s="121" t="s">
        <v>6118</v>
      </c>
    </row>
    <row r="9551" spans="1:8" ht="15" x14ac:dyDescent="0.2">
      <c r="A9551" s="597">
        <v>44100</v>
      </c>
      <c r="B9551" s="401" t="s">
        <v>3946</v>
      </c>
      <c r="C9551" s="513" t="s">
        <v>3145</v>
      </c>
      <c r="D9551" s="861" t="s">
        <v>6214</v>
      </c>
      <c r="E9551" s="514">
        <v>5660</v>
      </c>
      <c r="F9551" s="434"/>
      <c r="G9551" s="58">
        <f t="shared" si="154"/>
        <v>-5660</v>
      </c>
      <c r="H9551" s="121" t="s">
        <v>6118</v>
      </c>
    </row>
    <row r="9552" spans="1:8" ht="15" x14ac:dyDescent="0.2">
      <c r="A9552" s="597">
        <v>44102</v>
      </c>
      <c r="B9552" s="401" t="s">
        <v>1400</v>
      </c>
      <c r="C9552" s="513" t="s">
        <v>3145</v>
      </c>
      <c r="D9552" s="861" t="s">
        <v>6215</v>
      </c>
      <c r="E9552" s="514">
        <v>12205</v>
      </c>
      <c r="F9552" s="434"/>
      <c r="G9552" s="58">
        <f t="shared" si="154"/>
        <v>-12205</v>
      </c>
      <c r="H9552" s="121" t="s">
        <v>6118</v>
      </c>
    </row>
    <row r="9553" spans="1:8" ht="15" x14ac:dyDescent="0.2">
      <c r="A9553" s="597">
        <v>44102</v>
      </c>
      <c r="B9553" s="401" t="s">
        <v>2933</v>
      </c>
      <c r="C9553" s="513" t="s">
        <v>3145</v>
      </c>
      <c r="D9553" s="861" t="s">
        <v>6216</v>
      </c>
      <c r="E9553" s="514">
        <v>80120</v>
      </c>
      <c r="F9553" s="434"/>
      <c r="G9553" s="58">
        <f t="shared" si="154"/>
        <v>-80120</v>
      </c>
      <c r="H9553" s="121" t="s">
        <v>6118</v>
      </c>
    </row>
    <row r="9554" spans="1:8" ht="15.75" thickBot="1" x14ac:dyDescent="0.25">
      <c r="A9554" s="597">
        <v>44102</v>
      </c>
      <c r="B9554" s="401" t="s">
        <v>2933</v>
      </c>
      <c r="C9554" s="513" t="s">
        <v>3446</v>
      </c>
      <c r="D9554" s="861" t="s">
        <v>6217</v>
      </c>
      <c r="E9554" s="514">
        <v>10000</v>
      </c>
      <c r="F9554" s="434"/>
      <c r="G9554" s="58">
        <f t="shared" si="154"/>
        <v>-10000</v>
      </c>
      <c r="H9554" s="121" t="s">
        <v>6118</v>
      </c>
    </row>
    <row r="9555" spans="1:8" ht="15.75" thickBot="1" x14ac:dyDescent="0.25">
      <c r="A9555" s="597">
        <v>44102</v>
      </c>
      <c r="B9555" s="401" t="s">
        <v>25</v>
      </c>
      <c r="C9555" s="543" t="s">
        <v>6167</v>
      </c>
      <c r="D9555" s="881" t="s">
        <v>6227</v>
      </c>
      <c r="E9555" s="544">
        <v>42574</v>
      </c>
      <c r="F9555" s="434"/>
      <c r="G9555" s="58">
        <f t="shared" si="154"/>
        <v>-42574</v>
      </c>
      <c r="H9555" s="121" t="s">
        <v>6118</v>
      </c>
    </row>
    <row r="9556" spans="1:8" ht="15.75" thickBot="1" x14ac:dyDescent="0.25">
      <c r="A9556" s="597">
        <v>44102</v>
      </c>
      <c r="B9556" s="401" t="s">
        <v>16</v>
      </c>
      <c r="C9556" s="461" t="s">
        <v>6167</v>
      </c>
      <c r="D9556" s="881" t="s">
        <v>6281</v>
      </c>
      <c r="E9556" s="462">
        <v>56169</v>
      </c>
      <c r="F9556" s="434"/>
      <c r="G9556" s="58">
        <f t="shared" si="154"/>
        <v>-56169</v>
      </c>
      <c r="H9556" s="121" t="s">
        <v>6118</v>
      </c>
    </row>
    <row r="9557" spans="1:8" ht="15" x14ac:dyDescent="0.2">
      <c r="A9557" s="597">
        <v>44102</v>
      </c>
      <c r="B9557" s="401" t="s">
        <v>5811</v>
      </c>
      <c r="C9557" s="513" t="s">
        <v>5741</v>
      </c>
      <c r="D9557" s="861" t="s">
        <v>6218</v>
      </c>
      <c r="E9557" s="514">
        <v>800</v>
      </c>
      <c r="F9557" s="434"/>
      <c r="G9557" s="58">
        <f t="shared" si="154"/>
        <v>-800</v>
      </c>
      <c r="H9557" s="121" t="s">
        <v>6118</v>
      </c>
    </row>
    <row r="9558" spans="1:8" ht="15" x14ac:dyDescent="0.2">
      <c r="A9558" s="597">
        <v>44102</v>
      </c>
      <c r="B9558" s="401" t="s">
        <v>16</v>
      </c>
      <c r="C9558" s="513" t="s">
        <v>1689</v>
      </c>
      <c r="D9558" s="861" t="s">
        <v>6219</v>
      </c>
      <c r="E9558" s="514">
        <v>170098</v>
      </c>
      <c r="F9558" s="434"/>
      <c r="G9558" s="58">
        <f t="shared" si="154"/>
        <v>-170098</v>
      </c>
      <c r="H9558" s="121" t="s">
        <v>6118</v>
      </c>
    </row>
    <row r="9559" spans="1:8" ht="15" x14ac:dyDescent="0.2">
      <c r="A9559" s="597">
        <v>44102</v>
      </c>
      <c r="B9559" s="401" t="s">
        <v>25</v>
      </c>
      <c r="C9559" s="513" t="s">
        <v>1689</v>
      </c>
      <c r="D9559" s="861" t="s">
        <v>6220</v>
      </c>
      <c r="E9559" s="514">
        <v>37347</v>
      </c>
      <c r="F9559" s="434"/>
      <c r="G9559" s="58">
        <f t="shared" si="154"/>
        <v>-37347</v>
      </c>
      <c r="H9559" s="121" t="s">
        <v>6118</v>
      </c>
    </row>
    <row r="9560" spans="1:8" ht="15" x14ac:dyDescent="0.2">
      <c r="A9560" s="597">
        <v>44102</v>
      </c>
      <c r="B9560" s="401" t="s">
        <v>2933</v>
      </c>
      <c r="C9560" s="513" t="s">
        <v>3112</v>
      </c>
      <c r="D9560" s="861" t="s">
        <v>734</v>
      </c>
      <c r="E9560" s="514">
        <v>40000</v>
      </c>
      <c r="F9560" s="434"/>
      <c r="G9560" s="58">
        <f t="shared" si="154"/>
        <v>-40000</v>
      </c>
      <c r="H9560" s="121" t="s">
        <v>6118</v>
      </c>
    </row>
    <row r="9561" spans="1:8" ht="15" x14ac:dyDescent="0.2">
      <c r="A9561" s="597">
        <v>44102</v>
      </c>
      <c r="B9561" s="401" t="s">
        <v>1400</v>
      </c>
      <c r="C9561" s="513" t="s">
        <v>5681</v>
      </c>
      <c r="D9561" s="861" t="s">
        <v>370</v>
      </c>
      <c r="E9561" s="514">
        <v>6800</v>
      </c>
      <c r="F9561" s="434"/>
      <c r="G9561" s="58">
        <f t="shared" si="154"/>
        <v>-6800</v>
      </c>
      <c r="H9561" s="121" t="s">
        <v>6118</v>
      </c>
    </row>
    <row r="9562" spans="1:8" ht="15" x14ac:dyDescent="0.2">
      <c r="A9562" s="597">
        <v>44103</v>
      </c>
      <c r="B9562" s="401" t="s">
        <v>2652</v>
      </c>
      <c r="C9562" s="513" t="s">
        <v>5741</v>
      </c>
      <c r="D9562" s="861" t="s">
        <v>6221</v>
      </c>
      <c r="E9562" s="514">
        <v>400</v>
      </c>
      <c r="F9562" s="434"/>
      <c r="G9562" s="58">
        <f t="shared" si="154"/>
        <v>-400</v>
      </c>
      <c r="H9562" s="121" t="s">
        <v>6118</v>
      </c>
    </row>
    <row r="9563" spans="1:8" ht="15" x14ac:dyDescent="0.2">
      <c r="A9563" s="597">
        <v>44103</v>
      </c>
      <c r="B9563" s="401" t="s">
        <v>1400</v>
      </c>
      <c r="C9563" s="513" t="s">
        <v>2515</v>
      </c>
      <c r="D9563" s="861" t="s">
        <v>6222</v>
      </c>
      <c r="E9563" s="514">
        <v>27000</v>
      </c>
      <c r="F9563" s="434"/>
      <c r="G9563" s="58">
        <f t="shared" si="154"/>
        <v>-27000</v>
      </c>
      <c r="H9563" s="121" t="s">
        <v>6118</v>
      </c>
    </row>
    <row r="9564" spans="1:8" ht="15" x14ac:dyDescent="0.2">
      <c r="A9564" s="597">
        <v>44104</v>
      </c>
      <c r="B9564" s="401" t="s">
        <v>1400</v>
      </c>
      <c r="C9564" s="513" t="s">
        <v>4908</v>
      </c>
      <c r="D9564" s="861" t="s">
        <v>6223</v>
      </c>
      <c r="E9564" s="514">
        <v>5000</v>
      </c>
      <c r="F9564" s="434"/>
      <c r="G9564" s="58">
        <f t="shared" si="154"/>
        <v>-5000</v>
      </c>
      <c r="H9564" s="121" t="s">
        <v>6118</v>
      </c>
    </row>
    <row r="9565" spans="1:8" ht="24" x14ac:dyDescent="0.2">
      <c r="A9565" s="597">
        <v>44104</v>
      </c>
      <c r="B9565" s="401" t="s">
        <v>2933</v>
      </c>
      <c r="C9565" s="513" t="s">
        <v>3145</v>
      </c>
      <c r="D9565" s="861" t="s">
        <v>6224</v>
      </c>
      <c r="E9565" s="514">
        <v>1500</v>
      </c>
      <c r="F9565" s="434"/>
      <c r="G9565" s="58">
        <f t="shared" si="154"/>
        <v>-1500</v>
      </c>
      <c r="H9565" s="121" t="s">
        <v>6118</v>
      </c>
    </row>
    <row r="9566" spans="1:8" ht="24" x14ac:dyDescent="0.2">
      <c r="A9566" s="597">
        <v>44104</v>
      </c>
      <c r="B9566" s="401" t="s">
        <v>2933</v>
      </c>
      <c r="C9566" s="513" t="s">
        <v>3145</v>
      </c>
      <c r="D9566" s="861" t="s">
        <v>6225</v>
      </c>
      <c r="E9566" s="514">
        <v>2570</v>
      </c>
      <c r="F9566" s="434"/>
      <c r="G9566" s="58">
        <f t="shared" si="154"/>
        <v>-2570</v>
      </c>
      <c r="H9566" s="121" t="s">
        <v>6118</v>
      </c>
    </row>
    <row r="9567" spans="1:8" ht="24" x14ac:dyDescent="0.2">
      <c r="A9567" s="597">
        <v>44104</v>
      </c>
      <c r="B9567" s="401" t="s">
        <v>1400</v>
      </c>
      <c r="C9567" s="513" t="s">
        <v>6141</v>
      </c>
      <c r="D9567" s="861" t="s">
        <v>6226</v>
      </c>
      <c r="E9567" s="514">
        <v>40000</v>
      </c>
      <c r="F9567" s="434"/>
      <c r="G9567" s="58">
        <f t="shared" si="154"/>
        <v>-40000</v>
      </c>
      <c r="H9567" s="121" t="s">
        <v>6118</v>
      </c>
    </row>
    <row r="9568" spans="1:8" ht="15" x14ac:dyDescent="0.2">
      <c r="A9568" s="597">
        <v>44104</v>
      </c>
      <c r="B9568" s="424" t="s">
        <v>16</v>
      </c>
      <c r="C9568" s="495" t="s">
        <v>463</v>
      </c>
      <c r="D9568" s="805" t="s">
        <v>6102</v>
      </c>
      <c r="E9568" s="496">
        <v>34345</v>
      </c>
      <c r="F9568" s="497"/>
      <c r="G9568" s="247">
        <f t="shared" si="154"/>
        <v>-34345</v>
      </c>
      <c r="H9568" s="121" t="s">
        <v>6118</v>
      </c>
    </row>
    <row r="9569" spans="1:8" ht="15" x14ac:dyDescent="0.2">
      <c r="A9569" s="597">
        <v>44104</v>
      </c>
      <c r="B9569" s="424" t="s">
        <v>1400</v>
      </c>
      <c r="C9569" s="495" t="s">
        <v>2503</v>
      </c>
      <c r="D9569" s="805" t="s">
        <v>372</v>
      </c>
      <c r="E9569" s="496">
        <v>25000</v>
      </c>
      <c r="F9569" s="497"/>
      <c r="G9569" s="247">
        <f t="shared" si="154"/>
        <v>-25000</v>
      </c>
      <c r="H9569" s="121" t="s">
        <v>6118</v>
      </c>
    </row>
    <row r="9570" spans="1:8" ht="15" x14ac:dyDescent="0.2">
      <c r="A9570" s="597">
        <v>44104</v>
      </c>
      <c r="B9570" s="424" t="s">
        <v>2652</v>
      </c>
      <c r="C9570" s="495" t="s">
        <v>2503</v>
      </c>
      <c r="D9570" s="805" t="s">
        <v>372</v>
      </c>
      <c r="E9570" s="496">
        <v>25000</v>
      </c>
      <c r="F9570" s="497"/>
      <c r="G9570" s="247">
        <f t="shared" si="154"/>
        <v>-25000</v>
      </c>
      <c r="H9570" s="121" t="s">
        <v>6118</v>
      </c>
    </row>
    <row r="9571" spans="1:8" ht="15" x14ac:dyDescent="0.2">
      <c r="A9571" s="597">
        <v>44104</v>
      </c>
      <c r="B9571" s="424" t="s">
        <v>4721</v>
      </c>
      <c r="C9571" s="495" t="s">
        <v>2503</v>
      </c>
      <c r="D9571" s="805" t="s">
        <v>940</v>
      </c>
      <c r="E9571" s="496">
        <v>25000</v>
      </c>
      <c r="F9571" s="497"/>
      <c r="G9571" s="247">
        <f t="shared" si="154"/>
        <v>-25000</v>
      </c>
      <c r="H9571" s="121" t="s">
        <v>6118</v>
      </c>
    </row>
    <row r="9572" spans="1:8" ht="15" x14ac:dyDescent="0.2">
      <c r="A9572" s="597">
        <v>44104</v>
      </c>
      <c r="B9572" s="424" t="s">
        <v>2933</v>
      </c>
      <c r="C9572" s="495" t="s">
        <v>2503</v>
      </c>
      <c r="D9572" s="805" t="s">
        <v>940</v>
      </c>
      <c r="E9572" s="496">
        <v>25000</v>
      </c>
      <c r="F9572" s="497"/>
      <c r="G9572" s="247">
        <f t="shared" si="154"/>
        <v>-25000</v>
      </c>
      <c r="H9572" s="121" t="s">
        <v>6118</v>
      </c>
    </row>
    <row r="9573" spans="1:8" ht="15" x14ac:dyDescent="0.2">
      <c r="A9573" s="597">
        <v>44104</v>
      </c>
      <c r="B9573" s="424" t="s">
        <v>25</v>
      </c>
      <c r="C9573" s="495" t="s">
        <v>2503</v>
      </c>
      <c r="D9573" s="805" t="s">
        <v>6236</v>
      </c>
      <c r="E9573" s="496">
        <v>60000</v>
      </c>
      <c r="F9573" s="497"/>
      <c r="G9573" s="247">
        <f t="shared" si="154"/>
        <v>-60000</v>
      </c>
      <c r="H9573" s="121" t="s">
        <v>6118</v>
      </c>
    </row>
    <row r="9574" spans="1:8" ht="15" x14ac:dyDescent="0.2">
      <c r="A9574" s="597">
        <v>44104</v>
      </c>
      <c r="B9574" s="424" t="s">
        <v>16</v>
      </c>
      <c r="C9574" s="495" t="s">
        <v>2503</v>
      </c>
      <c r="D9574" s="805" t="s">
        <v>6237</v>
      </c>
      <c r="E9574" s="496">
        <v>103490</v>
      </c>
      <c r="F9574" s="497"/>
      <c r="G9574" s="247">
        <f t="shared" si="154"/>
        <v>-103490</v>
      </c>
      <c r="H9574" s="121" t="s">
        <v>6118</v>
      </c>
    </row>
    <row r="9575" spans="1:8" ht="15" x14ac:dyDescent="0.2">
      <c r="A9575" s="597">
        <v>44104</v>
      </c>
      <c r="B9575" s="424" t="s">
        <v>3945</v>
      </c>
      <c r="C9575" s="495" t="s">
        <v>2503</v>
      </c>
      <c r="D9575" s="805"/>
      <c r="E9575" s="496">
        <v>29300</v>
      </c>
      <c r="F9575" s="497"/>
      <c r="G9575" s="247">
        <f t="shared" si="154"/>
        <v>-29300</v>
      </c>
      <c r="H9575" s="121" t="s">
        <v>6118</v>
      </c>
    </row>
    <row r="9576" spans="1:8" ht="15" x14ac:dyDescent="0.2">
      <c r="A9576" s="597">
        <v>44104</v>
      </c>
      <c r="B9576" s="424" t="s">
        <v>3946</v>
      </c>
      <c r="C9576" s="495" t="s">
        <v>2503</v>
      </c>
      <c r="D9576" s="805"/>
      <c r="E9576" s="496">
        <v>99415.625</v>
      </c>
      <c r="F9576" s="497"/>
      <c r="G9576" s="247">
        <f t="shared" si="154"/>
        <v>-99415.625</v>
      </c>
      <c r="H9576" s="121" t="s">
        <v>6118</v>
      </c>
    </row>
    <row r="9577" spans="1:8" ht="15" x14ac:dyDescent="0.2">
      <c r="A9577" s="597">
        <v>44104</v>
      </c>
      <c r="B9577" s="424" t="s">
        <v>1400</v>
      </c>
      <c r="C9577" s="495" t="s">
        <v>2503</v>
      </c>
      <c r="D9577" s="805"/>
      <c r="E9577" s="496">
        <v>263866</v>
      </c>
      <c r="F9577" s="497"/>
      <c r="G9577" s="247">
        <f t="shared" ref="G9577:G9640" si="155">F9577-E9577</f>
        <v>-263866</v>
      </c>
      <c r="H9577" s="121" t="s">
        <v>6118</v>
      </c>
    </row>
    <row r="9578" spans="1:8" ht="15" x14ac:dyDescent="0.2">
      <c r="A9578" s="597">
        <v>44104</v>
      </c>
      <c r="B9578" s="424" t="s">
        <v>6516</v>
      </c>
      <c r="C9578" s="495" t="s">
        <v>2503</v>
      </c>
      <c r="D9578" s="805"/>
      <c r="E9578" s="496">
        <v>109842</v>
      </c>
      <c r="F9578" s="497"/>
      <c r="G9578" s="247">
        <f t="shared" si="155"/>
        <v>-109842</v>
      </c>
      <c r="H9578" s="121" t="s">
        <v>6118</v>
      </c>
    </row>
    <row r="9579" spans="1:8" ht="15" x14ac:dyDescent="0.2">
      <c r="A9579" s="597">
        <v>44104</v>
      </c>
      <c r="B9579" s="424" t="s">
        <v>37</v>
      </c>
      <c r="C9579" s="495" t="s">
        <v>2503</v>
      </c>
      <c r="D9579" s="805"/>
      <c r="E9579" s="496">
        <v>91267</v>
      </c>
      <c r="F9579" s="497"/>
      <c r="G9579" s="247">
        <f t="shared" si="155"/>
        <v>-91267</v>
      </c>
      <c r="H9579" s="121" t="s">
        <v>6118</v>
      </c>
    </row>
    <row r="9580" spans="1:8" ht="15" x14ac:dyDescent="0.2">
      <c r="A9580" s="597">
        <v>44104</v>
      </c>
      <c r="B9580" s="424" t="s">
        <v>2933</v>
      </c>
      <c r="C9580" s="495" t="s">
        <v>2503</v>
      </c>
      <c r="D9580" s="805"/>
      <c r="E9580" s="496">
        <v>45642</v>
      </c>
      <c r="F9580" s="497"/>
      <c r="G9580" s="247">
        <f t="shared" si="155"/>
        <v>-45642</v>
      </c>
      <c r="H9580" s="121" t="s">
        <v>6118</v>
      </c>
    </row>
    <row r="9581" spans="1:8" ht="15" x14ac:dyDescent="0.2">
      <c r="A9581" s="597">
        <v>44104</v>
      </c>
      <c r="B9581" s="424" t="s">
        <v>2652</v>
      </c>
      <c r="C9581" s="495" t="s">
        <v>2503</v>
      </c>
      <c r="D9581" s="805"/>
      <c r="E9581" s="496">
        <v>183710</v>
      </c>
      <c r="F9581" s="497"/>
      <c r="G9581" s="247">
        <f t="shared" si="155"/>
        <v>-183710</v>
      </c>
      <c r="H9581" s="121" t="s">
        <v>6118</v>
      </c>
    </row>
    <row r="9582" spans="1:8" ht="15" x14ac:dyDescent="0.2">
      <c r="A9582" s="597">
        <v>44104</v>
      </c>
      <c r="B9582" s="424" t="s">
        <v>5811</v>
      </c>
      <c r="C9582" s="495" t="s">
        <v>2503</v>
      </c>
      <c r="D9582" s="805"/>
      <c r="E9582" s="496">
        <v>61920.833333333336</v>
      </c>
      <c r="F9582" s="497"/>
      <c r="G9582" s="247">
        <f t="shared" si="155"/>
        <v>-61920.833333333336</v>
      </c>
      <c r="H9582" s="121" t="s">
        <v>6118</v>
      </c>
    </row>
    <row r="9583" spans="1:8" ht="24" x14ac:dyDescent="0.2">
      <c r="A9583" s="602">
        <v>44082</v>
      </c>
      <c r="B9583" s="174" t="s">
        <v>1400</v>
      </c>
      <c r="C9583" s="174" t="s">
        <v>1524</v>
      </c>
      <c r="D9583" s="228" t="s">
        <v>6139</v>
      </c>
      <c r="E9583" s="236">
        <v>350000</v>
      </c>
      <c r="F9583" s="236"/>
      <c r="G9583" s="236">
        <f t="shared" si="155"/>
        <v>-350000</v>
      </c>
      <c r="H9583" s="244" t="s">
        <v>6118</v>
      </c>
    </row>
    <row r="9584" spans="1:8" ht="15" customHeight="1" x14ac:dyDescent="0.2">
      <c r="A9584" s="602">
        <v>44083</v>
      </c>
      <c r="B9584" s="174" t="s">
        <v>1400</v>
      </c>
      <c r="C9584" s="174" t="s">
        <v>1391</v>
      </c>
      <c r="D9584" s="228" t="s">
        <v>1157</v>
      </c>
      <c r="E9584" s="236">
        <v>50000</v>
      </c>
      <c r="F9584" s="236"/>
      <c r="G9584" s="236">
        <f t="shared" si="155"/>
        <v>-50000</v>
      </c>
      <c r="H9584" s="244" t="s">
        <v>6118</v>
      </c>
    </row>
    <row r="9585" spans="1:8" ht="24" x14ac:dyDescent="0.2">
      <c r="A9585" s="602">
        <v>44083</v>
      </c>
      <c r="B9585" s="174" t="s">
        <v>2933</v>
      </c>
      <c r="C9585" s="174" t="s">
        <v>5187</v>
      </c>
      <c r="D9585" s="228" t="s">
        <v>6140</v>
      </c>
      <c r="E9585" s="236">
        <v>100000</v>
      </c>
      <c r="F9585" s="236"/>
      <c r="G9585" s="236">
        <f t="shared" si="155"/>
        <v>-100000</v>
      </c>
      <c r="H9585" s="244" t="s">
        <v>6118</v>
      </c>
    </row>
    <row r="9586" spans="1:8" ht="24" x14ac:dyDescent="0.2">
      <c r="A9586" s="602">
        <v>44089</v>
      </c>
      <c r="B9586" s="174" t="s">
        <v>5811</v>
      </c>
      <c r="C9586" s="566" t="s">
        <v>1355</v>
      </c>
      <c r="D9586" s="875" t="s">
        <v>6163</v>
      </c>
      <c r="E9586" s="567">
        <v>142800</v>
      </c>
      <c r="F9586" s="236"/>
      <c r="G9586" s="236">
        <f t="shared" si="155"/>
        <v>-142800</v>
      </c>
      <c r="H9586" s="244" t="s">
        <v>6118</v>
      </c>
    </row>
    <row r="9587" spans="1:8" ht="24" x14ac:dyDescent="0.2">
      <c r="A9587" s="602">
        <v>44089</v>
      </c>
      <c r="B9587" s="174" t="s">
        <v>1400</v>
      </c>
      <c r="C9587" s="566" t="s">
        <v>1355</v>
      </c>
      <c r="D9587" s="875" t="s">
        <v>6163</v>
      </c>
      <c r="E9587" s="567">
        <v>7200</v>
      </c>
      <c r="F9587" s="236"/>
      <c r="G9587" s="236">
        <f t="shared" si="155"/>
        <v>-7200</v>
      </c>
      <c r="H9587" s="244" t="s">
        <v>6118</v>
      </c>
    </row>
    <row r="9588" spans="1:8" ht="84" x14ac:dyDescent="0.2">
      <c r="A9588" s="602">
        <v>44095</v>
      </c>
      <c r="B9588" s="174" t="s">
        <v>1400</v>
      </c>
      <c r="C9588" s="174" t="s">
        <v>2515</v>
      </c>
      <c r="D9588" s="228" t="s">
        <v>6187</v>
      </c>
      <c r="E9588" s="236">
        <f>33000+25000+5000+2000+50000+25000</f>
        <v>140000</v>
      </c>
      <c r="F9588" s="236"/>
      <c r="G9588" s="236">
        <f t="shared" si="155"/>
        <v>-140000</v>
      </c>
      <c r="H9588" s="244" t="s">
        <v>6118</v>
      </c>
    </row>
    <row r="9589" spans="1:8" ht="15" x14ac:dyDescent="0.2">
      <c r="A9589" s="602">
        <v>44095</v>
      </c>
      <c r="B9589" s="174" t="s">
        <v>1400</v>
      </c>
      <c r="C9589" s="174" t="s">
        <v>2104</v>
      </c>
      <c r="D9589" s="228" t="s">
        <v>6188</v>
      </c>
      <c r="E9589" s="236">
        <v>25120</v>
      </c>
      <c r="F9589" s="236"/>
      <c r="G9589" s="236">
        <f t="shared" si="155"/>
        <v>-25120</v>
      </c>
      <c r="H9589" s="244" t="s">
        <v>6118</v>
      </c>
    </row>
    <row r="9590" spans="1:8" ht="15" x14ac:dyDescent="0.2">
      <c r="A9590" s="602">
        <v>44100</v>
      </c>
      <c r="B9590" s="240" t="s">
        <v>1400</v>
      </c>
      <c r="C9590" s="240" t="s">
        <v>1524</v>
      </c>
      <c r="D9590" s="837" t="s">
        <v>6189</v>
      </c>
      <c r="E9590" s="241">
        <v>274929</v>
      </c>
      <c r="F9590" s="241"/>
      <c r="G9590" s="241">
        <f t="shared" si="155"/>
        <v>-274929</v>
      </c>
      <c r="H9590" s="244" t="s">
        <v>6118</v>
      </c>
    </row>
    <row r="9591" spans="1:8" ht="15" x14ac:dyDescent="0.2">
      <c r="A9591" s="602">
        <v>44102</v>
      </c>
      <c r="B9591" s="240" t="s">
        <v>5641</v>
      </c>
      <c r="C9591" s="240" t="s">
        <v>5681</v>
      </c>
      <c r="D9591" s="837" t="s">
        <v>6190</v>
      </c>
      <c r="E9591" s="241">
        <v>44500</v>
      </c>
      <c r="F9591" s="241"/>
      <c r="G9591" s="241">
        <f t="shared" si="155"/>
        <v>-44500</v>
      </c>
      <c r="H9591" s="244" t="s">
        <v>6118</v>
      </c>
    </row>
    <row r="9592" spans="1:8" ht="15" x14ac:dyDescent="0.2">
      <c r="A9592" s="602">
        <v>44102</v>
      </c>
      <c r="B9592" s="240" t="s">
        <v>2652</v>
      </c>
      <c r="C9592" s="240" t="s">
        <v>5681</v>
      </c>
      <c r="D9592" s="837" t="s">
        <v>6190</v>
      </c>
      <c r="E9592" s="241">
        <v>55500</v>
      </c>
      <c r="F9592" s="241"/>
      <c r="G9592" s="241">
        <f t="shared" si="155"/>
        <v>-55500</v>
      </c>
      <c r="H9592" s="244" t="s">
        <v>6118</v>
      </c>
    </row>
    <row r="9593" spans="1:8" ht="15" x14ac:dyDescent="0.2">
      <c r="A9593" s="618">
        <v>44076</v>
      </c>
      <c r="B9593" s="238" t="s">
        <v>3945</v>
      </c>
      <c r="C9593" s="540" t="s">
        <v>559</v>
      </c>
      <c r="D9593" s="839" t="s">
        <v>6117</v>
      </c>
      <c r="E9593" s="239"/>
      <c r="F9593" s="239">
        <v>50962</v>
      </c>
      <c r="G9593" s="239">
        <f t="shared" si="155"/>
        <v>50962</v>
      </c>
      <c r="H9593" s="261" t="s">
        <v>6118</v>
      </c>
    </row>
    <row r="9594" spans="1:8" ht="15" x14ac:dyDescent="0.2">
      <c r="A9594" s="618">
        <v>44088</v>
      </c>
      <c r="B9594" s="91" t="s">
        <v>2652</v>
      </c>
      <c r="C9594" s="488" t="s">
        <v>559</v>
      </c>
      <c r="D9594" s="801" t="s">
        <v>9187</v>
      </c>
      <c r="E9594" s="92"/>
      <c r="F9594" s="92">
        <v>2000000</v>
      </c>
      <c r="G9594" s="92">
        <f t="shared" si="155"/>
        <v>2000000</v>
      </c>
      <c r="H9594" s="261" t="s">
        <v>6118</v>
      </c>
    </row>
    <row r="9595" spans="1:8" ht="15" x14ac:dyDescent="0.2">
      <c r="A9595" s="618">
        <v>44095</v>
      </c>
      <c r="B9595" s="91" t="s">
        <v>82</v>
      </c>
      <c r="C9595" s="488" t="s">
        <v>559</v>
      </c>
      <c r="D9595" s="801" t="s">
        <v>6164</v>
      </c>
      <c r="E9595" s="92"/>
      <c r="F9595" s="92">
        <v>283038</v>
      </c>
      <c r="G9595" s="92">
        <f t="shared" si="155"/>
        <v>283038</v>
      </c>
      <c r="H9595" s="261" t="s">
        <v>6118</v>
      </c>
    </row>
    <row r="9596" spans="1:8" ht="24" x14ac:dyDescent="0.2">
      <c r="A9596" s="618">
        <v>44096</v>
      </c>
      <c r="B9596" s="91" t="s">
        <v>6516</v>
      </c>
      <c r="C9596" s="488" t="s">
        <v>559</v>
      </c>
      <c r="D9596" s="798" t="s">
        <v>6165</v>
      </c>
      <c r="E9596" s="92"/>
      <c r="F9596" s="92">
        <v>625015</v>
      </c>
      <c r="G9596" s="92">
        <f t="shared" si="155"/>
        <v>625015</v>
      </c>
      <c r="H9596" s="261" t="s">
        <v>6118</v>
      </c>
    </row>
    <row r="9597" spans="1:8" ht="15" x14ac:dyDescent="0.2">
      <c r="A9597" s="618">
        <v>44097</v>
      </c>
      <c r="B9597" s="91" t="s">
        <v>3946</v>
      </c>
      <c r="C9597" s="488" t="s">
        <v>559</v>
      </c>
      <c r="D9597" s="839" t="s">
        <v>6166</v>
      </c>
      <c r="E9597" s="92"/>
      <c r="F9597" s="92">
        <v>53505</v>
      </c>
      <c r="G9597" s="92">
        <f t="shared" si="155"/>
        <v>53505</v>
      </c>
      <c r="H9597" s="261" t="s">
        <v>6118</v>
      </c>
    </row>
    <row r="9598" spans="1:8" ht="15" x14ac:dyDescent="0.2">
      <c r="A9598" s="618">
        <v>44102</v>
      </c>
      <c r="B9598" s="91" t="s">
        <v>37</v>
      </c>
      <c r="C9598" s="91" t="s">
        <v>559</v>
      </c>
      <c r="D9598" s="801" t="s">
        <v>6191</v>
      </c>
      <c r="E9598" s="92"/>
      <c r="F9598" s="92">
        <v>314280</v>
      </c>
      <c r="G9598" s="92">
        <f t="shared" si="155"/>
        <v>314280</v>
      </c>
      <c r="H9598" s="261" t="s">
        <v>6118</v>
      </c>
    </row>
    <row r="9599" spans="1:8" ht="15" x14ac:dyDescent="0.2">
      <c r="A9599" s="618">
        <v>44103</v>
      </c>
      <c r="B9599" s="91" t="s">
        <v>3945</v>
      </c>
      <c r="C9599" s="488" t="s">
        <v>559</v>
      </c>
      <c r="D9599" s="839" t="s">
        <v>6166</v>
      </c>
      <c r="E9599" s="92"/>
      <c r="F9599" s="92">
        <v>50962</v>
      </c>
      <c r="G9599" s="92">
        <f t="shared" si="155"/>
        <v>50962</v>
      </c>
      <c r="H9599" s="261" t="s">
        <v>6118</v>
      </c>
    </row>
    <row r="9600" spans="1:8" ht="15" x14ac:dyDescent="0.2">
      <c r="A9600" s="619">
        <v>44105</v>
      </c>
      <c r="B9600" s="41" t="s">
        <v>3946</v>
      </c>
      <c r="C9600" s="41" t="s">
        <v>6229</v>
      </c>
      <c r="D9600" s="108" t="s">
        <v>6230</v>
      </c>
      <c r="E9600" s="42">
        <v>30000</v>
      </c>
      <c r="G9600" s="58">
        <f t="shared" si="155"/>
        <v>-30000</v>
      </c>
      <c r="H9600" s="121" t="s">
        <v>6228</v>
      </c>
    </row>
    <row r="9601" spans="1:8" ht="24" x14ac:dyDescent="0.2">
      <c r="A9601" s="619">
        <v>44105</v>
      </c>
      <c r="B9601" s="41" t="s">
        <v>4553</v>
      </c>
      <c r="C9601" s="41" t="s">
        <v>3145</v>
      </c>
      <c r="D9601" s="129" t="s">
        <v>6244</v>
      </c>
      <c r="E9601" s="42">
        <v>995</v>
      </c>
      <c r="G9601" s="58">
        <f t="shared" si="155"/>
        <v>-995</v>
      </c>
      <c r="H9601" s="121" t="s">
        <v>6228</v>
      </c>
    </row>
    <row r="9602" spans="1:8" ht="15" x14ac:dyDescent="0.2">
      <c r="A9602" s="619">
        <v>44105</v>
      </c>
      <c r="B9602" s="41" t="s">
        <v>1400</v>
      </c>
      <c r="C9602" s="41" t="s">
        <v>3145</v>
      </c>
      <c r="D9602" s="108" t="s">
        <v>6245</v>
      </c>
      <c r="E9602" s="42">
        <v>41190</v>
      </c>
      <c r="G9602" s="58">
        <f t="shared" si="155"/>
        <v>-41190</v>
      </c>
      <c r="H9602" s="121" t="s">
        <v>6228</v>
      </c>
    </row>
    <row r="9603" spans="1:8" ht="15" x14ac:dyDescent="0.2">
      <c r="A9603" s="619">
        <v>44106</v>
      </c>
      <c r="B9603" s="41" t="s">
        <v>1400</v>
      </c>
      <c r="C9603" s="41" t="s">
        <v>3145</v>
      </c>
      <c r="D9603" s="108" t="s">
        <v>6231</v>
      </c>
      <c r="E9603" s="42">
        <v>13720</v>
      </c>
      <c r="G9603" s="58">
        <f t="shared" si="155"/>
        <v>-13720</v>
      </c>
      <c r="H9603" s="121" t="s">
        <v>6228</v>
      </c>
    </row>
    <row r="9604" spans="1:8" ht="15" x14ac:dyDescent="0.2">
      <c r="A9604" s="619">
        <v>44106</v>
      </c>
      <c r="B9604" s="41" t="s">
        <v>2933</v>
      </c>
      <c r="C9604" s="41" t="s">
        <v>3145</v>
      </c>
      <c r="D9604" s="108" t="s">
        <v>6232</v>
      </c>
      <c r="E9604" s="42">
        <v>2350</v>
      </c>
      <c r="G9604" s="58">
        <f t="shared" si="155"/>
        <v>-2350</v>
      </c>
      <c r="H9604" s="121" t="s">
        <v>6228</v>
      </c>
    </row>
    <row r="9605" spans="1:8" ht="15" x14ac:dyDescent="0.2">
      <c r="A9605" s="619">
        <v>44106</v>
      </c>
      <c r="B9605" s="41" t="s">
        <v>4553</v>
      </c>
      <c r="C9605" s="41" t="s">
        <v>3145</v>
      </c>
      <c r="D9605" s="108" t="s">
        <v>6233</v>
      </c>
      <c r="E9605" s="42">
        <v>3550</v>
      </c>
      <c r="G9605" s="42">
        <f t="shared" si="155"/>
        <v>-3550</v>
      </c>
      <c r="H9605" s="121" t="s">
        <v>6228</v>
      </c>
    </row>
    <row r="9606" spans="1:8" ht="15" x14ac:dyDescent="0.2">
      <c r="A9606" s="619">
        <v>44106</v>
      </c>
      <c r="B9606" s="41" t="s">
        <v>16</v>
      </c>
      <c r="C9606" s="41" t="s">
        <v>3364</v>
      </c>
      <c r="D9606" s="108" t="s">
        <v>370</v>
      </c>
      <c r="E9606" s="42">
        <v>4162</v>
      </c>
      <c r="G9606" s="42">
        <f t="shared" si="155"/>
        <v>-4162</v>
      </c>
      <c r="H9606" s="121" t="s">
        <v>6228</v>
      </c>
    </row>
    <row r="9607" spans="1:8" ht="15" x14ac:dyDescent="0.2">
      <c r="A9607" s="619">
        <v>44106</v>
      </c>
      <c r="B9607" s="41" t="s">
        <v>16</v>
      </c>
      <c r="C9607" s="41" t="s">
        <v>1689</v>
      </c>
      <c r="D9607" s="108" t="s">
        <v>6234</v>
      </c>
      <c r="E9607" s="42">
        <v>1540</v>
      </c>
      <c r="G9607" s="42">
        <f t="shared" si="155"/>
        <v>-1540</v>
      </c>
      <c r="H9607" s="121" t="s">
        <v>6228</v>
      </c>
    </row>
    <row r="9608" spans="1:8" ht="15" x14ac:dyDescent="0.2">
      <c r="A9608" s="619">
        <v>44106</v>
      </c>
      <c r="B9608" s="41" t="s">
        <v>25</v>
      </c>
      <c r="C9608" s="41" t="s">
        <v>1689</v>
      </c>
      <c r="D9608" s="108" t="s">
        <v>6234</v>
      </c>
      <c r="E9608" s="42">
        <v>230</v>
      </c>
      <c r="G9608" s="42">
        <f t="shared" si="155"/>
        <v>-230</v>
      </c>
      <c r="H9608" s="121" t="s">
        <v>6228</v>
      </c>
    </row>
    <row r="9609" spans="1:8" ht="15" x14ac:dyDescent="0.2">
      <c r="A9609" s="619">
        <v>44107</v>
      </c>
      <c r="B9609" s="41" t="s">
        <v>1400</v>
      </c>
      <c r="C9609" s="41" t="s">
        <v>6141</v>
      </c>
      <c r="D9609" s="108" t="s">
        <v>6235</v>
      </c>
      <c r="E9609" s="42">
        <v>10000</v>
      </c>
      <c r="G9609" s="42">
        <f t="shared" si="155"/>
        <v>-10000</v>
      </c>
      <c r="H9609" s="121" t="s">
        <v>6228</v>
      </c>
    </row>
    <row r="9610" spans="1:8" ht="15" x14ac:dyDescent="0.2">
      <c r="A9610" s="619">
        <v>44107</v>
      </c>
      <c r="B9610" s="41" t="s">
        <v>1400</v>
      </c>
      <c r="C9610" s="222" t="s">
        <v>392</v>
      </c>
      <c r="D9610" s="806" t="s">
        <v>6240</v>
      </c>
      <c r="E9610" s="249">
        <v>600</v>
      </c>
      <c r="F9610" s="249"/>
      <c r="G9610" s="249">
        <f t="shared" si="155"/>
        <v>-600</v>
      </c>
      <c r="H9610" s="121" t="s">
        <v>6228</v>
      </c>
    </row>
    <row r="9611" spans="1:8" ht="15" x14ac:dyDescent="0.2">
      <c r="A9611" s="619">
        <v>44109</v>
      </c>
      <c r="B9611" s="222" t="s">
        <v>2652</v>
      </c>
      <c r="C9611" s="222" t="s">
        <v>5741</v>
      </c>
      <c r="D9611" s="806" t="s">
        <v>6241</v>
      </c>
      <c r="E9611" s="249">
        <v>1500</v>
      </c>
      <c r="F9611" s="249"/>
      <c r="G9611" s="249">
        <f t="shared" si="155"/>
        <v>-1500</v>
      </c>
      <c r="H9611" s="121" t="s">
        <v>6228</v>
      </c>
    </row>
    <row r="9612" spans="1:8" ht="15" x14ac:dyDescent="0.2">
      <c r="A9612" s="619">
        <v>44109</v>
      </c>
      <c r="B9612" s="222" t="s">
        <v>1400</v>
      </c>
      <c r="C9612" s="222" t="s">
        <v>4684</v>
      </c>
      <c r="D9612" s="806" t="s">
        <v>6242</v>
      </c>
      <c r="E9612" s="249">
        <v>25000</v>
      </c>
      <c r="F9612" s="249"/>
      <c r="G9612" s="249">
        <f t="shared" si="155"/>
        <v>-25000</v>
      </c>
      <c r="H9612" s="121" t="s">
        <v>6228</v>
      </c>
    </row>
    <row r="9613" spans="1:8" ht="15" x14ac:dyDescent="0.2">
      <c r="A9613" s="619">
        <v>44109</v>
      </c>
      <c r="B9613" s="222" t="s">
        <v>1400</v>
      </c>
      <c r="C9613" s="222" t="s">
        <v>5652</v>
      </c>
      <c r="D9613" s="806" t="s">
        <v>6243</v>
      </c>
      <c r="E9613" s="249">
        <v>15000</v>
      </c>
      <c r="F9613" s="249"/>
      <c r="G9613" s="249">
        <f t="shared" si="155"/>
        <v>-15000</v>
      </c>
      <c r="H9613" s="121" t="s">
        <v>6228</v>
      </c>
    </row>
    <row r="9614" spans="1:8" ht="15" x14ac:dyDescent="0.2">
      <c r="A9614" s="619">
        <v>44110</v>
      </c>
      <c r="B9614" s="222" t="s">
        <v>2652</v>
      </c>
      <c r="C9614" s="222" t="s">
        <v>2503</v>
      </c>
      <c r="D9614" s="806" t="s">
        <v>6246</v>
      </c>
      <c r="E9614" s="249">
        <v>34700</v>
      </c>
      <c r="F9614" s="249"/>
      <c r="G9614" s="249">
        <f t="shared" si="155"/>
        <v>-34700</v>
      </c>
      <c r="H9614" s="121" t="s">
        <v>6228</v>
      </c>
    </row>
    <row r="9615" spans="1:8" ht="15" x14ac:dyDescent="0.2">
      <c r="A9615" s="619">
        <v>44110</v>
      </c>
      <c r="B9615" s="222" t="s">
        <v>16</v>
      </c>
      <c r="C9615" s="222" t="s">
        <v>648</v>
      </c>
      <c r="D9615" s="806" t="s">
        <v>6247</v>
      </c>
      <c r="E9615" s="249">
        <v>4006</v>
      </c>
      <c r="F9615" s="249"/>
      <c r="G9615" s="249">
        <f t="shared" si="155"/>
        <v>-4006</v>
      </c>
      <c r="H9615" s="121" t="s">
        <v>6228</v>
      </c>
    </row>
    <row r="9616" spans="1:8" ht="15" x14ac:dyDescent="0.2">
      <c r="A9616" s="619">
        <v>44110</v>
      </c>
      <c r="B9616" s="222" t="s">
        <v>2933</v>
      </c>
      <c r="C9616" s="222" t="s">
        <v>392</v>
      </c>
      <c r="D9616" s="806" t="s">
        <v>6250</v>
      </c>
      <c r="E9616" s="249">
        <v>100</v>
      </c>
      <c r="F9616" s="249"/>
      <c r="G9616" s="249">
        <f t="shared" si="155"/>
        <v>-100</v>
      </c>
      <c r="H9616" s="121" t="s">
        <v>6228</v>
      </c>
    </row>
    <row r="9617" spans="1:8" ht="15" x14ac:dyDescent="0.2">
      <c r="A9617" s="619">
        <v>44111</v>
      </c>
      <c r="B9617" s="222" t="s">
        <v>37</v>
      </c>
      <c r="C9617" s="222" t="s">
        <v>392</v>
      </c>
      <c r="D9617" s="806" t="s">
        <v>6251</v>
      </c>
      <c r="E9617" s="249">
        <v>2000</v>
      </c>
      <c r="F9617" s="249"/>
      <c r="G9617" s="249">
        <f t="shared" si="155"/>
        <v>-2000</v>
      </c>
      <c r="H9617" s="121" t="s">
        <v>6228</v>
      </c>
    </row>
    <row r="9618" spans="1:8" ht="15" x14ac:dyDescent="0.2">
      <c r="A9618" s="619">
        <v>44111</v>
      </c>
      <c r="B9618" s="222" t="s">
        <v>2933</v>
      </c>
      <c r="C9618" s="222" t="s">
        <v>286</v>
      </c>
      <c r="D9618" s="806" t="s">
        <v>6252</v>
      </c>
      <c r="E9618" s="249">
        <v>400</v>
      </c>
      <c r="F9618" s="249"/>
      <c r="G9618" s="249">
        <f t="shared" si="155"/>
        <v>-400</v>
      </c>
      <c r="H9618" s="121" t="s">
        <v>6228</v>
      </c>
    </row>
    <row r="9619" spans="1:8" ht="15" x14ac:dyDescent="0.2">
      <c r="A9619" s="619">
        <v>44111</v>
      </c>
      <c r="B9619" s="222" t="s">
        <v>1400</v>
      </c>
      <c r="C9619" s="222" t="s">
        <v>392</v>
      </c>
      <c r="D9619" s="806" t="s">
        <v>2108</v>
      </c>
      <c r="E9619" s="249">
        <v>1000</v>
      </c>
      <c r="F9619" s="249"/>
      <c r="G9619" s="249">
        <f t="shared" si="155"/>
        <v>-1000</v>
      </c>
      <c r="H9619" s="121" t="s">
        <v>6228</v>
      </c>
    </row>
    <row r="9620" spans="1:8" ht="15" x14ac:dyDescent="0.2">
      <c r="A9620" s="619">
        <v>44113</v>
      </c>
      <c r="B9620" s="222" t="s">
        <v>1400</v>
      </c>
      <c r="C9620" s="222" t="s">
        <v>392</v>
      </c>
      <c r="D9620" s="806" t="s">
        <v>6253</v>
      </c>
      <c r="E9620" s="249">
        <v>100</v>
      </c>
      <c r="F9620" s="249"/>
      <c r="G9620" s="249">
        <f t="shared" si="155"/>
        <v>-100</v>
      </c>
      <c r="H9620" s="121" t="s">
        <v>6228</v>
      </c>
    </row>
    <row r="9621" spans="1:8" ht="15" x14ac:dyDescent="0.2">
      <c r="A9621" s="619">
        <v>44113</v>
      </c>
      <c r="B9621" s="222" t="s">
        <v>2652</v>
      </c>
      <c r="C9621" s="222" t="s">
        <v>6091</v>
      </c>
      <c r="D9621" s="806" t="s">
        <v>6254</v>
      </c>
      <c r="E9621" s="249">
        <v>2000</v>
      </c>
      <c r="F9621" s="249"/>
      <c r="G9621" s="249">
        <f t="shared" si="155"/>
        <v>-2000</v>
      </c>
      <c r="H9621" s="121" t="s">
        <v>6228</v>
      </c>
    </row>
    <row r="9622" spans="1:8" ht="15" x14ac:dyDescent="0.2">
      <c r="A9622" s="619">
        <v>44113</v>
      </c>
      <c r="B9622" s="222" t="s">
        <v>25</v>
      </c>
      <c r="C9622" s="222" t="s">
        <v>4065</v>
      </c>
      <c r="D9622" s="806" t="s">
        <v>3056</v>
      </c>
      <c r="E9622" s="249">
        <v>1845</v>
      </c>
      <c r="F9622" s="249"/>
      <c r="G9622" s="249">
        <f t="shared" si="155"/>
        <v>-1845</v>
      </c>
      <c r="H9622" s="121" t="s">
        <v>6228</v>
      </c>
    </row>
    <row r="9623" spans="1:8" ht="15" x14ac:dyDescent="0.2">
      <c r="A9623" s="619">
        <v>44113</v>
      </c>
      <c r="B9623" s="222" t="s">
        <v>25</v>
      </c>
      <c r="C9623" s="222" t="s">
        <v>2428</v>
      </c>
      <c r="D9623" s="806" t="s">
        <v>3056</v>
      </c>
      <c r="E9623" s="249">
        <v>31144</v>
      </c>
      <c r="F9623" s="249"/>
      <c r="G9623" s="249">
        <f t="shared" si="155"/>
        <v>-31144</v>
      </c>
      <c r="H9623" s="121" t="s">
        <v>6228</v>
      </c>
    </row>
    <row r="9624" spans="1:8" ht="15" x14ac:dyDescent="0.2">
      <c r="A9624" s="619">
        <v>44113</v>
      </c>
      <c r="B9624" s="222" t="s">
        <v>2652</v>
      </c>
      <c r="C9624" s="222" t="s">
        <v>2190</v>
      </c>
      <c r="D9624" s="806"/>
      <c r="E9624" s="249">
        <v>900</v>
      </c>
      <c r="F9624" s="249"/>
      <c r="G9624" s="249">
        <f t="shared" si="155"/>
        <v>-900</v>
      </c>
      <c r="H9624" s="121" t="s">
        <v>6228</v>
      </c>
    </row>
    <row r="9625" spans="1:8" ht="15" x14ac:dyDescent="0.2">
      <c r="A9625" s="619">
        <v>44114</v>
      </c>
      <c r="B9625" s="222" t="s">
        <v>25</v>
      </c>
      <c r="C9625" s="222" t="s">
        <v>392</v>
      </c>
      <c r="D9625" s="806" t="s">
        <v>6255</v>
      </c>
      <c r="E9625" s="249">
        <v>1500</v>
      </c>
      <c r="F9625" s="249"/>
      <c r="G9625" s="249">
        <f t="shared" si="155"/>
        <v>-1500</v>
      </c>
      <c r="H9625" s="121" t="s">
        <v>6228</v>
      </c>
    </row>
    <row r="9626" spans="1:8" ht="15" x14ac:dyDescent="0.2">
      <c r="A9626" s="619">
        <v>44116</v>
      </c>
      <c r="B9626" s="222" t="s">
        <v>1400</v>
      </c>
      <c r="C9626" s="222" t="s">
        <v>4988</v>
      </c>
      <c r="D9626" s="806" t="s">
        <v>6256</v>
      </c>
      <c r="E9626" s="249">
        <v>72500</v>
      </c>
      <c r="F9626" s="249"/>
      <c r="G9626" s="249">
        <f t="shared" si="155"/>
        <v>-72500</v>
      </c>
      <c r="H9626" s="121" t="s">
        <v>6228</v>
      </c>
    </row>
    <row r="9627" spans="1:8" ht="24" x14ac:dyDescent="0.2">
      <c r="A9627" s="619">
        <v>44116</v>
      </c>
      <c r="B9627" s="222" t="s">
        <v>1400</v>
      </c>
      <c r="C9627" s="222" t="s">
        <v>6378</v>
      </c>
      <c r="D9627" s="805" t="s">
        <v>6257</v>
      </c>
      <c r="E9627" s="249">
        <v>50000</v>
      </c>
      <c r="F9627" s="249"/>
      <c r="G9627" s="249">
        <f t="shared" si="155"/>
        <v>-50000</v>
      </c>
      <c r="H9627" s="121" t="s">
        <v>6228</v>
      </c>
    </row>
    <row r="9628" spans="1:8" ht="15" x14ac:dyDescent="0.2">
      <c r="A9628" s="619">
        <v>44116</v>
      </c>
      <c r="B9628" s="222" t="s">
        <v>1400</v>
      </c>
      <c r="C9628" s="399" t="s">
        <v>392</v>
      </c>
      <c r="D9628" s="827" t="s">
        <v>6258</v>
      </c>
      <c r="E9628" s="432">
        <v>600</v>
      </c>
      <c r="F9628" s="249"/>
      <c r="G9628" s="249">
        <f t="shared" si="155"/>
        <v>-600</v>
      </c>
      <c r="H9628" s="121" t="s">
        <v>6228</v>
      </c>
    </row>
    <row r="9629" spans="1:8" ht="15.75" thickBot="1" x14ac:dyDescent="0.25">
      <c r="A9629" s="619">
        <v>44116</v>
      </c>
      <c r="B9629" s="424" t="s">
        <v>2652</v>
      </c>
      <c r="C9629" s="546" t="s">
        <v>3145</v>
      </c>
      <c r="D9629" s="858" t="s">
        <v>4291</v>
      </c>
      <c r="E9629" s="547">
        <v>2000</v>
      </c>
      <c r="F9629" s="425"/>
      <c r="G9629" s="249">
        <f t="shared" si="155"/>
        <v>-2000</v>
      </c>
      <c r="H9629" s="121" t="s">
        <v>6228</v>
      </c>
    </row>
    <row r="9630" spans="1:8" ht="15" x14ac:dyDescent="0.2">
      <c r="A9630" s="619">
        <v>44116</v>
      </c>
      <c r="B9630" s="222" t="s">
        <v>3945</v>
      </c>
      <c r="C9630" s="222" t="s">
        <v>3145</v>
      </c>
      <c r="D9630" s="806" t="s">
        <v>6259</v>
      </c>
      <c r="E9630" s="249">
        <v>12300</v>
      </c>
      <c r="F9630" s="249"/>
      <c r="G9630" s="249">
        <f t="shared" si="155"/>
        <v>-12300</v>
      </c>
      <c r="H9630" s="121" t="s">
        <v>6228</v>
      </c>
    </row>
    <row r="9631" spans="1:8" ht="15" x14ac:dyDescent="0.2">
      <c r="A9631" s="619">
        <v>44117</v>
      </c>
      <c r="B9631" s="222" t="s">
        <v>1400</v>
      </c>
      <c r="C9631" s="222" t="s">
        <v>6171</v>
      </c>
      <c r="D9631" s="806" t="s">
        <v>2711</v>
      </c>
      <c r="E9631" s="249">
        <v>25000</v>
      </c>
      <c r="F9631" s="249"/>
      <c r="G9631" s="249">
        <f t="shared" si="155"/>
        <v>-25000</v>
      </c>
      <c r="H9631" s="121" t="s">
        <v>6228</v>
      </c>
    </row>
    <row r="9632" spans="1:8" ht="15" x14ac:dyDescent="0.2">
      <c r="A9632" s="619">
        <v>44117</v>
      </c>
      <c r="B9632" s="222" t="s">
        <v>1400</v>
      </c>
      <c r="C9632" s="222" t="s">
        <v>6009</v>
      </c>
      <c r="D9632" s="806" t="s">
        <v>6261</v>
      </c>
      <c r="E9632" s="249">
        <v>64000</v>
      </c>
      <c r="F9632" s="249"/>
      <c r="G9632" s="249">
        <f t="shared" si="155"/>
        <v>-64000</v>
      </c>
      <c r="H9632" s="121" t="s">
        <v>6228</v>
      </c>
    </row>
    <row r="9633" spans="1:8" ht="15" x14ac:dyDescent="0.2">
      <c r="A9633" s="619">
        <v>44118</v>
      </c>
      <c r="B9633" s="222" t="s">
        <v>1400</v>
      </c>
      <c r="C9633" s="222" t="s">
        <v>3145</v>
      </c>
      <c r="D9633" s="806" t="s">
        <v>6057</v>
      </c>
      <c r="E9633" s="249">
        <v>14460</v>
      </c>
      <c r="F9633" s="249"/>
      <c r="G9633" s="249">
        <f t="shared" si="155"/>
        <v>-14460</v>
      </c>
      <c r="H9633" s="121" t="s">
        <v>6228</v>
      </c>
    </row>
    <row r="9634" spans="1:8" ht="15" x14ac:dyDescent="0.2">
      <c r="A9634" s="619">
        <v>44118</v>
      </c>
      <c r="B9634" s="222" t="s">
        <v>1400</v>
      </c>
      <c r="C9634" s="222" t="s">
        <v>392</v>
      </c>
      <c r="D9634" s="806" t="s">
        <v>6209</v>
      </c>
      <c r="E9634" s="249">
        <v>2500</v>
      </c>
      <c r="F9634" s="249"/>
      <c r="G9634" s="249">
        <f t="shared" si="155"/>
        <v>-2500</v>
      </c>
      <c r="H9634" s="121" t="s">
        <v>6228</v>
      </c>
    </row>
    <row r="9635" spans="1:8" ht="15" x14ac:dyDescent="0.2">
      <c r="A9635" s="619">
        <v>44118</v>
      </c>
      <c r="B9635" s="222" t="s">
        <v>1400</v>
      </c>
      <c r="C9635" s="222" t="s">
        <v>3145</v>
      </c>
      <c r="D9635" s="806" t="s">
        <v>4694</v>
      </c>
      <c r="E9635" s="249">
        <v>8500</v>
      </c>
      <c r="F9635" s="249"/>
      <c r="G9635" s="249">
        <f t="shared" si="155"/>
        <v>-8500</v>
      </c>
      <c r="H9635" s="121" t="s">
        <v>6228</v>
      </c>
    </row>
    <row r="9636" spans="1:8" ht="15" x14ac:dyDescent="0.2">
      <c r="A9636" s="619">
        <v>44118</v>
      </c>
      <c r="B9636" s="222" t="s">
        <v>2933</v>
      </c>
      <c r="C9636" s="222" t="s">
        <v>3145</v>
      </c>
      <c r="D9636" s="806" t="s">
        <v>4694</v>
      </c>
      <c r="E9636" s="249">
        <v>2000</v>
      </c>
      <c r="F9636" s="249"/>
      <c r="G9636" s="249">
        <f t="shared" si="155"/>
        <v>-2000</v>
      </c>
      <c r="H9636" s="121" t="s">
        <v>6228</v>
      </c>
    </row>
    <row r="9637" spans="1:8" ht="15" x14ac:dyDescent="0.2">
      <c r="A9637" s="619">
        <v>44118</v>
      </c>
      <c r="B9637" s="222" t="s">
        <v>37</v>
      </c>
      <c r="C9637" s="222" t="s">
        <v>3145</v>
      </c>
      <c r="D9637" s="806" t="s">
        <v>4426</v>
      </c>
      <c r="E9637" s="249">
        <v>1500</v>
      </c>
      <c r="F9637" s="249"/>
      <c r="G9637" s="249">
        <f t="shared" si="155"/>
        <v>-1500</v>
      </c>
      <c r="H9637" s="121" t="s">
        <v>6228</v>
      </c>
    </row>
    <row r="9638" spans="1:8" ht="15" x14ac:dyDescent="0.2">
      <c r="A9638" s="619">
        <v>44118</v>
      </c>
      <c r="B9638" s="222" t="s">
        <v>5811</v>
      </c>
      <c r="C9638" s="222" t="s">
        <v>3145</v>
      </c>
      <c r="D9638" s="806" t="s">
        <v>6263</v>
      </c>
      <c r="E9638" s="249">
        <v>950</v>
      </c>
      <c r="F9638" s="249"/>
      <c r="G9638" s="249">
        <f t="shared" si="155"/>
        <v>-950</v>
      </c>
      <c r="H9638" s="121" t="s">
        <v>6228</v>
      </c>
    </row>
    <row r="9639" spans="1:8" ht="15.75" thickBot="1" x14ac:dyDescent="0.25">
      <c r="A9639" s="619">
        <v>44118</v>
      </c>
      <c r="B9639" s="222" t="s">
        <v>2652</v>
      </c>
      <c r="C9639" s="399" t="s">
        <v>5741</v>
      </c>
      <c r="D9639" s="827" t="s">
        <v>6264</v>
      </c>
      <c r="E9639" s="432">
        <v>300</v>
      </c>
      <c r="F9639" s="249"/>
      <c r="G9639" s="249">
        <f t="shared" si="155"/>
        <v>-300</v>
      </c>
      <c r="H9639" s="121" t="s">
        <v>6228</v>
      </c>
    </row>
    <row r="9640" spans="1:8" ht="15" x14ac:dyDescent="0.2">
      <c r="A9640" s="619">
        <v>44118</v>
      </c>
      <c r="B9640" s="424" t="s">
        <v>4553</v>
      </c>
      <c r="C9640" s="560" t="s">
        <v>3145</v>
      </c>
      <c r="D9640" s="882" t="s">
        <v>6272</v>
      </c>
      <c r="E9640" s="561">
        <v>5617</v>
      </c>
      <c r="F9640" s="425"/>
      <c r="G9640" s="249">
        <f t="shared" si="155"/>
        <v>-5617</v>
      </c>
      <c r="H9640" s="121" t="s">
        <v>6228</v>
      </c>
    </row>
    <row r="9641" spans="1:8" ht="15.75" thickBot="1" x14ac:dyDescent="0.25">
      <c r="A9641" s="619">
        <v>44118</v>
      </c>
      <c r="B9641" s="424" t="s">
        <v>1400</v>
      </c>
      <c r="C9641" s="558" t="s">
        <v>3145</v>
      </c>
      <c r="D9641" s="883" t="s">
        <v>6272</v>
      </c>
      <c r="E9641" s="559">
        <v>15450</v>
      </c>
      <c r="F9641" s="425"/>
      <c r="G9641" s="249">
        <f t="shared" ref="G9641:G9704" si="156">F9641-E9641</f>
        <v>-15450</v>
      </c>
      <c r="H9641" s="121" t="s">
        <v>6228</v>
      </c>
    </row>
    <row r="9642" spans="1:8" ht="15" x14ac:dyDescent="0.2">
      <c r="A9642" s="619">
        <v>44119</v>
      </c>
      <c r="B9642" s="424" t="s">
        <v>3946</v>
      </c>
      <c r="C9642" s="553" t="s">
        <v>3003</v>
      </c>
      <c r="D9642" s="884" t="s">
        <v>1157</v>
      </c>
      <c r="E9642" s="554">
        <v>5200</v>
      </c>
      <c r="F9642" s="425"/>
      <c r="G9642" s="249">
        <f t="shared" si="156"/>
        <v>-5200</v>
      </c>
      <c r="H9642" s="121" t="s">
        <v>6228</v>
      </c>
    </row>
    <row r="9643" spans="1:8" ht="15" x14ac:dyDescent="0.2">
      <c r="A9643" s="619">
        <v>44119</v>
      </c>
      <c r="B9643" s="424" t="s">
        <v>3945</v>
      </c>
      <c r="C9643" s="555" t="s">
        <v>3003</v>
      </c>
      <c r="D9643" s="885" t="s">
        <v>1157</v>
      </c>
      <c r="E9643" s="557">
        <v>5200</v>
      </c>
      <c r="F9643" s="425"/>
      <c r="G9643" s="249">
        <f t="shared" si="156"/>
        <v>-5200</v>
      </c>
      <c r="H9643" s="121" t="s">
        <v>6228</v>
      </c>
    </row>
    <row r="9644" spans="1:8" ht="15" x14ac:dyDescent="0.2">
      <c r="A9644" s="619">
        <v>44119</v>
      </c>
      <c r="B9644" s="424" t="s">
        <v>6516</v>
      </c>
      <c r="C9644" s="555" t="s">
        <v>3003</v>
      </c>
      <c r="D9644" s="885" t="s">
        <v>1157</v>
      </c>
      <c r="E9644" s="557">
        <v>60743</v>
      </c>
      <c r="F9644" s="425"/>
      <c r="G9644" s="249">
        <f t="shared" si="156"/>
        <v>-60743</v>
      </c>
      <c r="H9644" s="121" t="s">
        <v>6228</v>
      </c>
    </row>
    <row r="9645" spans="1:8" ht="15" x14ac:dyDescent="0.2">
      <c r="A9645" s="619">
        <v>44119</v>
      </c>
      <c r="B9645" s="424" t="s">
        <v>82</v>
      </c>
      <c r="C9645" s="555" t="s">
        <v>3003</v>
      </c>
      <c r="D9645" s="885" t="s">
        <v>1157</v>
      </c>
      <c r="E9645" s="557">
        <v>4680</v>
      </c>
      <c r="F9645" s="425"/>
      <c r="G9645" s="249">
        <f t="shared" si="156"/>
        <v>-4680</v>
      </c>
      <c r="H9645" s="121" t="s">
        <v>6228</v>
      </c>
    </row>
    <row r="9646" spans="1:8" ht="15.75" thickBot="1" x14ac:dyDescent="0.25">
      <c r="A9646" s="619">
        <v>44119</v>
      </c>
      <c r="B9646" s="424" t="s">
        <v>37</v>
      </c>
      <c r="C9646" s="558" t="s">
        <v>3003</v>
      </c>
      <c r="D9646" s="883" t="s">
        <v>1157</v>
      </c>
      <c r="E9646" s="559">
        <v>25920</v>
      </c>
      <c r="F9646" s="425"/>
      <c r="G9646" s="249">
        <f t="shared" si="156"/>
        <v>-25920</v>
      </c>
      <c r="H9646" s="121" t="s">
        <v>6228</v>
      </c>
    </row>
    <row r="9647" spans="1:8" ht="48" x14ac:dyDescent="0.2">
      <c r="A9647" s="619">
        <v>44119</v>
      </c>
      <c r="B9647" s="222" t="s">
        <v>1400</v>
      </c>
      <c r="C9647" s="222" t="s">
        <v>6141</v>
      </c>
      <c r="D9647" s="805" t="s">
        <v>6265</v>
      </c>
      <c r="E9647" s="249">
        <v>7000</v>
      </c>
      <c r="F9647" s="249"/>
      <c r="G9647" s="249">
        <f t="shared" si="156"/>
        <v>-7000</v>
      </c>
      <c r="H9647" s="121" t="s">
        <v>6228</v>
      </c>
    </row>
    <row r="9648" spans="1:8" ht="15" x14ac:dyDescent="0.2">
      <c r="A9648" s="619">
        <v>44121</v>
      </c>
      <c r="B9648" s="222" t="s">
        <v>2652</v>
      </c>
      <c r="C9648" s="222" t="s">
        <v>3145</v>
      </c>
      <c r="D9648" s="805" t="s">
        <v>4893</v>
      </c>
      <c r="E9648" s="249">
        <v>9350</v>
      </c>
      <c r="F9648" s="249"/>
      <c r="G9648" s="249">
        <f t="shared" si="156"/>
        <v>-9350</v>
      </c>
      <c r="H9648" s="121" t="s">
        <v>6228</v>
      </c>
    </row>
    <row r="9649" spans="1:8" ht="15" x14ac:dyDescent="0.2">
      <c r="A9649" s="619">
        <v>44121</v>
      </c>
      <c r="B9649" s="222" t="s">
        <v>16</v>
      </c>
      <c r="C9649" s="222" t="s">
        <v>392</v>
      </c>
      <c r="D9649" s="805" t="s">
        <v>6266</v>
      </c>
      <c r="E9649" s="249">
        <v>2060</v>
      </c>
      <c r="F9649" s="249"/>
      <c r="G9649" s="249">
        <f t="shared" si="156"/>
        <v>-2060</v>
      </c>
      <c r="H9649" s="121" t="s">
        <v>6228</v>
      </c>
    </row>
    <row r="9650" spans="1:8" ht="15" x14ac:dyDescent="0.2">
      <c r="A9650" s="619">
        <v>44121</v>
      </c>
      <c r="B9650" s="222" t="s">
        <v>2933</v>
      </c>
      <c r="C9650" s="222" t="s">
        <v>2190</v>
      </c>
      <c r="D9650" s="805"/>
      <c r="E9650" s="249">
        <v>1040</v>
      </c>
      <c r="F9650" s="249"/>
      <c r="G9650" s="249">
        <f t="shared" si="156"/>
        <v>-1040</v>
      </c>
      <c r="H9650" s="121" t="s">
        <v>6228</v>
      </c>
    </row>
    <row r="9651" spans="1:8" ht="15" x14ac:dyDescent="0.2">
      <c r="A9651" s="619">
        <v>44121</v>
      </c>
      <c r="B9651" s="222" t="s">
        <v>1400</v>
      </c>
      <c r="C9651" s="222" t="s">
        <v>4334</v>
      </c>
      <c r="D9651" s="805" t="s">
        <v>6267</v>
      </c>
      <c r="E9651" s="249">
        <v>35000</v>
      </c>
      <c r="F9651" s="249"/>
      <c r="G9651" s="249">
        <f t="shared" si="156"/>
        <v>-35000</v>
      </c>
      <c r="H9651" s="121" t="s">
        <v>6228</v>
      </c>
    </row>
    <row r="9652" spans="1:8" ht="15" x14ac:dyDescent="0.2">
      <c r="A9652" s="619">
        <v>44121</v>
      </c>
      <c r="B9652" s="222" t="s">
        <v>1400</v>
      </c>
      <c r="C9652" s="222" t="s">
        <v>4331</v>
      </c>
      <c r="D9652" s="805" t="s">
        <v>370</v>
      </c>
      <c r="E9652" s="249">
        <v>16000</v>
      </c>
      <c r="F9652" s="249"/>
      <c r="G9652" s="249">
        <f t="shared" si="156"/>
        <v>-16000</v>
      </c>
      <c r="H9652" s="121" t="s">
        <v>6228</v>
      </c>
    </row>
    <row r="9653" spans="1:8" ht="15" x14ac:dyDescent="0.2">
      <c r="A9653" s="619">
        <v>44121</v>
      </c>
      <c r="B9653" s="222" t="s">
        <v>2652</v>
      </c>
      <c r="C9653" s="222" t="s">
        <v>3145</v>
      </c>
      <c r="D9653" s="805" t="s">
        <v>6268</v>
      </c>
      <c r="E9653" s="249">
        <v>3990</v>
      </c>
      <c r="F9653" s="249"/>
      <c r="G9653" s="249">
        <f t="shared" si="156"/>
        <v>-3990</v>
      </c>
      <c r="H9653" s="121" t="s">
        <v>6228</v>
      </c>
    </row>
    <row r="9654" spans="1:8" ht="24" x14ac:dyDescent="0.2">
      <c r="A9654" s="619">
        <v>44121</v>
      </c>
      <c r="B9654" s="222" t="s">
        <v>1400</v>
      </c>
      <c r="C9654" s="222" t="s">
        <v>3145</v>
      </c>
      <c r="D9654" s="805" t="s">
        <v>6269</v>
      </c>
      <c r="E9654" s="249">
        <v>19374</v>
      </c>
      <c r="F9654" s="249"/>
      <c r="G9654" s="249">
        <f t="shared" si="156"/>
        <v>-19374</v>
      </c>
      <c r="H9654" s="121" t="s">
        <v>6228</v>
      </c>
    </row>
    <row r="9655" spans="1:8" ht="15" x14ac:dyDescent="0.2">
      <c r="A9655" s="619">
        <v>44123</v>
      </c>
      <c r="B9655" s="222" t="s">
        <v>2933</v>
      </c>
      <c r="C9655" s="222" t="s">
        <v>2196</v>
      </c>
      <c r="D9655" s="805" t="s">
        <v>6270</v>
      </c>
      <c r="E9655" s="249">
        <v>100000</v>
      </c>
      <c r="F9655" s="249"/>
      <c r="G9655" s="249">
        <f t="shared" si="156"/>
        <v>-100000</v>
      </c>
      <c r="H9655" s="121" t="s">
        <v>6228</v>
      </c>
    </row>
    <row r="9656" spans="1:8" ht="15" x14ac:dyDescent="0.2">
      <c r="A9656" s="619">
        <v>44123</v>
      </c>
      <c r="B9656" s="222" t="s">
        <v>2933</v>
      </c>
      <c r="C9656" s="222" t="s">
        <v>2196</v>
      </c>
      <c r="D9656" s="805" t="s">
        <v>6271</v>
      </c>
      <c r="E9656" s="249">
        <v>23850</v>
      </c>
      <c r="F9656" s="249"/>
      <c r="G9656" s="249">
        <f t="shared" si="156"/>
        <v>-23850</v>
      </c>
      <c r="H9656" s="121" t="s">
        <v>6228</v>
      </c>
    </row>
    <row r="9657" spans="1:8" ht="15" x14ac:dyDescent="0.2">
      <c r="A9657" s="619">
        <v>44123</v>
      </c>
      <c r="B9657" s="222" t="s">
        <v>1400</v>
      </c>
      <c r="C9657" s="222" t="s">
        <v>3145</v>
      </c>
      <c r="D9657" s="805" t="s">
        <v>4450</v>
      </c>
      <c r="E9657" s="249">
        <v>74124</v>
      </c>
      <c r="F9657" s="249"/>
      <c r="G9657" s="249">
        <f t="shared" si="156"/>
        <v>-74124</v>
      </c>
      <c r="H9657" s="121" t="s">
        <v>6228</v>
      </c>
    </row>
    <row r="9658" spans="1:8" ht="15" x14ac:dyDescent="0.2">
      <c r="A9658" s="619">
        <v>44123</v>
      </c>
      <c r="B9658" s="222" t="s">
        <v>2652</v>
      </c>
      <c r="C9658" s="222" t="s">
        <v>2190</v>
      </c>
      <c r="D9658" s="805"/>
      <c r="E9658" s="249">
        <v>1600</v>
      </c>
      <c r="F9658" s="249"/>
      <c r="G9658" s="249">
        <f t="shared" si="156"/>
        <v>-1600</v>
      </c>
      <c r="H9658" s="121" t="s">
        <v>6228</v>
      </c>
    </row>
    <row r="9659" spans="1:8" ht="24" x14ac:dyDescent="0.2">
      <c r="A9659" s="619">
        <v>44123</v>
      </c>
      <c r="B9659" s="222" t="s">
        <v>2652</v>
      </c>
      <c r="C9659" s="222" t="s">
        <v>4870</v>
      </c>
      <c r="D9659" s="805" t="s">
        <v>6273</v>
      </c>
      <c r="E9659" s="249">
        <v>23050</v>
      </c>
      <c r="F9659" s="249"/>
      <c r="G9659" s="249">
        <f t="shared" si="156"/>
        <v>-23050</v>
      </c>
      <c r="H9659" s="121" t="s">
        <v>6228</v>
      </c>
    </row>
    <row r="9660" spans="1:8" ht="15" x14ac:dyDescent="0.2">
      <c r="A9660" s="619">
        <v>44124</v>
      </c>
      <c r="B9660" s="222" t="s">
        <v>2652</v>
      </c>
      <c r="C9660" s="222" t="s">
        <v>3145</v>
      </c>
      <c r="D9660" s="805" t="s">
        <v>6274</v>
      </c>
      <c r="E9660" s="249">
        <v>3500</v>
      </c>
      <c r="F9660" s="249"/>
      <c r="G9660" s="249">
        <f t="shared" si="156"/>
        <v>-3500</v>
      </c>
      <c r="H9660" s="121" t="s">
        <v>6228</v>
      </c>
    </row>
    <row r="9661" spans="1:8" ht="15" x14ac:dyDescent="0.2">
      <c r="A9661" s="619">
        <v>44124</v>
      </c>
      <c r="B9661" s="222" t="s">
        <v>2933</v>
      </c>
      <c r="C9661" s="222" t="s">
        <v>2190</v>
      </c>
      <c r="D9661" s="805"/>
      <c r="E9661" s="249">
        <v>850</v>
      </c>
      <c r="F9661" s="249"/>
      <c r="G9661" s="249">
        <f t="shared" si="156"/>
        <v>-850</v>
      </c>
      <c r="H9661" s="121" t="s">
        <v>6228</v>
      </c>
    </row>
    <row r="9662" spans="1:8" ht="15" x14ac:dyDescent="0.2">
      <c r="A9662" s="619">
        <v>44125</v>
      </c>
      <c r="B9662" s="222" t="s">
        <v>2933</v>
      </c>
      <c r="C9662" s="222" t="s">
        <v>1495</v>
      </c>
      <c r="D9662" s="805" t="s">
        <v>370</v>
      </c>
      <c r="E9662" s="249">
        <v>2320</v>
      </c>
      <c r="F9662" s="249"/>
      <c r="G9662" s="249">
        <f t="shared" si="156"/>
        <v>-2320</v>
      </c>
      <c r="H9662" s="121" t="s">
        <v>6228</v>
      </c>
    </row>
    <row r="9663" spans="1:8" ht="15" x14ac:dyDescent="0.2">
      <c r="A9663" s="619">
        <v>44125</v>
      </c>
      <c r="B9663" s="222" t="s">
        <v>1400</v>
      </c>
      <c r="C9663" s="222" t="s">
        <v>4684</v>
      </c>
      <c r="D9663" s="805" t="s">
        <v>6276</v>
      </c>
      <c r="E9663" s="249">
        <v>250000</v>
      </c>
      <c r="F9663" s="249"/>
      <c r="G9663" s="249">
        <f t="shared" si="156"/>
        <v>-250000</v>
      </c>
      <c r="H9663" s="121" t="s">
        <v>6228</v>
      </c>
    </row>
    <row r="9664" spans="1:8" ht="15" x14ac:dyDescent="0.2">
      <c r="A9664" s="619">
        <v>44126</v>
      </c>
      <c r="B9664" s="222" t="s">
        <v>5811</v>
      </c>
      <c r="C9664" s="222" t="s">
        <v>3145</v>
      </c>
      <c r="D9664" s="805" t="s">
        <v>6263</v>
      </c>
      <c r="E9664" s="249">
        <v>700</v>
      </c>
      <c r="F9664" s="249"/>
      <c r="G9664" s="249">
        <f t="shared" si="156"/>
        <v>-700</v>
      </c>
      <c r="H9664" s="121" t="s">
        <v>6228</v>
      </c>
    </row>
    <row r="9665" spans="1:8" ht="15" x14ac:dyDescent="0.2">
      <c r="A9665" s="619">
        <v>44126</v>
      </c>
      <c r="B9665" s="222" t="s">
        <v>1400</v>
      </c>
      <c r="C9665" s="222" t="s">
        <v>3145</v>
      </c>
      <c r="D9665" s="805" t="s">
        <v>6277</v>
      </c>
      <c r="E9665" s="249">
        <v>1790</v>
      </c>
      <c r="F9665" s="249"/>
      <c r="G9665" s="249">
        <f t="shared" si="156"/>
        <v>-1790</v>
      </c>
      <c r="H9665" s="121" t="s">
        <v>6228</v>
      </c>
    </row>
    <row r="9666" spans="1:8" ht="15" x14ac:dyDescent="0.2">
      <c r="A9666" s="619">
        <v>44126</v>
      </c>
      <c r="B9666" s="222" t="s">
        <v>1400</v>
      </c>
      <c r="C9666" s="222" t="s">
        <v>3145</v>
      </c>
      <c r="D9666" s="805" t="s">
        <v>6284</v>
      </c>
      <c r="E9666" s="249">
        <v>37000</v>
      </c>
      <c r="F9666" s="249"/>
      <c r="G9666" s="249">
        <f t="shared" si="156"/>
        <v>-37000</v>
      </c>
      <c r="H9666" s="121" t="s">
        <v>6228</v>
      </c>
    </row>
    <row r="9667" spans="1:8" ht="15" x14ac:dyDescent="0.2">
      <c r="A9667" s="619">
        <v>44128</v>
      </c>
      <c r="B9667" s="222" t="s">
        <v>16</v>
      </c>
      <c r="C9667" s="222" t="s">
        <v>392</v>
      </c>
      <c r="D9667" s="805" t="s">
        <v>6285</v>
      </c>
      <c r="E9667" s="249">
        <v>4500</v>
      </c>
      <c r="F9667" s="249"/>
      <c r="G9667" s="249">
        <f t="shared" si="156"/>
        <v>-4500</v>
      </c>
      <c r="H9667" s="121" t="s">
        <v>6228</v>
      </c>
    </row>
    <row r="9668" spans="1:8" ht="15" x14ac:dyDescent="0.2">
      <c r="A9668" s="619">
        <v>44128</v>
      </c>
      <c r="B9668" s="222" t="s">
        <v>1400</v>
      </c>
      <c r="C9668" s="222" t="s">
        <v>6141</v>
      </c>
      <c r="D9668" s="805" t="s">
        <v>1157</v>
      </c>
      <c r="E9668" s="249">
        <v>7000</v>
      </c>
      <c r="F9668" s="249"/>
      <c r="G9668" s="249">
        <f t="shared" si="156"/>
        <v>-7000</v>
      </c>
      <c r="H9668" s="121" t="s">
        <v>6228</v>
      </c>
    </row>
    <row r="9669" spans="1:8" ht="15" customHeight="1" x14ac:dyDescent="0.2">
      <c r="A9669" s="619">
        <v>44130</v>
      </c>
      <c r="B9669" s="222" t="s">
        <v>25</v>
      </c>
      <c r="C9669" s="222" t="s">
        <v>4065</v>
      </c>
      <c r="D9669" s="805" t="s">
        <v>6286</v>
      </c>
      <c r="E9669" s="249">
        <v>3000</v>
      </c>
      <c r="F9669" s="249"/>
      <c r="G9669" s="249">
        <f t="shared" si="156"/>
        <v>-3000</v>
      </c>
      <c r="H9669" s="121" t="s">
        <v>6228</v>
      </c>
    </row>
    <row r="9670" spans="1:8" ht="15" customHeight="1" x14ac:dyDescent="0.2">
      <c r="A9670" s="619">
        <v>44130</v>
      </c>
      <c r="B9670" s="222" t="s">
        <v>3946</v>
      </c>
      <c r="C9670" s="222" t="s">
        <v>392</v>
      </c>
      <c r="D9670" s="805" t="s">
        <v>6287</v>
      </c>
      <c r="E9670" s="249">
        <v>8000</v>
      </c>
      <c r="F9670" s="249"/>
      <c r="G9670" s="249">
        <f t="shared" si="156"/>
        <v>-8000</v>
      </c>
      <c r="H9670" s="121" t="s">
        <v>6228</v>
      </c>
    </row>
    <row r="9671" spans="1:8" ht="15" customHeight="1" x14ac:dyDescent="0.2">
      <c r="A9671" s="619">
        <v>44131</v>
      </c>
      <c r="B9671" s="222" t="s">
        <v>2652</v>
      </c>
      <c r="C9671" s="222" t="s">
        <v>3145</v>
      </c>
      <c r="D9671" s="805" t="s">
        <v>4535</v>
      </c>
      <c r="E9671" s="249">
        <v>7664</v>
      </c>
      <c r="F9671" s="249"/>
      <c r="G9671" s="249">
        <f t="shared" si="156"/>
        <v>-7664</v>
      </c>
      <c r="H9671" s="121" t="s">
        <v>6228</v>
      </c>
    </row>
    <row r="9672" spans="1:8" ht="15" x14ac:dyDescent="0.2">
      <c r="A9672" s="619">
        <v>44131</v>
      </c>
      <c r="B9672" s="222" t="s">
        <v>2933</v>
      </c>
      <c r="C9672" s="222" t="s">
        <v>3145</v>
      </c>
      <c r="D9672" s="805" t="s">
        <v>6288</v>
      </c>
      <c r="E9672" s="249">
        <v>25000</v>
      </c>
      <c r="F9672" s="249"/>
      <c r="G9672" s="249">
        <f t="shared" si="156"/>
        <v>-25000</v>
      </c>
      <c r="H9672" s="121" t="s">
        <v>6228</v>
      </c>
    </row>
    <row r="9673" spans="1:8" ht="15" x14ac:dyDescent="0.2">
      <c r="A9673" s="619">
        <v>44131</v>
      </c>
      <c r="B9673" s="222" t="s">
        <v>5641</v>
      </c>
      <c r="C9673" s="556" t="s">
        <v>3145</v>
      </c>
      <c r="D9673" s="886" t="s">
        <v>6289</v>
      </c>
      <c r="E9673" s="576">
        <v>12000</v>
      </c>
      <c r="F9673" s="249"/>
      <c r="G9673" s="249">
        <f t="shared" si="156"/>
        <v>-12000</v>
      </c>
      <c r="H9673" s="121" t="s">
        <v>6228</v>
      </c>
    </row>
    <row r="9674" spans="1:8" ht="15" x14ac:dyDescent="0.2">
      <c r="A9674" s="619">
        <v>44131</v>
      </c>
      <c r="B9674" s="222" t="s">
        <v>2652</v>
      </c>
      <c r="C9674" s="222" t="s">
        <v>5741</v>
      </c>
      <c r="D9674" s="129" t="s">
        <v>6293</v>
      </c>
      <c r="E9674" s="249">
        <v>2700</v>
      </c>
      <c r="F9674" s="249"/>
      <c r="G9674" s="249">
        <f t="shared" si="156"/>
        <v>-2700</v>
      </c>
      <c r="H9674" s="121" t="s">
        <v>6228</v>
      </c>
    </row>
    <row r="9675" spans="1:8" ht="15" x14ac:dyDescent="0.2">
      <c r="A9675" s="619">
        <v>44131</v>
      </c>
      <c r="B9675" s="222" t="s">
        <v>25</v>
      </c>
      <c r="C9675" s="222" t="s">
        <v>4065</v>
      </c>
      <c r="D9675" s="805" t="s">
        <v>6294</v>
      </c>
      <c r="E9675" s="249">
        <v>600</v>
      </c>
      <c r="F9675" s="249"/>
      <c r="G9675" s="249">
        <f t="shared" si="156"/>
        <v>-600</v>
      </c>
      <c r="H9675" s="121" t="s">
        <v>6228</v>
      </c>
    </row>
    <row r="9676" spans="1:8" ht="15" x14ac:dyDescent="0.2">
      <c r="A9676" s="619">
        <v>44131</v>
      </c>
      <c r="B9676" s="222" t="s">
        <v>1400</v>
      </c>
      <c r="C9676" s="222" t="s">
        <v>4908</v>
      </c>
      <c r="D9676" s="805" t="s">
        <v>6290</v>
      </c>
      <c r="E9676" s="249">
        <v>24000</v>
      </c>
      <c r="F9676" s="249"/>
      <c r="G9676" s="249">
        <f t="shared" si="156"/>
        <v>-24000</v>
      </c>
      <c r="H9676" s="121" t="s">
        <v>6228</v>
      </c>
    </row>
    <row r="9677" spans="1:8" ht="15" x14ac:dyDescent="0.2">
      <c r="A9677" s="619">
        <v>44131</v>
      </c>
      <c r="B9677" s="222" t="s">
        <v>16</v>
      </c>
      <c r="C9677" s="556" t="s">
        <v>1689</v>
      </c>
      <c r="D9677" s="886" t="s">
        <v>6291</v>
      </c>
      <c r="E9677" s="576">
        <v>14259</v>
      </c>
      <c r="F9677" s="249"/>
      <c r="G9677" s="249">
        <f t="shared" si="156"/>
        <v>-14259</v>
      </c>
      <c r="H9677" s="121" t="s">
        <v>6228</v>
      </c>
    </row>
    <row r="9678" spans="1:8" ht="15" x14ac:dyDescent="0.2">
      <c r="A9678" s="619">
        <v>44131</v>
      </c>
      <c r="B9678" s="222" t="s">
        <v>25</v>
      </c>
      <c r="C9678" s="556" t="s">
        <v>1689</v>
      </c>
      <c r="D9678" s="886" t="s">
        <v>6292</v>
      </c>
      <c r="E9678" s="576">
        <v>34499</v>
      </c>
      <c r="F9678" s="249"/>
      <c r="G9678" s="249">
        <f t="shared" si="156"/>
        <v>-34499</v>
      </c>
      <c r="H9678" s="121" t="s">
        <v>6228</v>
      </c>
    </row>
    <row r="9679" spans="1:8" ht="15" x14ac:dyDescent="0.2">
      <c r="A9679" s="619">
        <v>44131</v>
      </c>
      <c r="B9679" s="222" t="s">
        <v>25</v>
      </c>
      <c r="C9679" s="222" t="s">
        <v>1689</v>
      </c>
      <c r="D9679" s="805" t="s">
        <v>6310</v>
      </c>
      <c r="E9679" s="247">
        <v>270</v>
      </c>
      <c r="F9679" s="247"/>
      <c r="G9679" s="249">
        <f t="shared" si="156"/>
        <v>-270</v>
      </c>
      <c r="H9679" s="121" t="s">
        <v>6228</v>
      </c>
    </row>
    <row r="9680" spans="1:8" ht="15" x14ac:dyDescent="0.2">
      <c r="A9680" s="619">
        <v>44132</v>
      </c>
      <c r="B9680" s="222" t="s">
        <v>2933</v>
      </c>
      <c r="C9680" s="222" t="s">
        <v>286</v>
      </c>
      <c r="D9680" s="805" t="s">
        <v>5254</v>
      </c>
      <c r="E9680" s="247">
        <v>4200</v>
      </c>
      <c r="F9680" s="247"/>
      <c r="G9680" s="249">
        <f t="shared" si="156"/>
        <v>-4200</v>
      </c>
      <c r="H9680" s="121" t="s">
        <v>6228</v>
      </c>
    </row>
    <row r="9681" spans="1:8" ht="15" x14ac:dyDescent="0.2">
      <c r="A9681" s="619">
        <v>44132</v>
      </c>
      <c r="B9681" s="222" t="s">
        <v>2652</v>
      </c>
      <c r="C9681" s="222" t="s">
        <v>3145</v>
      </c>
      <c r="D9681" s="805" t="s">
        <v>6311</v>
      </c>
      <c r="E9681" s="247">
        <v>400</v>
      </c>
      <c r="F9681" s="247"/>
      <c r="G9681" s="249">
        <f t="shared" si="156"/>
        <v>-400</v>
      </c>
      <c r="H9681" s="121" t="s">
        <v>6228</v>
      </c>
    </row>
    <row r="9682" spans="1:8" ht="15" x14ac:dyDescent="0.2">
      <c r="A9682" s="619">
        <v>44133</v>
      </c>
      <c r="B9682" s="222" t="s">
        <v>1400</v>
      </c>
      <c r="C9682" s="222" t="s">
        <v>6312</v>
      </c>
      <c r="D9682" s="805" t="s">
        <v>6313</v>
      </c>
      <c r="E9682" s="247">
        <v>15000</v>
      </c>
      <c r="F9682" s="247"/>
      <c r="G9682" s="249">
        <f t="shared" si="156"/>
        <v>-15000</v>
      </c>
      <c r="H9682" s="121" t="s">
        <v>6228</v>
      </c>
    </row>
    <row r="9683" spans="1:8" ht="48" x14ac:dyDescent="0.2">
      <c r="A9683" s="619">
        <v>44133</v>
      </c>
      <c r="B9683" s="222" t="s">
        <v>1400</v>
      </c>
      <c r="C9683" s="222" t="s">
        <v>2515</v>
      </c>
      <c r="D9683" s="805" t="s">
        <v>6314</v>
      </c>
      <c r="E9683" s="247">
        <v>40000</v>
      </c>
      <c r="F9683" s="247"/>
      <c r="G9683" s="249">
        <f t="shared" si="156"/>
        <v>-40000</v>
      </c>
      <c r="H9683" s="121" t="s">
        <v>6228</v>
      </c>
    </row>
    <row r="9684" spans="1:8" ht="15" x14ac:dyDescent="0.2">
      <c r="A9684" s="619">
        <v>44133</v>
      </c>
      <c r="B9684" s="222" t="s">
        <v>1400</v>
      </c>
      <c r="C9684" s="222" t="s">
        <v>392</v>
      </c>
      <c r="D9684" s="805" t="s">
        <v>6315</v>
      </c>
      <c r="E9684" s="247">
        <v>600</v>
      </c>
      <c r="F9684" s="247"/>
      <c r="G9684" s="249">
        <f t="shared" si="156"/>
        <v>-600</v>
      </c>
      <c r="H9684" s="121" t="s">
        <v>6228</v>
      </c>
    </row>
    <row r="9685" spans="1:8" ht="15" x14ac:dyDescent="0.2">
      <c r="A9685" s="619">
        <v>44133</v>
      </c>
      <c r="B9685" s="222" t="s">
        <v>25</v>
      </c>
      <c r="C9685" s="222" t="s">
        <v>1005</v>
      </c>
      <c r="D9685" s="805"/>
      <c r="E9685" s="247">
        <v>650</v>
      </c>
      <c r="F9685" s="247"/>
      <c r="G9685" s="249">
        <f t="shared" si="156"/>
        <v>-650</v>
      </c>
      <c r="H9685" s="121" t="s">
        <v>6228</v>
      </c>
    </row>
    <row r="9686" spans="1:8" ht="15" x14ac:dyDescent="0.2">
      <c r="A9686" s="619">
        <v>44133</v>
      </c>
      <c r="B9686" s="222" t="s">
        <v>16</v>
      </c>
      <c r="C9686" s="222" t="s">
        <v>392</v>
      </c>
      <c r="D9686" s="805" t="s">
        <v>6316</v>
      </c>
      <c r="E9686" s="247">
        <v>300</v>
      </c>
      <c r="F9686" s="247"/>
      <c r="G9686" s="249">
        <f t="shared" si="156"/>
        <v>-300</v>
      </c>
      <c r="H9686" s="121" t="s">
        <v>6228</v>
      </c>
    </row>
    <row r="9687" spans="1:8" ht="15" x14ac:dyDescent="0.2">
      <c r="A9687" s="619">
        <v>44133</v>
      </c>
      <c r="B9687" s="222" t="s">
        <v>1400</v>
      </c>
      <c r="C9687" s="222" t="s">
        <v>2503</v>
      </c>
      <c r="D9687" s="805" t="s">
        <v>940</v>
      </c>
      <c r="E9687" s="247">
        <v>25000</v>
      </c>
      <c r="F9687" s="247"/>
      <c r="G9687" s="249">
        <f t="shared" si="156"/>
        <v>-25000</v>
      </c>
      <c r="H9687" s="121" t="s">
        <v>6228</v>
      </c>
    </row>
    <row r="9688" spans="1:8" ht="15" x14ac:dyDescent="0.2">
      <c r="A9688" s="619">
        <v>44133</v>
      </c>
      <c r="B9688" s="222" t="s">
        <v>2933</v>
      </c>
      <c r="C9688" s="222" t="s">
        <v>2503</v>
      </c>
      <c r="D9688" s="805" t="s">
        <v>940</v>
      </c>
      <c r="E9688" s="247">
        <v>25000</v>
      </c>
      <c r="F9688" s="247"/>
      <c r="G9688" s="249">
        <f t="shared" si="156"/>
        <v>-25000</v>
      </c>
      <c r="H9688" s="121" t="s">
        <v>6228</v>
      </c>
    </row>
    <row r="9689" spans="1:8" ht="15" x14ac:dyDescent="0.2">
      <c r="A9689" s="619">
        <v>44133</v>
      </c>
      <c r="B9689" s="222" t="s">
        <v>2652</v>
      </c>
      <c r="C9689" s="222" t="s">
        <v>2503</v>
      </c>
      <c r="D9689" s="805" t="s">
        <v>372</v>
      </c>
      <c r="E9689" s="247">
        <v>25000</v>
      </c>
      <c r="F9689" s="247"/>
      <c r="G9689" s="249">
        <f t="shared" si="156"/>
        <v>-25000</v>
      </c>
      <c r="H9689" s="121" t="s">
        <v>6228</v>
      </c>
    </row>
    <row r="9690" spans="1:8" ht="15" x14ac:dyDescent="0.2">
      <c r="A9690" s="619">
        <v>44133</v>
      </c>
      <c r="B9690" s="222" t="s">
        <v>25</v>
      </c>
      <c r="C9690" s="222" t="s">
        <v>2503</v>
      </c>
      <c r="D9690" s="805" t="s">
        <v>6319</v>
      </c>
      <c r="E9690" s="247">
        <v>60000</v>
      </c>
      <c r="F9690" s="247"/>
      <c r="G9690" s="249">
        <f t="shared" si="156"/>
        <v>-60000</v>
      </c>
      <c r="H9690" s="121" t="s">
        <v>6228</v>
      </c>
    </row>
    <row r="9691" spans="1:8" ht="15" x14ac:dyDescent="0.2">
      <c r="A9691" s="619">
        <v>44133</v>
      </c>
      <c r="B9691" s="222" t="s">
        <v>16</v>
      </c>
      <c r="C9691" s="222" t="s">
        <v>2503</v>
      </c>
      <c r="D9691" s="805" t="s">
        <v>103</v>
      </c>
      <c r="E9691" s="247">
        <v>87822.580645161288</v>
      </c>
      <c r="F9691" s="247"/>
      <c r="G9691" s="249">
        <f t="shared" si="156"/>
        <v>-87822.580645161288</v>
      </c>
      <c r="H9691" s="121" t="s">
        <v>6228</v>
      </c>
    </row>
    <row r="9692" spans="1:8" ht="15" x14ac:dyDescent="0.2">
      <c r="A9692" s="619">
        <v>44133</v>
      </c>
      <c r="B9692" s="222" t="s">
        <v>3945</v>
      </c>
      <c r="C9692" s="222" t="s">
        <v>2503</v>
      </c>
      <c r="D9692" s="805" t="s">
        <v>6321</v>
      </c>
      <c r="E9692" s="247">
        <v>31750</v>
      </c>
      <c r="F9692" s="247"/>
      <c r="G9692" s="249">
        <f t="shared" si="156"/>
        <v>-31750</v>
      </c>
      <c r="H9692" s="121" t="s">
        <v>6228</v>
      </c>
    </row>
    <row r="9693" spans="1:8" ht="15" x14ac:dyDescent="0.2">
      <c r="A9693" s="619">
        <v>44133</v>
      </c>
      <c r="B9693" s="222" t="s">
        <v>3946</v>
      </c>
      <c r="C9693" s="222" t="s">
        <v>2503</v>
      </c>
      <c r="D9693" s="805" t="s">
        <v>6321</v>
      </c>
      <c r="E9693" s="247">
        <v>97959.677419354834</v>
      </c>
      <c r="F9693" s="247"/>
      <c r="G9693" s="249">
        <f t="shared" si="156"/>
        <v>-97959.677419354834</v>
      </c>
      <c r="H9693" s="121" t="s">
        <v>6228</v>
      </c>
    </row>
    <row r="9694" spans="1:8" ht="15" x14ac:dyDescent="0.2">
      <c r="A9694" s="619">
        <v>44133</v>
      </c>
      <c r="B9694" s="222" t="s">
        <v>1400</v>
      </c>
      <c r="C9694" s="222" t="s">
        <v>2503</v>
      </c>
      <c r="D9694" s="805" t="s">
        <v>6322</v>
      </c>
      <c r="E9694" s="247">
        <v>288039.31451612909</v>
      </c>
      <c r="F9694" s="247"/>
      <c r="G9694" s="249">
        <f t="shared" si="156"/>
        <v>-288039.31451612909</v>
      </c>
      <c r="H9694" s="121" t="s">
        <v>6228</v>
      </c>
    </row>
    <row r="9695" spans="1:8" ht="15" x14ac:dyDescent="0.2">
      <c r="A9695" s="619">
        <v>44133</v>
      </c>
      <c r="B9695" s="222" t="s">
        <v>6516</v>
      </c>
      <c r="C9695" s="222" t="s">
        <v>2503</v>
      </c>
      <c r="D9695" s="805" t="s">
        <v>6323</v>
      </c>
      <c r="E9695" s="247">
        <v>117032.25806451612</v>
      </c>
      <c r="F9695" s="247"/>
      <c r="G9695" s="249">
        <f t="shared" si="156"/>
        <v>-117032.25806451612</v>
      </c>
      <c r="H9695" s="121" t="s">
        <v>6228</v>
      </c>
    </row>
    <row r="9696" spans="1:8" ht="15" x14ac:dyDescent="0.2">
      <c r="A9696" s="619">
        <v>44133</v>
      </c>
      <c r="B9696" s="222" t="s">
        <v>37</v>
      </c>
      <c r="C9696" s="222" t="s">
        <v>2503</v>
      </c>
      <c r="D9696" s="805" t="s">
        <v>565</v>
      </c>
      <c r="E9696" s="247">
        <v>82338.709677419363</v>
      </c>
      <c r="F9696" s="247"/>
      <c r="G9696" s="249">
        <f t="shared" si="156"/>
        <v>-82338.709677419363</v>
      </c>
      <c r="H9696" s="121" t="s">
        <v>6228</v>
      </c>
    </row>
    <row r="9697" spans="1:8" ht="15" x14ac:dyDescent="0.2">
      <c r="A9697" s="619">
        <v>44133</v>
      </c>
      <c r="B9697" s="222" t="s">
        <v>2933</v>
      </c>
      <c r="C9697" s="222" t="s">
        <v>2503</v>
      </c>
      <c r="D9697" s="805" t="s">
        <v>6324</v>
      </c>
      <c r="E9697" s="247">
        <v>48903.225806451621</v>
      </c>
      <c r="F9697" s="247"/>
      <c r="G9697" s="249">
        <f t="shared" si="156"/>
        <v>-48903.225806451621</v>
      </c>
      <c r="H9697" s="121" t="s">
        <v>6228</v>
      </c>
    </row>
    <row r="9698" spans="1:8" ht="15" x14ac:dyDescent="0.2">
      <c r="A9698" s="619">
        <v>44133</v>
      </c>
      <c r="B9698" s="222" t="s">
        <v>2652</v>
      </c>
      <c r="C9698" s="222" t="s">
        <v>2503</v>
      </c>
      <c r="D9698" s="805" t="s">
        <v>6204</v>
      </c>
      <c r="E9698" s="247">
        <v>208266.12903225806</v>
      </c>
      <c r="F9698" s="247"/>
      <c r="G9698" s="249">
        <f t="shared" si="156"/>
        <v>-208266.12903225806</v>
      </c>
      <c r="H9698" s="121" t="s">
        <v>6228</v>
      </c>
    </row>
    <row r="9699" spans="1:8" ht="15" x14ac:dyDescent="0.2">
      <c r="A9699" s="619">
        <v>44133</v>
      </c>
      <c r="B9699" s="222" t="s">
        <v>5811</v>
      </c>
      <c r="C9699" s="222" t="s">
        <v>2503</v>
      </c>
      <c r="D9699" s="805" t="s">
        <v>6320</v>
      </c>
      <c r="E9699" s="247">
        <v>44960</v>
      </c>
      <c r="F9699" s="247"/>
      <c r="G9699" s="249">
        <f t="shared" si="156"/>
        <v>-44960</v>
      </c>
      <c r="H9699" s="121" t="s">
        <v>6228</v>
      </c>
    </row>
    <row r="9700" spans="1:8" ht="15" x14ac:dyDescent="0.2">
      <c r="A9700" s="619">
        <v>44135</v>
      </c>
      <c r="B9700" s="222" t="s">
        <v>2652</v>
      </c>
      <c r="C9700" s="222" t="s">
        <v>3145</v>
      </c>
      <c r="D9700" s="805" t="s">
        <v>6328</v>
      </c>
      <c r="E9700" s="247">
        <v>3750</v>
      </c>
      <c r="F9700" s="247"/>
      <c r="G9700" s="249">
        <f t="shared" si="156"/>
        <v>-3750</v>
      </c>
      <c r="H9700" s="121" t="s">
        <v>6228</v>
      </c>
    </row>
    <row r="9701" spans="1:8" ht="15" x14ac:dyDescent="0.2">
      <c r="A9701" s="619">
        <v>44135</v>
      </c>
      <c r="B9701" s="222" t="s">
        <v>2933</v>
      </c>
      <c r="C9701" s="222" t="s">
        <v>2190</v>
      </c>
      <c r="D9701" s="805"/>
      <c r="E9701" s="247">
        <v>5400</v>
      </c>
      <c r="F9701" s="247"/>
      <c r="G9701" s="249">
        <f t="shared" si="156"/>
        <v>-5400</v>
      </c>
      <c r="H9701" s="121" t="s">
        <v>6228</v>
      </c>
    </row>
    <row r="9702" spans="1:8" ht="15" x14ac:dyDescent="0.2">
      <c r="A9702" s="619">
        <v>44135</v>
      </c>
      <c r="B9702" s="222" t="s">
        <v>5641</v>
      </c>
      <c r="C9702" s="222" t="s">
        <v>5851</v>
      </c>
      <c r="D9702" s="805" t="s">
        <v>6329</v>
      </c>
      <c r="E9702" s="247">
        <v>16500</v>
      </c>
      <c r="F9702" s="247"/>
      <c r="G9702" s="249">
        <f t="shared" si="156"/>
        <v>-16500</v>
      </c>
      <c r="H9702" s="121" t="s">
        <v>6228</v>
      </c>
    </row>
    <row r="9703" spans="1:8" ht="15" x14ac:dyDescent="0.2">
      <c r="A9703" s="619">
        <v>44135</v>
      </c>
      <c r="B9703" s="222" t="s">
        <v>1400</v>
      </c>
      <c r="C9703" s="222" t="s">
        <v>4331</v>
      </c>
      <c r="D9703" s="805" t="s">
        <v>370</v>
      </c>
      <c r="E9703" s="247">
        <v>4000</v>
      </c>
      <c r="F9703" s="247"/>
      <c r="G9703" s="249">
        <f t="shared" si="156"/>
        <v>-4000</v>
      </c>
      <c r="H9703" s="121" t="s">
        <v>6228</v>
      </c>
    </row>
    <row r="9704" spans="1:8" ht="15" x14ac:dyDescent="0.2">
      <c r="A9704" s="619">
        <v>44135</v>
      </c>
      <c r="B9704" s="222" t="s">
        <v>16</v>
      </c>
      <c r="C9704" s="222" t="s">
        <v>392</v>
      </c>
      <c r="D9704" s="805" t="s">
        <v>6326</v>
      </c>
      <c r="E9704" s="247">
        <v>25605</v>
      </c>
      <c r="F9704" s="247"/>
      <c r="G9704" s="249">
        <f t="shared" si="156"/>
        <v>-25605</v>
      </c>
      <c r="H9704" s="121" t="s">
        <v>6228</v>
      </c>
    </row>
    <row r="9705" spans="1:8" ht="60" x14ac:dyDescent="0.2">
      <c r="A9705" s="602">
        <v>44105</v>
      </c>
      <c r="B9705" s="174" t="s">
        <v>1400</v>
      </c>
      <c r="C9705" s="174" t="s">
        <v>6238</v>
      </c>
      <c r="D9705" s="228" t="s">
        <v>9188</v>
      </c>
      <c r="E9705" s="236">
        <v>300000</v>
      </c>
      <c r="F9705" s="236"/>
      <c r="G9705" s="241">
        <f t="shared" ref="G9705:G9768" si="157">F9705-E9705</f>
        <v>-300000</v>
      </c>
      <c r="H9705" s="244" t="s">
        <v>6228</v>
      </c>
    </row>
    <row r="9706" spans="1:8" ht="60" x14ac:dyDescent="0.2">
      <c r="A9706" s="602">
        <v>44106</v>
      </c>
      <c r="B9706" s="174" t="s">
        <v>1400</v>
      </c>
      <c r="C9706" s="174" t="s">
        <v>6239</v>
      </c>
      <c r="D9706" s="228" t="s">
        <v>9189</v>
      </c>
      <c r="E9706" s="236">
        <v>200000</v>
      </c>
      <c r="F9706" s="236"/>
      <c r="G9706" s="241">
        <f t="shared" si="157"/>
        <v>-200000</v>
      </c>
      <c r="H9706" s="244" t="s">
        <v>6228</v>
      </c>
    </row>
    <row r="9707" spans="1:8" ht="24" x14ac:dyDescent="0.2">
      <c r="A9707" s="602">
        <v>44117</v>
      </c>
      <c r="B9707" s="174" t="s">
        <v>1400</v>
      </c>
      <c r="C9707" s="551" t="s">
        <v>1391</v>
      </c>
      <c r="D9707" s="740" t="s">
        <v>6260</v>
      </c>
      <c r="E9707" s="552">
        <v>21264</v>
      </c>
      <c r="F9707" s="236"/>
      <c r="G9707" s="241">
        <f t="shared" si="157"/>
        <v>-21264</v>
      </c>
      <c r="H9707" s="244" t="s">
        <v>6228</v>
      </c>
    </row>
    <row r="9708" spans="1:8" ht="24" x14ac:dyDescent="0.2">
      <c r="A9708" s="604">
        <v>44117</v>
      </c>
      <c r="B9708" s="174" t="s">
        <v>1400</v>
      </c>
      <c r="C9708" s="551" t="s">
        <v>1391</v>
      </c>
      <c r="D9708" s="740" t="s">
        <v>6260</v>
      </c>
      <c r="E9708" s="552">
        <v>78736</v>
      </c>
      <c r="F9708" s="236"/>
      <c r="G9708" s="259">
        <f t="shared" si="157"/>
        <v>-78736</v>
      </c>
      <c r="H9708" s="396" t="s">
        <v>6228</v>
      </c>
    </row>
    <row r="9709" spans="1:8" ht="24" x14ac:dyDescent="0.2">
      <c r="A9709" s="604">
        <v>44119</v>
      </c>
      <c r="B9709" s="174" t="s">
        <v>1400</v>
      </c>
      <c r="C9709" s="551" t="s">
        <v>166</v>
      </c>
      <c r="D9709" s="740" t="s">
        <v>6262</v>
      </c>
      <c r="E9709" s="552">
        <v>300000</v>
      </c>
      <c r="F9709" s="236"/>
      <c r="G9709" s="236">
        <f t="shared" si="157"/>
        <v>-300000</v>
      </c>
      <c r="H9709" s="396" t="s">
        <v>6228</v>
      </c>
    </row>
    <row r="9710" spans="1:8" ht="24" x14ac:dyDescent="0.2">
      <c r="A9710" s="604">
        <v>44119</v>
      </c>
      <c r="B9710" s="174" t="s">
        <v>2933</v>
      </c>
      <c r="C9710" s="551" t="s">
        <v>705</v>
      </c>
      <c r="D9710" s="740" t="s">
        <v>6262</v>
      </c>
      <c r="E9710" s="552">
        <v>4688</v>
      </c>
      <c r="F9710" s="236"/>
      <c r="G9710" s="236">
        <f t="shared" si="157"/>
        <v>-4688</v>
      </c>
      <c r="H9710" s="396" t="s">
        <v>6228</v>
      </c>
    </row>
    <row r="9711" spans="1:8" ht="24" x14ac:dyDescent="0.2">
      <c r="A9711" s="604">
        <v>44119</v>
      </c>
      <c r="B9711" s="174" t="s">
        <v>1400</v>
      </c>
      <c r="C9711" s="551" t="s">
        <v>705</v>
      </c>
      <c r="D9711" s="740" t="s">
        <v>6262</v>
      </c>
      <c r="E9711" s="552">
        <v>8500</v>
      </c>
      <c r="F9711" s="236"/>
      <c r="G9711" s="236">
        <f t="shared" si="157"/>
        <v>-8500</v>
      </c>
      <c r="H9711" s="396" t="s">
        <v>6228</v>
      </c>
    </row>
    <row r="9712" spans="1:8" ht="24" x14ac:dyDescent="0.2">
      <c r="A9712" s="604">
        <v>44119</v>
      </c>
      <c r="B9712" s="174" t="s">
        <v>5227</v>
      </c>
      <c r="C9712" s="551" t="s">
        <v>705</v>
      </c>
      <c r="D9712" s="740" t="s">
        <v>6262</v>
      </c>
      <c r="E9712" s="552">
        <v>69388</v>
      </c>
      <c r="F9712" s="236"/>
      <c r="G9712" s="236">
        <f t="shared" si="157"/>
        <v>-69388</v>
      </c>
      <c r="H9712" s="396" t="s">
        <v>6228</v>
      </c>
    </row>
    <row r="9713" spans="1:8" ht="24" x14ac:dyDescent="0.2">
      <c r="A9713" s="604">
        <v>44119</v>
      </c>
      <c r="B9713" s="174" t="s">
        <v>5604</v>
      </c>
      <c r="C9713" s="551" t="s">
        <v>705</v>
      </c>
      <c r="D9713" s="740" t="s">
        <v>6262</v>
      </c>
      <c r="E9713" s="552">
        <v>4526</v>
      </c>
      <c r="F9713" s="236"/>
      <c r="G9713" s="236">
        <f t="shared" si="157"/>
        <v>-4526</v>
      </c>
      <c r="H9713" s="396" t="s">
        <v>6228</v>
      </c>
    </row>
    <row r="9714" spans="1:8" ht="24" customHeight="1" x14ac:dyDescent="0.2">
      <c r="A9714" s="604">
        <v>44119</v>
      </c>
      <c r="B9714" s="174" t="s">
        <v>5641</v>
      </c>
      <c r="C9714" s="551" t="s">
        <v>705</v>
      </c>
      <c r="D9714" s="740" t="s">
        <v>6262</v>
      </c>
      <c r="E9714" s="552">
        <v>5831</v>
      </c>
      <c r="F9714" s="236"/>
      <c r="G9714" s="236">
        <f t="shared" si="157"/>
        <v>-5831</v>
      </c>
      <c r="H9714" s="396" t="s">
        <v>6228</v>
      </c>
    </row>
    <row r="9715" spans="1:8" ht="24" customHeight="1" x14ac:dyDescent="0.2">
      <c r="A9715" s="604">
        <v>44119</v>
      </c>
      <c r="B9715" s="174" t="s">
        <v>5811</v>
      </c>
      <c r="C9715" s="551" t="s">
        <v>705</v>
      </c>
      <c r="D9715" s="740" t="s">
        <v>6262</v>
      </c>
      <c r="E9715" s="552">
        <v>32552</v>
      </c>
      <c r="F9715" s="236"/>
      <c r="G9715" s="236">
        <f t="shared" si="157"/>
        <v>-32552</v>
      </c>
      <c r="H9715" s="396" t="s">
        <v>6228</v>
      </c>
    </row>
    <row r="9716" spans="1:8" ht="24" customHeight="1" x14ac:dyDescent="0.2">
      <c r="A9716" s="604">
        <v>44119</v>
      </c>
      <c r="B9716" s="174" t="s">
        <v>2652</v>
      </c>
      <c r="C9716" s="551" t="s">
        <v>705</v>
      </c>
      <c r="D9716" s="740" t="s">
        <v>6262</v>
      </c>
      <c r="E9716" s="552">
        <v>24515</v>
      </c>
      <c r="F9716" s="236"/>
      <c r="G9716" s="236">
        <f t="shared" si="157"/>
        <v>-24515</v>
      </c>
      <c r="H9716" s="396" t="s">
        <v>6228</v>
      </c>
    </row>
    <row r="9717" spans="1:8" ht="24" customHeight="1" x14ac:dyDescent="0.2">
      <c r="A9717" s="604">
        <v>44119</v>
      </c>
      <c r="B9717" s="174" t="s">
        <v>4721</v>
      </c>
      <c r="C9717" s="174" t="s">
        <v>1815</v>
      </c>
      <c r="D9717" s="228" t="s">
        <v>6262</v>
      </c>
      <c r="E9717" s="236">
        <v>150000</v>
      </c>
      <c r="F9717" s="236"/>
      <c r="G9717" s="229">
        <f t="shared" si="157"/>
        <v>-150000</v>
      </c>
      <c r="H9717" s="396" t="s">
        <v>6228</v>
      </c>
    </row>
    <row r="9718" spans="1:8" ht="24" customHeight="1" x14ac:dyDescent="0.2">
      <c r="A9718" s="602">
        <v>44123</v>
      </c>
      <c r="B9718" s="174" t="s">
        <v>1400</v>
      </c>
      <c r="C9718" s="551" t="s">
        <v>2310</v>
      </c>
      <c r="D9718" s="740" t="s">
        <v>6278</v>
      </c>
      <c r="E9718" s="552">
        <v>121580</v>
      </c>
      <c r="F9718" s="236"/>
      <c r="G9718" s="236">
        <f t="shared" si="157"/>
        <v>-121580</v>
      </c>
      <c r="H9718" s="396" t="s">
        <v>6228</v>
      </c>
    </row>
    <row r="9719" spans="1:8" ht="24" customHeight="1" x14ac:dyDescent="0.2">
      <c r="A9719" s="602">
        <v>44123</v>
      </c>
      <c r="B9719" s="174" t="s">
        <v>2652</v>
      </c>
      <c r="C9719" s="551" t="s">
        <v>2310</v>
      </c>
      <c r="D9719" s="740" t="s">
        <v>6278</v>
      </c>
      <c r="E9719" s="552">
        <v>22095</v>
      </c>
      <c r="F9719" s="236"/>
      <c r="G9719" s="236">
        <f t="shared" si="157"/>
        <v>-22095</v>
      </c>
      <c r="H9719" s="396" t="s">
        <v>6228</v>
      </c>
    </row>
    <row r="9720" spans="1:8" ht="15" customHeight="1" x14ac:dyDescent="0.2">
      <c r="A9720" s="604">
        <v>44123</v>
      </c>
      <c r="B9720" s="174" t="s">
        <v>1400</v>
      </c>
      <c r="C9720" s="551" t="s">
        <v>2310</v>
      </c>
      <c r="D9720" s="740" t="s">
        <v>6279</v>
      </c>
      <c r="E9720" s="552">
        <v>25690</v>
      </c>
      <c r="F9720" s="236"/>
      <c r="G9720" s="229">
        <f t="shared" si="157"/>
        <v>-25690</v>
      </c>
      <c r="H9720" s="396" t="s">
        <v>6228</v>
      </c>
    </row>
    <row r="9721" spans="1:8" ht="24" customHeight="1" x14ac:dyDescent="0.2">
      <c r="A9721" s="602">
        <v>44127</v>
      </c>
      <c r="B9721" s="240" t="s">
        <v>1400</v>
      </c>
      <c r="C9721" s="240" t="s">
        <v>6238</v>
      </c>
      <c r="D9721" s="837" t="s">
        <v>6280</v>
      </c>
      <c r="E9721" s="241">
        <v>250000</v>
      </c>
      <c r="F9721" s="241"/>
      <c r="G9721" s="236">
        <f t="shared" si="157"/>
        <v>-250000</v>
      </c>
      <c r="H9721" s="244" t="s">
        <v>6228</v>
      </c>
    </row>
    <row r="9722" spans="1:8" ht="48" x14ac:dyDescent="0.2">
      <c r="A9722" s="602">
        <v>44127</v>
      </c>
      <c r="B9722" s="240" t="s">
        <v>1400</v>
      </c>
      <c r="C9722" s="240" t="s">
        <v>2515</v>
      </c>
      <c r="D9722" s="837" t="s">
        <v>6309</v>
      </c>
      <c r="E9722" s="241">
        <v>100000</v>
      </c>
      <c r="F9722" s="241"/>
      <c r="G9722" s="241">
        <f t="shared" si="157"/>
        <v>-100000</v>
      </c>
      <c r="H9722" s="244" t="s">
        <v>6228</v>
      </c>
    </row>
    <row r="9723" spans="1:8" ht="15" x14ac:dyDescent="0.2">
      <c r="A9723" s="602">
        <v>44132</v>
      </c>
      <c r="B9723" s="240" t="s">
        <v>1400</v>
      </c>
      <c r="C9723" s="240" t="s">
        <v>6239</v>
      </c>
      <c r="D9723" s="837" t="s">
        <v>6295</v>
      </c>
      <c r="E9723" s="241">
        <v>380000</v>
      </c>
      <c r="F9723" s="241"/>
      <c r="G9723" s="241">
        <f t="shared" si="157"/>
        <v>-380000</v>
      </c>
      <c r="H9723" s="244" t="s">
        <v>6228</v>
      </c>
    </row>
    <row r="9724" spans="1:8" ht="15" x14ac:dyDescent="0.2">
      <c r="A9724" s="602">
        <v>44133</v>
      </c>
      <c r="B9724" s="240" t="s">
        <v>5811</v>
      </c>
      <c r="C9724" s="240" t="s">
        <v>1355</v>
      </c>
      <c r="D9724" s="837" t="s">
        <v>6296</v>
      </c>
      <c r="E9724" s="241">
        <v>100000</v>
      </c>
      <c r="F9724" s="241"/>
      <c r="G9724" s="241">
        <f t="shared" si="157"/>
        <v>-100000</v>
      </c>
      <c r="H9724" s="244" t="s">
        <v>6228</v>
      </c>
    </row>
    <row r="9725" spans="1:8" ht="15" x14ac:dyDescent="0.2">
      <c r="A9725" s="602">
        <v>44133</v>
      </c>
      <c r="B9725" s="240" t="s">
        <v>1400</v>
      </c>
      <c r="C9725" s="240" t="s">
        <v>4684</v>
      </c>
      <c r="D9725" s="837" t="s">
        <v>6296</v>
      </c>
      <c r="E9725" s="241">
        <v>100000</v>
      </c>
      <c r="F9725" s="241"/>
      <c r="G9725" s="241">
        <f t="shared" si="157"/>
        <v>-100000</v>
      </c>
      <c r="H9725" s="244" t="s">
        <v>6228</v>
      </c>
    </row>
    <row r="9726" spans="1:8" ht="24" x14ac:dyDescent="0.2">
      <c r="A9726" s="599">
        <v>44116</v>
      </c>
      <c r="B9726" s="91" t="s">
        <v>4721</v>
      </c>
      <c r="C9726" s="91" t="s">
        <v>559</v>
      </c>
      <c r="D9726" s="798" t="s">
        <v>9190</v>
      </c>
      <c r="E9726" s="92"/>
      <c r="F9726" s="92">
        <v>400000</v>
      </c>
      <c r="G9726" s="92">
        <f t="shared" si="157"/>
        <v>400000</v>
      </c>
      <c r="H9726" s="261" t="s">
        <v>6228</v>
      </c>
    </row>
    <row r="9727" spans="1:8" ht="24" x14ac:dyDescent="0.2">
      <c r="A9727" s="599">
        <v>44116</v>
      </c>
      <c r="B9727" s="91" t="s">
        <v>4721</v>
      </c>
      <c r="C9727" s="91" t="s">
        <v>559</v>
      </c>
      <c r="D9727" s="798" t="s">
        <v>9191</v>
      </c>
      <c r="E9727" s="92"/>
      <c r="F9727" s="92">
        <v>400000</v>
      </c>
      <c r="G9727" s="92">
        <f t="shared" si="157"/>
        <v>400000</v>
      </c>
      <c r="H9727" s="261" t="s">
        <v>6228</v>
      </c>
    </row>
    <row r="9728" spans="1:8" ht="15" x14ac:dyDescent="0.2">
      <c r="A9728" s="599">
        <v>44116</v>
      </c>
      <c r="B9728" s="91" t="s">
        <v>4721</v>
      </c>
      <c r="C9728" s="91" t="s">
        <v>559</v>
      </c>
      <c r="D9728" s="801" t="s">
        <v>9192</v>
      </c>
      <c r="E9728" s="92"/>
      <c r="F9728" s="92">
        <v>100000</v>
      </c>
      <c r="G9728" s="92">
        <f t="shared" si="157"/>
        <v>100000</v>
      </c>
      <c r="H9728" s="261" t="s">
        <v>6228</v>
      </c>
    </row>
    <row r="9729" spans="1:8" ht="24" x14ac:dyDescent="0.2">
      <c r="A9729" s="599">
        <v>44118</v>
      </c>
      <c r="B9729" s="91" t="s">
        <v>1400</v>
      </c>
      <c r="C9729" s="91" t="s">
        <v>559</v>
      </c>
      <c r="D9729" s="798" t="s">
        <v>9193</v>
      </c>
      <c r="E9729" s="92"/>
      <c r="F9729" s="92">
        <v>1000058</v>
      </c>
      <c r="G9729" s="92">
        <f t="shared" si="157"/>
        <v>1000058</v>
      </c>
      <c r="H9729" s="261" t="s">
        <v>6228</v>
      </c>
    </row>
    <row r="9730" spans="1:8" ht="24" x14ac:dyDescent="0.2">
      <c r="A9730" s="599">
        <v>44118</v>
      </c>
      <c r="B9730" s="91" t="s">
        <v>1400</v>
      </c>
      <c r="C9730" s="91" t="s">
        <v>559</v>
      </c>
      <c r="D9730" s="798" t="s">
        <v>9193</v>
      </c>
      <c r="E9730" s="92"/>
      <c r="F9730" s="92">
        <v>1000036</v>
      </c>
      <c r="G9730" s="92">
        <f t="shared" si="157"/>
        <v>1000036</v>
      </c>
      <c r="H9730" s="261" t="s">
        <v>6228</v>
      </c>
    </row>
    <row r="9731" spans="1:8" ht="24" x14ac:dyDescent="0.2">
      <c r="A9731" s="599">
        <v>44118</v>
      </c>
      <c r="B9731" s="91" t="s">
        <v>1400</v>
      </c>
      <c r="C9731" s="91" t="s">
        <v>559</v>
      </c>
      <c r="D9731" s="798" t="s">
        <v>9194</v>
      </c>
      <c r="E9731" s="92"/>
      <c r="F9731" s="92">
        <v>300000</v>
      </c>
      <c r="G9731" s="92">
        <f t="shared" si="157"/>
        <v>300000</v>
      </c>
      <c r="H9731" s="261" t="s">
        <v>6228</v>
      </c>
    </row>
    <row r="9732" spans="1:8" ht="24" x14ac:dyDescent="0.2">
      <c r="A9732" s="599">
        <v>44118</v>
      </c>
      <c r="B9732" s="91" t="s">
        <v>1400</v>
      </c>
      <c r="C9732" s="91" t="s">
        <v>559</v>
      </c>
      <c r="D9732" s="798" t="s">
        <v>9195</v>
      </c>
      <c r="E9732" s="92"/>
      <c r="F9732" s="92">
        <v>150000</v>
      </c>
      <c r="G9732" s="92">
        <f t="shared" si="157"/>
        <v>150000</v>
      </c>
      <c r="H9732" s="261" t="s">
        <v>6228</v>
      </c>
    </row>
    <row r="9733" spans="1:8" ht="15" x14ac:dyDescent="0.2">
      <c r="A9733" s="599">
        <v>44118</v>
      </c>
      <c r="B9733" s="91" t="s">
        <v>1400</v>
      </c>
      <c r="C9733" s="91" t="s">
        <v>559</v>
      </c>
      <c r="D9733" s="798" t="s">
        <v>9196</v>
      </c>
      <c r="E9733" s="92"/>
      <c r="F9733" s="92">
        <v>150000</v>
      </c>
      <c r="G9733" s="92">
        <f t="shared" si="157"/>
        <v>150000</v>
      </c>
      <c r="H9733" s="261" t="s">
        <v>6228</v>
      </c>
    </row>
    <row r="9734" spans="1:8" ht="24" x14ac:dyDescent="0.2">
      <c r="A9734" s="599">
        <v>44130</v>
      </c>
      <c r="B9734" s="91" t="s">
        <v>11</v>
      </c>
      <c r="C9734" s="91" t="s">
        <v>559</v>
      </c>
      <c r="D9734" s="798" t="s">
        <v>6308</v>
      </c>
      <c r="E9734" s="92"/>
      <c r="F9734" s="92">
        <v>350000</v>
      </c>
      <c r="G9734" s="92">
        <f t="shared" si="157"/>
        <v>350000</v>
      </c>
      <c r="H9734" s="261" t="s">
        <v>6228</v>
      </c>
    </row>
    <row r="9735" spans="1:8" ht="15" x14ac:dyDescent="0.2">
      <c r="A9735" s="599">
        <v>44130</v>
      </c>
      <c r="B9735" s="91" t="s">
        <v>3946</v>
      </c>
      <c r="C9735" s="91" t="s">
        <v>559</v>
      </c>
      <c r="D9735" s="801" t="s">
        <v>6282</v>
      </c>
      <c r="E9735" s="92"/>
      <c r="F9735" s="92">
        <v>155164</v>
      </c>
      <c r="G9735" s="92">
        <f t="shared" si="157"/>
        <v>155164</v>
      </c>
      <c r="H9735" s="261" t="s">
        <v>6228</v>
      </c>
    </row>
    <row r="9736" spans="1:8" ht="15" x14ac:dyDescent="0.2">
      <c r="A9736" s="619">
        <v>44137</v>
      </c>
      <c r="B9736" s="222" t="s">
        <v>16</v>
      </c>
      <c r="C9736" s="222" t="s">
        <v>5341</v>
      </c>
      <c r="D9736" s="805" t="s">
        <v>6330</v>
      </c>
      <c r="E9736" s="247">
        <v>20000</v>
      </c>
      <c r="F9736" s="247"/>
      <c r="G9736" s="249">
        <f t="shared" si="157"/>
        <v>-20000</v>
      </c>
      <c r="H9736" s="121" t="s">
        <v>6318</v>
      </c>
    </row>
    <row r="9737" spans="1:8" ht="15" x14ac:dyDescent="0.2">
      <c r="A9737" s="619">
        <v>44137</v>
      </c>
      <c r="B9737" s="222" t="s">
        <v>1400</v>
      </c>
      <c r="C9737" s="577" t="s">
        <v>3145</v>
      </c>
      <c r="D9737" s="887" t="s">
        <v>6419</v>
      </c>
      <c r="E9737" s="578">
        <v>135172</v>
      </c>
      <c r="F9737" s="247"/>
      <c r="G9737" s="249">
        <f t="shared" si="157"/>
        <v>-135172</v>
      </c>
      <c r="H9737" s="121" t="s">
        <v>6318</v>
      </c>
    </row>
    <row r="9738" spans="1:8" ht="15" x14ac:dyDescent="0.2">
      <c r="A9738" s="619">
        <v>44137</v>
      </c>
      <c r="B9738" s="222" t="s">
        <v>25</v>
      </c>
      <c r="C9738" s="577" t="s">
        <v>3145</v>
      </c>
      <c r="D9738" s="887" t="s">
        <v>6331</v>
      </c>
      <c r="E9738" s="578">
        <v>6100</v>
      </c>
      <c r="F9738" s="247"/>
      <c r="G9738" s="249">
        <f t="shared" si="157"/>
        <v>-6100</v>
      </c>
      <c r="H9738" s="121" t="s">
        <v>6318</v>
      </c>
    </row>
    <row r="9739" spans="1:8" ht="15" x14ac:dyDescent="0.2">
      <c r="A9739" s="619">
        <v>44138</v>
      </c>
      <c r="B9739" s="222" t="s">
        <v>5641</v>
      </c>
      <c r="C9739" s="222" t="s">
        <v>3145</v>
      </c>
      <c r="D9739" s="805" t="s">
        <v>4291</v>
      </c>
      <c r="E9739" s="247">
        <v>8500</v>
      </c>
      <c r="F9739" s="247"/>
      <c r="G9739" s="249">
        <f t="shared" si="157"/>
        <v>-8500</v>
      </c>
      <c r="H9739" s="121" t="s">
        <v>6318</v>
      </c>
    </row>
    <row r="9740" spans="1:8" ht="15" x14ac:dyDescent="0.2">
      <c r="A9740" s="619">
        <v>44138</v>
      </c>
      <c r="B9740" s="222" t="s">
        <v>2652</v>
      </c>
      <c r="C9740" s="222" t="s">
        <v>251</v>
      </c>
      <c r="D9740" s="805" t="s">
        <v>6332</v>
      </c>
      <c r="E9740" s="247">
        <v>20000</v>
      </c>
      <c r="F9740" s="247"/>
      <c r="G9740" s="249">
        <f t="shared" si="157"/>
        <v>-20000</v>
      </c>
      <c r="H9740" s="121" t="s">
        <v>6318</v>
      </c>
    </row>
    <row r="9741" spans="1:8" ht="15" x14ac:dyDescent="0.2">
      <c r="A9741" s="619">
        <v>44139</v>
      </c>
      <c r="B9741" s="222" t="s">
        <v>1400</v>
      </c>
      <c r="C9741" s="222" t="s">
        <v>392</v>
      </c>
      <c r="D9741" s="805" t="s">
        <v>6333</v>
      </c>
      <c r="E9741" s="247">
        <v>1000</v>
      </c>
      <c r="F9741" s="247"/>
      <c r="G9741" s="249">
        <f t="shared" si="157"/>
        <v>-1000</v>
      </c>
      <c r="H9741" s="121" t="s">
        <v>6318</v>
      </c>
    </row>
    <row r="9742" spans="1:8" ht="15" x14ac:dyDescent="0.2">
      <c r="A9742" s="619">
        <v>44139</v>
      </c>
      <c r="B9742" s="222" t="s">
        <v>5641</v>
      </c>
      <c r="C9742" s="577" t="s">
        <v>3145</v>
      </c>
      <c r="D9742" s="887" t="s">
        <v>4291</v>
      </c>
      <c r="E9742" s="578">
        <v>4000</v>
      </c>
      <c r="F9742" s="247"/>
      <c r="G9742" s="249">
        <f t="shared" si="157"/>
        <v>-4000</v>
      </c>
      <c r="H9742" s="121" t="s">
        <v>6318</v>
      </c>
    </row>
    <row r="9743" spans="1:8" ht="15" x14ac:dyDescent="0.2">
      <c r="A9743" s="619">
        <v>44139</v>
      </c>
      <c r="B9743" s="222" t="s">
        <v>2652</v>
      </c>
      <c r="C9743" s="577" t="s">
        <v>3145</v>
      </c>
      <c r="D9743" s="887" t="s">
        <v>4291</v>
      </c>
      <c r="E9743" s="578">
        <v>5100</v>
      </c>
      <c r="F9743" s="247"/>
      <c r="G9743" s="249">
        <f t="shared" si="157"/>
        <v>-5100</v>
      </c>
      <c r="H9743" s="121" t="s">
        <v>6318</v>
      </c>
    </row>
    <row r="9744" spans="1:8" ht="15" x14ac:dyDescent="0.2">
      <c r="A9744" s="619">
        <v>44142</v>
      </c>
      <c r="B9744" s="222" t="s">
        <v>5811</v>
      </c>
      <c r="C9744" s="222" t="s">
        <v>3145</v>
      </c>
      <c r="D9744" s="805" t="s">
        <v>6334</v>
      </c>
      <c r="E9744" s="247">
        <v>8220</v>
      </c>
      <c r="F9744" s="247"/>
      <c r="G9744" s="249">
        <f t="shared" si="157"/>
        <v>-8220</v>
      </c>
      <c r="H9744" s="121" t="s">
        <v>6318</v>
      </c>
    </row>
    <row r="9745" spans="1:8" ht="15" x14ac:dyDescent="0.2">
      <c r="A9745" s="619">
        <v>44142</v>
      </c>
      <c r="B9745" s="222" t="s">
        <v>2652</v>
      </c>
      <c r="C9745" s="222" t="s">
        <v>392</v>
      </c>
      <c r="D9745" s="805" t="s">
        <v>6335</v>
      </c>
      <c r="E9745" s="247">
        <v>680</v>
      </c>
      <c r="F9745" s="247"/>
      <c r="G9745" s="249">
        <f t="shared" si="157"/>
        <v>-680</v>
      </c>
      <c r="H9745" s="121" t="s">
        <v>6318</v>
      </c>
    </row>
    <row r="9746" spans="1:8" ht="15" x14ac:dyDescent="0.2">
      <c r="A9746" s="619">
        <v>44142</v>
      </c>
      <c r="B9746" s="222" t="s">
        <v>1400</v>
      </c>
      <c r="C9746" s="222" t="s">
        <v>392</v>
      </c>
      <c r="D9746" s="805" t="s">
        <v>6336</v>
      </c>
      <c r="E9746" s="247">
        <v>3000</v>
      </c>
      <c r="F9746" s="247"/>
      <c r="G9746" s="249">
        <f t="shared" si="157"/>
        <v>-3000</v>
      </c>
      <c r="H9746" s="121" t="s">
        <v>6318</v>
      </c>
    </row>
    <row r="9747" spans="1:8" ht="15" x14ac:dyDescent="0.2">
      <c r="A9747" s="619">
        <v>44142</v>
      </c>
      <c r="B9747" s="222" t="s">
        <v>1400</v>
      </c>
      <c r="C9747" s="222" t="s">
        <v>6312</v>
      </c>
      <c r="D9747" s="805" t="s">
        <v>6410</v>
      </c>
      <c r="E9747" s="247">
        <v>10000</v>
      </c>
      <c r="F9747" s="247"/>
      <c r="G9747" s="249">
        <f t="shared" si="157"/>
        <v>-10000</v>
      </c>
      <c r="H9747" s="121" t="s">
        <v>6318</v>
      </c>
    </row>
    <row r="9748" spans="1:8" ht="15" x14ac:dyDescent="0.2">
      <c r="A9748" s="619">
        <v>44144</v>
      </c>
      <c r="B9748" s="222" t="s">
        <v>3946</v>
      </c>
      <c r="C9748" s="577" t="s">
        <v>3003</v>
      </c>
      <c r="D9748" s="887" t="s">
        <v>370</v>
      </c>
      <c r="E9748" s="578">
        <v>15080</v>
      </c>
      <c r="F9748" s="247"/>
      <c r="G9748" s="249">
        <f t="shared" si="157"/>
        <v>-15080</v>
      </c>
      <c r="H9748" s="121" t="s">
        <v>6318</v>
      </c>
    </row>
    <row r="9749" spans="1:8" ht="15" x14ac:dyDescent="0.2">
      <c r="A9749" s="619">
        <v>44144</v>
      </c>
      <c r="B9749" s="222" t="s">
        <v>3945</v>
      </c>
      <c r="C9749" s="577" t="s">
        <v>3003</v>
      </c>
      <c r="D9749" s="887" t="s">
        <v>370</v>
      </c>
      <c r="E9749" s="578">
        <v>5200</v>
      </c>
      <c r="F9749" s="247"/>
      <c r="G9749" s="249">
        <f t="shared" si="157"/>
        <v>-5200</v>
      </c>
      <c r="H9749" s="121" t="s">
        <v>6318</v>
      </c>
    </row>
    <row r="9750" spans="1:8" ht="15" x14ac:dyDescent="0.2">
      <c r="A9750" s="619">
        <v>44144</v>
      </c>
      <c r="B9750" s="222" t="s">
        <v>1691</v>
      </c>
      <c r="C9750" s="222" t="s">
        <v>1689</v>
      </c>
      <c r="D9750" s="805" t="s">
        <v>6337</v>
      </c>
      <c r="E9750" s="247">
        <v>526</v>
      </c>
      <c r="F9750" s="247"/>
      <c r="G9750" s="249">
        <f t="shared" si="157"/>
        <v>-526</v>
      </c>
      <c r="H9750" s="121" t="s">
        <v>6318</v>
      </c>
    </row>
    <row r="9751" spans="1:8" ht="15" x14ac:dyDescent="0.2">
      <c r="A9751" s="619">
        <v>44144</v>
      </c>
      <c r="B9751" s="222" t="s">
        <v>16</v>
      </c>
      <c r="C9751" s="222" t="s">
        <v>3364</v>
      </c>
      <c r="D9751" s="805"/>
      <c r="E9751" s="247">
        <v>4370</v>
      </c>
      <c r="F9751" s="247"/>
      <c r="G9751" s="249">
        <f t="shared" si="157"/>
        <v>-4370</v>
      </c>
      <c r="H9751" s="121" t="s">
        <v>6318</v>
      </c>
    </row>
    <row r="9752" spans="1:8" ht="15" x14ac:dyDescent="0.2">
      <c r="A9752" s="619">
        <v>44144</v>
      </c>
      <c r="B9752" s="222" t="s">
        <v>6516</v>
      </c>
      <c r="C9752" s="222" t="s">
        <v>392</v>
      </c>
      <c r="D9752" s="805" t="s">
        <v>6338</v>
      </c>
      <c r="E9752" s="247">
        <v>2000</v>
      </c>
      <c r="F9752" s="247"/>
      <c r="G9752" s="249">
        <f t="shared" si="157"/>
        <v>-2000</v>
      </c>
      <c r="H9752" s="121" t="s">
        <v>6318</v>
      </c>
    </row>
    <row r="9753" spans="1:8" ht="15" x14ac:dyDescent="0.2">
      <c r="A9753" s="619">
        <v>44148</v>
      </c>
      <c r="B9753" s="222" t="s">
        <v>2652</v>
      </c>
      <c r="C9753" s="222" t="s">
        <v>251</v>
      </c>
      <c r="D9753" s="805" t="s">
        <v>6339</v>
      </c>
      <c r="E9753" s="247">
        <v>3000</v>
      </c>
      <c r="F9753" s="247"/>
      <c r="G9753" s="249">
        <f t="shared" si="157"/>
        <v>-3000</v>
      </c>
      <c r="H9753" s="121" t="s">
        <v>6318</v>
      </c>
    </row>
    <row r="9754" spans="1:8" ht="15" x14ac:dyDescent="0.2">
      <c r="A9754" s="619">
        <v>44151</v>
      </c>
      <c r="B9754" s="222" t="s">
        <v>1400</v>
      </c>
      <c r="C9754" s="222" t="s">
        <v>6340</v>
      </c>
      <c r="D9754" s="805" t="s">
        <v>6341</v>
      </c>
      <c r="E9754" s="247">
        <v>50000</v>
      </c>
      <c r="F9754" s="247"/>
      <c r="G9754" s="249">
        <f t="shared" si="157"/>
        <v>-50000</v>
      </c>
      <c r="H9754" s="121" t="s">
        <v>6318</v>
      </c>
    </row>
    <row r="9755" spans="1:8" ht="15" x14ac:dyDescent="0.2">
      <c r="A9755" s="619">
        <v>44151</v>
      </c>
      <c r="B9755" s="222" t="s">
        <v>25</v>
      </c>
      <c r="C9755" s="222" t="s">
        <v>2428</v>
      </c>
      <c r="D9755" s="805" t="s">
        <v>3056</v>
      </c>
      <c r="E9755" s="247">
        <v>34279</v>
      </c>
      <c r="F9755" s="247"/>
      <c r="G9755" s="249">
        <f t="shared" si="157"/>
        <v>-34279</v>
      </c>
      <c r="H9755" s="121" t="s">
        <v>6318</v>
      </c>
    </row>
    <row r="9756" spans="1:8" ht="15" x14ac:dyDescent="0.2">
      <c r="A9756" s="619">
        <v>44151</v>
      </c>
      <c r="B9756" s="222" t="s">
        <v>16</v>
      </c>
      <c r="C9756" s="222" t="s">
        <v>392</v>
      </c>
      <c r="D9756" s="805" t="s">
        <v>2996</v>
      </c>
      <c r="E9756" s="247">
        <v>3000</v>
      </c>
      <c r="F9756" s="247"/>
      <c r="G9756" s="249">
        <f t="shared" si="157"/>
        <v>-3000</v>
      </c>
      <c r="H9756" s="121" t="s">
        <v>6318</v>
      </c>
    </row>
    <row r="9757" spans="1:8" ht="15" x14ac:dyDescent="0.2">
      <c r="A9757" s="619">
        <v>44151</v>
      </c>
      <c r="B9757" s="222" t="s">
        <v>25</v>
      </c>
      <c r="C9757" s="222" t="s">
        <v>2428</v>
      </c>
      <c r="D9757" s="805" t="s">
        <v>3056</v>
      </c>
      <c r="E9757" s="247">
        <v>25664</v>
      </c>
      <c r="F9757" s="247"/>
      <c r="G9757" s="249">
        <f t="shared" si="157"/>
        <v>-25664</v>
      </c>
      <c r="H9757" s="121" t="s">
        <v>6318</v>
      </c>
    </row>
    <row r="9758" spans="1:8" ht="15" x14ac:dyDescent="0.2">
      <c r="A9758" s="619">
        <v>44152</v>
      </c>
      <c r="B9758" s="222" t="s">
        <v>2933</v>
      </c>
      <c r="C9758" s="222" t="s">
        <v>1495</v>
      </c>
      <c r="D9758" s="805"/>
      <c r="E9758" s="247">
        <v>1120</v>
      </c>
      <c r="F9758" s="247"/>
      <c r="G9758" s="249">
        <f t="shared" si="157"/>
        <v>-1120</v>
      </c>
      <c r="H9758" s="121" t="s">
        <v>6318</v>
      </c>
    </row>
    <row r="9759" spans="1:8" ht="15" x14ac:dyDescent="0.2">
      <c r="A9759" s="619">
        <v>44152</v>
      </c>
      <c r="B9759" s="222" t="s">
        <v>2652</v>
      </c>
      <c r="C9759" s="222" t="s">
        <v>392</v>
      </c>
      <c r="D9759" s="805" t="s">
        <v>6342</v>
      </c>
      <c r="E9759" s="247">
        <v>1200</v>
      </c>
      <c r="F9759" s="247"/>
      <c r="G9759" s="249">
        <f t="shared" si="157"/>
        <v>-1200</v>
      </c>
      <c r="H9759" s="121" t="s">
        <v>6318</v>
      </c>
    </row>
    <row r="9760" spans="1:8" ht="24" x14ac:dyDescent="0.2">
      <c r="A9760" s="619">
        <v>44152</v>
      </c>
      <c r="B9760" s="222" t="s">
        <v>1400</v>
      </c>
      <c r="C9760" s="222" t="s">
        <v>392</v>
      </c>
      <c r="D9760" s="805" t="s">
        <v>6370</v>
      </c>
      <c r="E9760" s="247">
        <v>30000</v>
      </c>
      <c r="F9760" s="247"/>
      <c r="G9760" s="249">
        <f t="shared" si="157"/>
        <v>-30000</v>
      </c>
      <c r="H9760" s="121" t="s">
        <v>6318</v>
      </c>
    </row>
    <row r="9761" spans="1:8" ht="15" x14ac:dyDescent="0.2">
      <c r="A9761" s="619">
        <v>44153</v>
      </c>
      <c r="B9761" s="222" t="s">
        <v>16</v>
      </c>
      <c r="C9761" s="577" t="s">
        <v>1689</v>
      </c>
      <c r="D9761" s="887" t="s">
        <v>6343</v>
      </c>
      <c r="E9761" s="578">
        <v>2950</v>
      </c>
      <c r="F9761" s="247"/>
      <c r="G9761" s="249">
        <f t="shared" si="157"/>
        <v>-2950</v>
      </c>
      <c r="H9761" s="121" t="s">
        <v>6318</v>
      </c>
    </row>
    <row r="9762" spans="1:8" ht="15" x14ac:dyDescent="0.2">
      <c r="A9762" s="619">
        <v>44153</v>
      </c>
      <c r="B9762" s="222" t="s">
        <v>25</v>
      </c>
      <c r="C9762" s="577" t="s">
        <v>1689</v>
      </c>
      <c r="D9762" s="887" t="s">
        <v>6343</v>
      </c>
      <c r="E9762" s="578">
        <v>7470</v>
      </c>
      <c r="F9762" s="247"/>
      <c r="G9762" s="249">
        <f t="shared" si="157"/>
        <v>-7470</v>
      </c>
      <c r="H9762" s="121" t="s">
        <v>6318</v>
      </c>
    </row>
    <row r="9763" spans="1:8" ht="15" x14ac:dyDescent="0.2">
      <c r="A9763" s="619">
        <v>44153</v>
      </c>
      <c r="B9763" s="222" t="s">
        <v>1400</v>
      </c>
      <c r="C9763" s="222" t="s">
        <v>3145</v>
      </c>
      <c r="D9763" s="805" t="s">
        <v>6344</v>
      </c>
      <c r="E9763" s="247">
        <v>1450</v>
      </c>
      <c r="F9763" s="247"/>
      <c r="G9763" s="249">
        <f t="shared" si="157"/>
        <v>-1450</v>
      </c>
      <c r="H9763" s="121" t="s">
        <v>6318</v>
      </c>
    </row>
    <row r="9764" spans="1:8" ht="15" x14ac:dyDescent="0.2">
      <c r="A9764" s="619">
        <v>44153</v>
      </c>
      <c r="B9764" s="222" t="s">
        <v>4553</v>
      </c>
      <c r="C9764" s="222" t="s">
        <v>3145</v>
      </c>
      <c r="D9764" s="805" t="s">
        <v>6345</v>
      </c>
      <c r="E9764" s="247">
        <v>2830</v>
      </c>
      <c r="F9764" s="247"/>
      <c r="G9764" s="249">
        <f t="shared" si="157"/>
        <v>-2830</v>
      </c>
      <c r="H9764" s="121" t="s">
        <v>6318</v>
      </c>
    </row>
    <row r="9765" spans="1:8" ht="15" x14ac:dyDescent="0.2">
      <c r="A9765" s="619">
        <v>44153</v>
      </c>
      <c r="B9765" s="222" t="s">
        <v>2933</v>
      </c>
      <c r="C9765" s="222" t="s">
        <v>392</v>
      </c>
      <c r="D9765" s="805" t="s">
        <v>6346</v>
      </c>
      <c r="E9765" s="247">
        <v>3000</v>
      </c>
      <c r="F9765" s="247"/>
      <c r="G9765" s="249">
        <f t="shared" si="157"/>
        <v>-3000</v>
      </c>
      <c r="H9765" s="121" t="s">
        <v>6318</v>
      </c>
    </row>
    <row r="9766" spans="1:8" ht="15" x14ac:dyDescent="0.2">
      <c r="A9766" s="619">
        <v>44153</v>
      </c>
      <c r="B9766" s="222" t="s">
        <v>25</v>
      </c>
      <c r="C9766" s="222" t="s">
        <v>4065</v>
      </c>
      <c r="D9766" s="805" t="s">
        <v>2108</v>
      </c>
      <c r="E9766" s="247">
        <v>1500</v>
      </c>
      <c r="F9766" s="247"/>
      <c r="G9766" s="249">
        <f t="shared" si="157"/>
        <v>-1500</v>
      </c>
      <c r="H9766" s="121" t="s">
        <v>6318</v>
      </c>
    </row>
    <row r="9767" spans="1:8" ht="15" x14ac:dyDescent="0.2">
      <c r="A9767" s="619">
        <v>44153</v>
      </c>
      <c r="B9767" s="222" t="s">
        <v>6516</v>
      </c>
      <c r="C9767" s="222" t="s">
        <v>392</v>
      </c>
      <c r="D9767" s="805" t="s">
        <v>6347</v>
      </c>
      <c r="E9767" s="247">
        <v>4500</v>
      </c>
      <c r="F9767" s="247"/>
      <c r="G9767" s="249">
        <f t="shared" si="157"/>
        <v>-4500</v>
      </c>
      <c r="H9767" s="121" t="s">
        <v>6318</v>
      </c>
    </row>
    <row r="9768" spans="1:8" ht="15" x14ac:dyDescent="0.2">
      <c r="A9768" s="619">
        <v>44153</v>
      </c>
      <c r="B9768" s="222" t="s">
        <v>1400</v>
      </c>
      <c r="C9768" s="222" t="s">
        <v>5741</v>
      </c>
      <c r="D9768" s="805" t="s">
        <v>6348</v>
      </c>
      <c r="E9768" s="247">
        <v>3500</v>
      </c>
      <c r="F9768" s="247"/>
      <c r="G9768" s="249">
        <f t="shared" si="157"/>
        <v>-3500</v>
      </c>
      <c r="H9768" s="121" t="s">
        <v>6318</v>
      </c>
    </row>
    <row r="9769" spans="1:8" ht="15" x14ac:dyDescent="0.2">
      <c r="A9769" s="619">
        <v>44153</v>
      </c>
      <c r="B9769" s="222" t="s">
        <v>2933</v>
      </c>
      <c r="C9769" s="222" t="s">
        <v>6349</v>
      </c>
      <c r="D9769" s="805" t="s">
        <v>6353</v>
      </c>
      <c r="E9769" s="247">
        <v>15000</v>
      </c>
      <c r="F9769" s="247"/>
      <c r="G9769" s="249">
        <f t="shared" ref="G9769:G9832" si="158">F9769-E9769</f>
        <v>-15000</v>
      </c>
      <c r="H9769" s="121" t="s">
        <v>6318</v>
      </c>
    </row>
    <row r="9770" spans="1:8" ht="15" x14ac:dyDescent="0.2">
      <c r="A9770" s="619">
        <v>44153</v>
      </c>
      <c r="B9770" s="222" t="s">
        <v>11</v>
      </c>
      <c r="C9770" s="222" t="s">
        <v>6350</v>
      </c>
      <c r="D9770" s="805" t="s">
        <v>6351</v>
      </c>
      <c r="E9770" s="247">
        <v>20000</v>
      </c>
      <c r="F9770" s="247"/>
      <c r="G9770" s="249">
        <f t="shared" si="158"/>
        <v>-20000</v>
      </c>
      <c r="H9770" s="121" t="s">
        <v>6318</v>
      </c>
    </row>
    <row r="9771" spans="1:8" ht="15" customHeight="1" x14ac:dyDescent="0.2">
      <c r="A9771" s="619">
        <v>44153</v>
      </c>
      <c r="B9771" s="222" t="s">
        <v>1400</v>
      </c>
      <c r="C9771" s="222" t="s">
        <v>6141</v>
      </c>
      <c r="D9771" s="805" t="s">
        <v>6357</v>
      </c>
      <c r="E9771" s="247">
        <v>45000</v>
      </c>
      <c r="F9771" s="247"/>
      <c r="G9771" s="249">
        <f t="shared" si="158"/>
        <v>-45000</v>
      </c>
      <c r="H9771" s="121" t="s">
        <v>6318</v>
      </c>
    </row>
    <row r="9772" spans="1:8" ht="15" x14ac:dyDescent="0.2">
      <c r="A9772" s="619">
        <v>44154</v>
      </c>
      <c r="B9772" s="222" t="s">
        <v>1400</v>
      </c>
      <c r="C9772" s="222" t="s">
        <v>4908</v>
      </c>
      <c r="D9772" s="805" t="s">
        <v>6352</v>
      </c>
      <c r="E9772" s="247">
        <v>7000</v>
      </c>
      <c r="F9772" s="247"/>
      <c r="G9772" s="249">
        <f t="shared" si="158"/>
        <v>-7000</v>
      </c>
      <c r="H9772" s="121" t="s">
        <v>6318</v>
      </c>
    </row>
    <row r="9773" spans="1:8" ht="15" x14ac:dyDescent="0.2">
      <c r="A9773" s="619">
        <v>44154</v>
      </c>
      <c r="B9773" s="222" t="s">
        <v>1400</v>
      </c>
      <c r="C9773" s="222" t="s">
        <v>3145</v>
      </c>
      <c r="D9773" s="805" t="s">
        <v>6354</v>
      </c>
      <c r="E9773" s="247">
        <v>9815</v>
      </c>
      <c r="F9773" s="247"/>
      <c r="G9773" s="249">
        <f t="shared" si="158"/>
        <v>-9815</v>
      </c>
      <c r="H9773" s="121" t="s">
        <v>6318</v>
      </c>
    </row>
    <row r="9774" spans="1:8" ht="15" x14ac:dyDescent="0.2">
      <c r="A9774" s="619">
        <v>44154</v>
      </c>
      <c r="B9774" s="222" t="s">
        <v>2652</v>
      </c>
      <c r="C9774" s="222" t="s">
        <v>2190</v>
      </c>
      <c r="D9774" s="805"/>
      <c r="E9774" s="247">
        <v>75</v>
      </c>
      <c r="F9774" s="247"/>
      <c r="G9774" s="249">
        <f t="shared" si="158"/>
        <v>-75</v>
      </c>
      <c r="H9774" s="121" t="s">
        <v>6318</v>
      </c>
    </row>
    <row r="9775" spans="1:8" ht="15" x14ac:dyDescent="0.2">
      <c r="A9775" s="619">
        <v>44154</v>
      </c>
      <c r="B9775" s="222" t="s">
        <v>25</v>
      </c>
      <c r="C9775" s="577" t="s">
        <v>1689</v>
      </c>
      <c r="D9775" s="887" t="s">
        <v>370</v>
      </c>
      <c r="E9775" s="578">
        <v>18525</v>
      </c>
      <c r="F9775" s="247"/>
      <c r="G9775" s="249">
        <f t="shared" si="158"/>
        <v>-18525</v>
      </c>
      <c r="H9775" s="121" t="s">
        <v>6318</v>
      </c>
    </row>
    <row r="9776" spans="1:8" ht="15" x14ac:dyDescent="0.2">
      <c r="A9776" s="619">
        <v>44154</v>
      </c>
      <c r="B9776" s="222" t="s">
        <v>16</v>
      </c>
      <c r="C9776" s="577" t="s">
        <v>1689</v>
      </c>
      <c r="D9776" s="887" t="s">
        <v>370</v>
      </c>
      <c r="E9776" s="578">
        <v>7961</v>
      </c>
      <c r="F9776" s="247"/>
      <c r="G9776" s="249">
        <f t="shared" si="158"/>
        <v>-7961</v>
      </c>
      <c r="H9776" s="121" t="s">
        <v>6318</v>
      </c>
    </row>
    <row r="9777" spans="1:8" ht="15" x14ac:dyDescent="0.2">
      <c r="A9777" s="619">
        <v>44154</v>
      </c>
      <c r="B9777" s="222" t="s">
        <v>16</v>
      </c>
      <c r="C9777" s="222" t="s">
        <v>648</v>
      </c>
      <c r="D9777" s="805" t="s">
        <v>6355</v>
      </c>
      <c r="E9777" s="247">
        <v>4441</v>
      </c>
      <c r="F9777" s="247"/>
      <c r="G9777" s="249">
        <f t="shared" si="158"/>
        <v>-4441</v>
      </c>
      <c r="H9777" s="121" t="s">
        <v>6318</v>
      </c>
    </row>
    <row r="9778" spans="1:8" ht="15" x14ac:dyDescent="0.2">
      <c r="A9778" s="619">
        <v>44155</v>
      </c>
      <c r="B9778" s="222" t="s">
        <v>2652</v>
      </c>
      <c r="C9778" s="222" t="s">
        <v>3145</v>
      </c>
      <c r="D9778" s="805" t="s">
        <v>6356</v>
      </c>
      <c r="E9778" s="247">
        <v>16075</v>
      </c>
      <c r="F9778" s="247"/>
      <c r="G9778" s="249">
        <f t="shared" si="158"/>
        <v>-16075</v>
      </c>
      <c r="H9778" s="121" t="s">
        <v>6318</v>
      </c>
    </row>
    <row r="9779" spans="1:8" ht="15" x14ac:dyDescent="0.2">
      <c r="A9779" s="619">
        <v>44155</v>
      </c>
      <c r="B9779" s="222" t="s">
        <v>1400</v>
      </c>
      <c r="C9779" s="222" t="s">
        <v>2515</v>
      </c>
      <c r="D9779" s="805" t="s">
        <v>3361</v>
      </c>
      <c r="E9779" s="247">
        <v>2000</v>
      </c>
      <c r="F9779" s="247"/>
      <c r="G9779" s="249">
        <f t="shared" si="158"/>
        <v>-2000</v>
      </c>
      <c r="H9779" s="121" t="s">
        <v>6318</v>
      </c>
    </row>
    <row r="9780" spans="1:8" ht="24" x14ac:dyDescent="0.2">
      <c r="A9780" s="619">
        <v>44156</v>
      </c>
      <c r="B9780" s="222" t="s">
        <v>2652</v>
      </c>
      <c r="C9780" s="222" t="s">
        <v>3145</v>
      </c>
      <c r="D9780" s="805" t="s">
        <v>6358</v>
      </c>
      <c r="E9780" s="247">
        <v>11900</v>
      </c>
      <c r="F9780" s="247"/>
      <c r="G9780" s="249">
        <f t="shared" si="158"/>
        <v>-11900</v>
      </c>
      <c r="H9780" s="121" t="s">
        <v>6318</v>
      </c>
    </row>
    <row r="9781" spans="1:8" ht="24" x14ac:dyDescent="0.2">
      <c r="A9781" s="619">
        <v>44156</v>
      </c>
      <c r="B9781" s="222" t="s">
        <v>5811</v>
      </c>
      <c r="C9781" s="577" t="s">
        <v>3145</v>
      </c>
      <c r="D9781" s="887" t="s">
        <v>6359</v>
      </c>
      <c r="E9781" s="578">
        <v>212240</v>
      </c>
      <c r="F9781" s="247"/>
      <c r="G9781" s="249">
        <f t="shared" si="158"/>
        <v>-212240</v>
      </c>
      <c r="H9781" s="121" t="s">
        <v>6318</v>
      </c>
    </row>
    <row r="9782" spans="1:8" ht="24" x14ac:dyDescent="0.2">
      <c r="A9782" s="619">
        <v>44156</v>
      </c>
      <c r="B9782" s="222" t="s">
        <v>2652</v>
      </c>
      <c r="C9782" s="577" t="s">
        <v>3145</v>
      </c>
      <c r="D9782" s="887" t="s">
        <v>6360</v>
      </c>
      <c r="E9782" s="578">
        <v>9247</v>
      </c>
      <c r="F9782" s="247"/>
      <c r="G9782" s="249">
        <f t="shared" si="158"/>
        <v>-9247</v>
      </c>
      <c r="H9782" s="121" t="s">
        <v>6318</v>
      </c>
    </row>
    <row r="9783" spans="1:8" ht="15" x14ac:dyDescent="0.2">
      <c r="A9783" s="619">
        <v>44156</v>
      </c>
      <c r="B9783" s="222" t="s">
        <v>5811</v>
      </c>
      <c r="C9783" s="222" t="s">
        <v>3145</v>
      </c>
      <c r="D9783" s="805" t="s">
        <v>6361</v>
      </c>
      <c r="E9783" s="247">
        <v>12750</v>
      </c>
      <c r="F9783" s="247"/>
      <c r="G9783" s="249">
        <f t="shared" si="158"/>
        <v>-12750</v>
      </c>
      <c r="H9783" s="121" t="s">
        <v>6318</v>
      </c>
    </row>
    <row r="9784" spans="1:8" ht="24" x14ac:dyDescent="0.2">
      <c r="A9784" s="619">
        <v>44156</v>
      </c>
      <c r="B9784" s="222" t="s">
        <v>5604</v>
      </c>
      <c r="C9784" s="222" t="s">
        <v>3145</v>
      </c>
      <c r="D9784" s="805" t="s">
        <v>6362</v>
      </c>
      <c r="E9784" s="247">
        <v>32470</v>
      </c>
      <c r="F9784" s="247"/>
      <c r="G9784" s="249">
        <f t="shared" si="158"/>
        <v>-32470</v>
      </c>
      <c r="H9784" s="121" t="s">
        <v>6318</v>
      </c>
    </row>
    <row r="9785" spans="1:8" ht="24" x14ac:dyDescent="0.2">
      <c r="A9785" s="619">
        <v>44156</v>
      </c>
      <c r="B9785" s="222" t="s">
        <v>5811</v>
      </c>
      <c r="C9785" s="222" t="s">
        <v>3145</v>
      </c>
      <c r="D9785" s="805" t="s">
        <v>6363</v>
      </c>
      <c r="E9785" s="247">
        <v>51150</v>
      </c>
      <c r="F9785" s="247"/>
      <c r="G9785" s="249">
        <f t="shared" si="158"/>
        <v>-51150</v>
      </c>
      <c r="H9785" s="121" t="s">
        <v>6318</v>
      </c>
    </row>
    <row r="9786" spans="1:8" ht="15" x14ac:dyDescent="0.2">
      <c r="A9786" s="619">
        <v>44156</v>
      </c>
      <c r="B9786" s="222" t="s">
        <v>5811</v>
      </c>
      <c r="C9786" s="222" t="s">
        <v>3145</v>
      </c>
      <c r="D9786" s="805" t="s">
        <v>6364</v>
      </c>
      <c r="E9786" s="247">
        <v>155000</v>
      </c>
      <c r="F9786" s="247"/>
      <c r="G9786" s="249">
        <f t="shared" si="158"/>
        <v>-155000</v>
      </c>
      <c r="H9786" s="121" t="s">
        <v>6318</v>
      </c>
    </row>
    <row r="9787" spans="1:8" ht="15" x14ac:dyDescent="0.2">
      <c r="A9787" s="619">
        <v>44156</v>
      </c>
      <c r="B9787" s="222" t="s">
        <v>5811</v>
      </c>
      <c r="C9787" s="222" t="s">
        <v>3145</v>
      </c>
      <c r="D9787" s="805" t="s">
        <v>6364</v>
      </c>
      <c r="E9787" s="247">
        <v>143500</v>
      </c>
      <c r="F9787" s="247"/>
      <c r="G9787" s="249">
        <f t="shared" si="158"/>
        <v>-143500</v>
      </c>
      <c r="H9787" s="121" t="s">
        <v>6318</v>
      </c>
    </row>
    <row r="9788" spans="1:8" ht="15" x14ac:dyDescent="0.2">
      <c r="A9788" s="619">
        <v>44156</v>
      </c>
      <c r="B9788" s="222" t="s">
        <v>1400</v>
      </c>
      <c r="C9788" s="222" t="s">
        <v>6365</v>
      </c>
      <c r="D9788" s="805" t="s">
        <v>6366</v>
      </c>
      <c r="E9788" s="247">
        <v>71782</v>
      </c>
      <c r="F9788" s="247"/>
      <c r="G9788" s="249">
        <f t="shared" si="158"/>
        <v>-71782</v>
      </c>
      <c r="H9788" s="121" t="s">
        <v>6318</v>
      </c>
    </row>
    <row r="9789" spans="1:8" ht="15" x14ac:dyDescent="0.2">
      <c r="A9789" s="619">
        <v>44156</v>
      </c>
      <c r="B9789" s="222" t="s">
        <v>1400</v>
      </c>
      <c r="C9789" s="222" t="s">
        <v>3145</v>
      </c>
      <c r="D9789" s="805" t="s">
        <v>4450</v>
      </c>
      <c r="E9789" s="247">
        <v>37593</v>
      </c>
      <c r="F9789" s="247"/>
      <c r="G9789" s="249">
        <f t="shared" si="158"/>
        <v>-37593</v>
      </c>
      <c r="H9789" s="121" t="s">
        <v>6318</v>
      </c>
    </row>
    <row r="9790" spans="1:8" ht="15" x14ac:dyDescent="0.2">
      <c r="A9790" s="619">
        <v>44156</v>
      </c>
      <c r="B9790" s="222" t="s">
        <v>1400</v>
      </c>
      <c r="C9790" s="222" t="s">
        <v>3145</v>
      </c>
      <c r="D9790" s="805" t="s">
        <v>4450</v>
      </c>
      <c r="E9790" s="247">
        <v>29482</v>
      </c>
      <c r="F9790" s="247"/>
      <c r="G9790" s="249">
        <f t="shared" si="158"/>
        <v>-29482</v>
      </c>
      <c r="H9790" s="121" t="s">
        <v>6318</v>
      </c>
    </row>
    <row r="9791" spans="1:8" ht="15" x14ac:dyDescent="0.2">
      <c r="A9791" s="619">
        <v>44159</v>
      </c>
      <c r="B9791" s="222" t="s">
        <v>5811</v>
      </c>
      <c r="C9791" s="222" t="s">
        <v>3145</v>
      </c>
      <c r="D9791" s="805" t="s">
        <v>6376</v>
      </c>
      <c r="E9791" s="247">
        <v>20650</v>
      </c>
      <c r="F9791" s="247"/>
      <c r="G9791" s="249">
        <f t="shared" si="158"/>
        <v>-20650</v>
      </c>
      <c r="H9791" s="121" t="s">
        <v>6318</v>
      </c>
    </row>
    <row r="9792" spans="1:8" ht="15" x14ac:dyDescent="0.2">
      <c r="A9792" s="619">
        <v>44159</v>
      </c>
      <c r="B9792" s="222" t="s">
        <v>1400</v>
      </c>
      <c r="C9792" s="222" t="s">
        <v>2104</v>
      </c>
      <c r="D9792" s="805" t="s">
        <v>6377</v>
      </c>
      <c r="E9792" s="247">
        <v>20200</v>
      </c>
      <c r="F9792" s="247"/>
      <c r="G9792" s="249">
        <f t="shared" si="158"/>
        <v>-20200</v>
      </c>
      <c r="H9792" s="121" t="s">
        <v>6318</v>
      </c>
    </row>
    <row r="9793" spans="1:8" ht="15" x14ac:dyDescent="0.2">
      <c r="A9793" s="619">
        <v>44160</v>
      </c>
      <c r="B9793" s="222" t="s">
        <v>1400</v>
      </c>
      <c r="C9793" s="222" t="s">
        <v>6378</v>
      </c>
      <c r="D9793" s="805" t="s">
        <v>6379</v>
      </c>
      <c r="E9793" s="247">
        <v>15000</v>
      </c>
      <c r="F9793" s="247"/>
      <c r="G9793" s="249">
        <f t="shared" si="158"/>
        <v>-15000</v>
      </c>
      <c r="H9793" s="121" t="s">
        <v>6318</v>
      </c>
    </row>
    <row r="9794" spans="1:8" ht="15" x14ac:dyDescent="0.2">
      <c r="A9794" s="619">
        <v>44160</v>
      </c>
      <c r="B9794" s="222" t="s">
        <v>25</v>
      </c>
      <c r="C9794" s="222" t="s">
        <v>4065</v>
      </c>
      <c r="D9794" s="805" t="s">
        <v>2108</v>
      </c>
      <c r="E9794" s="247">
        <v>600</v>
      </c>
      <c r="F9794" s="247"/>
      <c r="G9794" s="249">
        <f t="shared" si="158"/>
        <v>-600</v>
      </c>
      <c r="H9794" s="121" t="s">
        <v>6318</v>
      </c>
    </row>
    <row r="9795" spans="1:8" ht="15" x14ac:dyDescent="0.2">
      <c r="A9795" s="619">
        <v>44160</v>
      </c>
      <c r="B9795" s="222" t="s">
        <v>2652</v>
      </c>
      <c r="C9795" s="222" t="s">
        <v>3145</v>
      </c>
      <c r="D9795" s="805" t="s">
        <v>6380</v>
      </c>
      <c r="E9795" s="247">
        <v>1300</v>
      </c>
      <c r="F9795" s="247"/>
      <c r="G9795" s="249">
        <f t="shared" si="158"/>
        <v>-1300</v>
      </c>
      <c r="H9795" s="121" t="s">
        <v>6318</v>
      </c>
    </row>
    <row r="9796" spans="1:8" ht="15" x14ac:dyDescent="0.2">
      <c r="A9796" s="619">
        <v>44160</v>
      </c>
      <c r="B9796" s="222" t="s">
        <v>2933</v>
      </c>
      <c r="C9796" s="222" t="s">
        <v>3145</v>
      </c>
      <c r="D9796" s="805" t="s">
        <v>6381</v>
      </c>
      <c r="E9796" s="247">
        <v>4050</v>
      </c>
      <c r="F9796" s="247"/>
      <c r="G9796" s="249">
        <f t="shared" si="158"/>
        <v>-4050</v>
      </c>
      <c r="H9796" s="121" t="s">
        <v>6318</v>
      </c>
    </row>
    <row r="9797" spans="1:8" ht="15" x14ac:dyDescent="0.2">
      <c r="A9797" s="619">
        <v>44160</v>
      </c>
      <c r="B9797" s="222" t="s">
        <v>25</v>
      </c>
      <c r="C9797" s="222" t="s">
        <v>1005</v>
      </c>
      <c r="D9797" s="805"/>
      <c r="E9797" s="247">
        <v>650</v>
      </c>
      <c r="F9797" s="247"/>
      <c r="G9797" s="249">
        <f t="shared" si="158"/>
        <v>-650</v>
      </c>
      <c r="H9797" s="121" t="s">
        <v>6318</v>
      </c>
    </row>
    <row r="9798" spans="1:8" ht="15" x14ac:dyDescent="0.2">
      <c r="A9798" s="619">
        <v>44160</v>
      </c>
      <c r="B9798" s="222" t="s">
        <v>2933</v>
      </c>
      <c r="C9798" s="222" t="s">
        <v>3145</v>
      </c>
      <c r="D9798" s="805" t="s">
        <v>6382</v>
      </c>
      <c r="E9798" s="247">
        <v>3920</v>
      </c>
      <c r="F9798" s="247"/>
      <c r="G9798" s="249">
        <f t="shared" si="158"/>
        <v>-3920</v>
      </c>
      <c r="H9798" s="121" t="s">
        <v>6318</v>
      </c>
    </row>
    <row r="9799" spans="1:8" ht="15" x14ac:dyDescent="0.2">
      <c r="A9799" s="619">
        <v>44161</v>
      </c>
      <c r="B9799" s="222" t="s">
        <v>2652</v>
      </c>
      <c r="C9799" s="222" t="s">
        <v>2190</v>
      </c>
      <c r="D9799" s="805"/>
      <c r="E9799" s="247">
        <v>360</v>
      </c>
      <c r="F9799" s="247"/>
      <c r="G9799" s="249">
        <f t="shared" si="158"/>
        <v>-360</v>
      </c>
      <c r="H9799" s="121" t="s">
        <v>6318</v>
      </c>
    </row>
    <row r="9800" spans="1:8" ht="15" x14ac:dyDescent="0.2">
      <c r="A9800" s="619">
        <v>44162</v>
      </c>
      <c r="B9800" s="222" t="s">
        <v>1400</v>
      </c>
      <c r="C9800" s="222" t="s">
        <v>3145</v>
      </c>
      <c r="D9800" s="805" t="s">
        <v>6384</v>
      </c>
      <c r="E9800" s="247">
        <v>1000</v>
      </c>
      <c r="F9800" s="247"/>
      <c r="G9800" s="249">
        <f t="shared" si="158"/>
        <v>-1000</v>
      </c>
      <c r="H9800" s="121" t="s">
        <v>6318</v>
      </c>
    </row>
    <row r="9801" spans="1:8" ht="15" x14ac:dyDescent="0.2">
      <c r="A9801" s="619">
        <v>44162</v>
      </c>
      <c r="B9801" s="222" t="s">
        <v>1400</v>
      </c>
      <c r="C9801" s="222" t="s">
        <v>3145</v>
      </c>
      <c r="D9801" s="805" t="s">
        <v>6385</v>
      </c>
      <c r="E9801" s="247">
        <v>11160</v>
      </c>
      <c r="F9801" s="247"/>
      <c r="G9801" s="249">
        <f t="shared" si="158"/>
        <v>-11160</v>
      </c>
      <c r="H9801" s="121" t="s">
        <v>6318</v>
      </c>
    </row>
    <row r="9802" spans="1:8" ht="15" x14ac:dyDescent="0.2">
      <c r="A9802" s="619">
        <v>44162</v>
      </c>
      <c r="B9802" s="222" t="s">
        <v>1400</v>
      </c>
      <c r="C9802" s="222" t="s">
        <v>286</v>
      </c>
      <c r="D9802" s="805" t="s">
        <v>6386</v>
      </c>
      <c r="E9802" s="247">
        <v>1120</v>
      </c>
      <c r="F9802" s="247"/>
      <c r="G9802" s="249">
        <f t="shared" si="158"/>
        <v>-1120</v>
      </c>
      <c r="H9802" s="121" t="s">
        <v>6318</v>
      </c>
    </row>
    <row r="9803" spans="1:8" ht="15" x14ac:dyDescent="0.2">
      <c r="A9803" s="619">
        <v>44162</v>
      </c>
      <c r="B9803" s="222" t="s">
        <v>1400</v>
      </c>
      <c r="C9803" s="222" t="s">
        <v>6141</v>
      </c>
      <c r="D9803" s="805" t="s">
        <v>6387</v>
      </c>
      <c r="E9803" s="247">
        <v>10000</v>
      </c>
      <c r="F9803" s="247"/>
      <c r="G9803" s="249">
        <f t="shared" si="158"/>
        <v>-10000</v>
      </c>
      <c r="H9803" s="121" t="s">
        <v>6318</v>
      </c>
    </row>
    <row r="9804" spans="1:8" ht="15" x14ac:dyDescent="0.2">
      <c r="A9804" s="619">
        <v>44162</v>
      </c>
      <c r="B9804" s="222" t="s">
        <v>25</v>
      </c>
      <c r="C9804" s="222" t="s">
        <v>4065</v>
      </c>
      <c r="D9804" s="805" t="s">
        <v>6388</v>
      </c>
      <c r="E9804" s="247">
        <v>1000</v>
      </c>
      <c r="F9804" s="247"/>
      <c r="G9804" s="249">
        <f t="shared" si="158"/>
        <v>-1000</v>
      </c>
      <c r="H9804" s="121" t="s">
        <v>6318</v>
      </c>
    </row>
    <row r="9805" spans="1:8" ht="15" x14ac:dyDescent="0.2">
      <c r="A9805" s="619">
        <v>44165</v>
      </c>
      <c r="B9805" s="222" t="s">
        <v>1400</v>
      </c>
      <c r="C9805" s="222" t="s">
        <v>4908</v>
      </c>
      <c r="D9805" s="805" t="s">
        <v>6389</v>
      </c>
      <c r="E9805" s="247">
        <v>8000</v>
      </c>
      <c r="F9805" s="247"/>
      <c r="G9805" s="249">
        <f t="shared" si="158"/>
        <v>-8000</v>
      </c>
      <c r="H9805" s="121" t="s">
        <v>6318</v>
      </c>
    </row>
    <row r="9806" spans="1:8" ht="15" x14ac:dyDescent="0.2">
      <c r="A9806" s="619">
        <v>44165</v>
      </c>
      <c r="B9806" s="222" t="s">
        <v>16</v>
      </c>
      <c r="C9806" s="222" t="s">
        <v>463</v>
      </c>
      <c r="D9806" s="805" t="s">
        <v>6390</v>
      </c>
      <c r="E9806" s="247">
        <v>13200</v>
      </c>
      <c r="F9806" s="247"/>
      <c r="G9806" s="249">
        <f t="shared" si="158"/>
        <v>-13200</v>
      </c>
      <c r="H9806" s="121" t="s">
        <v>6318</v>
      </c>
    </row>
    <row r="9807" spans="1:8" ht="15" x14ac:dyDescent="0.2">
      <c r="A9807" s="619">
        <v>44165</v>
      </c>
      <c r="B9807" s="222" t="s">
        <v>1400</v>
      </c>
      <c r="C9807" s="222" t="s">
        <v>2503</v>
      </c>
      <c r="D9807" s="805" t="s">
        <v>372</v>
      </c>
      <c r="E9807" s="247">
        <v>25000</v>
      </c>
      <c r="F9807" s="247"/>
      <c r="G9807" s="249">
        <f t="shared" si="158"/>
        <v>-25000</v>
      </c>
      <c r="H9807" s="121" t="s">
        <v>6318</v>
      </c>
    </row>
    <row r="9808" spans="1:8" ht="15" x14ac:dyDescent="0.2">
      <c r="A9808" s="619">
        <v>44165</v>
      </c>
      <c r="B9808" s="222" t="s">
        <v>2652</v>
      </c>
      <c r="C9808" s="222" t="s">
        <v>2503</v>
      </c>
      <c r="D9808" s="805" t="s">
        <v>940</v>
      </c>
      <c r="E9808" s="247">
        <v>25000</v>
      </c>
      <c r="F9808" s="247"/>
      <c r="G9808" s="249">
        <f t="shared" si="158"/>
        <v>-25000</v>
      </c>
      <c r="H9808" s="121" t="s">
        <v>6318</v>
      </c>
    </row>
    <row r="9809" spans="1:8" ht="15" x14ac:dyDescent="0.2">
      <c r="A9809" s="619">
        <v>44165</v>
      </c>
      <c r="B9809" s="222" t="s">
        <v>2933</v>
      </c>
      <c r="C9809" s="222" t="s">
        <v>2503</v>
      </c>
      <c r="D9809" s="805" t="s">
        <v>940</v>
      </c>
      <c r="E9809" s="247">
        <v>25000</v>
      </c>
      <c r="F9809" s="247"/>
      <c r="G9809" s="249">
        <f t="shared" si="158"/>
        <v>-25000</v>
      </c>
      <c r="H9809" s="121" t="s">
        <v>6318</v>
      </c>
    </row>
    <row r="9810" spans="1:8" ht="15" x14ac:dyDescent="0.2">
      <c r="A9810" s="619">
        <v>44165</v>
      </c>
      <c r="B9810" s="222" t="s">
        <v>25</v>
      </c>
      <c r="C9810" s="222" t="s">
        <v>2503</v>
      </c>
      <c r="D9810" s="805" t="s">
        <v>6319</v>
      </c>
      <c r="E9810" s="247">
        <v>60000</v>
      </c>
      <c r="F9810" s="247"/>
      <c r="G9810" s="249">
        <f t="shared" si="158"/>
        <v>-60000</v>
      </c>
      <c r="H9810" s="121" t="s">
        <v>6318</v>
      </c>
    </row>
    <row r="9811" spans="1:8" ht="15" x14ac:dyDescent="0.2">
      <c r="A9811" s="619">
        <v>44165</v>
      </c>
      <c r="B9811" s="222" t="s">
        <v>16</v>
      </c>
      <c r="C9811" s="222" t="s">
        <v>2503</v>
      </c>
      <c r="D9811" s="805" t="s">
        <v>103</v>
      </c>
      <c r="E9811" s="247">
        <v>84433.333333333328</v>
      </c>
      <c r="F9811" s="247"/>
      <c r="G9811" s="249">
        <f t="shared" si="158"/>
        <v>-84433.333333333328</v>
      </c>
      <c r="H9811" s="121" t="s">
        <v>6318</v>
      </c>
    </row>
    <row r="9812" spans="1:8" ht="15" x14ac:dyDescent="0.2">
      <c r="A9812" s="619">
        <v>44165</v>
      </c>
      <c r="B9812" s="222" t="s">
        <v>3945</v>
      </c>
      <c r="C9812" s="222" t="s">
        <v>2503</v>
      </c>
      <c r="D9812" s="805" t="s">
        <v>6391</v>
      </c>
      <c r="E9812" s="247">
        <v>38875</v>
      </c>
      <c r="F9812" s="247"/>
      <c r="G9812" s="249">
        <f t="shared" si="158"/>
        <v>-38875</v>
      </c>
      <c r="H9812" s="121" t="s">
        <v>6318</v>
      </c>
    </row>
    <row r="9813" spans="1:8" ht="15" x14ac:dyDescent="0.2">
      <c r="A9813" s="619">
        <v>44165</v>
      </c>
      <c r="B9813" s="222" t="s">
        <v>3946</v>
      </c>
      <c r="C9813" s="222" t="s">
        <v>2503</v>
      </c>
      <c r="D9813" s="805" t="s">
        <v>6392</v>
      </c>
      <c r="E9813" s="247">
        <v>45125</v>
      </c>
      <c r="F9813" s="247"/>
      <c r="G9813" s="249">
        <f t="shared" si="158"/>
        <v>-45125</v>
      </c>
      <c r="H9813" s="121" t="s">
        <v>6318</v>
      </c>
    </row>
    <row r="9814" spans="1:8" ht="15" x14ac:dyDescent="0.2">
      <c r="A9814" s="619">
        <v>44165</v>
      </c>
      <c r="B9814" s="222" t="s">
        <v>1400</v>
      </c>
      <c r="C9814" s="222" t="s">
        <v>2503</v>
      </c>
      <c r="D9814" s="805"/>
      <c r="E9814" s="247">
        <v>277896.45833333337</v>
      </c>
      <c r="F9814" s="247"/>
      <c r="G9814" s="249">
        <f t="shared" si="158"/>
        <v>-277896.45833333337</v>
      </c>
      <c r="H9814" s="121" t="s">
        <v>6318</v>
      </c>
    </row>
    <row r="9815" spans="1:8" ht="15" x14ac:dyDescent="0.2">
      <c r="A9815" s="619">
        <v>44165</v>
      </c>
      <c r="B9815" s="222" t="s">
        <v>6516</v>
      </c>
      <c r="C9815" s="222" t="s">
        <v>2503</v>
      </c>
      <c r="D9815" s="805"/>
      <c r="E9815" s="247">
        <v>105759.16666666667</v>
      </c>
      <c r="F9815" s="247"/>
      <c r="G9815" s="249">
        <f t="shared" si="158"/>
        <v>-105759.16666666667</v>
      </c>
      <c r="H9815" s="121" t="s">
        <v>6318</v>
      </c>
    </row>
    <row r="9816" spans="1:8" ht="15" x14ac:dyDescent="0.2">
      <c r="A9816" s="619">
        <v>44165</v>
      </c>
      <c r="B9816" s="222" t="s">
        <v>37</v>
      </c>
      <c r="C9816" s="222" t="s">
        <v>2503</v>
      </c>
      <c r="D9816" s="805"/>
      <c r="E9816" s="247">
        <v>84658.333333333328</v>
      </c>
      <c r="F9816" s="247"/>
      <c r="G9816" s="249">
        <f t="shared" si="158"/>
        <v>-84658.333333333328</v>
      </c>
      <c r="H9816" s="121" t="s">
        <v>6318</v>
      </c>
    </row>
    <row r="9817" spans="1:8" ht="15" x14ac:dyDescent="0.2">
      <c r="A9817" s="619">
        <v>44165</v>
      </c>
      <c r="B9817" s="222" t="s">
        <v>2933</v>
      </c>
      <c r="C9817" s="222" t="s">
        <v>2503</v>
      </c>
      <c r="D9817" s="805" t="s">
        <v>6324</v>
      </c>
      <c r="E9817" s="247">
        <v>44958.333333333336</v>
      </c>
      <c r="F9817" s="247"/>
      <c r="G9817" s="249">
        <f t="shared" si="158"/>
        <v>-44958.333333333336</v>
      </c>
      <c r="H9817" s="121" t="s">
        <v>6318</v>
      </c>
    </row>
    <row r="9818" spans="1:8" ht="15" x14ac:dyDescent="0.2">
      <c r="A9818" s="619">
        <v>44165</v>
      </c>
      <c r="B9818" s="222" t="s">
        <v>2652</v>
      </c>
      <c r="C9818" s="222" t="s">
        <v>2503</v>
      </c>
      <c r="D9818" s="805"/>
      <c r="E9818" s="247">
        <v>162243.33333333334</v>
      </c>
      <c r="F9818" s="247"/>
      <c r="G9818" s="249">
        <f t="shared" si="158"/>
        <v>-162243.33333333334</v>
      </c>
      <c r="H9818" s="121" t="s">
        <v>6318</v>
      </c>
    </row>
    <row r="9819" spans="1:8" ht="15" x14ac:dyDescent="0.2">
      <c r="A9819" s="619">
        <v>44165</v>
      </c>
      <c r="B9819" s="222" t="s">
        <v>5811</v>
      </c>
      <c r="C9819" s="222" t="s">
        <v>2503</v>
      </c>
      <c r="D9819" s="805" t="s">
        <v>6320</v>
      </c>
      <c r="E9819" s="247">
        <v>46192</v>
      </c>
      <c r="F9819" s="247"/>
      <c r="G9819" s="249">
        <f t="shared" si="158"/>
        <v>-46192</v>
      </c>
      <c r="H9819" s="121" t="s">
        <v>6318</v>
      </c>
    </row>
    <row r="9820" spans="1:8" ht="15" x14ac:dyDescent="0.2">
      <c r="A9820" s="602">
        <v>44137</v>
      </c>
      <c r="B9820" s="122" t="s">
        <v>1400</v>
      </c>
      <c r="C9820" s="122" t="s">
        <v>5681</v>
      </c>
      <c r="D9820" s="837" t="s">
        <v>6317</v>
      </c>
      <c r="E9820" s="123">
        <v>33000</v>
      </c>
      <c r="F9820" s="123"/>
      <c r="G9820" s="241">
        <f t="shared" si="158"/>
        <v>-33000</v>
      </c>
      <c r="H9820" s="244" t="s">
        <v>6318</v>
      </c>
    </row>
    <row r="9821" spans="1:8" ht="15" x14ac:dyDescent="0.2">
      <c r="A9821" s="602">
        <v>44137</v>
      </c>
      <c r="B9821" s="122" t="s">
        <v>1400</v>
      </c>
      <c r="C9821" s="122" t="s">
        <v>5681</v>
      </c>
      <c r="D9821" s="837" t="s">
        <v>6317</v>
      </c>
      <c r="E9821" s="123">
        <v>3000</v>
      </c>
      <c r="F9821" s="123"/>
      <c r="G9821" s="241">
        <f t="shared" si="158"/>
        <v>-3000</v>
      </c>
      <c r="H9821" s="244" t="s">
        <v>6318</v>
      </c>
    </row>
    <row r="9822" spans="1:8" ht="15" x14ac:dyDescent="0.2">
      <c r="A9822" s="602">
        <v>44137</v>
      </c>
      <c r="B9822" s="122" t="s">
        <v>2652</v>
      </c>
      <c r="C9822" s="122" t="s">
        <v>5681</v>
      </c>
      <c r="D9822" s="837" t="s">
        <v>6317</v>
      </c>
      <c r="E9822" s="123">
        <v>6000</v>
      </c>
      <c r="F9822" s="123"/>
      <c r="G9822" s="241">
        <f t="shared" si="158"/>
        <v>-6000</v>
      </c>
      <c r="H9822" s="244" t="s">
        <v>6318</v>
      </c>
    </row>
    <row r="9823" spans="1:8" ht="15" x14ac:dyDescent="0.2">
      <c r="A9823" s="602">
        <v>44142</v>
      </c>
      <c r="B9823" s="122" t="s">
        <v>1400</v>
      </c>
      <c r="C9823" s="122" t="s">
        <v>4684</v>
      </c>
      <c r="D9823" s="837" t="s">
        <v>1157</v>
      </c>
      <c r="E9823" s="123">
        <v>50000</v>
      </c>
      <c r="F9823" s="123"/>
      <c r="G9823" s="241">
        <f t="shared" si="158"/>
        <v>-50000</v>
      </c>
      <c r="H9823" s="244" t="s">
        <v>6318</v>
      </c>
    </row>
    <row r="9824" spans="1:8" ht="15" x14ac:dyDescent="0.2">
      <c r="A9824" s="602">
        <v>44158</v>
      </c>
      <c r="B9824" s="122" t="s">
        <v>1400</v>
      </c>
      <c r="C9824" s="122" t="s">
        <v>1803</v>
      </c>
      <c r="D9824" s="837" t="s">
        <v>6367</v>
      </c>
      <c r="E9824" s="123">
        <v>130635</v>
      </c>
      <c r="F9824" s="123"/>
      <c r="G9824" s="241">
        <f t="shared" si="158"/>
        <v>-130635</v>
      </c>
      <c r="H9824" s="244" t="s">
        <v>6318</v>
      </c>
    </row>
    <row r="9825" spans="1:8" ht="15" x14ac:dyDescent="0.2">
      <c r="A9825" s="602">
        <v>44159</v>
      </c>
      <c r="B9825" s="122" t="s">
        <v>1400</v>
      </c>
      <c r="C9825" s="122" t="s">
        <v>256</v>
      </c>
      <c r="D9825" s="837" t="s">
        <v>6369</v>
      </c>
      <c r="E9825" s="123">
        <v>252500</v>
      </c>
      <c r="F9825" s="123"/>
      <c r="G9825" s="241">
        <f t="shared" si="158"/>
        <v>-252500</v>
      </c>
      <c r="H9825" s="244" t="s">
        <v>6318</v>
      </c>
    </row>
    <row r="9826" spans="1:8" ht="24" x14ac:dyDescent="0.2">
      <c r="A9826" s="602">
        <v>44159</v>
      </c>
      <c r="B9826" s="122" t="s">
        <v>1400</v>
      </c>
      <c r="C9826" s="122" t="s">
        <v>1355</v>
      </c>
      <c r="D9826" s="837" t="s">
        <v>6374</v>
      </c>
      <c r="E9826" s="123">
        <v>100000</v>
      </c>
      <c r="F9826" s="123"/>
      <c r="G9826" s="241">
        <f t="shared" si="158"/>
        <v>-100000</v>
      </c>
      <c r="H9826" s="244" t="s">
        <v>6318</v>
      </c>
    </row>
    <row r="9827" spans="1:8" ht="15" x14ac:dyDescent="0.2">
      <c r="A9827" s="602">
        <v>44160</v>
      </c>
      <c r="B9827" s="122" t="s">
        <v>1400</v>
      </c>
      <c r="C9827" s="582" t="s">
        <v>1803</v>
      </c>
      <c r="D9827" s="888" t="s">
        <v>6372</v>
      </c>
      <c r="E9827" s="583">
        <v>100000</v>
      </c>
      <c r="F9827" s="123"/>
      <c r="G9827" s="241">
        <f t="shared" si="158"/>
        <v>-100000</v>
      </c>
      <c r="H9827" s="244" t="s">
        <v>6318</v>
      </c>
    </row>
    <row r="9828" spans="1:8" ht="15" x14ac:dyDescent="0.2">
      <c r="A9828" s="602">
        <v>44160</v>
      </c>
      <c r="B9828" s="122" t="s">
        <v>2652</v>
      </c>
      <c r="C9828" s="582" t="s">
        <v>1803</v>
      </c>
      <c r="D9828" s="888" t="s">
        <v>6372</v>
      </c>
      <c r="E9828" s="583">
        <v>100000</v>
      </c>
      <c r="F9828" s="123"/>
      <c r="G9828" s="241">
        <f t="shared" si="158"/>
        <v>-100000</v>
      </c>
      <c r="H9828" s="244" t="s">
        <v>6318</v>
      </c>
    </row>
    <row r="9829" spans="1:8" ht="15" x14ac:dyDescent="0.2">
      <c r="A9829" s="602">
        <v>44160</v>
      </c>
      <c r="B9829" s="122" t="s">
        <v>6103</v>
      </c>
      <c r="C9829" s="582" t="s">
        <v>1803</v>
      </c>
      <c r="D9829" s="888" t="s">
        <v>6372</v>
      </c>
      <c r="E9829" s="583">
        <v>100000</v>
      </c>
      <c r="F9829" s="123"/>
      <c r="G9829" s="241">
        <f t="shared" si="158"/>
        <v>-100000</v>
      </c>
      <c r="H9829" s="244" t="s">
        <v>6318</v>
      </c>
    </row>
    <row r="9830" spans="1:8" ht="24" x14ac:dyDescent="0.2">
      <c r="A9830" s="602">
        <v>44160</v>
      </c>
      <c r="B9830" s="122" t="s">
        <v>5811</v>
      </c>
      <c r="C9830" s="584" t="s">
        <v>1391</v>
      </c>
      <c r="D9830" s="889" t="s">
        <v>6375</v>
      </c>
      <c r="E9830" s="585">
        <v>65657</v>
      </c>
      <c r="F9830" s="123"/>
      <c r="G9830" s="241">
        <f t="shared" si="158"/>
        <v>-65657</v>
      </c>
      <c r="H9830" s="244" t="s">
        <v>6318</v>
      </c>
    </row>
    <row r="9831" spans="1:8" ht="24" x14ac:dyDescent="0.2">
      <c r="A9831" s="602">
        <v>44160</v>
      </c>
      <c r="B9831" s="122" t="s">
        <v>1400</v>
      </c>
      <c r="C9831" s="584" t="s">
        <v>1391</v>
      </c>
      <c r="D9831" s="889" t="s">
        <v>6375</v>
      </c>
      <c r="E9831" s="585">
        <v>4343</v>
      </c>
      <c r="F9831" s="123"/>
      <c r="G9831" s="241">
        <f t="shared" si="158"/>
        <v>-4343</v>
      </c>
      <c r="H9831" s="244" t="s">
        <v>6318</v>
      </c>
    </row>
    <row r="9832" spans="1:8" ht="15" x14ac:dyDescent="0.2">
      <c r="A9832" s="599">
        <v>44137</v>
      </c>
      <c r="B9832" s="91" t="s">
        <v>3945</v>
      </c>
      <c r="C9832" s="91" t="s">
        <v>559</v>
      </c>
      <c r="D9832" s="801" t="s">
        <v>6282</v>
      </c>
      <c r="E9832" s="92"/>
      <c r="F9832" s="92">
        <v>50962</v>
      </c>
      <c r="G9832" s="92">
        <f t="shared" si="158"/>
        <v>50962</v>
      </c>
      <c r="H9832" s="261" t="s">
        <v>6318</v>
      </c>
    </row>
    <row r="9833" spans="1:8" ht="15" x14ac:dyDescent="0.2">
      <c r="A9833" s="599">
        <v>44142</v>
      </c>
      <c r="B9833" s="91" t="s">
        <v>37</v>
      </c>
      <c r="C9833" s="91" t="s">
        <v>559</v>
      </c>
      <c r="D9833" s="801" t="s">
        <v>6325</v>
      </c>
      <c r="E9833" s="92"/>
      <c r="F9833" s="92">
        <v>157140</v>
      </c>
      <c r="G9833" s="92">
        <f t="shared" ref="G9833:G9896" si="159">F9833-E9833</f>
        <v>157140</v>
      </c>
      <c r="H9833" s="261" t="s">
        <v>6318</v>
      </c>
    </row>
    <row r="9834" spans="1:8" ht="15" x14ac:dyDescent="0.2">
      <c r="A9834" s="599">
        <v>44154</v>
      </c>
      <c r="B9834" s="91" t="s">
        <v>5811</v>
      </c>
      <c r="C9834" s="91" t="s">
        <v>559</v>
      </c>
      <c r="D9834" s="801" t="s">
        <v>6327</v>
      </c>
      <c r="E9834" s="92"/>
      <c r="F9834" s="92">
        <v>2000000</v>
      </c>
      <c r="G9834" s="92">
        <f t="shared" si="159"/>
        <v>2000000</v>
      </c>
      <c r="H9834" s="261" t="s">
        <v>6318</v>
      </c>
    </row>
    <row r="9835" spans="1:8" ht="15" x14ac:dyDescent="0.2">
      <c r="A9835" s="599">
        <v>44160</v>
      </c>
      <c r="B9835" s="91" t="s">
        <v>3946</v>
      </c>
      <c r="C9835" s="91" t="s">
        <v>559</v>
      </c>
      <c r="D9835" s="801" t="s">
        <v>6371</v>
      </c>
      <c r="E9835" s="92"/>
      <c r="F9835" s="92">
        <v>155164</v>
      </c>
      <c r="G9835" s="92">
        <f t="shared" si="159"/>
        <v>155164</v>
      </c>
      <c r="H9835" s="261" t="s">
        <v>6318</v>
      </c>
    </row>
    <row r="9836" spans="1:8" ht="15" x14ac:dyDescent="0.2">
      <c r="A9836" s="619">
        <v>44166</v>
      </c>
      <c r="B9836" s="222" t="s">
        <v>1400</v>
      </c>
      <c r="C9836" s="222" t="s">
        <v>6009</v>
      </c>
      <c r="D9836" s="805" t="s">
        <v>6394</v>
      </c>
      <c r="E9836" s="247">
        <v>12900</v>
      </c>
      <c r="F9836" s="247"/>
      <c r="G9836" s="249">
        <f t="shared" si="159"/>
        <v>-12900</v>
      </c>
      <c r="H9836" s="121" t="s">
        <v>6393</v>
      </c>
    </row>
    <row r="9837" spans="1:8" ht="15" x14ac:dyDescent="0.2">
      <c r="A9837" s="619">
        <v>44166</v>
      </c>
      <c r="B9837" s="222" t="s">
        <v>2652</v>
      </c>
      <c r="C9837" s="222" t="s">
        <v>3145</v>
      </c>
      <c r="D9837" s="805" t="s">
        <v>6395</v>
      </c>
      <c r="E9837" s="247">
        <v>2500</v>
      </c>
      <c r="F9837" s="247"/>
      <c r="G9837" s="249">
        <f t="shared" si="159"/>
        <v>-2500</v>
      </c>
      <c r="H9837" s="121" t="s">
        <v>6393</v>
      </c>
    </row>
    <row r="9838" spans="1:8" ht="15" x14ac:dyDescent="0.2">
      <c r="A9838" s="619">
        <v>44166</v>
      </c>
      <c r="B9838" s="222" t="s">
        <v>2933</v>
      </c>
      <c r="C9838" s="222" t="s">
        <v>5652</v>
      </c>
      <c r="D9838" s="805" t="s">
        <v>6396</v>
      </c>
      <c r="E9838" s="247">
        <v>5000</v>
      </c>
      <c r="F9838" s="247"/>
      <c r="G9838" s="249">
        <f t="shared" si="159"/>
        <v>-5000</v>
      </c>
      <c r="H9838" s="121" t="s">
        <v>6393</v>
      </c>
    </row>
    <row r="9839" spans="1:8" ht="15" x14ac:dyDescent="0.2">
      <c r="A9839" s="619">
        <v>44166</v>
      </c>
      <c r="B9839" s="222" t="s">
        <v>25</v>
      </c>
      <c r="C9839" s="586" t="s">
        <v>1689</v>
      </c>
      <c r="D9839" s="890" t="s">
        <v>6310</v>
      </c>
      <c r="E9839" s="587">
        <v>580</v>
      </c>
      <c r="F9839" s="247"/>
      <c r="G9839" s="249">
        <f t="shared" si="159"/>
        <v>-580</v>
      </c>
      <c r="H9839" s="121" t="s">
        <v>6393</v>
      </c>
    </row>
    <row r="9840" spans="1:8" ht="15" x14ac:dyDescent="0.2">
      <c r="A9840" s="619">
        <v>44166</v>
      </c>
      <c r="B9840" s="222" t="s">
        <v>16</v>
      </c>
      <c r="C9840" s="586" t="s">
        <v>1689</v>
      </c>
      <c r="D9840" s="890" t="s">
        <v>6310</v>
      </c>
      <c r="E9840" s="587">
        <v>380</v>
      </c>
      <c r="F9840" s="247"/>
      <c r="G9840" s="249">
        <f t="shared" si="159"/>
        <v>-380</v>
      </c>
      <c r="H9840" s="121" t="s">
        <v>6393</v>
      </c>
    </row>
    <row r="9841" spans="1:8" ht="15" x14ac:dyDescent="0.2">
      <c r="A9841" s="619">
        <v>44166</v>
      </c>
      <c r="B9841" s="222" t="s">
        <v>1691</v>
      </c>
      <c r="C9841" s="586" t="s">
        <v>1689</v>
      </c>
      <c r="D9841" s="890" t="s">
        <v>6397</v>
      </c>
      <c r="E9841" s="587">
        <v>527</v>
      </c>
      <c r="F9841" s="247"/>
      <c r="G9841" s="249">
        <f t="shared" si="159"/>
        <v>-527</v>
      </c>
      <c r="H9841" s="121" t="s">
        <v>6393</v>
      </c>
    </row>
    <row r="9842" spans="1:8" ht="15" x14ac:dyDescent="0.2">
      <c r="A9842" s="619">
        <v>44166</v>
      </c>
      <c r="B9842" s="222" t="s">
        <v>3945</v>
      </c>
      <c r="C9842" s="222" t="s">
        <v>3145</v>
      </c>
      <c r="D9842" s="805" t="s">
        <v>6398</v>
      </c>
      <c r="E9842" s="247">
        <v>4750</v>
      </c>
      <c r="F9842" s="247"/>
      <c r="G9842" s="249">
        <f t="shared" si="159"/>
        <v>-4750</v>
      </c>
      <c r="H9842" s="121" t="s">
        <v>6393</v>
      </c>
    </row>
    <row r="9843" spans="1:8" ht="15" x14ac:dyDescent="0.2">
      <c r="A9843" s="619">
        <v>44166</v>
      </c>
      <c r="B9843" s="222" t="s">
        <v>2652</v>
      </c>
      <c r="C9843" s="222" t="s">
        <v>6399</v>
      </c>
      <c r="D9843" s="805" t="s">
        <v>6400</v>
      </c>
      <c r="E9843" s="247">
        <v>158030</v>
      </c>
      <c r="F9843" s="247"/>
      <c r="G9843" s="249">
        <f t="shared" si="159"/>
        <v>-158030</v>
      </c>
      <c r="H9843" s="121" t="s">
        <v>6393</v>
      </c>
    </row>
    <row r="9844" spans="1:8" ht="15" customHeight="1" x14ac:dyDescent="0.2">
      <c r="A9844" s="619">
        <v>44166</v>
      </c>
      <c r="B9844" s="222" t="s">
        <v>2652</v>
      </c>
      <c r="C9844" s="222" t="s">
        <v>286</v>
      </c>
      <c r="D9844" s="805"/>
      <c r="E9844" s="247">
        <v>100</v>
      </c>
      <c r="F9844" s="247"/>
      <c r="G9844" s="249">
        <f t="shared" si="159"/>
        <v>-100</v>
      </c>
      <c r="H9844" s="121" t="s">
        <v>6393</v>
      </c>
    </row>
    <row r="9845" spans="1:8" ht="15" x14ac:dyDescent="0.2">
      <c r="A9845" s="619">
        <v>44166</v>
      </c>
      <c r="B9845" s="222" t="s">
        <v>2652</v>
      </c>
      <c r="C9845" s="222" t="s">
        <v>7181</v>
      </c>
      <c r="D9845" s="805" t="s">
        <v>6401</v>
      </c>
      <c r="E9845" s="247">
        <v>30000</v>
      </c>
      <c r="F9845" s="247"/>
      <c r="G9845" s="249">
        <f t="shared" si="159"/>
        <v>-30000</v>
      </c>
      <c r="H9845" s="121" t="s">
        <v>6393</v>
      </c>
    </row>
    <row r="9846" spans="1:8" ht="15" x14ac:dyDescent="0.2">
      <c r="A9846" s="619">
        <v>44166</v>
      </c>
      <c r="B9846" s="222" t="s">
        <v>16</v>
      </c>
      <c r="C9846" s="222" t="s">
        <v>2996</v>
      </c>
      <c r="D9846" s="805" t="s">
        <v>570</v>
      </c>
      <c r="E9846" s="247">
        <v>3000</v>
      </c>
      <c r="F9846" s="247"/>
      <c r="G9846" s="249">
        <f t="shared" si="159"/>
        <v>-3000</v>
      </c>
      <c r="H9846" s="121" t="s">
        <v>6393</v>
      </c>
    </row>
    <row r="9847" spans="1:8" ht="15" x14ac:dyDescent="0.2">
      <c r="A9847" s="619">
        <v>44167</v>
      </c>
      <c r="B9847" s="222" t="s">
        <v>6516</v>
      </c>
      <c r="C9847" s="586" t="s">
        <v>3145</v>
      </c>
      <c r="D9847" s="890" t="s">
        <v>6402</v>
      </c>
      <c r="E9847" s="587">
        <v>1000</v>
      </c>
      <c r="F9847" s="247"/>
      <c r="G9847" s="249">
        <f t="shared" si="159"/>
        <v>-1000</v>
      </c>
      <c r="H9847" s="121" t="s">
        <v>6393</v>
      </c>
    </row>
    <row r="9848" spans="1:8" ht="15" x14ac:dyDescent="0.2">
      <c r="A9848" s="619">
        <v>44167</v>
      </c>
      <c r="B9848" s="222" t="s">
        <v>4553</v>
      </c>
      <c r="C9848" s="586" t="s">
        <v>3145</v>
      </c>
      <c r="D9848" s="890" t="s">
        <v>6402</v>
      </c>
      <c r="E9848" s="587">
        <v>1000</v>
      </c>
      <c r="F9848" s="247"/>
      <c r="G9848" s="249">
        <f t="shared" si="159"/>
        <v>-1000</v>
      </c>
      <c r="H9848" s="121" t="s">
        <v>6393</v>
      </c>
    </row>
    <row r="9849" spans="1:8" ht="15" x14ac:dyDescent="0.2">
      <c r="A9849" s="619">
        <v>44167</v>
      </c>
      <c r="B9849" s="222" t="s">
        <v>25</v>
      </c>
      <c r="C9849" s="586" t="s">
        <v>3145</v>
      </c>
      <c r="D9849" s="890" t="s">
        <v>6402</v>
      </c>
      <c r="E9849" s="587">
        <v>1000</v>
      </c>
      <c r="F9849" s="247"/>
      <c r="G9849" s="249">
        <f t="shared" si="159"/>
        <v>-1000</v>
      </c>
      <c r="H9849" s="121" t="s">
        <v>6393</v>
      </c>
    </row>
    <row r="9850" spans="1:8" ht="15" x14ac:dyDescent="0.2">
      <c r="A9850" s="619">
        <v>44167</v>
      </c>
      <c r="B9850" s="222" t="s">
        <v>6516</v>
      </c>
      <c r="C9850" s="222" t="s">
        <v>392</v>
      </c>
      <c r="D9850" s="805" t="s">
        <v>6403</v>
      </c>
      <c r="E9850" s="247">
        <v>800</v>
      </c>
      <c r="F9850" s="247"/>
      <c r="G9850" s="249">
        <f t="shared" si="159"/>
        <v>-800</v>
      </c>
      <c r="H9850" s="121" t="s">
        <v>6393</v>
      </c>
    </row>
    <row r="9851" spans="1:8" ht="15" x14ac:dyDescent="0.2">
      <c r="A9851" s="619">
        <v>44167</v>
      </c>
      <c r="B9851" s="222" t="s">
        <v>2652</v>
      </c>
      <c r="C9851" s="222" t="s">
        <v>2190</v>
      </c>
      <c r="D9851" s="805"/>
      <c r="E9851" s="247">
        <v>300</v>
      </c>
      <c r="F9851" s="247"/>
      <c r="G9851" s="249">
        <f t="shared" si="159"/>
        <v>-300</v>
      </c>
      <c r="H9851" s="121" t="s">
        <v>6393</v>
      </c>
    </row>
    <row r="9852" spans="1:8" ht="24" x14ac:dyDescent="0.2">
      <c r="A9852" s="619">
        <v>44168</v>
      </c>
      <c r="B9852" s="222" t="s">
        <v>2652</v>
      </c>
      <c r="C9852" s="222" t="s">
        <v>2196</v>
      </c>
      <c r="D9852" s="805" t="s">
        <v>6404</v>
      </c>
      <c r="E9852" s="247">
        <v>5470</v>
      </c>
      <c r="F9852" s="247"/>
      <c r="G9852" s="249">
        <f t="shared" si="159"/>
        <v>-5470</v>
      </c>
      <c r="H9852" s="121" t="s">
        <v>6393</v>
      </c>
    </row>
    <row r="9853" spans="1:8" ht="36" x14ac:dyDescent="0.2">
      <c r="A9853" s="619">
        <v>44168</v>
      </c>
      <c r="B9853" s="222" t="s">
        <v>1400</v>
      </c>
      <c r="C9853" s="222" t="s">
        <v>6405</v>
      </c>
      <c r="D9853" s="805" t="s">
        <v>6406</v>
      </c>
      <c r="E9853" s="247">
        <v>150000</v>
      </c>
      <c r="F9853" s="247"/>
      <c r="G9853" s="249">
        <f t="shared" si="159"/>
        <v>-150000</v>
      </c>
      <c r="H9853" s="121" t="s">
        <v>6393</v>
      </c>
    </row>
    <row r="9854" spans="1:8" ht="15" x14ac:dyDescent="0.2">
      <c r="A9854" s="619">
        <v>44168</v>
      </c>
      <c r="B9854" s="222" t="s">
        <v>1400</v>
      </c>
      <c r="C9854" s="222" t="s">
        <v>286</v>
      </c>
      <c r="D9854" s="805" t="s">
        <v>5254</v>
      </c>
      <c r="E9854" s="247">
        <v>4200</v>
      </c>
      <c r="F9854" s="247"/>
      <c r="G9854" s="249">
        <f t="shared" si="159"/>
        <v>-4200</v>
      </c>
      <c r="H9854" s="121" t="s">
        <v>6393</v>
      </c>
    </row>
    <row r="9855" spans="1:8" ht="15" x14ac:dyDescent="0.2">
      <c r="A9855" s="619">
        <v>44169</v>
      </c>
      <c r="B9855" s="222" t="s">
        <v>1400</v>
      </c>
      <c r="C9855" s="222" t="s">
        <v>392</v>
      </c>
      <c r="D9855" s="805" t="s">
        <v>6407</v>
      </c>
      <c r="E9855" s="247">
        <v>600</v>
      </c>
      <c r="F9855" s="247"/>
      <c r="G9855" s="249">
        <f t="shared" si="159"/>
        <v>-600</v>
      </c>
      <c r="H9855" s="121" t="s">
        <v>6393</v>
      </c>
    </row>
    <row r="9856" spans="1:8" ht="15" customHeight="1" x14ac:dyDescent="0.2">
      <c r="A9856" s="619">
        <v>44169</v>
      </c>
      <c r="B9856" s="222" t="s">
        <v>6408</v>
      </c>
      <c r="C9856" s="222" t="s">
        <v>2190</v>
      </c>
      <c r="D9856" s="805"/>
      <c r="E9856" s="247">
        <v>720</v>
      </c>
      <c r="F9856" s="247"/>
      <c r="G9856" s="249">
        <f t="shared" si="159"/>
        <v>-720</v>
      </c>
      <c r="H9856" s="121" t="s">
        <v>6393</v>
      </c>
    </row>
    <row r="9857" spans="1:8" ht="15" x14ac:dyDescent="0.2">
      <c r="A9857" s="619">
        <v>44170</v>
      </c>
      <c r="B9857" s="222" t="s">
        <v>1400</v>
      </c>
      <c r="C9857" s="222" t="s">
        <v>6312</v>
      </c>
      <c r="D9857" s="805" t="s">
        <v>6409</v>
      </c>
      <c r="E9857" s="247">
        <v>25000</v>
      </c>
      <c r="F9857" s="247"/>
      <c r="G9857" s="249">
        <f t="shared" si="159"/>
        <v>-25000</v>
      </c>
      <c r="H9857" s="121" t="s">
        <v>6393</v>
      </c>
    </row>
    <row r="9858" spans="1:8" ht="15" x14ac:dyDescent="0.2">
      <c r="A9858" s="619">
        <v>44170</v>
      </c>
      <c r="B9858" s="222" t="s">
        <v>1400</v>
      </c>
      <c r="C9858" s="222" t="s">
        <v>3145</v>
      </c>
      <c r="D9858" s="805" t="s">
        <v>6411</v>
      </c>
      <c r="E9858" s="247">
        <v>5300</v>
      </c>
      <c r="F9858" s="247"/>
      <c r="G9858" s="249">
        <f t="shared" si="159"/>
        <v>-5300</v>
      </c>
      <c r="H9858" s="121" t="s">
        <v>6393</v>
      </c>
    </row>
    <row r="9859" spans="1:8" ht="15" x14ac:dyDescent="0.2">
      <c r="A9859" s="619">
        <v>44170</v>
      </c>
      <c r="B9859" s="222" t="s">
        <v>2652</v>
      </c>
      <c r="C9859" s="586" t="s">
        <v>3145</v>
      </c>
      <c r="D9859" s="890" t="s">
        <v>6420</v>
      </c>
      <c r="E9859" s="587">
        <v>9405</v>
      </c>
      <c r="F9859" s="247"/>
      <c r="G9859" s="249">
        <f t="shared" si="159"/>
        <v>-9405</v>
      </c>
      <c r="H9859" s="121" t="s">
        <v>6393</v>
      </c>
    </row>
    <row r="9860" spans="1:8" ht="15" x14ac:dyDescent="0.2">
      <c r="A9860" s="619">
        <v>44170</v>
      </c>
      <c r="B9860" s="222" t="s">
        <v>2933</v>
      </c>
      <c r="C9860" s="586" t="s">
        <v>3145</v>
      </c>
      <c r="D9860" s="890" t="s">
        <v>6420</v>
      </c>
      <c r="E9860" s="587">
        <v>4510</v>
      </c>
      <c r="F9860" s="247"/>
      <c r="G9860" s="249">
        <f t="shared" si="159"/>
        <v>-4510</v>
      </c>
      <c r="H9860" s="121" t="s">
        <v>6393</v>
      </c>
    </row>
    <row r="9861" spans="1:8" ht="15" x14ac:dyDescent="0.2">
      <c r="A9861" s="619">
        <v>44170</v>
      </c>
      <c r="B9861" s="222" t="s">
        <v>5604</v>
      </c>
      <c r="C9861" s="586" t="s">
        <v>3145</v>
      </c>
      <c r="D9861" s="890" t="s">
        <v>6420</v>
      </c>
      <c r="E9861" s="587">
        <v>500</v>
      </c>
      <c r="F9861" s="247"/>
      <c r="G9861" s="249">
        <f t="shared" si="159"/>
        <v>-500</v>
      </c>
      <c r="H9861" s="121" t="s">
        <v>6393</v>
      </c>
    </row>
    <row r="9862" spans="1:8" ht="15" x14ac:dyDescent="0.2">
      <c r="A9862" s="619">
        <v>44172</v>
      </c>
      <c r="B9862" s="222" t="s">
        <v>25</v>
      </c>
      <c r="C9862" s="222" t="s">
        <v>2428</v>
      </c>
      <c r="D9862" s="805" t="s">
        <v>2110</v>
      </c>
      <c r="E9862" s="247">
        <v>3000</v>
      </c>
      <c r="F9862" s="247"/>
      <c r="G9862" s="249">
        <f t="shared" si="159"/>
        <v>-3000</v>
      </c>
      <c r="H9862" s="121" t="s">
        <v>6393</v>
      </c>
    </row>
    <row r="9863" spans="1:8" ht="15" x14ac:dyDescent="0.2">
      <c r="A9863" s="619">
        <v>44172</v>
      </c>
      <c r="B9863" s="222" t="s">
        <v>1400</v>
      </c>
      <c r="C9863" s="222" t="s">
        <v>392</v>
      </c>
      <c r="D9863" s="805" t="s">
        <v>6333</v>
      </c>
      <c r="E9863" s="247">
        <v>1000</v>
      </c>
      <c r="F9863" s="247"/>
      <c r="G9863" s="249">
        <f t="shared" si="159"/>
        <v>-1000</v>
      </c>
      <c r="H9863" s="121" t="s">
        <v>6393</v>
      </c>
    </row>
    <row r="9864" spans="1:8" ht="15" x14ac:dyDescent="0.2">
      <c r="A9864" s="619">
        <v>44173</v>
      </c>
      <c r="B9864" s="222" t="s">
        <v>1400</v>
      </c>
      <c r="C9864" s="222" t="s">
        <v>6141</v>
      </c>
      <c r="D9864" s="805" t="s">
        <v>6421</v>
      </c>
      <c r="E9864" s="247">
        <v>47000</v>
      </c>
      <c r="F9864" s="247"/>
      <c r="G9864" s="249">
        <f t="shared" si="159"/>
        <v>-47000</v>
      </c>
      <c r="H9864" s="121" t="s">
        <v>6393</v>
      </c>
    </row>
    <row r="9865" spans="1:8" ht="15" x14ac:dyDescent="0.2">
      <c r="A9865" s="619">
        <v>44173</v>
      </c>
      <c r="B9865" s="222" t="s">
        <v>2652</v>
      </c>
      <c r="C9865" s="222" t="s">
        <v>3145</v>
      </c>
      <c r="D9865" s="805" t="s">
        <v>6422</v>
      </c>
      <c r="E9865" s="247">
        <v>2110</v>
      </c>
      <c r="F9865" s="247"/>
      <c r="G9865" s="249">
        <f t="shared" si="159"/>
        <v>-2110</v>
      </c>
      <c r="H9865" s="121" t="s">
        <v>6393</v>
      </c>
    </row>
    <row r="9866" spans="1:8" ht="15" x14ac:dyDescent="0.2">
      <c r="A9866" s="619">
        <v>44173</v>
      </c>
      <c r="B9866" s="222" t="s">
        <v>5641</v>
      </c>
      <c r="C9866" s="222" t="s">
        <v>6423</v>
      </c>
      <c r="D9866" s="805" t="s">
        <v>6424</v>
      </c>
      <c r="E9866" s="247">
        <v>15000</v>
      </c>
      <c r="F9866" s="247"/>
      <c r="G9866" s="249">
        <f t="shared" si="159"/>
        <v>-15000</v>
      </c>
      <c r="H9866" s="121" t="s">
        <v>6393</v>
      </c>
    </row>
    <row r="9867" spans="1:8" ht="15" x14ac:dyDescent="0.2">
      <c r="A9867" s="619">
        <v>44173</v>
      </c>
      <c r="B9867" s="222" t="s">
        <v>5641</v>
      </c>
      <c r="C9867" s="222" t="s">
        <v>6423</v>
      </c>
      <c r="D9867" s="805" t="s">
        <v>6424</v>
      </c>
      <c r="E9867" s="247">
        <v>30000</v>
      </c>
      <c r="F9867" s="247"/>
      <c r="G9867" s="249">
        <f t="shared" si="159"/>
        <v>-30000</v>
      </c>
      <c r="H9867" s="121" t="s">
        <v>6393</v>
      </c>
    </row>
    <row r="9868" spans="1:8" ht="15" x14ac:dyDescent="0.2">
      <c r="A9868" s="619">
        <v>44174</v>
      </c>
      <c r="B9868" s="222" t="s">
        <v>1400</v>
      </c>
      <c r="C9868" s="222" t="s">
        <v>5741</v>
      </c>
      <c r="D9868" s="805" t="s">
        <v>6425</v>
      </c>
      <c r="E9868" s="247">
        <v>1500</v>
      </c>
      <c r="F9868" s="247"/>
      <c r="G9868" s="249">
        <f t="shared" si="159"/>
        <v>-1500</v>
      </c>
      <c r="H9868" s="121" t="s">
        <v>6393</v>
      </c>
    </row>
    <row r="9869" spans="1:8" ht="15" x14ac:dyDescent="0.2">
      <c r="A9869" s="619">
        <v>44174</v>
      </c>
      <c r="B9869" s="222" t="s">
        <v>37</v>
      </c>
      <c r="C9869" s="222" t="s">
        <v>286</v>
      </c>
      <c r="D9869" s="805" t="s">
        <v>3794</v>
      </c>
      <c r="E9869" s="247">
        <v>3000</v>
      </c>
      <c r="F9869" s="247"/>
      <c r="G9869" s="249">
        <f t="shared" si="159"/>
        <v>-3000</v>
      </c>
      <c r="H9869" s="121" t="s">
        <v>6393</v>
      </c>
    </row>
    <row r="9870" spans="1:8" ht="15" x14ac:dyDescent="0.2">
      <c r="A9870" s="619">
        <v>44174</v>
      </c>
      <c r="B9870" s="222" t="s">
        <v>2933</v>
      </c>
      <c r="C9870" s="222" t="s">
        <v>286</v>
      </c>
      <c r="D9870" s="805" t="s">
        <v>3794</v>
      </c>
      <c r="E9870" s="247">
        <v>2000</v>
      </c>
      <c r="F9870" s="247"/>
      <c r="G9870" s="249">
        <f t="shared" si="159"/>
        <v>-2000</v>
      </c>
      <c r="H9870" s="121" t="s">
        <v>6393</v>
      </c>
    </row>
    <row r="9871" spans="1:8" ht="15" x14ac:dyDescent="0.2">
      <c r="A9871" s="619">
        <v>44174</v>
      </c>
      <c r="B9871" s="222" t="s">
        <v>6516</v>
      </c>
      <c r="C9871" s="222" t="s">
        <v>286</v>
      </c>
      <c r="D9871" s="805" t="s">
        <v>3794</v>
      </c>
      <c r="E9871" s="247">
        <v>2000</v>
      </c>
      <c r="F9871" s="247"/>
      <c r="G9871" s="249">
        <f t="shared" si="159"/>
        <v>-2000</v>
      </c>
      <c r="H9871" s="121" t="s">
        <v>6393</v>
      </c>
    </row>
    <row r="9872" spans="1:8" ht="15" x14ac:dyDescent="0.2">
      <c r="A9872" s="619">
        <v>44174</v>
      </c>
      <c r="B9872" s="222" t="s">
        <v>1400</v>
      </c>
      <c r="C9872" s="222" t="s">
        <v>3145</v>
      </c>
      <c r="D9872" s="805" t="s">
        <v>6426</v>
      </c>
      <c r="E9872" s="247">
        <v>13645</v>
      </c>
      <c r="F9872" s="247"/>
      <c r="G9872" s="249">
        <f t="shared" si="159"/>
        <v>-13645</v>
      </c>
      <c r="H9872" s="121" t="s">
        <v>6393</v>
      </c>
    </row>
    <row r="9873" spans="1:8" ht="15" x14ac:dyDescent="0.2">
      <c r="A9873" s="619">
        <v>44174</v>
      </c>
      <c r="B9873" s="222" t="s">
        <v>16</v>
      </c>
      <c r="C9873" s="222" t="s">
        <v>6427</v>
      </c>
      <c r="D9873" s="805" t="s">
        <v>6428</v>
      </c>
      <c r="E9873" s="247">
        <v>120</v>
      </c>
      <c r="F9873" s="247"/>
      <c r="G9873" s="249">
        <f t="shared" si="159"/>
        <v>-120</v>
      </c>
      <c r="H9873" s="121" t="s">
        <v>6393</v>
      </c>
    </row>
    <row r="9874" spans="1:8" ht="15" customHeight="1" x14ac:dyDescent="0.2">
      <c r="A9874" s="619">
        <v>44175</v>
      </c>
      <c r="B9874" s="222" t="s">
        <v>16</v>
      </c>
      <c r="C9874" s="222" t="s">
        <v>3364</v>
      </c>
      <c r="D9874" s="805"/>
      <c r="E9874" s="247">
        <v>3954</v>
      </c>
      <c r="F9874" s="247"/>
      <c r="G9874" s="249">
        <f t="shared" si="159"/>
        <v>-3954</v>
      </c>
      <c r="H9874" s="121" t="s">
        <v>6393</v>
      </c>
    </row>
    <row r="9875" spans="1:8" ht="15" customHeight="1" x14ac:dyDescent="0.2">
      <c r="A9875" s="619">
        <v>44175</v>
      </c>
      <c r="B9875" s="222" t="s">
        <v>37</v>
      </c>
      <c r="C9875" s="222" t="s">
        <v>392</v>
      </c>
      <c r="D9875" s="805" t="s">
        <v>6429</v>
      </c>
      <c r="E9875" s="247">
        <v>2000</v>
      </c>
      <c r="F9875" s="247"/>
      <c r="G9875" s="249">
        <f t="shared" si="159"/>
        <v>-2000</v>
      </c>
      <c r="H9875" s="121" t="s">
        <v>6393</v>
      </c>
    </row>
    <row r="9876" spans="1:8" ht="15" x14ac:dyDescent="0.2">
      <c r="A9876" s="619">
        <v>44175</v>
      </c>
      <c r="B9876" s="222" t="s">
        <v>2933</v>
      </c>
      <c r="C9876" s="222" t="s">
        <v>1495</v>
      </c>
      <c r="D9876" s="805"/>
      <c r="E9876" s="247">
        <v>800</v>
      </c>
      <c r="F9876" s="247"/>
      <c r="G9876" s="249">
        <f t="shared" si="159"/>
        <v>-800</v>
      </c>
      <c r="H9876" s="121" t="s">
        <v>6393</v>
      </c>
    </row>
    <row r="9877" spans="1:8" ht="36" x14ac:dyDescent="0.2">
      <c r="A9877" s="619">
        <v>44175</v>
      </c>
      <c r="B9877" s="222" t="s">
        <v>1400</v>
      </c>
      <c r="C9877" s="586" t="s">
        <v>3145</v>
      </c>
      <c r="D9877" s="890" t="s">
        <v>9197</v>
      </c>
      <c r="E9877" s="587">
        <v>58569</v>
      </c>
      <c r="F9877" s="247"/>
      <c r="G9877" s="249">
        <f t="shared" si="159"/>
        <v>-58569</v>
      </c>
      <c r="H9877" s="121" t="s">
        <v>6393</v>
      </c>
    </row>
    <row r="9878" spans="1:8" ht="15" x14ac:dyDescent="0.2">
      <c r="A9878" s="619">
        <v>44177</v>
      </c>
      <c r="B9878" s="222" t="s">
        <v>2652</v>
      </c>
      <c r="C9878" s="222" t="s">
        <v>6423</v>
      </c>
      <c r="D9878" s="805" t="s">
        <v>3056</v>
      </c>
      <c r="E9878" s="247">
        <v>1400</v>
      </c>
      <c r="F9878" s="247"/>
      <c r="G9878" s="249">
        <f t="shared" si="159"/>
        <v>-1400</v>
      </c>
      <c r="H9878" s="121" t="s">
        <v>6393</v>
      </c>
    </row>
    <row r="9879" spans="1:8" ht="15" x14ac:dyDescent="0.2">
      <c r="A9879" s="619">
        <v>44179</v>
      </c>
      <c r="B9879" s="222" t="s">
        <v>16</v>
      </c>
      <c r="C9879" s="586" t="s">
        <v>1689</v>
      </c>
      <c r="D9879" s="890" t="s">
        <v>6343</v>
      </c>
      <c r="E9879" s="587">
        <v>2010</v>
      </c>
      <c r="F9879" s="247"/>
      <c r="G9879" s="249">
        <f t="shared" si="159"/>
        <v>-2010</v>
      </c>
      <c r="H9879" s="121" t="s">
        <v>6393</v>
      </c>
    </row>
    <row r="9880" spans="1:8" ht="15" x14ac:dyDescent="0.2">
      <c r="A9880" s="619">
        <v>44179</v>
      </c>
      <c r="B9880" s="222" t="s">
        <v>25</v>
      </c>
      <c r="C9880" s="586" t="s">
        <v>1689</v>
      </c>
      <c r="D9880" s="890" t="s">
        <v>6343</v>
      </c>
      <c r="E9880" s="587">
        <v>7770</v>
      </c>
      <c r="F9880" s="247"/>
      <c r="G9880" s="249">
        <f t="shared" si="159"/>
        <v>-7770</v>
      </c>
      <c r="H9880" s="121" t="s">
        <v>6393</v>
      </c>
    </row>
    <row r="9881" spans="1:8" ht="15" x14ac:dyDescent="0.2">
      <c r="A9881" s="619">
        <v>44180</v>
      </c>
      <c r="B9881" s="222" t="s">
        <v>25</v>
      </c>
      <c r="C9881" s="222" t="s">
        <v>2428</v>
      </c>
      <c r="D9881" s="805" t="s">
        <v>6430</v>
      </c>
      <c r="E9881" s="247">
        <v>12000</v>
      </c>
      <c r="F9881" s="247"/>
      <c r="G9881" s="249">
        <f t="shared" si="159"/>
        <v>-12000</v>
      </c>
      <c r="H9881" s="121" t="s">
        <v>6393</v>
      </c>
    </row>
    <row r="9882" spans="1:8" ht="24" x14ac:dyDescent="0.2">
      <c r="A9882" s="619">
        <v>44180</v>
      </c>
      <c r="B9882" s="222" t="s">
        <v>25</v>
      </c>
      <c r="C9882" s="222" t="s">
        <v>2428</v>
      </c>
      <c r="D9882" s="805" t="s">
        <v>6431</v>
      </c>
      <c r="E9882" s="247">
        <v>90000</v>
      </c>
      <c r="F9882" s="247"/>
      <c r="G9882" s="249">
        <f t="shared" si="159"/>
        <v>-90000</v>
      </c>
      <c r="H9882" s="121" t="s">
        <v>6393</v>
      </c>
    </row>
    <row r="9883" spans="1:8" ht="15" x14ac:dyDescent="0.2">
      <c r="A9883" s="619">
        <v>44180</v>
      </c>
      <c r="B9883" s="222" t="s">
        <v>1400</v>
      </c>
      <c r="C9883" s="222" t="s">
        <v>6009</v>
      </c>
      <c r="D9883" s="805" t="s">
        <v>6432</v>
      </c>
      <c r="E9883" s="247">
        <v>36450</v>
      </c>
      <c r="F9883" s="247"/>
      <c r="G9883" s="249">
        <f t="shared" si="159"/>
        <v>-36450</v>
      </c>
      <c r="H9883" s="121" t="s">
        <v>6393</v>
      </c>
    </row>
    <row r="9884" spans="1:8" ht="15" x14ac:dyDescent="0.2">
      <c r="A9884" s="619">
        <v>44180</v>
      </c>
      <c r="B9884" s="222" t="s">
        <v>37</v>
      </c>
      <c r="C9884" s="586" t="s">
        <v>3003</v>
      </c>
      <c r="D9884" s="890" t="s">
        <v>370</v>
      </c>
      <c r="E9884" s="587">
        <v>12960</v>
      </c>
      <c r="F9884" s="247"/>
      <c r="G9884" s="249">
        <f t="shared" si="159"/>
        <v>-12960</v>
      </c>
      <c r="H9884" s="121" t="s">
        <v>6393</v>
      </c>
    </row>
    <row r="9885" spans="1:8" ht="15" x14ac:dyDescent="0.2">
      <c r="A9885" s="619">
        <v>44180</v>
      </c>
      <c r="B9885" s="222" t="s">
        <v>3945</v>
      </c>
      <c r="C9885" s="586" t="s">
        <v>3003</v>
      </c>
      <c r="D9885" s="890" t="s">
        <v>370</v>
      </c>
      <c r="E9885" s="587">
        <v>5200</v>
      </c>
      <c r="F9885" s="247"/>
      <c r="G9885" s="249">
        <f t="shared" si="159"/>
        <v>-5200</v>
      </c>
      <c r="H9885" s="121" t="s">
        <v>6393</v>
      </c>
    </row>
    <row r="9886" spans="1:8" ht="15" x14ac:dyDescent="0.2">
      <c r="A9886" s="619">
        <v>44180</v>
      </c>
      <c r="B9886" s="222" t="s">
        <v>3946</v>
      </c>
      <c r="C9886" s="586" t="s">
        <v>3003</v>
      </c>
      <c r="D9886" s="890" t="s">
        <v>370</v>
      </c>
      <c r="E9886" s="587">
        <v>15080</v>
      </c>
      <c r="F9886" s="247"/>
      <c r="G9886" s="249">
        <f t="shared" si="159"/>
        <v>-15080</v>
      </c>
      <c r="H9886" s="121" t="s">
        <v>6393</v>
      </c>
    </row>
    <row r="9887" spans="1:8" ht="15" x14ac:dyDescent="0.2">
      <c r="A9887" s="619">
        <v>44182</v>
      </c>
      <c r="B9887" s="222" t="s">
        <v>1400</v>
      </c>
      <c r="C9887" s="222" t="s">
        <v>6141</v>
      </c>
      <c r="D9887" s="805" t="s">
        <v>6441</v>
      </c>
      <c r="E9887" s="247">
        <v>10000</v>
      </c>
      <c r="F9887" s="247"/>
      <c r="G9887" s="247">
        <f t="shared" si="159"/>
        <v>-10000</v>
      </c>
      <c r="H9887" s="121" t="s">
        <v>6393</v>
      </c>
    </row>
    <row r="9888" spans="1:8" ht="15" x14ac:dyDescent="0.2">
      <c r="A9888" s="619">
        <v>44182</v>
      </c>
      <c r="B9888" s="222" t="s">
        <v>6516</v>
      </c>
      <c r="C9888" s="222" t="s">
        <v>392</v>
      </c>
      <c r="D9888" s="805" t="s">
        <v>6442</v>
      </c>
      <c r="E9888" s="247">
        <v>5000</v>
      </c>
      <c r="F9888" s="247"/>
      <c r="G9888" s="247">
        <f t="shared" si="159"/>
        <v>-5000</v>
      </c>
      <c r="H9888" s="121" t="s">
        <v>6393</v>
      </c>
    </row>
    <row r="9889" spans="1:8" ht="15" x14ac:dyDescent="0.2">
      <c r="A9889" s="619">
        <v>44182</v>
      </c>
      <c r="B9889" s="222" t="s">
        <v>1400</v>
      </c>
      <c r="C9889" s="222" t="s">
        <v>6443</v>
      </c>
      <c r="D9889" s="805" t="s">
        <v>6444</v>
      </c>
      <c r="E9889" s="247">
        <v>14000</v>
      </c>
      <c r="F9889" s="247"/>
      <c r="G9889" s="247">
        <f t="shared" si="159"/>
        <v>-14000</v>
      </c>
      <c r="H9889" s="121" t="s">
        <v>6393</v>
      </c>
    </row>
    <row r="9890" spans="1:8" ht="15" x14ac:dyDescent="0.2">
      <c r="A9890" s="619">
        <v>44183</v>
      </c>
      <c r="B9890" s="222" t="s">
        <v>6516</v>
      </c>
      <c r="C9890" s="222" t="s">
        <v>392</v>
      </c>
      <c r="D9890" s="805" t="s">
        <v>6442</v>
      </c>
      <c r="E9890" s="247">
        <v>10000</v>
      </c>
      <c r="F9890" s="247"/>
      <c r="G9890" s="247">
        <f t="shared" si="159"/>
        <v>-10000</v>
      </c>
      <c r="H9890" s="121" t="s">
        <v>6393</v>
      </c>
    </row>
    <row r="9891" spans="1:8" ht="15" x14ac:dyDescent="0.2">
      <c r="A9891" s="619">
        <v>44184</v>
      </c>
      <c r="B9891" s="222" t="s">
        <v>25</v>
      </c>
      <c r="C9891" s="222" t="s">
        <v>4065</v>
      </c>
      <c r="D9891" s="805" t="s">
        <v>2141</v>
      </c>
      <c r="E9891" s="247">
        <v>600</v>
      </c>
      <c r="F9891" s="247"/>
      <c r="G9891" s="247">
        <f t="shared" si="159"/>
        <v>-600</v>
      </c>
      <c r="H9891" s="121" t="s">
        <v>6393</v>
      </c>
    </row>
    <row r="9892" spans="1:8" ht="15" x14ac:dyDescent="0.2">
      <c r="A9892" s="619">
        <v>44184</v>
      </c>
      <c r="B9892" s="222" t="s">
        <v>2652</v>
      </c>
      <c r="C9892" s="222" t="s">
        <v>5741</v>
      </c>
      <c r="D9892" s="805" t="s">
        <v>6264</v>
      </c>
      <c r="E9892" s="247">
        <v>200</v>
      </c>
      <c r="F9892" s="247"/>
      <c r="G9892" s="247">
        <f t="shared" si="159"/>
        <v>-200</v>
      </c>
      <c r="H9892" s="121" t="s">
        <v>6393</v>
      </c>
    </row>
    <row r="9893" spans="1:8" ht="15" x14ac:dyDescent="0.2">
      <c r="A9893" s="619">
        <v>44184</v>
      </c>
      <c r="B9893" s="222" t="s">
        <v>1400</v>
      </c>
      <c r="C9893" s="222" t="s">
        <v>6445</v>
      </c>
      <c r="D9893" s="805" t="s">
        <v>2108</v>
      </c>
      <c r="E9893" s="247">
        <v>600</v>
      </c>
      <c r="F9893" s="247"/>
      <c r="G9893" s="247">
        <f t="shared" si="159"/>
        <v>-600</v>
      </c>
      <c r="H9893" s="121" t="s">
        <v>6393</v>
      </c>
    </row>
    <row r="9894" spans="1:8" ht="15" x14ac:dyDescent="0.2">
      <c r="A9894" s="619">
        <v>44184</v>
      </c>
      <c r="B9894" s="222" t="s">
        <v>6408</v>
      </c>
      <c r="C9894" s="222" t="s">
        <v>551</v>
      </c>
      <c r="D9894" s="805" t="s">
        <v>2108</v>
      </c>
      <c r="E9894" s="247">
        <v>600</v>
      </c>
      <c r="F9894" s="247"/>
      <c r="G9894" s="247">
        <f t="shared" si="159"/>
        <v>-600</v>
      </c>
      <c r="H9894" s="121" t="s">
        <v>6393</v>
      </c>
    </row>
    <row r="9895" spans="1:8" ht="15" x14ac:dyDescent="0.2">
      <c r="A9895" s="619">
        <v>44185</v>
      </c>
      <c r="B9895" s="222" t="s">
        <v>6516</v>
      </c>
      <c r="C9895" s="222" t="s">
        <v>392</v>
      </c>
      <c r="D9895" s="805" t="s">
        <v>6446</v>
      </c>
      <c r="E9895" s="247">
        <v>450</v>
      </c>
      <c r="F9895" s="247"/>
      <c r="G9895" s="247">
        <f t="shared" si="159"/>
        <v>-450</v>
      </c>
      <c r="H9895" s="121" t="s">
        <v>6393</v>
      </c>
    </row>
    <row r="9896" spans="1:8" ht="15" x14ac:dyDescent="0.2">
      <c r="A9896" s="619">
        <v>44186</v>
      </c>
      <c r="B9896" s="222" t="s">
        <v>25</v>
      </c>
      <c r="C9896" s="222" t="s">
        <v>4065</v>
      </c>
      <c r="D9896" s="805" t="s">
        <v>6448</v>
      </c>
      <c r="E9896" s="247">
        <v>3000</v>
      </c>
      <c r="F9896" s="247"/>
      <c r="G9896" s="247">
        <f t="shared" si="159"/>
        <v>-3000</v>
      </c>
      <c r="H9896" s="121" t="s">
        <v>6393</v>
      </c>
    </row>
    <row r="9897" spans="1:8" ht="15" x14ac:dyDescent="0.2">
      <c r="A9897" s="619">
        <v>44187</v>
      </c>
      <c r="B9897" s="222" t="s">
        <v>2933</v>
      </c>
      <c r="C9897" s="222" t="s">
        <v>3145</v>
      </c>
      <c r="D9897" s="805" t="s">
        <v>6344</v>
      </c>
      <c r="E9897" s="247">
        <v>9540</v>
      </c>
      <c r="F9897" s="247"/>
      <c r="G9897" s="247">
        <f t="shared" ref="G9897:G9960" si="160">F9897-E9897</f>
        <v>-9540</v>
      </c>
      <c r="H9897" s="121" t="s">
        <v>6393</v>
      </c>
    </row>
    <row r="9898" spans="1:8" ht="15" x14ac:dyDescent="0.2">
      <c r="A9898" s="619">
        <v>44188</v>
      </c>
      <c r="B9898" s="222" t="s">
        <v>2652</v>
      </c>
      <c r="C9898" s="222" t="s">
        <v>3145</v>
      </c>
      <c r="D9898" s="805" t="s">
        <v>4291</v>
      </c>
      <c r="E9898" s="247">
        <v>5540</v>
      </c>
      <c r="F9898" s="247"/>
      <c r="G9898" s="247">
        <f t="shared" si="160"/>
        <v>-5540</v>
      </c>
      <c r="H9898" s="121" t="s">
        <v>6393</v>
      </c>
    </row>
    <row r="9899" spans="1:8" ht="15" x14ac:dyDescent="0.2">
      <c r="A9899" s="619">
        <v>44188</v>
      </c>
      <c r="B9899" s="222" t="s">
        <v>1400</v>
      </c>
      <c r="C9899" s="222" t="s">
        <v>3145</v>
      </c>
      <c r="D9899" s="805" t="s">
        <v>4450</v>
      </c>
      <c r="E9899" s="247">
        <v>33820</v>
      </c>
      <c r="F9899" s="247"/>
      <c r="G9899" s="247">
        <f t="shared" si="160"/>
        <v>-33820</v>
      </c>
      <c r="H9899" s="121" t="s">
        <v>6393</v>
      </c>
    </row>
    <row r="9900" spans="1:8" ht="15" x14ac:dyDescent="0.2">
      <c r="A9900" s="619">
        <v>44188</v>
      </c>
      <c r="B9900" s="222" t="s">
        <v>16</v>
      </c>
      <c r="C9900" s="586" t="s">
        <v>1689</v>
      </c>
      <c r="D9900" s="890" t="s">
        <v>6460</v>
      </c>
      <c r="E9900" s="587">
        <v>4942</v>
      </c>
      <c r="F9900" s="247"/>
      <c r="G9900" s="247">
        <f t="shared" si="160"/>
        <v>-4942</v>
      </c>
      <c r="H9900" s="121" t="s">
        <v>6393</v>
      </c>
    </row>
    <row r="9901" spans="1:8" ht="15" x14ac:dyDescent="0.2">
      <c r="A9901" s="619">
        <v>44188</v>
      </c>
      <c r="B9901" s="222" t="s">
        <v>25</v>
      </c>
      <c r="C9901" s="586" t="s">
        <v>1689</v>
      </c>
      <c r="D9901" s="890" t="s">
        <v>6460</v>
      </c>
      <c r="E9901" s="587">
        <v>12013</v>
      </c>
      <c r="F9901" s="247"/>
      <c r="G9901" s="247">
        <f t="shared" si="160"/>
        <v>-12013</v>
      </c>
      <c r="H9901" s="121" t="s">
        <v>6393</v>
      </c>
    </row>
    <row r="9902" spans="1:8" ht="15" x14ac:dyDescent="0.2">
      <c r="A9902" s="619">
        <v>44188</v>
      </c>
      <c r="B9902" s="222" t="s">
        <v>1400</v>
      </c>
      <c r="C9902" s="222" t="s">
        <v>392</v>
      </c>
      <c r="D9902" s="805" t="s">
        <v>6449</v>
      </c>
      <c r="E9902" s="247">
        <v>1000</v>
      </c>
      <c r="F9902" s="247"/>
      <c r="G9902" s="247">
        <f t="shared" si="160"/>
        <v>-1000</v>
      </c>
      <c r="H9902" s="121" t="s">
        <v>6393</v>
      </c>
    </row>
    <row r="9903" spans="1:8" ht="15" x14ac:dyDescent="0.2">
      <c r="A9903" s="619">
        <v>44189</v>
      </c>
      <c r="B9903" s="222" t="s">
        <v>6408</v>
      </c>
      <c r="C9903" s="222" t="s">
        <v>5741</v>
      </c>
      <c r="D9903" s="805" t="s">
        <v>6450</v>
      </c>
      <c r="E9903" s="247">
        <v>1500</v>
      </c>
      <c r="F9903" s="247"/>
      <c r="G9903" s="247">
        <f t="shared" si="160"/>
        <v>-1500</v>
      </c>
      <c r="H9903" s="121" t="s">
        <v>6393</v>
      </c>
    </row>
    <row r="9904" spans="1:8" ht="15" x14ac:dyDescent="0.2">
      <c r="A9904" s="619">
        <v>44191</v>
      </c>
      <c r="B9904" s="222" t="s">
        <v>11</v>
      </c>
      <c r="C9904" s="222" t="s">
        <v>392</v>
      </c>
      <c r="D9904" s="805" t="s">
        <v>6451</v>
      </c>
      <c r="E9904" s="247">
        <v>300</v>
      </c>
      <c r="F9904" s="247"/>
      <c r="G9904" s="247">
        <f t="shared" si="160"/>
        <v>-300</v>
      </c>
      <c r="H9904" s="121" t="s">
        <v>6393</v>
      </c>
    </row>
    <row r="9905" spans="1:8" ht="15" x14ac:dyDescent="0.2">
      <c r="A9905" s="619">
        <v>44191</v>
      </c>
      <c r="B9905" s="222" t="s">
        <v>6408</v>
      </c>
      <c r="C9905" s="222" t="s">
        <v>392</v>
      </c>
      <c r="D9905" s="805" t="s">
        <v>6452</v>
      </c>
      <c r="E9905" s="247">
        <v>680</v>
      </c>
      <c r="F9905" s="247"/>
      <c r="G9905" s="247">
        <f t="shared" si="160"/>
        <v>-680</v>
      </c>
      <c r="H9905" s="121" t="s">
        <v>6393</v>
      </c>
    </row>
    <row r="9906" spans="1:8" ht="15" x14ac:dyDescent="0.2">
      <c r="A9906" s="619">
        <v>44191</v>
      </c>
      <c r="B9906" s="222" t="s">
        <v>6447</v>
      </c>
      <c r="C9906" s="222" t="s">
        <v>2196</v>
      </c>
      <c r="D9906" s="805" t="s">
        <v>6453</v>
      </c>
      <c r="E9906" s="247">
        <v>11760</v>
      </c>
      <c r="F9906" s="247"/>
      <c r="G9906" s="247">
        <f t="shared" si="160"/>
        <v>-11760</v>
      </c>
      <c r="H9906" s="121" t="s">
        <v>6393</v>
      </c>
    </row>
    <row r="9907" spans="1:8" ht="15" x14ac:dyDescent="0.2">
      <c r="A9907" s="619">
        <v>44191</v>
      </c>
      <c r="B9907" s="222" t="s">
        <v>5544</v>
      </c>
      <c r="C9907" s="222" t="s">
        <v>392</v>
      </c>
      <c r="D9907" s="805" t="s">
        <v>6454</v>
      </c>
      <c r="E9907" s="247">
        <v>500</v>
      </c>
      <c r="F9907" s="247"/>
      <c r="G9907" s="247">
        <f t="shared" si="160"/>
        <v>-500</v>
      </c>
      <c r="H9907" s="121" t="s">
        <v>6393</v>
      </c>
    </row>
    <row r="9908" spans="1:8" ht="15" x14ac:dyDescent="0.2">
      <c r="A9908" s="619">
        <v>44193</v>
      </c>
      <c r="B9908" s="222" t="s">
        <v>6447</v>
      </c>
      <c r="C9908" s="222" t="s">
        <v>392</v>
      </c>
      <c r="D9908" s="805" t="s">
        <v>6455</v>
      </c>
      <c r="E9908" s="247">
        <v>500</v>
      </c>
      <c r="F9908" s="247"/>
      <c r="G9908" s="247">
        <f t="shared" si="160"/>
        <v>-500</v>
      </c>
      <c r="H9908" s="121" t="s">
        <v>6393</v>
      </c>
    </row>
    <row r="9909" spans="1:8" ht="15" x14ac:dyDescent="0.2">
      <c r="A9909" s="619">
        <v>44193</v>
      </c>
      <c r="B9909" s="222" t="s">
        <v>16</v>
      </c>
      <c r="C9909" s="222" t="s">
        <v>1689</v>
      </c>
      <c r="D9909" s="805" t="s">
        <v>6456</v>
      </c>
      <c r="E9909" s="247">
        <v>1838</v>
      </c>
      <c r="F9909" s="247"/>
      <c r="G9909" s="247">
        <f t="shared" si="160"/>
        <v>-1838</v>
      </c>
      <c r="H9909" s="121" t="s">
        <v>6393</v>
      </c>
    </row>
    <row r="9910" spans="1:8" ht="15" x14ac:dyDescent="0.2">
      <c r="A9910" s="619">
        <v>44193</v>
      </c>
      <c r="B9910" s="222" t="s">
        <v>25</v>
      </c>
      <c r="C9910" s="222" t="s">
        <v>1689</v>
      </c>
      <c r="D9910" s="805" t="s">
        <v>6310</v>
      </c>
      <c r="E9910" s="247">
        <v>560</v>
      </c>
      <c r="F9910" s="247"/>
      <c r="G9910" s="247">
        <f t="shared" si="160"/>
        <v>-560</v>
      </c>
      <c r="H9910" s="121" t="s">
        <v>6393</v>
      </c>
    </row>
    <row r="9911" spans="1:8" ht="15" x14ac:dyDescent="0.2">
      <c r="A9911" s="619">
        <v>44193</v>
      </c>
      <c r="B9911" s="222" t="s">
        <v>6408</v>
      </c>
      <c r="C9911" s="222" t="s">
        <v>2190</v>
      </c>
      <c r="D9911" s="805"/>
      <c r="E9911" s="247">
        <v>250</v>
      </c>
      <c r="F9911" s="247"/>
      <c r="G9911" s="247">
        <f t="shared" si="160"/>
        <v>-250</v>
      </c>
      <c r="H9911" s="121" t="s">
        <v>6393</v>
      </c>
    </row>
    <row r="9912" spans="1:8" ht="15" x14ac:dyDescent="0.2">
      <c r="A9912" s="619">
        <v>44193</v>
      </c>
      <c r="B9912" s="222" t="s">
        <v>16</v>
      </c>
      <c r="C9912" s="222" t="s">
        <v>2996</v>
      </c>
      <c r="D9912" s="805"/>
      <c r="E9912" s="247">
        <v>3000</v>
      </c>
      <c r="F9912" s="247"/>
      <c r="G9912" s="247">
        <f t="shared" si="160"/>
        <v>-3000</v>
      </c>
      <c r="H9912" s="121" t="s">
        <v>6393</v>
      </c>
    </row>
    <row r="9913" spans="1:8" ht="15" x14ac:dyDescent="0.2">
      <c r="A9913" s="619">
        <v>44193</v>
      </c>
      <c r="B9913" s="222" t="s">
        <v>11</v>
      </c>
      <c r="C9913" s="222" t="s">
        <v>392</v>
      </c>
      <c r="D9913" s="805" t="s">
        <v>6457</v>
      </c>
      <c r="E9913" s="247">
        <v>750</v>
      </c>
      <c r="F9913" s="247"/>
      <c r="G9913" s="247">
        <f t="shared" si="160"/>
        <v>-750</v>
      </c>
      <c r="H9913" s="121" t="s">
        <v>6393</v>
      </c>
    </row>
    <row r="9914" spans="1:8" ht="15" x14ac:dyDescent="0.2">
      <c r="A9914" s="619">
        <v>44193</v>
      </c>
      <c r="B9914" s="222" t="s">
        <v>6408</v>
      </c>
      <c r="C9914" s="222" t="s">
        <v>3145</v>
      </c>
      <c r="D9914" s="805" t="s">
        <v>1225</v>
      </c>
      <c r="E9914" s="247">
        <v>3500</v>
      </c>
      <c r="F9914" s="247"/>
      <c r="G9914" s="247">
        <f t="shared" si="160"/>
        <v>-3500</v>
      </c>
      <c r="H9914" s="121" t="s">
        <v>6393</v>
      </c>
    </row>
    <row r="9915" spans="1:8" ht="15" x14ac:dyDescent="0.2">
      <c r="A9915" s="619">
        <v>44195</v>
      </c>
      <c r="B9915" s="222" t="s">
        <v>6408</v>
      </c>
      <c r="C9915" s="222" t="s">
        <v>3145</v>
      </c>
      <c r="D9915" s="805" t="s">
        <v>6458</v>
      </c>
      <c r="E9915" s="247">
        <v>18600</v>
      </c>
      <c r="F9915" s="247"/>
      <c r="G9915" s="247">
        <f t="shared" si="160"/>
        <v>-18600</v>
      </c>
      <c r="H9915" s="121" t="s">
        <v>6393</v>
      </c>
    </row>
    <row r="9916" spans="1:8" ht="15" x14ac:dyDescent="0.2">
      <c r="A9916" s="619">
        <v>44195</v>
      </c>
      <c r="B9916" s="222" t="s">
        <v>1400</v>
      </c>
      <c r="C9916" s="222" t="s">
        <v>392</v>
      </c>
      <c r="D9916" s="805" t="s">
        <v>6459</v>
      </c>
      <c r="E9916" s="247">
        <v>5788</v>
      </c>
      <c r="F9916" s="247"/>
      <c r="G9916" s="247">
        <f t="shared" si="160"/>
        <v>-5788</v>
      </c>
      <c r="H9916" s="121" t="s">
        <v>6393</v>
      </c>
    </row>
    <row r="9917" spans="1:8" ht="15" x14ac:dyDescent="0.2">
      <c r="A9917" s="619">
        <v>44195</v>
      </c>
      <c r="B9917" s="222" t="s">
        <v>25</v>
      </c>
      <c r="C9917" s="222" t="s">
        <v>1005</v>
      </c>
      <c r="D9917" s="805"/>
      <c r="E9917" s="247">
        <v>650</v>
      </c>
      <c r="F9917" s="247"/>
      <c r="G9917" s="247">
        <f t="shared" si="160"/>
        <v>-650</v>
      </c>
      <c r="H9917" s="121" t="s">
        <v>6393</v>
      </c>
    </row>
    <row r="9918" spans="1:8" ht="15" x14ac:dyDescent="0.2">
      <c r="A9918" s="619">
        <v>44196</v>
      </c>
      <c r="B9918" s="222" t="s">
        <v>2933</v>
      </c>
      <c r="C9918" s="222" t="s">
        <v>3145</v>
      </c>
      <c r="D9918" s="805" t="s">
        <v>6465</v>
      </c>
      <c r="E9918" s="247">
        <v>8000</v>
      </c>
      <c r="F9918" s="247"/>
      <c r="G9918" s="247">
        <f t="shared" si="160"/>
        <v>-8000</v>
      </c>
      <c r="H9918" s="121" t="s">
        <v>6393</v>
      </c>
    </row>
    <row r="9919" spans="1:8" ht="15" x14ac:dyDescent="0.2">
      <c r="A9919" s="619">
        <v>44196</v>
      </c>
      <c r="B9919" s="222" t="s">
        <v>16</v>
      </c>
      <c r="C9919" s="222" t="s">
        <v>103</v>
      </c>
      <c r="D9919" s="805" t="s">
        <v>6468</v>
      </c>
      <c r="E9919" s="247">
        <v>13715</v>
      </c>
      <c r="F9919" s="247"/>
      <c r="G9919" s="247">
        <f t="shared" si="160"/>
        <v>-13715</v>
      </c>
      <c r="H9919" s="121" t="s">
        <v>6393</v>
      </c>
    </row>
    <row r="9920" spans="1:8" ht="15" x14ac:dyDescent="0.2">
      <c r="A9920" s="619">
        <v>44196</v>
      </c>
      <c r="B9920" s="222" t="s">
        <v>6408</v>
      </c>
      <c r="C9920" s="222" t="s">
        <v>2503</v>
      </c>
      <c r="D9920" s="805" t="s">
        <v>551</v>
      </c>
      <c r="E9920" s="247">
        <v>25000</v>
      </c>
      <c r="F9920" s="247"/>
      <c r="G9920" s="247">
        <f t="shared" si="160"/>
        <v>-25000</v>
      </c>
      <c r="H9920" s="121" t="s">
        <v>6393</v>
      </c>
    </row>
    <row r="9921" spans="1:8" ht="15" x14ac:dyDescent="0.2">
      <c r="A9921" s="619">
        <v>44196</v>
      </c>
      <c r="B9921" s="222" t="s">
        <v>1400</v>
      </c>
      <c r="C9921" s="222" t="s">
        <v>2503</v>
      </c>
      <c r="D9921" s="805" t="s">
        <v>551</v>
      </c>
      <c r="E9921" s="247">
        <v>25000</v>
      </c>
      <c r="F9921" s="247"/>
      <c r="G9921" s="247">
        <f t="shared" si="160"/>
        <v>-25000</v>
      </c>
      <c r="H9921" s="121" t="s">
        <v>6393</v>
      </c>
    </row>
    <row r="9922" spans="1:8" ht="15" x14ac:dyDescent="0.2">
      <c r="A9922" s="619">
        <v>44196</v>
      </c>
      <c r="B9922" s="222" t="s">
        <v>2933</v>
      </c>
      <c r="C9922" s="222" t="s">
        <v>2503</v>
      </c>
      <c r="D9922" s="805" t="s">
        <v>372</v>
      </c>
      <c r="E9922" s="247">
        <v>25000</v>
      </c>
      <c r="F9922" s="247"/>
      <c r="G9922" s="247">
        <f t="shared" si="160"/>
        <v>-25000</v>
      </c>
      <c r="H9922" s="121" t="s">
        <v>6393</v>
      </c>
    </row>
    <row r="9923" spans="1:8" ht="15" x14ac:dyDescent="0.2">
      <c r="A9923" s="619">
        <v>44196</v>
      </c>
      <c r="B9923" s="222" t="s">
        <v>2652</v>
      </c>
      <c r="C9923" s="222" t="s">
        <v>2503</v>
      </c>
      <c r="D9923" s="805" t="s">
        <v>372</v>
      </c>
      <c r="E9923" s="247">
        <v>25000</v>
      </c>
      <c r="F9923" s="247"/>
      <c r="G9923" s="247">
        <f t="shared" si="160"/>
        <v>-25000</v>
      </c>
      <c r="H9923" s="121" t="s">
        <v>6393</v>
      </c>
    </row>
    <row r="9924" spans="1:8" ht="15" x14ac:dyDescent="0.2">
      <c r="A9924" s="619">
        <v>44196</v>
      </c>
      <c r="B9924" s="222" t="s">
        <v>25</v>
      </c>
      <c r="C9924" s="222" t="s">
        <v>2503</v>
      </c>
      <c r="D9924" s="805" t="s">
        <v>6466</v>
      </c>
      <c r="E9924" s="247">
        <v>60000</v>
      </c>
      <c r="F9924" s="247"/>
      <c r="G9924" s="247">
        <f t="shared" si="160"/>
        <v>-60000</v>
      </c>
      <c r="H9924" s="121" t="s">
        <v>6393</v>
      </c>
    </row>
    <row r="9925" spans="1:8" ht="15" x14ac:dyDescent="0.2">
      <c r="A9925" s="619">
        <v>44196</v>
      </c>
      <c r="B9925" s="222" t="s">
        <v>16</v>
      </c>
      <c r="C9925" s="222" t="s">
        <v>2503</v>
      </c>
      <c r="D9925" s="805" t="s">
        <v>6467</v>
      </c>
      <c r="E9925" s="247">
        <v>66000</v>
      </c>
      <c r="F9925" s="247"/>
      <c r="G9925" s="247">
        <f t="shared" si="160"/>
        <v>-66000</v>
      </c>
      <c r="H9925" s="121" t="s">
        <v>6393</v>
      </c>
    </row>
    <row r="9926" spans="1:8" ht="15" x14ac:dyDescent="0.2">
      <c r="A9926" s="619">
        <v>44196</v>
      </c>
      <c r="B9926" s="222" t="s">
        <v>3945</v>
      </c>
      <c r="C9926" s="222" t="s">
        <v>2503</v>
      </c>
      <c r="D9926" s="805"/>
      <c r="E9926" s="247">
        <v>31500</v>
      </c>
      <c r="F9926" s="247"/>
      <c r="G9926" s="247">
        <f t="shared" si="160"/>
        <v>-31500</v>
      </c>
      <c r="H9926" s="121" t="s">
        <v>6393</v>
      </c>
    </row>
    <row r="9927" spans="1:8" ht="15" x14ac:dyDescent="0.2">
      <c r="A9927" s="619">
        <v>44196</v>
      </c>
      <c r="B9927" s="222" t="s">
        <v>3946</v>
      </c>
      <c r="C9927" s="222" t="s">
        <v>2503</v>
      </c>
      <c r="D9927" s="805"/>
      <c r="E9927" s="247">
        <v>52703.629032258061</v>
      </c>
      <c r="F9927" s="247"/>
      <c r="G9927" s="247">
        <f t="shared" si="160"/>
        <v>-52703.629032258061</v>
      </c>
      <c r="H9927" s="121" t="s">
        <v>6393</v>
      </c>
    </row>
    <row r="9928" spans="1:8" ht="15" x14ac:dyDescent="0.2">
      <c r="A9928" s="619">
        <v>44196</v>
      </c>
      <c r="B9928" s="222" t="s">
        <v>1400</v>
      </c>
      <c r="C9928" s="222" t="s">
        <v>2503</v>
      </c>
      <c r="D9928" s="805"/>
      <c r="E9928" s="247">
        <v>177206.58870967739</v>
      </c>
      <c r="F9928" s="247"/>
      <c r="G9928" s="247">
        <f t="shared" si="160"/>
        <v>-177206.58870967739</v>
      </c>
      <c r="H9928" s="121" t="s">
        <v>6393</v>
      </c>
    </row>
    <row r="9929" spans="1:8" ht="15" x14ac:dyDescent="0.2">
      <c r="A9929" s="619">
        <v>44196</v>
      </c>
      <c r="B9929" s="222" t="s">
        <v>6516</v>
      </c>
      <c r="C9929" s="222" t="s">
        <v>2503</v>
      </c>
      <c r="D9929" s="805"/>
      <c r="E9929" s="247">
        <v>119633.06451612904</v>
      </c>
      <c r="F9929" s="247"/>
      <c r="G9929" s="247">
        <f t="shared" si="160"/>
        <v>-119633.06451612904</v>
      </c>
      <c r="H9929" s="121" t="s">
        <v>6393</v>
      </c>
    </row>
    <row r="9930" spans="1:8" ht="15" x14ac:dyDescent="0.2">
      <c r="A9930" s="619">
        <v>44196</v>
      </c>
      <c r="B9930" s="222" t="s">
        <v>37</v>
      </c>
      <c r="C9930" s="222" t="s">
        <v>2503</v>
      </c>
      <c r="D9930" s="805"/>
      <c r="E9930" s="247">
        <v>98245.967741935485</v>
      </c>
      <c r="F9930" s="247"/>
      <c r="G9930" s="247">
        <f t="shared" si="160"/>
        <v>-98245.967741935485</v>
      </c>
      <c r="H9930" s="121" t="s">
        <v>6393</v>
      </c>
    </row>
    <row r="9931" spans="1:8" ht="15" x14ac:dyDescent="0.2">
      <c r="A9931" s="619">
        <v>44196</v>
      </c>
      <c r="B9931" s="222" t="s">
        <v>2933</v>
      </c>
      <c r="C9931" s="222" t="s">
        <v>2503</v>
      </c>
      <c r="D9931" s="805"/>
      <c r="E9931" s="247">
        <v>48483.870967741939</v>
      </c>
      <c r="F9931" s="247"/>
      <c r="G9931" s="247">
        <f t="shared" si="160"/>
        <v>-48483.870967741939</v>
      </c>
      <c r="H9931" s="121" t="s">
        <v>6393</v>
      </c>
    </row>
    <row r="9932" spans="1:8" ht="15" x14ac:dyDescent="0.2">
      <c r="A9932" s="619">
        <v>44196</v>
      </c>
      <c r="B9932" s="222" t="s">
        <v>6408</v>
      </c>
      <c r="C9932" s="222" t="s">
        <v>2503</v>
      </c>
      <c r="D9932" s="805"/>
      <c r="E9932" s="247">
        <v>98903.225806451606</v>
      </c>
      <c r="F9932" s="247"/>
      <c r="G9932" s="247">
        <f t="shared" si="160"/>
        <v>-98903.225806451606</v>
      </c>
      <c r="H9932" s="121" t="s">
        <v>6393</v>
      </c>
    </row>
    <row r="9933" spans="1:8" ht="15" x14ac:dyDescent="0.2">
      <c r="A9933" s="619">
        <v>44196</v>
      </c>
      <c r="B9933" s="222" t="s">
        <v>5811</v>
      </c>
      <c r="C9933" s="222" t="s">
        <v>2503</v>
      </c>
      <c r="D9933" s="805"/>
      <c r="E9933" s="247">
        <v>39516.129032258061</v>
      </c>
      <c r="F9933" s="247"/>
      <c r="G9933" s="247">
        <f t="shared" si="160"/>
        <v>-39516.129032258061</v>
      </c>
      <c r="H9933" s="121" t="s">
        <v>6393</v>
      </c>
    </row>
    <row r="9934" spans="1:8" ht="15" x14ac:dyDescent="0.2">
      <c r="A9934" s="620">
        <v>44175</v>
      </c>
      <c r="B9934" s="156" t="s">
        <v>1400</v>
      </c>
      <c r="C9934" s="156" t="s">
        <v>4684</v>
      </c>
      <c r="D9934" s="157" t="s">
        <v>6413</v>
      </c>
      <c r="E9934" s="158">
        <v>100000</v>
      </c>
      <c r="F9934" s="158"/>
      <c r="G9934" s="158">
        <f t="shared" si="160"/>
        <v>-100000</v>
      </c>
      <c r="H9934" s="244" t="s">
        <v>6393</v>
      </c>
    </row>
    <row r="9935" spans="1:8" ht="24" x14ac:dyDescent="0.2">
      <c r="A9935" s="620">
        <v>44176</v>
      </c>
      <c r="B9935" s="156" t="s">
        <v>2933</v>
      </c>
      <c r="C9935" s="156" t="s">
        <v>2128</v>
      </c>
      <c r="D9935" s="157" t="s">
        <v>9198</v>
      </c>
      <c r="E9935" s="158">
        <v>250000</v>
      </c>
      <c r="F9935" s="158"/>
      <c r="G9935" s="158">
        <f t="shared" si="160"/>
        <v>-250000</v>
      </c>
      <c r="H9935" s="244" t="s">
        <v>6393</v>
      </c>
    </row>
    <row r="9936" spans="1:8" ht="24" x14ac:dyDescent="0.2">
      <c r="A9936" s="620">
        <v>44176</v>
      </c>
      <c r="B9936" s="156" t="s">
        <v>1400</v>
      </c>
      <c r="C9936" s="156" t="s">
        <v>166</v>
      </c>
      <c r="D9936" s="157" t="s">
        <v>9198</v>
      </c>
      <c r="E9936" s="158">
        <v>178692</v>
      </c>
      <c r="F9936" s="158"/>
      <c r="G9936" s="158">
        <f t="shared" si="160"/>
        <v>-178692</v>
      </c>
      <c r="H9936" s="244" t="s">
        <v>6393</v>
      </c>
    </row>
    <row r="9937" spans="1:8" ht="15" x14ac:dyDescent="0.2">
      <c r="A9937" s="620">
        <v>44177</v>
      </c>
      <c r="B9937" s="156" t="s">
        <v>2652</v>
      </c>
      <c r="C9937" s="156" t="s">
        <v>705</v>
      </c>
      <c r="D9937" s="157" t="s">
        <v>9199</v>
      </c>
      <c r="E9937" s="158">
        <v>100000</v>
      </c>
      <c r="F9937" s="158"/>
      <c r="G9937" s="158">
        <f t="shared" si="160"/>
        <v>-100000</v>
      </c>
      <c r="H9937" s="244" t="s">
        <v>6393</v>
      </c>
    </row>
    <row r="9938" spans="1:8" ht="15" x14ac:dyDescent="0.2">
      <c r="A9938" s="620">
        <v>44179</v>
      </c>
      <c r="B9938" s="156" t="s">
        <v>2652</v>
      </c>
      <c r="C9938" s="156" t="s">
        <v>7181</v>
      </c>
      <c r="D9938" s="157" t="s">
        <v>6418</v>
      </c>
      <c r="E9938" s="158">
        <v>60000</v>
      </c>
      <c r="F9938" s="158"/>
      <c r="G9938" s="158">
        <f t="shared" si="160"/>
        <v>-60000</v>
      </c>
      <c r="H9938" s="244" t="s">
        <v>6393</v>
      </c>
    </row>
    <row r="9939" spans="1:8" ht="15" x14ac:dyDescent="0.2">
      <c r="A9939" s="620">
        <v>44183</v>
      </c>
      <c r="B9939" s="156" t="s">
        <v>1400</v>
      </c>
      <c r="C9939" s="156" t="s">
        <v>4684</v>
      </c>
      <c r="D9939" s="157" t="s">
        <v>6434</v>
      </c>
      <c r="E9939" s="158">
        <v>100000</v>
      </c>
      <c r="F9939" s="158"/>
      <c r="G9939" s="158">
        <f t="shared" si="160"/>
        <v>-100000</v>
      </c>
      <c r="H9939" s="244" t="s">
        <v>6393</v>
      </c>
    </row>
    <row r="9940" spans="1:8" ht="15" x14ac:dyDescent="0.2">
      <c r="A9940" s="620">
        <v>44183</v>
      </c>
      <c r="B9940" s="156" t="s">
        <v>5746</v>
      </c>
      <c r="C9940" s="586" t="s">
        <v>4684</v>
      </c>
      <c r="D9940" s="890" t="s">
        <v>6435</v>
      </c>
      <c r="E9940" s="587">
        <v>36000</v>
      </c>
      <c r="F9940" s="158"/>
      <c r="G9940" s="158">
        <f t="shared" si="160"/>
        <v>-36000</v>
      </c>
      <c r="H9940" s="244" t="s">
        <v>6393</v>
      </c>
    </row>
    <row r="9941" spans="1:8" ht="15" x14ac:dyDescent="0.2">
      <c r="A9941" s="620">
        <v>44183</v>
      </c>
      <c r="B9941" s="156" t="s">
        <v>1400</v>
      </c>
      <c r="C9941" s="586" t="s">
        <v>4684</v>
      </c>
      <c r="D9941" s="890" t="s">
        <v>6435</v>
      </c>
      <c r="E9941" s="587">
        <v>29000</v>
      </c>
      <c r="F9941" s="158"/>
      <c r="G9941" s="158">
        <f t="shared" si="160"/>
        <v>-29000</v>
      </c>
      <c r="H9941" s="244" t="s">
        <v>6393</v>
      </c>
    </row>
    <row r="9942" spans="1:8" ht="15" x14ac:dyDescent="0.2">
      <c r="A9942" s="620">
        <v>44186</v>
      </c>
      <c r="B9942" s="156" t="s">
        <v>1400</v>
      </c>
      <c r="C9942" s="156" t="s">
        <v>6437</v>
      </c>
      <c r="D9942" s="157" t="s">
        <v>6438</v>
      </c>
      <c r="E9942" s="158">
        <v>90000</v>
      </c>
      <c r="F9942" s="158"/>
      <c r="G9942" s="158">
        <f t="shared" si="160"/>
        <v>-90000</v>
      </c>
      <c r="H9942" s="244" t="s">
        <v>6393</v>
      </c>
    </row>
    <row r="9943" spans="1:8" ht="15" x14ac:dyDescent="0.2">
      <c r="A9943" s="620">
        <v>44193</v>
      </c>
      <c r="B9943" s="156" t="s">
        <v>5746</v>
      </c>
      <c r="C9943" s="156" t="s">
        <v>5593</v>
      </c>
      <c r="D9943" s="157" t="s">
        <v>6439</v>
      </c>
      <c r="E9943" s="158">
        <v>75000</v>
      </c>
      <c r="F9943" s="158"/>
      <c r="G9943" s="158">
        <f t="shared" si="160"/>
        <v>-75000</v>
      </c>
      <c r="H9943" s="244" t="s">
        <v>6393</v>
      </c>
    </row>
    <row r="9944" spans="1:8" ht="36" x14ac:dyDescent="0.2">
      <c r="A9944" s="620">
        <v>44195</v>
      </c>
      <c r="B9944" s="240" t="s">
        <v>1400</v>
      </c>
      <c r="C9944" s="240" t="s">
        <v>1355</v>
      </c>
      <c r="D9944" s="837" t="s">
        <v>6440</v>
      </c>
      <c r="E9944" s="241">
        <v>167140</v>
      </c>
      <c r="F9944" s="241"/>
      <c r="G9944" s="241">
        <f t="shared" si="160"/>
        <v>-167140</v>
      </c>
      <c r="H9944" s="244" t="s">
        <v>6393</v>
      </c>
    </row>
    <row r="9945" spans="1:8" ht="15" x14ac:dyDescent="0.2">
      <c r="A9945" s="620">
        <v>44195</v>
      </c>
      <c r="B9945" s="240" t="s">
        <v>2652</v>
      </c>
      <c r="C9945" s="240" t="s">
        <v>251</v>
      </c>
      <c r="D9945" s="157" t="s">
        <v>6461</v>
      </c>
      <c r="E9945" s="241">
        <v>44000</v>
      </c>
      <c r="F9945" s="241"/>
      <c r="G9945" s="241">
        <f t="shared" si="160"/>
        <v>-44000</v>
      </c>
      <c r="H9945" s="244" t="s">
        <v>6393</v>
      </c>
    </row>
    <row r="9946" spans="1:8" ht="15" x14ac:dyDescent="0.2">
      <c r="A9946" s="599">
        <v>44166</v>
      </c>
      <c r="B9946" s="91" t="s">
        <v>3945</v>
      </c>
      <c r="C9946" s="91" t="s">
        <v>559</v>
      </c>
      <c r="D9946" s="801" t="s">
        <v>6371</v>
      </c>
      <c r="E9946" s="92"/>
      <c r="F9946" s="92">
        <v>50962</v>
      </c>
      <c r="G9946" s="92">
        <f t="shared" si="160"/>
        <v>50962</v>
      </c>
      <c r="H9946" s="261" t="s">
        <v>6393</v>
      </c>
    </row>
    <row r="9947" spans="1:8" ht="15" x14ac:dyDescent="0.2">
      <c r="A9947" s="599">
        <v>44174</v>
      </c>
      <c r="B9947" s="91" t="s">
        <v>5746</v>
      </c>
      <c r="C9947" s="91" t="s">
        <v>559</v>
      </c>
      <c r="D9947" s="801" t="s">
        <v>6412</v>
      </c>
      <c r="E9947" s="92"/>
      <c r="F9947" s="92">
        <v>258551</v>
      </c>
      <c r="G9947" s="92">
        <f t="shared" si="160"/>
        <v>258551</v>
      </c>
      <c r="H9947" s="261" t="s">
        <v>6393</v>
      </c>
    </row>
    <row r="9948" spans="1:8" ht="15" x14ac:dyDescent="0.2">
      <c r="A9948" s="599">
        <v>44176</v>
      </c>
      <c r="B9948" s="91" t="s">
        <v>5604</v>
      </c>
      <c r="C9948" s="91" t="s">
        <v>559</v>
      </c>
      <c r="D9948" s="801" t="s">
        <v>6414</v>
      </c>
      <c r="E9948" s="92"/>
      <c r="F9948" s="92">
        <v>250000</v>
      </c>
      <c r="G9948" s="92">
        <f t="shared" si="160"/>
        <v>250000</v>
      </c>
      <c r="H9948" s="261" t="s">
        <v>6393</v>
      </c>
    </row>
    <row r="9949" spans="1:8" ht="15" x14ac:dyDescent="0.2">
      <c r="A9949" s="599">
        <v>44176</v>
      </c>
      <c r="B9949" s="91" t="s">
        <v>5604</v>
      </c>
      <c r="C9949" s="91" t="s">
        <v>559</v>
      </c>
      <c r="D9949" s="801" t="s">
        <v>6415</v>
      </c>
      <c r="E9949" s="92"/>
      <c r="F9949" s="92">
        <v>178692</v>
      </c>
      <c r="G9949" s="92">
        <f t="shared" si="160"/>
        <v>178692</v>
      </c>
      <c r="H9949" s="261" t="s">
        <v>6393</v>
      </c>
    </row>
    <row r="9950" spans="1:8" ht="36" x14ac:dyDescent="0.2">
      <c r="A9950" s="599">
        <v>44180</v>
      </c>
      <c r="B9950" s="94" t="s">
        <v>4721</v>
      </c>
      <c r="C9950" s="94" t="s">
        <v>559</v>
      </c>
      <c r="D9950" s="802" t="s">
        <v>9200</v>
      </c>
      <c r="E9950" s="176"/>
      <c r="F9950" s="176">
        <v>1107698</v>
      </c>
      <c r="G9950" s="176">
        <f t="shared" si="160"/>
        <v>1107698</v>
      </c>
      <c r="H9950" s="261" t="s">
        <v>6393</v>
      </c>
    </row>
    <row r="9951" spans="1:8" ht="15" x14ac:dyDescent="0.2">
      <c r="A9951" s="599">
        <v>44180</v>
      </c>
      <c r="B9951" s="94" t="s">
        <v>3945</v>
      </c>
      <c r="C9951" s="94" t="s">
        <v>559</v>
      </c>
      <c r="D9951" s="801" t="s">
        <v>6436</v>
      </c>
      <c r="E9951" s="176"/>
      <c r="F9951" s="176">
        <v>50962</v>
      </c>
      <c r="G9951" s="176">
        <f t="shared" si="160"/>
        <v>50962</v>
      </c>
      <c r="H9951" s="261" t="s">
        <v>6393</v>
      </c>
    </row>
    <row r="9952" spans="1:8" ht="15" x14ac:dyDescent="0.2">
      <c r="A9952" s="599">
        <v>44180</v>
      </c>
      <c r="B9952" s="94" t="s">
        <v>3946</v>
      </c>
      <c r="C9952" s="94" t="s">
        <v>559</v>
      </c>
      <c r="D9952" s="801" t="s">
        <v>6436</v>
      </c>
      <c r="E9952" s="176"/>
      <c r="F9952" s="176">
        <v>107010</v>
      </c>
      <c r="G9952" s="176">
        <f t="shared" si="160"/>
        <v>107010</v>
      </c>
      <c r="H9952" s="261" t="s">
        <v>6393</v>
      </c>
    </row>
    <row r="9953" spans="1:8" ht="15" x14ac:dyDescent="0.2">
      <c r="A9953" s="599">
        <v>44181</v>
      </c>
      <c r="B9953" s="91" t="s">
        <v>5811</v>
      </c>
      <c r="C9953" s="94" t="s">
        <v>559</v>
      </c>
      <c r="D9953" s="798" t="s">
        <v>9201</v>
      </c>
      <c r="E9953" s="92"/>
      <c r="F9953" s="92">
        <v>1000000</v>
      </c>
      <c r="G9953" s="92">
        <f t="shared" si="160"/>
        <v>1000000</v>
      </c>
      <c r="H9953" s="261" t="s">
        <v>6393</v>
      </c>
    </row>
    <row r="9954" spans="1:8" ht="15" x14ac:dyDescent="0.2">
      <c r="A9954" s="599">
        <v>44195</v>
      </c>
      <c r="B9954" s="91" t="s">
        <v>5165</v>
      </c>
      <c r="C9954" s="94" t="s">
        <v>559</v>
      </c>
      <c r="D9954" s="801" t="s">
        <v>6462</v>
      </c>
      <c r="E9954" s="92"/>
      <c r="F9954" s="92">
        <v>385141</v>
      </c>
      <c r="G9954" s="92">
        <f t="shared" si="160"/>
        <v>385141</v>
      </c>
      <c r="H9954" s="261" t="s">
        <v>6393</v>
      </c>
    </row>
    <row r="9955" spans="1:8" ht="15" x14ac:dyDescent="0.2">
      <c r="A9955" s="619">
        <v>44198</v>
      </c>
      <c r="B9955" s="222" t="s">
        <v>2933</v>
      </c>
      <c r="C9955" s="222" t="s">
        <v>6141</v>
      </c>
      <c r="D9955" s="805" t="s">
        <v>3361</v>
      </c>
      <c r="E9955" s="247">
        <v>5000</v>
      </c>
      <c r="F9955" s="247"/>
      <c r="G9955" s="247">
        <f t="shared" si="160"/>
        <v>-5000</v>
      </c>
      <c r="H9955" s="121" t="s">
        <v>6469</v>
      </c>
    </row>
    <row r="9956" spans="1:8" ht="15" x14ac:dyDescent="0.2">
      <c r="A9956" s="619">
        <v>44198</v>
      </c>
      <c r="B9956" s="222" t="s">
        <v>2933</v>
      </c>
      <c r="C9956" s="222" t="s">
        <v>392</v>
      </c>
      <c r="D9956" s="805" t="s">
        <v>6470</v>
      </c>
      <c r="E9956" s="247">
        <v>850</v>
      </c>
      <c r="F9956" s="247"/>
      <c r="G9956" s="247">
        <f t="shared" si="160"/>
        <v>-850</v>
      </c>
      <c r="H9956" s="121" t="s">
        <v>6469</v>
      </c>
    </row>
    <row r="9957" spans="1:8" ht="15" x14ac:dyDescent="0.2">
      <c r="A9957" s="619">
        <v>44198</v>
      </c>
      <c r="B9957" s="222" t="s">
        <v>6408</v>
      </c>
      <c r="C9957" s="222" t="s">
        <v>3145</v>
      </c>
      <c r="D9957" s="805" t="s">
        <v>6471</v>
      </c>
      <c r="E9957" s="247">
        <v>116748</v>
      </c>
      <c r="F9957" s="247"/>
      <c r="G9957" s="247">
        <f t="shared" si="160"/>
        <v>-116748</v>
      </c>
      <c r="H9957" s="121" t="s">
        <v>6469</v>
      </c>
    </row>
    <row r="9958" spans="1:8" ht="15" x14ac:dyDescent="0.2">
      <c r="A9958" s="619">
        <v>44198</v>
      </c>
      <c r="B9958" s="222" t="s">
        <v>25</v>
      </c>
      <c r="C9958" s="222" t="s">
        <v>4065</v>
      </c>
      <c r="D9958" s="805" t="s">
        <v>6472</v>
      </c>
      <c r="E9958" s="247">
        <v>8000</v>
      </c>
      <c r="F9958" s="247"/>
      <c r="G9958" s="247">
        <f t="shared" si="160"/>
        <v>-8000</v>
      </c>
      <c r="H9958" s="121" t="s">
        <v>6469</v>
      </c>
    </row>
    <row r="9959" spans="1:8" ht="15" x14ac:dyDescent="0.2">
      <c r="A9959" s="619">
        <v>44198</v>
      </c>
      <c r="B9959" s="222" t="s">
        <v>6408</v>
      </c>
      <c r="C9959" s="222" t="s">
        <v>3145</v>
      </c>
      <c r="D9959" s="805" t="s">
        <v>1225</v>
      </c>
      <c r="E9959" s="247">
        <v>7000</v>
      </c>
      <c r="F9959" s="247"/>
      <c r="G9959" s="247">
        <f t="shared" si="160"/>
        <v>-7000</v>
      </c>
      <c r="H9959" s="121" t="s">
        <v>6469</v>
      </c>
    </row>
    <row r="9960" spans="1:8" ht="15" x14ac:dyDescent="0.2">
      <c r="A9960" s="619">
        <v>44198</v>
      </c>
      <c r="B9960" s="222" t="s">
        <v>1400</v>
      </c>
      <c r="C9960" s="222" t="s">
        <v>4988</v>
      </c>
      <c r="D9960" s="805" t="s">
        <v>734</v>
      </c>
      <c r="E9960" s="247">
        <v>10700</v>
      </c>
      <c r="F9960" s="247"/>
      <c r="G9960" s="247">
        <f t="shared" si="160"/>
        <v>-10700</v>
      </c>
      <c r="H9960" s="121" t="s">
        <v>6469</v>
      </c>
    </row>
    <row r="9961" spans="1:8" ht="15" x14ac:dyDescent="0.2">
      <c r="A9961" s="619">
        <v>44200</v>
      </c>
      <c r="B9961" s="222" t="s">
        <v>6408</v>
      </c>
      <c r="C9961" s="222" t="s">
        <v>3145</v>
      </c>
      <c r="D9961" s="805" t="s">
        <v>4535</v>
      </c>
      <c r="E9961" s="247">
        <v>19700</v>
      </c>
      <c r="F9961" s="247"/>
      <c r="G9961" s="247">
        <f t="shared" ref="G9961:G10024" si="161">F9961-E9961</f>
        <v>-19700</v>
      </c>
      <c r="H9961" s="121" t="s">
        <v>6469</v>
      </c>
    </row>
    <row r="9962" spans="1:8" ht="15" x14ac:dyDescent="0.2">
      <c r="A9962" s="619">
        <v>44200</v>
      </c>
      <c r="B9962" s="222" t="s">
        <v>6408</v>
      </c>
      <c r="C9962" s="222" t="s">
        <v>3145</v>
      </c>
      <c r="D9962" s="805" t="s">
        <v>4291</v>
      </c>
      <c r="E9962" s="247">
        <v>10000</v>
      </c>
      <c r="F9962" s="247"/>
      <c r="G9962" s="247">
        <f t="shared" si="161"/>
        <v>-10000</v>
      </c>
      <c r="H9962" s="121" t="s">
        <v>6469</v>
      </c>
    </row>
    <row r="9963" spans="1:8" ht="15" x14ac:dyDescent="0.2">
      <c r="A9963" s="619">
        <v>44200</v>
      </c>
      <c r="B9963" s="222" t="s">
        <v>6408</v>
      </c>
      <c r="C9963" s="222" t="s">
        <v>6473</v>
      </c>
      <c r="D9963" s="805" t="s">
        <v>6474</v>
      </c>
      <c r="E9963" s="247">
        <v>122000</v>
      </c>
      <c r="F9963" s="247"/>
      <c r="G9963" s="247">
        <f t="shared" si="161"/>
        <v>-122000</v>
      </c>
      <c r="H9963" s="121" t="s">
        <v>6469</v>
      </c>
    </row>
    <row r="9964" spans="1:8" ht="15" x14ac:dyDescent="0.2">
      <c r="A9964" s="619">
        <v>44200</v>
      </c>
      <c r="B9964" s="222" t="s">
        <v>6408</v>
      </c>
      <c r="C9964" s="222" t="s">
        <v>74</v>
      </c>
      <c r="D9964" s="805" t="s">
        <v>6474</v>
      </c>
      <c r="E9964" s="247">
        <v>109660</v>
      </c>
      <c r="F9964" s="247"/>
      <c r="G9964" s="247">
        <f t="shared" si="161"/>
        <v>-109660</v>
      </c>
      <c r="H9964" s="121" t="s">
        <v>6469</v>
      </c>
    </row>
    <row r="9965" spans="1:8" ht="15" x14ac:dyDescent="0.2">
      <c r="A9965" s="619">
        <v>44201</v>
      </c>
      <c r="B9965" s="222" t="s">
        <v>6408</v>
      </c>
      <c r="C9965" s="222" t="s">
        <v>3145</v>
      </c>
      <c r="D9965" s="805" t="s">
        <v>6475</v>
      </c>
      <c r="E9965" s="247">
        <v>21916</v>
      </c>
      <c r="F9965" s="247"/>
      <c r="G9965" s="247">
        <f t="shared" si="161"/>
        <v>-21916</v>
      </c>
      <c r="H9965" s="121" t="s">
        <v>6469</v>
      </c>
    </row>
    <row r="9966" spans="1:8" ht="15" x14ac:dyDescent="0.2">
      <c r="A9966" s="619">
        <v>44201</v>
      </c>
      <c r="B9966" s="222" t="s">
        <v>6408</v>
      </c>
      <c r="C9966" s="222" t="s">
        <v>3145</v>
      </c>
      <c r="D9966" s="805" t="s">
        <v>5864</v>
      </c>
      <c r="E9966" s="247">
        <v>200</v>
      </c>
      <c r="F9966" s="247"/>
      <c r="G9966" s="247">
        <f t="shared" si="161"/>
        <v>-200</v>
      </c>
      <c r="H9966" s="121" t="s">
        <v>6469</v>
      </c>
    </row>
    <row r="9967" spans="1:8" ht="15" x14ac:dyDescent="0.2">
      <c r="A9967" s="619">
        <v>44201</v>
      </c>
      <c r="B9967" s="222" t="s">
        <v>6408</v>
      </c>
      <c r="C9967" s="222" t="s">
        <v>6476</v>
      </c>
      <c r="D9967" s="805" t="s">
        <v>6477</v>
      </c>
      <c r="E9967" s="247">
        <v>50000</v>
      </c>
      <c r="F9967" s="247"/>
      <c r="G9967" s="247">
        <f t="shared" si="161"/>
        <v>-50000</v>
      </c>
      <c r="H9967" s="121" t="s">
        <v>6469</v>
      </c>
    </row>
    <row r="9968" spans="1:8" ht="24" x14ac:dyDescent="0.2">
      <c r="A9968" s="619">
        <v>44201</v>
      </c>
      <c r="B9968" s="222" t="s">
        <v>6408</v>
      </c>
      <c r="C9968" s="222" t="s">
        <v>6478</v>
      </c>
      <c r="D9968" s="805" t="s">
        <v>6479</v>
      </c>
      <c r="E9968" s="247">
        <v>100000</v>
      </c>
      <c r="F9968" s="247"/>
      <c r="G9968" s="247">
        <f t="shared" si="161"/>
        <v>-100000</v>
      </c>
      <c r="H9968" s="121" t="s">
        <v>6469</v>
      </c>
    </row>
    <row r="9969" spans="1:8" ht="15" x14ac:dyDescent="0.2">
      <c r="A9969" s="619">
        <v>44201</v>
      </c>
      <c r="B9969" s="222" t="s">
        <v>2933</v>
      </c>
      <c r="C9969" s="222" t="s">
        <v>392</v>
      </c>
      <c r="D9969" s="805" t="s">
        <v>6480</v>
      </c>
      <c r="E9969" s="247">
        <v>20000</v>
      </c>
      <c r="F9969" s="247"/>
      <c r="G9969" s="247">
        <f t="shared" si="161"/>
        <v>-20000</v>
      </c>
      <c r="H9969" s="121" t="s">
        <v>6469</v>
      </c>
    </row>
    <row r="9970" spans="1:8" ht="15" x14ac:dyDescent="0.2">
      <c r="A9970" s="619">
        <v>44201</v>
      </c>
      <c r="B9970" s="222" t="s">
        <v>6408</v>
      </c>
      <c r="C9970" s="222" t="s">
        <v>2386</v>
      </c>
      <c r="D9970" s="805" t="s">
        <v>6481</v>
      </c>
      <c r="E9970" s="247">
        <v>38000</v>
      </c>
      <c r="F9970" s="247"/>
      <c r="G9970" s="247">
        <f t="shared" si="161"/>
        <v>-38000</v>
      </c>
      <c r="H9970" s="121" t="s">
        <v>6469</v>
      </c>
    </row>
    <row r="9971" spans="1:8" ht="15" x14ac:dyDescent="0.2">
      <c r="A9971" s="619">
        <v>44201</v>
      </c>
      <c r="B9971" s="222" t="s">
        <v>16</v>
      </c>
      <c r="C9971" s="222" t="s">
        <v>1495</v>
      </c>
      <c r="D9971" s="805"/>
      <c r="E9971" s="247">
        <v>600</v>
      </c>
      <c r="F9971" s="247"/>
      <c r="G9971" s="247">
        <f t="shared" si="161"/>
        <v>-600</v>
      </c>
      <c r="H9971" s="121" t="s">
        <v>6469</v>
      </c>
    </row>
    <row r="9972" spans="1:8" ht="15" x14ac:dyDescent="0.2">
      <c r="A9972" s="619">
        <v>44201</v>
      </c>
      <c r="B9972" s="222" t="s">
        <v>16</v>
      </c>
      <c r="C9972" s="222" t="s">
        <v>3364</v>
      </c>
      <c r="D9972" s="805"/>
      <c r="E9972" s="247">
        <v>4370</v>
      </c>
      <c r="F9972" s="247"/>
      <c r="G9972" s="247">
        <f t="shared" si="161"/>
        <v>-4370</v>
      </c>
      <c r="H9972" s="121" t="s">
        <v>6469</v>
      </c>
    </row>
    <row r="9973" spans="1:8" ht="15" x14ac:dyDescent="0.2">
      <c r="A9973" s="619">
        <v>44203</v>
      </c>
      <c r="B9973" s="222" t="s">
        <v>25</v>
      </c>
      <c r="C9973" s="222" t="s">
        <v>2428</v>
      </c>
      <c r="D9973" s="805" t="s">
        <v>6482</v>
      </c>
      <c r="E9973" s="247">
        <v>10610</v>
      </c>
      <c r="F9973" s="247"/>
      <c r="G9973" s="247">
        <f t="shared" si="161"/>
        <v>-10610</v>
      </c>
      <c r="H9973" s="121" t="s">
        <v>6469</v>
      </c>
    </row>
    <row r="9974" spans="1:8" ht="15" x14ac:dyDescent="0.2">
      <c r="A9974" s="619">
        <v>44203</v>
      </c>
      <c r="B9974" s="222" t="s">
        <v>6408</v>
      </c>
      <c r="C9974" s="222" t="s">
        <v>5681</v>
      </c>
      <c r="D9974" s="805" t="s">
        <v>6483</v>
      </c>
      <c r="E9974" s="247">
        <v>50000</v>
      </c>
      <c r="F9974" s="247"/>
      <c r="G9974" s="247">
        <f t="shared" si="161"/>
        <v>-50000</v>
      </c>
      <c r="H9974" s="121" t="s">
        <v>6469</v>
      </c>
    </row>
    <row r="9975" spans="1:8" ht="15" x14ac:dyDescent="0.2">
      <c r="A9975" s="619">
        <v>44204</v>
      </c>
      <c r="B9975" s="222" t="s">
        <v>1691</v>
      </c>
      <c r="C9975" s="222" t="s">
        <v>392</v>
      </c>
      <c r="D9975" s="805" t="s">
        <v>6486</v>
      </c>
      <c r="E9975" s="247">
        <v>6230</v>
      </c>
      <c r="F9975" s="247"/>
      <c r="G9975" s="247">
        <f t="shared" si="161"/>
        <v>-6230</v>
      </c>
      <c r="H9975" s="121" t="s">
        <v>6469</v>
      </c>
    </row>
    <row r="9976" spans="1:8" ht="15" x14ac:dyDescent="0.2">
      <c r="A9976" s="619">
        <v>44204</v>
      </c>
      <c r="B9976" s="222" t="s">
        <v>2933</v>
      </c>
      <c r="C9976" s="222" t="s">
        <v>392</v>
      </c>
      <c r="D9976" s="805" t="s">
        <v>6486</v>
      </c>
      <c r="E9976" s="247">
        <v>980</v>
      </c>
      <c r="F9976" s="247"/>
      <c r="G9976" s="247">
        <f t="shared" si="161"/>
        <v>-980</v>
      </c>
      <c r="H9976" s="121" t="s">
        <v>6469</v>
      </c>
    </row>
    <row r="9977" spans="1:8" ht="15" x14ac:dyDescent="0.2">
      <c r="A9977" s="619">
        <v>44204</v>
      </c>
      <c r="B9977" s="222" t="s">
        <v>1400</v>
      </c>
      <c r="C9977" s="222" t="s">
        <v>392</v>
      </c>
      <c r="D9977" s="805" t="s">
        <v>6486</v>
      </c>
      <c r="E9977" s="247">
        <v>3570</v>
      </c>
      <c r="F9977" s="247"/>
      <c r="G9977" s="247">
        <f t="shared" si="161"/>
        <v>-3570</v>
      </c>
      <c r="H9977" s="121" t="s">
        <v>6469</v>
      </c>
    </row>
    <row r="9978" spans="1:8" ht="15" x14ac:dyDescent="0.2">
      <c r="A9978" s="619">
        <v>44205</v>
      </c>
      <c r="B9978" s="222" t="s">
        <v>25</v>
      </c>
      <c r="C9978" s="222" t="s">
        <v>551</v>
      </c>
      <c r="D9978" s="805" t="s">
        <v>6487</v>
      </c>
      <c r="E9978" s="247">
        <v>25000</v>
      </c>
      <c r="F9978" s="247"/>
      <c r="G9978" s="247">
        <f t="shared" si="161"/>
        <v>-25000</v>
      </c>
      <c r="H9978" s="121" t="s">
        <v>6469</v>
      </c>
    </row>
    <row r="9979" spans="1:8" ht="15" x14ac:dyDescent="0.2">
      <c r="A9979" s="619">
        <v>44205</v>
      </c>
      <c r="B9979" s="222" t="s">
        <v>1400</v>
      </c>
      <c r="C9979" s="222" t="s">
        <v>392</v>
      </c>
      <c r="D9979" s="805" t="s">
        <v>6488</v>
      </c>
      <c r="E9979" s="247">
        <v>1000</v>
      </c>
      <c r="F9979" s="247"/>
      <c r="G9979" s="247">
        <f t="shared" si="161"/>
        <v>-1000</v>
      </c>
      <c r="H9979" s="121" t="s">
        <v>6469</v>
      </c>
    </row>
    <row r="9980" spans="1:8" ht="15" x14ac:dyDescent="0.2">
      <c r="A9980" s="619">
        <v>44205</v>
      </c>
      <c r="B9980" s="222" t="s">
        <v>6447</v>
      </c>
      <c r="C9980" s="222" t="s">
        <v>3145</v>
      </c>
      <c r="D9980" s="805" t="s">
        <v>6489</v>
      </c>
      <c r="E9980" s="247">
        <v>5280</v>
      </c>
      <c r="F9980" s="247"/>
      <c r="G9980" s="247">
        <f t="shared" si="161"/>
        <v>-5280</v>
      </c>
      <c r="H9980" s="121" t="s">
        <v>6469</v>
      </c>
    </row>
    <row r="9981" spans="1:8" ht="15" x14ac:dyDescent="0.2">
      <c r="A9981" s="619">
        <v>44205</v>
      </c>
      <c r="B9981" s="222" t="s">
        <v>2933</v>
      </c>
      <c r="C9981" s="222" t="s">
        <v>392</v>
      </c>
      <c r="D9981" s="805" t="s">
        <v>6491</v>
      </c>
      <c r="E9981" s="247">
        <v>2200</v>
      </c>
      <c r="F9981" s="247"/>
      <c r="G9981" s="247">
        <f t="shared" si="161"/>
        <v>-2200</v>
      </c>
      <c r="H9981" s="121" t="s">
        <v>6469</v>
      </c>
    </row>
    <row r="9982" spans="1:8" ht="15" x14ac:dyDescent="0.2">
      <c r="A9982" s="619">
        <v>44207</v>
      </c>
      <c r="B9982" s="222" t="s">
        <v>6408</v>
      </c>
      <c r="C9982" s="222" t="s">
        <v>5652</v>
      </c>
      <c r="D9982" s="805" t="s">
        <v>370</v>
      </c>
      <c r="E9982" s="247">
        <v>21000</v>
      </c>
      <c r="F9982" s="247"/>
      <c r="G9982" s="247">
        <f t="shared" si="161"/>
        <v>-21000</v>
      </c>
      <c r="H9982" s="121" t="s">
        <v>6469</v>
      </c>
    </row>
    <row r="9983" spans="1:8" ht="15" x14ac:dyDescent="0.2">
      <c r="A9983" s="619">
        <v>44208</v>
      </c>
      <c r="B9983" s="222" t="s">
        <v>6447</v>
      </c>
      <c r="C9983" s="222" t="s">
        <v>6492</v>
      </c>
      <c r="D9983" s="805" t="s">
        <v>6493</v>
      </c>
      <c r="E9983" s="247">
        <v>52840</v>
      </c>
      <c r="F9983" s="247"/>
      <c r="G9983" s="247">
        <f t="shared" si="161"/>
        <v>-52840</v>
      </c>
      <c r="H9983" s="121" t="s">
        <v>6469</v>
      </c>
    </row>
    <row r="9984" spans="1:8" ht="15" x14ac:dyDescent="0.2">
      <c r="A9984" s="619">
        <v>44208</v>
      </c>
      <c r="B9984" s="222" t="s">
        <v>1400</v>
      </c>
      <c r="C9984" s="586" t="s">
        <v>6141</v>
      </c>
      <c r="D9984" s="890" t="s">
        <v>5858</v>
      </c>
      <c r="E9984" s="587">
        <v>20000</v>
      </c>
      <c r="F9984" s="247"/>
      <c r="G9984" s="247">
        <f t="shared" si="161"/>
        <v>-20000</v>
      </c>
      <c r="H9984" s="121" t="s">
        <v>6469</v>
      </c>
    </row>
    <row r="9985" spans="1:8" ht="15" x14ac:dyDescent="0.2">
      <c r="A9985" s="619">
        <v>44208</v>
      </c>
      <c r="B9985" s="222" t="s">
        <v>2933</v>
      </c>
      <c r="C9985" s="586" t="s">
        <v>6141</v>
      </c>
      <c r="D9985" s="890" t="s">
        <v>5858</v>
      </c>
      <c r="E9985" s="587">
        <v>20000</v>
      </c>
      <c r="F9985" s="247"/>
      <c r="G9985" s="247">
        <f t="shared" si="161"/>
        <v>-20000</v>
      </c>
      <c r="H9985" s="121" t="s">
        <v>6469</v>
      </c>
    </row>
    <row r="9986" spans="1:8" ht="15" x14ac:dyDescent="0.2">
      <c r="A9986" s="619">
        <v>44208</v>
      </c>
      <c r="B9986" s="222" t="s">
        <v>1691</v>
      </c>
      <c r="C9986" s="586" t="s">
        <v>6141</v>
      </c>
      <c r="D9986" s="890" t="s">
        <v>5858</v>
      </c>
      <c r="E9986" s="587">
        <v>7400</v>
      </c>
      <c r="F9986" s="247"/>
      <c r="G9986" s="247">
        <f t="shared" si="161"/>
        <v>-7400</v>
      </c>
      <c r="H9986" s="121" t="s">
        <v>6469</v>
      </c>
    </row>
    <row r="9987" spans="1:8" ht="15" x14ac:dyDescent="0.2">
      <c r="A9987" s="619">
        <v>44208</v>
      </c>
      <c r="B9987" s="222" t="s">
        <v>5811</v>
      </c>
      <c r="C9987" s="222" t="s">
        <v>3145</v>
      </c>
      <c r="D9987" s="805" t="s">
        <v>6496</v>
      </c>
      <c r="E9987" s="247">
        <v>5925</v>
      </c>
      <c r="F9987" s="247"/>
      <c r="G9987" s="247">
        <f t="shared" si="161"/>
        <v>-5925</v>
      </c>
      <c r="H9987" s="121" t="s">
        <v>6469</v>
      </c>
    </row>
    <row r="9988" spans="1:8" ht="15" x14ac:dyDescent="0.2">
      <c r="A9988" s="619">
        <v>44209</v>
      </c>
      <c r="B9988" s="222" t="s">
        <v>25</v>
      </c>
      <c r="C9988" s="222" t="s">
        <v>551</v>
      </c>
      <c r="D9988" s="805" t="s">
        <v>6497</v>
      </c>
      <c r="E9988" s="247">
        <v>75000</v>
      </c>
      <c r="F9988" s="247"/>
      <c r="G9988" s="247">
        <f t="shared" si="161"/>
        <v>-75000</v>
      </c>
      <c r="H9988" s="121" t="s">
        <v>6469</v>
      </c>
    </row>
    <row r="9989" spans="1:8" ht="15" x14ac:dyDescent="0.2">
      <c r="A9989" s="619">
        <v>44209</v>
      </c>
      <c r="B9989" s="222" t="s">
        <v>16</v>
      </c>
      <c r="C9989" s="222" t="s">
        <v>2996</v>
      </c>
      <c r="D9989" s="805" t="s">
        <v>370</v>
      </c>
      <c r="E9989" s="247">
        <v>3000</v>
      </c>
      <c r="F9989" s="247"/>
      <c r="G9989" s="247">
        <f t="shared" si="161"/>
        <v>-3000</v>
      </c>
      <c r="H9989" s="121" t="s">
        <v>6469</v>
      </c>
    </row>
    <row r="9990" spans="1:8" ht="15" x14ac:dyDescent="0.2">
      <c r="A9990" s="619">
        <v>44209</v>
      </c>
      <c r="B9990" s="222" t="s">
        <v>16</v>
      </c>
      <c r="C9990" s="222" t="s">
        <v>5410</v>
      </c>
      <c r="D9990" s="805" t="s">
        <v>734</v>
      </c>
      <c r="E9990" s="247">
        <v>10000</v>
      </c>
      <c r="F9990" s="247"/>
      <c r="G9990" s="247">
        <f t="shared" si="161"/>
        <v>-10000</v>
      </c>
      <c r="H9990" s="121" t="s">
        <v>6469</v>
      </c>
    </row>
    <row r="9991" spans="1:8" ht="15" x14ac:dyDescent="0.2">
      <c r="A9991" s="619">
        <v>44210</v>
      </c>
      <c r="B9991" s="222" t="s">
        <v>6103</v>
      </c>
      <c r="C9991" s="586" t="s">
        <v>6498</v>
      </c>
      <c r="D9991" s="890" t="s">
        <v>6501</v>
      </c>
      <c r="E9991" s="587">
        <v>7500</v>
      </c>
      <c r="F9991" s="247"/>
      <c r="G9991" s="247">
        <f t="shared" si="161"/>
        <v>-7500</v>
      </c>
      <c r="H9991" s="121" t="s">
        <v>6469</v>
      </c>
    </row>
    <row r="9992" spans="1:8" ht="15" x14ac:dyDescent="0.2">
      <c r="A9992" s="619">
        <v>44210</v>
      </c>
      <c r="B9992" s="222" t="s">
        <v>4721</v>
      </c>
      <c r="C9992" s="586" t="s">
        <v>6498</v>
      </c>
      <c r="D9992" s="890" t="s">
        <v>6502</v>
      </c>
      <c r="E9992" s="587">
        <v>86700</v>
      </c>
      <c r="F9992" s="247"/>
      <c r="G9992" s="247">
        <f t="shared" si="161"/>
        <v>-86700</v>
      </c>
      <c r="H9992" s="121" t="s">
        <v>6469</v>
      </c>
    </row>
    <row r="9993" spans="1:8" ht="15" x14ac:dyDescent="0.2">
      <c r="A9993" s="619">
        <v>44210</v>
      </c>
      <c r="B9993" s="222" t="s">
        <v>25</v>
      </c>
      <c r="C9993" s="222" t="s">
        <v>4065</v>
      </c>
      <c r="D9993" s="805" t="s">
        <v>2796</v>
      </c>
      <c r="E9993" s="247">
        <v>600</v>
      </c>
      <c r="F9993" s="247"/>
      <c r="G9993" s="247">
        <f t="shared" si="161"/>
        <v>-600</v>
      </c>
      <c r="H9993" s="121" t="s">
        <v>6469</v>
      </c>
    </row>
    <row r="9994" spans="1:8" ht="24" x14ac:dyDescent="0.2">
      <c r="A9994" s="619">
        <v>44210</v>
      </c>
      <c r="B9994" s="222" t="s">
        <v>2933</v>
      </c>
      <c r="C9994" s="222" t="s">
        <v>6499</v>
      </c>
      <c r="D9994" s="805" t="s">
        <v>6500</v>
      </c>
      <c r="E9994" s="247">
        <v>61500</v>
      </c>
      <c r="F9994" s="247"/>
      <c r="G9994" s="247">
        <f t="shared" si="161"/>
        <v>-61500</v>
      </c>
      <c r="H9994" s="121" t="s">
        <v>6469</v>
      </c>
    </row>
    <row r="9995" spans="1:8" ht="15" x14ac:dyDescent="0.2">
      <c r="A9995" s="619">
        <v>44210</v>
      </c>
      <c r="B9995" s="222" t="s">
        <v>37</v>
      </c>
      <c r="C9995" s="222" t="s">
        <v>392</v>
      </c>
      <c r="D9995" s="805" t="s">
        <v>6503</v>
      </c>
      <c r="E9995" s="247">
        <v>2000</v>
      </c>
      <c r="F9995" s="247"/>
      <c r="G9995" s="247">
        <f t="shared" si="161"/>
        <v>-2000</v>
      </c>
      <c r="H9995" s="121" t="s">
        <v>6469</v>
      </c>
    </row>
    <row r="9996" spans="1:8" ht="15" x14ac:dyDescent="0.2">
      <c r="A9996" s="619">
        <v>44210</v>
      </c>
      <c r="B9996" s="222" t="s">
        <v>1400</v>
      </c>
      <c r="C9996" s="222" t="s">
        <v>5910</v>
      </c>
      <c r="D9996" s="805" t="s">
        <v>6504</v>
      </c>
      <c r="E9996" s="247">
        <v>100000</v>
      </c>
      <c r="F9996" s="247"/>
      <c r="G9996" s="247">
        <f t="shared" si="161"/>
        <v>-100000</v>
      </c>
      <c r="H9996" s="121" t="s">
        <v>6469</v>
      </c>
    </row>
    <row r="9997" spans="1:8" ht="15" x14ac:dyDescent="0.2">
      <c r="A9997" s="619">
        <v>44210</v>
      </c>
      <c r="B9997" s="222" t="s">
        <v>6505</v>
      </c>
      <c r="C9997" s="586" t="s">
        <v>3145</v>
      </c>
      <c r="D9997" s="890" t="s">
        <v>4450</v>
      </c>
      <c r="E9997" s="587">
        <v>10800</v>
      </c>
      <c r="F9997" s="247"/>
      <c r="G9997" s="247">
        <f t="shared" si="161"/>
        <v>-10800</v>
      </c>
      <c r="H9997" s="121" t="s">
        <v>6469</v>
      </c>
    </row>
    <row r="9998" spans="1:8" ht="15" x14ac:dyDescent="0.2">
      <c r="A9998" s="619">
        <v>44210</v>
      </c>
      <c r="B9998" s="222" t="s">
        <v>1400</v>
      </c>
      <c r="C9998" s="586" t="s">
        <v>3145</v>
      </c>
      <c r="D9998" s="890" t="s">
        <v>4450</v>
      </c>
      <c r="E9998" s="587">
        <v>17135</v>
      </c>
      <c r="F9998" s="247"/>
      <c r="G9998" s="247">
        <f t="shared" si="161"/>
        <v>-17135</v>
      </c>
      <c r="H9998" s="121" t="s">
        <v>6469</v>
      </c>
    </row>
    <row r="9999" spans="1:8" ht="15" x14ac:dyDescent="0.2">
      <c r="A9999" s="619">
        <v>44210</v>
      </c>
      <c r="B9999" s="222" t="s">
        <v>2933</v>
      </c>
      <c r="C9999" s="222" t="s">
        <v>4684</v>
      </c>
      <c r="D9999" s="805" t="s">
        <v>1157</v>
      </c>
      <c r="E9999" s="247">
        <v>60000</v>
      </c>
      <c r="F9999" s="247"/>
      <c r="G9999" s="247">
        <f t="shared" si="161"/>
        <v>-60000</v>
      </c>
      <c r="H9999" s="121" t="s">
        <v>6469</v>
      </c>
    </row>
    <row r="10000" spans="1:8" ht="15" x14ac:dyDescent="0.2">
      <c r="A10000" s="619">
        <v>44211</v>
      </c>
      <c r="B10000" s="222" t="s">
        <v>2933</v>
      </c>
      <c r="C10000" s="222" t="s">
        <v>3145</v>
      </c>
      <c r="D10000" s="805" t="s">
        <v>6510</v>
      </c>
      <c r="E10000" s="247">
        <v>4580</v>
      </c>
      <c r="F10000" s="247"/>
      <c r="G10000" s="247">
        <f t="shared" si="161"/>
        <v>-4580</v>
      </c>
      <c r="H10000" s="121" t="s">
        <v>6469</v>
      </c>
    </row>
    <row r="10001" spans="1:8" ht="15" x14ac:dyDescent="0.2">
      <c r="A10001" s="619">
        <v>44211</v>
      </c>
      <c r="B10001" s="222" t="s">
        <v>1400</v>
      </c>
      <c r="C10001" s="222" t="s">
        <v>3145</v>
      </c>
      <c r="D10001" s="805" t="s">
        <v>3436</v>
      </c>
      <c r="E10001" s="247">
        <v>600</v>
      </c>
      <c r="F10001" s="247"/>
      <c r="G10001" s="247">
        <f t="shared" si="161"/>
        <v>-600</v>
      </c>
      <c r="H10001" s="121" t="s">
        <v>6469</v>
      </c>
    </row>
    <row r="10002" spans="1:8" ht="15" x14ac:dyDescent="0.2">
      <c r="A10002" s="619">
        <v>44211</v>
      </c>
      <c r="B10002" s="222" t="s">
        <v>6508</v>
      </c>
      <c r="C10002" s="222" t="s">
        <v>2190</v>
      </c>
      <c r="D10002" s="805"/>
      <c r="E10002" s="247">
        <v>1120</v>
      </c>
      <c r="F10002" s="247"/>
      <c r="G10002" s="247">
        <f t="shared" si="161"/>
        <v>-1120</v>
      </c>
      <c r="H10002" s="121" t="s">
        <v>6469</v>
      </c>
    </row>
    <row r="10003" spans="1:8" ht="15" x14ac:dyDescent="0.2">
      <c r="A10003" s="619">
        <v>44212</v>
      </c>
      <c r="B10003" s="222" t="s">
        <v>6511</v>
      </c>
      <c r="C10003" s="222" t="s">
        <v>2190</v>
      </c>
      <c r="D10003" s="805"/>
      <c r="E10003" s="247">
        <v>320</v>
      </c>
      <c r="F10003" s="247"/>
      <c r="G10003" s="247">
        <f t="shared" si="161"/>
        <v>-320</v>
      </c>
      <c r="H10003" s="121" t="s">
        <v>6469</v>
      </c>
    </row>
    <row r="10004" spans="1:8" ht="15" x14ac:dyDescent="0.2">
      <c r="A10004" s="619">
        <v>44212</v>
      </c>
      <c r="B10004" s="222" t="s">
        <v>3946</v>
      </c>
      <c r="C10004" s="222" t="s">
        <v>3003</v>
      </c>
      <c r="D10004" s="805" t="s">
        <v>1157</v>
      </c>
      <c r="E10004" s="247">
        <v>10400</v>
      </c>
      <c r="F10004" s="247"/>
      <c r="G10004" s="247">
        <f t="shared" si="161"/>
        <v>-10400</v>
      </c>
      <c r="H10004" s="121" t="s">
        <v>6469</v>
      </c>
    </row>
    <row r="10005" spans="1:8" ht="15" x14ac:dyDescent="0.2">
      <c r="A10005" s="619">
        <v>44212</v>
      </c>
      <c r="B10005" s="222" t="s">
        <v>5746</v>
      </c>
      <c r="C10005" s="222" t="s">
        <v>3003</v>
      </c>
      <c r="D10005" s="805" t="s">
        <v>1157</v>
      </c>
      <c r="E10005" s="247">
        <v>3900</v>
      </c>
      <c r="F10005" s="247"/>
      <c r="G10005" s="247">
        <f t="shared" si="161"/>
        <v>-3900</v>
      </c>
      <c r="H10005" s="121" t="s">
        <v>6469</v>
      </c>
    </row>
    <row r="10006" spans="1:8" ht="15" x14ac:dyDescent="0.2">
      <c r="A10006" s="619">
        <v>44212</v>
      </c>
      <c r="B10006" s="222" t="s">
        <v>6516</v>
      </c>
      <c r="C10006" s="222" t="s">
        <v>3003</v>
      </c>
      <c r="D10006" s="805" t="s">
        <v>1157</v>
      </c>
      <c r="E10006" s="247">
        <v>60741</v>
      </c>
      <c r="F10006" s="247"/>
      <c r="G10006" s="247">
        <f t="shared" si="161"/>
        <v>-60741</v>
      </c>
      <c r="H10006" s="121" t="s">
        <v>6469</v>
      </c>
    </row>
    <row r="10007" spans="1:8" ht="15" x14ac:dyDescent="0.2">
      <c r="A10007" s="619">
        <v>44212</v>
      </c>
      <c r="B10007" s="222" t="s">
        <v>3945</v>
      </c>
      <c r="C10007" s="222" t="s">
        <v>3003</v>
      </c>
      <c r="D10007" s="805" t="s">
        <v>1157</v>
      </c>
      <c r="E10007" s="247">
        <v>5200</v>
      </c>
      <c r="F10007" s="247"/>
      <c r="G10007" s="247">
        <f t="shared" si="161"/>
        <v>-5200</v>
      </c>
      <c r="H10007" s="121" t="s">
        <v>6469</v>
      </c>
    </row>
    <row r="10008" spans="1:8" ht="15" x14ac:dyDescent="0.2">
      <c r="A10008" s="619">
        <v>44214</v>
      </c>
      <c r="B10008" s="222" t="s">
        <v>6447</v>
      </c>
      <c r="C10008" s="222" t="s">
        <v>3145</v>
      </c>
      <c r="D10008" s="805" t="s">
        <v>6512</v>
      </c>
      <c r="E10008" s="247">
        <v>13750</v>
      </c>
      <c r="F10008" s="247"/>
      <c r="G10008" s="247">
        <f t="shared" si="161"/>
        <v>-13750</v>
      </c>
      <c r="H10008" s="121" t="s">
        <v>6469</v>
      </c>
    </row>
    <row r="10009" spans="1:8" ht="15" x14ac:dyDescent="0.2">
      <c r="A10009" s="619">
        <v>44214</v>
      </c>
      <c r="B10009" s="222" t="s">
        <v>1400</v>
      </c>
      <c r="C10009" s="222" t="s">
        <v>3145</v>
      </c>
      <c r="D10009" s="805" t="s">
        <v>6513</v>
      </c>
      <c r="E10009" s="247">
        <v>8770</v>
      </c>
      <c r="F10009" s="247"/>
      <c r="G10009" s="247">
        <f t="shared" si="161"/>
        <v>-8770</v>
      </c>
      <c r="H10009" s="121" t="s">
        <v>6469</v>
      </c>
    </row>
    <row r="10010" spans="1:8" ht="15" x14ac:dyDescent="0.2">
      <c r="A10010" s="619">
        <v>44214</v>
      </c>
      <c r="B10010" s="222" t="s">
        <v>2933</v>
      </c>
      <c r="C10010" s="222" t="s">
        <v>3145</v>
      </c>
      <c r="D10010" s="805" t="s">
        <v>6513</v>
      </c>
      <c r="E10010" s="247">
        <v>13200</v>
      </c>
      <c r="F10010" s="247"/>
      <c r="G10010" s="247">
        <f t="shared" si="161"/>
        <v>-13200</v>
      </c>
      <c r="H10010" s="121" t="s">
        <v>6469</v>
      </c>
    </row>
    <row r="10011" spans="1:8" ht="15" x14ac:dyDescent="0.2">
      <c r="A10011" s="619">
        <v>44214</v>
      </c>
      <c r="B10011" s="222" t="s">
        <v>6516</v>
      </c>
      <c r="C10011" s="222" t="s">
        <v>3145</v>
      </c>
      <c r="D10011" s="805" t="s">
        <v>6513</v>
      </c>
      <c r="E10011" s="247">
        <v>2500</v>
      </c>
      <c r="F10011" s="247"/>
      <c r="G10011" s="247">
        <f t="shared" si="161"/>
        <v>-2500</v>
      </c>
      <c r="H10011" s="121" t="s">
        <v>6469</v>
      </c>
    </row>
    <row r="10012" spans="1:8" ht="15" x14ac:dyDescent="0.2">
      <c r="A10012" s="619">
        <v>44214</v>
      </c>
      <c r="B10012" s="222" t="s">
        <v>6408</v>
      </c>
      <c r="C10012" s="586" t="s">
        <v>3145</v>
      </c>
      <c r="D10012" s="890" t="s">
        <v>6514</v>
      </c>
      <c r="E10012" s="587">
        <v>10000</v>
      </c>
      <c r="F10012" s="247"/>
      <c r="G10012" s="247">
        <f t="shared" si="161"/>
        <v>-10000</v>
      </c>
      <c r="H10012" s="121" t="s">
        <v>6469</v>
      </c>
    </row>
    <row r="10013" spans="1:8" ht="15" x14ac:dyDescent="0.2">
      <c r="A10013" s="619">
        <v>44214</v>
      </c>
      <c r="B10013" s="222" t="s">
        <v>6511</v>
      </c>
      <c r="C10013" s="586" t="s">
        <v>3145</v>
      </c>
      <c r="D10013" s="890" t="s">
        <v>6515</v>
      </c>
      <c r="E10013" s="587">
        <v>20000</v>
      </c>
      <c r="F10013" s="247"/>
      <c r="G10013" s="247">
        <f t="shared" si="161"/>
        <v>-20000</v>
      </c>
      <c r="H10013" s="121" t="s">
        <v>6469</v>
      </c>
    </row>
    <row r="10014" spans="1:8" ht="15" x14ac:dyDescent="0.2">
      <c r="A10014" s="619">
        <v>44214</v>
      </c>
      <c r="B10014" s="222" t="s">
        <v>6408</v>
      </c>
      <c r="C10014" s="222" t="s">
        <v>392</v>
      </c>
      <c r="D10014" s="805" t="s">
        <v>6209</v>
      </c>
      <c r="E10014" s="247">
        <v>600</v>
      </c>
      <c r="F10014" s="247"/>
      <c r="G10014" s="247">
        <f t="shared" si="161"/>
        <v>-600</v>
      </c>
      <c r="H10014" s="121" t="s">
        <v>6469</v>
      </c>
    </row>
    <row r="10015" spans="1:8" ht="15" customHeight="1" x14ac:dyDescent="0.2">
      <c r="A10015" s="619">
        <v>44214</v>
      </c>
      <c r="B10015" s="222" t="s">
        <v>25</v>
      </c>
      <c r="C10015" s="222" t="s">
        <v>2428</v>
      </c>
      <c r="D10015" s="805" t="s">
        <v>6529</v>
      </c>
      <c r="E10015" s="247">
        <v>40073</v>
      </c>
      <c r="F10015" s="247"/>
      <c r="G10015" s="247">
        <f t="shared" si="161"/>
        <v>-40073</v>
      </c>
      <c r="H10015" s="121" t="s">
        <v>6469</v>
      </c>
    </row>
    <row r="10016" spans="1:8" ht="15" customHeight="1" x14ac:dyDescent="0.2">
      <c r="A10016" s="619">
        <v>44214</v>
      </c>
      <c r="B10016" s="222" t="s">
        <v>6516</v>
      </c>
      <c r="C10016" s="222" t="s">
        <v>392</v>
      </c>
      <c r="D10016" s="805" t="s">
        <v>6442</v>
      </c>
      <c r="E10016" s="247">
        <v>10000</v>
      </c>
      <c r="F10016" s="247"/>
      <c r="G10016" s="247">
        <f t="shared" si="161"/>
        <v>-10000</v>
      </c>
      <c r="H10016" s="121" t="s">
        <v>6469</v>
      </c>
    </row>
    <row r="10017" spans="1:8" ht="15" customHeight="1" x14ac:dyDescent="0.2">
      <c r="A10017" s="619">
        <v>44215</v>
      </c>
      <c r="B10017" s="222" t="s">
        <v>6508</v>
      </c>
      <c r="C10017" s="222" t="s">
        <v>2190</v>
      </c>
      <c r="D10017" s="805"/>
      <c r="E10017" s="247">
        <v>2520</v>
      </c>
      <c r="F10017" s="247"/>
      <c r="G10017" s="247">
        <f t="shared" si="161"/>
        <v>-2520</v>
      </c>
      <c r="H10017" s="121" t="s">
        <v>6469</v>
      </c>
    </row>
    <row r="10018" spans="1:8" ht="15" customHeight="1" x14ac:dyDescent="0.2">
      <c r="A10018" s="619">
        <v>44215</v>
      </c>
      <c r="B10018" s="222" t="s">
        <v>6518</v>
      </c>
      <c r="C10018" s="222" t="s">
        <v>2190</v>
      </c>
      <c r="D10018" s="805"/>
      <c r="E10018" s="247">
        <v>880</v>
      </c>
      <c r="F10018" s="247"/>
      <c r="G10018" s="247">
        <f t="shared" si="161"/>
        <v>-880</v>
      </c>
      <c r="H10018" s="121" t="s">
        <v>6469</v>
      </c>
    </row>
    <row r="10019" spans="1:8" ht="15" customHeight="1" x14ac:dyDescent="0.2">
      <c r="A10019" s="619">
        <v>44215</v>
      </c>
      <c r="B10019" s="222" t="s">
        <v>6408</v>
      </c>
      <c r="C10019" s="222" t="s">
        <v>5741</v>
      </c>
      <c r="D10019" s="805"/>
      <c r="E10019" s="247">
        <v>2000</v>
      </c>
      <c r="F10019" s="247"/>
      <c r="G10019" s="247">
        <f t="shared" si="161"/>
        <v>-2000</v>
      </c>
      <c r="H10019" s="121" t="s">
        <v>6469</v>
      </c>
    </row>
    <row r="10020" spans="1:8" ht="15" x14ac:dyDescent="0.2">
      <c r="A10020" s="619">
        <v>44215</v>
      </c>
      <c r="B10020" s="222" t="s">
        <v>1400</v>
      </c>
      <c r="C10020" s="222" t="s">
        <v>392</v>
      </c>
      <c r="D10020" s="805" t="s">
        <v>6530</v>
      </c>
      <c r="E10020" s="247">
        <v>600</v>
      </c>
      <c r="F10020" s="247"/>
      <c r="G10020" s="247">
        <f t="shared" si="161"/>
        <v>-600</v>
      </c>
      <c r="H10020" s="121" t="s">
        <v>6469</v>
      </c>
    </row>
    <row r="10021" spans="1:8" ht="15" x14ac:dyDescent="0.2">
      <c r="A10021" s="619">
        <v>44216</v>
      </c>
      <c r="B10021" s="222" t="s">
        <v>11</v>
      </c>
      <c r="C10021" s="222" t="s">
        <v>392</v>
      </c>
      <c r="D10021" s="805" t="s">
        <v>6531</v>
      </c>
      <c r="E10021" s="247">
        <v>2000</v>
      </c>
      <c r="F10021" s="247"/>
      <c r="G10021" s="247">
        <f t="shared" si="161"/>
        <v>-2000</v>
      </c>
      <c r="H10021" s="121" t="s">
        <v>6469</v>
      </c>
    </row>
    <row r="10022" spans="1:8" ht="15" x14ac:dyDescent="0.2">
      <c r="A10022" s="619">
        <v>44217</v>
      </c>
      <c r="B10022" s="222" t="s">
        <v>2933</v>
      </c>
      <c r="C10022" s="222" t="s">
        <v>3112</v>
      </c>
      <c r="D10022" s="805" t="s">
        <v>2655</v>
      </c>
      <c r="E10022" s="247">
        <v>25000</v>
      </c>
      <c r="F10022" s="247"/>
      <c r="G10022" s="247">
        <f t="shared" si="161"/>
        <v>-25000</v>
      </c>
      <c r="H10022" s="121" t="s">
        <v>6469</v>
      </c>
    </row>
    <row r="10023" spans="1:8" ht="15" x14ac:dyDescent="0.2">
      <c r="A10023" s="619">
        <v>44217</v>
      </c>
      <c r="B10023" s="222" t="s">
        <v>2933</v>
      </c>
      <c r="C10023" s="222" t="s">
        <v>103</v>
      </c>
      <c r="D10023" s="805" t="s">
        <v>6532</v>
      </c>
      <c r="E10023" s="247">
        <v>475</v>
      </c>
      <c r="F10023" s="247"/>
      <c r="G10023" s="247">
        <f t="shared" si="161"/>
        <v>-475</v>
      </c>
      <c r="H10023" s="121" t="s">
        <v>6469</v>
      </c>
    </row>
    <row r="10024" spans="1:8" ht="15" x14ac:dyDescent="0.2">
      <c r="A10024" s="619">
        <v>44217</v>
      </c>
      <c r="B10024" s="222" t="s">
        <v>6408</v>
      </c>
      <c r="C10024" s="222" t="s">
        <v>2190</v>
      </c>
      <c r="D10024" s="805"/>
      <c r="E10024" s="247">
        <v>160</v>
      </c>
      <c r="F10024" s="247"/>
      <c r="G10024" s="247">
        <f t="shared" si="161"/>
        <v>-160</v>
      </c>
      <c r="H10024" s="121" t="s">
        <v>6469</v>
      </c>
    </row>
    <row r="10025" spans="1:8" ht="24" x14ac:dyDescent="0.2">
      <c r="A10025" s="619">
        <v>44219</v>
      </c>
      <c r="B10025" s="222" t="s">
        <v>11</v>
      </c>
      <c r="C10025" s="222" t="s">
        <v>2503</v>
      </c>
      <c r="D10025" s="805" t="s">
        <v>6533</v>
      </c>
      <c r="E10025" s="247">
        <v>30000</v>
      </c>
      <c r="F10025" s="247"/>
      <c r="G10025" s="247">
        <f t="shared" ref="G10025:G10088" si="162">F10025-E10025</f>
        <v>-30000</v>
      </c>
      <c r="H10025" s="121" t="s">
        <v>6469</v>
      </c>
    </row>
    <row r="10026" spans="1:8" ht="15" x14ac:dyDescent="0.2">
      <c r="A10026" s="619">
        <v>44219</v>
      </c>
      <c r="B10026" s="222" t="s">
        <v>2933</v>
      </c>
      <c r="C10026" s="222" t="s">
        <v>6534</v>
      </c>
      <c r="D10026" s="805" t="s">
        <v>6535</v>
      </c>
      <c r="E10026" s="247">
        <v>16900</v>
      </c>
      <c r="F10026" s="247"/>
      <c r="G10026" s="247">
        <f t="shared" si="162"/>
        <v>-16900</v>
      </c>
      <c r="H10026" s="121" t="s">
        <v>6469</v>
      </c>
    </row>
    <row r="10027" spans="1:8" ht="15" x14ac:dyDescent="0.2">
      <c r="A10027" s="619">
        <v>44219</v>
      </c>
      <c r="B10027" s="222" t="s">
        <v>6408</v>
      </c>
      <c r="C10027" s="222" t="s">
        <v>2386</v>
      </c>
      <c r="D10027" s="805" t="s">
        <v>5858</v>
      </c>
      <c r="E10027" s="247">
        <v>6600</v>
      </c>
      <c r="F10027" s="247"/>
      <c r="G10027" s="247">
        <f t="shared" si="162"/>
        <v>-6600</v>
      </c>
      <c r="H10027" s="121" t="s">
        <v>6469</v>
      </c>
    </row>
    <row r="10028" spans="1:8" ht="15" x14ac:dyDescent="0.2">
      <c r="A10028" s="619">
        <v>44219</v>
      </c>
      <c r="B10028" s="222" t="s">
        <v>25</v>
      </c>
      <c r="C10028" s="222" t="s">
        <v>2428</v>
      </c>
      <c r="D10028" s="805" t="s">
        <v>6536</v>
      </c>
      <c r="E10028" s="247">
        <v>16036</v>
      </c>
      <c r="F10028" s="247"/>
      <c r="G10028" s="247">
        <f t="shared" si="162"/>
        <v>-16036</v>
      </c>
      <c r="H10028" s="121" t="s">
        <v>6469</v>
      </c>
    </row>
    <row r="10029" spans="1:8" ht="15" customHeight="1" x14ac:dyDescent="0.2">
      <c r="A10029" s="619">
        <v>44219</v>
      </c>
      <c r="B10029" s="222" t="s">
        <v>6518</v>
      </c>
      <c r="C10029" s="222" t="s">
        <v>2190</v>
      </c>
      <c r="D10029" s="805"/>
      <c r="E10029" s="247">
        <v>240</v>
      </c>
      <c r="F10029" s="247"/>
      <c r="G10029" s="247">
        <f t="shared" si="162"/>
        <v>-240</v>
      </c>
      <c r="H10029" s="121" t="s">
        <v>6469</v>
      </c>
    </row>
    <row r="10030" spans="1:8" ht="24" customHeight="1" x14ac:dyDescent="0.2">
      <c r="A10030" s="619">
        <v>44221</v>
      </c>
      <c r="B10030" s="222" t="s">
        <v>2933</v>
      </c>
      <c r="C10030" s="222" t="s">
        <v>3145</v>
      </c>
      <c r="D10030" s="805" t="s">
        <v>6537</v>
      </c>
      <c r="E10030" s="247">
        <v>17440</v>
      </c>
      <c r="F10030" s="247"/>
      <c r="G10030" s="247">
        <f t="shared" si="162"/>
        <v>-17440</v>
      </c>
      <c r="H10030" s="121" t="s">
        <v>6469</v>
      </c>
    </row>
    <row r="10031" spans="1:8" ht="15" x14ac:dyDescent="0.2">
      <c r="A10031" s="619">
        <v>44221</v>
      </c>
      <c r="B10031" s="222" t="s">
        <v>6408</v>
      </c>
      <c r="C10031" s="222" t="s">
        <v>3145</v>
      </c>
      <c r="D10031" s="805" t="s">
        <v>6538</v>
      </c>
      <c r="E10031" s="247">
        <v>5437</v>
      </c>
      <c r="F10031" s="247"/>
      <c r="G10031" s="247">
        <f t="shared" si="162"/>
        <v>-5437</v>
      </c>
      <c r="H10031" s="121" t="s">
        <v>6469</v>
      </c>
    </row>
    <row r="10032" spans="1:8" ht="15" x14ac:dyDescent="0.2">
      <c r="A10032" s="619">
        <v>44223</v>
      </c>
      <c r="B10032" s="222" t="s">
        <v>6518</v>
      </c>
      <c r="C10032" s="222" t="s">
        <v>392</v>
      </c>
      <c r="D10032" s="805" t="s">
        <v>6540</v>
      </c>
      <c r="E10032" s="247">
        <v>1150</v>
      </c>
      <c r="F10032" s="247"/>
      <c r="G10032" s="247">
        <f t="shared" si="162"/>
        <v>-1150</v>
      </c>
      <c r="H10032" s="121" t="s">
        <v>6469</v>
      </c>
    </row>
    <row r="10033" spans="1:8" ht="15" x14ac:dyDescent="0.2">
      <c r="A10033" s="619">
        <v>44223</v>
      </c>
      <c r="B10033" s="222" t="s">
        <v>6518</v>
      </c>
      <c r="C10033" s="222" t="s">
        <v>5741</v>
      </c>
      <c r="D10033" s="805" t="s">
        <v>6541</v>
      </c>
      <c r="E10033" s="247">
        <v>6000</v>
      </c>
      <c r="F10033" s="247"/>
      <c r="G10033" s="247">
        <f t="shared" si="162"/>
        <v>-6000</v>
      </c>
      <c r="H10033" s="121" t="s">
        <v>6469</v>
      </c>
    </row>
    <row r="10034" spans="1:8" ht="15" x14ac:dyDescent="0.2">
      <c r="A10034" s="619">
        <v>44223</v>
      </c>
      <c r="B10034" s="222" t="s">
        <v>6518</v>
      </c>
      <c r="C10034" s="222" t="s">
        <v>5741</v>
      </c>
      <c r="D10034" s="805" t="s">
        <v>6541</v>
      </c>
      <c r="E10034" s="247">
        <v>1200</v>
      </c>
      <c r="F10034" s="247"/>
      <c r="G10034" s="247">
        <f t="shared" si="162"/>
        <v>-1200</v>
      </c>
      <c r="H10034" s="121" t="s">
        <v>6469</v>
      </c>
    </row>
    <row r="10035" spans="1:8" ht="15" x14ac:dyDescent="0.2">
      <c r="A10035" s="619">
        <v>44223</v>
      </c>
      <c r="B10035" s="222" t="s">
        <v>3946</v>
      </c>
      <c r="C10035" s="222" t="s">
        <v>6542</v>
      </c>
      <c r="D10035" s="805" t="s">
        <v>6543</v>
      </c>
      <c r="E10035" s="247">
        <v>5000</v>
      </c>
      <c r="F10035" s="247"/>
      <c r="G10035" s="247">
        <f t="shared" si="162"/>
        <v>-5000</v>
      </c>
      <c r="H10035" s="121" t="s">
        <v>6469</v>
      </c>
    </row>
    <row r="10036" spans="1:8" ht="15" x14ac:dyDescent="0.2">
      <c r="A10036" s="619">
        <v>44223</v>
      </c>
      <c r="B10036" s="222" t="s">
        <v>2933</v>
      </c>
      <c r="C10036" s="222" t="s">
        <v>3145</v>
      </c>
      <c r="D10036" s="805" t="s">
        <v>6344</v>
      </c>
      <c r="E10036" s="247">
        <v>3940</v>
      </c>
      <c r="F10036" s="247"/>
      <c r="G10036" s="247">
        <f t="shared" si="162"/>
        <v>-3940</v>
      </c>
      <c r="H10036" s="121" t="s">
        <v>6469</v>
      </c>
    </row>
    <row r="10037" spans="1:8" ht="15" x14ac:dyDescent="0.2">
      <c r="A10037" s="619">
        <v>44223</v>
      </c>
      <c r="B10037" s="222" t="s">
        <v>25</v>
      </c>
      <c r="C10037" s="222" t="s">
        <v>1005</v>
      </c>
      <c r="D10037" s="805"/>
      <c r="E10037" s="247">
        <v>660</v>
      </c>
      <c r="F10037" s="247"/>
      <c r="G10037" s="247">
        <f t="shared" si="162"/>
        <v>-660</v>
      </c>
      <c r="H10037" s="121" t="s">
        <v>6469</v>
      </c>
    </row>
    <row r="10038" spans="1:8" ht="15" x14ac:dyDescent="0.2">
      <c r="A10038" s="619">
        <v>44223</v>
      </c>
      <c r="B10038" s="222" t="s">
        <v>16</v>
      </c>
      <c r="C10038" s="222" t="s">
        <v>392</v>
      </c>
      <c r="D10038" s="805" t="s">
        <v>6544</v>
      </c>
      <c r="E10038" s="247">
        <v>400</v>
      </c>
      <c r="F10038" s="247"/>
      <c r="G10038" s="247">
        <f t="shared" si="162"/>
        <v>-400</v>
      </c>
      <c r="H10038" s="121" t="s">
        <v>6469</v>
      </c>
    </row>
    <row r="10039" spans="1:8" ht="15" x14ac:dyDescent="0.2">
      <c r="A10039" s="619">
        <v>44223</v>
      </c>
      <c r="B10039" s="222" t="s">
        <v>6408</v>
      </c>
      <c r="C10039" s="222" t="s">
        <v>3145</v>
      </c>
      <c r="D10039" s="805" t="s">
        <v>6545</v>
      </c>
      <c r="E10039" s="247">
        <v>13160</v>
      </c>
      <c r="F10039" s="247"/>
      <c r="G10039" s="247">
        <f t="shared" si="162"/>
        <v>-13160</v>
      </c>
      <c r="H10039" s="121" t="s">
        <v>6469</v>
      </c>
    </row>
    <row r="10040" spans="1:8" ht="15" x14ac:dyDescent="0.2">
      <c r="A10040" s="619">
        <v>44223</v>
      </c>
      <c r="B10040" s="222" t="s">
        <v>6408</v>
      </c>
      <c r="C10040" s="222" t="s">
        <v>3145</v>
      </c>
      <c r="D10040" s="805" t="s">
        <v>3974</v>
      </c>
      <c r="E10040" s="247">
        <v>1500</v>
      </c>
      <c r="F10040" s="247"/>
      <c r="G10040" s="247">
        <f t="shared" si="162"/>
        <v>-1500</v>
      </c>
      <c r="H10040" s="121" t="s">
        <v>6469</v>
      </c>
    </row>
    <row r="10041" spans="1:8" ht="24" x14ac:dyDescent="0.2">
      <c r="A10041" s="619">
        <v>44223</v>
      </c>
      <c r="B10041" s="222" t="s">
        <v>6518</v>
      </c>
      <c r="C10041" s="222" t="s">
        <v>3145</v>
      </c>
      <c r="D10041" s="805" t="s">
        <v>6546</v>
      </c>
      <c r="E10041" s="247">
        <v>73906</v>
      </c>
      <c r="F10041" s="247"/>
      <c r="G10041" s="247">
        <f t="shared" si="162"/>
        <v>-73906</v>
      </c>
      <c r="H10041" s="121" t="s">
        <v>6469</v>
      </c>
    </row>
    <row r="10042" spans="1:8" ht="15" x14ac:dyDescent="0.2">
      <c r="A10042" s="619">
        <v>44224</v>
      </c>
      <c r="B10042" s="222" t="s">
        <v>25</v>
      </c>
      <c r="C10042" s="222" t="s">
        <v>4065</v>
      </c>
      <c r="D10042" s="805" t="s">
        <v>2796</v>
      </c>
      <c r="E10042" s="247">
        <v>1500</v>
      </c>
      <c r="F10042" s="247"/>
      <c r="G10042" s="247">
        <f t="shared" si="162"/>
        <v>-1500</v>
      </c>
      <c r="H10042" s="121" t="s">
        <v>6469</v>
      </c>
    </row>
    <row r="10043" spans="1:8" ht="15" x14ac:dyDescent="0.2">
      <c r="A10043" s="619">
        <v>44224</v>
      </c>
      <c r="B10043" s="222" t="s">
        <v>6518</v>
      </c>
      <c r="C10043" s="222" t="s">
        <v>5741</v>
      </c>
      <c r="D10043" s="805" t="s">
        <v>6547</v>
      </c>
      <c r="E10043" s="247">
        <v>1200</v>
      </c>
      <c r="F10043" s="247"/>
      <c r="G10043" s="247">
        <f t="shared" si="162"/>
        <v>-1200</v>
      </c>
      <c r="H10043" s="121" t="s">
        <v>6469</v>
      </c>
    </row>
    <row r="10044" spans="1:8" ht="15" x14ac:dyDescent="0.2">
      <c r="A10044" s="619">
        <v>44224</v>
      </c>
      <c r="B10044" s="222" t="s">
        <v>6518</v>
      </c>
      <c r="C10044" s="222" t="s">
        <v>392</v>
      </c>
      <c r="D10044" s="805" t="s">
        <v>6558</v>
      </c>
      <c r="E10044" s="247">
        <v>7475</v>
      </c>
      <c r="F10044" s="247"/>
      <c r="G10044" s="247">
        <f t="shared" si="162"/>
        <v>-7475</v>
      </c>
      <c r="H10044" s="121" t="s">
        <v>6469</v>
      </c>
    </row>
    <row r="10045" spans="1:8" ht="15" x14ac:dyDescent="0.2">
      <c r="A10045" s="619">
        <v>44225</v>
      </c>
      <c r="B10045" s="222" t="s">
        <v>16</v>
      </c>
      <c r="C10045" s="222" t="s">
        <v>392</v>
      </c>
      <c r="D10045" s="805" t="s">
        <v>6559</v>
      </c>
      <c r="E10045" s="247">
        <v>5000</v>
      </c>
      <c r="F10045" s="247"/>
      <c r="G10045" s="247">
        <f t="shared" si="162"/>
        <v>-5000</v>
      </c>
      <c r="H10045" s="121" t="s">
        <v>6469</v>
      </c>
    </row>
    <row r="10046" spans="1:8" ht="15" x14ac:dyDescent="0.2">
      <c r="A10046" s="619">
        <v>44225</v>
      </c>
      <c r="B10046" s="222" t="s">
        <v>6518</v>
      </c>
      <c r="C10046" s="222" t="s">
        <v>3145</v>
      </c>
      <c r="D10046" s="805" t="s">
        <v>6560</v>
      </c>
      <c r="E10046" s="247">
        <v>12900</v>
      </c>
      <c r="F10046" s="247"/>
      <c r="G10046" s="247">
        <f t="shared" si="162"/>
        <v>-12900</v>
      </c>
      <c r="H10046" s="121" t="s">
        <v>6469</v>
      </c>
    </row>
    <row r="10047" spans="1:8" ht="15" x14ac:dyDescent="0.2">
      <c r="A10047" s="619">
        <v>44226</v>
      </c>
      <c r="B10047" s="222" t="s">
        <v>6447</v>
      </c>
      <c r="C10047" s="222" t="s">
        <v>3145</v>
      </c>
      <c r="D10047" s="805" t="s">
        <v>6561</v>
      </c>
      <c r="E10047" s="247">
        <v>4570</v>
      </c>
      <c r="F10047" s="247"/>
      <c r="G10047" s="247">
        <f t="shared" si="162"/>
        <v>-4570</v>
      </c>
      <c r="H10047" s="121" t="s">
        <v>6469</v>
      </c>
    </row>
    <row r="10048" spans="1:8" ht="15" x14ac:dyDescent="0.2">
      <c r="A10048" s="619">
        <v>44226</v>
      </c>
      <c r="B10048" s="222" t="s">
        <v>16</v>
      </c>
      <c r="C10048" s="222" t="s">
        <v>103</v>
      </c>
      <c r="D10048" s="805" t="s">
        <v>5745</v>
      </c>
      <c r="E10048" s="247">
        <v>29066</v>
      </c>
      <c r="F10048" s="247"/>
      <c r="G10048" s="247">
        <f t="shared" si="162"/>
        <v>-29066</v>
      </c>
      <c r="H10048" s="121" t="s">
        <v>6469</v>
      </c>
    </row>
    <row r="10049" spans="1:8" ht="15" x14ac:dyDescent="0.2">
      <c r="A10049" s="619">
        <v>44226</v>
      </c>
      <c r="B10049" s="222" t="s">
        <v>6518</v>
      </c>
      <c r="C10049" s="222" t="s">
        <v>2503</v>
      </c>
      <c r="D10049" s="805" t="s">
        <v>372</v>
      </c>
      <c r="E10049" s="247">
        <v>25000</v>
      </c>
      <c r="F10049" s="247"/>
      <c r="G10049" s="247">
        <f t="shared" si="162"/>
        <v>-25000</v>
      </c>
      <c r="H10049" s="121" t="s">
        <v>6469</v>
      </c>
    </row>
    <row r="10050" spans="1:8" ht="15" x14ac:dyDescent="0.2">
      <c r="A10050" s="619">
        <v>44226</v>
      </c>
      <c r="B10050" s="222" t="s">
        <v>1400</v>
      </c>
      <c r="C10050" s="222" t="s">
        <v>2503</v>
      </c>
      <c r="D10050" s="805" t="s">
        <v>372</v>
      </c>
      <c r="E10050" s="247">
        <v>25000</v>
      </c>
      <c r="F10050" s="247"/>
      <c r="G10050" s="247">
        <f t="shared" si="162"/>
        <v>-25000</v>
      </c>
      <c r="H10050" s="121" t="s">
        <v>6469</v>
      </c>
    </row>
    <row r="10051" spans="1:8" ht="15" x14ac:dyDescent="0.2">
      <c r="A10051" s="619">
        <v>44226</v>
      </c>
      <c r="B10051" s="222" t="s">
        <v>6408</v>
      </c>
      <c r="C10051" s="222" t="s">
        <v>2503</v>
      </c>
      <c r="D10051" s="805" t="s">
        <v>551</v>
      </c>
      <c r="E10051" s="247">
        <v>25000</v>
      </c>
      <c r="F10051" s="247"/>
      <c r="G10051" s="247">
        <f t="shared" si="162"/>
        <v>-25000</v>
      </c>
      <c r="H10051" s="121" t="s">
        <v>6469</v>
      </c>
    </row>
    <row r="10052" spans="1:8" ht="15" x14ac:dyDescent="0.2">
      <c r="A10052" s="619">
        <v>44226</v>
      </c>
      <c r="B10052" s="222" t="s">
        <v>1400</v>
      </c>
      <c r="C10052" s="222" t="s">
        <v>2503</v>
      </c>
      <c r="D10052" s="805" t="s">
        <v>551</v>
      </c>
      <c r="E10052" s="247">
        <v>25000</v>
      </c>
      <c r="F10052" s="247"/>
      <c r="G10052" s="247">
        <f t="shared" si="162"/>
        <v>-25000</v>
      </c>
      <c r="H10052" s="121" t="s">
        <v>6469</v>
      </c>
    </row>
    <row r="10053" spans="1:8" ht="15" x14ac:dyDescent="0.2">
      <c r="A10053" s="619">
        <v>44226</v>
      </c>
      <c r="B10053" s="222" t="s">
        <v>25</v>
      </c>
      <c r="C10053" s="222" t="s">
        <v>2503</v>
      </c>
      <c r="D10053" s="805" t="s">
        <v>6236</v>
      </c>
      <c r="E10053" s="247">
        <v>60000</v>
      </c>
      <c r="F10053" s="247"/>
      <c r="G10053" s="247">
        <f t="shared" si="162"/>
        <v>-60000</v>
      </c>
      <c r="H10053" s="121" t="s">
        <v>6469</v>
      </c>
    </row>
    <row r="10054" spans="1:8" ht="15" x14ac:dyDescent="0.2">
      <c r="A10054" s="619">
        <v>44226</v>
      </c>
      <c r="B10054" s="222" t="s">
        <v>16</v>
      </c>
      <c r="C10054" s="222" t="s">
        <v>2503</v>
      </c>
      <c r="D10054" s="805" t="s">
        <v>103</v>
      </c>
      <c r="E10054" s="247">
        <v>103484</v>
      </c>
      <c r="F10054" s="247"/>
      <c r="G10054" s="247">
        <f t="shared" si="162"/>
        <v>-103484</v>
      </c>
      <c r="H10054" s="121" t="s">
        <v>6469</v>
      </c>
    </row>
    <row r="10055" spans="1:8" ht="15" x14ac:dyDescent="0.2">
      <c r="A10055" s="619">
        <v>44226</v>
      </c>
      <c r="B10055" s="222" t="s">
        <v>3945</v>
      </c>
      <c r="C10055" s="222" t="s">
        <v>2503</v>
      </c>
      <c r="D10055" s="805" t="s">
        <v>6568</v>
      </c>
      <c r="E10055" s="247">
        <v>31500</v>
      </c>
      <c r="F10055" s="247"/>
      <c r="G10055" s="247">
        <f t="shared" si="162"/>
        <v>-31500</v>
      </c>
      <c r="H10055" s="121" t="s">
        <v>6469</v>
      </c>
    </row>
    <row r="10056" spans="1:8" ht="15" x14ac:dyDescent="0.2">
      <c r="A10056" s="619">
        <v>44226</v>
      </c>
      <c r="B10056" s="222" t="s">
        <v>3946</v>
      </c>
      <c r="C10056" s="222" t="s">
        <v>2503</v>
      </c>
      <c r="D10056" s="805" t="s">
        <v>6569</v>
      </c>
      <c r="E10056" s="247">
        <v>53987</v>
      </c>
      <c r="F10056" s="247"/>
      <c r="G10056" s="247">
        <f t="shared" si="162"/>
        <v>-53987</v>
      </c>
      <c r="H10056" s="121" t="s">
        <v>6469</v>
      </c>
    </row>
    <row r="10057" spans="1:8" ht="15" x14ac:dyDescent="0.2">
      <c r="A10057" s="619">
        <v>44226</v>
      </c>
      <c r="B10057" s="222" t="s">
        <v>1400</v>
      </c>
      <c r="C10057" s="222" t="s">
        <v>2503</v>
      </c>
      <c r="D10057" s="805" t="s">
        <v>6322</v>
      </c>
      <c r="E10057" s="247">
        <v>212582.85483870967</v>
      </c>
      <c r="F10057" s="247"/>
      <c r="G10057" s="247">
        <f t="shared" si="162"/>
        <v>-212582.85483870967</v>
      </c>
      <c r="H10057" s="121" t="s">
        <v>6469</v>
      </c>
    </row>
    <row r="10058" spans="1:8" ht="15" x14ac:dyDescent="0.2">
      <c r="A10058" s="619">
        <v>44226</v>
      </c>
      <c r="B10058" s="222" t="s">
        <v>6516</v>
      </c>
      <c r="C10058" s="222" t="s">
        <v>2503</v>
      </c>
      <c r="D10058" s="805" t="s">
        <v>6570</v>
      </c>
      <c r="E10058" s="247">
        <v>122746</v>
      </c>
      <c r="F10058" s="247"/>
      <c r="G10058" s="247">
        <f t="shared" si="162"/>
        <v>-122746</v>
      </c>
      <c r="H10058" s="121" t="s">
        <v>6469</v>
      </c>
    </row>
    <row r="10059" spans="1:8" ht="15" x14ac:dyDescent="0.2">
      <c r="A10059" s="619">
        <v>44226</v>
      </c>
      <c r="B10059" s="222" t="s">
        <v>37</v>
      </c>
      <c r="C10059" s="222" t="s">
        <v>2503</v>
      </c>
      <c r="D10059" s="805" t="s">
        <v>6571</v>
      </c>
      <c r="E10059" s="247">
        <v>104427.41935483871</v>
      </c>
      <c r="F10059" s="247"/>
      <c r="G10059" s="247">
        <f t="shared" si="162"/>
        <v>-104427.41935483871</v>
      </c>
      <c r="H10059" s="121" t="s">
        <v>6469</v>
      </c>
    </row>
    <row r="10060" spans="1:8" ht="15" x14ac:dyDescent="0.2">
      <c r="A10060" s="619">
        <v>44226</v>
      </c>
      <c r="B10060" s="222" t="s">
        <v>2933</v>
      </c>
      <c r="C10060" s="222" t="s">
        <v>2503</v>
      </c>
      <c r="D10060" s="805" t="s">
        <v>6572</v>
      </c>
      <c r="E10060" s="247">
        <v>52201.612903225803</v>
      </c>
      <c r="F10060" s="247"/>
      <c r="G10060" s="247">
        <f t="shared" si="162"/>
        <v>-52201.612903225803</v>
      </c>
      <c r="H10060" s="121" t="s">
        <v>6469</v>
      </c>
    </row>
    <row r="10061" spans="1:8" ht="15" x14ac:dyDescent="0.2">
      <c r="A10061" s="619">
        <v>44226</v>
      </c>
      <c r="B10061" s="222" t="s">
        <v>6518</v>
      </c>
      <c r="C10061" s="222" t="s">
        <v>2503</v>
      </c>
      <c r="D10061" s="805" t="s">
        <v>6573</v>
      </c>
      <c r="E10061" s="247">
        <v>104609</v>
      </c>
      <c r="F10061" s="247"/>
      <c r="G10061" s="247">
        <f t="shared" si="162"/>
        <v>-104609</v>
      </c>
      <c r="H10061" s="121" t="s">
        <v>6469</v>
      </c>
    </row>
    <row r="10062" spans="1:8" ht="15" x14ac:dyDescent="0.2">
      <c r="A10062" s="619">
        <v>44226</v>
      </c>
      <c r="B10062" s="222" t="s">
        <v>5811</v>
      </c>
      <c r="C10062" s="222" t="s">
        <v>2503</v>
      </c>
      <c r="D10062" s="805" t="s">
        <v>6320</v>
      </c>
      <c r="E10062" s="247">
        <v>43000</v>
      </c>
      <c r="F10062" s="247"/>
      <c r="G10062" s="247">
        <f t="shared" si="162"/>
        <v>-43000</v>
      </c>
      <c r="H10062" s="121" t="s">
        <v>6469</v>
      </c>
    </row>
    <row r="10063" spans="1:8" ht="15" x14ac:dyDescent="0.2">
      <c r="A10063" s="620">
        <v>44203</v>
      </c>
      <c r="B10063" s="240" t="s">
        <v>1400</v>
      </c>
      <c r="C10063" s="588" t="s">
        <v>166</v>
      </c>
      <c r="D10063" s="740" t="s">
        <v>6484</v>
      </c>
      <c r="E10063" s="589">
        <v>43940</v>
      </c>
      <c r="F10063" s="241"/>
      <c r="G10063" s="241">
        <f t="shared" si="162"/>
        <v>-43940</v>
      </c>
      <c r="H10063" s="244" t="s">
        <v>6469</v>
      </c>
    </row>
    <row r="10064" spans="1:8" ht="15" x14ac:dyDescent="0.2">
      <c r="A10064" s="620">
        <v>44203</v>
      </c>
      <c r="B10064" s="240" t="s">
        <v>2933</v>
      </c>
      <c r="C10064" s="588" t="s">
        <v>166</v>
      </c>
      <c r="D10064" s="740" t="s">
        <v>6484</v>
      </c>
      <c r="E10064" s="589">
        <v>20920</v>
      </c>
      <c r="F10064" s="241"/>
      <c r="G10064" s="241">
        <f t="shared" si="162"/>
        <v>-20920</v>
      </c>
      <c r="H10064" s="244" t="s">
        <v>6469</v>
      </c>
    </row>
    <row r="10065" spans="1:8" ht="15" x14ac:dyDescent="0.2">
      <c r="A10065" s="620">
        <v>44203</v>
      </c>
      <c r="B10065" s="240" t="s">
        <v>6408</v>
      </c>
      <c r="C10065" s="588" t="s">
        <v>166</v>
      </c>
      <c r="D10065" s="740" t="s">
        <v>6484</v>
      </c>
      <c r="E10065" s="589">
        <v>71940</v>
      </c>
      <c r="F10065" s="241"/>
      <c r="G10065" s="241">
        <f t="shared" si="162"/>
        <v>-71940</v>
      </c>
      <c r="H10065" s="244" t="s">
        <v>6469</v>
      </c>
    </row>
    <row r="10066" spans="1:8" ht="15" x14ac:dyDescent="0.2">
      <c r="A10066" s="620">
        <v>44203</v>
      </c>
      <c r="B10066" s="240" t="s">
        <v>2652</v>
      </c>
      <c r="C10066" s="588" t="s">
        <v>166</v>
      </c>
      <c r="D10066" s="740" t="s">
        <v>6484</v>
      </c>
      <c r="E10066" s="589">
        <v>13200</v>
      </c>
      <c r="F10066" s="241"/>
      <c r="G10066" s="241">
        <f t="shared" si="162"/>
        <v>-13200</v>
      </c>
      <c r="H10066" s="244" t="s">
        <v>6469</v>
      </c>
    </row>
    <row r="10067" spans="1:8" ht="15" x14ac:dyDescent="0.2">
      <c r="A10067" s="620">
        <v>44207</v>
      </c>
      <c r="B10067" s="240" t="s">
        <v>6447</v>
      </c>
      <c r="C10067" s="240" t="s">
        <v>256</v>
      </c>
      <c r="D10067" s="228" t="s">
        <v>6485</v>
      </c>
      <c r="E10067" s="241">
        <v>116000</v>
      </c>
      <c r="F10067" s="241"/>
      <c r="G10067" s="241">
        <f t="shared" si="162"/>
        <v>-116000</v>
      </c>
      <c r="H10067" s="244" t="s">
        <v>6469</v>
      </c>
    </row>
    <row r="10068" spans="1:8" ht="15" x14ac:dyDescent="0.2">
      <c r="A10068" s="620">
        <v>44214</v>
      </c>
      <c r="B10068" s="240" t="s">
        <v>1400</v>
      </c>
      <c r="C10068" s="240" t="s">
        <v>6378</v>
      </c>
      <c r="D10068" s="228" t="s">
        <v>6517</v>
      </c>
      <c r="E10068" s="241">
        <v>100000</v>
      </c>
      <c r="F10068" s="241"/>
      <c r="G10068" s="241">
        <f t="shared" si="162"/>
        <v>-100000</v>
      </c>
      <c r="H10068" s="244" t="s">
        <v>6469</v>
      </c>
    </row>
    <row r="10069" spans="1:8" ht="15" x14ac:dyDescent="0.2">
      <c r="A10069" s="620">
        <v>44215</v>
      </c>
      <c r="B10069" s="240" t="s">
        <v>6408</v>
      </c>
      <c r="C10069" s="240" t="s">
        <v>3446</v>
      </c>
      <c r="D10069" s="228" t="s">
        <v>6521</v>
      </c>
      <c r="E10069" s="241">
        <v>50000</v>
      </c>
      <c r="F10069" s="241"/>
      <c r="G10069" s="241">
        <f t="shared" si="162"/>
        <v>-50000</v>
      </c>
      <c r="H10069" s="244" t="s">
        <v>6469</v>
      </c>
    </row>
    <row r="10070" spans="1:8" ht="15" customHeight="1" x14ac:dyDescent="0.2">
      <c r="A10070" s="620">
        <v>44218</v>
      </c>
      <c r="B10070" s="240" t="s">
        <v>6518</v>
      </c>
      <c r="C10070" s="240" t="s">
        <v>6522</v>
      </c>
      <c r="D10070" s="228" t="s">
        <v>6523</v>
      </c>
      <c r="E10070" s="241">
        <v>40000</v>
      </c>
      <c r="F10070" s="241"/>
      <c r="G10070" s="241">
        <f t="shared" si="162"/>
        <v>-40000</v>
      </c>
      <c r="H10070" s="244" t="s">
        <v>6469</v>
      </c>
    </row>
    <row r="10071" spans="1:8" ht="15" x14ac:dyDescent="0.2">
      <c r="A10071" s="620">
        <v>44218</v>
      </c>
      <c r="B10071" s="240" t="s">
        <v>1400</v>
      </c>
      <c r="C10071" s="240" t="s">
        <v>4334</v>
      </c>
      <c r="D10071" s="228" t="s">
        <v>6524</v>
      </c>
      <c r="E10071" s="241">
        <v>30000</v>
      </c>
      <c r="F10071" s="241"/>
      <c r="G10071" s="241">
        <f t="shared" si="162"/>
        <v>-30000</v>
      </c>
      <c r="H10071" s="244" t="s">
        <v>6469</v>
      </c>
    </row>
    <row r="10072" spans="1:8" ht="15" x14ac:dyDescent="0.2">
      <c r="A10072" s="620">
        <v>44219</v>
      </c>
      <c r="B10072" s="240" t="s">
        <v>6447</v>
      </c>
      <c r="C10072" s="588" t="s">
        <v>2386</v>
      </c>
      <c r="D10072" s="740" t="s">
        <v>6525</v>
      </c>
      <c r="E10072" s="589">
        <v>83000</v>
      </c>
      <c r="F10072" s="241"/>
      <c r="G10072" s="241">
        <f t="shared" si="162"/>
        <v>-83000</v>
      </c>
      <c r="H10072" s="244" t="s">
        <v>6469</v>
      </c>
    </row>
    <row r="10073" spans="1:8" ht="15" x14ac:dyDescent="0.2">
      <c r="A10073" s="620">
        <v>44219</v>
      </c>
      <c r="B10073" s="240" t="s">
        <v>6408</v>
      </c>
      <c r="C10073" s="588" t="s">
        <v>2386</v>
      </c>
      <c r="D10073" s="740" t="s">
        <v>6525</v>
      </c>
      <c r="E10073" s="589">
        <v>17000</v>
      </c>
      <c r="F10073" s="241"/>
      <c r="G10073" s="241">
        <f t="shared" si="162"/>
        <v>-17000</v>
      </c>
      <c r="H10073" s="244" t="s">
        <v>6469</v>
      </c>
    </row>
    <row r="10074" spans="1:8" ht="15" x14ac:dyDescent="0.2">
      <c r="A10074" s="620">
        <v>44221</v>
      </c>
      <c r="B10074" s="240" t="s">
        <v>6408</v>
      </c>
      <c r="C10074" s="240" t="s">
        <v>5593</v>
      </c>
      <c r="D10074" s="228" t="s">
        <v>6526</v>
      </c>
      <c r="E10074" s="241">
        <v>100000</v>
      </c>
      <c r="F10074" s="241"/>
      <c r="G10074" s="241">
        <f t="shared" si="162"/>
        <v>-100000</v>
      </c>
      <c r="H10074" s="244" t="s">
        <v>6469</v>
      </c>
    </row>
    <row r="10075" spans="1:8" ht="15" x14ac:dyDescent="0.2">
      <c r="A10075" s="620">
        <v>44221</v>
      </c>
      <c r="B10075" s="240" t="s">
        <v>6518</v>
      </c>
      <c r="C10075" s="240" t="s">
        <v>6527</v>
      </c>
      <c r="D10075" s="228" t="s">
        <v>6528</v>
      </c>
      <c r="E10075" s="241">
        <v>300000</v>
      </c>
      <c r="F10075" s="241"/>
      <c r="G10075" s="241">
        <f t="shared" si="162"/>
        <v>-300000</v>
      </c>
      <c r="H10075" s="244" t="s">
        <v>6469</v>
      </c>
    </row>
    <row r="10076" spans="1:8" ht="15" x14ac:dyDescent="0.2">
      <c r="A10076" s="620">
        <v>44225</v>
      </c>
      <c r="B10076" s="240" t="s">
        <v>6518</v>
      </c>
      <c r="C10076" s="240" t="s">
        <v>6522</v>
      </c>
      <c r="D10076" s="228" t="s">
        <v>6548</v>
      </c>
      <c r="E10076" s="241">
        <v>150000</v>
      </c>
      <c r="F10076" s="241"/>
      <c r="G10076" s="241">
        <f t="shared" si="162"/>
        <v>-150000</v>
      </c>
      <c r="H10076" s="244" t="s">
        <v>6469</v>
      </c>
    </row>
    <row r="10077" spans="1:8" ht="15" x14ac:dyDescent="0.2">
      <c r="A10077" s="620">
        <v>44225</v>
      </c>
      <c r="B10077" s="240" t="s">
        <v>6518</v>
      </c>
      <c r="C10077" s="240" t="s">
        <v>2970</v>
      </c>
      <c r="D10077" s="228" t="s">
        <v>6549</v>
      </c>
      <c r="E10077" s="241">
        <v>52500</v>
      </c>
      <c r="F10077" s="241"/>
      <c r="G10077" s="241">
        <f t="shared" si="162"/>
        <v>-52500</v>
      </c>
      <c r="H10077" s="244" t="s">
        <v>6469</v>
      </c>
    </row>
    <row r="10078" spans="1:8" ht="24" x14ac:dyDescent="0.2">
      <c r="A10078" s="599">
        <v>44200</v>
      </c>
      <c r="B10078" s="91" t="s">
        <v>6516</v>
      </c>
      <c r="C10078" s="94" t="s">
        <v>559</v>
      </c>
      <c r="D10078" s="802" t="s">
        <v>6463</v>
      </c>
      <c r="E10078" s="176"/>
      <c r="F10078" s="176">
        <v>625015</v>
      </c>
      <c r="G10078" s="176">
        <f t="shared" si="162"/>
        <v>625015</v>
      </c>
      <c r="H10078" s="261" t="s">
        <v>6469</v>
      </c>
    </row>
    <row r="10079" spans="1:8" ht="36" x14ac:dyDescent="0.2">
      <c r="A10079" s="599">
        <v>44201</v>
      </c>
      <c r="B10079" s="91" t="s">
        <v>6408</v>
      </c>
      <c r="C10079" s="94" t="s">
        <v>559</v>
      </c>
      <c r="D10079" s="798" t="s">
        <v>6490</v>
      </c>
      <c r="E10079" s="92"/>
      <c r="F10079" s="92">
        <v>964597</v>
      </c>
      <c r="G10079" s="92">
        <f t="shared" si="162"/>
        <v>964597</v>
      </c>
      <c r="H10079" s="261" t="s">
        <v>6469</v>
      </c>
    </row>
    <row r="10080" spans="1:8" ht="15" x14ac:dyDescent="0.2">
      <c r="A10080" s="599">
        <v>44202</v>
      </c>
      <c r="B10080" s="91" t="s">
        <v>6447</v>
      </c>
      <c r="C10080" s="94" t="s">
        <v>559</v>
      </c>
      <c r="D10080" s="801" t="s">
        <v>6464</v>
      </c>
      <c r="E10080" s="92"/>
      <c r="F10080" s="92">
        <v>550250</v>
      </c>
      <c r="G10080" s="92">
        <f t="shared" si="162"/>
        <v>550250</v>
      </c>
      <c r="H10080" s="261" t="s">
        <v>6469</v>
      </c>
    </row>
    <row r="10081" spans="1:8" ht="15" x14ac:dyDescent="0.2">
      <c r="A10081" s="599">
        <v>44203</v>
      </c>
      <c r="B10081" s="94" t="s">
        <v>4721</v>
      </c>
      <c r="C10081" s="94" t="s">
        <v>559</v>
      </c>
      <c r="D10081" s="802" t="s">
        <v>9202</v>
      </c>
      <c r="E10081" s="176"/>
      <c r="F10081" s="176">
        <v>150000</v>
      </c>
      <c r="G10081" s="176">
        <f t="shared" si="162"/>
        <v>150000</v>
      </c>
      <c r="H10081" s="261" t="s">
        <v>6469</v>
      </c>
    </row>
    <row r="10082" spans="1:8" ht="15" x14ac:dyDescent="0.2">
      <c r="A10082" s="599">
        <v>44210</v>
      </c>
      <c r="B10082" s="91" t="s">
        <v>37</v>
      </c>
      <c r="C10082" s="91" t="s">
        <v>559</v>
      </c>
      <c r="D10082" s="801" t="s">
        <v>6494</v>
      </c>
      <c r="E10082" s="92"/>
      <c r="F10082" s="92">
        <v>157140</v>
      </c>
      <c r="G10082" s="92">
        <f t="shared" si="162"/>
        <v>157140</v>
      </c>
      <c r="H10082" s="261" t="s">
        <v>6469</v>
      </c>
    </row>
    <row r="10083" spans="1:8" ht="15" x14ac:dyDescent="0.2">
      <c r="A10083" s="599">
        <v>44210</v>
      </c>
      <c r="B10083" s="91" t="s">
        <v>37</v>
      </c>
      <c r="C10083" s="91" t="s">
        <v>559</v>
      </c>
      <c r="D10083" s="801" t="s">
        <v>6495</v>
      </c>
      <c r="E10083" s="92"/>
      <c r="F10083" s="92">
        <v>157140</v>
      </c>
      <c r="G10083" s="92">
        <f t="shared" si="162"/>
        <v>157140</v>
      </c>
      <c r="H10083" s="261" t="s">
        <v>6469</v>
      </c>
    </row>
    <row r="10084" spans="1:8" ht="15" x14ac:dyDescent="0.2">
      <c r="A10084" s="599">
        <v>44217</v>
      </c>
      <c r="B10084" s="91" t="s">
        <v>6518</v>
      </c>
      <c r="C10084" s="91" t="s">
        <v>559</v>
      </c>
      <c r="D10084" s="801" t="s">
        <v>6668</v>
      </c>
      <c r="E10084" s="92"/>
      <c r="F10084" s="92">
        <v>2312500</v>
      </c>
      <c r="G10084" s="92">
        <f t="shared" si="162"/>
        <v>2312500</v>
      </c>
      <c r="H10084" s="261" t="s">
        <v>6469</v>
      </c>
    </row>
    <row r="10085" spans="1:8" ht="15" x14ac:dyDescent="0.2">
      <c r="A10085" s="599">
        <v>44217</v>
      </c>
      <c r="B10085" s="91" t="s">
        <v>3945</v>
      </c>
      <c r="C10085" s="91" t="s">
        <v>559</v>
      </c>
      <c r="D10085" s="801" t="s">
        <v>6519</v>
      </c>
      <c r="E10085" s="92"/>
      <c r="F10085" s="92">
        <v>50962</v>
      </c>
      <c r="G10085" s="92">
        <f t="shared" si="162"/>
        <v>50962</v>
      </c>
      <c r="H10085" s="261" t="s">
        <v>6469</v>
      </c>
    </row>
    <row r="10086" spans="1:8" ht="15" x14ac:dyDescent="0.2">
      <c r="A10086" s="599">
        <v>44217</v>
      </c>
      <c r="B10086" s="91" t="s">
        <v>37</v>
      </c>
      <c r="C10086" s="91" t="s">
        <v>559</v>
      </c>
      <c r="D10086" s="801" t="s">
        <v>6520</v>
      </c>
      <c r="E10086" s="92"/>
      <c r="F10086" s="92">
        <v>157140</v>
      </c>
      <c r="G10086" s="92">
        <f t="shared" si="162"/>
        <v>157140</v>
      </c>
      <c r="H10086" s="261" t="s">
        <v>6469</v>
      </c>
    </row>
    <row r="10087" spans="1:8" ht="15" x14ac:dyDescent="0.2">
      <c r="A10087" s="599">
        <v>44219</v>
      </c>
      <c r="B10087" s="91" t="s">
        <v>3946</v>
      </c>
      <c r="C10087" s="91" t="s">
        <v>559</v>
      </c>
      <c r="D10087" s="801" t="s">
        <v>6519</v>
      </c>
      <c r="E10087" s="92"/>
      <c r="F10087" s="92">
        <v>107010</v>
      </c>
      <c r="G10087" s="92">
        <f t="shared" si="162"/>
        <v>107010</v>
      </c>
      <c r="H10087" s="261" t="s">
        <v>6469</v>
      </c>
    </row>
    <row r="10088" spans="1:8" ht="15" x14ac:dyDescent="0.2">
      <c r="A10088" s="619">
        <v>44228</v>
      </c>
      <c r="B10088" s="222" t="s">
        <v>40</v>
      </c>
      <c r="C10088" s="586" t="s">
        <v>3145</v>
      </c>
      <c r="D10088" s="890" t="s">
        <v>6402</v>
      </c>
      <c r="E10088" s="587">
        <v>2145</v>
      </c>
      <c r="F10088" s="247"/>
      <c r="G10088" s="247">
        <f t="shared" si="162"/>
        <v>-2145</v>
      </c>
      <c r="H10088" s="121" t="s">
        <v>6550</v>
      </c>
    </row>
    <row r="10089" spans="1:8" ht="15" x14ac:dyDescent="0.2">
      <c r="A10089" s="619">
        <v>44228</v>
      </c>
      <c r="B10089" s="222" t="s">
        <v>11</v>
      </c>
      <c r="C10089" s="586" t="s">
        <v>3145</v>
      </c>
      <c r="D10089" s="890" t="s">
        <v>6402</v>
      </c>
      <c r="E10089" s="587">
        <v>2340</v>
      </c>
      <c r="F10089" s="247"/>
      <c r="G10089" s="247">
        <f t="shared" ref="G10089:G10152" si="163">F10089-E10089</f>
        <v>-2340</v>
      </c>
      <c r="H10089" s="121" t="s">
        <v>6550</v>
      </c>
    </row>
    <row r="10090" spans="1:8" ht="15" x14ac:dyDescent="0.2">
      <c r="A10090" s="619">
        <v>44228</v>
      </c>
      <c r="B10090" s="222" t="s">
        <v>16</v>
      </c>
      <c r="C10090" s="222" t="s">
        <v>1689</v>
      </c>
      <c r="D10090" s="805" t="s">
        <v>6562</v>
      </c>
      <c r="E10090" s="247">
        <v>1766</v>
      </c>
      <c r="F10090" s="247"/>
      <c r="G10090" s="247">
        <f t="shared" si="163"/>
        <v>-1766</v>
      </c>
      <c r="H10090" s="121" t="s">
        <v>6550</v>
      </c>
    </row>
    <row r="10091" spans="1:8" ht="15" x14ac:dyDescent="0.2">
      <c r="A10091" s="619">
        <v>44228</v>
      </c>
      <c r="B10091" s="222" t="s">
        <v>1400</v>
      </c>
      <c r="C10091" s="222" t="s">
        <v>6563</v>
      </c>
      <c r="D10091" s="805" t="s">
        <v>370</v>
      </c>
      <c r="E10091" s="247">
        <v>5000</v>
      </c>
      <c r="F10091" s="247"/>
      <c r="G10091" s="247">
        <f t="shared" si="163"/>
        <v>-5000</v>
      </c>
      <c r="H10091" s="121" t="s">
        <v>6550</v>
      </c>
    </row>
    <row r="10092" spans="1:8" ht="15" x14ac:dyDescent="0.2">
      <c r="A10092" s="619">
        <v>44228</v>
      </c>
      <c r="B10092" s="222" t="s">
        <v>16</v>
      </c>
      <c r="C10092" s="222" t="s">
        <v>2996</v>
      </c>
      <c r="D10092" s="805" t="s">
        <v>370</v>
      </c>
      <c r="E10092" s="247">
        <v>3000</v>
      </c>
      <c r="F10092" s="247"/>
      <c r="G10092" s="247">
        <f t="shared" si="163"/>
        <v>-3000</v>
      </c>
      <c r="H10092" s="121" t="s">
        <v>6550</v>
      </c>
    </row>
    <row r="10093" spans="1:8" ht="15" x14ac:dyDescent="0.2">
      <c r="A10093" s="619">
        <v>44229</v>
      </c>
      <c r="B10093" s="222" t="s">
        <v>16</v>
      </c>
      <c r="C10093" s="222" t="s">
        <v>6564</v>
      </c>
      <c r="D10093" s="805" t="s">
        <v>6565</v>
      </c>
      <c r="E10093" s="247">
        <v>2600</v>
      </c>
      <c r="F10093" s="247"/>
      <c r="G10093" s="247">
        <f t="shared" si="163"/>
        <v>-2600</v>
      </c>
      <c r="H10093" s="121" t="s">
        <v>6550</v>
      </c>
    </row>
    <row r="10094" spans="1:8" ht="15" x14ac:dyDescent="0.2">
      <c r="A10094" s="619">
        <v>44229</v>
      </c>
      <c r="B10094" s="222" t="s">
        <v>6518</v>
      </c>
      <c r="C10094" s="222" t="s">
        <v>392</v>
      </c>
      <c r="D10094" s="805" t="s">
        <v>4309</v>
      </c>
      <c r="E10094" s="247">
        <v>6230</v>
      </c>
      <c r="F10094" s="247"/>
      <c r="G10094" s="247">
        <f t="shared" si="163"/>
        <v>-6230</v>
      </c>
      <c r="H10094" s="121" t="s">
        <v>6550</v>
      </c>
    </row>
    <row r="10095" spans="1:8" ht="15" x14ac:dyDescent="0.2">
      <c r="A10095" s="619">
        <v>44229</v>
      </c>
      <c r="B10095" s="222" t="s">
        <v>1400</v>
      </c>
      <c r="C10095" s="222" t="s">
        <v>3145</v>
      </c>
      <c r="D10095" s="805" t="s">
        <v>4450</v>
      </c>
      <c r="E10095" s="247">
        <v>47040</v>
      </c>
      <c r="F10095" s="247"/>
      <c r="G10095" s="247">
        <f t="shared" si="163"/>
        <v>-47040</v>
      </c>
      <c r="H10095" s="121" t="s">
        <v>6550</v>
      </c>
    </row>
    <row r="10096" spans="1:8" ht="15" x14ac:dyDescent="0.2">
      <c r="A10096" s="619">
        <v>44229</v>
      </c>
      <c r="B10096" s="222" t="s">
        <v>1400</v>
      </c>
      <c r="C10096" s="222" t="s">
        <v>3145</v>
      </c>
      <c r="D10096" s="805" t="s">
        <v>4450</v>
      </c>
      <c r="E10096" s="247">
        <v>45925</v>
      </c>
      <c r="F10096" s="247"/>
      <c r="G10096" s="247">
        <f t="shared" si="163"/>
        <v>-45925</v>
      </c>
      <c r="H10096" s="121" t="s">
        <v>6550</v>
      </c>
    </row>
    <row r="10097" spans="1:8" ht="15" x14ac:dyDescent="0.2">
      <c r="A10097" s="619">
        <v>44230</v>
      </c>
      <c r="B10097" s="222" t="s">
        <v>6518</v>
      </c>
      <c r="C10097" s="586" t="s">
        <v>5652</v>
      </c>
      <c r="D10097" s="890" t="s">
        <v>6566</v>
      </c>
      <c r="E10097" s="587">
        <v>11000</v>
      </c>
      <c r="F10097" s="247"/>
      <c r="G10097" s="247">
        <f t="shared" si="163"/>
        <v>-11000</v>
      </c>
      <c r="H10097" s="121" t="s">
        <v>6550</v>
      </c>
    </row>
    <row r="10098" spans="1:8" ht="15" x14ac:dyDescent="0.2">
      <c r="A10098" s="619">
        <v>44230</v>
      </c>
      <c r="B10098" s="222" t="s">
        <v>1400</v>
      </c>
      <c r="C10098" s="586" t="s">
        <v>5652</v>
      </c>
      <c r="D10098" s="890" t="s">
        <v>6566</v>
      </c>
      <c r="E10098" s="587">
        <v>11000</v>
      </c>
      <c r="F10098" s="247"/>
      <c r="G10098" s="247">
        <f t="shared" si="163"/>
        <v>-11000</v>
      </c>
      <c r="H10098" s="121" t="s">
        <v>6550</v>
      </c>
    </row>
    <row r="10099" spans="1:8" ht="15" x14ac:dyDescent="0.2">
      <c r="A10099" s="619">
        <v>44230</v>
      </c>
      <c r="B10099" s="222" t="s">
        <v>6518</v>
      </c>
      <c r="C10099" s="222" t="s">
        <v>6171</v>
      </c>
      <c r="D10099" s="805" t="s">
        <v>6567</v>
      </c>
      <c r="E10099" s="247">
        <v>37500</v>
      </c>
      <c r="F10099" s="247"/>
      <c r="G10099" s="247">
        <f t="shared" si="163"/>
        <v>-37500</v>
      </c>
      <c r="H10099" s="121" t="s">
        <v>6550</v>
      </c>
    </row>
    <row r="10100" spans="1:8" ht="15" x14ac:dyDescent="0.2">
      <c r="A10100" s="619">
        <v>44230</v>
      </c>
      <c r="B10100" s="222" t="s">
        <v>16</v>
      </c>
      <c r="C10100" s="222" t="s">
        <v>392</v>
      </c>
      <c r="D10100" s="805" t="s">
        <v>6576</v>
      </c>
      <c r="E10100" s="247">
        <v>3239</v>
      </c>
      <c r="F10100" s="247"/>
      <c r="G10100" s="247">
        <f t="shared" si="163"/>
        <v>-3239</v>
      </c>
      <c r="H10100" s="121" t="s">
        <v>6550</v>
      </c>
    </row>
    <row r="10101" spans="1:8" ht="15" x14ac:dyDescent="0.2">
      <c r="A10101" s="619">
        <v>44230</v>
      </c>
      <c r="B10101" s="222" t="s">
        <v>6447</v>
      </c>
      <c r="C10101" s="222" t="s">
        <v>3145</v>
      </c>
      <c r="D10101" s="805" t="s">
        <v>6577</v>
      </c>
      <c r="E10101" s="247">
        <v>600</v>
      </c>
      <c r="F10101" s="247"/>
      <c r="G10101" s="247">
        <f t="shared" si="163"/>
        <v>-600</v>
      </c>
      <c r="H10101" s="121" t="s">
        <v>6550</v>
      </c>
    </row>
    <row r="10102" spans="1:8" ht="15" x14ac:dyDescent="0.2">
      <c r="A10102" s="619">
        <v>44231</v>
      </c>
      <c r="B10102" s="222" t="s">
        <v>6518</v>
      </c>
      <c r="C10102" s="222" t="s">
        <v>2190</v>
      </c>
      <c r="D10102" s="805"/>
      <c r="E10102" s="247">
        <v>900</v>
      </c>
      <c r="F10102" s="247"/>
      <c r="G10102" s="247">
        <f t="shared" si="163"/>
        <v>-900</v>
      </c>
      <c r="H10102" s="121" t="s">
        <v>6550</v>
      </c>
    </row>
    <row r="10103" spans="1:8" ht="15" x14ac:dyDescent="0.2">
      <c r="A10103" s="619">
        <v>44231</v>
      </c>
      <c r="B10103" s="222" t="s">
        <v>2933</v>
      </c>
      <c r="C10103" s="222" t="s">
        <v>3145</v>
      </c>
      <c r="D10103" s="805" t="s">
        <v>6486</v>
      </c>
      <c r="E10103" s="247">
        <v>820</v>
      </c>
      <c r="F10103" s="247"/>
      <c r="G10103" s="247">
        <f t="shared" si="163"/>
        <v>-820</v>
      </c>
      <c r="H10103" s="121" t="s">
        <v>6550</v>
      </c>
    </row>
    <row r="10104" spans="1:8" ht="15" x14ac:dyDescent="0.2">
      <c r="A10104" s="619">
        <v>44231</v>
      </c>
      <c r="B10104" s="222" t="s">
        <v>37</v>
      </c>
      <c r="C10104" s="222" t="s">
        <v>392</v>
      </c>
      <c r="D10104" s="805" t="s">
        <v>6429</v>
      </c>
      <c r="E10104" s="247">
        <v>2000</v>
      </c>
      <c r="F10104" s="247"/>
      <c r="G10104" s="247">
        <f t="shared" si="163"/>
        <v>-2000</v>
      </c>
      <c r="H10104" s="121" t="s">
        <v>6550</v>
      </c>
    </row>
    <row r="10105" spans="1:8" ht="15" x14ac:dyDescent="0.2">
      <c r="A10105" s="619">
        <v>44231</v>
      </c>
      <c r="B10105" s="222" t="s">
        <v>6518</v>
      </c>
      <c r="C10105" s="222" t="s">
        <v>2503</v>
      </c>
      <c r="D10105" s="805" t="s">
        <v>6578</v>
      </c>
      <c r="E10105" s="247">
        <v>7950</v>
      </c>
      <c r="F10105" s="247"/>
      <c r="G10105" s="247">
        <f t="shared" si="163"/>
        <v>-7950</v>
      </c>
      <c r="H10105" s="121" t="s">
        <v>6550</v>
      </c>
    </row>
    <row r="10106" spans="1:8" ht="15" x14ac:dyDescent="0.2">
      <c r="A10106" s="619">
        <v>44231</v>
      </c>
      <c r="B10106" s="222" t="s">
        <v>6518</v>
      </c>
      <c r="C10106" s="222" t="s">
        <v>2503</v>
      </c>
      <c r="D10106" s="805" t="s">
        <v>6579</v>
      </c>
      <c r="E10106" s="247">
        <v>11435</v>
      </c>
      <c r="F10106" s="247"/>
      <c r="G10106" s="247">
        <f t="shared" si="163"/>
        <v>-11435</v>
      </c>
      <c r="H10106" s="121" t="s">
        <v>6550</v>
      </c>
    </row>
    <row r="10107" spans="1:8" ht="15" x14ac:dyDescent="0.2">
      <c r="A10107" s="619">
        <v>44233</v>
      </c>
      <c r="B10107" s="222" t="s">
        <v>25</v>
      </c>
      <c r="C10107" s="222" t="s">
        <v>2428</v>
      </c>
      <c r="D10107" s="805" t="s">
        <v>6580</v>
      </c>
      <c r="E10107" s="247">
        <v>18730</v>
      </c>
      <c r="F10107" s="247"/>
      <c r="G10107" s="247">
        <f t="shared" si="163"/>
        <v>-18730</v>
      </c>
      <c r="H10107" s="121" t="s">
        <v>6550</v>
      </c>
    </row>
    <row r="10108" spans="1:8" ht="15" x14ac:dyDescent="0.2">
      <c r="A10108" s="619">
        <v>44235</v>
      </c>
      <c r="B10108" s="222" t="s">
        <v>6408</v>
      </c>
      <c r="C10108" s="222" t="s">
        <v>5387</v>
      </c>
      <c r="D10108" s="805" t="s">
        <v>6581</v>
      </c>
      <c r="E10108" s="247">
        <v>3000</v>
      </c>
      <c r="F10108" s="247"/>
      <c r="G10108" s="247">
        <f t="shared" si="163"/>
        <v>-3000</v>
      </c>
      <c r="H10108" s="121" t="s">
        <v>6550</v>
      </c>
    </row>
    <row r="10109" spans="1:8" ht="24" x14ac:dyDescent="0.2">
      <c r="A10109" s="619">
        <v>44235</v>
      </c>
      <c r="B10109" s="222" t="s">
        <v>6518</v>
      </c>
      <c r="C10109" s="222" t="s">
        <v>5387</v>
      </c>
      <c r="D10109" s="805" t="s">
        <v>6582</v>
      </c>
      <c r="E10109" s="247">
        <v>2000</v>
      </c>
      <c r="F10109" s="247"/>
      <c r="G10109" s="247">
        <f t="shared" si="163"/>
        <v>-2000</v>
      </c>
      <c r="H10109" s="121" t="s">
        <v>6550</v>
      </c>
    </row>
    <row r="10110" spans="1:8" ht="15" x14ac:dyDescent="0.2">
      <c r="A10110" s="619">
        <v>44235</v>
      </c>
      <c r="B10110" s="222" t="s">
        <v>6518</v>
      </c>
      <c r="C10110" s="222" t="s">
        <v>392</v>
      </c>
      <c r="D10110" s="805" t="s">
        <v>6583</v>
      </c>
      <c r="E10110" s="247">
        <v>7350</v>
      </c>
      <c r="F10110" s="247"/>
      <c r="G10110" s="247">
        <f t="shared" si="163"/>
        <v>-7350</v>
      </c>
      <c r="H10110" s="121" t="s">
        <v>6550</v>
      </c>
    </row>
    <row r="10111" spans="1:8" ht="15" x14ac:dyDescent="0.2">
      <c r="A10111" s="619">
        <v>44235</v>
      </c>
      <c r="B10111" s="222" t="s">
        <v>2933</v>
      </c>
      <c r="C10111" s="222" t="s">
        <v>3145</v>
      </c>
      <c r="D10111" s="805" t="s">
        <v>6584</v>
      </c>
      <c r="E10111" s="247">
        <v>3300</v>
      </c>
      <c r="F10111" s="247"/>
      <c r="G10111" s="247">
        <f t="shared" si="163"/>
        <v>-3300</v>
      </c>
      <c r="H10111" s="121" t="s">
        <v>6550</v>
      </c>
    </row>
    <row r="10112" spans="1:8" ht="15" x14ac:dyDescent="0.2">
      <c r="A10112" s="619">
        <v>44236</v>
      </c>
      <c r="B10112" s="222" t="s">
        <v>5811</v>
      </c>
      <c r="C10112" s="222" t="s">
        <v>3145</v>
      </c>
      <c r="D10112" s="805" t="s">
        <v>6585</v>
      </c>
      <c r="E10112" s="247">
        <v>3600</v>
      </c>
      <c r="F10112" s="247"/>
      <c r="G10112" s="247">
        <f t="shared" si="163"/>
        <v>-3600</v>
      </c>
      <c r="H10112" s="121" t="s">
        <v>6550</v>
      </c>
    </row>
    <row r="10113" spans="1:8" ht="15" x14ac:dyDescent="0.2">
      <c r="A10113" s="619">
        <v>44236</v>
      </c>
      <c r="B10113" s="222" t="s">
        <v>2933</v>
      </c>
      <c r="C10113" s="222" t="s">
        <v>3145</v>
      </c>
      <c r="D10113" s="805" t="s">
        <v>6585</v>
      </c>
      <c r="E10113" s="247">
        <v>16000</v>
      </c>
      <c r="F10113" s="247"/>
      <c r="G10113" s="247">
        <f t="shared" si="163"/>
        <v>-16000</v>
      </c>
      <c r="H10113" s="121" t="s">
        <v>6550</v>
      </c>
    </row>
    <row r="10114" spans="1:8" ht="15" x14ac:dyDescent="0.2">
      <c r="A10114" s="619">
        <v>44236</v>
      </c>
      <c r="B10114" s="222" t="s">
        <v>6508</v>
      </c>
      <c r="C10114" s="222" t="s">
        <v>6586</v>
      </c>
      <c r="D10114" s="805" t="s">
        <v>6587</v>
      </c>
      <c r="E10114" s="247">
        <v>35300</v>
      </c>
      <c r="F10114" s="247"/>
      <c r="G10114" s="247">
        <f t="shared" si="163"/>
        <v>-35300</v>
      </c>
      <c r="H10114" s="121" t="s">
        <v>6550</v>
      </c>
    </row>
    <row r="10115" spans="1:8" ht="15" x14ac:dyDescent="0.2">
      <c r="A10115" s="619">
        <v>44236</v>
      </c>
      <c r="B10115" s="222" t="s">
        <v>1400</v>
      </c>
      <c r="C10115" s="222" t="s">
        <v>2796</v>
      </c>
      <c r="D10115" s="805" t="s">
        <v>6588</v>
      </c>
      <c r="E10115" s="247">
        <v>600</v>
      </c>
      <c r="F10115" s="247"/>
      <c r="G10115" s="247">
        <f t="shared" si="163"/>
        <v>-600</v>
      </c>
      <c r="H10115" s="121" t="s">
        <v>6550</v>
      </c>
    </row>
    <row r="10116" spans="1:8" ht="15" x14ac:dyDescent="0.2">
      <c r="A10116" s="619">
        <v>44236</v>
      </c>
      <c r="B10116" s="222" t="s">
        <v>25</v>
      </c>
      <c r="C10116" s="222" t="s">
        <v>4065</v>
      </c>
      <c r="D10116" s="805" t="s">
        <v>6588</v>
      </c>
      <c r="E10116" s="247">
        <v>600</v>
      </c>
      <c r="F10116" s="247"/>
      <c r="G10116" s="247">
        <f t="shared" si="163"/>
        <v>-600</v>
      </c>
      <c r="H10116" s="121" t="s">
        <v>6550</v>
      </c>
    </row>
    <row r="10117" spans="1:8" ht="15" x14ac:dyDescent="0.2">
      <c r="A10117" s="619">
        <v>44236</v>
      </c>
      <c r="B10117" s="222" t="s">
        <v>6518</v>
      </c>
      <c r="C10117" s="222" t="s">
        <v>2503</v>
      </c>
      <c r="D10117" s="805" t="s">
        <v>6589</v>
      </c>
      <c r="E10117" s="247">
        <v>24870</v>
      </c>
      <c r="F10117" s="247"/>
      <c r="G10117" s="247">
        <f t="shared" si="163"/>
        <v>-24870</v>
      </c>
      <c r="H10117" s="121" t="s">
        <v>6550</v>
      </c>
    </row>
    <row r="10118" spans="1:8" ht="15" x14ac:dyDescent="0.2">
      <c r="A10118" s="619">
        <v>44237</v>
      </c>
      <c r="B10118" s="222" t="s">
        <v>2933</v>
      </c>
      <c r="C10118" s="586" t="s">
        <v>6141</v>
      </c>
      <c r="D10118" s="890" t="s">
        <v>6590</v>
      </c>
      <c r="E10118" s="587">
        <v>48000</v>
      </c>
      <c r="F10118" s="247"/>
      <c r="G10118" s="247">
        <f t="shared" si="163"/>
        <v>-48000</v>
      </c>
      <c r="H10118" s="121" t="s">
        <v>6550</v>
      </c>
    </row>
    <row r="10119" spans="1:8" ht="15" x14ac:dyDescent="0.2">
      <c r="A10119" s="619">
        <v>44237</v>
      </c>
      <c r="B10119" s="222" t="s">
        <v>1691</v>
      </c>
      <c r="C10119" s="586" t="s">
        <v>6141</v>
      </c>
      <c r="D10119" s="890" t="s">
        <v>6590</v>
      </c>
      <c r="E10119" s="587">
        <v>5800</v>
      </c>
      <c r="F10119" s="247"/>
      <c r="G10119" s="247">
        <f t="shared" si="163"/>
        <v>-5800</v>
      </c>
      <c r="H10119" s="121" t="s">
        <v>6550</v>
      </c>
    </row>
    <row r="10120" spans="1:8" ht="24" x14ac:dyDescent="0.2">
      <c r="A10120" s="619">
        <v>44237</v>
      </c>
      <c r="B10120" s="222" t="s">
        <v>6518</v>
      </c>
      <c r="C10120" s="222" t="s">
        <v>3145</v>
      </c>
      <c r="D10120" s="805" t="s">
        <v>6591</v>
      </c>
      <c r="E10120" s="247">
        <v>33600</v>
      </c>
      <c r="F10120" s="247"/>
      <c r="G10120" s="247">
        <f t="shared" si="163"/>
        <v>-33600</v>
      </c>
      <c r="H10120" s="121" t="s">
        <v>6550</v>
      </c>
    </row>
    <row r="10121" spans="1:8" ht="15" x14ac:dyDescent="0.2">
      <c r="A10121" s="619">
        <v>44237</v>
      </c>
      <c r="B10121" s="222" t="s">
        <v>6518</v>
      </c>
      <c r="C10121" s="222" t="s">
        <v>392</v>
      </c>
      <c r="D10121" s="805" t="s">
        <v>3432</v>
      </c>
      <c r="E10121" s="247">
        <v>350</v>
      </c>
      <c r="F10121" s="247"/>
      <c r="G10121" s="247">
        <f t="shared" si="163"/>
        <v>-350</v>
      </c>
      <c r="H10121" s="121" t="s">
        <v>6550</v>
      </c>
    </row>
    <row r="10122" spans="1:8" ht="15" x14ac:dyDescent="0.2">
      <c r="A10122" s="619">
        <v>44237</v>
      </c>
      <c r="B10122" s="222" t="s">
        <v>6518</v>
      </c>
      <c r="C10122" s="222" t="s">
        <v>3446</v>
      </c>
      <c r="D10122" s="805" t="s">
        <v>6596</v>
      </c>
      <c r="E10122" s="247">
        <v>15000</v>
      </c>
      <c r="F10122" s="247"/>
      <c r="G10122" s="247">
        <f t="shared" si="163"/>
        <v>-15000</v>
      </c>
      <c r="H10122" s="121" t="s">
        <v>6550</v>
      </c>
    </row>
    <row r="10123" spans="1:8" ht="15" x14ac:dyDescent="0.2">
      <c r="A10123" s="619">
        <v>44237</v>
      </c>
      <c r="B10123" s="222" t="s">
        <v>6518</v>
      </c>
      <c r="C10123" s="222" t="s">
        <v>2796</v>
      </c>
      <c r="D10123" s="805" t="s">
        <v>5384</v>
      </c>
      <c r="E10123" s="247">
        <v>1000</v>
      </c>
      <c r="F10123" s="247"/>
      <c r="G10123" s="247">
        <f t="shared" si="163"/>
        <v>-1000</v>
      </c>
      <c r="H10123" s="121" t="s">
        <v>6550</v>
      </c>
    </row>
    <row r="10124" spans="1:8" ht="24" x14ac:dyDescent="0.2">
      <c r="A10124" s="619">
        <v>44238</v>
      </c>
      <c r="B10124" s="222" t="s">
        <v>11</v>
      </c>
      <c r="C10124" s="222" t="s">
        <v>2503</v>
      </c>
      <c r="D10124" s="805" t="s">
        <v>6600</v>
      </c>
      <c r="E10124" s="247">
        <v>5000</v>
      </c>
      <c r="F10124" s="247"/>
      <c r="G10124" s="247">
        <f t="shared" si="163"/>
        <v>-5000</v>
      </c>
      <c r="H10124" s="121" t="s">
        <v>6550</v>
      </c>
    </row>
    <row r="10125" spans="1:8" ht="15" x14ac:dyDescent="0.2">
      <c r="A10125" s="619">
        <v>44238</v>
      </c>
      <c r="B10125" s="222" t="s">
        <v>6518</v>
      </c>
      <c r="C10125" s="222" t="s">
        <v>2796</v>
      </c>
      <c r="D10125" s="805" t="s">
        <v>6601</v>
      </c>
      <c r="E10125" s="247">
        <v>11410</v>
      </c>
      <c r="F10125" s="247"/>
      <c r="G10125" s="247">
        <f t="shared" si="163"/>
        <v>-11410</v>
      </c>
      <c r="H10125" s="121" t="s">
        <v>6550</v>
      </c>
    </row>
    <row r="10126" spans="1:8" ht="15" x14ac:dyDescent="0.2">
      <c r="A10126" s="619">
        <v>44239</v>
      </c>
      <c r="B10126" s="222" t="s">
        <v>6518</v>
      </c>
      <c r="C10126" s="222" t="s">
        <v>2002</v>
      </c>
      <c r="D10126" s="805" t="s">
        <v>6602</v>
      </c>
      <c r="E10126" s="247">
        <v>2500</v>
      </c>
      <c r="F10126" s="247"/>
      <c r="G10126" s="247">
        <f t="shared" si="163"/>
        <v>-2500</v>
      </c>
      <c r="H10126" s="121" t="s">
        <v>6550</v>
      </c>
    </row>
    <row r="10127" spans="1:8" ht="15" x14ac:dyDescent="0.2">
      <c r="A10127" s="619">
        <v>44239</v>
      </c>
      <c r="B10127" s="222" t="s">
        <v>6408</v>
      </c>
      <c r="C10127" s="222" t="s">
        <v>286</v>
      </c>
      <c r="D10127" s="805" t="s">
        <v>6603</v>
      </c>
      <c r="E10127" s="247">
        <v>300</v>
      </c>
      <c r="F10127" s="247"/>
      <c r="G10127" s="247">
        <f t="shared" si="163"/>
        <v>-300</v>
      </c>
      <c r="H10127" s="121" t="s">
        <v>6550</v>
      </c>
    </row>
    <row r="10128" spans="1:8" ht="15" x14ac:dyDescent="0.2">
      <c r="A10128" s="619">
        <v>44239</v>
      </c>
      <c r="B10128" s="222" t="s">
        <v>3946</v>
      </c>
      <c r="C10128" s="222" t="s">
        <v>286</v>
      </c>
      <c r="D10128" s="805" t="s">
        <v>6604</v>
      </c>
      <c r="E10128" s="247">
        <v>200</v>
      </c>
      <c r="F10128" s="247"/>
      <c r="G10128" s="247">
        <f t="shared" si="163"/>
        <v>-200</v>
      </c>
      <c r="H10128" s="121" t="s">
        <v>6550</v>
      </c>
    </row>
    <row r="10129" spans="1:8" ht="15" x14ac:dyDescent="0.2">
      <c r="A10129" s="619">
        <v>44239</v>
      </c>
      <c r="B10129" s="222" t="s">
        <v>6508</v>
      </c>
      <c r="C10129" s="222" t="s">
        <v>6605</v>
      </c>
      <c r="D10129" s="805" t="s">
        <v>3361</v>
      </c>
      <c r="E10129" s="247">
        <v>15000</v>
      </c>
      <c r="F10129" s="247"/>
      <c r="G10129" s="247">
        <f t="shared" si="163"/>
        <v>-15000</v>
      </c>
      <c r="H10129" s="121" t="s">
        <v>6550</v>
      </c>
    </row>
    <row r="10130" spans="1:8" ht="36" x14ac:dyDescent="0.2">
      <c r="A10130" s="619">
        <v>44239</v>
      </c>
      <c r="B10130" s="222" t="s">
        <v>6518</v>
      </c>
      <c r="C10130" s="222" t="s">
        <v>6522</v>
      </c>
      <c r="D10130" s="805" t="s">
        <v>6606</v>
      </c>
      <c r="E10130" s="247">
        <v>58000</v>
      </c>
      <c r="F10130" s="247"/>
      <c r="G10130" s="247">
        <f t="shared" si="163"/>
        <v>-58000</v>
      </c>
      <c r="H10130" s="121" t="s">
        <v>6550</v>
      </c>
    </row>
    <row r="10131" spans="1:8" ht="15" x14ac:dyDescent="0.2">
      <c r="A10131" s="619">
        <v>44239</v>
      </c>
      <c r="B10131" s="222" t="s">
        <v>37</v>
      </c>
      <c r="C10131" s="586" t="s">
        <v>3003</v>
      </c>
      <c r="D10131" s="890" t="s">
        <v>2711</v>
      </c>
      <c r="E10131" s="587">
        <v>38880</v>
      </c>
      <c r="F10131" s="247"/>
      <c r="G10131" s="247">
        <f t="shared" si="163"/>
        <v>-38880</v>
      </c>
      <c r="H10131" s="121" t="s">
        <v>6550</v>
      </c>
    </row>
    <row r="10132" spans="1:8" ht="15" x14ac:dyDescent="0.2">
      <c r="A10132" s="619">
        <v>44239</v>
      </c>
      <c r="B10132" s="222" t="s">
        <v>3946</v>
      </c>
      <c r="C10132" s="586" t="s">
        <v>3003</v>
      </c>
      <c r="D10132" s="890" t="s">
        <v>2711</v>
      </c>
      <c r="E10132" s="587">
        <v>10400</v>
      </c>
      <c r="F10132" s="247"/>
      <c r="G10132" s="247">
        <f t="shared" si="163"/>
        <v>-10400</v>
      </c>
      <c r="H10132" s="121" t="s">
        <v>6550</v>
      </c>
    </row>
    <row r="10133" spans="1:8" ht="15" x14ac:dyDescent="0.2">
      <c r="A10133" s="619">
        <v>44239</v>
      </c>
      <c r="B10133" s="222" t="s">
        <v>3945</v>
      </c>
      <c r="C10133" s="586" t="s">
        <v>3003</v>
      </c>
      <c r="D10133" s="890" t="s">
        <v>2711</v>
      </c>
      <c r="E10133" s="587">
        <v>5200</v>
      </c>
      <c r="F10133" s="247"/>
      <c r="G10133" s="247">
        <f t="shared" si="163"/>
        <v>-5200</v>
      </c>
      <c r="H10133" s="121" t="s">
        <v>6550</v>
      </c>
    </row>
    <row r="10134" spans="1:8" ht="15" x14ac:dyDescent="0.2">
      <c r="A10134" s="619">
        <v>44239</v>
      </c>
      <c r="B10134" s="222" t="s">
        <v>16</v>
      </c>
      <c r="C10134" s="222" t="s">
        <v>2190</v>
      </c>
      <c r="D10134" s="805" t="s">
        <v>6607</v>
      </c>
      <c r="E10134" s="247">
        <v>500</v>
      </c>
      <c r="F10134" s="247"/>
      <c r="G10134" s="247">
        <f t="shared" si="163"/>
        <v>-500</v>
      </c>
      <c r="H10134" s="121" t="s">
        <v>6550</v>
      </c>
    </row>
    <row r="10135" spans="1:8" ht="15" customHeight="1" x14ac:dyDescent="0.2">
      <c r="A10135" s="619">
        <v>44239</v>
      </c>
      <c r="B10135" s="222" t="s">
        <v>6518</v>
      </c>
      <c r="C10135" s="222" t="s">
        <v>392</v>
      </c>
      <c r="D10135" s="805" t="s">
        <v>4309</v>
      </c>
      <c r="E10135" s="247">
        <v>1000</v>
      </c>
      <c r="F10135" s="247"/>
      <c r="G10135" s="247">
        <f t="shared" si="163"/>
        <v>-1000</v>
      </c>
      <c r="H10135" s="121" t="s">
        <v>6550</v>
      </c>
    </row>
    <row r="10136" spans="1:8" ht="15" customHeight="1" x14ac:dyDescent="0.2">
      <c r="A10136" s="619">
        <v>44239</v>
      </c>
      <c r="B10136" s="222" t="s">
        <v>6408</v>
      </c>
      <c r="C10136" s="222" t="s">
        <v>3145</v>
      </c>
      <c r="D10136" s="805" t="s">
        <v>6608</v>
      </c>
      <c r="E10136" s="247">
        <v>6000</v>
      </c>
      <c r="F10136" s="247"/>
      <c r="G10136" s="247">
        <f t="shared" si="163"/>
        <v>-6000</v>
      </c>
      <c r="H10136" s="121" t="s">
        <v>6550</v>
      </c>
    </row>
    <row r="10137" spans="1:8" ht="36" customHeight="1" x14ac:dyDescent="0.2">
      <c r="A10137" s="619">
        <v>44239</v>
      </c>
      <c r="B10137" s="222" t="s">
        <v>6518</v>
      </c>
      <c r="C10137" s="222" t="s">
        <v>3145</v>
      </c>
      <c r="D10137" s="805" t="s">
        <v>6609</v>
      </c>
      <c r="E10137" s="247">
        <v>36278</v>
      </c>
      <c r="F10137" s="247"/>
      <c r="G10137" s="247">
        <f t="shared" si="163"/>
        <v>-36278</v>
      </c>
      <c r="H10137" s="121" t="s">
        <v>6550</v>
      </c>
    </row>
    <row r="10138" spans="1:8" ht="15" x14ac:dyDescent="0.2">
      <c r="A10138" s="619">
        <v>44239</v>
      </c>
      <c r="B10138" s="222" t="s">
        <v>6408</v>
      </c>
      <c r="C10138" s="222" t="s">
        <v>392</v>
      </c>
      <c r="D10138" s="805" t="s">
        <v>6610</v>
      </c>
      <c r="E10138" s="247">
        <v>180</v>
      </c>
      <c r="F10138" s="247"/>
      <c r="G10138" s="247">
        <f t="shared" si="163"/>
        <v>-180</v>
      </c>
      <c r="H10138" s="121" t="s">
        <v>6550</v>
      </c>
    </row>
    <row r="10139" spans="1:8" ht="15" customHeight="1" x14ac:dyDescent="0.2">
      <c r="A10139" s="619">
        <v>44240</v>
      </c>
      <c r="B10139" s="222" t="s">
        <v>25</v>
      </c>
      <c r="C10139" s="222" t="s">
        <v>2428</v>
      </c>
      <c r="D10139" s="805" t="s">
        <v>6620</v>
      </c>
      <c r="E10139" s="247">
        <v>10500</v>
      </c>
      <c r="F10139" s="247"/>
      <c r="G10139" s="247">
        <f t="shared" si="163"/>
        <v>-10500</v>
      </c>
      <c r="H10139" s="121" t="s">
        <v>6550</v>
      </c>
    </row>
    <row r="10140" spans="1:8" ht="15" customHeight="1" x14ac:dyDescent="0.2">
      <c r="A10140" s="619">
        <v>44240</v>
      </c>
      <c r="B10140" s="222" t="s">
        <v>37</v>
      </c>
      <c r="C10140" s="222" t="s">
        <v>3145</v>
      </c>
      <c r="D10140" s="805" t="s">
        <v>6513</v>
      </c>
      <c r="E10140" s="247">
        <v>2537</v>
      </c>
      <c r="F10140" s="247"/>
      <c r="G10140" s="247">
        <f t="shared" si="163"/>
        <v>-2537</v>
      </c>
      <c r="H10140" s="121" t="s">
        <v>6550</v>
      </c>
    </row>
    <row r="10141" spans="1:8" ht="15" customHeight="1" x14ac:dyDescent="0.2">
      <c r="A10141" s="619">
        <v>44240</v>
      </c>
      <c r="B10141" s="222" t="s">
        <v>6518</v>
      </c>
      <c r="C10141" s="222" t="s">
        <v>3145</v>
      </c>
      <c r="D10141" s="805" t="s">
        <v>6513</v>
      </c>
      <c r="E10141" s="247">
        <v>12500</v>
      </c>
      <c r="F10141" s="247"/>
      <c r="G10141" s="247">
        <f t="shared" si="163"/>
        <v>-12500</v>
      </c>
      <c r="H10141" s="121" t="s">
        <v>6550</v>
      </c>
    </row>
    <row r="10142" spans="1:8" ht="15" customHeight="1" x14ac:dyDescent="0.2">
      <c r="A10142" s="619">
        <v>44240</v>
      </c>
      <c r="B10142" s="222" t="s">
        <v>2933</v>
      </c>
      <c r="C10142" s="222" t="s">
        <v>3145</v>
      </c>
      <c r="D10142" s="805" t="s">
        <v>6513</v>
      </c>
      <c r="E10142" s="247">
        <v>10710</v>
      </c>
      <c r="F10142" s="247"/>
      <c r="G10142" s="247">
        <f t="shared" si="163"/>
        <v>-10710</v>
      </c>
      <c r="H10142" s="121" t="s">
        <v>6550</v>
      </c>
    </row>
    <row r="10143" spans="1:8" ht="15" customHeight="1" x14ac:dyDescent="0.2">
      <c r="A10143" s="619">
        <v>44240</v>
      </c>
      <c r="B10143" s="222" t="s">
        <v>1400</v>
      </c>
      <c r="C10143" s="222" t="s">
        <v>3145</v>
      </c>
      <c r="D10143" s="805" t="s">
        <v>6513</v>
      </c>
      <c r="E10143" s="247">
        <v>16510</v>
      </c>
      <c r="F10143" s="247"/>
      <c r="G10143" s="247">
        <f t="shared" si="163"/>
        <v>-16510</v>
      </c>
      <c r="H10143" s="121" t="s">
        <v>6550</v>
      </c>
    </row>
    <row r="10144" spans="1:8" ht="15" customHeight="1" x14ac:dyDescent="0.2">
      <c r="A10144" s="619">
        <v>44242</v>
      </c>
      <c r="B10144" s="222" t="s">
        <v>2933</v>
      </c>
      <c r="C10144" s="222" t="s">
        <v>3145</v>
      </c>
      <c r="D10144" s="805" t="s">
        <v>6344</v>
      </c>
      <c r="E10144" s="247">
        <v>3848</v>
      </c>
      <c r="F10144" s="247"/>
      <c r="G10144" s="247">
        <f t="shared" si="163"/>
        <v>-3848</v>
      </c>
      <c r="H10144" s="121" t="s">
        <v>6550</v>
      </c>
    </row>
    <row r="10145" spans="1:8" ht="15" customHeight="1" x14ac:dyDescent="0.2">
      <c r="A10145" s="619">
        <v>44242</v>
      </c>
      <c r="B10145" s="222" t="s">
        <v>6408</v>
      </c>
      <c r="C10145" s="222" t="s">
        <v>3145</v>
      </c>
      <c r="D10145" s="805" t="s">
        <v>4893</v>
      </c>
      <c r="E10145" s="247">
        <v>1700</v>
      </c>
      <c r="F10145" s="247"/>
      <c r="G10145" s="247">
        <f t="shared" si="163"/>
        <v>-1700</v>
      </c>
      <c r="H10145" s="121" t="s">
        <v>6550</v>
      </c>
    </row>
    <row r="10146" spans="1:8" ht="15" customHeight="1" x14ac:dyDescent="0.2">
      <c r="A10146" s="619">
        <v>44242</v>
      </c>
      <c r="B10146" s="222" t="s">
        <v>6518</v>
      </c>
      <c r="C10146" s="222" t="s">
        <v>3145</v>
      </c>
      <c r="D10146" s="805" t="s">
        <v>392</v>
      </c>
      <c r="E10146" s="247">
        <v>1300</v>
      </c>
      <c r="F10146" s="247"/>
      <c r="G10146" s="247">
        <f t="shared" si="163"/>
        <v>-1300</v>
      </c>
      <c r="H10146" s="121" t="s">
        <v>6550</v>
      </c>
    </row>
    <row r="10147" spans="1:8" ht="15" customHeight="1" x14ac:dyDescent="0.2">
      <c r="A10147" s="619">
        <v>44242</v>
      </c>
      <c r="B10147" s="222" t="s">
        <v>6408</v>
      </c>
      <c r="C10147" s="222" t="s">
        <v>3145</v>
      </c>
      <c r="D10147" s="805" t="s">
        <v>6075</v>
      </c>
      <c r="E10147" s="247">
        <v>2140</v>
      </c>
      <c r="F10147" s="247"/>
      <c r="G10147" s="247">
        <f t="shared" si="163"/>
        <v>-2140</v>
      </c>
      <c r="H10147" s="121" t="s">
        <v>6550</v>
      </c>
    </row>
    <row r="10148" spans="1:8" ht="15" x14ac:dyDescent="0.2">
      <c r="A10148" s="619">
        <v>44242</v>
      </c>
      <c r="B10148" s="222" t="s">
        <v>6408</v>
      </c>
      <c r="C10148" s="222" t="s">
        <v>286</v>
      </c>
      <c r="D10148" s="805" t="s">
        <v>6621</v>
      </c>
      <c r="E10148" s="247">
        <v>1075</v>
      </c>
      <c r="F10148" s="247"/>
      <c r="G10148" s="247">
        <f t="shared" si="163"/>
        <v>-1075</v>
      </c>
      <c r="H10148" s="121" t="s">
        <v>6550</v>
      </c>
    </row>
    <row r="10149" spans="1:8" ht="15" x14ac:dyDescent="0.2">
      <c r="A10149" s="619">
        <v>44242</v>
      </c>
      <c r="B10149" s="222" t="s">
        <v>16</v>
      </c>
      <c r="C10149" s="222" t="s">
        <v>3364</v>
      </c>
      <c r="D10149" s="805"/>
      <c r="E10149" s="247">
        <v>4152</v>
      </c>
      <c r="F10149" s="247"/>
      <c r="G10149" s="247">
        <f t="shared" si="163"/>
        <v>-4152</v>
      </c>
      <c r="H10149" s="121" t="s">
        <v>6550</v>
      </c>
    </row>
    <row r="10150" spans="1:8" ht="15" x14ac:dyDescent="0.2">
      <c r="A10150" s="619">
        <v>44242</v>
      </c>
      <c r="B10150" s="222" t="s">
        <v>1400</v>
      </c>
      <c r="C10150" s="222" t="s">
        <v>2002</v>
      </c>
      <c r="D10150" s="805"/>
      <c r="E10150" s="247">
        <v>1200</v>
      </c>
      <c r="F10150" s="247"/>
      <c r="G10150" s="247">
        <f t="shared" si="163"/>
        <v>-1200</v>
      </c>
      <c r="H10150" s="121" t="s">
        <v>6550</v>
      </c>
    </row>
    <row r="10151" spans="1:8" ht="15" x14ac:dyDescent="0.2">
      <c r="A10151" s="619">
        <v>44243</v>
      </c>
      <c r="B10151" s="222" t="s">
        <v>6518</v>
      </c>
      <c r="C10151" s="222" t="s">
        <v>3145</v>
      </c>
      <c r="D10151" s="805" t="s">
        <v>6622</v>
      </c>
      <c r="E10151" s="247">
        <v>12070</v>
      </c>
      <c r="F10151" s="247"/>
      <c r="G10151" s="247">
        <f t="shared" si="163"/>
        <v>-12070</v>
      </c>
      <c r="H10151" s="121" t="s">
        <v>6550</v>
      </c>
    </row>
    <row r="10152" spans="1:8" ht="15" x14ac:dyDescent="0.2">
      <c r="A10152" s="619">
        <v>44243</v>
      </c>
      <c r="B10152" s="222" t="s">
        <v>6447</v>
      </c>
      <c r="C10152" s="222" t="s">
        <v>3145</v>
      </c>
      <c r="D10152" s="805" t="s">
        <v>6623</v>
      </c>
      <c r="E10152" s="247">
        <v>10144</v>
      </c>
      <c r="F10152" s="247"/>
      <c r="G10152" s="247">
        <f t="shared" si="163"/>
        <v>-10144</v>
      </c>
      <c r="H10152" s="121" t="s">
        <v>6550</v>
      </c>
    </row>
    <row r="10153" spans="1:8" ht="15" x14ac:dyDescent="0.2">
      <c r="A10153" s="619">
        <v>44243</v>
      </c>
      <c r="B10153" s="222" t="s">
        <v>82</v>
      </c>
      <c r="C10153" s="222" t="s">
        <v>392</v>
      </c>
      <c r="D10153" s="805" t="s">
        <v>3253</v>
      </c>
      <c r="E10153" s="247">
        <v>1200</v>
      </c>
      <c r="F10153" s="247"/>
      <c r="G10153" s="247">
        <f t="shared" ref="G10153:G10216" si="164">F10153-E10153</f>
        <v>-1200</v>
      </c>
      <c r="H10153" s="121" t="s">
        <v>6550</v>
      </c>
    </row>
    <row r="10154" spans="1:8" ht="15" x14ac:dyDescent="0.2">
      <c r="A10154" s="619">
        <v>44243</v>
      </c>
      <c r="B10154" s="222" t="s">
        <v>25</v>
      </c>
      <c r="C10154" s="222" t="s">
        <v>4065</v>
      </c>
      <c r="D10154" s="805" t="s">
        <v>6625</v>
      </c>
      <c r="E10154" s="247">
        <v>3000</v>
      </c>
      <c r="F10154" s="247"/>
      <c r="G10154" s="247">
        <f t="shared" si="164"/>
        <v>-3000</v>
      </c>
      <c r="H10154" s="121" t="s">
        <v>6550</v>
      </c>
    </row>
    <row r="10155" spans="1:8" ht="15" x14ac:dyDescent="0.2">
      <c r="A10155" s="619">
        <v>44243</v>
      </c>
      <c r="B10155" s="222" t="s">
        <v>6518</v>
      </c>
      <c r="C10155" s="222" t="s">
        <v>2190</v>
      </c>
      <c r="D10155" s="805"/>
      <c r="E10155" s="247">
        <v>450</v>
      </c>
      <c r="F10155" s="247"/>
      <c r="G10155" s="247">
        <f t="shared" si="164"/>
        <v>-450</v>
      </c>
      <c r="H10155" s="121" t="s">
        <v>6550</v>
      </c>
    </row>
    <row r="10156" spans="1:8" ht="15" x14ac:dyDescent="0.2">
      <c r="A10156" s="619">
        <v>44243</v>
      </c>
      <c r="B10156" s="222" t="s">
        <v>6518</v>
      </c>
      <c r="C10156" s="222" t="s">
        <v>6171</v>
      </c>
      <c r="D10156" s="805" t="s">
        <v>370</v>
      </c>
      <c r="E10156" s="247">
        <v>12600</v>
      </c>
      <c r="F10156" s="247"/>
      <c r="G10156" s="247">
        <f t="shared" si="164"/>
        <v>-12600</v>
      </c>
      <c r="H10156" s="121" t="s">
        <v>6550</v>
      </c>
    </row>
    <row r="10157" spans="1:8" ht="15" x14ac:dyDescent="0.2">
      <c r="A10157" s="619">
        <v>44244</v>
      </c>
      <c r="B10157" s="222" t="s">
        <v>1400</v>
      </c>
      <c r="C10157" s="222" t="s">
        <v>2002</v>
      </c>
      <c r="D10157" s="805"/>
      <c r="E10157" s="247">
        <v>1200</v>
      </c>
      <c r="F10157" s="247"/>
      <c r="G10157" s="247">
        <f t="shared" si="164"/>
        <v>-1200</v>
      </c>
      <c r="H10157" s="121" t="s">
        <v>6550</v>
      </c>
    </row>
    <row r="10158" spans="1:8" ht="15" x14ac:dyDescent="0.2">
      <c r="A10158" s="619">
        <v>44244</v>
      </c>
      <c r="B10158" s="222" t="s">
        <v>6447</v>
      </c>
      <c r="C10158" s="222" t="s">
        <v>2002</v>
      </c>
      <c r="D10158" s="805"/>
      <c r="E10158" s="247">
        <v>1000</v>
      </c>
      <c r="F10158" s="247"/>
      <c r="G10158" s="247">
        <f t="shared" si="164"/>
        <v>-1000</v>
      </c>
      <c r="H10158" s="121" t="s">
        <v>6550</v>
      </c>
    </row>
    <row r="10159" spans="1:8" ht="15" x14ac:dyDescent="0.2">
      <c r="A10159" s="619">
        <v>44244</v>
      </c>
      <c r="B10159" s="222" t="s">
        <v>6518</v>
      </c>
      <c r="C10159" s="222" t="s">
        <v>392</v>
      </c>
      <c r="D10159" s="805" t="s">
        <v>6209</v>
      </c>
      <c r="E10159" s="247">
        <v>600</v>
      </c>
      <c r="F10159" s="247"/>
      <c r="G10159" s="247">
        <f t="shared" si="164"/>
        <v>-600</v>
      </c>
      <c r="H10159" s="121" t="s">
        <v>6550</v>
      </c>
    </row>
    <row r="10160" spans="1:8" ht="15" x14ac:dyDescent="0.2">
      <c r="A10160" s="619">
        <v>44244</v>
      </c>
      <c r="B10160" s="222" t="s">
        <v>1400</v>
      </c>
      <c r="C10160" s="222" t="s">
        <v>3145</v>
      </c>
      <c r="D10160" s="805" t="s">
        <v>6626</v>
      </c>
      <c r="E10160" s="247">
        <v>35000</v>
      </c>
      <c r="F10160" s="247"/>
      <c r="G10160" s="247">
        <f t="shared" si="164"/>
        <v>-35000</v>
      </c>
      <c r="H10160" s="121" t="s">
        <v>6550</v>
      </c>
    </row>
    <row r="10161" spans="1:8" ht="15" x14ac:dyDescent="0.2">
      <c r="A10161" s="619">
        <v>44244</v>
      </c>
      <c r="B10161" s="222" t="s">
        <v>6518</v>
      </c>
      <c r="C10161" s="222" t="s">
        <v>392</v>
      </c>
      <c r="D10161" s="805" t="s">
        <v>6627</v>
      </c>
      <c r="E10161" s="247">
        <v>850</v>
      </c>
      <c r="F10161" s="247"/>
      <c r="G10161" s="247">
        <f t="shared" si="164"/>
        <v>-850</v>
      </c>
      <c r="H10161" s="121" t="s">
        <v>6550</v>
      </c>
    </row>
    <row r="10162" spans="1:8" ht="15" x14ac:dyDescent="0.2">
      <c r="A10162" s="619">
        <v>44245</v>
      </c>
      <c r="B10162" s="222" t="s">
        <v>6518</v>
      </c>
      <c r="C10162" s="222" t="s">
        <v>2190</v>
      </c>
      <c r="D10162" s="805"/>
      <c r="E10162" s="247">
        <v>120</v>
      </c>
      <c r="F10162" s="247"/>
      <c r="G10162" s="247">
        <f t="shared" si="164"/>
        <v>-120</v>
      </c>
      <c r="H10162" s="121" t="s">
        <v>6550</v>
      </c>
    </row>
    <row r="10163" spans="1:8" ht="15" x14ac:dyDescent="0.2">
      <c r="A10163" s="619">
        <v>44245</v>
      </c>
      <c r="B10163" s="222" t="s">
        <v>6103</v>
      </c>
      <c r="C10163" s="586" t="s">
        <v>3145</v>
      </c>
      <c r="D10163" s="890" t="s">
        <v>4450</v>
      </c>
      <c r="E10163" s="587">
        <v>11100</v>
      </c>
      <c r="F10163" s="247"/>
      <c r="G10163" s="247">
        <f t="shared" si="164"/>
        <v>-11100</v>
      </c>
      <c r="H10163" s="121" t="s">
        <v>6550</v>
      </c>
    </row>
    <row r="10164" spans="1:8" ht="15" x14ac:dyDescent="0.2">
      <c r="A10164" s="619">
        <v>44245</v>
      </c>
      <c r="B10164" s="222" t="s">
        <v>6508</v>
      </c>
      <c r="C10164" s="586" t="s">
        <v>3145</v>
      </c>
      <c r="D10164" s="890" t="s">
        <v>4450</v>
      </c>
      <c r="E10164" s="587">
        <v>500</v>
      </c>
      <c r="F10164" s="247"/>
      <c r="G10164" s="247">
        <f t="shared" si="164"/>
        <v>-500</v>
      </c>
      <c r="H10164" s="121" t="s">
        <v>6550</v>
      </c>
    </row>
    <row r="10165" spans="1:8" ht="15" x14ac:dyDescent="0.2">
      <c r="A10165" s="619">
        <v>44245</v>
      </c>
      <c r="B10165" s="222" t="s">
        <v>1400</v>
      </c>
      <c r="C10165" s="586" t="s">
        <v>3145</v>
      </c>
      <c r="D10165" s="890" t="s">
        <v>4450</v>
      </c>
      <c r="E10165" s="587">
        <v>18647</v>
      </c>
      <c r="F10165" s="247"/>
      <c r="G10165" s="247">
        <f t="shared" si="164"/>
        <v>-18647</v>
      </c>
      <c r="H10165" s="121" t="s">
        <v>6550</v>
      </c>
    </row>
    <row r="10166" spans="1:8" ht="15" x14ac:dyDescent="0.2">
      <c r="A10166" s="619">
        <v>44246</v>
      </c>
      <c r="B10166" s="222" t="s">
        <v>2933</v>
      </c>
      <c r="C10166" s="222" t="s">
        <v>6141</v>
      </c>
      <c r="D10166" s="805" t="s">
        <v>3216</v>
      </c>
      <c r="E10166" s="247">
        <v>5000</v>
      </c>
      <c r="F10166" s="247"/>
      <c r="G10166" s="247">
        <f t="shared" si="164"/>
        <v>-5000</v>
      </c>
      <c r="H10166" s="121" t="s">
        <v>6550</v>
      </c>
    </row>
    <row r="10167" spans="1:8" ht="15" x14ac:dyDescent="0.2">
      <c r="A10167" s="619">
        <v>44246</v>
      </c>
      <c r="B10167" s="222" t="s">
        <v>6518</v>
      </c>
      <c r="C10167" s="222" t="s">
        <v>6553</v>
      </c>
      <c r="D10167" s="805" t="s">
        <v>1157</v>
      </c>
      <c r="E10167" s="247">
        <v>100000</v>
      </c>
      <c r="F10167" s="247"/>
      <c r="G10167" s="247">
        <f t="shared" si="164"/>
        <v>-100000</v>
      </c>
      <c r="H10167" s="121" t="s">
        <v>6550</v>
      </c>
    </row>
    <row r="10168" spans="1:8" ht="15" x14ac:dyDescent="0.2">
      <c r="A10168" s="619">
        <v>44246</v>
      </c>
      <c r="B10168" s="222" t="s">
        <v>1400</v>
      </c>
      <c r="C10168" s="222" t="s">
        <v>392</v>
      </c>
      <c r="D10168" s="805" t="s">
        <v>6629</v>
      </c>
      <c r="E10168" s="247">
        <v>3100</v>
      </c>
      <c r="F10168" s="247"/>
      <c r="G10168" s="247">
        <f t="shared" si="164"/>
        <v>-3100</v>
      </c>
      <c r="H10168" s="121" t="s">
        <v>6550</v>
      </c>
    </row>
    <row r="10169" spans="1:8" ht="15" x14ac:dyDescent="0.2">
      <c r="A10169" s="619">
        <v>44246</v>
      </c>
      <c r="B10169" s="222" t="s">
        <v>2933</v>
      </c>
      <c r="C10169" s="222" t="s">
        <v>3145</v>
      </c>
      <c r="D10169" s="805" t="s">
        <v>6630</v>
      </c>
      <c r="E10169" s="247">
        <v>9460</v>
      </c>
      <c r="F10169" s="247"/>
      <c r="G10169" s="247">
        <f t="shared" si="164"/>
        <v>-9460</v>
      </c>
      <c r="H10169" s="121" t="s">
        <v>6550</v>
      </c>
    </row>
    <row r="10170" spans="1:8" ht="15" x14ac:dyDescent="0.2">
      <c r="A10170" s="619">
        <v>44246</v>
      </c>
      <c r="B10170" s="222" t="s">
        <v>5811</v>
      </c>
      <c r="C10170" s="222" t="s">
        <v>3145</v>
      </c>
      <c r="D10170" s="805" t="s">
        <v>6263</v>
      </c>
      <c r="E10170" s="247">
        <v>760</v>
      </c>
      <c r="F10170" s="247"/>
      <c r="G10170" s="247">
        <f t="shared" si="164"/>
        <v>-760</v>
      </c>
      <c r="H10170" s="121" t="s">
        <v>6550</v>
      </c>
    </row>
    <row r="10171" spans="1:8" ht="15" x14ac:dyDescent="0.2">
      <c r="A10171" s="619">
        <v>44246</v>
      </c>
      <c r="B10171" s="222" t="s">
        <v>25</v>
      </c>
      <c r="C10171" s="222" t="s">
        <v>2428</v>
      </c>
      <c r="D10171" s="805" t="s">
        <v>2796</v>
      </c>
      <c r="E10171" s="247">
        <v>2000</v>
      </c>
      <c r="F10171" s="247"/>
      <c r="G10171" s="247">
        <f t="shared" si="164"/>
        <v>-2000</v>
      </c>
      <c r="H10171" s="121" t="s">
        <v>6550</v>
      </c>
    </row>
    <row r="10172" spans="1:8" ht="15" x14ac:dyDescent="0.2">
      <c r="A10172" s="619">
        <v>44246</v>
      </c>
      <c r="B10172" s="222" t="s">
        <v>6408</v>
      </c>
      <c r="C10172" s="222" t="s">
        <v>6476</v>
      </c>
      <c r="D10172" s="805" t="s">
        <v>370</v>
      </c>
      <c r="E10172" s="247">
        <v>30000</v>
      </c>
      <c r="F10172" s="247"/>
      <c r="G10172" s="247">
        <f t="shared" si="164"/>
        <v>-30000</v>
      </c>
      <c r="H10172" s="121" t="s">
        <v>6550</v>
      </c>
    </row>
    <row r="10173" spans="1:8" ht="15" x14ac:dyDescent="0.2">
      <c r="A10173" s="619">
        <v>44246</v>
      </c>
      <c r="B10173" s="222" t="s">
        <v>6408</v>
      </c>
      <c r="C10173" s="222" t="s">
        <v>5741</v>
      </c>
      <c r="D10173" s="805" t="s">
        <v>6631</v>
      </c>
      <c r="E10173" s="247">
        <v>170</v>
      </c>
      <c r="F10173" s="247"/>
      <c r="G10173" s="247">
        <f t="shared" si="164"/>
        <v>-170</v>
      </c>
      <c r="H10173" s="121" t="s">
        <v>6550</v>
      </c>
    </row>
    <row r="10174" spans="1:8" ht="15" x14ac:dyDescent="0.2">
      <c r="A10174" s="619">
        <v>44246</v>
      </c>
      <c r="B10174" s="222" t="s">
        <v>6408</v>
      </c>
      <c r="C10174" s="222" t="s">
        <v>392</v>
      </c>
      <c r="D10174" s="805" t="s">
        <v>900</v>
      </c>
      <c r="E10174" s="247">
        <v>200</v>
      </c>
      <c r="F10174" s="247"/>
      <c r="G10174" s="247">
        <f t="shared" si="164"/>
        <v>-200</v>
      </c>
      <c r="H10174" s="121" t="s">
        <v>6550</v>
      </c>
    </row>
    <row r="10175" spans="1:8" ht="15" x14ac:dyDescent="0.2">
      <c r="A10175" s="619">
        <v>44247</v>
      </c>
      <c r="B10175" s="222" t="s">
        <v>1400</v>
      </c>
      <c r="C10175" s="222" t="s">
        <v>392</v>
      </c>
      <c r="D10175" s="805" t="s">
        <v>6632</v>
      </c>
      <c r="E10175" s="247">
        <v>300</v>
      </c>
      <c r="F10175" s="247"/>
      <c r="G10175" s="247">
        <f t="shared" si="164"/>
        <v>-300</v>
      </c>
      <c r="H10175" s="121" t="s">
        <v>6550</v>
      </c>
    </row>
    <row r="10176" spans="1:8" ht="15" x14ac:dyDescent="0.2">
      <c r="A10176" s="619">
        <v>44247</v>
      </c>
      <c r="B10176" s="222" t="s">
        <v>6518</v>
      </c>
      <c r="C10176" s="222" t="s">
        <v>392</v>
      </c>
      <c r="D10176" s="805" t="s">
        <v>3432</v>
      </c>
      <c r="E10176" s="247">
        <v>400</v>
      </c>
      <c r="F10176" s="247"/>
      <c r="G10176" s="247">
        <f t="shared" si="164"/>
        <v>-400</v>
      </c>
      <c r="H10176" s="121" t="s">
        <v>6550</v>
      </c>
    </row>
    <row r="10177" spans="1:8" ht="15" x14ac:dyDescent="0.2">
      <c r="A10177" s="619">
        <v>44247</v>
      </c>
      <c r="B10177" s="222" t="s">
        <v>6635</v>
      </c>
      <c r="C10177" s="222" t="s">
        <v>392</v>
      </c>
      <c r="D10177" s="805" t="s">
        <v>6636</v>
      </c>
      <c r="E10177" s="247">
        <v>3800</v>
      </c>
      <c r="F10177" s="247"/>
      <c r="G10177" s="247">
        <f t="shared" si="164"/>
        <v>-3800</v>
      </c>
      <c r="H10177" s="121" t="s">
        <v>6550</v>
      </c>
    </row>
    <row r="10178" spans="1:8" ht="15" x14ac:dyDescent="0.2">
      <c r="A10178" s="619">
        <v>44249</v>
      </c>
      <c r="B10178" s="222" t="s">
        <v>6518</v>
      </c>
      <c r="C10178" s="222" t="s">
        <v>3145</v>
      </c>
      <c r="D10178" s="805" t="s">
        <v>4309</v>
      </c>
      <c r="E10178" s="247">
        <v>10400</v>
      </c>
      <c r="F10178" s="247"/>
      <c r="G10178" s="247">
        <f t="shared" si="164"/>
        <v>-10400</v>
      </c>
      <c r="H10178" s="121" t="s">
        <v>6550</v>
      </c>
    </row>
    <row r="10179" spans="1:8" ht="15" x14ac:dyDescent="0.2">
      <c r="A10179" s="619">
        <v>44249</v>
      </c>
      <c r="B10179" s="222" t="s">
        <v>6518</v>
      </c>
      <c r="C10179" s="222" t="s">
        <v>2002</v>
      </c>
      <c r="D10179" s="805"/>
      <c r="E10179" s="247">
        <v>1000</v>
      </c>
      <c r="F10179" s="247"/>
      <c r="G10179" s="247">
        <f t="shared" si="164"/>
        <v>-1000</v>
      </c>
      <c r="H10179" s="121" t="s">
        <v>6550</v>
      </c>
    </row>
    <row r="10180" spans="1:8" ht="15" x14ac:dyDescent="0.2">
      <c r="A10180" s="619">
        <v>44249</v>
      </c>
      <c r="B10180" s="222" t="s">
        <v>3946</v>
      </c>
      <c r="C10180" s="222" t="s">
        <v>6637</v>
      </c>
      <c r="D10180" s="805" t="s">
        <v>6638</v>
      </c>
      <c r="E10180" s="247">
        <v>115000</v>
      </c>
      <c r="F10180" s="247"/>
      <c r="G10180" s="247">
        <f t="shared" si="164"/>
        <v>-115000</v>
      </c>
      <c r="H10180" s="121" t="s">
        <v>6550</v>
      </c>
    </row>
    <row r="10181" spans="1:8" ht="15" x14ac:dyDescent="0.2">
      <c r="A10181" s="619">
        <v>44250</v>
      </c>
      <c r="B10181" s="222" t="s">
        <v>3946</v>
      </c>
      <c r="C10181" s="222" t="s">
        <v>3145</v>
      </c>
      <c r="D10181" s="805" t="s">
        <v>6639</v>
      </c>
      <c r="E10181" s="247">
        <v>15425</v>
      </c>
      <c r="F10181" s="247"/>
      <c r="G10181" s="247">
        <f t="shared" si="164"/>
        <v>-15425</v>
      </c>
      <c r="H10181" s="121" t="s">
        <v>6550</v>
      </c>
    </row>
    <row r="10182" spans="1:8" ht="15" x14ac:dyDescent="0.2">
      <c r="A10182" s="619">
        <v>44250</v>
      </c>
      <c r="B10182" s="222" t="s">
        <v>6518</v>
      </c>
      <c r="C10182" s="222" t="s">
        <v>3145</v>
      </c>
      <c r="D10182" s="805" t="s">
        <v>6640</v>
      </c>
      <c r="E10182" s="247">
        <v>22460</v>
      </c>
      <c r="F10182" s="247"/>
      <c r="G10182" s="247">
        <f t="shared" si="164"/>
        <v>-22460</v>
      </c>
      <c r="H10182" s="121" t="s">
        <v>6550</v>
      </c>
    </row>
    <row r="10183" spans="1:8" ht="15" x14ac:dyDescent="0.2">
      <c r="A10183" s="619">
        <v>44250</v>
      </c>
      <c r="B10183" s="222" t="s">
        <v>6518</v>
      </c>
      <c r="C10183" s="222" t="s">
        <v>3145</v>
      </c>
      <c r="D10183" s="805" t="s">
        <v>6641</v>
      </c>
      <c r="E10183" s="247">
        <v>650</v>
      </c>
      <c r="F10183" s="247"/>
      <c r="G10183" s="247">
        <f t="shared" si="164"/>
        <v>-650</v>
      </c>
      <c r="H10183" s="121" t="s">
        <v>6550</v>
      </c>
    </row>
    <row r="10184" spans="1:8" ht="15" x14ac:dyDescent="0.2">
      <c r="A10184" s="619">
        <v>44250</v>
      </c>
      <c r="B10184" s="222" t="s">
        <v>6518</v>
      </c>
      <c r="C10184" s="222" t="s">
        <v>3145</v>
      </c>
      <c r="D10184" s="805"/>
      <c r="E10184" s="247">
        <v>850</v>
      </c>
      <c r="F10184" s="247"/>
      <c r="G10184" s="247">
        <f t="shared" si="164"/>
        <v>-850</v>
      </c>
      <c r="H10184" s="121" t="s">
        <v>6550</v>
      </c>
    </row>
    <row r="10185" spans="1:8" ht="15" x14ac:dyDescent="0.2">
      <c r="A10185" s="619">
        <v>44250</v>
      </c>
      <c r="B10185" s="222" t="s">
        <v>3946</v>
      </c>
      <c r="C10185" s="222" t="s">
        <v>3145</v>
      </c>
      <c r="D10185" s="805"/>
      <c r="E10185" s="247">
        <v>1000</v>
      </c>
      <c r="F10185" s="247"/>
      <c r="G10185" s="247">
        <f t="shared" si="164"/>
        <v>-1000</v>
      </c>
      <c r="H10185" s="121" t="s">
        <v>6550</v>
      </c>
    </row>
    <row r="10186" spans="1:8" ht="15" x14ac:dyDescent="0.2">
      <c r="A10186" s="619">
        <v>44251</v>
      </c>
      <c r="B10186" s="222" t="s">
        <v>6518</v>
      </c>
      <c r="C10186" s="586" t="s">
        <v>3145</v>
      </c>
      <c r="D10186" s="890" t="s">
        <v>6642</v>
      </c>
      <c r="E10186" s="587">
        <v>41500</v>
      </c>
      <c r="F10186" s="247"/>
      <c r="G10186" s="247">
        <f t="shared" si="164"/>
        <v>-41500</v>
      </c>
      <c r="H10186" s="121" t="s">
        <v>6550</v>
      </c>
    </row>
    <row r="10187" spans="1:8" ht="15" x14ac:dyDescent="0.2">
      <c r="A10187" s="619">
        <v>44251</v>
      </c>
      <c r="B10187" s="222" t="s">
        <v>5811</v>
      </c>
      <c r="C10187" s="586" t="s">
        <v>3145</v>
      </c>
      <c r="D10187" s="890" t="s">
        <v>6642</v>
      </c>
      <c r="E10187" s="587">
        <v>26000</v>
      </c>
      <c r="F10187" s="247"/>
      <c r="G10187" s="247">
        <f t="shared" si="164"/>
        <v>-26000</v>
      </c>
      <c r="H10187" s="121" t="s">
        <v>6550</v>
      </c>
    </row>
    <row r="10188" spans="1:8" ht="15" x14ac:dyDescent="0.2">
      <c r="A10188" s="619">
        <v>44251</v>
      </c>
      <c r="B10188" s="222" t="s">
        <v>6408</v>
      </c>
      <c r="C10188" s="586" t="s">
        <v>3145</v>
      </c>
      <c r="D10188" s="890" t="s">
        <v>6642</v>
      </c>
      <c r="E10188" s="587">
        <v>3104</v>
      </c>
      <c r="F10188" s="247"/>
      <c r="G10188" s="247">
        <f t="shared" si="164"/>
        <v>-3104</v>
      </c>
      <c r="H10188" s="121" t="s">
        <v>6550</v>
      </c>
    </row>
    <row r="10189" spans="1:8" ht="15" x14ac:dyDescent="0.2">
      <c r="A10189" s="619">
        <v>44251</v>
      </c>
      <c r="B10189" s="222" t="s">
        <v>6511</v>
      </c>
      <c r="C10189" s="586" t="s">
        <v>3145</v>
      </c>
      <c r="D10189" s="890" t="s">
        <v>6642</v>
      </c>
      <c r="E10189" s="587">
        <v>5000</v>
      </c>
      <c r="F10189" s="247"/>
      <c r="G10189" s="247">
        <f t="shared" si="164"/>
        <v>-5000</v>
      </c>
      <c r="H10189" s="121" t="s">
        <v>6550</v>
      </c>
    </row>
    <row r="10190" spans="1:8" ht="24" x14ac:dyDescent="0.2">
      <c r="A10190" s="619">
        <v>44253</v>
      </c>
      <c r="B10190" s="222" t="s">
        <v>6516</v>
      </c>
      <c r="C10190" s="222" t="s">
        <v>3003</v>
      </c>
      <c r="D10190" s="805" t="s">
        <v>6643</v>
      </c>
      <c r="E10190" s="247">
        <v>254</v>
      </c>
      <c r="F10190" s="247"/>
      <c r="G10190" s="247">
        <f t="shared" si="164"/>
        <v>-254</v>
      </c>
      <c r="H10190" s="121" t="s">
        <v>6550</v>
      </c>
    </row>
    <row r="10191" spans="1:8" ht="15" x14ac:dyDescent="0.2">
      <c r="A10191" s="619">
        <v>44253</v>
      </c>
      <c r="B10191" s="222" t="s">
        <v>6511</v>
      </c>
      <c r="C10191" s="222" t="s">
        <v>3145</v>
      </c>
      <c r="D10191" s="805" t="s">
        <v>6644</v>
      </c>
      <c r="E10191" s="247">
        <v>29600</v>
      </c>
      <c r="F10191" s="247"/>
      <c r="G10191" s="247">
        <f t="shared" si="164"/>
        <v>-29600</v>
      </c>
      <c r="H10191" s="121" t="s">
        <v>6550</v>
      </c>
    </row>
    <row r="10192" spans="1:8" ht="15" x14ac:dyDescent="0.2">
      <c r="A10192" s="619">
        <v>44254</v>
      </c>
      <c r="B10192" s="222" t="s">
        <v>6511</v>
      </c>
      <c r="C10192" s="222" t="s">
        <v>392</v>
      </c>
      <c r="D10192" s="805" t="s">
        <v>6645</v>
      </c>
      <c r="E10192" s="247">
        <v>2000</v>
      </c>
      <c r="F10192" s="247"/>
      <c r="G10192" s="247">
        <f t="shared" si="164"/>
        <v>-2000</v>
      </c>
      <c r="H10192" s="121" t="s">
        <v>6550</v>
      </c>
    </row>
    <row r="10193" spans="1:8" ht="15" x14ac:dyDescent="0.2">
      <c r="A10193" s="619">
        <v>44254</v>
      </c>
      <c r="B10193" s="222" t="s">
        <v>25</v>
      </c>
      <c r="C10193" s="222" t="s">
        <v>2428</v>
      </c>
      <c r="D10193" s="805" t="s">
        <v>5736</v>
      </c>
      <c r="E10193" s="247">
        <v>20470</v>
      </c>
      <c r="F10193" s="247"/>
      <c r="G10193" s="247">
        <f t="shared" si="164"/>
        <v>-20470</v>
      </c>
      <c r="H10193" s="121" t="s">
        <v>6550</v>
      </c>
    </row>
    <row r="10194" spans="1:8" ht="15" x14ac:dyDescent="0.2">
      <c r="A10194" s="619">
        <v>44254</v>
      </c>
      <c r="B10194" s="222" t="s">
        <v>6518</v>
      </c>
      <c r="C10194" s="222" t="s">
        <v>2503</v>
      </c>
      <c r="D10194" s="805" t="s">
        <v>372</v>
      </c>
      <c r="E10194" s="247">
        <v>25000</v>
      </c>
      <c r="F10194" s="247"/>
      <c r="G10194" s="247">
        <f t="shared" si="164"/>
        <v>-25000</v>
      </c>
      <c r="H10194" s="121" t="s">
        <v>6550</v>
      </c>
    </row>
    <row r="10195" spans="1:8" ht="15" x14ac:dyDescent="0.2">
      <c r="A10195" s="619">
        <v>44254</v>
      </c>
      <c r="B10195" s="222" t="s">
        <v>1400</v>
      </c>
      <c r="C10195" s="222" t="s">
        <v>2503</v>
      </c>
      <c r="D10195" s="805" t="s">
        <v>372</v>
      </c>
      <c r="E10195" s="247">
        <v>25000</v>
      </c>
      <c r="F10195" s="247"/>
      <c r="G10195" s="247">
        <f t="shared" si="164"/>
        <v>-25000</v>
      </c>
      <c r="H10195" s="121" t="s">
        <v>6550</v>
      </c>
    </row>
    <row r="10196" spans="1:8" ht="15" x14ac:dyDescent="0.2">
      <c r="A10196" s="619">
        <v>44254</v>
      </c>
      <c r="B10196" s="222" t="s">
        <v>6511</v>
      </c>
      <c r="C10196" s="222" t="s">
        <v>2503</v>
      </c>
      <c r="D10196" s="805" t="s">
        <v>551</v>
      </c>
      <c r="E10196" s="247">
        <v>25000</v>
      </c>
      <c r="F10196" s="247"/>
      <c r="G10196" s="247">
        <f t="shared" si="164"/>
        <v>-25000</v>
      </c>
      <c r="H10196" s="121" t="s">
        <v>6550</v>
      </c>
    </row>
    <row r="10197" spans="1:8" ht="15" x14ac:dyDescent="0.2">
      <c r="A10197" s="619">
        <v>44254</v>
      </c>
      <c r="B10197" s="222" t="s">
        <v>6408</v>
      </c>
      <c r="C10197" s="222" t="s">
        <v>2503</v>
      </c>
      <c r="D10197" s="805" t="s">
        <v>551</v>
      </c>
      <c r="E10197" s="247">
        <v>25000</v>
      </c>
      <c r="F10197" s="247"/>
      <c r="G10197" s="247">
        <f t="shared" si="164"/>
        <v>-25000</v>
      </c>
      <c r="H10197" s="121" t="s">
        <v>6550</v>
      </c>
    </row>
    <row r="10198" spans="1:8" ht="15" x14ac:dyDescent="0.2">
      <c r="A10198" s="619">
        <v>44254</v>
      </c>
      <c r="B10198" s="222" t="s">
        <v>25</v>
      </c>
      <c r="C10198" s="222" t="s">
        <v>2503</v>
      </c>
      <c r="D10198" s="805" t="s">
        <v>6319</v>
      </c>
      <c r="E10198" s="247">
        <v>60000</v>
      </c>
      <c r="F10198" s="247"/>
      <c r="G10198" s="247">
        <f t="shared" si="164"/>
        <v>-60000</v>
      </c>
      <c r="H10198" s="121" t="s">
        <v>6550</v>
      </c>
    </row>
    <row r="10199" spans="1:8" ht="15" x14ac:dyDescent="0.2">
      <c r="A10199" s="619">
        <v>44254</v>
      </c>
      <c r="B10199" s="222" t="s">
        <v>16</v>
      </c>
      <c r="C10199" s="222" t="s">
        <v>2503</v>
      </c>
      <c r="D10199" s="805"/>
      <c r="E10199" s="247">
        <v>118000</v>
      </c>
      <c r="F10199" s="247"/>
      <c r="G10199" s="247">
        <f t="shared" si="164"/>
        <v>-118000</v>
      </c>
      <c r="H10199" s="121" t="s">
        <v>6550</v>
      </c>
    </row>
    <row r="10200" spans="1:8" ht="15" x14ac:dyDescent="0.2">
      <c r="A10200" s="619">
        <v>44254</v>
      </c>
      <c r="B10200" s="222" t="s">
        <v>3945</v>
      </c>
      <c r="C10200" s="222" t="s">
        <v>2503</v>
      </c>
      <c r="D10200" s="805"/>
      <c r="E10200" s="247">
        <v>31500</v>
      </c>
      <c r="F10200" s="247"/>
      <c r="G10200" s="247">
        <f t="shared" si="164"/>
        <v>-31500</v>
      </c>
      <c r="H10200" s="121" t="s">
        <v>6550</v>
      </c>
    </row>
    <row r="10201" spans="1:8" ht="15" x14ac:dyDescent="0.2">
      <c r="A10201" s="619">
        <v>44254</v>
      </c>
      <c r="B10201" s="222" t="s">
        <v>3946</v>
      </c>
      <c r="C10201" s="222" t="s">
        <v>2503</v>
      </c>
      <c r="D10201" s="805"/>
      <c r="E10201" s="247">
        <v>99362</v>
      </c>
      <c r="F10201" s="247"/>
      <c r="G10201" s="247">
        <f t="shared" si="164"/>
        <v>-99362</v>
      </c>
      <c r="H10201" s="121" t="s">
        <v>6550</v>
      </c>
    </row>
    <row r="10202" spans="1:8" ht="15" x14ac:dyDescent="0.2">
      <c r="A10202" s="619">
        <v>44254</v>
      </c>
      <c r="B10202" s="222" t="s">
        <v>1400</v>
      </c>
      <c r="C10202" s="222" t="s">
        <v>2503</v>
      </c>
      <c r="D10202" s="805"/>
      <c r="E10202" s="247">
        <v>202378</v>
      </c>
      <c r="F10202" s="247"/>
      <c r="G10202" s="247">
        <f t="shared" si="164"/>
        <v>-202378</v>
      </c>
      <c r="H10202" s="121" t="s">
        <v>6550</v>
      </c>
    </row>
    <row r="10203" spans="1:8" ht="15" x14ac:dyDescent="0.2">
      <c r="A10203" s="619">
        <v>44254</v>
      </c>
      <c r="B10203" s="222" t="s">
        <v>4553</v>
      </c>
      <c r="C10203" s="222" t="s">
        <v>2503</v>
      </c>
      <c r="D10203" s="805" t="s">
        <v>6703</v>
      </c>
      <c r="E10203" s="247">
        <v>29835</v>
      </c>
      <c r="F10203" s="247"/>
      <c r="G10203" s="247">
        <f t="shared" si="164"/>
        <v>-29835</v>
      </c>
      <c r="H10203" s="121" t="s">
        <v>6550</v>
      </c>
    </row>
    <row r="10204" spans="1:8" ht="15" customHeight="1" x14ac:dyDescent="0.2">
      <c r="A10204" s="619">
        <v>44254</v>
      </c>
      <c r="B10204" s="222" t="s">
        <v>6516</v>
      </c>
      <c r="C10204" s="222" t="s">
        <v>2503</v>
      </c>
      <c r="D10204" s="805"/>
      <c r="E10204" s="247">
        <v>113383.92857142855</v>
      </c>
      <c r="F10204" s="247"/>
      <c r="G10204" s="247">
        <f t="shared" si="164"/>
        <v>-113383.92857142855</v>
      </c>
      <c r="H10204" s="121" t="s">
        <v>6550</v>
      </c>
    </row>
    <row r="10205" spans="1:8" ht="15" customHeight="1" x14ac:dyDescent="0.2">
      <c r="A10205" s="619">
        <v>44254</v>
      </c>
      <c r="B10205" s="222" t="s">
        <v>37</v>
      </c>
      <c r="C10205" s="222" t="s">
        <v>2503</v>
      </c>
      <c r="D10205" s="805"/>
      <c r="E10205" s="247">
        <v>89080.357142857145</v>
      </c>
      <c r="F10205" s="247"/>
      <c r="G10205" s="247">
        <f t="shared" si="164"/>
        <v>-89080.357142857145</v>
      </c>
      <c r="H10205" s="121" t="s">
        <v>6550</v>
      </c>
    </row>
    <row r="10206" spans="1:8" ht="15" customHeight="1" x14ac:dyDescent="0.2">
      <c r="A10206" s="619">
        <v>44254</v>
      </c>
      <c r="B10206" s="222" t="s">
        <v>2933</v>
      </c>
      <c r="C10206" s="222" t="s">
        <v>2503</v>
      </c>
      <c r="D10206" s="805"/>
      <c r="E10206" s="247">
        <v>64013</v>
      </c>
      <c r="F10206" s="247"/>
      <c r="G10206" s="247">
        <f t="shared" si="164"/>
        <v>-64013</v>
      </c>
      <c r="H10206" s="121" t="s">
        <v>6550</v>
      </c>
    </row>
    <row r="10207" spans="1:8" ht="15" customHeight="1" x14ac:dyDescent="0.2">
      <c r="A10207" s="619">
        <v>44254</v>
      </c>
      <c r="B10207" s="222" t="s">
        <v>6518</v>
      </c>
      <c r="C10207" s="222" t="s">
        <v>2503</v>
      </c>
      <c r="D10207" s="805"/>
      <c r="E10207" s="247">
        <v>132427</v>
      </c>
      <c r="F10207" s="247"/>
      <c r="G10207" s="247">
        <f t="shared" si="164"/>
        <v>-132427</v>
      </c>
      <c r="H10207" s="121" t="s">
        <v>6550</v>
      </c>
    </row>
    <row r="10208" spans="1:8" ht="15" customHeight="1" x14ac:dyDescent="0.2">
      <c r="A10208" s="619">
        <v>44254</v>
      </c>
      <c r="B10208" s="222" t="s">
        <v>6408</v>
      </c>
      <c r="C10208" s="222" t="s">
        <v>2503</v>
      </c>
      <c r="D10208" s="805" t="s">
        <v>6704</v>
      </c>
      <c r="E10208" s="247">
        <v>23982</v>
      </c>
      <c r="F10208" s="247"/>
      <c r="G10208" s="247">
        <f t="shared" si="164"/>
        <v>-23982</v>
      </c>
      <c r="H10208" s="121" t="s">
        <v>6550</v>
      </c>
    </row>
    <row r="10209" spans="1:8" ht="15" customHeight="1" x14ac:dyDescent="0.2">
      <c r="A10209" s="619">
        <v>44254</v>
      </c>
      <c r="B10209" s="222" t="s">
        <v>5811</v>
      </c>
      <c r="C10209" s="222" t="s">
        <v>2503</v>
      </c>
      <c r="D10209" s="805"/>
      <c r="E10209" s="247">
        <v>50142.857142857145</v>
      </c>
      <c r="F10209" s="247"/>
      <c r="G10209" s="247">
        <f t="shared" si="164"/>
        <v>-50142.857142857145</v>
      </c>
      <c r="H10209" s="121" t="s">
        <v>6550</v>
      </c>
    </row>
    <row r="10210" spans="1:8" ht="15" customHeight="1" x14ac:dyDescent="0.2">
      <c r="A10210" s="619">
        <v>44254</v>
      </c>
      <c r="B10210" s="41" t="s">
        <v>16</v>
      </c>
      <c r="C10210" s="41" t="s">
        <v>392</v>
      </c>
      <c r="D10210" s="108" t="s">
        <v>6648</v>
      </c>
      <c r="E10210" s="42">
        <v>11708</v>
      </c>
      <c r="G10210" s="42">
        <f t="shared" si="164"/>
        <v>-11708</v>
      </c>
      <c r="H10210" s="121" t="s">
        <v>6550</v>
      </c>
    </row>
    <row r="10211" spans="1:8" ht="15" customHeight="1" x14ac:dyDescent="0.2">
      <c r="A10211" s="620">
        <v>44228</v>
      </c>
      <c r="B10211" s="240" t="s">
        <v>1400</v>
      </c>
      <c r="C10211" s="240" t="s">
        <v>1391</v>
      </c>
      <c r="D10211" s="228" t="s">
        <v>6552</v>
      </c>
      <c r="E10211" s="241">
        <v>50000</v>
      </c>
      <c r="F10211" s="241"/>
      <c r="G10211" s="241">
        <f t="shared" si="164"/>
        <v>-50000</v>
      </c>
      <c r="H10211" s="244" t="s">
        <v>6550</v>
      </c>
    </row>
    <row r="10212" spans="1:8" ht="24" customHeight="1" x14ac:dyDescent="0.2">
      <c r="A10212" s="620">
        <v>44228</v>
      </c>
      <c r="B10212" s="240" t="s">
        <v>6518</v>
      </c>
      <c r="C10212" s="240" t="s">
        <v>6553</v>
      </c>
      <c r="D10212" s="228" t="s">
        <v>6554</v>
      </c>
      <c r="E10212" s="241">
        <v>200000</v>
      </c>
      <c r="F10212" s="241"/>
      <c r="G10212" s="241">
        <f t="shared" si="164"/>
        <v>-200000</v>
      </c>
      <c r="H10212" s="244" t="s">
        <v>6550</v>
      </c>
    </row>
    <row r="10213" spans="1:8" ht="24" customHeight="1" x14ac:dyDescent="0.2">
      <c r="A10213" s="620">
        <v>44228</v>
      </c>
      <c r="B10213" s="240" t="s">
        <v>6518</v>
      </c>
      <c r="C10213" s="240" t="s">
        <v>6553</v>
      </c>
      <c r="D10213" s="228" t="s">
        <v>6554</v>
      </c>
      <c r="E10213" s="236">
        <v>300000</v>
      </c>
      <c r="F10213" s="236"/>
      <c r="G10213" s="241">
        <f t="shared" si="164"/>
        <v>-300000</v>
      </c>
      <c r="H10213" s="244" t="s">
        <v>6550</v>
      </c>
    </row>
    <row r="10214" spans="1:8" ht="24" customHeight="1" x14ac:dyDescent="0.2">
      <c r="A10214" s="621">
        <v>44229</v>
      </c>
      <c r="B10214" s="622" t="s">
        <v>6518</v>
      </c>
      <c r="C10214" s="623" t="s">
        <v>6555</v>
      </c>
      <c r="D10214" s="891" t="s">
        <v>6556</v>
      </c>
      <c r="E10214" s="624"/>
      <c r="F10214" s="624"/>
      <c r="G10214" s="624">
        <f t="shared" si="164"/>
        <v>0</v>
      </c>
      <c r="H10214" s="625" t="s">
        <v>6550</v>
      </c>
    </row>
    <row r="10215" spans="1:8" ht="15" customHeight="1" x14ac:dyDescent="0.2">
      <c r="A10215" s="620">
        <v>44230</v>
      </c>
      <c r="B10215" s="240" t="s">
        <v>6518</v>
      </c>
      <c r="C10215" s="122" t="s">
        <v>6522</v>
      </c>
      <c r="D10215" s="228" t="s">
        <v>6557</v>
      </c>
      <c r="E10215" s="123">
        <v>90000</v>
      </c>
      <c r="F10215" s="123"/>
      <c r="G10215" s="123">
        <f t="shared" si="164"/>
        <v>-90000</v>
      </c>
      <c r="H10215" s="244" t="s">
        <v>6550</v>
      </c>
    </row>
    <row r="10216" spans="1:8" ht="36" customHeight="1" x14ac:dyDescent="0.2">
      <c r="A10216" s="620">
        <v>44235</v>
      </c>
      <c r="B10216" s="240" t="s">
        <v>6518</v>
      </c>
      <c r="C10216" s="122" t="s">
        <v>2128</v>
      </c>
      <c r="D10216" s="228" t="s">
        <v>9203</v>
      </c>
      <c r="E10216" s="123">
        <v>640643</v>
      </c>
      <c r="F10216" s="123"/>
      <c r="G10216" s="123">
        <f t="shared" si="164"/>
        <v>-640643</v>
      </c>
      <c r="H10216" s="244" t="s">
        <v>6550</v>
      </c>
    </row>
    <row r="10217" spans="1:8" ht="15" customHeight="1" x14ac:dyDescent="0.2">
      <c r="A10217" s="620">
        <v>44237</v>
      </c>
      <c r="B10217" s="240" t="s">
        <v>6518</v>
      </c>
      <c r="C10217" s="122" t="s">
        <v>6156</v>
      </c>
      <c r="D10217" s="228" t="s">
        <v>6592</v>
      </c>
      <c r="E10217" s="123">
        <v>99500</v>
      </c>
      <c r="F10217" s="123"/>
      <c r="G10217" s="123">
        <f t="shared" ref="G10217:G10280" si="165">F10217-E10217</f>
        <v>-99500</v>
      </c>
      <c r="H10217" s="244" t="s">
        <v>6550</v>
      </c>
    </row>
    <row r="10218" spans="1:8" ht="15" customHeight="1" x14ac:dyDescent="0.2">
      <c r="A10218" s="620">
        <v>44237</v>
      </c>
      <c r="B10218" s="240" t="s">
        <v>6408</v>
      </c>
      <c r="C10218" s="122" t="s">
        <v>4684</v>
      </c>
      <c r="D10218" s="228" t="s">
        <v>6593</v>
      </c>
      <c r="E10218" s="123">
        <v>25000</v>
      </c>
      <c r="F10218" s="123"/>
      <c r="G10218" s="123">
        <f t="shared" si="165"/>
        <v>-25000</v>
      </c>
      <c r="H10218" s="244" t="s">
        <v>6550</v>
      </c>
    </row>
    <row r="10219" spans="1:8" ht="15" customHeight="1" x14ac:dyDescent="0.2">
      <c r="A10219" s="620">
        <v>44237</v>
      </c>
      <c r="B10219" s="240" t="s">
        <v>6408</v>
      </c>
      <c r="C10219" s="122" t="s">
        <v>4684</v>
      </c>
      <c r="D10219" s="228" t="s">
        <v>6594</v>
      </c>
      <c r="E10219" s="123">
        <v>17800</v>
      </c>
      <c r="F10219" s="123"/>
      <c r="G10219" s="123">
        <f t="shared" si="165"/>
        <v>-17800</v>
      </c>
      <c r="H10219" s="244" t="s">
        <v>6550</v>
      </c>
    </row>
    <row r="10220" spans="1:8" ht="15" customHeight="1" x14ac:dyDescent="0.2">
      <c r="A10220" s="620">
        <v>44237</v>
      </c>
      <c r="B10220" s="240" t="s">
        <v>6408</v>
      </c>
      <c r="C10220" s="122" t="s">
        <v>6476</v>
      </c>
      <c r="D10220" s="228" t="s">
        <v>6595</v>
      </c>
      <c r="E10220" s="123">
        <v>20000</v>
      </c>
      <c r="F10220" s="123"/>
      <c r="G10220" s="123">
        <f t="shared" si="165"/>
        <v>-20000</v>
      </c>
      <c r="H10220" s="244" t="s">
        <v>6550</v>
      </c>
    </row>
    <row r="10221" spans="1:8" ht="15" customHeight="1" x14ac:dyDescent="0.2">
      <c r="A10221" s="620">
        <v>44239</v>
      </c>
      <c r="B10221" s="240" t="s">
        <v>1400</v>
      </c>
      <c r="C10221" s="122" t="s">
        <v>1803</v>
      </c>
      <c r="D10221" s="228" t="s">
        <v>6597</v>
      </c>
      <c r="E10221" s="123">
        <v>250000</v>
      </c>
      <c r="F10221" s="123"/>
      <c r="G10221" s="123">
        <f t="shared" si="165"/>
        <v>-250000</v>
      </c>
      <c r="H10221" s="244" t="s">
        <v>6550</v>
      </c>
    </row>
    <row r="10222" spans="1:8" ht="15" customHeight="1" x14ac:dyDescent="0.2">
      <c r="A10222" s="620">
        <v>44239</v>
      </c>
      <c r="B10222" s="240" t="s">
        <v>1400</v>
      </c>
      <c r="C10222" s="122" t="s">
        <v>1803</v>
      </c>
      <c r="D10222" s="228" t="s">
        <v>6598</v>
      </c>
      <c r="E10222" s="123">
        <v>250000</v>
      </c>
      <c r="F10222" s="123"/>
      <c r="G10222" s="123">
        <f t="shared" si="165"/>
        <v>-250000</v>
      </c>
      <c r="H10222" s="244" t="s">
        <v>6550</v>
      </c>
    </row>
    <row r="10223" spans="1:8" ht="15" customHeight="1" x14ac:dyDescent="0.2">
      <c r="A10223" s="620">
        <v>44242</v>
      </c>
      <c r="B10223" s="240" t="s">
        <v>6408</v>
      </c>
      <c r="C10223" s="122" t="s">
        <v>5593</v>
      </c>
      <c r="D10223" s="228" t="s">
        <v>6611</v>
      </c>
      <c r="E10223" s="123">
        <v>100000</v>
      </c>
      <c r="F10223" s="123"/>
      <c r="G10223" s="123">
        <f t="shared" si="165"/>
        <v>-100000</v>
      </c>
      <c r="H10223" s="244" t="s">
        <v>6550</v>
      </c>
    </row>
    <row r="10224" spans="1:8" ht="15" customHeight="1" x14ac:dyDescent="0.2">
      <c r="A10224" s="620">
        <v>44242</v>
      </c>
      <c r="B10224" s="240" t="s">
        <v>6408</v>
      </c>
      <c r="C10224" s="122" t="s">
        <v>5593</v>
      </c>
      <c r="D10224" s="228" t="s">
        <v>6612</v>
      </c>
      <c r="E10224" s="123">
        <v>50000</v>
      </c>
      <c r="F10224" s="123"/>
      <c r="G10224" s="123">
        <f t="shared" si="165"/>
        <v>-50000</v>
      </c>
      <c r="H10224" s="244" t="s">
        <v>6550</v>
      </c>
    </row>
    <row r="10225" spans="1:8" ht="15" customHeight="1" x14ac:dyDescent="0.2">
      <c r="A10225" s="620">
        <v>44242</v>
      </c>
      <c r="B10225" s="240" t="s">
        <v>6508</v>
      </c>
      <c r="C10225" s="582" t="s">
        <v>6852</v>
      </c>
      <c r="D10225" s="740" t="s">
        <v>6613</v>
      </c>
      <c r="E10225" s="583">
        <v>33000</v>
      </c>
      <c r="F10225" s="123"/>
      <c r="G10225" s="123">
        <f t="shared" si="165"/>
        <v>-33000</v>
      </c>
      <c r="H10225" s="244" t="s">
        <v>6550</v>
      </c>
    </row>
    <row r="10226" spans="1:8" ht="15" customHeight="1" x14ac:dyDescent="0.2">
      <c r="A10226" s="620">
        <v>44242</v>
      </c>
      <c r="B10226" s="240" t="s">
        <v>1400</v>
      </c>
      <c r="C10226" s="582" t="s">
        <v>6852</v>
      </c>
      <c r="D10226" s="740" t="s">
        <v>6613</v>
      </c>
      <c r="E10226" s="583">
        <v>11000</v>
      </c>
      <c r="F10226" s="123"/>
      <c r="G10226" s="123">
        <f t="shared" si="165"/>
        <v>-11000</v>
      </c>
      <c r="H10226" s="244" t="s">
        <v>6550</v>
      </c>
    </row>
    <row r="10227" spans="1:8" ht="15" customHeight="1" x14ac:dyDescent="0.2">
      <c r="A10227" s="620">
        <v>44242</v>
      </c>
      <c r="B10227" s="240" t="s">
        <v>6408</v>
      </c>
      <c r="C10227" s="582" t="s">
        <v>2310</v>
      </c>
      <c r="D10227" s="740" t="s">
        <v>6614</v>
      </c>
      <c r="E10227" s="583">
        <v>31000</v>
      </c>
      <c r="F10227" s="123"/>
      <c r="G10227" s="123">
        <f t="shared" si="165"/>
        <v>-31000</v>
      </c>
      <c r="H10227" s="244" t="s">
        <v>6550</v>
      </c>
    </row>
    <row r="10228" spans="1:8" ht="15" customHeight="1" x14ac:dyDescent="0.2">
      <c r="A10228" s="620">
        <v>44242</v>
      </c>
      <c r="B10228" s="240" t="s">
        <v>6518</v>
      </c>
      <c r="C10228" s="582" t="s">
        <v>2310</v>
      </c>
      <c r="D10228" s="740" t="s">
        <v>6614</v>
      </c>
      <c r="E10228" s="583">
        <v>49000</v>
      </c>
      <c r="F10228" s="123"/>
      <c r="G10228" s="123">
        <f t="shared" si="165"/>
        <v>-49000</v>
      </c>
      <c r="H10228" s="244" t="s">
        <v>6550</v>
      </c>
    </row>
    <row r="10229" spans="1:8" ht="36" customHeight="1" x14ac:dyDescent="0.2">
      <c r="A10229" s="620">
        <v>44243</v>
      </c>
      <c r="B10229" s="240" t="s">
        <v>6518</v>
      </c>
      <c r="C10229" s="174" t="s">
        <v>2128</v>
      </c>
      <c r="D10229" s="228" t="s">
        <v>9204</v>
      </c>
      <c r="E10229" s="236">
        <v>1421832</v>
      </c>
      <c r="F10229" s="236"/>
      <c r="G10229" s="236">
        <f t="shared" si="165"/>
        <v>-1421832</v>
      </c>
      <c r="H10229" s="244" t="s">
        <v>6550</v>
      </c>
    </row>
    <row r="10230" spans="1:8" ht="15" customHeight="1" x14ac:dyDescent="0.2">
      <c r="A10230" s="620">
        <v>44244</v>
      </c>
      <c r="B10230" s="240" t="s">
        <v>1400</v>
      </c>
      <c r="C10230" s="174" t="s">
        <v>4988</v>
      </c>
      <c r="D10230" s="228" t="s">
        <v>6617</v>
      </c>
      <c r="E10230" s="236">
        <v>150000</v>
      </c>
      <c r="F10230" s="236"/>
      <c r="G10230" s="236">
        <f t="shared" si="165"/>
        <v>-150000</v>
      </c>
      <c r="H10230" s="244" t="s">
        <v>6550</v>
      </c>
    </row>
    <row r="10231" spans="1:8" ht="15" customHeight="1" x14ac:dyDescent="0.2">
      <c r="A10231" s="620">
        <v>44244</v>
      </c>
      <c r="B10231" s="240" t="s">
        <v>2652</v>
      </c>
      <c r="C10231" s="174" t="s">
        <v>7181</v>
      </c>
      <c r="D10231" s="228" t="s">
        <v>6618</v>
      </c>
      <c r="E10231" s="236">
        <v>38000</v>
      </c>
      <c r="F10231" s="236"/>
      <c r="G10231" s="236">
        <f t="shared" si="165"/>
        <v>-38000</v>
      </c>
      <c r="H10231" s="244" t="s">
        <v>6550</v>
      </c>
    </row>
    <row r="10232" spans="1:8" ht="15" customHeight="1" x14ac:dyDescent="0.2">
      <c r="A10232" s="620">
        <v>44244</v>
      </c>
      <c r="B10232" s="240" t="s">
        <v>1400</v>
      </c>
      <c r="C10232" s="174" t="s">
        <v>2264</v>
      </c>
      <c r="D10232" s="228" t="s">
        <v>6619</v>
      </c>
      <c r="E10232" s="236">
        <v>257000</v>
      </c>
      <c r="F10232" s="236"/>
      <c r="G10232" s="236">
        <f t="shared" si="165"/>
        <v>-257000</v>
      </c>
      <c r="H10232" s="244" t="s">
        <v>6550</v>
      </c>
    </row>
    <row r="10233" spans="1:8" ht="15" customHeight="1" x14ac:dyDescent="0.2">
      <c r="A10233" s="620">
        <v>44246</v>
      </c>
      <c r="B10233" s="240" t="s">
        <v>6408</v>
      </c>
      <c r="C10233" s="174" t="s">
        <v>2386</v>
      </c>
      <c r="D10233" s="228" t="s">
        <v>6628</v>
      </c>
      <c r="E10233" s="236">
        <v>42700</v>
      </c>
      <c r="F10233" s="236"/>
      <c r="G10233" s="236">
        <f t="shared" si="165"/>
        <v>-42700</v>
      </c>
      <c r="H10233" s="244" t="s">
        <v>6550</v>
      </c>
    </row>
    <row r="10234" spans="1:8" ht="84" customHeight="1" x14ac:dyDescent="0.2">
      <c r="A10234" s="620">
        <v>44252</v>
      </c>
      <c r="B10234" s="240" t="s">
        <v>1400</v>
      </c>
      <c r="C10234" s="174" t="s">
        <v>6239</v>
      </c>
      <c r="D10234" s="228" t="s">
        <v>6634</v>
      </c>
      <c r="E10234" s="236">
        <v>198000</v>
      </c>
      <c r="F10234" s="236"/>
      <c r="G10234" s="236">
        <f t="shared" si="165"/>
        <v>-198000</v>
      </c>
      <c r="H10234" s="244" t="s">
        <v>6550</v>
      </c>
    </row>
    <row r="10235" spans="1:8" ht="84" customHeight="1" x14ac:dyDescent="0.2">
      <c r="A10235" s="620">
        <v>44252</v>
      </c>
      <c r="B10235" s="240" t="s">
        <v>6518</v>
      </c>
      <c r="C10235" s="174" t="s">
        <v>6555</v>
      </c>
      <c r="D10235" s="228" t="s">
        <v>6633</v>
      </c>
      <c r="E10235" s="236">
        <v>390000</v>
      </c>
      <c r="F10235" s="236"/>
      <c r="G10235" s="236">
        <f t="shared" si="165"/>
        <v>-390000</v>
      </c>
      <c r="H10235" s="244" t="s">
        <v>6550</v>
      </c>
    </row>
    <row r="10236" spans="1:8" ht="24" customHeight="1" x14ac:dyDescent="0.2">
      <c r="A10236" s="618">
        <v>44233</v>
      </c>
      <c r="B10236" s="94" t="s">
        <v>6408</v>
      </c>
      <c r="C10236" s="94" t="s">
        <v>559</v>
      </c>
      <c r="D10236" s="802" t="s">
        <v>6616</v>
      </c>
      <c r="E10236" s="176"/>
      <c r="F10236" s="176">
        <v>640643</v>
      </c>
      <c r="G10236" s="176">
        <f t="shared" si="165"/>
        <v>640643</v>
      </c>
      <c r="H10236" s="261" t="s">
        <v>6550</v>
      </c>
    </row>
    <row r="10237" spans="1:8" ht="15" x14ac:dyDescent="0.2">
      <c r="A10237" s="618">
        <v>44233</v>
      </c>
      <c r="B10237" s="94" t="s">
        <v>6518</v>
      </c>
      <c r="C10237" s="94" t="s">
        <v>559</v>
      </c>
      <c r="D10237" s="892" t="s">
        <v>6669</v>
      </c>
      <c r="E10237" s="176"/>
      <c r="F10237" s="176">
        <v>1184000</v>
      </c>
      <c r="G10237" s="176">
        <f t="shared" si="165"/>
        <v>1184000</v>
      </c>
      <c r="H10237" s="261" t="s">
        <v>6550</v>
      </c>
    </row>
    <row r="10238" spans="1:8" ht="15" x14ac:dyDescent="0.2">
      <c r="A10238" s="618">
        <v>44235</v>
      </c>
      <c r="B10238" s="91" t="s">
        <v>6408</v>
      </c>
      <c r="C10238" s="94" t="s">
        <v>559</v>
      </c>
      <c r="D10238" s="802" t="s">
        <v>6574</v>
      </c>
      <c r="E10238" s="176"/>
      <c r="F10238" s="92">
        <v>324729</v>
      </c>
      <c r="G10238" s="176">
        <f t="shared" si="165"/>
        <v>324729</v>
      </c>
      <c r="H10238" s="261" t="s">
        <v>6550</v>
      </c>
    </row>
    <row r="10239" spans="1:8" ht="15" x14ac:dyDescent="0.2">
      <c r="A10239" s="618">
        <v>44237</v>
      </c>
      <c r="B10239" s="91" t="s">
        <v>3946</v>
      </c>
      <c r="C10239" s="94" t="s">
        <v>559</v>
      </c>
      <c r="D10239" s="801" t="s">
        <v>6575</v>
      </c>
      <c r="E10239" s="176"/>
      <c r="F10239" s="92">
        <v>107010</v>
      </c>
      <c r="G10239" s="176">
        <f t="shared" si="165"/>
        <v>107010</v>
      </c>
      <c r="H10239" s="261" t="s">
        <v>6550</v>
      </c>
    </row>
    <row r="10240" spans="1:8" ht="15" x14ac:dyDescent="0.2">
      <c r="A10240" s="618">
        <v>44237</v>
      </c>
      <c r="B10240" s="91" t="s">
        <v>3945</v>
      </c>
      <c r="C10240" s="94" t="s">
        <v>559</v>
      </c>
      <c r="D10240" s="801" t="s">
        <v>6575</v>
      </c>
      <c r="E10240" s="176"/>
      <c r="F10240" s="92">
        <v>53505</v>
      </c>
      <c r="G10240" s="176">
        <f t="shared" si="165"/>
        <v>53505</v>
      </c>
      <c r="H10240" s="261" t="s">
        <v>6550</v>
      </c>
    </row>
    <row r="10241" spans="1:8" ht="15" x14ac:dyDescent="0.2">
      <c r="A10241" s="618">
        <v>44242</v>
      </c>
      <c r="B10241" s="91" t="s">
        <v>6518</v>
      </c>
      <c r="C10241" s="94" t="s">
        <v>559</v>
      </c>
      <c r="D10241" s="801" t="s">
        <v>6670</v>
      </c>
      <c r="E10241" s="92"/>
      <c r="F10241" s="92">
        <v>1800000</v>
      </c>
      <c r="G10241" s="92">
        <f t="shared" si="165"/>
        <v>1800000</v>
      </c>
      <c r="H10241" s="261" t="s">
        <v>6550</v>
      </c>
    </row>
    <row r="10242" spans="1:8" ht="15" x14ac:dyDescent="0.2">
      <c r="A10242" s="618">
        <v>44242</v>
      </c>
      <c r="B10242" s="91" t="s">
        <v>6518</v>
      </c>
      <c r="C10242" s="94" t="s">
        <v>559</v>
      </c>
      <c r="D10242" s="801" t="s">
        <v>6670</v>
      </c>
      <c r="E10242" s="92"/>
      <c r="F10242" s="92">
        <v>790000</v>
      </c>
      <c r="G10242" s="92">
        <f t="shared" si="165"/>
        <v>790000</v>
      </c>
      <c r="H10242" s="261" t="s">
        <v>6550</v>
      </c>
    </row>
    <row r="10243" spans="1:8" ht="36" x14ac:dyDescent="0.2">
      <c r="A10243" s="618">
        <v>44243</v>
      </c>
      <c r="B10243" s="94" t="s">
        <v>6511</v>
      </c>
      <c r="C10243" s="94" t="s">
        <v>559</v>
      </c>
      <c r="D10243" s="802" t="s">
        <v>6615</v>
      </c>
      <c r="E10243" s="176"/>
      <c r="F10243" s="176">
        <v>1421832</v>
      </c>
      <c r="G10243" s="176">
        <f t="shared" si="165"/>
        <v>1421832</v>
      </c>
      <c r="H10243" s="261" t="s">
        <v>6550</v>
      </c>
    </row>
    <row r="10244" spans="1:8" ht="15" x14ac:dyDescent="0.2">
      <c r="A10244" s="618">
        <v>44249</v>
      </c>
      <c r="B10244" s="91" t="s">
        <v>6518</v>
      </c>
      <c r="C10244" s="94" t="s">
        <v>559</v>
      </c>
      <c r="D10244" s="892" t="s">
        <v>6671</v>
      </c>
      <c r="E10244" s="176"/>
      <c r="F10244" s="92">
        <v>906500</v>
      </c>
      <c r="G10244" s="92">
        <f t="shared" si="165"/>
        <v>906500</v>
      </c>
      <c r="H10244" s="261" t="s">
        <v>6550</v>
      </c>
    </row>
    <row r="10245" spans="1:8" ht="72" x14ac:dyDescent="0.2">
      <c r="A10245" s="618">
        <v>44251</v>
      </c>
      <c r="B10245" s="94" t="s">
        <v>6511</v>
      </c>
      <c r="C10245" s="94" t="s">
        <v>559</v>
      </c>
      <c r="D10245" s="802" t="s">
        <v>9205</v>
      </c>
      <c r="E10245" s="176"/>
      <c r="F10245" s="176">
        <v>390000</v>
      </c>
      <c r="G10245" s="176">
        <f t="shared" si="165"/>
        <v>390000</v>
      </c>
      <c r="H10245" s="261" t="s">
        <v>6550</v>
      </c>
    </row>
    <row r="10246" spans="1:8" ht="72" x14ac:dyDescent="0.2">
      <c r="A10246" s="618">
        <v>44251</v>
      </c>
      <c r="B10246" s="94" t="s">
        <v>6511</v>
      </c>
      <c r="C10246" s="94" t="s">
        <v>559</v>
      </c>
      <c r="D10246" s="802" t="s">
        <v>9206</v>
      </c>
      <c r="E10246" s="176"/>
      <c r="F10246" s="176">
        <v>198000</v>
      </c>
      <c r="G10246" s="176">
        <f t="shared" si="165"/>
        <v>198000</v>
      </c>
      <c r="H10246" s="261" t="s">
        <v>6550</v>
      </c>
    </row>
    <row r="10247" spans="1:8" ht="15" x14ac:dyDescent="0.2">
      <c r="A10247" s="619">
        <v>44256</v>
      </c>
      <c r="B10247" s="222" t="s">
        <v>16</v>
      </c>
      <c r="C10247" s="222" t="s">
        <v>392</v>
      </c>
      <c r="D10247" s="805" t="s">
        <v>6646</v>
      </c>
      <c r="E10247" s="247">
        <v>600</v>
      </c>
      <c r="F10247" s="247"/>
      <c r="G10247" s="247">
        <f t="shared" si="165"/>
        <v>-600</v>
      </c>
      <c r="H10247" s="121" t="s">
        <v>6649</v>
      </c>
    </row>
    <row r="10248" spans="1:8" ht="15" x14ac:dyDescent="0.2">
      <c r="A10248" s="619">
        <v>44256</v>
      </c>
      <c r="B10248" s="222" t="s">
        <v>6647</v>
      </c>
      <c r="C10248" s="222" t="s">
        <v>2002</v>
      </c>
      <c r="D10248" s="805"/>
      <c r="E10248" s="247">
        <v>1000</v>
      </c>
      <c r="F10248" s="247"/>
      <c r="G10248" s="247">
        <f t="shared" si="165"/>
        <v>-1000</v>
      </c>
      <c r="H10248" s="121" t="s">
        <v>6649</v>
      </c>
    </row>
    <row r="10249" spans="1:8" ht="15" x14ac:dyDescent="0.2">
      <c r="A10249" s="619">
        <v>44256</v>
      </c>
      <c r="B10249" s="41" t="s">
        <v>11</v>
      </c>
      <c r="C10249" s="41" t="s">
        <v>2503</v>
      </c>
      <c r="D10249" s="108" t="s">
        <v>6650</v>
      </c>
      <c r="E10249" s="42">
        <v>5000</v>
      </c>
      <c r="G10249" s="247">
        <f t="shared" si="165"/>
        <v>-5000</v>
      </c>
      <c r="H10249" s="121" t="s">
        <v>6649</v>
      </c>
    </row>
    <row r="10250" spans="1:8" ht="15" x14ac:dyDescent="0.2">
      <c r="A10250" s="619">
        <v>44256</v>
      </c>
      <c r="B10250" s="41" t="s">
        <v>82</v>
      </c>
      <c r="C10250" s="41" t="s">
        <v>6651</v>
      </c>
      <c r="D10250" s="108" t="s">
        <v>6652</v>
      </c>
      <c r="E10250" s="42">
        <v>15000</v>
      </c>
      <c r="G10250" s="42">
        <f t="shared" si="165"/>
        <v>-15000</v>
      </c>
      <c r="H10250" s="121" t="s">
        <v>6649</v>
      </c>
    </row>
    <row r="10251" spans="1:8" ht="15" x14ac:dyDescent="0.2">
      <c r="A10251" s="619">
        <v>44256</v>
      </c>
      <c r="B10251" s="41" t="s">
        <v>6647</v>
      </c>
      <c r="C10251" s="41" t="s">
        <v>6653</v>
      </c>
      <c r="D10251" s="108" t="s">
        <v>6654</v>
      </c>
      <c r="E10251" s="42">
        <v>46300</v>
      </c>
      <c r="G10251" s="42">
        <f t="shared" si="165"/>
        <v>-46300</v>
      </c>
      <c r="H10251" s="121" t="s">
        <v>6649</v>
      </c>
    </row>
    <row r="10252" spans="1:8" ht="15" x14ac:dyDescent="0.2">
      <c r="A10252" s="619">
        <v>44256</v>
      </c>
      <c r="B10252" s="41" t="s">
        <v>16</v>
      </c>
      <c r="C10252" s="41" t="s">
        <v>4882</v>
      </c>
      <c r="D10252" s="108" t="s">
        <v>6655</v>
      </c>
      <c r="E10252" s="42">
        <v>12000</v>
      </c>
      <c r="G10252" s="42">
        <f t="shared" si="165"/>
        <v>-12000</v>
      </c>
      <c r="H10252" s="121" t="s">
        <v>6649</v>
      </c>
    </row>
    <row r="10253" spans="1:8" ht="15" x14ac:dyDescent="0.2">
      <c r="A10253" s="619">
        <v>44256</v>
      </c>
      <c r="B10253" s="41" t="s">
        <v>3946</v>
      </c>
      <c r="C10253" s="41" t="s">
        <v>3145</v>
      </c>
      <c r="D10253" s="108" t="s">
        <v>6656</v>
      </c>
      <c r="E10253" s="42">
        <v>8260</v>
      </c>
      <c r="G10253" s="42">
        <f t="shared" si="165"/>
        <v>-8260</v>
      </c>
      <c r="H10253" s="121" t="s">
        <v>6649</v>
      </c>
    </row>
    <row r="10254" spans="1:8" ht="15" x14ac:dyDescent="0.2">
      <c r="A10254" s="619">
        <v>44256</v>
      </c>
      <c r="B10254" s="41" t="s">
        <v>6408</v>
      </c>
      <c r="C10254" s="41" t="s">
        <v>392</v>
      </c>
      <c r="D10254" s="108" t="s">
        <v>6657</v>
      </c>
      <c r="E10254" s="42">
        <v>3335</v>
      </c>
      <c r="G10254" s="42">
        <f t="shared" si="165"/>
        <v>-3335</v>
      </c>
      <c r="H10254" s="121" t="s">
        <v>6649</v>
      </c>
    </row>
    <row r="10255" spans="1:8" ht="15" x14ac:dyDescent="0.2">
      <c r="A10255" s="619">
        <v>44256</v>
      </c>
      <c r="B10255" s="41" t="s">
        <v>6518</v>
      </c>
      <c r="C10255" s="582" t="s">
        <v>2002</v>
      </c>
      <c r="D10255" s="893"/>
      <c r="E10255" s="583">
        <v>600</v>
      </c>
      <c r="G10255" s="42">
        <f t="shared" si="165"/>
        <v>-600</v>
      </c>
      <c r="H10255" s="121" t="s">
        <v>6649</v>
      </c>
    </row>
    <row r="10256" spans="1:8" ht="15" x14ac:dyDescent="0.2">
      <c r="A10256" s="619">
        <v>44256</v>
      </c>
      <c r="B10256" s="41" t="s">
        <v>3946</v>
      </c>
      <c r="C10256" s="582" t="s">
        <v>2002</v>
      </c>
      <c r="D10256" s="893"/>
      <c r="E10256" s="583">
        <v>800</v>
      </c>
      <c r="G10256" s="42">
        <f t="shared" si="165"/>
        <v>-800</v>
      </c>
      <c r="H10256" s="121" t="s">
        <v>6649</v>
      </c>
    </row>
    <row r="10257" spans="1:8" ht="15" x14ac:dyDescent="0.2">
      <c r="A10257" s="619">
        <v>44257</v>
      </c>
      <c r="B10257" s="41" t="s">
        <v>6447</v>
      </c>
      <c r="C10257" s="626" t="s">
        <v>6624</v>
      </c>
      <c r="D10257" s="894" t="s">
        <v>6658</v>
      </c>
      <c r="E10257" s="627">
        <v>18000</v>
      </c>
      <c r="G10257" s="42">
        <f t="shared" si="165"/>
        <v>-18000</v>
      </c>
      <c r="H10257" s="121" t="s">
        <v>6649</v>
      </c>
    </row>
    <row r="10258" spans="1:8" ht="15" x14ac:dyDescent="0.2">
      <c r="A10258" s="619">
        <v>44257</v>
      </c>
      <c r="B10258" s="41" t="s">
        <v>6647</v>
      </c>
      <c r="C10258" s="626" t="s">
        <v>6624</v>
      </c>
      <c r="D10258" s="894" t="s">
        <v>6658</v>
      </c>
      <c r="E10258" s="627">
        <v>12000</v>
      </c>
      <c r="G10258" s="42">
        <f t="shared" si="165"/>
        <v>-12000</v>
      </c>
      <c r="H10258" s="121" t="s">
        <v>6649</v>
      </c>
    </row>
    <row r="10259" spans="1:8" ht="15" x14ac:dyDescent="0.2">
      <c r="A10259" s="619">
        <v>44257</v>
      </c>
      <c r="B10259" s="41" t="s">
        <v>1400</v>
      </c>
      <c r="C10259" s="582" t="s">
        <v>3033</v>
      </c>
      <c r="D10259" s="893" t="s">
        <v>370</v>
      </c>
      <c r="E10259" s="583">
        <v>10000</v>
      </c>
      <c r="G10259" s="42">
        <f t="shared" si="165"/>
        <v>-10000</v>
      </c>
      <c r="H10259" s="121" t="s">
        <v>6649</v>
      </c>
    </row>
    <row r="10260" spans="1:8" ht="15" x14ac:dyDescent="0.2">
      <c r="A10260" s="619">
        <v>44257</v>
      </c>
      <c r="B10260" s="41" t="s">
        <v>6518</v>
      </c>
      <c r="C10260" s="582" t="s">
        <v>3033</v>
      </c>
      <c r="D10260" s="893" t="s">
        <v>370</v>
      </c>
      <c r="E10260" s="583">
        <v>12000</v>
      </c>
      <c r="G10260" s="42">
        <f t="shared" si="165"/>
        <v>-12000</v>
      </c>
      <c r="H10260" s="121" t="s">
        <v>6649</v>
      </c>
    </row>
    <row r="10261" spans="1:8" ht="15" x14ac:dyDescent="0.2">
      <c r="A10261" s="619">
        <v>44257</v>
      </c>
      <c r="B10261" s="41" t="s">
        <v>5811</v>
      </c>
      <c r="C10261" s="582" t="s">
        <v>3033</v>
      </c>
      <c r="D10261" s="893" t="s">
        <v>370</v>
      </c>
      <c r="E10261" s="583">
        <v>2000</v>
      </c>
      <c r="G10261" s="42">
        <f t="shared" si="165"/>
        <v>-2000</v>
      </c>
      <c r="H10261" s="121" t="s">
        <v>6649</v>
      </c>
    </row>
    <row r="10262" spans="1:8" ht="15" x14ac:dyDescent="0.2">
      <c r="A10262" s="619">
        <v>44257</v>
      </c>
      <c r="B10262" s="41" t="s">
        <v>6408</v>
      </c>
      <c r="C10262" s="626" t="s">
        <v>3145</v>
      </c>
      <c r="D10262" s="894" t="s">
        <v>6659</v>
      </c>
      <c r="E10262" s="627">
        <v>12000</v>
      </c>
      <c r="G10262" s="42">
        <f t="shared" si="165"/>
        <v>-12000</v>
      </c>
      <c r="H10262" s="121" t="s">
        <v>6649</v>
      </c>
    </row>
    <row r="10263" spans="1:8" ht="15" x14ac:dyDescent="0.2">
      <c r="A10263" s="619">
        <v>44257</v>
      </c>
      <c r="B10263" s="41" t="s">
        <v>6518</v>
      </c>
      <c r="C10263" s="626" t="s">
        <v>3145</v>
      </c>
      <c r="D10263" s="894" t="s">
        <v>6659</v>
      </c>
      <c r="E10263" s="627">
        <v>88507</v>
      </c>
      <c r="G10263" s="42">
        <f t="shared" si="165"/>
        <v>-88507</v>
      </c>
      <c r="H10263" s="121" t="s">
        <v>6649</v>
      </c>
    </row>
    <row r="10264" spans="1:8" ht="15" x14ac:dyDescent="0.2">
      <c r="A10264" s="619">
        <v>44257</v>
      </c>
      <c r="B10264" s="41" t="s">
        <v>2933</v>
      </c>
      <c r="C10264" s="41" t="s">
        <v>6141</v>
      </c>
      <c r="D10264" s="108" t="s">
        <v>370</v>
      </c>
      <c r="E10264" s="42">
        <v>5000</v>
      </c>
      <c r="G10264" s="42">
        <f t="shared" si="165"/>
        <v>-5000</v>
      </c>
      <c r="H10264" s="121" t="s">
        <v>6649</v>
      </c>
    </row>
    <row r="10265" spans="1:8" ht="15" x14ac:dyDescent="0.2">
      <c r="A10265" s="619">
        <v>44257</v>
      </c>
      <c r="B10265" s="222" t="s">
        <v>6518</v>
      </c>
      <c r="C10265" s="41" t="s">
        <v>392</v>
      </c>
      <c r="D10265" s="108" t="s">
        <v>6664</v>
      </c>
      <c r="E10265" s="42">
        <v>1500</v>
      </c>
      <c r="G10265" s="42">
        <f t="shared" si="165"/>
        <v>-1500</v>
      </c>
      <c r="H10265" s="121" t="s">
        <v>6649</v>
      </c>
    </row>
    <row r="10266" spans="1:8" ht="15" x14ac:dyDescent="0.2">
      <c r="A10266" s="619">
        <v>44258</v>
      </c>
      <c r="B10266" s="222" t="s">
        <v>6518</v>
      </c>
      <c r="C10266" s="41" t="s">
        <v>286</v>
      </c>
      <c r="E10266" s="42">
        <v>200</v>
      </c>
      <c r="G10266" s="42">
        <f t="shared" si="165"/>
        <v>-200</v>
      </c>
      <c r="H10266" s="121" t="s">
        <v>6649</v>
      </c>
    </row>
    <row r="10267" spans="1:8" ht="15" x14ac:dyDescent="0.2">
      <c r="A10267" s="619">
        <v>44258</v>
      </c>
      <c r="B10267" s="222" t="s">
        <v>6408</v>
      </c>
      <c r="C10267" s="41" t="s">
        <v>251</v>
      </c>
      <c r="D10267" s="108" t="s">
        <v>6681</v>
      </c>
      <c r="E10267" s="42">
        <v>5000</v>
      </c>
      <c r="G10267" s="42">
        <f t="shared" si="165"/>
        <v>-5000</v>
      </c>
      <c r="H10267" s="121" t="s">
        <v>6649</v>
      </c>
    </row>
    <row r="10268" spans="1:8" ht="15" x14ac:dyDescent="0.2">
      <c r="A10268" s="619">
        <v>44258</v>
      </c>
      <c r="B10268" s="222" t="s">
        <v>6518</v>
      </c>
      <c r="C10268" s="41" t="s">
        <v>392</v>
      </c>
      <c r="D10268" s="108" t="s">
        <v>5257</v>
      </c>
      <c r="E10268" s="42">
        <v>3000</v>
      </c>
      <c r="G10268" s="42">
        <f t="shared" si="165"/>
        <v>-3000</v>
      </c>
      <c r="H10268" s="121" t="s">
        <v>6649</v>
      </c>
    </row>
    <row r="10269" spans="1:8" ht="15" x14ac:dyDescent="0.2">
      <c r="A10269" s="619">
        <v>44258</v>
      </c>
      <c r="B10269" s="222" t="s">
        <v>3946</v>
      </c>
      <c r="C10269" s="41" t="s">
        <v>392</v>
      </c>
      <c r="D10269" s="108" t="s">
        <v>6263</v>
      </c>
      <c r="E10269" s="42">
        <v>620</v>
      </c>
      <c r="G10269" s="42">
        <f t="shared" si="165"/>
        <v>-620</v>
      </c>
      <c r="H10269" s="121" t="s">
        <v>6649</v>
      </c>
    </row>
    <row r="10270" spans="1:8" ht="15" x14ac:dyDescent="0.2">
      <c r="A10270" s="619">
        <v>44258</v>
      </c>
      <c r="B10270" s="222" t="s">
        <v>6518</v>
      </c>
      <c r="C10270" s="41" t="s">
        <v>3145</v>
      </c>
      <c r="D10270" s="108" t="s">
        <v>6682</v>
      </c>
      <c r="E10270" s="42">
        <v>2690</v>
      </c>
      <c r="G10270" s="42">
        <f t="shared" si="165"/>
        <v>-2690</v>
      </c>
      <c r="H10270" s="121" t="s">
        <v>6649</v>
      </c>
    </row>
    <row r="10271" spans="1:8" ht="15" x14ac:dyDescent="0.2">
      <c r="A10271" s="619">
        <v>44258</v>
      </c>
      <c r="B10271" s="222" t="s">
        <v>2933</v>
      </c>
      <c r="C10271" s="41" t="s">
        <v>3145</v>
      </c>
      <c r="D10271" s="108" t="s">
        <v>6683</v>
      </c>
      <c r="E10271" s="42">
        <v>9610</v>
      </c>
      <c r="G10271" s="42">
        <f t="shared" si="165"/>
        <v>-9610</v>
      </c>
      <c r="H10271" s="121" t="s">
        <v>6649</v>
      </c>
    </row>
    <row r="10272" spans="1:8" ht="15" x14ac:dyDescent="0.2">
      <c r="A10272" s="619">
        <v>44258</v>
      </c>
      <c r="B10272" s="222" t="s">
        <v>25</v>
      </c>
      <c r="C10272" s="41" t="s">
        <v>1005</v>
      </c>
      <c r="E10272" s="42">
        <v>670</v>
      </c>
      <c r="G10272" s="42">
        <f t="shared" si="165"/>
        <v>-670</v>
      </c>
      <c r="H10272" s="121" t="s">
        <v>6649</v>
      </c>
    </row>
    <row r="10273" spans="1:8" ht="15" x14ac:dyDescent="0.2">
      <c r="A10273" s="619">
        <v>44258</v>
      </c>
      <c r="B10273" s="222" t="s">
        <v>6447</v>
      </c>
      <c r="C10273" s="41" t="s">
        <v>2002</v>
      </c>
      <c r="E10273" s="42">
        <v>750</v>
      </c>
      <c r="G10273" s="42">
        <f t="shared" si="165"/>
        <v>-750</v>
      </c>
      <c r="H10273" s="121" t="s">
        <v>6649</v>
      </c>
    </row>
    <row r="10274" spans="1:8" ht="15" x14ac:dyDescent="0.2">
      <c r="A10274" s="619">
        <v>44258</v>
      </c>
      <c r="B10274" s="222" t="s">
        <v>6518</v>
      </c>
      <c r="C10274" s="41" t="s">
        <v>2002</v>
      </c>
      <c r="E10274" s="42">
        <v>750</v>
      </c>
      <c r="G10274" s="42">
        <f t="shared" si="165"/>
        <v>-750</v>
      </c>
      <c r="H10274" s="121" t="s">
        <v>6649</v>
      </c>
    </row>
    <row r="10275" spans="1:8" ht="15" x14ac:dyDescent="0.2">
      <c r="A10275" s="619">
        <v>44258</v>
      </c>
      <c r="B10275" s="222" t="s">
        <v>1400</v>
      </c>
      <c r="C10275" s="41" t="s">
        <v>392</v>
      </c>
      <c r="D10275" s="108" t="s">
        <v>6684</v>
      </c>
      <c r="E10275" s="42">
        <v>5000</v>
      </c>
      <c r="G10275" s="42">
        <f t="shared" si="165"/>
        <v>-5000</v>
      </c>
      <c r="H10275" s="121" t="s">
        <v>6649</v>
      </c>
    </row>
    <row r="10276" spans="1:8" ht="15" x14ac:dyDescent="0.2">
      <c r="A10276" s="619">
        <v>44258</v>
      </c>
      <c r="B10276" s="222" t="s">
        <v>5811</v>
      </c>
      <c r="C10276" s="41" t="s">
        <v>3145</v>
      </c>
      <c r="D10276" s="108" t="s">
        <v>6685</v>
      </c>
      <c r="E10276" s="42">
        <v>27500</v>
      </c>
      <c r="G10276" s="42">
        <f t="shared" si="165"/>
        <v>-27500</v>
      </c>
      <c r="H10276" s="121" t="s">
        <v>6649</v>
      </c>
    </row>
    <row r="10277" spans="1:8" ht="15" x14ac:dyDescent="0.2">
      <c r="A10277" s="619">
        <v>44258</v>
      </c>
      <c r="B10277" s="222" t="s">
        <v>4553</v>
      </c>
      <c r="C10277" s="41" t="s">
        <v>3145</v>
      </c>
      <c r="D10277" s="108" t="s">
        <v>6686</v>
      </c>
      <c r="E10277" s="42">
        <v>132870</v>
      </c>
      <c r="G10277" s="42">
        <f t="shared" si="165"/>
        <v>-132870</v>
      </c>
      <c r="H10277" s="121" t="s">
        <v>6649</v>
      </c>
    </row>
    <row r="10278" spans="1:8" ht="15" x14ac:dyDescent="0.2">
      <c r="A10278" s="619">
        <v>44258</v>
      </c>
      <c r="B10278" s="222" t="s">
        <v>6518</v>
      </c>
      <c r="C10278" s="41" t="s">
        <v>3145</v>
      </c>
      <c r="D10278" s="108" t="s">
        <v>6687</v>
      </c>
      <c r="E10278" s="42">
        <v>3400</v>
      </c>
      <c r="G10278" s="42">
        <f t="shared" si="165"/>
        <v>-3400</v>
      </c>
      <c r="H10278" s="121" t="s">
        <v>6649</v>
      </c>
    </row>
    <row r="10279" spans="1:8" ht="15" customHeight="1" x14ac:dyDescent="0.2">
      <c r="A10279" s="619">
        <v>44258</v>
      </c>
      <c r="B10279" s="222" t="s">
        <v>1400</v>
      </c>
      <c r="C10279" s="41" t="s">
        <v>286</v>
      </c>
      <c r="E10279" s="42">
        <v>1000</v>
      </c>
      <c r="G10279" s="42">
        <f t="shared" si="165"/>
        <v>-1000</v>
      </c>
      <c r="H10279" s="121" t="s">
        <v>6649</v>
      </c>
    </row>
    <row r="10280" spans="1:8" ht="15" customHeight="1" x14ac:dyDescent="0.2">
      <c r="A10280" s="619">
        <v>44258</v>
      </c>
      <c r="B10280" s="222" t="s">
        <v>16</v>
      </c>
      <c r="C10280" s="41" t="s">
        <v>1495</v>
      </c>
      <c r="E10280" s="42">
        <v>1200</v>
      </c>
      <c r="G10280" s="42">
        <f t="shared" si="165"/>
        <v>-1200</v>
      </c>
      <c r="H10280" s="121" t="s">
        <v>6649</v>
      </c>
    </row>
    <row r="10281" spans="1:8" ht="15" x14ac:dyDescent="0.2">
      <c r="A10281" s="619">
        <v>44259</v>
      </c>
      <c r="B10281" s="222" t="s">
        <v>6518</v>
      </c>
      <c r="C10281" s="41" t="s">
        <v>286</v>
      </c>
      <c r="D10281" s="108" t="s">
        <v>3787</v>
      </c>
      <c r="E10281" s="42">
        <v>2000</v>
      </c>
      <c r="G10281" s="42">
        <f t="shared" ref="G10281:G10344" si="166">F10281-E10281</f>
        <v>-2000</v>
      </c>
      <c r="H10281" s="121" t="s">
        <v>6649</v>
      </c>
    </row>
    <row r="10282" spans="1:8" ht="15" x14ac:dyDescent="0.2">
      <c r="A10282" s="619">
        <v>44259</v>
      </c>
      <c r="B10282" s="222" t="s">
        <v>6518</v>
      </c>
      <c r="C10282" s="41" t="s">
        <v>3145</v>
      </c>
      <c r="D10282" s="108" t="s">
        <v>6688</v>
      </c>
      <c r="E10282" s="42">
        <v>6460</v>
      </c>
      <c r="G10282" s="42">
        <f t="shared" si="166"/>
        <v>-6460</v>
      </c>
      <c r="H10282" s="121" t="s">
        <v>6649</v>
      </c>
    </row>
    <row r="10283" spans="1:8" ht="15" x14ac:dyDescent="0.2">
      <c r="A10283" s="619">
        <v>44260</v>
      </c>
      <c r="B10283" s="222" t="s">
        <v>6408</v>
      </c>
      <c r="C10283" s="41" t="s">
        <v>3145</v>
      </c>
      <c r="D10283" s="108" t="s">
        <v>6688</v>
      </c>
      <c r="E10283" s="42">
        <v>1150</v>
      </c>
      <c r="G10283" s="42">
        <f t="shared" si="166"/>
        <v>-1150</v>
      </c>
      <c r="H10283" s="121" t="s">
        <v>6649</v>
      </c>
    </row>
    <row r="10284" spans="1:8" ht="15" x14ac:dyDescent="0.2">
      <c r="A10284" s="619">
        <v>44260</v>
      </c>
      <c r="B10284" s="222" t="s">
        <v>3946</v>
      </c>
      <c r="C10284" s="41" t="s">
        <v>3145</v>
      </c>
      <c r="D10284" s="108" t="s">
        <v>6689</v>
      </c>
      <c r="E10284" s="42">
        <v>67500</v>
      </c>
      <c r="G10284" s="42">
        <f t="shared" si="166"/>
        <v>-67500</v>
      </c>
      <c r="H10284" s="121" t="s">
        <v>6649</v>
      </c>
    </row>
    <row r="10285" spans="1:8" ht="15" x14ac:dyDescent="0.2">
      <c r="A10285" s="619">
        <v>44260</v>
      </c>
      <c r="B10285" s="222" t="s">
        <v>6635</v>
      </c>
      <c r="C10285" s="41" t="s">
        <v>2190</v>
      </c>
      <c r="E10285" s="42">
        <v>350</v>
      </c>
      <c r="G10285" s="42">
        <f t="shared" si="166"/>
        <v>-350</v>
      </c>
      <c r="H10285" s="121" t="s">
        <v>6649</v>
      </c>
    </row>
    <row r="10286" spans="1:8" ht="15" x14ac:dyDescent="0.2">
      <c r="A10286" s="619">
        <v>44261</v>
      </c>
      <c r="B10286" s="222" t="s">
        <v>2933</v>
      </c>
      <c r="C10286" s="41" t="s">
        <v>6141</v>
      </c>
      <c r="D10286" s="108" t="s">
        <v>6590</v>
      </c>
      <c r="E10286" s="42">
        <v>29600</v>
      </c>
      <c r="G10286" s="42">
        <f t="shared" si="166"/>
        <v>-29600</v>
      </c>
      <c r="H10286" s="121" t="s">
        <v>6649</v>
      </c>
    </row>
    <row r="10287" spans="1:8" ht="15" x14ac:dyDescent="0.2">
      <c r="A10287" s="619">
        <v>44261</v>
      </c>
      <c r="B10287" s="222" t="s">
        <v>1400</v>
      </c>
      <c r="C10287" s="41" t="s">
        <v>2503</v>
      </c>
      <c r="D10287" s="108" t="s">
        <v>6690</v>
      </c>
      <c r="E10287" s="42">
        <v>4000</v>
      </c>
      <c r="G10287" s="42">
        <f t="shared" si="166"/>
        <v>-4000</v>
      </c>
      <c r="H10287" s="121" t="s">
        <v>6649</v>
      </c>
    </row>
    <row r="10288" spans="1:8" ht="15" x14ac:dyDescent="0.2">
      <c r="A10288" s="619">
        <v>44261</v>
      </c>
      <c r="B10288" s="222" t="s">
        <v>6408</v>
      </c>
      <c r="C10288" s="582" t="s">
        <v>3145</v>
      </c>
      <c r="D10288" s="893" t="s">
        <v>6694</v>
      </c>
      <c r="E10288" s="583">
        <v>2200</v>
      </c>
      <c r="G10288" s="42">
        <f t="shared" si="166"/>
        <v>-2200</v>
      </c>
      <c r="H10288" s="121" t="s">
        <v>6649</v>
      </c>
    </row>
    <row r="10289" spans="1:8" ht="15" x14ac:dyDescent="0.2">
      <c r="A10289" s="619">
        <v>44261</v>
      </c>
      <c r="B10289" s="222" t="s">
        <v>6511</v>
      </c>
      <c r="C10289" s="582" t="s">
        <v>3145</v>
      </c>
      <c r="D10289" s="893" t="s">
        <v>6694</v>
      </c>
      <c r="E10289" s="583">
        <v>600</v>
      </c>
      <c r="G10289" s="42">
        <f t="shared" si="166"/>
        <v>-600</v>
      </c>
      <c r="H10289" s="121" t="s">
        <v>6649</v>
      </c>
    </row>
    <row r="10290" spans="1:8" ht="15" x14ac:dyDescent="0.2">
      <c r="A10290" s="619">
        <v>44261</v>
      </c>
      <c r="B10290" s="222" t="s">
        <v>6518</v>
      </c>
      <c r="C10290" s="582" t="s">
        <v>3145</v>
      </c>
      <c r="D10290" s="893" t="s">
        <v>6694</v>
      </c>
      <c r="E10290" s="583">
        <v>3100</v>
      </c>
      <c r="G10290" s="42">
        <f t="shared" si="166"/>
        <v>-3100</v>
      </c>
      <c r="H10290" s="121" t="s">
        <v>6649</v>
      </c>
    </row>
    <row r="10291" spans="1:8" ht="15" x14ac:dyDescent="0.2">
      <c r="A10291" s="619">
        <v>44261</v>
      </c>
      <c r="B10291" s="222" t="s">
        <v>3946</v>
      </c>
      <c r="C10291" s="582" t="s">
        <v>3145</v>
      </c>
      <c r="D10291" s="893" t="s">
        <v>6694</v>
      </c>
      <c r="E10291" s="583">
        <v>4520</v>
      </c>
      <c r="G10291" s="42">
        <f t="shared" si="166"/>
        <v>-4520</v>
      </c>
      <c r="H10291" s="121" t="s">
        <v>6649</v>
      </c>
    </row>
    <row r="10292" spans="1:8" ht="15" x14ac:dyDescent="0.2">
      <c r="A10292" s="619">
        <v>44261</v>
      </c>
      <c r="B10292" s="222" t="s">
        <v>6647</v>
      </c>
      <c r="C10292" s="582" t="s">
        <v>3145</v>
      </c>
      <c r="D10292" s="893" t="s">
        <v>6694</v>
      </c>
      <c r="E10292" s="583">
        <v>500</v>
      </c>
      <c r="G10292" s="42">
        <f t="shared" si="166"/>
        <v>-500</v>
      </c>
      <c r="H10292" s="121" t="s">
        <v>6649</v>
      </c>
    </row>
    <row r="10293" spans="1:8" ht="15" x14ac:dyDescent="0.2">
      <c r="A10293" s="619">
        <v>44263</v>
      </c>
      <c r="B10293" s="222" t="s">
        <v>2933</v>
      </c>
      <c r="C10293" s="41" t="s">
        <v>3145</v>
      </c>
      <c r="D10293" s="108" t="s">
        <v>6695</v>
      </c>
      <c r="E10293" s="42">
        <v>9430</v>
      </c>
      <c r="G10293" s="42">
        <f t="shared" si="166"/>
        <v>-9430</v>
      </c>
      <c r="H10293" s="121" t="s">
        <v>6649</v>
      </c>
    </row>
    <row r="10294" spans="1:8" ht="15" x14ac:dyDescent="0.2">
      <c r="A10294" s="619">
        <v>44263</v>
      </c>
      <c r="B10294" s="222" t="s">
        <v>3946</v>
      </c>
      <c r="C10294" s="582" t="s">
        <v>3003</v>
      </c>
      <c r="D10294" s="893" t="s">
        <v>370</v>
      </c>
      <c r="E10294" s="583">
        <v>10500</v>
      </c>
      <c r="G10294" s="42">
        <f t="shared" si="166"/>
        <v>-10500</v>
      </c>
      <c r="H10294" s="121" t="s">
        <v>6649</v>
      </c>
    </row>
    <row r="10295" spans="1:8" ht="15" x14ac:dyDescent="0.2">
      <c r="A10295" s="619">
        <v>44263</v>
      </c>
      <c r="B10295" s="222" t="s">
        <v>37</v>
      </c>
      <c r="C10295" s="582" t="s">
        <v>3003</v>
      </c>
      <c r="D10295" s="893" t="s">
        <v>370</v>
      </c>
      <c r="E10295" s="583">
        <v>12960</v>
      </c>
      <c r="G10295" s="42">
        <f t="shared" si="166"/>
        <v>-12960</v>
      </c>
      <c r="H10295" s="121" t="s">
        <v>6649</v>
      </c>
    </row>
    <row r="10296" spans="1:8" ht="15" x14ac:dyDescent="0.2">
      <c r="A10296" s="619">
        <v>44263</v>
      </c>
      <c r="B10296" s="222" t="s">
        <v>3945</v>
      </c>
      <c r="C10296" s="582" t="s">
        <v>3003</v>
      </c>
      <c r="D10296" s="893" t="s">
        <v>370</v>
      </c>
      <c r="E10296" s="583">
        <v>5200</v>
      </c>
      <c r="G10296" s="42">
        <f t="shared" si="166"/>
        <v>-5200</v>
      </c>
      <c r="H10296" s="121" t="s">
        <v>6649</v>
      </c>
    </row>
    <row r="10297" spans="1:8" ht="15" x14ac:dyDescent="0.2">
      <c r="A10297" s="619">
        <v>44263</v>
      </c>
      <c r="B10297" s="222" t="s">
        <v>6508</v>
      </c>
      <c r="C10297" s="41" t="s">
        <v>6605</v>
      </c>
      <c r="D10297" s="108" t="s">
        <v>1157</v>
      </c>
      <c r="E10297" s="42">
        <v>35000</v>
      </c>
      <c r="G10297" s="42">
        <f t="shared" si="166"/>
        <v>-35000</v>
      </c>
      <c r="H10297" s="121" t="s">
        <v>6649</v>
      </c>
    </row>
    <row r="10298" spans="1:8" ht="15" x14ac:dyDescent="0.2">
      <c r="A10298" s="619">
        <v>44263</v>
      </c>
      <c r="B10298" s="222" t="s">
        <v>6511</v>
      </c>
      <c r="C10298" s="41" t="s">
        <v>2503</v>
      </c>
      <c r="D10298" s="108" t="s">
        <v>6696</v>
      </c>
      <c r="E10298" s="42">
        <v>8820</v>
      </c>
      <c r="G10298" s="42">
        <f t="shared" si="166"/>
        <v>-8820</v>
      </c>
      <c r="H10298" s="121" t="s">
        <v>6649</v>
      </c>
    </row>
    <row r="10299" spans="1:8" ht="15" x14ac:dyDescent="0.2">
      <c r="A10299" s="619">
        <v>44264</v>
      </c>
      <c r="B10299" s="222" t="s">
        <v>2652</v>
      </c>
      <c r="C10299" s="41" t="s">
        <v>5681</v>
      </c>
      <c r="D10299" s="228" t="s">
        <v>6697</v>
      </c>
      <c r="E10299" s="42">
        <v>5800</v>
      </c>
      <c r="G10299" s="42">
        <f t="shared" si="166"/>
        <v>-5800</v>
      </c>
      <c r="H10299" s="121" t="s">
        <v>6649</v>
      </c>
    </row>
    <row r="10300" spans="1:8" ht="15" x14ac:dyDescent="0.2">
      <c r="A10300" s="619">
        <v>44264</v>
      </c>
      <c r="B10300" s="222" t="s">
        <v>2933</v>
      </c>
      <c r="C10300" s="41" t="s">
        <v>5681</v>
      </c>
      <c r="D10300" s="228" t="s">
        <v>6697</v>
      </c>
      <c r="E10300" s="42">
        <v>25500</v>
      </c>
      <c r="G10300" s="42">
        <f t="shared" si="166"/>
        <v>-25500</v>
      </c>
      <c r="H10300" s="121" t="s">
        <v>6649</v>
      </c>
    </row>
    <row r="10301" spans="1:8" ht="15" x14ac:dyDescent="0.2">
      <c r="A10301" s="619">
        <v>44264</v>
      </c>
      <c r="B10301" s="222" t="s">
        <v>1400</v>
      </c>
      <c r="C10301" s="41" t="s">
        <v>5681</v>
      </c>
      <c r="D10301" s="228" t="s">
        <v>6697</v>
      </c>
      <c r="E10301" s="42">
        <v>102200</v>
      </c>
      <c r="G10301" s="42">
        <f t="shared" si="166"/>
        <v>-102200</v>
      </c>
      <c r="H10301" s="121" t="s">
        <v>6649</v>
      </c>
    </row>
    <row r="10302" spans="1:8" ht="15" x14ac:dyDescent="0.2">
      <c r="A10302" s="619">
        <v>44264</v>
      </c>
      <c r="B10302" s="222" t="s">
        <v>16</v>
      </c>
      <c r="C10302" s="41" t="s">
        <v>2334</v>
      </c>
      <c r="D10302" s="108" t="s">
        <v>370</v>
      </c>
      <c r="E10302" s="42">
        <v>5000</v>
      </c>
      <c r="G10302" s="42">
        <f t="shared" si="166"/>
        <v>-5000</v>
      </c>
      <c r="H10302" s="121" t="s">
        <v>6649</v>
      </c>
    </row>
    <row r="10303" spans="1:8" ht="15" x14ac:dyDescent="0.2">
      <c r="A10303" s="619">
        <v>44264</v>
      </c>
      <c r="B10303" s="222" t="s">
        <v>37</v>
      </c>
      <c r="C10303" s="41" t="s">
        <v>392</v>
      </c>
      <c r="D10303" s="108" t="s">
        <v>6698</v>
      </c>
      <c r="E10303" s="42">
        <v>2000</v>
      </c>
      <c r="G10303" s="42">
        <f t="shared" si="166"/>
        <v>-2000</v>
      </c>
      <c r="H10303" s="121" t="s">
        <v>6649</v>
      </c>
    </row>
    <row r="10304" spans="1:8" ht="15" x14ac:dyDescent="0.2">
      <c r="A10304" s="619">
        <v>44264</v>
      </c>
      <c r="B10304" s="222" t="s">
        <v>6511</v>
      </c>
      <c r="C10304" s="41" t="s">
        <v>3145</v>
      </c>
      <c r="D10304" s="108" t="s">
        <v>6699</v>
      </c>
      <c r="E10304" s="42">
        <v>3790</v>
      </c>
      <c r="G10304" s="42">
        <f t="shared" si="166"/>
        <v>-3790</v>
      </c>
      <c r="H10304" s="121" t="s">
        <v>6649</v>
      </c>
    </row>
    <row r="10305" spans="1:8" ht="15" x14ac:dyDescent="0.2">
      <c r="A10305" s="619">
        <v>44264</v>
      </c>
      <c r="B10305" s="222" t="s">
        <v>3946</v>
      </c>
      <c r="C10305" s="41" t="s">
        <v>3145</v>
      </c>
      <c r="D10305" s="108" t="s">
        <v>6700</v>
      </c>
      <c r="E10305" s="42">
        <v>22610</v>
      </c>
      <c r="G10305" s="42">
        <f t="shared" si="166"/>
        <v>-22610</v>
      </c>
      <c r="H10305" s="121" t="s">
        <v>6649</v>
      </c>
    </row>
    <row r="10306" spans="1:8" ht="15" x14ac:dyDescent="0.2">
      <c r="A10306" s="619">
        <v>44264</v>
      </c>
      <c r="B10306" s="222" t="s">
        <v>1400</v>
      </c>
      <c r="C10306" s="41" t="s">
        <v>392</v>
      </c>
      <c r="D10306" s="108" t="s">
        <v>6701</v>
      </c>
      <c r="E10306" s="42">
        <v>1760</v>
      </c>
      <c r="G10306" s="42">
        <f t="shared" si="166"/>
        <v>-1760</v>
      </c>
      <c r="H10306" s="121" t="s">
        <v>6649</v>
      </c>
    </row>
    <row r="10307" spans="1:8" ht="15" x14ac:dyDescent="0.2">
      <c r="A10307" s="619">
        <v>44264</v>
      </c>
      <c r="B10307" s="222" t="s">
        <v>6518</v>
      </c>
      <c r="C10307" s="41" t="s">
        <v>2190</v>
      </c>
      <c r="E10307" s="42">
        <v>870</v>
      </c>
      <c r="G10307" s="42">
        <f t="shared" si="166"/>
        <v>-870</v>
      </c>
      <c r="H10307" s="121" t="s">
        <v>6649</v>
      </c>
    </row>
    <row r="10308" spans="1:8" ht="15" x14ac:dyDescent="0.2">
      <c r="A10308" s="619">
        <v>44265</v>
      </c>
      <c r="B10308" s="222" t="s">
        <v>4553</v>
      </c>
      <c r="C10308" s="41" t="s">
        <v>3145</v>
      </c>
      <c r="D10308" s="108" t="s">
        <v>6702</v>
      </c>
      <c r="E10308" s="42">
        <v>4450</v>
      </c>
      <c r="G10308" s="42">
        <f t="shared" si="166"/>
        <v>-4450</v>
      </c>
      <c r="H10308" s="121" t="s">
        <v>6649</v>
      </c>
    </row>
    <row r="10309" spans="1:8" ht="15" x14ac:dyDescent="0.2">
      <c r="A10309" s="619">
        <v>44265</v>
      </c>
      <c r="B10309" s="222" t="s">
        <v>25</v>
      </c>
      <c r="C10309" s="41" t="s">
        <v>4065</v>
      </c>
      <c r="D10309" s="108" t="s">
        <v>1756</v>
      </c>
      <c r="E10309" s="42">
        <v>600</v>
      </c>
      <c r="G10309" s="42">
        <f t="shared" si="166"/>
        <v>-600</v>
      </c>
      <c r="H10309" s="121" t="s">
        <v>6649</v>
      </c>
    </row>
    <row r="10310" spans="1:8" ht="15" x14ac:dyDescent="0.2">
      <c r="A10310" s="619">
        <v>44265</v>
      </c>
      <c r="B10310" s="222" t="s">
        <v>82</v>
      </c>
      <c r="C10310" s="41" t="s">
        <v>3145</v>
      </c>
      <c r="D10310" s="108" t="s">
        <v>6723</v>
      </c>
      <c r="E10310" s="42">
        <v>68800</v>
      </c>
      <c r="G10310" s="42">
        <f t="shared" si="166"/>
        <v>-68800</v>
      </c>
      <c r="H10310" s="121" t="s">
        <v>6649</v>
      </c>
    </row>
    <row r="10311" spans="1:8" ht="15" x14ac:dyDescent="0.2">
      <c r="A10311" s="619">
        <v>44265</v>
      </c>
      <c r="B10311" s="222" t="s">
        <v>82</v>
      </c>
      <c r="C10311" s="41" t="s">
        <v>2238</v>
      </c>
      <c r="D10311" s="108" t="s">
        <v>6724</v>
      </c>
      <c r="E10311" s="42">
        <v>25000</v>
      </c>
      <c r="G10311" s="42">
        <f t="shared" si="166"/>
        <v>-25000</v>
      </c>
      <c r="H10311" s="121" t="s">
        <v>6649</v>
      </c>
    </row>
    <row r="10312" spans="1:8" ht="15" x14ac:dyDescent="0.2">
      <c r="A10312" s="619">
        <v>44265</v>
      </c>
      <c r="B10312" s="222" t="s">
        <v>82</v>
      </c>
      <c r="C10312" s="41" t="s">
        <v>6725</v>
      </c>
      <c r="D10312" s="108" t="s">
        <v>6826</v>
      </c>
      <c r="E10312" s="42">
        <v>70000</v>
      </c>
      <c r="G10312" s="42">
        <f t="shared" si="166"/>
        <v>-70000</v>
      </c>
      <c r="H10312" s="121" t="s">
        <v>6649</v>
      </c>
    </row>
    <row r="10313" spans="1:8" ht="15" x14ac:dyDescent="0.2">
      <c r="A10313" s="619">
        <v>44265</v>
      </c>
      <c r="B10313" s="222" t="s">
        <v>25</v>
      </c>
      <c r="C10313" s="41" t="s">
        <v>4065</v>
      </c>
      <c r="D10313" s="108" t="s">
        <v>6726</v>
      </c>
      <c r="E10313" s="42">
        <v>7000</v>
      </c>
      <c r="G10313" s="42">
        <f t="shared" si="166"/>
        <v>-7000</v>
      </c>
      <c r="H10313" s="121" t="s">
        <v>6649</v>
      </c>
    </row>
    <row r="10314" spans="1:8" ht="24" x14ac:dyDescent="0.2">
      <c r="A10314" s="619">
        <v>44266</v>
      </c>
      <c r="B10314" s="222" t="s">
        <v>82</v>
      </c>
      <c r="C10314" s="41" t="s">
        <v>3145</v>
      </c>
      <c r="D10314" s="129" t="s">
        <v>6727</v>
      </c>
      <c r="E10314" s="42">
        <v>86410</v>
      </c>
      <c r="G10314" s="42">
        <f t="shared" si="166"/>
        <v>-86410</v>
      </c>
      <c r="H10314" s="121" t="s">
        <v>6649</v>
      </c>
    </row>
    <row r="10315" spans="1:8" ht="15" x14ac:dyDescent="0.2">
      <c r="A10315" s="619">
        <v>44266</v>
      </c>
      <c r="B10315" s="222" t="s">
        <v>16</v>
      </c>
      <c r="C10315" s="41" t="s">
        <v>1495</v>
      </c>
      <c r="E10315" s="42">
        <v>3000</v>
      </c>
      <c r="G10315" s="42">
        <f t="shared" si="166"/>
        <v>-3000</v>
      </c>
      <c r="H10315" s="121" t="s">
        <v>6649</v>
      </c>
    </row>
    <row r="10316" spans="1:8" ht="15" x14ac:dyDescent="0.2">
      <c r="A10316" s="619">
        <v>44266</v>
      </c>
      <c r="B10316" s="222" t="s">
        <v>3946</v>
      </c>
      <c r="C10316" s="41" t="s">
        <v>3145</v>
      </c>
      <c r="D10316" s="108" t="s">
        <v>6728</v>
      </c>
      <c r="E10316" s="42">
        <v>35000</v>
      </c>
      <c r="G10316" s="42">
        <f t="shared" si="166"/>
        <v>-35000</v>
      </c>
      <c r="H10316" s="121" t="s">
        <v>6649</v>
      </c>
    </row>
    <row r="10317" spans="1:8" ht="15" x14ac:dyDescent="0.2">
      <c r="A10317" s="619">
        <v>44266</v>
      </c>
      <c r="B10317" s="222" t="s">
        <v>6518</v>
      </c>
      <c r="C10317" s="41" t="s">
        <v>3145</v>
      </c>
      <c r="D10317" s="108" t="s">
        <v>4291</v>
      </c>
      <c r="E10317" s="42">
        <v>4820</v>
      </c>
      <c r="G10317" s="42">
        <f t="shared" si="166"/>
        <v>-4820</v>
      </c>
      <c r="H10317" s="121" t="s">
        <v>6649</v>
      </c>
    </row>
    <row r="10318" spans="1:8" ht="15" x14ac:dyDescent="0.2">
      <c r="A10318" s="619">
        <v>44266</v>
      </c>
      <c r="B10318" s="222" t="s">
        <v>1400</v>
      </c>
      <c r="C10318" s="582" t="s">
        <v>3145</v>
      </c>
      <c r="D10318" s="893" t="s">
        <v>6729</v>
      </c>
      <c r="E10318" s="583">
        <v>3300</v>
      </c>
      <c r="G10318" s="42">
        <f t="shared" si="166"/>
        <v>-3300</v>
      </c>
      <c r="H10318" s="121" t="s">
        <v>6649</v>
      </c>
    </row>
    <row r="10319" spans="1:8" ht="15" x14ac:dyDescent="0.2">
      <c r="A10319" s="619">
        <v>44266</v>
      </c>
      <c r="B10319" s="222" t="s">
        <v>6518</v>
      </c>
      <c r="C10319" s="582" t="s">
        <v>3145</v>
      </c>
      <c r="D10319" s="893" t="s">
        <v>6730</v>
      </c>
      <c r="E10319" s="583">
        <v>41019</v>
      </c>
      <c r="G10319" s="42">
        <f t="shared" si="166"/>
        <v>-41019</v>
      </c>
      <c r="H10319" s="121" t="s">
        <v>6649</v>
      </c>
    </row>
    <row r="10320" spans="1:8" ht="15" x14ac:dyDescent="0.2">
      <c r="A10320" s="619">
        <v>44266</v>
      </c>
      <c r="B10320" s="222" t="s">
        <v>6518</v>
      </c>
      <c r="C10320" s="41" t="s">
        <v>3446</v>
      </c>
      <c r="D10320" s="108" t="s">
        <v>1157</v>
      </c>
      <c r="E10320" s="42">
        <v>25000</v>
      </c>
      <c r="G10320" s="42">
        <f t="shared" si="166"/>
        <v>-25000</v>
      </c>
      <c r="H10320" s="121" t="s">
        <v>6649</v>
      </c>
    </row>
    <row r="10321" spans="1:8" ht="15" x14ac:dyDescent="0.2">
      <c r="A10321" s="619">
        <v>44266</v>
      </c>
      <c r="B10321" s="222" t="s">
        <v>6518</v>
      </c>
      <c r="C10321" s="41" t="s">
        <v>2503</v>
      </c>
      <c r="D10321" s="108" t="s">
        <v>6731</v>
      </c>
      <c r="E10321" s="42">
        <v>6000</v>
      </c>
      <c r="G10321" s="42">
        <f t="shared" si="166"/>
        <v>-6000</v>
      </c>
      <c r="H10321" s="121" t="s">
        <v>6649</v>
      </c>
    </row>
    <row r="10322" spans="1:8" ht="15" x14ac:dyDescent="0.2">
      <c r="A10322" s="619">
        <v>44267</v>
      </c>
      <c r="B10322" s="222" t="s">
        <v>6518</v>
      </c>
      <c r="C10322" s="41" t="s">
        <v>4908</v>
      </c>
      <c r="D10322" s="108" t="s">
        <v>6732</v>
      </c>
      <c r="E10322" s="42">
        <v>9000</v>
      </c>
      <c r="G10322" s="42">
        <f t="shared" si="166"/>
        <v>-9000</v>
      </c>
      <c r="H10322" s="121" t="s">
        <v>6649</v>
      </c>
    </row>
    <row r="10323" spans="1:8" ht="15" x14ac:dyDescent="0.2">
      <c r="A10323" s="619">
        <v>44267</v>
      </c>
      <c r="B10323" s="222" t="s">
        <v>6511</v>
      </c>
      <c r="C10323" s="41" t="s">
        <v>3145</v>
      </c>
      <c r="D10323" s="108" t="s">
        <v>6733</v>
      </c>
      <c r="E10323" s="42">
        <v>7170</v>
      </c>
      <c r="G10323" s="42">
        <f t="shared" si="166"/>
        <v>-7170</v>
      </c>
      <c r="H10323" s="121" t="s">
        <v>6649</v>
      </c>
    </row>
    <row r="10324" spans="1:8" ht="15" x14ac:dyDescent="0.2">
      <c r="A10324" s="619">
        <v>44267</v>
      </c>
      <c r="B10324" s="222" t="s">
        <v>6408</v>
      </c>
      <c r="C10324" s="41" t="s">
        <v>6473</v>
      </c>
      <c r="D10324" s="108" t="s">
        <v>6734</v>
      </c>
      <c r="E10324" s="42">
        <v>131000</v>
      </c>
      <c r="G10324" s="42">
        <f t="shared" si="166"/>
        <v>-131000</v>
      </c>
      <c r="H10324" s="121" t="s">
        <v>6649</v>
      </c>
    </row>
    <row r="10325" spans="1:8" ht="15" x14ac:dyDescent="0.2">
      <c r="A10325" s="619">
        <v>44267</v>
      </c>
      <c r="B10325" s="222" t="s">
        <v>6518</v>
      </c>
      <c r="C10325" s="41" t="s">
        <v>6735</v>
      </c>
      <c r="D10325" s="108" t="s">
        <v>4436</v>
      </c>
      <c r="E10325" s="42">
        <v>35000</v>
      </c>
      <c r="G10325" s="42">
        <f t="shared" si="166"/>
        <v>-35000</v>
      </c>
      <c r="H10325" s="121" t="s">
        <v>6649</v>
      </c>
    </row>
    <row r="10326" spans="1:8" ht="15" x14ac:dyDescent="0.2">
      <c r="A10326" s="619">
        <v>44267</v>
      </c>
      <c r="B10326" s="222" t="s">
        <v>25</v>
      </c>
      <c r="C10326" s="41" t="s">
        <v>2428</v>
      </c>
      <c r="D10326" s="108" t="s">
        <v>6736</v>
      </c>
      <c r="E10326" s="42">
        <v>25000</v>
      </c>
      <c r="G10326" s="42">
        <f t="shared" si="166"/>
        <v>-25000</v>
      </c>
      <c r="H10326" s="121" t="s">
        <v>6649</v>
      </c>
    </row>
    <row r="10327" spans="1:8" ht="15" x14ac:dyDescent="0.2">
      <c r="A10327" s="619">
        <v>44268</v>
      </c>
      <c r="B10327" s="222" t="s">
        <v>16</v>
      </c>
      <c r="D10327" s="108" t="s">
        <v>6737</v>
      </c>
      <c r="E10327" s="42">
        <v>860</v>
      </c>
      <c r="G10327" s="42">
        <f t="shared" si="166"/>
        <v>-860</v>
      </c>
      <c r="H10327" s="121" t="s">
        <v>6649</v>
      </c>
    </row>
    <row r="10328" spans="1:8" ht="15" x14ac:dyDescent="0.2">
      <c r="A10328" s="619">
        <v>44268</v>
      </c>
      <c r="B10328" s="222" t="s">
        <v>3946</v>
      </c>
      <c r="C10328" s="41" t="s">
        <v>3145</v>
      </c>
      <c r="D10328" s="108" t="s">
        <v>6738</v>
      </c>
      <c r="E10328" s="42">
        <v>6300</v>
      </c>
      <c r="G10328" s="42">
        <f t="shared" si="166"/>
        <v>-6300</v>
      </c>
      <c r="H10328" s="121" t="s">
        <v>6649</v>
      </c>
    </row>
    <row r="10329" spans="1:8" ht="15" x14ac:dyDescent="0.2">
      <c r="A10329" s="619">
        <v>44268</v>
      </c>
      <c r="B10329" s="222" t="s">
        <v>6408</v>
      </c>
      <c r="C10329" s="41" t="s">
        <v>3145</v>
      </c>
      <c r="D10329" s="108" t="s">
        <v>6739</v>
      </c>
      <c r="E10329" s="42">
        <v>6300</v>
      </c>
      <c r="G10329" s="42">
        <f t="shared" si="166"/>
        <v>-6300</v>
      </c>
      <c r="H10329" s="121" t="s">
        <v>6649</v>
      </c>
    </row>
    <row r="10330" spans="1:8" ht="15" x14ac:dyDescent="0.2">
      <c r="A10330" s="619">
        <v>44268</v>
      </c>
      <c r="B10330" s="222" t="s">
        <v>16</v>
      </c>
      <c r="D10330" s="108" t="s">
        <v>6737</v>
      </c>
      <c r="E10330" s="42">
        <v>230</v>
      </c>
      <c r="G10330" s="42">
        <f t="shared" si="166"/>
        <v>-230</v>
      </c>
      <c r="H10330" s="121" t="s">
        <v>6649</v>
      </c>
    </row>
    <row r="10331" spans="1:8" ht="15" x14ac:dyDescent="0.2">
      <c r="A10331" s="619">
        <v>44268</v>
      </c>
      <c r="B10331" s="222" t="s">
        <v>3946</v>
      </c>
      <c r="C10331" s="41" t="s">
        <v>392</v>
      </c>
      <c r="D10331" s="108" t="s">
        <v>6746</v>
      </c>
      <c r="E10331" s="42">
        <v>7000</v>
      </c>
      <c r="G10331" s="42">
        <f t="shared" si="166"/>
        <v>-7000</v>
      </c>
      <c r="H10331" s="121" t="s">
        <v>6649</v>
      </c>
    </row>
    <row r="10332" spans="1:8" ht="15" x14ac:dyDescent="0.2">
      <c r="A10332" s="619">
        <v>44268</v>
      </c>
      <c r="B10332" s="222" t="s">
        <v>6408</v>
      </c>
      <c r="C10332" s="41" t="s">
        <v>392</v>
      </c>
      <c r="D10332" s="108" t="s">
        <v>6747</v>
      </c>
      <c r="E10332" s="42">
        <v>6300</v>
      </c>
      <c r="G10332" s="42">
        <f t="shared" si="166"/>
        <v>-6300</v>
      </c>
      <c r="H10332" s="121" t="s">
        <v>6649</v>
      </c>
    </row>
    <row r="10333" spans="1:8" ht="15" x14ac:dyDescent="0.2">
      <c r="A10333" s="619">
        <v>44268</v>
      </c>
      <c r="B10333" s="222" t="s">
        <v>16</v>
      </c>
      <c r="C10333" s="41" t="s">
        <v>392</v>
      </c>
      <c r="E10333" s="42">
        <v>730</v>
      </c>
      <c r="G10333" s="42">
        <f t="shared" si="166"/>
        <v>-730</v>
      </c>
      <c r="H10333" s="121" t="s">
        <v>6649</v>
      </c>
    </row>
    <row r="10334" spans="1:8" ht="15" x14ac:dyDescent="0.2">
      <c r="A10334" s="619">
        <v>44270</v>
      </c>
      <c r="B10334" s="222" t="s">
        <v>6518</v>
      </c>
      <c r="C10334" s="41" t="s">
        <v>6804</v>
      </c>
      <c r="D10334" s="108" t="s">
        <v>6748</v>
      </c>
      <c r="E10334" s="42">
        <v>10000</v>
      </c>
      <c r="G10334" s="42">
        <f t="shared" si="166"/>
        <v>-10000</v>
      </c>
      <c r="H10334" s="121" t="s">
        <v>6649</v>
      </c>
    </row>
    <row r="10335" spans="1:8" ht="15" x14ac:dyDescent="0.2">
      <c r="A10335" s="619">
        <v>44270</v>
      </c>
      <c r="B10335" s="222" t="s">
        <v>16</v>
      </c>
      <c r="C10335" s="41" t="s">
        <v>3364</v>
      </c>
      <c r="E10335" s="42">
        <v>4162</v>
      </c>
      <c r="G10335" s="42">
        <f t="shared" si="166"/>
        <v>-4162</v>
      </c>
      <c r="H10335" s="121" t="s">
        <v>6649</v>
      </c>
    </row>
    <row r="10336" spans="1:8" ht="15" x14ac:dyDescent="0.2">
      <c r="A10336" s="619">
        <v>44271</v>
      </c>
      <c r="B10336" s="222" t="s">
        <v>6518</v>
      </c>
      <c r="C10336" s="41" t="s">
        <v>3145</v>
      </c>
      <c r="D10336" s="108" t="s">
        <v>6749</v>
      </c>
      <c r="E10336" s="42">
        <v>13800</v>
      </c>
      <c r="G10336" s="42">
        <f t="shared" si="166"/>
        <v>-13800</v>
      </c>
      <c r="H10336" s="121" t="s">
        <v>6649</v>
      </c>
    </row>
    <row r="10337" spans="1:8" ht="15" x14ac:dyDescent="0.2">
      <c r="A10337" s="619">
        <v>44271</v>
      </c>
      <c r="B10337" s="222" t="s">
        <v>6511</v>
      </c>
      <c r="C10337" s="629" t="s">
        <v>3145</v>
      </c>
      <c r="D10337" s="895" t="s">
        <v>6750</v>
      </c>
      <c r="E10337" s="630">
        <v>2750</v>
      </c>
      <c r="G10337" s="42">
        <f t="shared" si="166"/>
        <v>-2750</v>
      </c>
      <c r="H10337" s="121" t="s">
        <v>6649</v>
      </c>
    </row>
    <row r="10338" spans="1:8" ht="15" x14ac:dyDescent="0.2">
      <c r="A10338" s="619">
        <v>44271</v>
      </c>
      <c r="B10338" s="222" t="s">
        <v>6408</v>
      </c>
      <c r="C10338" s="629" t="s">
        <v>3145</v>
      </c>
      <c r="D10338" s="895" t="s">
        <v>6750</v>
      </c>
      <c r="E10338" s="630">
        <v>5560</v>
      </c>
      <c r="G10338" s="42">
        <f t="shared" si="166"/>
        <v>-5560</v>
      </c>
      <c r="H10338" s="121" t="s">
        <v>6649</v>
      </c>
    </row>
    <row r="10339" spans="1:8" ht="15" x14ac:dyDescent="0.2">
      <c r="A10339" s="619">
        <v>44271</v>
      </c>
      <c r="B10339" s="222" t="s">
        <v>6518</v>
      </c>
      <c r="C10339" s="629" t="s">
        <v>3145</v>
      </c>
      <c r="D10339" s="895" t="s">
        <v>6750</v>
      </c>
      <c r="E10339" s="630">
        <v>2300</v>
      </c>
      <c r="G10339" s="42">
        <f t="shared" si="166"/>
        <v>-2300</v>
      </c>
      <c r="H10339" s="121" t="s">
        <v>6649</v>
      </c>
    </row>
    <row r="10340" spans="1:8" ht="15" x14ac:dyDescent="0.2">
      <c r="A10340" s="619">
        <v>44271</v>
      </c>
      <c r="B10340" s="222" t="s">
        <v>6647</v>
      </c>
      <c r="C10340" s="629" t="s">
        <v>3145</v>
      </c>
      <c r="D10340" s="895" t="s">
        <v>6750</v>
      </c>
      <c r="E10340" s="630">
        <v>7000</v>
      </c>
      <c r="G10340" s="42">
        <f t="shared" si="166"/>
        <v>-7000</v>
      </c>
      <c r="H10340" s="121" t="s">
        <v>6649</v>
      </c>
    </row>
    <row r="10341" spans="1:8" ht="15" x14ac:dyDescent="0.2">
      <c r="A10341" s="619">
        <v>44271</v>
      </c>
      <c r="B10341" s="222" t="s">
        <v>6635</v>
      </c>
      <c r="C10341" s="41" t="s">
        <v>3145</v>
      </c>
      <c r="D10341" s="108" t="s">
        <v>6486</v>
      </c>
      <c r="E10341" s="42">
        <v>3950</v>
      </c>
      <c r="G10341" s="42">
        <f t="shared" si="166"/>
        <v>-3950</v>
      </c>
      <c r="H10341" s="121" t="s">
        <v>6649</v>
      </c>
    </row>
    <row r="10342" spans="1:8" ht="15" x14ac:dyDescent="0.2">
      <c r="A10342" s="619">
        <v>44271</v>
      </c>
      <c r="B10342" s="222" t="s">
        <v>1400</v>
      </c>
      <c r="C10342" s="41" t="s">
        <v>3145</v>
      </c>
      <c r="D10342" s="108" t="s">
        <v>6751</v>
      </c>
      <c r="E10342" s="42">
        <v>75516</v>
      </c>
      <c r="G10342" s="42">
        <f t="shared" si="166"/>
        <v>-75516</v>
      </c>
      <c r="H10342" s="121" t="s">
        <v>6649</v>
      </c>
    </row>
    <row r="10343" spans="1:8" ht="15" x14ac:dyDescent="0.2">
      <c r="A10343" s="619">
        <v>44271</v>
      </c>
      <c r="B10343" s="222" t="s">
        <v>1400</v>
      </c>
      <c r="C10343" s="41" t="s">
        <v>6445</v>
      </c>
      <c r="D10343" s="108" t="s">
        <v>2110</v>
      </c>
      <c r="E10343" s="42">
        <v>600</v>
      </c>
      <c r="G10343" s="42">
        <f t="shared" si="166"/>
        <v>-600</v>
      </c>
      <c r="H10343" s="121" t="s">
        <v>6649</v>
      </c>
    </row>
    <row r="10344" spans="1:8" ht="15" x14ac:dyDescent="0.2">
      <c r="A10344" s="619">
        <v>44271</v>
      </c>
      <c r="B10344" s="222" t="s">
        <v>6518</v>
      </c>
      <c r="C10344" s="41" t="s">
        <v>2002</v>
      </c>
      <c r="E10344" s="42">
        <v>1200</v>
      </c>
      <c r="G10344" s="42">
        <f t="shared" si="166"/>
        <v>-1200</v>
      </c>
      <c r="H10344" s="121" t="s">
        <v>6649</v>
      </c>
    </row>
    <row r="10345" spans="1:8" ht="15" x14ac:dyDescent="0.2">
      <c r="A10345" s="619">
        <v>44271</v>
      </c>
      <c r="B10345" s="222" t="s">
        <v>6408</v>
      </c>
      <c r="C10345" s="41" t="s">
        <v>3145</v>
      </c>
      <c r="D10345" s="108" t="s">
        <v>6752</v>
      </c>
      <c r="E10345" s="42">
        <v>11000</v>
      </c>
      <c r="G10345" s="42">
        <f t="shared" ref="G10345:G10408" si="167">F10345-E10345</f>
        <v>-11000</v>
      </c>
      <c r="H10345" s="121" t="s">
        <v>6649</v>
      </c>
    </row>
    <row r="10346" spans="1:8" ht="15" x14ac:dyDescent="0.2">
      <c r="A10346" s="619">
        <v>44271</v>
      </c>
      <c r="B10346" s="222" t="s">
        <v>2933</v>
      </c>
      <c r="C10346" s="41" t="s">
        <v>392</v>
      </c>
      <c r="D10346" s="108" t="s">
        <v>6753</v>
      </c>
      <c r="E10346" s="42">
        <v>4700</v>
      </c>
      <c r="G10346" s="42">
        <f t="shared" si="167"/>
        <v>-4700</v>
      </c>
      <c r="H10346" s="121" t="s">
        <v>6649</v>
      </c>
    </row>
    <row r="10347" spans="1:8" ht="15" x14ac:dyDescent="0.2">
      <c r="A10347" s="619">
        <v>44271</v>
      </c>
      <c r="B10347" s="222" t="s">
        <v>16</v>
      </c>
      <c r="C10347" s="41" t="s">
        <v>5341</v>
      </c>
      <c r="D10347" s="108" t="s">
        <v>2932</v>
      </c>
      <c r="E10347" s="42">
        <v>10000</v>
      </c>
      <c r="G10347" s="42">
        <f t="shared" si="167"/>
        <v>-10000</v>
      </c>
      <c r="H10347" s="121" t="s">
        <v>6649</v>
      </c>
    </row>
    <row r="10348" spans="1:8" ht="15" x14ac:dyDescent="0.2">
      <c r="A10348" s="619">
        <v>44272</v>
      </c>
      <c r="B10348" s="222" t="s">
        <v>82</v>
      </c>
      <c r="C10348" s="41" t="s">
        <v>3145</v>
      </c>
      <c r="D10348" s="108" t="s">
        <v>6057</v>
      </c>
      <c r="E10348" s="42">
        <v>23000</v>
      </c>
      <c r="G10348" s="42">
        <f t="shared" si="167"/>
        <v>-23000</v>
      </c>
      <c r="H10348" s="121" t="s">
        <v>6649</v>
      </c>
    </row>
    <row r="10349" spans="1:8" ht="15" x14ac:dyDescent="0.2">
      <c r="A10349" s="619">
        <v>44272</v>
      </c>
      <c r="B10349" s="222" t="s">
        <v>4553</v>
      </c>
      <c r="C10349" s="41" t="s">
        <v>3145</v>
      </c>
      <c r="D10349" s="108" t="s">
        <v>6754</v>
      </c>
      <c r="E10349" s="42">
        <v>1400</v>
      </c>
      <c r="G10349" s="42">
        <f t="shared" si="167"/>
        <v>-1400</v>
      </c>
      <c r="H10349" s="121" t="s">
        <v>6649</v>
      </c>
    </row>
    <row r="10350" spans="1:8" ht="15" x14ac:dyDescent="0.2">
      <c r="A10350" s="619">
        <v>44273</v>
      </c>
      <c r="B10350" s="222" t="s">
        <v>82</v>
      </c>
      <c r="C10350" s="41" t="s">
        <v>3145</v>
      </c>
      <c r="D10350" s="108" t="s">
        <v>4694</v>
      </c>
      <c r="E10350" s="42">
        <v>10200</v>
      </c>
      <c r="G10350" s="42">
        <f t="shared" si="167"/>
        <v>-10200</v>
      </c>
      <c r="H10350" s="121" t="s">
        <v>6649</v>
      </c>
    </row>
    <row r="10351" spans="1:8" ht="15" x14ac:dyDescent="0.2">
      <c r="A10351" s="619">
        <v>44273</v>
      </c>
      <c r="B10351" s="222" t="s">
        <v>82</v>
      </c>
      <c r="C10351" s="41" t="s">
        <v>6725</v>
      </c>
      <c r="D10351" s="108" t="s">
        <v>5957</v>
      </c>
      <c r="E10351" s="42">
        <v>70000</v>
      </c>
      <c r="G10351" s="42">
        <f t="shared" si="167"/>
        <v>-70000</v>
      </c>
      <c r="H10351" s="121" t="s">
        <v>6649</v>
      </c>
    </row>
    <row r="10352" spans="1:8" ht="15" x14ac:dyDescent="0.2">
      <c r="A10352" s="619">
        <v>44273</v>
      </c>
      <c r="B10352" s="222" t="s">
        <v>6447</v>
      </c>
      <c r="C10352" s="41" t="s">
        <v>1896</v>
      </c>
      <c r="D10352" s="108" t="s">
        <v>734</v>
      </c>
      <c r="E10352" s="42">
        <v>104200</v>
      </c>
      <c r="G10352" s="42">
        <f t="shared" si="167"/>
        <v>-104200</v>
      </c>
      <c r="H10352" s="121" t="s">
        <v>6649</v>
      </c>
    </row>
    <row r="10353" spans="1:8" ht="15" x14ac:dyDescent="0.2">
      <c r="A10353" s="619">
        <v>44274</v>
      </c>
      <c r="B10353" s="222" t="s">
        <v>2933</v>
      </c>
      <c r="C10353" s="41" t="s">
        <v>6141</v>
      </c>
      <c r="D10353" s="108" t="s">
        <v>3216</v>
      </c>
      <c r="E10353" s="42">
        <v>5000</v>
      </c>
      <c r="G10353" s="42">
        <f t="shared" si="167"/>
        <v>-5000</v>
      </c>
      <c r="H10353" s="121" t="s">
        <v>6649</v>
      </c>
    </row>
    <row r="10354" spans="1:8" ht="15" x14ac:dyDescent="0.2">
      <c r="A10354" s="619">
        <v>44274</v>
      </c>
      <c r="B10354" s="222" t="s">
        <v>3946</v>
      </c>
      <c r="C10354" s="41" t="s">
        <v>3033</v>
      </c>
      <c r="D10354" s="108" t="s">
        <v>370</v>
      </c>
      <c r="E10354" s="42">
        <v>2000</v>
      </c>
      <c r="G10354" s="42">
        <f t="shared" si="167"/>
        <v>-2000</v>
      </c>
      <c r="H10354" s="121" t="s">
        <v>6649</v>
      </c>
    </row>
    <row r="10355" spans="1:8" ht="15" x14ac:dyDescent="0.2">
      <c r="A10355" s="619">
        <v>44274</v>
      </c>
      <c r="B10355" s="222" t="s">
        <v>1400</v>
      </c>
      <c r="C10355" s="41" t="s">
        <v>3033</v>
      </c>
      <c r="D10355" s="108" t="s">
        <v>370</v>
      </c>
      <c r="E10355" s="42">
        <v>2000</v>
      </c>
      <c r="G10355" s="42">
        <f t="shared" si="167"/>
        <v>-2000</v>
      </c>
      <c r="H10355" s="121" t="s">
        <v>6649</v>
      </c>
    </row>
    <row r="10356" spans="1:8" ht="15" x14ac:dyDescent="0.2">
      <c r="A10356" s="619">
        <v>44274</v>
      </c>
      <c r="B10356" s="222" t="s">
        <v>6408</v>
      </c>
      <c r="C10356" s="582" t="s">
        <v>3145</v>
      </c>
      <c r="D10356" s="893" t="s">
        <v>6792</v>
      </c>
      <c r="E10356" s="583">
        <v>5950</v>
      </c>
      <c r="G10356" s="42">
        <f t="shared" si="167"/>
        <v>-5950</v>
      </c>
      <c r="H10356" s="121" t="s">
        <v>6649</v>
      </c>
    </row>
    <row r="10357" spans="1:8" ht="15" x14ac:dyDescent="0.2">
      <c r="A10357" s="619">
        <v>44274</v>
      </c>
      <c r="B10357" s="222" t="s">
        <v>4553</v>
      </c>
      <c r="C10357" s="582" t="s">
        <v>3145</v>
      </c>
      <c r="D10357" s="893" t="s">
        <v>6791</v>
      </c>
      <c r="E10357" s="583">
        <v>2000</v>
      </c>
      <c r="G10357" s="42">
        <f t="shared" si="167"/>
        <v>-2000</v>
      </c>
      <c r="H10357" s="121" t="s">
        <v>6649</v>
      </c>
    </row>
    <row r="10358" spans="1:8" ht="15" x14ac:dyDescent="0.2">
      <c r="A10358" s="619">
        <v>44274</v>
      </c>
      <c r="B10358" s="222" t="s">
        <v>6635</v>
      </c>
      <c r="C10358" s="41" t="s">
        <v>3145</v>
      </c>
      <c r="D10358" s="108" t="s">
        <v>6794</v>
      </c>
      <c r="E10358" s="42">
        <v>450</v>
      </c>
      <c r="G10358" s="42">
        <f t="shared" si="167"/>
        <v>-450</v>
      </c>
      <c r="H10358" s="121" t="s">
        <v>6649</v>
      </c>
    </row>
    <row r="10359" spans="1:8" ht="15" x14ac:dyDescent="0.2">
      <c r="A10359" s="619">
        <v>44275</v>
      </c>
      <c r="B10359" s="222" t="s">
        <v>3946</v>
      </c>
      <c r="C10359" s="41" t="s">
        <v>3145</v>
      </c>
      <c r="D10359" s="108" t="s">
        <v>6793</v>
      </c>
      <c r="E10359" s="42">
        <v>2500</v>
      </c>
      <c r="G10359" s="42">
        <f t="shared" si="167"/>
        <v>-2500</v>
      </c>
      <c r="H10359" s="121" t="s">
        <v>6649</v>
      </c>
    </row>
    <row r="10360" spans="1:8" ht="15" x14ac:dyDescent="0.2">
      <c r="A10360" s="619">
        <v>44275</v>
      </c>
      <c r="B10360" s="222" t="s">
        <v>3946</v>
      </c>
      <c r="C10360" s="41" t="s">
        <v>3145</v>
      </c>
      <c r="D10360" s="108" t="s">
        <v>6793</v>
      </c>
      <c r="E10360" s="42">
        <v>2010</v>
      </c>
      <c r="G10360" s="42">
        <f t="shared" si="167"/>
        <v>-2010</v>
      </c>
      <c r="H10360" s="121" t="s">
        <v>6649</v>
      </c>
    </row>
    <row r="10361" spans="1:8" ht="15" x14ac:dyDescent="0.2">
      <c r="A10361" s="619">
        <v>44279</v>
      </c>
      <c r="B10361" s="222" t="s">
        <v>6408</v>
      </c>
      <c r="C10361" s="41" t="s">
        <v>3145</v>
      </c>
      <c r="D10361" s="108" t="s">
        <v>6795</v>
      </c>
      <c r="E10361" s="42">
        <v>4858</v>
      </c>
      <c r="G10361" s="42">
        <f t="shared" si="167"/>
        <v>-4858</v>
      </c>
      <c r="H10361" s="121" t="s">
        <v>6649</v>
      </c>
    </row>
    <row r="10362" spans="1:8" ht="15" x14ac:dyDescent="0.2">
      <c r="A10362" s="619">
        <v>44279</v>
      </c>
      <c r="B10362" s="222" t="s">
        <v>2933</v>
      </c>
      <c r="C10362" s="41" t="s">
        <v>3145</v>
      </c>
      <c r="D10362" s="108" t="s">
        <v>6796</v>
      </c>
      <c r="E10362" s="42">
        <v>12840</v>
      </c>
      <c r="G10362" s="42">
        <f t="shared" si="167"/>
        <v>-12840</v>
      </c>
      <c r="H10362" s="121" t="s">
        <v>6649</v>
      </c>
    </row>
    <row r="10363" spans="1:8" ht="15" x14ac:dyDescent="0.2">
      <c r="A10363" s="619">
        <v>44279</v>
      </c>
      <c r="B10363" s="222" t="s">
        <v>6408</v>
      </c>
      <c r="C10363" s="41" t="s">
        <v>3145</v>
      </c>
      <c r="D10363" s="108" t="s">
        <v>6797</v>
      </c>
      <c r="E10363" s="42">
        <v>2500</v>
      </c>
      <c r="G10363" s="42">
        <f t="shared" si="167"/>
        <v>-2500</v>
      </c>
      <c r="H10363" s="121" t="s">
        <v>6649</v>
      </c>
    </row>
    <row r="10364" spans="1:8" ht="15" x14ac:dyDescent="0.2">
      <c r="A10364" s="619">
        <v>44279</v>
      </c>
      <c r="B10364" s="222" t="s">
        <v>1400</v>
      </c>
      <c r="C10364" s="41" t="s">
        <v>3145</v>
      </c>
      <c r="D10364" s="893" t="s">
        <v>6799</v>
      </c>
      <c r="E10364" s="42">
        <v>27000</v>
      </c>
      <c r="G10364" s="42">
        <f t="shared" si="167"/>
        <v>-27000</v>
      </c>
      <c r="H10364" s="121" t="s">
        <v>6649</v>
      </c>
    </row>
    <row r="10365" spans="1:8" ht="15" x14ac:dyDescent="0.2">
      <c r="A10365" s="619">
        <v>44279</v>
      </c>
      <c r="B10365" s="222" t="s">
        <v>6408</v>
      </c>
      <c r="C10365" s="41" t="s">
        <v>3145</v>
      </c>
      <c r="D10365" s="893" t="s">
        <v>6798</v>
      </c>
      <c r="E10365" s="42">
        <v>9950</v>
      </c>
      <c r="G10365" s="42">
        <f t="shared" si="167"/>
        <v>-9950</v>
      </c>
      <c r="H10365" s="121" t="s">
        <v>6649</v>
      </c>
    </row>
    <row r="10366" spans="1:8" ht="15" x14ac:dyDescent="0.2">
      <c r="A10366" s="619">
        <v>44279</v>
      </c>
      <c r="B10366" s="222" t="s">
        <v>6518</v>
      </c>
      <c r="C10366" s="41" t="s">
        <v>3145</v>
      </c>
      <c r="D10366" s="893" t="s">
        <v>6798</v>
      </c>
      <c r="E10366" s="42">
        <v>1000</v>
      </c>
      <c r="G10366" s="42">
        <f t="shared" si="167"/>
        <v>-1000</v>
      </c>
      <c r="H10366" s="121" t="s">
        <v>6649</v>
      </c>
    </row>
    <row r="10367" spans="1:8" ht="15" x14ac:dyDescent="0.2">
      <c r="A10367" s="619">
        <v>44279</v>
      </c>
      <c r="B10367" s="222" t="s">
        <v>6518</v>
      </c>
      <c r="C10367" s="41" t="s">
        <v>3145</v>
      </c>
      <c r="D10367" s="108" t="s">
        <v>6800</v>
      </c>
      <c r="E10367" s="42">
        <v>15000</v>
      </c>
      <c r="G10367" s="42">
        <f t="shared" si="167"/>
        <v>-15000</v>
      </c>
      <c r="H10367" s="121" t="s">
        <v>6649</v>
      </c>
    </row>
    <row r="10368" spans="1:8" ht="15" x14ac:dyDescent="0.2">
      <c r="A10368" s="619">
        <v>44280</v>
      </c>
      <c r="B10368" s="222" t="s">
        <v>4553</v>
      </c>
      <c r="C10368" s="41" t="s">
        <v>3145</v>
      </c>
      <c r="D10368" s="108" t="s">
        <v>6801</v>
      </c>
      <c r="E10368" s="42">
        <v>18110</v>
      </c>
      <c r="G10368" s="42">
        <f t="shared" si="167"/>
        <v>-18110</v>
      </c>
      <c r="H10368" s="121" t="s">
        <v>6649</v>
      </c>
    </row>
    <row r="10369" spans="1:8" ht="15" x14ac:dyDescent="0.2">
      <c r="A10369" s="619">
        <v>44280</v>
      </c>
      <c r="B10369" s="222" t="s">
        <v>6518</v>
      </c>
      <c r="C10369" s="41" t="s">
        <v>3145</v>
      </c>
      <c r="D10369" s="108" t="s">
        <v>6802</v>
      </c>
      <c r="E10369" s="42">
        <v>20800</v>
      </c>
      <c r="G10369" s="42">
        <f t="shared" si="167"/>
        <v>-20800</v>
      </c>
      <c r="H10369" s="121" t="s">
        <v>6649</v>
      </c>
    </row>
    <row r="10370" spans="1:8" ht="15" x14ac:dyDescent="0.2">
      <c r="A10370" s="619">
        <v>44280</v>
      </c>
      <c r="B10370" s="222" t="s">
        <v>16</v>
      </c>
      <c r="C10370" s="41" t="s">
        <v>3145</v>
      </c>
      <c r="D10370" s="108" t="s">
        <v>6803</v>
      </c>
      <c r="E10370" s="42">
        <v>3620</v>
      </c>
      <c r="G10370" s="42">
        <f t="shared" si="167"/>
        <v>-3620</v>
      </c>
      <c r="H10370" s="121" t="s">
        <v>6649</v>
      </c>
    </row>
    <row r="10371" spans="1:8" ht="15" x14ac:dyDescent="0.2">
      <c r="A10371" s="619">
        <v>44280</v>
      </c>
      <c r="B10371" s="222" t="s">
        <v>6635</v>
      </c>
      <c r="C10371" s="41" t="s">
        <v>2190</v>
      </c>
      <c r="E10371" s="42">
        <v>350</v>
      </c>
      <c r="G10371" s="42">
        <f t="shared" si="167"/>
        <v>-350</v>
      </c>
      <c r="H10371" s="121" t="s">
        <v>6649</v>
      </c>
    </row>
    <row r="10372" spans="1:8" ht="15" x14ac:dyDescent="0.2">
      <c r="A10372" s="619">
        <v>44280</v>
      </c>
      <c r="B10372" s="222" t="s">
        <v>6518</v>
      </c>
      <c r="C10372" s="41" t="s">
        <v>3145</v>
      </c>
      <c r="D10372" s="108" t="s">
        <v>6334</v>
      </c>
      <c r="E10372" s="42">
        <v>13600</v>
      </c>
      <c r="G10372" s="42">
        <f t="shared" si="167"/>
        <v>-13600</v>
      </c>
      <c r="H10372" s="121" t="s">
        <v>6649</v>
      </c>
    </row>
    <row r="10373" spans="1:8" ht="15" x14ac:dyDescent="0.2">
      <c r="A10373" s="619">
        <v>44280</v>
      </c>
      <c r="B10373" s="222" t="s">
        <v>6518</v>
      </c>
      <c r="C10373" s="41" t="s">
        <v>6804</v>
      </c>
      <c r="D10373" s="108" t="s">
        <v>5570</v>
      </c>
      <c r="E10373" s="42">
        <v>10000</v>
      </c>
      <c r="G10373" s="42">
        <f t="shared" si="167"/>
        <v>-10000</v>
      </c>
      <c r="H10373" s="121" t="s">
        <v>6649</v>
      </c>
    </row>
    <row r="10374" spans="1:8" ht="15" x14ac:dyDescent="0.2">
      <c r="A10374" s="619">
        <v>44280</v>
      </c>
      <c r="B10374" s="222" t="s">
        <v>6518</v>
      </c>
      <c r="C10374" s="41" t="s">
        <v>6804</v>
      </c>
      <c r="D10374" s="108" t="s">
        <v>2711</v>
      </c>
      <c r="E10374" s="42">
        <v>10000</v>
      </c>
      <c r="G10374" s="42">
        <f t="shared" si="167"/>
        <v>-10000</v>
      </c>
      <c r="H10374" s="121" t="s">
        <v>6649</v>
      </c>
    </row>
    <row r="10375" spans="1:8" ht="15" x14ac:dyDescent="0.2">
      <c r="A10375" s="619">
        <v>44281</v>
      </c>
      <c r="B10375" s="222" t="s">
        <v>1400</v>
      </c>
      <c r="C10375" s="41" t="s">
        <v>5652</v>
      </c>
      <c r="D10375" s="108" t="s">
        <v>1157</v>
      </c>
      <c r="E10375" s="42">
        <v>22000</v>
      </c>
      <c r="G10375" s="42">
        <f t="shared" si="167"/>
        <v>-22000</v>
      </c>
      <c r="H10375" s="121" t="s">
        <v>6649</v>
      </c>
    </row>
    <row r="10376" spans="1:8" ht="15" x14ac:dyDescent="0.2">
      <c r="A10376" s="619">
        <v>44284</v>
      </c>
      <c r="B10376" s="222" t="s">
        <v>6518</v>
      </c>
      <c r="C10376" s="41" t="s">
        <v>551</v>
      </c>
      <c r="D10376" s="108" t="s">
        <v>6805</v>
      </c>
      <c r="E10376" s="42">
        <v>10000</v>
      </c>
      <c r="G10376" s="42">
        <f t="shared" si="167"/>
        <v>-10000</v>
      </c>
      <c r="H10376" s="121" t="s">
        <v>6649</v>
      </c>
    </row>
    <row r="10377" spans="1:8" ht="15" x14ac:dyDescent="0.2">
      <c r="A10377" s="619">
        <v>44284</v>
      </c>
      <c r="B10377" s="222" t="s">
        <v>1400</v>
      </c>
      <c r="C10377" s="41" t="s">
        <v>551</v>
      </c>
      <c r="D10377" s="108" t="s">
        <v>6805</v>
      </c>
      <c r="E10377" s="42">
        <v>10000</v>
      </c>
      <c r="G10377" s="42">
        <f t="shared" si="167"/>
        <v>-10000</v>
      </c>
      <c r="H10377" s="121" t="s">
        <v>6649</v>
      </c>
    </row>
    <row r="10378" spans="1:8" ht="15" x14ac:dyDescent="0.2">
      <c r="A10378" s="619">
        <v>44284</v>
      </c>
      <c r="B10378" s="222" t="s">
        <v>6408</v>
      </c>
      <c r="C10378" s="41" t="s">
        <v>6009</v>
      </c>
      <c r="D10378" s="108" t="s">
        <v>1157</v>
      </c>
      <c r="E10378" s="42">
        <v>35200</v>
      </c>
      <c r="G10378" s="42">
        <f t="shared" si="167"/>
        <v>-35200</v>
      </c>
      <c r="H10378" s="121" t="s">
        <v>6649</v>
      </c>
    </row>
    <row r="10379" spans="1:8" ht="15" x14ac:dyDescent="0.2">
      <c r="A10379" s="619">
        <v>44284</v>
      </c>
      <c r="B10379" s="222" t="s">
        <v>6508</v>
      </c>
      <c r="C10379" s="41" t="s">
        <v>6605</v>
      </c>
      <c r="D10379" s="108" t="s">
        <v>370</v>
      </c>
      <c r="E10379" s="42">
        <v>20000</v>
      </c>
      <c r="G10379" s="42">
        <f t="shared" si="167"/>
        <v>-20000</v>
      </c>
      <c r="H10379" s="121" t="s">
        <v>6649</v>
      </c>
    </row>
    <row r="10380" spans="1:8" ht="15" x14ac:dyDescent="0.2">
      <c r="A10380" s="619">
        <v>44285</v>
      </c>
      <c r="B10380" s="222" t="s">
        <v>6511</v>
      </c>
      <c r="C10380" s="41" t="s">
        <v>251</v>
      </c>
      <c r="D10380" s="108" t="s">
        <v>6806</v>
      </c>
      <c r="E10380" s="42">
        <v>50000</v>
      </c>
      <c r="G10380" s="42">
        <f t="shared" si="167"/>
        <v>-50000</v>
      </c>
      <c r="H10380" s="121" t="s">
        <v>6649</v>
      </c>
    </row>
    <row r="10381" spans="1:8" ht="15" x14ac:dyDescent="0.2">
      <c r="A10381" s="619">
        <v>44285</v>
      </c>
      <c r="B10381" s="222" t="s">
        <v>6408</v>
      </c>
      <c r="C10381" s="41" t="s">
        <v>6522</v>
      </c>
      <c r="D10381" s="108" t="s">
        <v>370</v>
      </c>
      <c r="E10381" s="42">
        <v>20000</v>
      </c>
      <c r="G10381" s="42">
        <f t="shared" si="167"/>
        <v>-20000</v>
      </c>
      <c r="H10381" s="121" t="s">
        <v>6649</v>
      </c>
    </row>
    <row r="10382" spans="1:8" ht="15" x14ac:dyDescent="0.2">
      <c r="A10382" s="619">
        <v>44285</v>
      </c>
      <c r="B10382" s="222" t="s">
        <v>2933</v>
      </c>
      <c r="C10382" s="41" t="s">
        <v>3145</v>
      </c>
      <c r="D10382" s="108" t="s">
        <v>6344</v>
      </c>
      <c r="E10382" s="42">
        <v>13038</v>
      </c>
      <c r="G10382" s="42">
        <f t="shared" si="167"/>
        <v>-13038</v>
      </c>
      <c r="H10382" s="121" t="s">
        <v>6649</v>
      </c>
    </row>
    <row r="10383" spans="1:8" ht="15" x14ac:dyDescent="0.2">
      <c r="A10383" s="619">
        <v>44285</v>
      </c>
      <c r="B10383" s="222" t="s">
        <v>2933</v>
      </c>
      <c r="C10383" s="41" t="s">
        <v>3145</v>
      </c>
      <c r="D10383" s="108" t="s">
        <v>6344</v>
      </c>
      <c r="E10383" s="42">
        <v>1350</v>
      </c>
      <c r="G10383" s="42">
        <f t="shared" si="167"/>
        <v>-1350</v>
      </c>
      <c r="H10383" s="121" t="s">
        <v>6649</v>
      </c>
    </row>
    <row r="10384" spans="1:8" ht="15" x14ac:dyDescent="0.2">
      <c r="A10384" s="619">
        <v>44286</v>
      </c>
      <c r="B10384" s="222" t="s">
        <v>6408</v>
      </c>
      <c r="C10384" s="41" t="s">
        <v>3145</v>
      </c>
      <c r="D10384" s="108" t="s">
        <v>6820</v>
      </c>
      <c r="E10384" s="42">
        <v>16870</v>
      </c>
      <c r="G10384" s="42">
        <f t="shared" si="167"/>
        <v>-16870</v>
      </c>
      <c r="H10384" s="121" t="s">
        <v>6649</v>
      </c>
    </row>
    <row r="10385" spans="1:8" ht="15" x14ac:dyDescent="0.2">
      <c r="A10385" s="619">
        <v>44286</v>
      </c>
      <c r="B10385" s="222" t="s">
        <v>4553</v>
      </c>
      <c r="C10385" s="41" t="s">
        <v>3145</v>
      </c>
      <c r="D10385" s="108" t="s">
        <v>6344</v>
      </c>
      <c r="E10385" s="42">
        <v>13630</v>
      </c>
      <c r="G10385" s="42">
        <f t="shared" si="167"/>
        <v>-13630</v>
      </c>
      <c r="H10385" s="121" t="s">
        <v>6649</v>
      </c>
    </row>
    <row r="10386" spans="1:8" ht="15" x14ac:dyDescent="0.2">
      <c r="A10386" s="619">
        <v>44286</v>
      </c>
      <c r="B10386" s="222" t="s">
        <v>6511</v>
      </c>
      <c r="C10386" s="41" t="s">
        <v>2503</v>
      </c>
      <c r="D10386" s="108" t="s">
        <v>372</v>
      </c>
      <c r="E10386" s="42">
        <v>25000</v>
      </c>
      <c r="G10386" s="42">
        <f t="shared" si="167"/>
        <v>-25000</v>
      </c>
      <c r="H10386" s="121" t="s">
        <v>6649</v>
      </c>
    </row>
    <row r="10387" spans="1:8" ht="15" x14ac:dyDescent="0.2">
      <c r="A10387" s="619">
        <v>44286</v>
      </c>
      <c r="B10387" s="222" t="s">
        <v>6518</v>
      </c>
      <c r="C10387" s="41" t="s">
        <v>2503</v>
      </c>
      <c r="D10387" s="108" t="s">
        <v>372</v>
      </c>
      <c r="E10387" s="42">
        <v>25000</v>
      </c>
      <c r="G10387" s="42">
        <f t="shared" si="167"/>
        <v>-25000</v>
      </c>
      <c r="H10387" s="121" t="s">
        <v>6649</v>
      </c>
    </row>
    <row r="10388" spans="1:8" ht="15" x14ac:dyDescent="0.2">
      <c r="A10388" s="619">
        <v>44286</v>
      </c>
      <c r="B10388" s="222" t="s">
        <v>6518</v>
      </c>
      <c r="C10388" s="41" t="s">
        <v>2503</v>
      </c>
      <c r="D10388" s="108" t="s">
        <v>551</v>
      </c>
      <c r="E10388" s="42">
        <v>25000</v>
      </c>
      <c r="G10388" s="42">
        <f t="shared" si="167"/>
        <v>-25000</v>
      </c>
      <c r="H10388" s="121" t="s">
        <v>6649</v>
      </c>
    </row>
    <row r="10389" spans="1:8" ht="15" x14ac:dyDescent="0.2">
      <c r="A10389" s="619">
        <v>44286</v>
      </c>
      <c r="B10389" s="222" t="s">
        <v>1400</v>
      </c>
      <c r="C10389" s="41" t="s">
        <v>2503</v>
      </c>
      <c r="D10389" s="108" t="s">
        <v>551</v>
      </c>
      <c r="E10389" s="42">
        <v>25000</v>
      </c>
      <c r="G10389" s="42">
        <f t="shared" si="167"/>
        <v>-25000</v>
      </c>
      <c r="H10389" s="121" t="s">
        <v>6649</v>
      </c>
    </row>
    <row r="10390" spans="1:8" ht="15" x14ac:dyDescent="0.2">
      <c r="A10390" s="619">
        <v>44286</v>
      </c>
      <c r="B10390" s="222" t="s">
        <v>25</v>
      </c>
      <c r="C10390" s="41" t="s">
        <v>2503</v>
      </c>
      <c r="D10390" s="108" t="s">
        <v>6853</v>
      </c>
      <c r="E10390" s="42">
        <v>62000</v>
      </c>
      <c r="G10390" s="42">
        <f t="shared" si="167"/>
        <v>-62000</v>
      </c>
      <c r="H10390" s="121" t="s">
        <v>6649</v>
      </c>
    </row>
    <row r="10391" spans="1:8" ht="15" x14ac:dyDescent="0.2">
      <c r="A10391" s="619">
        <v>44286</v>
      </c>
      <c r="B10391" s="222" t="s">
        <v>16</v>
      </c>
      <c r="C10391" s="41" t="s">
        <v>2503</v>
      </c>
      <c r="D10391" s="108" t="s">
        <v>103</v>
      </c>
      <c r="E10391" s="42">
        <v>117387.09677419355</v>
      </c>
      <c r="G10391" s="42">
        <f t="shared" si="167"/>
        <v>-117387.09677419355</v>
      </c>
      <c r="H10391" s="121" t="s">
        <v>6649</v>
      </c>
    </row>
    <row r="10392" spans="1:8" ht="15" x14ac:dyDescent="0.2">
      <c r="A10392" s="619">
        <v>44286</v>
      </c>
      <c r="B10392" s="222" t="s">
        <v>3945</v>
      </c>
      <c r="C10392" s="41" t="s">
        <v>2503</v>
      </c>
      <c r="D10392" s="108" t="s">
        <v>6858</v>
      </c>
      <c r="E10392" s="42">
        <v>31500</v>
      </c>
      <c r="G10392" s="42">
        <f t="shared" si="167"/>
        <v>-31500</v>
      </c>
      <c r="H10392" s="121" t="s">
        <v>6649</v>
      </c>
    </row>
    <row r="10393" spans="1:8" ht="15" x14ac:dyDescent="0.2">
      <c r="A10393" s="619">
        <v>44286</v>
      </c>
      <c r="B10393" s="222" t="s">
        <v>3946</v>
      </c>
      <c r="C10393" s="41" t="s">
        <v>2503</v>
      </c>
      <c r="D10393" s="108" t="s">
        <v>6569</v>
      </c>
      <c r="E10393" s="42">
        <v>81163.548387096773</v>
      </c>
      <c r="G10393" s="42">
        <f t="shared" si="167"/>
        <v>-81163.548387096773</v>
      </c>
      <c r="H10393" s="121" t="s">
        <v>6649</v>
      </c>
    </row>
    <row r="10394" spans="1:8" ht="15" x14ac:dyDescent="0.2">
      <c r="A10394" s="619">
        <v>44286</v>
      </c>
      <c r="B10394" s="222" t="s">
        <v>1400</v>
      </c>
      <c r="C10394" s="41" t="s">
        <v>2503</v>
      </c>
      <c r="D10394" s="108" t="s">
        <v>6859</v>
      </c>
      <c r="E10394" s="42">
        <v>241484.47580645161</v>
      </c>
      <c r="G10394" s="42">
        <f t="shared" si="167"/>
        <v>-241484.47580645161</v>
      </c>
      <c r="H10394" s="121" t="s">
        <v>6649</v>
      </c>
    </row>
    <row r="10395" spans="1:8" ht="15" x14ac:dyDescent="0.2">
      <c r="A10395" s="619">
        <v>44286</v>
      </c>
      <c r="B10395" s="222" t="s">
        <v>6516</v>
      </c>
      <c r="C10395" s="41" t="s">
        <v>2503</v>
      </c>
      <c r="D10395" s="108" t="s">
        <v>402</v>
      </c>
      <c r="E10395" s="42">
        <v>100282.25806451612</v>
      </c>
      <c r="G10395" s="42">
        <f t="shared" si="167"/>
        <v>-100282.25806451612</v>
      </c>
      <c r="H10395" s="121" t="s">
        <v>6649</v>
      </c>
    </row>
    <row r="10396" spans="1:8" ht="15" x14ac:dyDescent="0.2">
      <c r="A10396" s="619">
        <v>44286</v>
      </c>
      <c r="B10396" s="222" t="s">
        <v>37</v>
      </c>
      <c r="C10396" s="41" t="s">
        <v>2503</v>
      </c>
      <c r="E10396" s="42">
        <v>87447.580645161288</v>
      </c>
      <c r="G10396" s="42">
        <f t="shared" si="167"/>
        <v>-87447.580645161288</v>
      </c>
      <c r="H10396" s="121" t="s">
        <v>6649</v>
      </c>
    </row>
    <row r="10397" spans="1:8" ht="15" x14ac:dyDescent="0.2">
      <c r="A10397" s="619">
        <v>44286</v>
      </c>
      <c r="B10397" s="222" t="s">
        <v>2933</v>
      </c>
      <c r="C10397" s="41" t="s">
        <v>2503</v>
      </c>
      <c r="E10397" s="42">
        <v>93907.258064516122</v>
      </c>
      <c r="G10397" s="42">
        <f t="shared" si="167"/>
        <v>-93907.258064516122</v>
      </c>
      <c r="H10397" s="121" t="s">
        <v>6649</v>
      </c>
    </row>
    <row r="10398" spans="1:8" ht="15" x14ac:dyDescent="0.2">
      <c r="A10398" s="619">
        <v>44286</v>
      </c>
      <c r="B10398" s="222" t="s">
        <v>6518</v>
      </c>
      <c r="C10398" s="41" t="s">
        <v>2503</v>
      </c>
      <c r="E10398" s="42">
        <v>72437</v>
      </c>
      <c r="G10398" s="42">
        <f t="shared" si="167"/>
        <v>-72437</v>
      </c>
      <c r="H10398" s="121" t="s">
        <v>6649</v>
      </c>
    </row>
    <row r="10399" spans="1:8" ht="15" x14ac:dyDescent="0.2">
      <c r="A10399" s="619">
        <v>44286</v>
      </c>
      <c r="B10399" s="222" t="s">
        <v>6511</v>
      </c>
      <c r="C10399" s="41" t="s">
        <v>2503</v>
      </c>
      <c r="E10399" s="42">
        <v>72437</v>
      </c>
      <c r="G10399" s="42">
        <f t="shared" si="167"/>
        <v>-72437</v>
      </c>
      <c r="H10399" s="121" t="s">
        <v>6649</v>
      </c>
    </row>
    <row r="10400" spans="1:8" ht="15" x14ac:dyDescent="0.2">
      <c r="A10400" s="619">
        <v>44286</v>
      </c>
      <c r="B10400" s="222" t="s">
        <v>6408</v>
      </c>
      <c r="C10400" s="41" t="s">
        <v>2503</v>
      </c>
      <c r="E10400" s="42">
        <v>72437</v>
      </c>
      <c r="G10400" s="42">
        <f t="shared" si="167"/>
        <v>-72437</v>
      </c>
      <c r="H10400" s="121" t="s">
        <v>6649</v>
      </c>
    </row>
    <row r="10401" spans="1:8" ht="15" x14ac:dyDescent="0.2">
      <c r="A10401" s="619">
        <v>44286</v>
      </c>
      <c r="B10401" s="222" t="s">
        <v>6508</v>
      </c>
      <c r="C10401" s="41" t="s">
        <v>2503</v>
      </c>
      <c r="E10401" s="42">
        <v>53403</v>
      </c>
      <c r="G10401" s="42">
        <f t="shared" si="167"/>
        <v>-53403</v>
      </c>
      <c r="H10401" s="121" t="s">
        <v>6649</v>
      </c>
    </row>
    <row r="10402" spans="1:8" ht="15" x14ac:dyDescent="0.2">
      <c r="A10402" s="619">
        <v>44286</v>
      </c>
      <c r="B10402" s="222" t="s">
        <v>6635</v>
      </c>
      <c r="C10402" s="41" t="s">
        <v>2503</v>
      </c>
      <c r="E10402" s="42">
        <v>53403</v>
      </c>
      <c r="G10402" s="42">
        <f t="shared" si="167"/>
        <v>-53403</v>
      </c>
      <c r="H10402" s="121" t="s">
        <v>6649</v>
      </c>
    </row>
    <row r="10403" spans="1:8" ht="15" x14ac:dyDescent="0.2">
      <c r="A10403" s="619">
        <v>44286</v>
      </c>
      <c r="B10403" s="222" t="s">
        <v>5811</v>
      </c>
      <c r="C10403" s="41" t="s">
        <v>2503</v>
      </c>
      <c r="E10403" s="42">
        <v>71625</v>
      </c>
      <c r="G10403" s="42">
        <f t="shared" si="167"/>
        <v>-71625</v>
      </c>
      <c r="H10403" s="121" t="s">
        <v>6649</v>
      </c>
    </row>
    <row r="10404" spans="1:8" ht="15" x14ac:dyDescent="0.2">
      <c r="A10404" s="619">
        <v>44286</v>
      </c>
      <c r="B10404" s="222" t="s">
        <v>4553</v>
      </c>
      <c r="C10404" s="41" t="s">
        <v>2503</v>
      </c>
      <c r="E10404" s="42">
        <v>30819</v>
      </c>
      <c r="G10404" s="42">
        <f t="shared" si="167"/>
        <v>-30819</v>
      </c>
      <c r="H10404" s="121" t="s">
        <v>6649</v>
      </c>
    </row>
    <row r="10405" spans="1:8" ht="15" x14ac:dyDescent="0.2">
      <c r="A10405" s="619">
        <v>44286</v>
      </c>
      <c r="B10405" s="222" t="s">
        <v>16</v>
      </c>
      <c r="C10405" s="41" t="s">
        <v>392</v>
      </c>
      <c r="D10405" s="108" t="s">
        <v>6821</v>
      </c>
      <c r="E10405" s="42">
        <v>46164</v>
      </c>
      <c r="G10405" s="42">
        <f t="shared" si="167"/>
        <v>-46164</v>
      </c>
      <c r="H10405" s="121" t="s">
        <v>6649</v>
      </c>
    </row>
    <row r="10406" spans="1:8" ht="15" x14ac:dyDescent="0.2">
      <c r="A10406" s="619">
        <v>44286</v>
      </c>
      <c r="B10406" s="222" t="s">
        <v>25</v>
      </c>
      <c r="C10406" s="41" t="s">
        <v>1689</v>
      </c>
      <c r="D10406" s="108" t="s">
        <v>370</v>
      </c>
      <c r="E10406" s="42">
        <v>16135</v>
      </c>
      <c r="G10406" s="42">
        <f t="shared" si="167"/>
        <v>-16135</v>
      </c>
      <c r="H10406" s="121" t="s">
        <v>6649</v>
      </c>
    </row>
    <row r="10407" spans="1:8" ht="15" x14ac:dyDescent="0.2">
      <c r="A10407" s="619">
        <v>44286</v>
      </c>
      <c r="B10407" s="222" t="s">
        <v>16</v>
      </c>
      <c r="C10407" s="41" t="s">
        <v>1689</v>
      </c>
      <c r="D10407" s="108" t="s">
        <v>370</v>
      </c>
      <c r="E10407" s="42">
        <v>11100</v>
      </c>
      <c r="G10407" s="42">
        <f t="shared" si="167"/>
        <v>-11100</v>
      </c>
      <c r="H10407" s="121" t="s">
        <v>6649</v>
      </c>
    </row>
    <row r="10408" spans="1:8" ht="15" x14ac:dyDescent="0.2">
      <c r="A10408" s="620">
        <v>44257</v>
      </c>
      <c r="B10408" s="240" t="s">
        <v>3946</v>
      </c>
      <c r="C10408" s="122" t="s">
        <v>6719</v>
      </c>
      <c r="D10408" s="228" t="s">
        <v>6660</v>
      </c>
      <c r="E10408" s="123">
        <v>40000</v>
      </c>
      <c r="F10408" s="123"/>
      <c r="G10408" s="123">
        <f t="shared" si="167"/>
        <v>-40000</v>
      </c>
      <c r="H10408" s="244" t="s">
        <v>6649</v>
      </c>
    </row>
    <row r="10409" spans="1:8" ht="15" x14ac:dyDescent="0.2">
      <c r="A10409" s="620">
        <v>44257</v>
      </c>
      <c r="B10409" s="122" t="s">
        <v>6518</v>
      </c>
      <c r="C10409" s="122" t="s">
        <v>6661</v>
      </c>
      <c r="D10409" s="228" t="s">
        <v>6662</v>
      </c>
      <c r="E10409" s="123">
        <v>500000</v>
      </c>
      <c r="F10409" s="123"/>
      <c r="G10409" s="123">
        <f t="shared" ref="G10409:G10472" si="168">F10409-E10409</f>
        <v>-500000</v>
      </c>
      <c r="H10409" s="244" t="s">
        <v>6649</v>
      </c>
    </row>
    <row r="10410" spans="1:8" ht="15" x14ac:dyDescent="0.2">
      <c r="A10410" s="620">
        <v>44257</v>
      </c>
      <c r="B10410" s="122" t="s">
        <v>6518</v>
      </c>
      <c r="C10410" s="122" t="s">
        <v>6661</v>
      </c>
      <c r="D10410" s="228" t="s">
        <v>6663</v>
      </c>
      <c r="E10410" s="123">
        <v>500000</v>
      </c>
      <c r="F10410" s="123"/>
      <c r="G10410" s="123">
        <f t="shared" si="168"/>
        <v>-500000</v>
      </c>
      <c r="H10410" s="244" t="s">
        <v>6649</v>
      </c>
    </row>
    <row r="10411" spans="1:8" ht="15" x14ac:dyDescent="0.2">
      <c r="A10411" s="620">
        <v>44258</v>
      </c>
      <c r="B10411" s="122" t="s">
        <v>1400</v>
      </c>
      <c r="C10411" s="122" t="s">
        <v>4988</v>
      </c>
      <c r="D10411" s="228" t="s">
        <v>6667</v>
      </c>
      <c r="E10411" s="123">
        <v>211000</v>
      </c>
      <c r="F10411" s="123"/>
      <c r="G10411" s="123">
        <f t="shared" si="168"/>
        <v>-211000</v>
      </c>
      <c r="H10411" s="244" t="s">
        <v>6649</v>
      </c>
    </row>
    <row r="10412" spans="1:8" ht="15" x14ac:dyDescent="0.2">
      <c r="A10412" s="620">
        <v>44258</v>
      </c>
      <c r="B10412" s="122" t="s">
        <v>6408</v>
      </c>
      <c r="C10412" s="122" t="s">
        <v>5593</v>
      </c>
      <c r="D10412" s="228" t="s">
        <v>6665</v>
      </c>
      <c r="E10412" s="123">
        <v>300000</v>
      </c>
      <c r="F10412" s="123"/>
      <c r="G10412" s="123">
        <f t="shared" si="168"/>
        <v>-300000</v>
      </c>
      <c r="H10412" s="244" t="s">
        <v>6649</v>
      </c>
    </row>
    <row r="10413" spans="1:8" ht="15" x14ac:dyDescent="0.2">
      <c r="A10413" s="620">
        <v>44258</v>
      </c>
      <c r="B10413" s="122" t="s">
        <v>6511</v>
      </c>
      <c r="C10413" s="122" t="s">
        <v>5593</v>
      </c>
      <c r="D10413" s="228" t="s">
        <v>6666</v>
      </c>
      <c r="E10413" s="123">
        <v>200000</v>
      </c>
      <c r="F10413" s="123"/>
      <c r="G10413" s="123">
        <f t="shared" si="168"/>
        <v>-200000</v>
      </c>
      <c r="H10413" s="244" t="s">
        <v>6649</v>
      </c>
    </row>
    <row r="10414" spans="1:8" ht="36" x14ac:dyDescent="0.2">
      <c r="A10414" s="620">
        <v>44260</v>
      </c>
      <c r="B10414" s="174" t="s">
        <v>6408</v>
      </c>
      <c r="C10414" s="551" t="s">
        <v>1355</v>
      </c>
      <c r="D10414" s="888" t="s">
        <v>6677</v>
      </c>
      <c r="E10414" s="552">
        <v>180350</v>
      </c>
      <c r="F10414" s="236"/>
      <c r="G10414" s="236">
        <f t="shared" si="168"/>
        <v>-180350</v>
      </c>
      <c r="H10414" s="244" t="s">
        <v>6649</v>
      </c>
    </row>
    <row r="10415" spans="1:8" ht="36" x14ac:dyDescent="0.2">
      <c r="A10415" s="620">
        <v>44260</v>
      </c>
      <c r="B10415" s="174" t="s">
        <v>6518</v>
      </c>
      <c r="C10415" s="551" t="s">
        <v>1355</v>
      </c>
      <c r="D10415" s="888" t="s">
        <v>6677</v>
      </c>
      <c r="E10415" s="552">
        <v>34600</v>
      </c>
      <c r="F10415" s="236"/>
      <c r="G10415" s="236">
        <f t="shared" si="168"/>
        <v>-34600</v>
      </c>
      <c r="H10415" s="244" t="s">
        <v>6649</v>
      </c>
    </row>
    <row r="10416" spans="1:8" s="125" customFormat="1" ht="24" x14ac:dyDescent="0.2">
      <c r="A10416" s="620">
        <v>44261</v>
      </c>
      <c r="B10416" s="174" t="s">
        <v>6408</v>
      </c>
      <c r="C10416" s="174" t="s">
        <v>166</v>
      </c>
      <c r="D10416" s="837" t="s">
        <v>6678</v>
      </c>
      <c r="E10416" s="236">
        <v>150000</v>
      </c>
      <c r="F10416" s="236"/>
      <c r="G10416" s="236">
        <f t="shared" si="168"/>
        <v>-150000</v>
      </c>
      <c r="H10416" s="244" t="s">
        <v>6649</v>
      </c>
    </row>
    <row r="10417" spans="1:8" s="125" customFormat="1" ht="15" customHeight="1" x14ac:dyDescent="0.2">
      <c r="A10417" s="620">
        <v>44261</v>
      </c>
      <c r="B10417" s="174" t="s">
        <v>1400</v>
      </c>
      <c r="C10417" s="174" t="s">
        <v>166</v>
      </c>
      <c r="D10417" s="837" t="s">
        <v>6789</v>
      </c>
      <c r="E10417" s="236">
        <v>50000</v>
      </c>
      <c r="F10417" s="236"/>
      <c r="G10417" s="236">
        <f t="shared" si="168"/>
        <v>-50000</v>
      </c>
      <c r="H10417" s="244" t="s">
        <v>6649</v>
      </c>
    </row>
    <row r="10418" spans="1:8" s="125" customFormat="1" ht="24" customHeight="1" x14ac:dyDescent="0.2">
      <c r="A10418" s="620">
        <v>44261</v>
      </c>
      <c r="B10418" s="174" t="s">
        <v>6518</v>
      </c>
      <c r="C10418" s="174" t="s">
        <v>2128</v>
      </c>
      <c r="D10418" s="837" t="s">
        <v>6679</v>
      </c>
      <c r="E10418" s="236">
        <v>229329</v>
      </c>
      <c r="F10418" s="236"/>
      <c r="G10418" s="236">
        <f t="shared" si="168"/>
        <v>-229329</v>
      </c>
      <c r="H10418" s="244" t="s">
        <v>6649</v>
      </c>
    </row>
    <row r="10419" spans="1:8" s="125" customFormat="1" ht="72" customHeight="1" x14ac:dyDescent="0.2">
      <c r="A10419" s="620">
        <v>44261</v>
      </c>
      <c r="B10419" s="174" t="s">
        <v>6518</v>
      </c>
      <c r="C10419" s="174" t="s">
        <v>6555</v>
      </c>
      <c r="D10419" s="837" t="s">
        <v>6680</v>
      </c>
      <c r="E10419" s="236">
        <v>390000</v>
      </c>
      <c r="F10419" s="236"/>
      <c r="G10419" s="236">
        <f t="shared" si="168"/>
        <v>-390000</v>
      </c>
      <c r="H10419" s="244" t="s">
        <v>6649</v>
      </c>
    </row>
    <row r="10420" spans="1:8" s="125" customFormat="1" ht="15" customHeight="1" x14ac:dyDescent="0.2">
      <c r="A10420" s="620">
        <v>44263</v>
      </c>
      <c r="B10420" s="174" t="s">
        <v>6508</v>
      </c>
      <c r="C10420" s="174" t="s">
        <v>2386</v>
      </c>
      <c r="D10420" s="228" t="s">
        <v>6691</v>
      </c>
      <c r="E10420" s="236">
        <v>300000</v>
      </c>
      <c r="F10420" s="236"/>
      <c r="G10420" s="236">
        <f t="shared" si="168"/>
        <v>-300000</v>
      </c>
      <c r="H10420" s="244" t="s">
        <v>6649</v>
      </c>
    </row>
    <row r="10421" spans="1:8" s="125" customFormat="1" ht="15" customHeight="1" x14ac:dyDescent="0.2">
      <c r="A10421" s="620">
        <v>44263</v>
      </c>
      <c r="B10421" s="174" t="s">
        <v>6518</v>
      </c>
      <c r="C10421" s="174" t="s">
        <v>5112</v>
      </c>
      <c r="D10421" s="228" t="s">
        <v>6692</v>
      </c>
      <c r="E10421" s="236">
        <v>255000</v>
      </c>
      <c r="F10421" s="236"/>
      <c r="G10421" s="236">
        <f t="shared" si="168"/>
        <v>-255000</v>
      </c>
      <c r="H10421" s="244" t="s">
        <v>6649</v>
      </c>
    </row>
    <row r="10422" spans="1:8" s="125" customFormat="1" ht="15" customHeight="1" x14ac:dyDescent="0.2">
      <c r="A10422" s="620">
        <v>44263</v>
      </c>
      <c r="B10422" s="174" t="s">
        <v>6518</v>
      </c>
      <c r="C10422" s="174" t="s">
        <v>5112</v>
      </c>
      <c r="D10422" s="228" t="s">
        <v>6693</v>
      </c>
      <c r="E10422" s="236">
        <v>255000</v>
      </c>
      <c r="F10422" s="236"/>
      <c r="G10422" s="236">
        <f t="shared" si="168"/>
        <v>-255000</v>
      </c>
      <c r="H10422" s="244" t="s">
        <v>6649</v>
      </c>
    </row>
    <row r="10423" spans="1:8" s="125" customFormat="1" ht="15" customHeight="1" x14ac:dyDescent="0.2">
      <c r="A10423" s="620">
        <v>44263</v>
      </c>
      <c r="B10423" s="174" t="s">
        <v>4721</v>
      </c>
      <c r="C10423" s="174" t="s">
        <v>6706</v>
      </c>
      <c r="D10423" s="228" t="s">
        <v>6707</v>
      </c>
      <c r="E10423" s="236">
        <v>98600</v>
      </c>
      <c r="F10423" s="236"/>
      <c r="G10423" s="236">
        <f t="shared" si="168"/>
        <v>-98600</v>
      </c>
      <c r="H10423" s="244" t="s">
        <v>6649</v>
      </c>
    </row>
    <row r="10424" spans="1:8" s="125" customFormat="1" ht="36" x14ac:dyDescent="0.2">
      <c r="A10424" s="620">
        <v>44265</v>
      </c>
      <c r="B10424" s="174" t="s">
        <v>6408</v>
      </c>
      <c r="C10424" s="174" t="s">
        <v>2264</v>
      </c>
      <c r="D10424" s="837" t="s">
        <v>6708</v>
      </c>
      <c r="E10424" s="236">
        <v>250000</v>
      </c>
      <c r="F10424" s="236"/>
      <c r="G10424" s="236">
        <f t="shared" si="168"/>
        <v>-250000</v>
      </c>
      <c r="H10424" s="244" t="s">
        <v>6649</v>
      </c>
    </row>
    <row r="10425" spans="1:8" s="125" customFormat="1" ht="72" x14ac:dyDescent="0.2">
      <c r="A10425" s="620">
        <v>44265</v>
      </c>
      <c r="B10425" s="174" t="s">
        <v>6447</v>
      </c>
      <c r="C10425" s="174" t="s">
        <v>359</v>
      </c>
      <c r="D10425" s="837" t="s">
        <v>6709</v>
      </c>
      <c r="E10425" s="236">
        <v>48438</v>
      </c>
      <c r="F10425" s="236"/>
      <c r="G10425" s="236">
        <f t="shared" si="168"/>
        <v>-48438</v>
      </c>
      <c r="H10425" s="244" t="s">
        <v>6649</v>
      </c>
    </row>
    <row r="10426" spans="1:8" s="125" customFormat="1" ht="72" x14ac:dyDescent="0.2">
      <c r="A10426" s="620">
        <v>44265</v>
      </c>
      <c r="B10426" s="174" t="s">
        <v>6518</v>
      </c>
      <c r="C10426" s="174" t="s">
        <v>359</v>
      </c>
      <c r="D10426" s="837" t="s">
        <v>6710</v>
      </c>
      <c r="E10426" s="236">
        <v>384461</v>
      </c>
      <c r="F10426" s="236"/>
      <c r="G10426" s="236">
        <f t="shared" si="168"/>
        <v>-384461</v>
      </c>
      <c r="H10426" s="244" t="s">
        <v>6649</v>
      </c>
    </row>
    <row r="10427" spans="1:8" s="125" customFormat="1" ht="24" x14ac:dyDescent="0.2">
      <c r="A10427" s="620">
        <v>44265</v>
      </c>
      <c r="B10427" s="174" t="s">
        <v>1400</v>
      </c>
      <c r="C10427" s="174" t="s">
        <v>6711</v>
      </c>
      <c r="D10427" s="837" t="s">
        <v>6712</v>
      </c>
      <c r="E10427" s="236">
        <v>141000</v>
      </c>
      <c r="F10427" s="236"/>
      <c r="G10427" s="236">
        <f t="shared" si="168"/>
        <v>-141000</v>
      </c>
      <c r="H10427" s="244" t="s">
        <v>6649</v>
      </c>
    </row>
    <row r="10428" spans="1:8" s="125" customFormat="1" ht="36" x14ac:dyDescent="0.2">
      <c r="A10428" s="620">
        <v>44267</v>
      </c>
      <c r="B10428" s="174" t="s">
        <v>6511</v>
      </c>
      <c r="C10428" s="174" t="s">
        <v>6492</v>
      </c>
      <c r="D10428" s="837" t="s">
        <v>6716</v>
      </c>
      <c r="E10428" s="236">
        <v>361536</v>
      </c>
      <c r="F10428" s="236"/>
      <c r="G10428" s="236">
        <f t="shared" si="168"/>
        <v>-361536</v>
      </c>
      <c r="H10428" s="244" t="s">
        <v>6649</v>
      </c>
    </row>
    <row r="10429" spans="1:8" s="125" customFormat="1" ht="96" x14ac:dyDescent="0.2">
      <c r="A10429" s="620">
        <v>44267</v>
      </c>
      <c r="B10429" s="174" t="s">
        <v>6103</v>
      </c>
      <c r="C10429" s="566" t="s">
        <v>1803</v>
      </c>
      <c r="D10429" s="872" t="s">
        <v>6790</v>
      </c>
      <c r="E10429" s="567">
        <v>26398</v>
      </c>
      <c r="F10429" s="236"/>
      <c r="G10429" s="236">
        <f t="shared" si="168"/>
        <v>-26398</v>
      </c>
      <c r="H10429" s="244" t="s">
        <v>6649</v>
      </c>
    </row>
    <row r="10430" spans="1:8" s="125" customFormat="1" ht="15" x14ac:dyDescent="0.2">
      <c r="A10430" s="620">
        <v>44267</v>
      </c>
      <c r="B10430" s="174" t="s">
        <v>4553</v>
      </c>
      <c r="C10430" s="566" t="s">
        <v>1803</v>
      </c>
      <c r="D10430" s="872" t="s">
        <v>6717</v>
      </c>
      <c r="E10430" s="567">
        <v>78599</v>
      </c>
      <c r="F10430" s="236"/>
      <c r="G10430" s="236">
        <f t="shared" si="168"/>
        <v>-78599</v>
      </c>
      <c r="H10430" s="244" t="s">
        <v>6649</v>
      </c>
    </row>
    <row r="10431" spans="1:8" s="125" customFormat="1" ht="15" x14ac:dyDescent="0.2">
      <c r="A10431" s="620">
        <v>44267</v>
      </c>
      <c r="B10431" s="174" t="s">
        <v>2652</v>
      </c>
      <c r="C10431" s="566" t="s">
        <v>1803</v>
      </c>
      <c r="D10431" s="872" t="s">
        <v>6717</v>
      </c>
      <c r="E10431" s="567">
        <v>116065</v>
      </c>
      <c r="F10431" s="236"/>
      <c r="G10431" s="236">
        <f t="shared" si="168"/>
        <v>-116065</v>
      </c>
      <c r="H10431" s="244" t="s">
        <v>6649</v>
      </c>
    </row>
    <row r="10432" spans="1:8" s="125" customFormat="1" ht="15" x14ac:dyDescent="0.2">
      <c r="A10432" s="620">
        <v>44267</v>
      </c>
      <c r="B10432" s="174" t="s">
        <v>1400</v>
      </c>
      <c r="C10432" s="566" t="s">
        <v>1803</v>
      </c>
      <c r="D10432" s="872" t="s">
        <v>6717</v>
      </c>
      <c r="E10432" s="567">
        <v>266438</v>
      </c>
      <c r="F10432" s="236"/>
      <c r="G10432" s="236">
        <f t="shared" si="168"/>
        <v>-266438</v>
      </c>
      <c r="H10432" s="244" t="s">
        <v>6649</v>
      </c>
    </row>
    <row r="10433" spans="1:8" s="125" customFormat="1" ht="15" x14ac:dyDescent="0.2">
      <c r="A10433" s="620">
        <v>44268</v>
      </c>
      <c r="B10433" s="174" t="s">
        <v>6518</v>
      </c>
      <c r="C10433" s="174" t="s">
        <v>3446</v>
      </c>
      <c r="D10433" s="228" t="s">
        <v>6721</v>
      </c>
      <c r="E10433" s="236">
        <v>25000</v>
      </c>
      <c r="F10433" s="236"/>
      <c r="G10433" s="236">
        <f t="shared" si="168"/>
        <v>-25000</v>
      </c>
      <c r="H10433" s="244" t="s">
        <v>6649</v>
      </c>
    </row>
    <row r="10434" spans="1:8" s="125" customFormat="1" ht="24" x14ac:dyDescent="0.2">
      <c r="A10434" s="620">
        <v>44268</v>
      </c>
      <c r="B10434" s="174" t="s">
        <v>6408</v>
      </c>
      <c r="C10434" s="174" t="s">
        <v>3145</v>
      </c>
      <c r="D10434" s="228" t="s">
        <v>6722</v>
      </c>
      <c r="E10434" s="236">
        <v>11000</v>
      </c>
      <c r="F10434" s="236"/>
      <c r="G10434" s="236">
        <f t="shared" si="168"/>
        <v>-11000</v>
      </c>
      <c r="H10434" s="244" t="s">
        <v>6649</v>
      </c>
    </row>
    <row r="10435" spans="1:8" s="125" customFormat="1" ht="15" x14ac:dyDescent="0.2">
      <c r="A10435" s="620">
        <v>44270</v>
      </c>
      <c r="B10435" s="174" t="s">
        <v>6518</v>
      </c>
      <c r="C10435" s="174" t="s">
        <v>7181</v>
      </c>
      <c r="D10435" s="228" t="s">
        <v>6740</v>
      </c>
      <c r="E10435" s="236">
        <v>50000</v>
      </c>
      <c r="F10435" s="236"/>
      <c r="G10435" s="236">
        <f t="shared" si="168"/>
        <v>-50000</v>
      </c>
      <c r="H10435" s="244" t="s">
        <v>6649</v>
      </c>
    </row>
    <row r="10436" spans="1:8" s="125" customFormat="1" ht="24" x14ac:dyDescent="0.2">
      <c r="A10436" s="620">
        <v>44270</v>
      </c>
      <c r="B10436" s="174" t="s">
        <v>6408</v>
      </c>
      <c r="C10436" s="174" t="s">
        <v>6476</v>
      </c>
      <c r="D10436" s="228" t="s">
        <v>6741</v>
      </c>
      <c r="E10436" s="236">
        <v>70000</v>
      </c>
      <c r="F10436" s="236"/>
      <c r="G10436" s="236">
        <f t="shared" si="168"/>
        <v>-70000</v>
      </c>
      <c r="H10436" s="244" t="s">
        <v>6649</v>
      </c>
    </row>
    <row r="10437" spans="1:8" s="125" customFormat="1" ht="15" x14ac:dyDescent="0.2">
      <c r="A10437" s="620">
        <v>44270</v>
      </c>
      <c r="B10437" s="174" t="s">
        <v>1400</v>
      </c>
      <c r="C10437" s="174" t="s">
        <v>5652</v>
      </c>
      <c r="D10437" s="228" t="s">
        <v>6742</v>
      </c>
      <c r="E10437" s="236">
        <v>14050</v>
      </c>
      <c r="F10437" s="236"/>
      <c r="G10437" s="236">
        <f t="shared" si="168"/>
        <v>-14050</v>
      </c>
      <c r="H10437" s="244" t="s">
        <v>6649</v>
      </c>
    </row>
    <row r="10438" spans="1:8" s="125" customFormat="1" ht="15" x14ac:dyDescent="0.2">
      <c r="A10438" s="620">
        <v>44272</v>
      </c>
      <c r="B10438" s="174" t="s">
        <v>6758</v>
      </c>
      <c r="C10438" s="174" t="s">
        <v>6756</v>
      </c>
      <c r="D10438" s="228" t="s">
        <v>6757</v>
      </c>
      <c r="E10438" s="236">
        <v>20000</v>
      </c>
      <c r="F10438" s="236"/>
      <c r="G10438" s="236">
        <f t="shared" si="168"/>
        <v>-20000</v>
      </c>
      <c r="H10438" s="244" t="s">
        <v>6649</v>
      </c>
    </row>
    <row r="10439" spans="1:8" s="125" customFormat="1" ht="15" x14ac:dyDescent="0.2">
      <c r="A10439" s="620">
        <v>44272</v>
      </c>
      <c r="B10439" s="174" t="s">
        <v>6518</v>
      </c>
      <c r="C10439" s="174" t="s">
        <v>6661</v>
      </c>
      <c r="D10439" s="228" t="s">
        <v>6755</v>
      </c>
      <c r="E10439" s="236">
        <v>500000</v>
      </c>
      <c r="F10439" s="236"/>
      <c r="G10439" s="236">
        <f t="shared" si="168"/>
        <v>-500000</v>
      </c>
      <c r="H10439" s="244" t="s">
        <v>6649</v>
      </c>
    </row>
    <row r="10440" spans="1:8" s="125" customFormat="1" ht="15" x14ac:dyDescent="0.2">
      <c r="A10440" s="620">
        <v>44277</v>
      </c>
      <c r="B10440" s="174" t="s">
        <v>1400</v>
      </c>
      <c r="C10440" s="174" t="s">
        <v>5652</v>
      </c>
      <c r="D10440" s="228" t="s">
        <v>6759</v>
      </c>
      <c r="E10440" s="236">
        <v>15900</v>
      </c>
      <c r="F10440" s="236"/>
      <c r="G10440" s="236">
        <f t="shared" si="168"/>
        <v>-15900</v>
      </c>
      <c r="H10440" s="244" t="s">
        <v>6649</v>
      </c>
    </row>
    <row r="10441" spans="1:8" s="125" customFormat="1" ht="15" x14ac:dyDescent="0.2">
      <c r="A10441" s="620">
        <v>44277</v>
      </c>
      <c r="B10441" s="174" t="s">
        <v>6760</v>
      </c>
      <c r="C10441" s="174" t="s">
        <v>6761</v>
      </c>
      <c r="D10441" s="228" t="s">
        <v>6762</v>
      </c>
      <c r="E10441" s="236">
        <v>18000</v>
      </c>
      <c r="F10441" s="236"/>
      <c r="G10441" s="236">
        <f t="shared" si="168"/>
        <v>-18000</v>
      </c>
      <c r="H10441" s="244" t="s">
        <v>6649</v>
      </c>
    </row>
    <row r="10442" spans="1:8" s="125" customFormat="1" ht="15" x14ac:dyDescent="0.2">
      <c r="A10442" s="620">
        <v>44277</v>
      </c>
      <c r="B10442" s="174" t="s">
        <v>6508</v>
      </c>
      <c r="C10442" s="174" t="s">
        <v>6763</v>
      </c>
      <c r="D10442" s="228" t="s">
        <v>6764</v>
      </c>
      <c r="E10442" s="236">
        <v>40500</v>
      </c>
      <c r="F10442" s="236"/>
      <c r="G10442" s="236">
        <f t="shared" si="168"/>
        <v>-40500</v>
      </c>
      <c r="H10442" s="244" t="s">
        <v>6649</v>
      </c>
    </row>
    <row r="10443" spans="1:8" s="125" customFormat="1" ht="15" x14ac:dyDescent="0.2">
      <c r="A10443" s="620">
        <v>44277</v>
      </c>
      <c r="B10443" s="174" t="s">
        <v>1400</v>
      </c>
      <c r="C10443" s="174" t="s">
        <v>6706</v>
      </c>
      <c r="D10443" s="228" t="s">
        <v>6769</v>
      </c>
      <c r="E10443" s="236">
        <v>100000</v>
      </c>
      <c r="F10443" s="236"/>
      <c r="G10443" s="236">
        <f t="shared" si="168"/>
        <v>-100000</v>
      </c>
      <c r="H10443" s="244" t="s">
        <v>6649</v>
      </c>
    </row>
    <row r="10444" spans="1:8" s="125" customFormat="1" ht="15" x14ac:dyDescent="0.2">
      <c r="A10444" s="620">
        <v>44280</v>
      </c>
      <c r="B10444" s="174" t="s">
        <v>6508</v>
      </c>
      <c r="C10444" s="174" t="s">
        <v>6763</v>
      </c>
      <c r="D10444" s="228" t="s">
        <v>6785</v>
      </c>
      <c r="E10444" s="236">
        <v>74450</v>
      </c>
      <c r="F10444" s="236"/>
      <c r="G10444" s="236">
        <f t="shared" si="168"/>
        <v>-74450</v>
      </c>
      <c r="H10444" s="244" t="s">
        <v>6649</v>
      </c>
    </row>
    <row r="10445" spans="1:8" s="125" customFormat="1" ht="15" x14ac:dyDescent="0.2">
      <c r="A10445" s="620">
        <v>44280</v>
      </c>
      <c r="B10445" s="174" t="s">
        <v>1400</v>
      </c>
      <c r="C10445" s="174" t="s">
        <v>6784</v>
      </c>
      <c r="D10445" s="228" t="s">
        <v>6786</v>
      </c>
      <c r="E10445" s="236">
        <v>50000</v>
      </c>
      <c r="F10445" s="236"/>
      <c r="G10445" s="236">
        <f t="shared" si="168"/>
        <v>-50000</v>
      </c>
      <c r="H10445" s="244" t="s">
        <v>6649</v>
      </c>
    </row>
    <row r="10446" spans="1:8" s="125" customFormat="1" ht="15" x14ac:dyDescent="0.2">
      <c r="A10446" s="620">
        <v>44280</v>
      </c>
      <c r="B10446" s="174" t="s">
        <v>1400</v>
      </c>
      <c r="C10446" s="174" t="s">
        <v>6784</v>
      </c>
      <c r="D10446" s="228" t="s">
        <v>6787</v>
      </c>
      <c r="E10446" s="236">
        <v>64500</v>
      </c>
      <c r="F10446" s="236"/>
      <c r="G10446" s="236">
        <f t="shared" si="168"/>
        <v>-64500</v>
      </c>
      <c r="H10446" s="244" t="s">
        <v>6649</v>
      </c>
    </row>
    <row r="10447" spans="1:8" s="125" customFormat="1" ht="24" x14ac:dyDescent="0.2">
      <c r="A10447" s="620">
        <v>44284</v>
      </c>
      <c r="B10447" s="174" t="s">
        <v>6408</v>
      </c>
      <c r="C10447" s="566" t="s">
        <v>5593</v>
      </c>
      <c r="D10447" s="875" t="s">
        <v>6788</v>
      </c>
      <c r="E10447" s="567">
        <v>53916</v>
      </c>
      <c r="F10447" s="236"/>
      <c r="G10447" s="236">
        <f t="shared" si="168"/>
        <v>-53916</v>
      </c>
      <c r="H10447" s="244" t="s">
        <v>6649</v>
      </c>
    </row>
    <row r="10448" spans="1:8" s="125" customFormat="1" ht="15" customHeight="1" x14ac:dyDescent="0.2">
      <c r="A10448" s="620">
        <v>44284</v>
      </c>
      <c r="B10448" s="174" t="s">
        <v>6511</v>
      </c>
      <c r="C10448" s="566" t="s">
        <v>5593</v>
      </c>
      <c r="D10448" s="875" t="s">
        <v>6789</v>
      </c>
      <c r="E10448" s="567">
        <v>158558</v>
      </c>
      <c r="F10448" s="236"/>
      <c r="G10448" s="236">
        <f t="shared" si="168"/>
        <v>-158558</v>
      </c>
      <c r="H10448" s="244" t="s">
        <v>6649</v>
      </c>
    </row>
    <row r="10449" spans="1:8" s="125" customFormat="1" ht="15" x14ac:dyDescent="0.2">
      <c r="A10449" s="620">
        <v>44284</v>
      </c>
      <c r="B10449" s="174" t="s">
        <v>1400</v>
      </c>
      <c r="C10449" s="566" t="s">
        <v>5593</v>
      </c>
      <c r="D10449" s="875" t="s">
        <v>6789</v>
      </c>
      <c r="E10449" s="567">
        <v>37526</v>
      </c>
      <c r="F10449" s="236"/>
      <c r="G10449" s="236">
        <f t="shared" si="168"/>
        <v>-37526</v>
      </c>
      <c r="H10449" s="244" t="s">
        <v>6649</v>
      </c>
    </row>
    <row r="10450" spans="1:8" s="125" customFormat="1" ht="24" x14ac:dyDescent="0.2">
      <c r="A10450" s="620">
        <v>44284</v>
      </c>
      <c r="B10450" s="174" t="s">
        <v>6408</v>
      </c>
      <c r="C10450" s="174" t="s">
        <v>2264</v>
      </c>
      <c r="D10450" s="228" t="s">
        <v>6788</v>
      </c>
      <c r="E10450" s="236">
        <v>200000</v>
      </c>
      <c r="F10450" s="236"/>
      <c r="G10450" s="236">
        <f t="shared" si="168"/>
        <v>-200000</v>
      </c>
      <c r="H10450" s="244" t="s">
        <v>6649</v>
      </c>
    </row>
    <row r="10451" spans="1:8" s="125" customFormat="1" ht="24" x14ac:dyDescent="0.2">
      <c r="A10451" s="620">
        <v>44284</v>
      </c>
      <c r="B10451" s="174" t="s">
        <v>6518</v>
      </c>
      <c r="C10451" s="174" t="s">
        <v>6527</v>
      </c>
      <c r="D10451" s="228" t="s">
        <v>6788</v>
      </c>
      <c r="E10451" s="236">
        <v>150000</v>
      </c>
      <c r="F10451" s="236"/>
      <c r="G10451" s="236">
        <f t="shared" si="168"/>
        <v>-150000</v>
      </c>
      <c r="H10451" s="244" t="s">
        <v>6649</v>
      </c>
    </row>
    <row r="10452" spans="1:8" s="125" customFormat="1" ht="24" x14ac:dyDescent="0.2">
      <c r="A10452" s="620">
        <v>44284</v>
      </c>
      <c r="B10452" s="174" t="s">
        <v>5641</v>
      </c>
      <c r="C10452" s="551" t="s">
        <v>2386</v>
      </c>
      <c r="D10452" s="740" t="s">
        <v>6788</v>
      </c>
      <c r="E10452" s="552">
        <v>11373</v>
      </c>
      <c r="F10452" s="236"/>
      <c r="G10452" s="236">
        <f t="shared" si="168"/>
        <v>-11373</v>
      </c>
      <c r="H10452" s="244" t="s">
        <v>6649</v>
      </c>
    </row>
    <row r="10453" spans="1:8" s="125" customFormat="1" ht="15" x14ac:dyDescent="0.2">
      <c r="A10453" s="620">
        <v>44284</v>
      </c>
      <c r="B10453" s="174" t="s">
        <v>6408</v>
      </c>
      <c r="C10453" s="551" t="s">
        <v>2386</v>
      </c>
      <c r="D10453" s="740" t="s">
        <v>6789</v>
      </c>
      <c r="E10453" s="552">
        <v>102011</v>
      </c>
      <c r="F10453" s="236"/>
      <c r="G10453" s="236">
        <f t="shared" si="168"/>
        <v>-102011</v>
      </c>
      <c r="H10453" s="244" t="s">
        <v>6649</v>
      </c>
    </row>
    <row r="10454" spans="1:8" s="125" customFormat="1" ht="15" x14ac:dyDescent="0.2">
      <c r="A10454" s="620">
        <v>44284</v>
      </c>
      <c r="B10454" s="174" t="s">
        <v>6508</v>
      </c>
      <c r="C10454" s="551" t="s">
        <v>2386</v>
      </c>
      <c r="D10454" s="740" t="s">
        <v>6789</v>
      </c>
      <c r="E10454" s="552">
        <v>36244</v>
      </c>
      <c r="F10454" s="236"/>
      <c r="G10454" s="236">
        <f t="shared" si="168"/>
        <v>-36244</v>
      </c>
      <c r="H10454" s="244" t="s">
        <v>6649</v>
      </c>
    </row>
    <row r="10455" spans="1:8" s="125" customFormat="1" ht="15" x14ac:dyDescent="0.2">
      <c r="A10455" s="620">
        <v>44284</v>
      </c>
      <c r="B10455" s="174" t="s">
        <v>6447</v>
      </c>
      <c r="C10455" s="551" t="s">
        <v>2386</v>
      </c>
      <c r="D10455" s="740" t="s">
        <v>6789</v>
      </c>
      <c r="E10455" s="552">
        <f>150000-E10454-E10453-E10452</f>
        <v>372</v>
      </c>
      <c r="F10455" s="236"/>
      <c r="G10455" s="236">
        <f t="shared" si="168"/>
        <v>-372</v>
      </c>
      <c r="H10455" s="244" t="s">
        <v>6649</v>
      </c>
    </row>
    <row r="10456" spans="1:8" s="125" customFormat="1" ht="24" x14ac:dyDescent="0.2">
      <c r="A10456" s="620">
        <v>44284</v>
      </c>
      <c r="B10456" s="174" t="s">
        <v>6518</v>
      </c>
      <c r="C10456" s="174" t="s">
        <v>2310</v>
      </c>
      <c r="D10456" s="228" t="s">
        <v>6788</v>
      </c>
      <c r="E10456" s="236">
        <v>100000</v>
      </c>
      <c r="F10456" s="236"/>
      <c r="G10456" s="236">
        <f t="shared" si="168"/>
        <v>-100000</v>
      </c>
      <c r="H10456" s="244" t="s">
        <v>6649</v>
      </c>
    </row>
    <row r="10457" spans="1:8" s="125" customFormat="1" ht="24" x14ac:dyDescent="0.2">
      <c r="A10457" s="620">
        <v>44284</v>
      </c>
      <c r="B10457" s="174" t="s">
        <v>6408</v>
      </c>
      <c r="C10457" s="174" t="s">
        <v>3011</v>
      </c>
      <c r="D10457" s="228" t="s">
        <v>6788</v>
      </c>
      <c r="E10457" s="236">
        <v>50000</v>
      </c>
      <c r="F10457" s="236"/>
      <c r="G10457" s="236">
        <f t="shared" si="168"/>
        <v>-50000</v>
      </c>
      <c r="H10457" s="244" t="s">
        <v>6649</v>
      </c>
    </row>
    <row r="10458" spans="1:8" s="125" customFormat="1" ht="24" x14ac:dyDescent="0.2">
      <c r="A10458" s="620">
        <v>44284</v>
      </c>
      <c r="B10458" s="174" t="s">
        <v>6518</v>
      </c>
      <c r="C10458" s="174" t="s">
        <v>6661</v>
      </c>
      <c r="D10458" s="228" t="s">
        <v>6788</v>
      </c>
      <c r="E10458" s="236">
        <v>180000</v>
      </c>
      <c r="F10458" s="236"/>
      <c r="G10458" s="236">
        <f t="shared" si="168"/>
        <v>-180000</v>
      </c>
      <c r="H10458" s="244" t="s">
        <v>6649</v>
      </c>
    </row>
    <row r="10459" spans="1:8" s="125" customFormat="1" ht="24" x14ac:dyDescent="0.2">
      <c r="A10459" s="620">
        <v>44284</v>
      </c>
      <c r="B10459" s="174" t="s">
        <v>1400</v>
      </c>
      <c r="C10459" s="174" t="s">
        <v>2264</v>
      </c>
      <c r="D10459" s="228" t="s">
        <v>6788</v>
      </c>
      <c r="E10459" s="236">
        <v>200000</v>
      </c>
      <c r="F10459" s="236"/>
      <c r="G10459" s="236">
        <f t="shared" si="168"/>
        <v>-200000</v>
      </c>
      <c r="H10459" s="244" t="s">
        <v>6649</v>
      </c>
    </row>
    <row r="10460" spans="1:8" s="125" customFormat="1" ht="24" x14ac:dyDescent="0.2">
      <c r="A10460" s="620">
        <v>44284</v>
      </c>
      <c r="B10460" s="174" t="s">
        <v>1400</v>
      </c>
      <c r="C10460" s="174" t="s">
        <v>5681</v>
      </c>
      <c r="D10460" s="228" t="s">
        <v>6788</v>
      </c>
      <c r="E10460" s="236">
        <v>50000</v>
      </c>
      <c r="F10460" s="236"/>
      <c r="G10460" s="236">
        <f t="shared" si="168"/>
        <v>-50000</v>
      </c>
      <c r="H10460" s="244" t="s">
        <v>6649</v>
      </c>
    </row>
    <row r="10461" spans="1:8" s="125" customFormat="1" ht="24" x14ac:dyDescent="0.2">
      <c r="A10461" s="620">
        <v>44284</v>
      </c>
      <c r="B10461" s="174" t="s">
        <v>1400</v>
      </c>
      <c r="C10461" s="174" t="s">
        <v>1391</v>
      </c>
      <c r="D10461" s="228" t="s">
        <v>6788</v>
      </c>
      <c r="E10461" s="236">
        <v>100000</v>
      </c>
      <c r="F10461" s="236"/>
      <c r="G10461" s="236">
        <f t="shared" si="168"/>
        <v>-100000</v>
      </c>
      <c r="H10461" s="244" t="s">
        <v>6649</v>
      </c>
    </row>
    <row r="10462" spans="1:8" s="125" customFormat="1" ht="24" customHeight="1" x14ac:dyDescent="0.2">
      <c r="A10462" s="620">
        <v>44284</v>
      </c>
      <c r="B10462" s="174" t="s">
        <v>6447</v>
      </c>
      <c r="C10462" s="634" t="s">
        <v>256</v>
      </c>
      <c r="D10462" s="896" t="s">
        <v>6788</v>
      </c>
      <c r="E10462" s="636">
        <v>21600</v>
      </c>
      <c r="F10462" s="236"/>
      <c r="G10462" s="236">
        <f t="shared" si="168"/>
        <v>-21600</v>
      </c>
      <c r="H10462" s="244" t="s">
        <v>6649</v>
      </c>
    </row>
    <row r="10463" spans="1:8" s="125" customFormat="1" ht="15" customHeight="1" x14ac:dyDescent="0.2">
      <c r="A10463" s="620">
        <v>44284</v>
      </c>
      <c r="B10463" s="174" t="s">
        <v>6518</v>
      </c>
      <c r="C10463" s="634" t="s">
        <v>256</v>
      </c>
      <c r="D10463" s="896" t="s">
        <v>6789</v>
      </c>
      <c r="E10463" s="636">
        <v>30000</v>
      </c>
      <c r="F10463" s="236"/>
      <c r="G10463" s="236">
        <f t="shared" si="168"/>
        <v>-30000</v>
      </c>
      <c r="H10463" s="244" t="s">
        <v>6649</v>
      </c>
    </row>
    <row r="10464" spans="1:8" s="125" customFormat="1" ht="15" customHeight="1" x14ac:dyDescent="0.2">
      <c r="A10464" s="620">
        <v>44284</v>
      </c>
      <c r="B10464" s="174" t="s">
        <v>2652</v>
      </c>
      <c r="C10464" s="634" t="s">
        <v>256</v>
      </c>
      <c r="D10464" s="896" t="s">
        <v>6789</v>
      </c>
      <c r="E10464" s="636">
        <v>98400</v>
      </c>
      <c r="F10464" s="236"/>
      <c r="G10464" s="236">
        <f t="shared" si="168"/>
        <v>-98400</v>
      </c>
      <c r="H10464" s="244" t="s">
        <v>6649</v>
      </c>
    </row>
    <row r="10465" spans="1:8" s="125" customFormat="1" ht="15" x14ac:dyDescent="0.2">
      <c r="A10465" s="620">
        <v>44286</v>
      </c>
      <c r="B10465" s="174" t="s">
        <v>1400</v>
      </c>
      <c r="C10465" s="551" t="s">
        <v>6492</v>
      </c>
      <c r="D10465" s="740" t="s">
        <v>6815</v>
      </c>
      <c r="E10465" s="552">
        <v>25700</v>
      </c>
      <c r="F10465" s="236"/>
      <c r="G10465" s="236">
        <f t="shared" si="168"/>
        <v>-25700</v>
      </c>
      <c r="H10465" s="244" t="s">
        <v>6649</v>
      </c>
    </row>
    <row r="10466" spans="1:8" s="125" customFormat="1" ht="15" x14ac:dyDescent="0.2">
      <c r="A10466" s="620">
        <v>44286</v>
      </c>
      <c r="B10466" s="174" t="s">
        <v>6511</v>
      </c>
      <c r="C10466" s="551" t="s">
        <v>6492</v>
      </c>
      <c r="D10466" s="740" t="s">
        <v>6815</v>
      </c>
      <c r="E10466" s="552">
        <v>34000</v>
      </c>
      <c r="F10466" s="236"/>
      <c r="G10466" s="236">
        <f t="shared" si="168"/>
        <v>-34000</v>
      </c>
      <c r="H10466" s="244" t="s">
        <v>6649</v>
      </c>
    </row>
    <row r="10467" spans="1:8" s="125" customFormat="1" ht="15" x14ac:dyDescent="0.2">
      <c r="A10467" s="620">
        <v>44286</v>
      </c>
      <c r="B10467" s="174" t="s">
        <v>6518</v>
      </c>
      <c r="C10467" s="551" t="s">
        <v>6492</v>
      </c>
      <c r="D10467" s="740" t="s">
        <v>6815</v>
      </c>
      <c r="E10467" s="552">
        <v>38953</v>
      </c>
      <c r="F10467" s="236"/>
      <c r="G10467" s="236">
        <f t="shared" si="168"/>
        <v>-38953</v>
      </c>
      <c r="H10467" s="244" t="s">
        <v>6649</v>
      </c>
    </row>
    <row r="10468" spans="1:8" s="125" customFormat="1" ht="15" x14ac:dyDescent="0.2">
      <c r="A10468" s="620">
        <v>44286</v>
      </c>
      <c r="B10468" s="174" t="s">
        <v>6511</v>
      </c>
      <c r="C10468" s="634" t="s">
        <v>3011</v>
      </c>
      <c r="D10468" s="896" t="s">
        <v>6817</v>
      </c>
      <c r="E10468" s="636">
        <v>14000</v>
      </c>
      <c r="F10468" s="236"/>
      <c r="G10468" s="236">
        <f t="shared" si="168"/>
        <v>-14000</v>
      </c>
      <c r="H10468" s="244" t="s">
        <v>6649</v>
      </c>
    </row>
    <row r="10469" spans="1:8" s="125" customFormat="1" ht="15" x14ac:dyDescent="0.2">
      <c r="A10469" s="620">
        <v>44286</v>
      </c>
      <c r="B10469" s="174" t="s">
        <v>6408</v>
      </c>
      <c r="C10469" s="634" t="s">
        <v>3011</v>
      </c>
      <c r="D10469" s="896" t="s">
        <v>6817</v>
      </c>
      <c r="E10469" s="636">
        <v>30450</v>
      </c>
      <c r="F10469" s="236"/>
      <c r="G10469" s="236">
        <f t="shared" si="168"/>
        <v>-30450</v>
      </c>
      <c r="H10469" s="244" t="s">
        <v>6649</v>
      </c>
    </row>
    <row r="10470" spans="1:8" ht="15" x14ac:dyDescent="0.2">
      <c r="A10470" s="618">
        <v>44258</v>
      </c>
      <c r="B10470" s="91" t="s">
        <v>6518</v>
      </c>
      <c r="C10470" s="94" t="s">
        <v>559</v>
      </c>
      <c r="D10470" s="801" t="s">
        <v>6672</v>
      </c>
      <c r="E10470" s="92"/>
      <c r="F10470" s="92">
        <v>2312500</v>
      </c>
      <c r="G10470" s="92">
        <f t="shared" si="168"/>
        <v>2312500</v>
      </c>
      <c r="H10470" s="261" t="s">
        <v>6649</v>
      </c>
    </row>
    <row r="10471" spans="1:8" ht="15" x14ac:dyDescent="0.2">
      <c r="A10471" s="618">
        <v>44259</v>
      </c>
      <c r="B10471" s="91" t="s">
        <v>4553</v>
      </c>
      <c r="C10471" s="94" t="s">
        <v>559</v>
      </c>
      <c r="D10471" s="801" t="s">
        <v>6673</v>
      </c>
      <c r="E10471" s="92"/>
      <c r="F10471" s="92">
        <v>200000</v>
      </c>
      <c r="G10471" s="92">
        <f t="shared" si="168"/>
        <v>200000</v>
      </c>
      <c r="H10471" s="261" t="s">
        <v>6649</v>
      </c>
    </row>
    <row r="10472" spans="1:8" ht="24" x14ac:dyDescent="0.2">
      <c r="A10472" s="618">
        <v>44260</v>
      </c>
      <c r="B10472" s="91" t="s">
        <v>6508</v>
      </c>
      <c r="C10472" s="94" t="s">
        <v>559</v>
      </c>
      <c r="D10472" s="798" t="s">
        <v>6674</v>
      </c>
      <c r="E10472" s="92"/>
      <c r="F10472" s="92">
        <v>229329</v>
      </c>
      <c r="G10472" s="92">
        <f t="shared" si="168"/>
        <v>229329</v>
      </c>
      <c r="H10472" s="261" t="s">
        <v>6649</v>
      </c>
    </row>
    <row r="10473" spans="1:8" ht="72" x14ac:dyDescent="0.2">
      <c r="A10473" s="618">
        <v>44260</v>
      </c>
      <c r="B10473" s="91" t="s">
        <v>6508</v>
      </c>
      <c r="C10473" s="94" t="s">
        <v>559</v>
      </c>
      <c r="D10473" s="798" t="s">
        <v>6676</v>
      </c>
      <c r="E10473" s="92"/>
      <c r="F10473" s="92">
        <v>390000</v>
      </c>
      <c r="G10473" s="92">
        <f t="shared" ref="G10473:G10536" si="169">F10473-E10473</f>
        <v>390000</v>
      </c>
      <c r="H10473" s="261" t="s">
        <v>6649</v>
      </c>
    </row>
    <row r="10474" spans="1:8" ht="24" x14ac:dyDescent="0.2">
      <c r="A10474" s="618">
        <v>44260</v>
      </c>
      <c r="B10474" s="91" t="s">
        <v>6508</v>
      </c>
      <c r="C10474" s="94" t="s">
        <v>559</v>
      </c>
      <c r="D10474" s="798" t="s">
        <v>6675</v>
      </c>
      <c r="E10474" s="92"/>
      <c r="F10474" s="92">
        <v>200000</v>
      </c>
      <c r="G10474" s="92">
        <f t="shared" si="169"/>
        <v>200000</v>
      </c>
      <c r="H10474" s="261" t="s">
        <v>6649</v>
      </c>
    </row>
    <row r="10475" spans="1:8" ht="72" x14ac:dyDescent="0.2">
      <c r="A10475" s="618">
        <v>44265</v>
      </c>
      <c r="B10475" s="91" t="s">
        <v>6508</v>
      </c>
      <c r="C10475" s="94" t="s">
        <v>559</v>
      </c>
      <c r="D10475" s="798" t="s">
        <v>6743</v>
      </c>
      <c r="E10475" s="92"/>
      <c r="F10475" s="92">
        <v>432899</v>
      </c>
      <c r="G10475" s="92">
        <f t="shared" si="169"/>
        <v>432899</v>
      </c>
      <c r="H10475" s="261" t="s">
        <v>6649</v>
      </c>
    </row>
    <row r="10476" spans="1:8" ht="24" x14ac:dyDescent="0.2">
      <c r="A10476" s="618">
        <v>44265</v>
      </c>
      <c r="B10476" s="91" t="s">
        <v>6508</v>
      </c>
      <c r="C10476" s="94" t="s">
        <v>559</v>
      </c>
      <c r="D10476" s="798" t="s">
        <v>6705</v>
      </c>
      <c r="E10476" s="92"/>
      <c r="F10476" s="92">
        <v>250000</v>
      </c>
      <c r="G10476" s="92">
        <f t="shared" si="169"/>
        <v>250000</v>
      </c>
      <c r="H10476" s="261" t="s">
        <v>6649</v>
      </c>
    </row>
    <row r="10477" spans="1:8" ht="24" x14ac:dyDescent="0.2">
      <c r="A10477" s="618">
        <v>44266</v>
      </c>
      <c r="B10477" s="91" t="s">
        <v>6408</v>
      </c>
      <c r="C10477" s="94" t="s">
        <v>559</v>
      </c>
      <c r="D10477" s="798" t="s">
        <v>6713</v>
      </c>
      <c r="E10477" s="92"/>
      <c r="F10477" s="92">
        <v>500000</v>
      </c>
      <c r="G10477" s="92">
        <f t="shared" si="169"/>
        <v>500000</v>
      </c>
      <c r="H10477" s="261" t="s">
        <v>6649</v>
      </c>
    </row>
    <row r="10478" spans="1:8" ht="24" x14ac:dyDescent="0.2">
      <c r="A10478" s="618">
        <v>44266</v>
      </c>
      <c r="B10478" s="91" t="s">
        <v>6408</v>
      </c>
      <c r="C10478" s="94" t="s">
        <v>559</v>
      </c>
      <c r="D10478" s="798" t="s">
        <v>6714</v>
      </c>
      <c r="E10478" s="92"/>
      <c r="F10478" s="92">
        <v>361536</v>
      </c>
      <c r="G10478" s="92">
        <f t="shared" si="169"/>
        <v>361536</v>
      </c>
      <c r="H10478" s="261" t="s">
        <v>6649</v>
      </c>
    </row>
    <row r="10479" spans="1:8" ht="24" x14ac:dyDescent="0.2">
      <c r="A10479" s="618">
        <v>44266</v>
      </c>
      <c r="B10479" s="91" t="s">
        <v>6408</v>
      </c>
      <c r="C10479" s="94" t="s">
        <v>559</v>
      </c>
      <c r="D10479" s="798" t="s">
        <v>6715</v>
      </c>
      <c r="E10479" s="92"/>
      <c r="F10479" s="92">
        <v>102286</v>
      </c>
      <c r="G10479" s="92">
        <f t="shared" si="169"/>
        <v>102286</v>
      </c>
      <c r="H10479" s="261" t="s">
        <v>6649</v>
      </c>
    </row>
    <row r="10480" spans="1:8" ht="15" x14ac:dyDescent="0.2">
      <c r="A10480" s="618">
        <v>44267</v>
      </c>
      <c r="B10480" s="91" t="s">
        <v>6518</v>
      </c>
      <c r="C10480" s="94" t="s">
        <v>559</v>
      </c>
      <c r="D10480" s="801" t="s">
        <v>6718</v>
      </c>
      <c r="E10480" s="92"/>
      <c r="F10480" s="92">
        <v>1184000</v>
      </c>
      <c r="G10480" s="92">
        <f t="shared" si="169"/>
        <v>1184000</v>
      </c>
      <c r="H10480" s="261" t="s">
        <v>6649</v>
      </c>
    </row>
    <row r="10481" spans="1:8" ht="24" x14ac:dyDescent="0.2">
      <c r="A10481" s="618">
        <v>44272</v>
      </c>
      <c r="B10481" s="94" t="s">
        <v>6508</v>
      </c>
      <c r="C10481" s="94" t="s">
        <v>559</v>
      </c>
      <c r="D10481" s="802" t="s">
        <v>6744</v>
      </c>
      <c r="E10481" s="176"/>
      <c r="F10481" s="176">
        <v>165661</v>
      </c>
      <c r="G10481" s="176">
        <f t="shared" si="169"/>
        <v>165661</v>
      </c>
      <c r="H10481" s="261" t="s">
        <v>6649</v>
      </c>
    </row>
    <row r="10482" spans="1:8" ht="15" x14ac:dyDescent="0.2">
      <c r="A10482" s="618">
        <v>44272</v>
      </c>
      <c r="B10482" s="91" t="s">
        <v>3946</v>
      </c>
      <c r="C10482" s="94" t="s">
        <v>559</v>
      </c>
      <c r="D10482" s="801" t="s">
        <v>6745</v>
      </c>
      <c r="E10482" s="92"/>
      <c r="F10482" s="92">
        <v>139113</v>
      </c>
      <c r="G10482" s="92">
        <f t="shared" si="169"/>
        <v>139113</v>
      </c>
      <c r="H10482" s="261" t="s">
        <v>6649</v>
      </c>
    </row>
    <row r="10483" spans="1:8" ht="24" x14ac:dyDescent="0.2">
      <c r="A10483" s="618">
        <v>44279</v>
      </c>
      <c r="B10483" s="91" t="s">
        <v>1400</v>
      </c>
      <c r="C10483" s="94" t="s">
        <v>559</v>
      </c>
      <c r="D10483" s="798" t="s">
        <v>6768</v>
      </c>
      <c r="E10483" s="92"/>
      <c r="F10483" s="92">
        <v>129500</v>
      </c>
      <c r="G10483" s="92">
        <f t="shared" si="169"/>
        <v>129500</v>
      </c>
      <c r="H10483" s="261" t="s">
        <v>6649</v>
      </c>
    </row>
    <row r="10484" spans="1:8" ht="15" x14ac:dyDescent="0.2">
      <c r="A10484" s="618">
        <v>44282</v>
      </c>
      <c r="B10484" s="91" t="s">
        <v>37</v>
      </c>
      <c r="C10484" s="94" t="s">
        <v>559</v>
      </c>
      <c r="D10484" s="801" t="s">
        <v>6575</v>
      </c>
      <c r="E10484" s="92"/>
      <c r="F10484" s="92">
        <v>157140</v>
      </c>
      <c r="G10484" s="92">
        <f t="shared" si="169"/>
        <v>157140</v>
      </c>
      <c r="H10484" s="261" t="s">
        <v>6649</v>
      </c>
    </row>
    <row r="10485" spans="1:8" ht="15" x14ac:dyDescent="0.2">
      <c r="A10485" s="618">
        <v>44282</v>
      </c>
      <c r="B10485" s="91" t="s">
        <v>37</v>
      </c>
      <c r="C10485" s="94" t="s">
        <v>559</v>
      </c>
      <c r="D10485" s="801" t="s">
        <v>6770</v>
      </c>
      <c r="E10485" s="92"/>
      <c r="F10485" s="92">
        <v>157140</v>
      </c>
      <c r="G10485" s="92">
        <f t="shared" si="169"/>
        <v>157140</v>
      </c>
      <c r="H10485" s="261" t="s">
        <v>6649</v>
      </c>
    </row>
    <row r="10486" spans="1:8" ht="15" x14ac:dyDescent="0.2">
      <c r="A10486" s="618">
        <v>44284</v>
      </c>
      <c r="B10486" s="91" t="s">
        <v>6516</v>
      </c>
      <c r="C10486" s="94" t="s">
        <v>559</v>
      </c>
      <c r="D10486" s="801" t="s">
        <v>6771</v>
      </c>
      <c r="E10486" s="92"/>
      <c r="F10486" s="92">
        <v>625014</v>
      </c>
      <c r="G10486" s="92">
        <f t="shared" si="169"/>
        <v>625014</v>
      </c>
      <c r="H10486" s="261" t="s">
        <v>6649</v>
      </c>
    </row>
    <row r="10487" spans="1:8" ht="24" x14ac:dyDescent="0.2">
      <c r="A10487" s="618">
        <v>44284</v>
      </c>
      <c r="B10487" s="91" t="s">
        <v>7126</v>
      </c>
      <c r="C10487" s="94" t="s">
        <v>559</v>
      </c>
      <c r="D10487" s="798" t="s">
        <v>6777</v>
      </c>
      <c r="E10487" s="92"/>
      <c r="F10487" s="92">
        <v>565356</v>
      </c>
      <c r="G10487" s="92">
        <f t="shared" si="169"/>
        <v>565356</v>
      </c>
      <c r="H10487" s="261" t="s">
        <v>6649</v>
      </c>
    </row>
    <row r="10488" spans="1:8" ht="24" x14ac:dyDescent="0.2">
      <c r="A10488" s="618">
        <v>44284</v>
      </c>
      <c r="B10488" s="91" t="s">
        <v>6635</v>
      </c>
      <c r="C10488" s="94" t="s">
        <v>559</v>
      </c>
      <c r="D10488" s="798" t="s">
        <v>6778</v>
      </c>
      <c r="E10488" s="92"/>
      <c r="F10488" s="92">
        <v>500000</v>
      </c>
      <c r="G10488" s="92">
        <f t="shared" si="169"/>
        <v>500000</v>
      </c>
      <c r="H10488" s="261" t="s">
        <v>6649</v>
      </c>
    </row>
    <row r="10489" spans="1:8" ht="24" x14ac:dyDescent="0.2">
      <c r="A10489" s="618">
        <v>44284</v>
      </c>
      <c r="B10489" s="91" t="s">
        <v>6635</v>
      </c>
      <c r="C10489" s="94" t="s">
        <v>559</v>
      </c>
      <c r="D10489" s="798" t="s">
        <v>6778</v>
      </c>
      <c r="E10489" s="92"/>
      <c r="F10489" s="92">
        <v>500000</v>
      </c>
      <c r="G10489" s="92">
        <f t="shared" si="169"/>
        <v>500000</v>
      </c>
      <c r="H10489" s="261" t="s">
        <v>6649</v>
      </c>
    </row>
    <row r="10490" spans="1:8" ht="24" x14ac:dyDescent="0.2">
      <c r="A10490" s="618">
        <v>44284</v>
      </c>
      <c r="B10490" s="94" t="s">
        <v>1400</v>
      </c>
      <c r="C10490" s="94" t="s">
        <v>559</v>
      </c>
      <c r="D10490" s="798" t="s">
        <v>6772</v>
      </c>
      <c r="E10490" s="92"/>
      <c r="F10490" s="176">
        <v>250000</v>
      </c>
      <c r="G10490" s="176">
        <f t="shared" si="169"/>
        <v>250000</v>
      </c>
      <c r="H10490" s="261" t="s">
        <v>6649</v>
      </c>
    </row>
    <row r="10491" spans="1:8" ht="24" x14ac:dyDescent="0.2">
      <c r="A10491" s="618">
        <v>44284</v>
      </c>
      <c r="B10491" s="94" t="s">
        <v>1400</v>
      </c>
      <c r="C10491" s="94" t="s">
        <v>559</v>
      </c>
      <c r="D10491" s="798" t="s">
        <v>6773</v>
      </c>
      <c r="E10491" s="92"/>
      <c r="F10491" s="176">
        <v>200000</v>
      </c>
      <c r="G10491" s="176">
        <f t="shared" si="169"/>
        <v>200000</v>
      </c>
      <c r="H10491" s="261" t="s">
        <v>6649</v>
      </c>
    </row>
    <row r="10492" spans="1:8" ht="24" x14ac:dyDescent="0.2">
      <c r="A10492" s="618">
        <v>44284</v>
      </c>
      <c r="B10492" s="94" t="s">
        <v>1400</v>
      </c>
      <c r="C10492" s="94" t="s">
        <v>559</v>
      </c>
      <c r="D10492" s="798" t="s">
        <v>6774</v>
      </c>
      <c r="E10492" s="92"/>
      <c r="F10492" s="176">
        <v>150000</v>
      </c>
      <c r="G10492" s="176">
        <f t="shared" si="169"/>
        <v>150000</v>
      </c>
      <c r="H10492" s="261" t="s">
        <v>6649</v>
      </c>
    </row>
    <row r="10493" spans="1:8" ht="24" x14ac:dyDescent="0.2">
      <c r="A10493" s="618">
        <v>44284</v>
      </c>
      <c r="B10493" s="94" t="s">
        <v>1400</v>
      </c>
      <c r="C10493" s="94" t="s">
        <v>559</v>
      </c>
      <c r="D10493" s="798" t="s">
        <v>6775</v>
      </c>
      <c r="E10493" s="92"/>
      <c r="F10493" s="176">
        <v>150000</v>
      </c>
      <c r="G10493" s="176">
        <f t="shared" si="169"/>
        <v>150000</v>
      </c>
      <c r="H10493" s="261" t="s">
        <v>6649</v>
      </c>
    </row>
    <row r="10494" spans="1:8" ht="24" customHeight="1" x14ac:dyDescent="0.2">
      <c r="A10494" s="618">
        <v>44284</v>
      </c>
      <c r="B10494" s="94" t="s">
        <v>1400</v>
      </c>
      <c r="C10494" s="94" t="s">
        <v>559</v>
      </c>
      <c r="D10494" s="798" t="s">
        <v>6776</v>
      </c>
      <c r="E10494" s="92"/>
      <c r="F10494" s="176">
        <v>100000</v>
      </c>
      <c r="G10494" s="176">
        <f t="shared" si="169"/>
        <v>100000</v>
      </c>
      <c r="H10494" s="261" t="s">
        <v>6649</v>
      </c>
    </row>
    <row r="10495" spans="1:8" ht="24" x14ac:dyDescent="0.2">
      <c r="A10495" s="618">
        <v>44284</v>
      </c>
      <c r="B10495" s="94" t="s">
        <v>1400</v>
      </c>
      <c r="C10495" s="94" t="s">
        <v>559</v>
      </c>
      <c r="D10495" s="798" t="s">
        <v>6779</v>
      </c>
      <c r="E10495" s="92"/>
      <c r="F10495" s="92">
        <v>50000</v>
      </c>
      <c r="G10495" s="176">
        <f t="shared" si="169"/>
        <v>50000</v>
      </c>
      <c r="H10495" s="261" t="s">
        <v>6649</v>
      </c>
    </row>
    <row r="10496" spans="1:8" ht="24" x14ac:dyDescent="0.2">
      <c r="A10496" s="618">
        <v>44284</v>
      </c>
      <c r="B10496" s="94" t="s">
        <v>1400</v>
      </c>
      <c r="C10496" s="94" t="s">
        <v>559</v>
      </c>
      <c r="D10496" s="798" t="s">
        <v>6780</v>
      </c>
      <c r="E10496" s="92"/>
      <c r="F10496" s="92">
        <v>180000</v>
      </c>
      <c r="G10496" s="176">
        <f t="shared" si="169"/>
        <v>180000</v>
      </c>
      <c r="H10496" s="261" t="s">
        <v>6649</v>
      </c>
    </row>
    <row r="10497" spans="1:8" ht="24" x14ac:dyDescent="0.2">
      <c r="A10497" s="618">
        <v>44284</v>
      </c>
      <c r="B10497" s="94" t="s">
        <v>1400</v>
      </c>
      <c r="C10497" s="94" t="s">
        <v>559</v>
      </c>
      <c r="D10497" s="798" t="s">
        <v>6781</v>
      </c>
      <c r="E10497" s="92"/>
      <c r="F10497" s="92">
        <v>200000</v>
      </c>
      <c r="G10497" s="176">
        <f t="shared" si="169"/>
        <v>200000</v>
      </c>
      <c r="H10497" s="261" t="s">
        <v>6649</v>
      </c>
    </row>
    <row r="10498" spans="1:8" ht="24" x14ac:dyDescent="0.2">
      <c r="A10498" s="618">
        <v>44284</v>
      </c>
      <c r="B10498" s="94" t="s">
        <v>1400</v>
      </c>
      <c r="C10498" s="94" t="s">
        <v>559</v>
      </c>
      <c r="D10498" s="798" t="s">
        <v>6782</v>
      </c>
      <c r="E10498" s="92"/>
      <c r="F10498" s="92">
        <v>50000</v>
      </c>
      <c r="G10498" s="176">
        <f t="shared" si="169"/>
        <v>50000</v>
      </c>
      <c r="H10498" s="261" t="s">
        <v>6649</v>
      </c>
    </row>
    <row r="10499" spans="1:8" ht="24" x14ac:dyDescent="0.2">
      <c r="A10499" s="618">
        <v>44284</v>
      </c>
      <c r="B10499" s="94" t="s">
        <v>1400</v>
      </c>
      <c r="C10499" s="94" t="s">
        <v>559</v>
      </c>
      <c r="D10499" s="798" t="s">
        <v>6783</v>
      </c>
      <c r="E10499" s="92"/>
      <c r="F10499" s="92">
        <v>100000</v>
      </c>
      <c r="G10499" s="176">
        <f t="shared" si="169"/>
        <v>100000</v>
      </c>
      <c r="H10499" s="261" t="s">
        <v>6649</v>
      </c>
    </row>
    <row r="10500" spans="1:8" ht="24" x14ac:dyDescent="0.2">
      <c r="A10500" s="618">
        <v>44284</v>
      </c>
      <c r="B10500" s="94" t="s">
        <v>1400</v>
      </c>
      <c r="C10500" s="94" t="s">
        <v>559</v>
      </c>
      <c r="D10500" s="798" t="s">
        <v>6810</v>
      </c>
      <c r="E10500" s="92"/>
      <c r="F10500" s="92">
        <v>150000</v>
      </c>
      <c r="G10500" s="176">
        <f t="shared" si="169"/>
        <v>150000</v>
      </c>
      <c r="H10500" s="261" t="s">
        <v>6649</v>
      </c>
    </row>
    <row r="10501" spans="1:8" ht="15" customHeight="1" x14ac:dyDescent="0.2">
      <c r="A10501" s="618">
        <v>44277</v>
      </c>
      <c r="B10501" s="94" t="s">
        <v>5052</v>
      </c>
      <c r="C10501" s="94" t="s">
        <v>559</v>
      </c>
      <c r="D10501" s="798" t="s">
        <v>7019</v>
      </c>
      <c r="E10501" s="92"/>
      <c r="F10501" s="92">
        <v>1000000</v>
      </c>
      <c r="G10501" s="176">
        <f t="shared" si="169"/>
        <v>1000000</v>
      </c>
      <c r="H10501" s="261" t="s">
        <v>6649</v>
      </c>
    </row>
    <row r="10502" spans="1:8" ht="15" customHeight="1" x14ac:dyDescent="0.25">
      <c r="A10502" s="631">
        <v>44284</v>
      </c>
      <c r="B10502" s="91" t="s">
        <v>3945</v>
      </c>
      <c r="C10502" s="91" t="s">
        <v>559</v>
      </c>
      <c r="D10502" s="801" t="s">
        <v>6745</v>
      </c>
      <c r="E10502" s="632"/>
      <c r="F10502" s="632">
        <v>53505</v>
      </c>
      <c r="G10502" s="632">
        <f t="shared" si="169"/>
        <v>53505</v>
      </c>
      <c r="H10502" s="633" t="s">
        <v>6649</v>
      </c>
    </row>
    <row r="10503" spans="1:8" ht="15" customHeight="1" x14ac:dyDescent="0.25">
      <c r="A10503" s="639">
        <v>44287</v>
      </c>
      <c r="B10503" s="41" t="s">
        <v>2933</v>
      </c>
      <c r="C10503" s="41" t="s">
        <v>3145</v>
      </c>
      <c r="D10503" s="108" t="s">
        <v>6486</v>
      </c>
      <c r="E10503" s="640">
        <v>7940</v>
      </c>
      <c r="F10503" s="640"/>
      <c r="G10503" s="640">
        <f t="shared" si="169"/>
        <v>-7940</v>
      </c>
      <c r="H10503" s="114" t="s">
        <v>6812</v>
      </c>
    </row>
    <row r="10504" spans="1:8" ht="15" customHeight="1" x14ac:dyDescent="0.25">
      <c r="A10504" s="639">
        <v>44287</v>
      </c>
      <c r="B10504" s="41" t="s">
        <v>6408</v>
      </c>
      <c r="C10504" s="41" t="s">
        <v>3446</v>
      </c>
      <c r="D10504" s="108" t="s">
        <v>6823</v>
      </c>
      <c r="E10504" s="640">
        <v>20000</v>
      </c>
      <c r="F10504" s="640"/>
      <c r="G10504" s="640">
        <f t="shared" si="169"/>
        <v>-20000</v>
      </c>
      <c r="H10504" s="114" t="s">
        <v>6812</v>
      </c>
    </row>
    <row r="10505" spans="1:8" ht="15" customHeight="1" x14ac:dyDescent="0.25">
      <c r="A10505" s="639">
        <v>44287</v>
      </c>
      <c r="B10505" s="41" t="s">
        <v>6518</v>
      </c>
      <c r="C10505" s="41" t="s">
        <v>392</v>
      </c>
      <c r="D10505" s="108" t="s">
        <v>6824</v>
      </c>
      <c r="E10505" s="640">
        <v>12000</v>
      </c>
      <c r="F10505" s="640"/>
      <c r="G10505" s="640">
        <f t="shared" si="169"/>
        <v>-12000</v>
      </c>
      <c r="H10505" s="114" t="s">
        <v>6812</v>
      </c>
    </row>
    <row r="10506" spans="1:8" ht="15" customHeight="1" x14ac:dyDescent="0.25">
      <c r="A10506" s="639">
        <v>44287</v>
      </c>
      <c r="B10506" s="41" t="s">
        <v>25</v>
      </c>
      <c r="C10506" s="41" t="s">
        <v>1005</v>
      </c>
      <c r="E10506" s="640">
        <v>650</v>
      </c>
      <c r="F10506" s="640"/>
      <c r="G10506" s="640">
        <f t="shared" si="169"/>
        <v>-650</v>
      </c>
      <c r="H10506" s="114" t="s">
        <v>6812</v>
      </c>
    </row>
    <row r="10507" spans="1:8" ht="15" customHeight="1" x14ac:dyDescent="0.25">
      <c r="A10507" s="639">
        <v>44287</v>
      </c>
      <c r="B10507" s="41" t="s">
        <v>6518</v>
      </c>
      <c r="C10507" s="41" t="s">
        <v>3145</v>
      </c>
      <c r="D10507" s="108" t="s">
        <v>6486</v>
      </c>
      <c r="E10507" s="640">
        <v>3300</v>
      </c>
      <c r="F10507" s="640"/>
      <c r="G10507" s="640">
        <f t="shared" si="169"/>
        <v>-3300</v>
      </c>
      <c r="H10507" s="114" t="s">
        <v>6812</v>
      </c>
    </row>
    <row r="10508" spans="1:8" ht="15" customHeight="1" x14ac:dyDescent="0.25">
      <c r="A10508" s="639">
        <v>44288</v>
      </c>
      <c r="B10508" s="41" t="s">
        <v>4553</v>
      </c>
      <c r="C10508" s="41" t="s">
        <v>3145</v>
      </c>
      <c r="D10508" s="108" t="s">
        <v>6825</v>
      </c>
      <c r="E10508" s="640">
        <v>5375</v>
      </c>
      <c r="F10508" s="640"/>
      <c r="G10508" s="640">
        <f t="shared" si="169"/>
        <v>-5375</v>
      </c>
      <c r="H10508" s="114" t="s">
        <v>6812</v>
      </c>
    </row>
    <row r="10509" spans="1:8" ht="15" customHeight="1" x14ac:dyDescent="0.25">
      <c r="A10509" s="639">
        <v>44288</v>
      </c>
      <c r="B10509" s="41" t="s">
        <v>82</v>
      </c>
      <c r="C10509" s="41" t="s">
        <v>3145</v>
      </c>
      <c r="D10509" s="108" t="s">
        <v>6825</v>
      </c>
      <c r="E10509" s="640">
        <v>6390</v>
      </c>
      <c r="F10509" s="640"/>
      <c r="G10509" s="640">
        <f t="shared" si="169"/>
        <v>-6390</v>
      </c>
      <c r="H10509" s="114" t="s">
        <v>6812</v>
      </c>
    </row>
    <row r="10510" spans="1:8" ht="15" customHeight="1" x14ac:dyDescent="0.25">
      <c r="A10510" s="639">
        <v>44288</v>
      </c>
      <c r="B10510" s="41" t="s">
        <v>6505</v>
      </c>
      <c r="C10510" s="582" t="s">
        <v>3145</v>
      </c>
      <c r="D10510" s="893" t="s">
        <v>4450</v>
      </c>
      <c r="E10510" s="641">
        <v>19000</v>
      </c>
      <c r="F10510" s="640"/>
      <c r="G10510" s="640">
        <f t="shared" si="169"/>
        <v>-19000</v>
      </c>
      <c r="H10510" s="114" t="s">
        <v>6812</v>
      </c>
    </row>
    <row r="10511" spans="1:8" ht="15" customHeight="1" x14ac:dyDescent="0.25">
      <c r="A10511" s="639">
        <v>44288</v>
      </c>
      <c r="B10511" s="41" t="s">
        <v>1400</v>
      </c>
      <c r="C10511" s="582" t="s">
        <v>3145</v>
      </c>
      <c r="D10511" s="893" t="s">
        <v>4450</v>
      </c>
      <c r="E10511" s="641">
        <v>75340</v>
      </c>
      <c r="F10511" s="640"/>
      <c r="G10511" s="640">
        <f t="shared" si="169"/>
        <v>-75340</v>
      </c>
      <c r="H10511" s="114" t="s">
        <v>6812</v>
      </c>
    </row>
    <row r="10512" spans="1:8" ht="15" customHeight="1" x14ac:dyDescent="0.25">
      <c r="A10512" s="639">
        <v>44288</v>
      </c>
      <c r="B10512" s="41" t="s">
        <v>16</v>
      </c>
      <c r="C10512" s="41" t="s">
        <v>1495</v>
      </c>
      <c r="E10512" s="640">
        <v>3000</v>
      </c>
      <c r="F10512" s="640"/>
      <c r="G10512" s="640">
        <f t="shared" si="169"/>
        <v>-3000</v>
      </c>
      <c r="H10512" s="114" t="s">
        <v>6812</v>
      </c>
    </row>
    <row r="10513" spans="1:8" ht="15" customHeight="1" x14ac:dyDescent="0.25">
      <c r="A10513" s="639">
        <v>44288</v>
      </c>
      <c r="B10513" s="41" t="s">
        <v>4553</v>
      </c>
      <c r="C10513" s="41" t="s">
        <v>286</v>
      </c>
      <c r="D10513" s="108" t="s">
        <v>6386</v>
      </c>
      <c r="E10513" s="640">
        <v>500</v>
      </c>
      <c r="F10513" s="640"/>
      <c r="G10513" s="640">
        <f t="shared" si="169"/>
        <v>-500</v>
      </c>
      <c r="H10513" s="114" t="s">
        <v>6812</v>
      </c>
    </row>
    <row r="10514" spans="1:8" ht="15" customHeight="1" x14ac:dyDescent="0.25">
      <c r="A10514" s="639">
        <v>44288</v>
      </c>
      <c r="B10514" s="41" t="s">
        <v>6758</v>
      </c>
      <c r="C10514" s="41" t="s">
        <v>2002</v>
      </c>
      <c r="D10514" s="108" t="s">
        <v>370</v>
      </c>
      <c r="E10514" s="640">
        <v>1000</v>
      </c>
      <c r="F10514" s="640"/>
      <c r="G10514" s="640">
        <f t="shared" si="169"/>
        <v>-1000</v>
      </c>
      <c r="H10514" s="114" t="s">
        <v>6812</v>
      </c>
    </row>
    <row r="10515" spans="1:8" ht="15" customHeight="1" x14ac:dyDescent="0.25">
      <c r="A10515" s="639">
        <v>44288</v>
      </c>
      <c r="B10515" s="41" t="s">
        <v>82</v>
      </c>
      <c r="C10515" s="41" t="s">
        <v>3145</v>
      </c>
      <c r="D10515" s="108" t="s">
        <v>4694</v>
      </c>
      <c r="E10515" s="640">
        <v>44030</v>
      </c>
      <c r="F10515" s="640"/>
      <c r="G10515" s="640">
        <f t="shared" si="169"/>
        <v>-44030</v>
      </c>
      <c r="H10515" s="114" t="s">
        <v>6812</v>
      </c>
    </row>
    <row r="10516" spans="1:8" ht="24.75" customHeight="1" x14ac:dyDescent="0.25">
      <c r="A10516" s="639">
        <v>44288</v>
      </c>
      <c r="B10516" s="41" t="s">
        <v>7126</v>
      </c>
      <c r="C10516" s="41" t="s">
        <v>6836</v>
      </c>
      <c r="D10516" s="129" t="s">
        <v>6837</v>
      </c>
      <c r="E10516" s="640">
        <v>202000</v>
      </c>
      <c r="F10516" s="640"/>
      <c r="G10516" s="640">
        <f t="shared" si="169"/>
        <v>-202000</v>
      </c>
      <c r="H10516" s="114" t="s">
        <v>6812</v>
      </c>
    </row>
    <row r="10517" spans="1:8" ht="15" customHeight="1" x14ac:dyDescent="0.25">
      <c r="A10517" s="639">
        <v>44289</v>
      </c>
      <c r="B10517" s="41" t="s">
        <v>6511</v>
      </c>
      <c r="C10517" s="41" t="s">
        <v>3145</v>
      </c>
      <c r="D10517" s="108" t="s">
        <v>6733</v>
      </c>
      <c r="E10517" s="640">
        <v>3420</v>
      </c>
      <c r="F10517" s="640"/>
      <c r="G10517" s="640">
        <f t="shared" si="169"/>
        <v>-3420</v>
      </c>
      <c r="H10517" s="114" t="s">
        <v>6812</v>
      </c>
    </row>
    <row r="10518" spans="1:8" ht="15" customHeight="1" x14ac:dyDescent="0.25">
      <c r="A10518" s="639">
        <v>44289</v>
      </c>
      <c r="B10518" s="41" t="s">
        <v>6758</v>
      </c>
      <c r="C10518" s="41" t="s">
        <v>3145</v>
      </c>
      <c r="D10518" s="108" t="s">
        <v>757</v>
      </c>
      <c r="E10518" s="640">
        <v>1440</v>
      </c>
      <c r="F10518" s="640"/>
      <c r="G10518" s="640">
        <f t="shared" si="169"/>
        <v>-1440</v>
      </c>
      <c r="H10518" s="114" t="s">
        <v>6812</v>
      </c>
    </row>
    <row r="10519" spans="1:8" ht="15" customHeight="1" x14ac:dyDescent="0.25">
      <c r="A10519" s="639">
        <v>44289</v>
      </c>
      <c r="B10519" s="41" t="s">
        <v>16</v>
      </c>
      <c r="C10519" s="41" t="s">
        <v>4441</v>
      </c>
      <c r="D10519" s="108" t="s">
        <v>6838</v>
      </c>
      <c r="E10519" s="640">
        <v>60000</v>
      </c>
      <c r="F10519" s="640"/>
      <c r="G10519" s="640">
        <f t="shared" si="169"/>
        <v>-60000</v>
      </c>
      <c r="H10519" s="114" t="s">
        <v>6812</v>
      </c>
    </row>
    <row r="10520" spans="1:8" ht="15" customHeight="1" x14ac:dyDescent="0.25">
      <c r="A10520" s="639">
        <v>44289</v>
      </c>
      <c r="B10520" s="41" t="s">
        <v>6518</v>
      </c>
      <c r="C10520" s="582" t="s">
        <v>3145</v>
      </c>
      <c r="D10520" s="893" t="s">
        <v>6839</v>
      </c>
      <c r="E10520" s="641">
        <v>22000</v>
      </c>
      <c r="F10520" s="640"/>
      <c r="G10520" s="640">
        <f t="shared" si="169"/>
        <v>-22000</v>
      </c>
      <c r="H10520" s="114" t="s">
        <v>6812</v>
      </c>
    </row>
    <row r="10521" spans="1:8" ht="15" customHeight="1" x14ac:dyDescent="0.25">
      <c r="A10521" s="639">
        <v>44289</v>
      </c>
      <c r="B10521" s="41" t="s">
        <v>6758</v>
      </c>
      <c r="C10521" s="582" t="s">
        <v>3145</v>
      </c>
      <c r="D10521" s="893" t="s">
        <v>6840</v>
      </c>
      <c r="E10521" s="641">
        <v>2000</v>
      </c>
      <c r="F10521" s="640"/>
      <c r="G10521" s="640">
        <f t="shared" si="169"/>
        <v>-2000</v>
      </c>
      <c r="H10521" s="114" t="s">
        <v>6812</v>
      </c>
    </row>
    <row r="10522" spans="1:8" ht="24.75" customHeight="1" x14ac:dyDescent="0.25">
      <c r="A10522" s="639">
        <v>44289</v>
      </c>
      <c r="B10522" s="41" t="s">
        <v>2933</v>
      </c>
      <c r="C10522" s="582" t="s">
        <v>3145</v>
      </c>
      <c r="D10522" s="897" t="s">
        <v>6841</v>
      </c>
      <c r="E10522" s="641">
        <v>21780</v>
      </c>
      <c r="F10522" s="640"/>
      <c r="G10522" s="640">
        <f t="shared" si="169"/>
        <v>-21780</v>
      </c>
      <c r="H10522" s="114" t="s">
        <v>6812</v>
      </c>
    </row>
    <row r="10523" spans="1:8" ht="15" customHeight="1" x14ac:dyDescent="0.25">
      <c r="A10523" s="639">
        <v>44289</v>
      </c>
      <c r="B10523" s="41" t="s">
        <v>16</v>
      </c>
      <c r="C10523" s="41" t="s">
        <v>648</v>
      </c>
      <c r="D10523" s="108" t="s">
        <v>6842</v>
      </c>
      <c r="E10523" s="640">
        <v>1127</v>
      </c>
      <c r="F10523" s="640"/>
      <c r="G10523" s="640">
        <f t="shared" si="169"/>
        <v>-1127</v>
      </c>
      <c r="H10523" s="114" t="s">
        <v>6812</v>
      </c>
    </row>
    <row r="10524" spans="1:8" ht="15" customHeight="1" x14ac:dyDescent="0.25">
      <c r="A10524" s="639">
        <v>44289</v>
      </c>
      <c r="B10524" s="41" t="s">
        <v>16</v>
      </c>
      <c r="C10524" s="41" t="s">
        <v>648</v>
      </c>
      <c r="D10524" s="108" t="s">
        <v>6843</v>
      </c>
      <c r="E10524" s="640">
        <v>3375</v>
      </c>
      <c r="F10524" s="640"/>
      <c r="G10524" s="640">
        <f t="shared" si="169"/>
        <v>-3375</v>
      </c>
      <c r="H10524" s="114" t="s">
        <v>6812</v>
      </c>
    </row>
    <row r="10525" spans="1:8" ht="15" customHeight="1" x14ac:dyDescent="0.25">
      <c r="A10525" s="639">
        <v>44291</v>
      </c>
      <c r="B10525" s="41" t="s">
        <v>6518</v>
      </c>
      <c r="C10525" s="582" t="s">
        <v>3145</v>
      </c>
      <c r="D10525" s="893" t="s">
        <v>4309</v>
      </c>
      <c r="E10525" s="641">
        <v>6000</v>
      </c>
      <c r="F10525" s="640"/>
      <c r="G10525" s="640">
        <f t="shared" si="169"/>
        <v>-6000</v>
      </c>
      <c r="H10525" s="114" t="s">
        <v>6812</v>
      </c>
    </row>
    <row r="10526" spans="1:8" ht="15" customHeight="1" x14ac:dyDescent="0.25">
      <c r="A10526" s="639">
        <v>44291</v>
      </c>
      <c r="B10526" s="41" t="s">
        <v>6408</v>
      </c>
      <c r="C10526" s="582" t="s">
        <v>3145</v>
      </c>
      <c r="D10526" s="893" t="s">
        <v>4309</v>
      </c>
      <c r="E10526" s="641">
        <v>3800</v>
      </c>
      <c r="F10526" s="640"/>
      <c r="G10526" s="640">
        <f t="shared" si="169"/>
        <v>-3800</v>
      </c>
      <c r="H10526" s="114" t="s">
        <v>6812</v>
      </c>
    </row>
    <row r="10527" spans="1:8" ht="15" customHeight="1" x14ac:dyDescent="0.25">
      <c r="A10527" s="639">
        <v>44291</v>
      </c>
      <c r="B10527" s="41" t="s">
        <v>4553</v>
      </c>
      <c r="C10527" s="41" t="s">
        <v>3145</v>
      </c>
      <c r="D10527" s="108" t="s">
        <v>6844</v>
      </c>
      <c r="E10527" s="640">
        <v>1000</v>
      </c>
      <c r="F10527" s="640"/>
      <c r="G10527" s="640">
        <f t="shared" si="169"/>
        <v>-1000</v>
      </c>
      <c r="H10527" s="114" t="s">
        <v>6812</v>
      </c>
    </row>
    <row r="10528" spans="1:8" ht="15" customHeight="1" x14ac:dyDescent="0.25">
      <c r="A10528" s="639">
        <v>44291</v>
      </c>
      <c r="B10528" s="41" t="s">
        <v>3945</v>
      </c>
      <c r="C10528" s="41" t="s">
        <v>3145</v>
      </c>
      <c r="D10528" s="108" t="s">
        <v>6577</v>
      </c>
      <c r="E10528" s="640">
        <v>3050</v>
      </c>
      <c r="F10528" s="640"/>
      <c r="G10528" s="640">
        <f t="shared" si="169"/>
        <v>-3050</v>
      </c>
      <c r="H10528" s="114" t="s">
        <v>6812</v>
      </c>
    </row>
    <row r="10529" spans="1:8" ht="15" customHeight="1" x14ac:dyDescent="0.25">
      <c r="A10529" s="639">
        <v>44291</v>
      </c>
      <c r="B10529" s="41" t="s">
        <v>5544</v>
      </c>
      <c r="C10529" s="41" t="s">
        <v>2190</v>
      </c>
      <c r="D10529" s="108" t="s">
        <v>5356</v>
      </c>
      <c r="E10529" s="640">
        <v>1800</v>
      </c>
      <c r="F10529" s="640"/>
      <c r="G10529" s="640">
        <f t="shared" si="169"/>
        <v>-1800</v>
      </c>
      <c r="H10529" s="114" t="s">
        <v>6812</v>
      </c>
    </row>
    <row r="10530" spans="1:8" ht="15" customHeight="1" x14ac:dyDescent="0.25">
      <c r="A10530" s="639">
        <v>44292</v>
      </c>
      <c r="B10530" s="41" t="s">
        <v>6758</v>
      </c>
      <c r="C10530" s="41" t="s">
        <v>3145</v>
      </c>
      <c r="D10530" s="108" t="s">
        <v>4535</v>
      </c>
      <c r="E10530" s="640">
        <v>4688</v>
      </c>
      <c r="F10530" s="640"/>
      <c r="G10530" s="640">
        <f t="shared" si="169"/>
        <v>-4688</v>
      </c>
      <c r="H10530" s="114" t="s">
        <v>6812</v>
      </c>
    </row>
    <row r="10531" spans="1:8" ht="15" customHeight="1" x14ac:dyDescent="0.25">
      <c r="A10531" s="639">
        <v>44292</v>
      </c>
      <c r="B10531" s="41" t="s">
        <v>6511</v>
      </c>
      <c r="C10531" s="41" t="s">
        <v>3145</v>
      </c>
      <c r="D10531" s="108" t="s">
        <v>4535</v>
      </c>
      <c r="E10531" s="640">
        <v>6500</v>
      </c>
      <c r="F10531" s="640"/>
      <c r="G10531" s="640">
        <f t="shared" si="169"/>
        <v>-6500</v>
      </c>
      <c r="H10531" s="114" t="s">
        <v>6812</v>
      </c>
    </row>
    <row r="10532" spans="1:8" ht="15" customHeight="1" x14ac:dyDescent="0.25">
      <c r="A10532" s="639">
        <v>44292</v>
      </c>
      <c r="B10532" s="41" t="s">
        <v>4553</v>
      </c>
      <c r="C10532" s="41" t="s">
        <v>3145</v>
      </c>
      <c r="D10532" s="108" t="s">
        <v>6845</v>
      </c>
      <c r="E10532" s="640">
        <v>500</v>
      </c>
      <c r="F10532" s="640"/>
      <c r="G10532" s="640">
        <f t="shared" si="169"/>
        <v>-500</v>
      </c>
      <c r="H10532" s="114" t="s">
        <v>6812</v>
      </c>
    </row>
    <row r="10533" spans="1:8" ht="15" customHeight="1" x14ac:dyDescent="0.25">
      <c r="A10533" s="639">
        <v>44292</v>
      </c>
      <c r="B10533" s="41" t="s">
        <v>82</v>
      </c>
      <c r="C10533" s="41" t="s">
        <v>6725</v>
      </c>
      <c r="D10533" s="108" t="s">
        <v>6846</v>
      </c>
      <c r="E10533" s="640">
        <v>25000</v>
      </c>
      <c r="F10533" s="640"/>
      <c r="G10533" s="640">
        <f t="shared" si="169"/>
        <v>-25000</v>
      </c>
      <c r="H10533" s="114" t="s">
        <v>6812</v>
      </c>
    </row>
    <row r="10534" spans="1:8" ht="15" customHeight="1" x14ac:dyDescent="0.25">
      <c r="A10534" s="639">
        <v>44292</v>
      </c>
      <c r="B10534" s="41" t="s">
        <v>7126</v>
      </c>
      <c r="C10534" s="41" t="s">
        <v>6847</v>
      </c>
      <c r="D10534" s="108" t="s">
        <v>6848</v>
      </c>
      <c r="E10534" s="640">
        <v>105300</v>
      </c>
      <c r="F10534" s="640"/>
      <c r="G10534" s="640">
        <f t="shared" si="169"/>
        <v>-105300</v>
      </c>
      <c r="H10534" s="114" t="s">
        <v>6812</v>
      </c>
    </row>
    <row r="10535" spans="1:8" ht="15" customHeight="1" x14ac:dyDescent="0.25">
      <c r="A10535" s="639">
        <v>44292</v>
      </c>
      <c r="B10535" s="41" t="s">
        <v>25</v>
      </c>
      <c r="C10535" s="41" t="s">
        <v>392</v>
      </c>
      <c r="D10535" s="108" t="s">
        <v>6849</v>
      </c>
      <c r="E10535" s="640">
        <v>10000</v>
      </c>
      <c r="F10535" s="640"/>
      <c r="G10535" s="640">
        <f t="shared" si="169"/>
        <v>-10000</v>
      </c>
      <c r="H10535" s="114" t="s">
        <v>6812</v>
      </c>
    </row>
    <row r="10536" spans="1:8" ht="24.75" customHeight="1" x14ac:dyDescent="0.25">
      <c r="A10536" s="639">
        <v>44292</v>
      </c>
      <c r="B10536" s="41" t="s">
        <v>1400</v>
      </c>
      <c r="C10536" s="41" t="s">
        <v>6850</v>
      </c>
      <c r="D10536" s="129" t="s">
        <v>6851</v>
      </c>
      <c r="E10536" s="640">
        <v>20000</v>
      </c>
      <c r="F10536" s="640"/>
      <c r="G10536" s="640">
        <f t="shared" si="169"/>
        <v>-20000</v>
      </c>
      <c r="H10536" s="114" t="s">
        <v>6812</v>
      </c>
    </row>
    <row r="10537" spans="1:8" ht="15" customHeight="1" x14ac:dyDescent="0.25">
      <c r="A10537" s="639">
        <v>44292</v>
      </c>
      <c r="B10537" s="41" t="s">
        <v>37</v>
      </c>
      <c r="C10537" s="41" t="s">
        <v>3145</v>
      </c>
      <c r="D10537" s="129" t="s">
        <v>6698</v>
      </c>
      <c r="E10537" s="640">
        <v>2000</v>
      </c>
      <c r="F10537" s="640"/>
      <c r="G10537" s="640">
        <f t="shared" ref="G10537:G10600" si="170">F10537-E10537</f>
        <v>-2000</v>
      </c>
      <c r="H10537" s="114" t="s">
        <v>6812</v>
      </c>
    </row>
    <row r="10538" spans="1:8" ht="15" customHeight="1" x14ac:dyDescent="0.25">
      <c r="A10538" s="639">
        <v>44292</v>
      </c>
      <c r="B10538" s="41" t="s">
        <v>1400</v>
      </c>
      <c r="C10538" s="41" t="s">
        <v>6852</v>
      </c>
      <c r="D10538" s="129" t="s">
        <v>734</v>
      </c>
      <c r="E10538" s="640">
        <v>12000</v>
      </c>
      <c r="F10538" s="640"/>
      <c r="G10538" s="640">
        <f t="shared" si="170"/>
        <v>-12000</v>
      </c>
      <c r="H10538" s="114" t="s">
        <v>6812</v>
      </c>
    </row>
    <row r="10539" spans="1:8" ht="15" customHeight="1" x14ac:dyDescent="0.25">
      <c r="A10539" s="639">
        <v>44293</v>
      </c>
      <c r="B10539" s="41" t="s">
        <v>4553</v>
      </c>
      <c r="C10539" s="41" t="s">
        <v>3145</v>
      </c>
      <c r="D10539" s="129" t="s">
        <v>5257</v>
      </c>
      <c r="E10539" s="640">
        <v>3000</v>
      </c>
      <c r="F10539" s="640"/>
      <c r="G10539" s="640">
        <f t="shared" si="170"/>
        <v>-3000</v>
      </c>
      <c r="H10539" s="114" t="s">
        <v>6812</v>
      </c>
    </row>
    <row r="10540" spans="1:8" ht="15" customHeight="1" x14ac:dyDescent="0.25">
      <c r="A10540" s="639">
        <v>44293</v>
      </c>
      <c r="B10540" s="41" t="s">
        <v>6408</v>
      </c>
      <c r="C10540" s="41" t="s">
        <v>2002</v>
      </c>
      <c r="D10540" s="129" t="s">
        <v>6863</v>
      </c>
      <c r="E10540" s="640">
        <v>1500</v>
      </c>
      <c r="F10540" s="640"/>
      <c r="G10540" s="640">
        <f t="shared" si="170"/>
        <v>-1500</v>
      </c>
      <c r="H10540" s="114" t="s">
        <v>6812</v>
      </c>
    </row>
    <row r="10541" spans="1:8" ht="15" customHeight="1" x14ac:dyDescent="0.25">
      <c r="A10541" s="639">
        <v>44293</v>
      </c>
      <c r="B10541" s="41" t="s">
        <v>11</v>
      </c>
      <c r="C10541" s="41" t="s">
        <v>2503</v>
      </c>
      <c r="D10541" s="129" t="s">
        <v>6864</v>
      </c>
      <c r="E10541" s="640">
        <v>5000</v>
      </c>
      <c r="F10541" s="640"/>
      <c r="G10541" s="640">
        <f t="shared" si="170"/>
        <v>-5000</v>
      </c>
      <c r="H10541" s="114" t="s">
        <v>6812</v>
      </c>
    </row>
    <row r="10542" spans="1:8" ht="15" customHeight="1" x14ac:dyDescent="0.25">
      <c r="A10542" s="639">
        <v>44293</v>
      </c>
      <c r="B10542" s="41" t="s">
        <v>6447</v>
      </c>
      <c r="C10542" s="41" t="s">
        <v>3145</v>
      </c>
      <c r="D10542" s="129" t="s">
        <v>5257</v>
      </c>
      <c r="E10542" s="640">
        <v>7650</v>
      </c>
      <c r="F10542" s="640"/>
      <c r="G10542" s="640">
        <f t="shared" si="170"/>
        <v>-7650</v>
      </c>
      <c r="H10542" s="114" t="s">
        <v>6812</v>
      </c>
    </row>
    <row r="10543" spans="1:8" ht="15" customHeight="1" x14ac:dyDescent="0.25">
      <c r="A10543" s="639">
        <v>44293</v>
      </c>
      <c r="B10543" s="41" t="s">
        <v>6635</v>
      </c>
      <c r="C10543" s="41" t="s">
        <v>3145</v>
      </c>
      <c r="D10543" s="129" t="s">
        <v>5358</v>
      </c>
      <c r="E10543" s="640">
        <v>4707</v>
      </c>
      <c r="F10543" s="640"/>
      <c r="G10543" s="640">
        <f t="shared" si="170"/>
        <v>-4707</v>
      </c>
      <c r="H10543" s="114" t="s">
        <v>6812</v>
      </c>
    </row>
    <row r="10544" spans="1:8" ht="15" customHeight="1" x14ac:dyDescent="0.25">
      <c r="A10544" s="639">
        <v>44294</v>
      </c>
      <c r="B10544" s="41" t="s">
        <v>6635</v>
      </c>
      <c r="C10544" s="41" t="s">
        <v>6756</v>
      </c>
      <c r="D10544" s="129" t="s">
        <v>3361</v>
      </c>
      <c r="E10544" s="640">
        <v>5000</v>
      </c>
      <c r="F10544" s="640"/>
      <c r="G10544" s="640">
        <f t="shared" si="170"/>
        <v>-5000</v>
      </c>
      <c r="H10544" s="114" t="s">
        <v>6812</v>
      </c>
    </row>
    <row r="10545" spans="1:8" ht="15" customHeight="1" x14ac:dyDescent="0.25">
      <c r="A10545" s="639">
        <v>44294</v>
      </c>
      <c r="B10545" s="41" t="s">
        <v>6447</v>
      </c>
      <c r="C10545" s="41" t="s">
        <v>3145</v>
      </c>
      <c r="D10545" s="129" t="s">
        <v>6328</v>
      </c>
      <c r="E10545" s="640">
        <v>243</v>
      </c>
      <c r="F10545" s="640"/>
      <c r="G10545" s="640">
        <f t="shared" si="170"/>
        <v>-243</v>
      </c>
      <c r="H10545" s="114" t="s">
        <v>6812</v>
      </c>
    </row>
    <row r="10546" spans="1:8" ht="24.75" customHeight="1" x14ac:dyDescent="0.25">
      <c r="A10546" s="639">
        <v>44298</v>
      </c>
      <c r="B10546" s="41" t="s">
        <v>2933</v>
      </c>
      <c r="C10546" s="41" t="s">
        <v>392</v>
      </c>
      <c r="D10546" s="129" t="s">
        <v>6865</v>
      </c>
      <c r="E10546" s="640">
        <v>7580</v>
      </c>
      <c r="F10546" s="640"/>
      <c r="G10546" s="640">
        <f t="shared" si="170"/>
        <v>-7580</v>
      </c>
      <c r="H10546" s="114" t="s">
        <v>6812</v>
      </c>
    </row>
    <row r="10547" spans="1:8" ht="24.75" customHeight="1" x14ac:dyDescent="0.25">
      <c r="A10547" s="639">
        <v>44298</v>
      </c>
      <c r="B10547" s="41" t="s">
        <v>1400</v>
      </c>
      <c r="C10547" s="41" t="s">
        <v>3145</v>
      </c>
      <c r="D10547" s="129" t="s">
        <v>6866</v>
      </c>
      <c r="E10547" s="640">
        <v>64875</v>
      </c>
      <c r="F10547" s="640"/>
      <c r="G10547" s="640">
        <f t="shared" si="170"/>
        <v>-64875</v>
      </c>
      <c r="H10547" s="114" t="s">
        <v>6812</v>
      </c>
    </row>
    <row r="10548" spans="1:8" ht="15" customHeight="1" x14ac:dyDescent="0.25">
      <c r="A10548" s="639">
        <v>44298</v>
      </c>
      <c r="B10548" s="41" t="s">
        <v>2933</v>
      </c>
      <c r="C10548" s="41" t="s">
        <v>2503</v>
      </c>
      <c r="D10548" s="129" t="s">
        <v>6867</v>
      </c>
      <c r="E10548" s="640">
        <v>20000</v>
      </c>
      <c r="F10548" s="640"/>
      <c r="G10548" s="640">
        <f t="shared" si="170"/>
        <v>-20000</v>
      </c>
      <c r="H10548" s="114" t="s">
        <v>6812</v>
      </c>
    </row>
    <row r="10549" spans="1:8" ht="24.75" customHeight="1" x14ac:dyDescent="0.25">
      <c r="A10549" s="639">
        <v>44298</v>
      </c>
      <c r="B10549" s="41" t="s">
        <v>1400</v>
      </c>
      <c r="C10549" s="41" t="s">
        <v>6711</v>
      </c>
      <c r="D10549" s="878" t="s">
        <v>6868</v>
      </c>
      <c r="E10549" s="640">
        <v>38000</v>
      </c>
      <c r="F10549" s="640"/>
      <c r="G10549" s="640">
        <f t="shared" si="170"/>
        <v>-38000</v>
      </c>
      <c r="H10549" s="114" t="s">
        <v>6812</v>
      </c>
    </row>
    <row r="10550" spans="1:8" ht="15" customHeight="1" x14ac:dyDescent="0.25">
      <c r="A10550" s="639">
        <v>44298</v>
      </c>
      <c r="B10550" s="41" t="s">
        <v>6516</v>
      </c>
      <c r="C10550" s="582" t="s">
        <v>3003</v>
      </c>
      <c r="D10550" s="897" t="s">
        <v>6869</v>
      </c>
      <c r="E10550" s="641">
        <v>60743</v>
      </c>
      <c r="F10550" s="640"/>
      <c r="G10550" s="640">
        <f t="shared" si="170"/>
        <v>-60743</v>
      </c>
      <c r="H10550" s="114" t="s">
        <v>6812</v>
      </c>
    </row>
    <row r="10551" spans="1:8" ht="15" customHeight="1" x14ac:dyDescent="0.25">
      <c r="A10551" s="639">
        <v>44298</v>
      </c>
      <c r="B10551" s="41" t="s">
        <v>37</v>
      </c>
      <c r="C10551" s="582" t="s">
        <v>3003</v>
      </c>
      <c r="D10551" s="897" t="s">
        <v>6789</v>
      </c>
      <c r="E10551" s="641">
        <v>12960</v>
      </c>
      <c r="F10551" s="640"/>
      <c r="G10551" s="640">
        <f t="shared" si="170"/>
        <v>-12960</v>
      </c>
      <c r="H10551" s="114" t="s">
        <v>6812</v>
      </c>
    </row>
    <row r="10552" spans="1:8" ht="15" customHeight="1" x14ac:dyDescent="0.25">
      <c r="A10552" s="639">
        <v>44298</v>
      </c>
      <c r="B10552" s="41" t="s">
        <v>82</v>
      </c>
      <c r="C10552" s="582" t="s">
        <v>3003</v>
      </c>
      <c r="D10552" s="897" t="s">
        <v>6789</v>
      </c>
      <c r="E10552" s="641">
        <v>28600</v>
      </c>
      <c r="F10552" s="640"/>
      <c r="G10552" s="640">
        <f t="shared" si="170"/>
        <v>-28600</v>
      </c>
      <c r="H10552" s="114" t="s">
        <v>6812</v>
      </c>
    </row>
    <row r="10553" spans="1:8" ht="15" customHeight="1" x14ac:dyDescent="0.25">
      <c r="A10553" s="639">
        <v>44298</v>
      </c>
      <c r="B10553" s="41" t="s">
        <v>6647</v>
      </c>
      <c r="C10553" s="582" t="s">
        <v>3003</v>
      </c>
      <c r="D10553" s="897" t="s">
        <v>6789</v>
      </c>
      <c r="E10553" s="641">
        <v>22745</v>
      </c>
      <c r="F10553" s="640"/>
      <c r="G10553" s="640">
        <f t="shared" si="170"/>
        <v>-22745</v>
      </c>
      <c r="H10553" s="114" t="s">
        <v>6812</v>
      </c>
    </row>
    <row r="10554" spans="1:8" ht="15" customHeight="1" x14ac:dyDescent="0.25">
      <c r="A10554" s="639">
        <v>44298</v>
      </c>
      <c r="B10554" s="41" t="s">
        <v>3946</v>
      </c>
      <c r="C10554" s="582" t="s">
        <v>3003</v>
      </c>
      <c r="D10554" s="897" t="s">
        <v>6789</v>
      </c>
      <c r="E10554" s="641">
        <v>20483</v>
      </c>
      <c r="F10554" s="640"/>
      <c r="G10554" s="640">
        <f t="shared" si="170"/>
        <v>-20483</v>
      </c>
      <c r="H10554" s="114" t="s">
        <v>6812</v>
      </c>
    </row>
    <row r="10555" spans="1:8" ht="15" customHeight="1" x14ac:dyDescent="0.25">
      <c r="A10555" s="639">
        <v>44298</v>
      </c>
      <c r="B10555" s="41" t="s">
        <v>3945</v>
      </c>
      <c r="C10555" s="582" t="s">
        <v>3003</v>
      </c>
      <c r="D10555" s="897" t="s">
        <v>6789</v>
      </c>
      <c r="E10555" s="641">
        <v>6760</v>
      </c>
      <c r="F10555" s="640"/>
      <c r="G10555" s="640">
        <f t="shared" si="170"/>
        <v>-6760</v>
      </c>
      <c r="H10555" s="114" t="s">
        <v>6812</v>
      </c>
    </row>
    <row r="10556" spans="1:8" ht="15" customHeight="1" x14ac:dyDescent="0.25">
      <c r="A10556" s="639">
        <v>44298</v>
      </c>
      <c r="B10556" s="41" t="s">
        <v>6635</v>
      </c>
      <c r="C10556" s="41" t="s">
        <v>3145</v>
      </c>
      <c r="D10556" s="129" t="s">
        <v>6870</v>
      </c>
      <c r="E10556" s="640">
        <v>1580</v>
      </c>
      <c r="F10556" s="640"/>
      <c r="G10556" s="640">
        <f t="shared" si="170"/>
        <v>-1580</v>
      </c>
      <c r="H10556" s="114" t="s">
        <v>6812</v>
      </c>
    </row>
    <row r="10557" spans="1:8" ht="15" customHeight="1" x14ac:dyDescent="0.25">
      <c r="A10557" s="639">
        <v>44298</v>
      </c>
      <c r="B10557" s="41" t="s">
        <v>6518</v>
      </c>
      <c r="C10557" s="41" t="s">
        <v>6804</v>
      </c>
      <c r="D10557" s="129" t="s">
        <v>6871</v>
      </c>
      <c r="E10557" s="640">
        <v>10000</v>
      </c>
      <c r="F10557" s="640"/>
      <c r="G10557" s="640">
        <f t="shared" si="170"/>
        <v>-10000</v>
      </c>
      <c r="H10557" s="114" t="s">
        <v>6812</v>
      </c>
    </row>
    <row r="10558" spans="1:8" ht="48" x14ac:dyDescent="0.2">
      <c r="A10558" s="619">
        <v>44299</v>
      </c>
      <c r="B10558" s="63" t="s">
        <v>82</v>
      </c>
      <c r="C10558" s="63" t="s">
        <v>5065</v>
      </c>
      <c r="D10558" s="183" t="s">
        <v>9207</v>
      </c>
      <c r="E10558" s="126">
        <v>95000</v>
      </c>
      <c r="F10558" s="126"/>
      <c r="G10558" s="126">
        <f t="shared" si="170"/>
        <v>-95000</v>
      </c>
      <c r="H10558" s="121" t="s">
        <v>6812</v>
      </c>
    </row>
    <row r="10559" spans="1:8" ht="15" x14ac:dyDescent="0.2">
      <c r="A10559" s="619">
        <v>44299</v>
      </c>
      <c r="B10559" s="63" t="s">
        <v>4553</v>
      </c>
      <c r="C10559" s="63" t="s">
        <v>3145</v>
      </c>
      <c r="D10559" s="183" t="s">
        <v>6872</v>
      </c>
      <c r="E10559" s="126">
        <v>11240</v>
      </c>
      <c r="F10559" s="126"/>
      <c r="G10559" s="126">
        <f t="shared" si="170"/>
        <v>-11240</v>
      </c>
      <c r="H10559" s="121" t="s">
        <v>6812</v>
      </c>
    </row>
    <row r="10560" spans="1:8" ht="15" x14ac:dyDescent="0.2">
      <c r="A10560" s="619">
        <v>44299</v>
      </c>
      <c r="B10560" s="63" t="s">
        <v>1400</v>
      </c>
      <c r="C10560" s="63" t="s">
        <v>2190</v>
      </c>
      <c r="D10560" s="183" t="s">
        <v>5356</v>
      </c>
      <c r="E10560" s="126">
        <v>5750</v>
      </c>
      <c r="F10560" s="126"/>
      <c r="G10560" s="126">
        <f t="shared" si="170"/>
        <v>-5750</v>
      </c>
      <c r="H10560" s="121" t="s">
        <v>6812</v>
      </c>
    </row>
    <row r="10561" spans="1:8" ht="15" x14ac:dyDescent="0.2">
      <c r="A10561" s="619">
        <v>44299</v>
      </c>
      <c r="B10561" s="63" t="s">
        <v>3945</v>
      </c>
      <c r="C10561" s="63" t="s">
        <v>3145</v>
      </c>
      <c r="D10561" s="183" t="s">
        <v>6879</v>
      </c>
      <c r="E10561" s="126">
        <v>9370</v>
      </c>
      <c r="F10561" s="126"/>
      <c r="G10561" s="126">
        <f t="shared" si="170"/>
        <v>-9370</v>
      </c>
      <c r="H10561" s="121" t="s">
        <v>6812</v>
      </c>
    </row>
    <row r="10562" spans="1:8" ht="15" x14ac:dyDescent="0.2">
      <c r="A10562" s="619">
        <v>44299</v>
      </c>
      <c r="B10562" s="63" t="s">
        <v>1400</v>
      </c>
      <c r="C10562" s="63" t="s">
        <v>2190</v>
      </c>
      <c r="D10562" s="183"/>
      <c r="E10562" s="126">
        <v>650</v>
      </c>
      <c r="F10562" s="126"/>
      <c r="G10562" s="126">
        <f t="shared" si="170"/>
        <v>-650</v>
      </c>
      <c r="H10562" s="121" t="s">
        <v>6812</v>
      </c>
    </row>
    <row r="10563" spans="1:8" ht="15" x14ac:dyDescent="0.2">
      <c r="A10563" s="619">
        <v>44299</v>
      </c>
      <c r="B10563" s="63" t="s">
        <v>6635</v>
      </c>
      <c r="C10563" s="63" t="s">
        <v>3145</v>
      </c>
      <c r="D10563" s="183" t="s">
        <v>6153</v>
      </c>
      <c r="E10563" s="126">
        <v>8750</v>
      </c>
      <c r="F10563" s="126"/>
      <c r="G10563" s="126">
        <f t="shared" si="170"/>
        <v>-8750</v>
      </c>
      <c r="H10563" s="121" t="s">
        <v>6812</v>
      </c>
    </row>
    <row r="10564" spans="1:8" ht="15" x14ac:dyDescent="0.2">
      <c r="A10564" s="619">
        <v>44300</v>
      </c>
      <c r="B10564" s="63" t="s">
        <v>4553</v>
      </c>
      <c r="C10564" s="63" t="s">
        <v>3145</v>
      </c>
      <c r="D10564" s="183" t="s">
        <v>6098</v>
      </c>
      <c r="E10564" s="126">
        <v>800</v>
      </c>
      <c r="F10564" s="126"/>
      <c r="G10564" s="126">
        <f t="shared" si="170"/>
        <v>-800</v>
      </c>
      <c r="H10564" s="121" t="s">
        <v>6812</v>
      </c>
    </row>
    <row r="10565" spans="1:8" ht="15" x14ac:dyDescent="0.2">
      <c r="A10565" s="619">
        <v>44300</v>
      </c>
      <c r="B10565" s="63" t="s">
        <v>1400</v>
      </c>
      <c r="C10565" s="63" t="s">
        <v>392</v>
      </c>
      <c r="D10565" s="183" t="s">
        <v>6880</v>
      </c>
      <c r="E10565" s="126">
        <v>700</v>
      </c>
      <c r="F10565" s="126"/>
      <c r="G10565" s="126">
        <f t="shared" si="170"/>
        <v>-700</v>
      </c>
      <c r="H10565" s="121" t="s">
        <v>6812</v>
      </c>
    </row>
    <row r="10566" spans="1:8" ht="15" x14ac:dyDescent="0.2">
      <c r="A10566" s="619">
        <v>44301</v>
      </c>
      <c r="B10566" s="63" t="s">
        <v>4553</v>
      </c>
      <c r="C10566" s="63" t="s">
        <v>2503</v>
      </c>
      <c r="D10566" s="183" t="s">
        <v>6881</v>
      </c>
      <c r="E10566" s="126">
        <v>6000</v>
      </c>
      <c r="F10566" s="126"/>
      <c r="G10566" s="126">
        <f t="shared" si="170"/>
        <v>-6000</v>
      </c>
      <c r="H10566" s="121" t="s">
        <v>6812</v>
      </c>
    </row>
    <row r="10567" spans="1:8" ht="15" x14ac:dyDescent="0.2">
      <c r="A10567" s="619">
        <v>44301</v>
      </c>
      <c r="B10567" s="63" t="s">
        <v>6408</v>
      </c>
      <c r="C10567" s="63" t="s">
        <v>3446</v>
      </c>
      <c r="D10567" s="183" t="s">
        <v>6882</v>
      </c>
      <c r="E10567" s="126">
        <v>15000</v>
      </c>
      <c r="F10567" s="126"/>
      <c r="G10567" s="126">
        <f t="shared" si="170"/>
        <v>-15000</v>
      </c>
      <c r="H10567" s="121" t="s">
        <v>6812</v>
      </c>
    </row>
    <row r="10568" spans="1:8" ht="15" x14ac:dyDescent="0.2">
      <c r="A10568" s="619">
        <v>44301</v>
      </c>
      <c r="B10568" s="63" t="s">
        <v>6508</v>
      </c>
      <c r="C10568" s="63" t="s">
        <v>6605</v>
      </c>
      <c r="D10568" s="183" t="s">
        <v>6883</v>
      </c>
      <c r="E10568" s="126">
        <v>30000</v>
      </c>
      <c r="F10568" s="126"/>
      <c r="G10568" s="126">
        <f t="shared" si="170"/>
        <v>-30000</v>
      </c>
      <c r="H10568" s="121" t="s">
        <v>6812</v>
      </c>
    </row>
    <row r="10569" spans="1:8" ht="15" x14ac:dyDescent="0.2">
      <c r="A10569" s="619">
        <v>44301</v>
      </c>
      <c r="B10569" s="63" t="s">
        <v>6408</v>
      </c>
      <c r="C10569" s="63" t="s">
        <v>3145</v>
      </c>
      <c r="D10569" s="183" t="s">
        <v>6884</v>
      </c>
      <c r="E10569" s="126">
        <v>2700</v>
      </c>
      <c r="F10569" s="126"/>
      <c r="G10569" s="126">
        <f t="shared" si="170"/>
        <v>-2700</v>
      </c>
      <c r="H10569" s="121" t="s">
        <v>6812</v>
      </c>
    </row>
    <row r="10570" spans="1:8" ht="15" x14ac:dyDescent="0.2">
      <c r="A10570" s="619">
        <v>44301</v>
      </c>
      <c r="B10570" s="63" t="s">
        <v>16</v>
      </c>
      <c r="C10570" s="63" t="s">
        <v>1495</v>
      </c>
      <c r="D10570" s="183" t="s">
        <v>6885</v>
      </c>
      <c r="E10570" s="126">
        <v>6000</v>
      </c>
      <c r="F10570" s="126"/>
      <c r="G10570" s="126">
        <f t="shared" si="170"/>
        <v>-6000</v>
      </c>
      <c r="H10570" s="121" t="s">
        <v>6812</v>
      </c>
    </row>
    <row r="10571" spans="1:8" ht="15" x14ac:dyDescent="0.2">
      <c r="A10571" s="619">
        <v>44301</v>
      </c>
      <c r="B10571" s="63" t="s">
        <v>1400</v>
      </c>
      <c r="C10571" s="63" t="s">
        <v>2503</v>
      </c>
      <c r="D10571" s="183" t="s">
        <v>6886</v>
      </c>
      <c r="E10571" s="126">
        <v>3000</v>
      </c>
      <c r="F10571" s="126"/>
      <c r="G10571" s="126">
        <f t="shared" si="170"/>
        <v>-3000</v>
      </c>
      <c r="H10571" s="121" t="s">
        <v>6812</v>
      </c>
    </row>
    <row r="10572" spans="1:8" ht="15" x14ac:dyDescent="0.2">
      <c r="A10572" s="619">
        <v>44305</v>
      </c>
      <c r="B10572" s="63" t="s">
        <v>6408</v>
      </c>
      <c r="C10572" s="63" t="s">
        <v>392</v>
      </c>
      <c r="D10572" s="183" t="s">
        <v>6887</v>
      </c>
      <c r="E10572" s="126">
        <v>2000</v>
      </c>
      <c r="F10572" s="126"/>
      <c r="G10572" s="126">
        <f t="shared" si="170"/>
        <v>-2000</v>
      </c>
      <c r="H10572" s="121" t="s">
        <v>6812</v>
      </c>
    </row>
    <row r="10573" spans="1:8" ht="15" x14ac:dyDescent="0.2">
      <c r="A10573" s="619">
        <v>44305</v>
      </c>
      <c r="B10573" s="63" t="s">
        <v>6408</v>
      </c>
      <c r="C10573" s="63" t="s">
        <v>3145</v>
      </c>
      <c r="D10573" s="183" t="s">
        <v>4893</v>
      </c>
      <c r="E10573" s="126">
        <v>6195</v>
      </c>
      <c r="F10573" s="126"/>
      <c r="G10573" s="126">
        <f t="shared" si="170"/>
        <v>-6195</v>
      </c>
      <c r="H10573" s="121" t="s">
        <v>6812</v>
      </c>
    </row>
    <row r="10574" spans="1:8" ht="15" x14ac:dyDescent="0.2">
      <c r="A10574" s="619">
        <v>44305</v>
      </c>
      <c r="B10574" s="63" t="s">
        <v>4553</v>
      </c>
      <c r="C10574" s="63" t="s">
        <v>392</v>
      </c>
      <c r="D10574" s="183" t="s">
        <v>6702</v>
      </c>
      <c r="E10574" s="126">
        <v>540</v>
      </c>
      <c r="F10574" s="126"/>
      <c r="G10574" s="126">
        <f t="shared" si="170"/>
        <v>-540</v>
      </c>
      <c r="H10574" s="121" t="s">
        <v>6812</v>
      </c>
    </row>
    <row r="10575" spans="1:8" ht="15" x14ac:dyDescent="0.2">
      <c r="A10575" s="619">
        <v>44305</v>
      </c>
      <c r="B10575" s="63" t="s">
        <v>6408</v>
      </c>
      <c r="C10575" s="63" t="s">
        <v>392</v>
      </c>
      <c r="D10575" s="183" t="s">
        <v>6888</v>
      </c>
      <c r="E10575" s="126">
        <v>8000</v>
      </c>
      <c r="F10575" s="126"/>
      <c r="G10575" s="126">
        <f t="shared" si="170"/>
        <v>-8000</v>
      </c>
      <c r="H10575" s="121" t="s">
        <v>6812</v>
      </c>
    </row>
    <row r="10576" spans="1:8" ht="15" x14ac:dyDescent="0.2">
      <c r="A10576" s="619">
        <v>44306</v>
      </c>
      <c r="B10576" s="63" t="s">
        <v>16</v>
      </c>
      <c r="C10576" s="63" t="s">
        <v>3364</v>
      </c>
      <c r="D10576" s="183"/>
      <c r="E10576" s="126">
        <v>4370</v>
      </c>
      <c r="F10576" s="126"/>
      <c r="G10576" s="126">
        <f t="shared" si="170"/>
        <v>-4370</v>
      </c>
      <c r="H10576" s="121" t="s">
        <v>6812</v>
      </c>
    </row>
    <row r="10577" spans="1:8" ht="15" x14ac:dyDescent="0.2">
      <c r="A10577" s="619">
        <v>44306</v>
      </c>
      <c r="B10577" s="63" t="s">
        <v>82</v>
      </c>
      <c r="C10577" s="63" t="s">
        <v>392</v>
      </c>
      <c r="D10577" s="183" t="s">
        <v>6889</v>
      </c>
      <c r="E10577" s="126">
        <v>2600</v>
      </c>
      <c r="F10577" s="126"/>
      <c r="G10577" s="126">
        <f t="shared" si="170"/>
        <v>-2600</v>
      </c>
      <c r="H10577" s="121" t="s">
        <v>6812</v>
      </c>
    </row>
    <row r="10578" spans="1:8" ht="15" x14ac:dyDescent="0.2">
      <c r="A10578" s="619">
        <v>44306</v>
      </c>
      <c r="B10578" s="63" t="s">
        <v>4553</v>
      </c>
      <c r="C10578" s="63" t="s">
        <v>392</v>
      </c>
      <c r="D10578" s="183" t="s">
        <v>6889</v>
      </c>
      <c r="E10578" s="126">
        <v>2200</v>
      </c>
      <c r="F10578" s="126"/>
      <c r="G10578" s="126">
        <f t="shared" si="170"/>
        <v>-2200</v>
      </c>
      <c r="H10578" s="121" t="s">
        <v>6812</v>
      </c>
    </row>
    <row r="10579" spans="1:8" ht="15" x14ac:dyDescent="0.2">
      <c r="A10579" s="619">
        <v>44306</v>
      </c>
      <c r="B10579" s="63" t="s">
        <v>6511</v>
      </c>
      <c r="C10579" s="63" t="s">
        <v>2190</v>
      </c>
      <c r="D10579" s="183"/>
      <c r="E10579" s="126">
        <v>450</v>
      </c>
      <c r="F10579" s="126"/>
      <c r="G10579" s="126">
        <f t="shared" si="170"/>
        <v>-450</v>
      </c>
      <c r="H10579" s="121" t="s">
        <v>6812</v>
      </c>
    </row>
    <row r="10580" spans="1:8" ht="24" x14ac:dyDescent="0.2">
      <c r="A10580" s="619">
        <v>44306</v>
      </c>
      <c r="B10580" s="63" t="s">
        <v>7126</v>
      </c>
      <c r="C10580" s="63" t="s">
        <v>74</v>
      </c>
      <c r="D10580" s="183" t="s">
        <v>6890</v>
      </c>
      <c r="E10580" s="126">
        <v>53250</v>
      </c>
      <c r="F10580" s="126"/>
      <c r="G10580" s="126">
        <f t="shared" si="170"/>
        <v>-53250</v>
      </c>
      <c r="H10580" s="121" t="s">
        <v>6812</v>
      </c>
    </row>
    <row r="10581" spans="1:8" ht="24" x14ac:dyDescent="0.2">
      <c r="A10581" s="619">
        <v>44307</v>
      </c>
      <c r="B10581" s="63" t="s">
        <v>7126</v>
      </c>
      <c r="C10581" s="63" t="s">
        <v>6763</v>
      </c>
      <c r="D10581" s="183" t="s">
        <v>6891</v>
      </c>
      <c r="E10581" s="126">
        <v>18800</v>
      </c>
      <c r="F10581" s="126"/>
      <c r="G10581" s="126">
        <f t="shared" si="170"/>
        <v>-18800</v>
      </c>
      <c r="H10581" s="121" t="s">
        <v>6812</v>
      </c>
    </row>
    <row r="10582" spans="1:8" ht="24" x14ac:dyDescent="0.2">
      <c r="A10582" s="619">
        <v>44307</v>
      </c>
      <c r="B10582" s="63" t="s">
        <v>1400</v>
      </c>
      <c r="C10582" s="63" t="s">
        <v>392</v>
      </c>
      <c r="D10582" s="183" t="s">
        <v>6892</v>
      </c>
      <c r="E10582" s="126">
        <v>5000</v>
      </c>
      <c r="F10582" s="126"/>
      <c r="G10582" s="126">
        <f t="shared" si="170"/>
        <v>-5000</v>
      </c>
      <c r="H10582" s="121" t="s">
        <v>6812</v>
      </c>
    </row>
    <row r="10583" spans="1:8" ht="15" x14ac:dyDescent="0.2">
      <c r="A10583" s="619">
        <v>44307</v>
      </c>
      <c r="B10583" s="63" t="s">
        <v>82</v>
      </c>
      <c r="C10583" s="63" t="s">
        <v>392</v>
      </c>
      <c r="D10583" s="183" t="s">
        <v>4966</v>
      </c>
      <c r="E10583" s="126">
        <v>7780</v>
      </c>
      <c r="F10583" s="126"/>
      <c r="G10583" s="126">
        <f t="shared" si="170"/>
        <v>-7780</v>
      </c>
      <c r="H10583" s="121" t="s">
        <v>6812</v>
      </c>
    </row>
    <row r="10584" spans="1:8" ht="15" x14ac:dyDescent="0.2">
      <c r="A10584" s="619">
        <v>44309</v>
      </c>
      <c r="B10584" s="63" t="s">
        <v>6511</v>
      </c>
      <c r="C10584" s="63" t="s">
        <v>392</v>
      </c>
      <c r="D10584" s="183" t="s">
        <v>6893</v>
      </c>
      <c r="E10584" s="126">
        <v>600</v>
      </c>
      <c r="F10584" s="126"/>
      <c r="G10584" s="126">
        <f t="shared" si="170"/>
        <v>-600</v>
      </c>
      <c r="H10584" s="121" t="s">
        <v>6812</v>
      </c>
    </row>
    <row r="10585" spans="1:8" ht="15" x14ac:dyDescent="0.2">
      <c r="A10585" s="619">
        <v>44309</v>
      </c>
      <c r="B10585" s="63" t="s">
        <v>25</v>
      </c>
      <c r="C10585" s="63" t="s">
        <v>1689</v>
      </c>
      <c r="D10585" s="183" t="s">
        <v>6894</v>
      </c>
      <c r="E10585" s="126">
        <v>24705</v>
      </c>
      <c r="F10585" s="126"/>
      <c r="G10585" s="126">
        <f t="shared" si="170"/>
        <v>-24705</v>
      </c>
      <c r="H10585" s="121" t="s">
        <v>6812</v>
      </c>
    </row>
    <row r="10586" spans="1:8" ht="15" x14ac:dyDescent="0.2">
      <c r="A10586" s="619">
        <v>44309</v>
      </c>
      <c r="B10586" s="63" t="s">
        <v>16</v>
      </c>
      <c r="C10586" s="63" t="s">
        <v>1689</v>
      </c>
      <c r="D10586" s="183" t="s">
        <v>6894</v>
      </c>
      <c r="E10586" s="126">
        <v>13372</v>
      </c>
      <c r="F10586" s="126"/>
      <c r="G10586" s="126">
        <f t="shared" si="170"/>
        <v>-13372</v>
      </c>
      <c r="H10586" s="121" t="s">
        <v>6812</v>
      </c>
    </row>
    <row r="10587" spans="1:8" ht="15" x14ac:dyDescent="0.2">
      <c r="A10587" s="619">
        <v>44309</v>
      </c>
      <c r="B10587" s="63" t="s">
        <v>25</v>
      </c>
      <c r="C10587" s="63" t="s">
        <v>2428</v>
      </c>
      <c r="D10587" s="183" t="s">
        <v>6900</v>
      </c>
      <c r="E10587" s="126">
        <v>41300</v>
      </c>
      <c r="F10587" s="126"/>
      <c r="G10587" s="126">
        <f t="shared" si="170"/>
        <v>-41300</v>
      </c>
      <c r="H10587" s="121" t="s">
        <v>6812</v>
      </c>
    </row>
    <row r="10588" spans="1:8" ht="15" customHeight="1" x14ac:dyDescent="0.2">
      <c r="A10588" s="619">
        <v>44309</v>
      </c>
      <c r="B10588" s="63" t="s">
        <v>5604</v>
      </c>
      <c r="C10588" s="551" t="s">
        <v>6901</v>
      </c>
      <c r="D10588" s="740" t="s">
        <v>370</v>
      </c>
      <c r="E10588" s="552">
        <v>6000</v>
      </c>
      <c r="F10588" s="126"/>
      <c r="G10588" s="126">
        <f t="shared" si="170"/>
        <v>-6000</v>
      </c>
      <c r="H10588" s="121" t="s">
        <v>6812</v>
      </c>
    </row>
    <row r="10589" spans="1:8" ht="15" x14ac:dyDescent="0.2">
      <c r="A10589" s="619">
        <v>44309</v>
      </c>
      <c r="B10589" s="63" t="s">
        <v>1400</v>
      </c>
      <c r="C10589" s="551" t="s">
        <v>6901</v>
      </c>
      <c r="D10589" s="740" t="s">
        <v>370</v>
      </c>
      <c r="E10589" s="552">
        <v>7000</v>
      </c>
      <c r="F10589" s="126"/>
      <c r="G10589" s="126">
        <f t="shared" si="170"/>
        <v>-7000</v>
      </c>
      <c r="H10589" s="121" t="s">
        <v>6812</v>
      </c>
    </row>
    <row r="10590" spans="1:8" ht="15" x14ac:dyDescent="0.2">
      <c r="A10590" s="619">
        <v>44309</v>
      </c>
      <c r="B10590" s="63" t="s">
        <v>2933</v>
      </c>
      <c r="C10590" s="551" t="s">
        <v>6901</v>
      </c>
      <c r="D10590" s="740" t="s">
        <v>370</v>
      </c>
      <c r="E10590" s="552">
        <v>7000</v>
      </c>
      <c r="F10590" s="126"/>
      <c r="G10590" s="126">
        <f t="shared" si="170"/>
        <v>-7000</v>
      </c>
      <c r="H10590" s="121" t="s">
        <v>6812</v>
      </c>
    </row>
    <row r="10591" spans="1:8" ht="15" customHeight="1" x14ac:dyDescent="0.2">
      <c r="A10591" s="619">
        <v>44310</v>
      </c>
      <c r="B10591" s="63" t="s">
        <v>25</v>
      </c>
      <c r="C10591" s="63" t="s">
        <v>4065</v>
      </c>
      <c r="D10591" s="183" t="s">
        <v>2796</v>
      </c>
      <c r="E10591" s="126">
        <v>1500</v>
      </c>
      <c r="F10591" s="126"/>
      <c r="G10591" s="126">
        <f t="shared" si="170"/>
        <v>-1500</v>
      </c>
      <c r="H10591" s="121" t="s">
        <v>6812</v>
      </c>
    </row>
    <row r="10592" spans="1:8" ht="15" x14ac:dyDescent="0.2">
      <c r="A10592" s="619">
        <v>44310</v>
      </c>
      <c r="B10592" s="63" t="s">
        <v>6758</v>
      </c>
      <c r="C10592" s="63" t="s">
        <v>5741</v>
      </c>
      <c r="D10592" s="183" t="s">
        <v>6055</v>
      </c>
      <c r="E10592" s="126">
        <v>1000</v>
      </c>
      <c r="F10592" s="126"/>
      <c r="G10592" s="126">
        <f t="shared" si="170"/>
        <v>-1000</v>
      </c>
      <c r="H10592" s="121" t="s">
        <v>6812</v>
      </c>
    </row>
    <row r="10593" spans="1:8" ht="15" x14ac:dyDescent="0.2">
      <c r="A10593" s="619">
        <v>44310</v>
      </c>
      <c r="B10593" s="63" t="s">
        <v>6635</v>
      </c>
      <c r="C10593" s="63" t="s">
        <v>2503</v>
      </c>
      <c r="D10593" s="183" t="s">
        <v>6924</v>
      </c>
      <c r="E10593" s="126">
        <v>5000</v>
      </c>
      <c r="F10593" s="126"/>
      <c r="G10593" s="126">
        <f t="shared" si="170"/>
        <v>-5000</v>
      </c>
      <c r="H10593" s="121" t="s">
        <v>6812</v>
      </c>
    </row>
    <row r="10594" spans="1:8" ht="15" x14ac:dyDescent="0.2">
      <c r="A10594" s="619">
        <v>44310</v>
      </c>
      <c r="B10594" s="63" t="s">
        <v>6511</v>
      </c>
      <c r="C10594" s="63" t="s">
        <v>3145</v>
      </c>
      <c r="D10594" s="183" t="s">
        <v>6902</v>
      </c>
      <c r="E10594" s="126">
        <v>21300</v>
      </c>
      <c r="F10594" s="126"/>
      <c r="G10594" s="126">
        <f t="shared" si="170"/>
        <v>-21300</v>
      </c>
      <c r="H10594" s="121" t="s">
        <v>6812</v>
      </c>
    </row>
    <row r="10595" spans="1:8" ht="15" x14ac:dyDescent="0.2">
      <c r="A10595" s="619">
        <v>44310</v>
      </c>
      <c r="B10595" s="63" t="s">
        <v>2933</v>
      </c>
      <c r="C10595" s="63" t="s">
        <v>392</v>
      </c>
      <c r="D10595" s="183" t="s">
        <v>6903</v>
      </c>
      <c r="E10595" s="126">
        <v>450</v>
      </c>
      <c r="F10595" s="126"/>
      <c r="G10595" s="126">
        <f t="shared" si="170"/>
        <v>-450</v>
      </c>
      <c r="H10595" s="121" t="s">
        <v>6812</v>
      </c>
    </row>
    <row r="10596" spans="1:8" ht="15" x14ac:dyDescent="0.2">
      <c r="A10596" s="619">
        <v>44310</v>
      </c>
      <c r="B10596" s="63" t="s">
        <v>2933</v>
      </c>
      <c r="C10596" s="63" t="s">
        <v>286</v>
      </c>
      <c r="D10596" s="183" t="s">
        <v>3253</v>
      </c>
      <c r="E10596" s="126">
        <v>550</v>
      </c>
      <c r="F10596" s="126"/>
      <c r="G10596" s="126">
        <f t="shared" si="170"/>
        <v>-550</v>
      </c>
      <c r="H10596" s="121" t="s">
        <v>6812</v>
      </c>
    </row>
    <row r="10597" spans="1:8" ht="15" x14ac:dyDescent="0.2">
      <c r="A10597" s="619">
        <v>44310</v>
      </c>
      <c r="B10597" s="63" t="s">
        <v>1400</v>
      </c>
      <c r="C10597" s="63" t="s">
        <v>3145</v>
      </c>
      <c r="D10597" s="183" t="s">
        <v>4450</v>
      </c>
      <c r="E10597" s="126">
        <v>21336</v>
      </c>
      <c r="F10597" s="126"/>
      <c r="G10597" s="126">
        <f t="shared" si="170"/>
        <v>-21336</v>
      </c>
      <c r="H10597" s="121" t="s">
        <v>6812</v>
      </c>
    </row>
    <row r="10598" spans="1:8" ht="15" x14ac:dyDescent="0.2">
      <c r="A10598" s="619">
        <v>44314</v>
      </c>
      <c r="B10598" s="63" t="s">
        <v>6408</v>
      </c>
      <c r="C10598" s="63" t="s">
        <v>5741</v>
      </c>
      <c r="D10598" s="183"/>
      <c r="E10598" s="126">
        <v>400</v>
      </c>
      <c r="F10598" s="126"/>
      <c r="G10598" s="126">
        <f t="shared" si="170"/>
        <v>-400</v>
      </c>
      <c r="H10598" s="121" t="s">
        <v>6812</v>
      </c>
    </row>
    <row r="10599" spans="1:8" ht="15" x14ac:dyDescent="0.2">
      <c r="A10599" s="619">
        <v>44314</v>
      </c>
      <c r="B10599" s="63" t="s">
        <v>6103</v>
      </c>
      <c r="C10599" s="63" t="s">
        <v>4988</v>
      </c>
      <c r="D10599" s="183" t="s">
        <v>2711</v>
      </c>
      <c r="E10599" s="126">
        <v>44000</v>
      </c>
      <c r="F10599" s="126"/>
      <c r="G10599" s="126">
        <f t="shared" si="170"/>
        <v>-44000</v>
      </c>
      <c r="H10599" s="121" t="s">
        <v>6812</v>
      </c>
    </row>
    <row r="10600" spans="1:8" ht="15" x14ac:dyDescent="0.2">
      <c r="A10600" s="619">
        <v>44314</v>
      </c>
      <c r="B10600" s="63" t="s">
        <v>6518</v>
      </c>
      <c r="C10600" s="63" t="s">
        <v>2190</v>
      </c>
      <c r="D10600" s="183"/>
      <c r="E10600" s="126">
        <v>720</v>
      </c>
      <c r="F10600" s="126"/>
      <c r="G10600" s="126">
        <f t="shared" si="170"/>
        <v>-720</v>
      </c>
      <c r="H10600" s="121" t="s">
        <v>6812</v>
      </c>
    </row>
    <row r="10601" spans="1:8" ht="15" x14ac:dyDescent="0.2">
      <c r="A10601" s="619">
        <v>44314</v>
      </c>
      <c r="B10601" s="63" t="s">
        <v>82</v>
      </c>
      <c r="C10601" s="63" t="s">
        <v>392</v>
      </c>
      <c r="D10601" s="183" t="s">
        <v>6904</v>
      </c>
      <c r="E10601" s="126">
        <v>1050</v>
      </c>
      <c r="F10601" s="126"/>
      <c r="G10601" s="126">
        <f t="shared" ref="G10601:G10624" si="171">F10601-E10601</f>
        <v>-1050</v>
      </c>
      <c r="H10601" s="121" t="s">
        <v>6812</v>
      </c>
    </row>
    <row r="10602" spans="1:8" ht="15" x14ac:dyDescent="0.2">
      <c r="A10602" s="619">
        <v>44315</v>
      </c>
      <c r="B10602" s="63" t="s">
        <v>5811</v>
      </c>
      <c r="C10602" s="63" t="s">
        <v>392</v>
      </c>
      <c r="D10602" s="183" t="s">
        <v>6263</v>
      </c>
      <c r="E10602" s="126">
        <v>3135</v>
      </c>
      <c r="F10602" s="126"/>
      <c r="G10602" s="126">
        <f t="shared" si="171"/>
        <v>-3135</v>
      </c>
      <c r="H10602" s="121" t="s">
        <v>6812</v>
      </c>
    </row>
    <row r="10603" spans="1:8" ht="15" x14ac:dyDescent="0.2">
      <c r="A10603" s="619">
        <v>44315</v>
      </c>
      <c r="B10603" s="63" t="s">
        <v>16</v>
      </c>
      <c r="C10603" s="63" t="s">
        <v>463</v>
      </c>
      <c r="D10603" s="183" t="s">
        <v>6911</v>
      </c>
      <c r="E10603" s="126">
        <v>22760</v>
      </c>
      <c r="F10603" s="126"/>
      <c r="G10603" s="126">
        <f t="shared" si="171"/>
        <v>-22760</v>
      </c>
      <c r="H10603" s="121" t="s">
        <v>6812</v>
      </c>
    </row>
    <row r="10604" spans="1:8" ht="15" x14ac:dyDescent="0.2">
      <c r="A10604" s="619">
        <v>44316</v>
      </c>
      <c r="B10604" s="63" t="s">
        <v>1400</v>
      </c>
      <c r="C10604" s="63" t="s">
        <v>2503</v>
      </c>
      <c r="D10604" s="183"/>
      <c r="E10604" s="126">
        <v>25000</v>
      </c>
      <c r="F10604" s="126"/>
      <c r="G10604" s="126">
        <f t="shared" si="171"/>
        <v>-25000</v>
      </c>
      <c r="H10604" s="121" t="s">
        <v>6812</v>
      </c>
    </row>
    <row r="10605" spans="1:8" ht="15" x14ac:dyDescent="0.2">
      <c r="A10605" s="619">
        <v>44316</v>
      </c>
      <c r="B10605" s="63" t="s">
        <v>6518</v>
      </c>
      <c r="C10605" s="63" t="s">
        <v>2503</v>
      </c>
      <c r="D10605" s="183"/>
      <c r="E10605" s="126">
        <v>25000</v>
      </c>
      <c r="F10605" s="126"/>
      <c r="G10605" s="126">
        <f t="shared" si="171"/>
        <v>-25000</v>
      </c>
      <c r="H10605" s="121" t="s">
        <v>6812</v>
      </c>
    </row>
    <row r="10606" spans="1:8" ht="15" customHeight="1" x14ac:dyDescent="0.2">
      <c r="A10606" s="619">
        <v>44316</v>
      </c>
      <c r="B10606" s="63" t="s">
        <v>6408</v>
      </c>
      <c r="C10606" s="63" t="s">
        <v>2503</v>
      </c>
      <c r="D10606" s="183"/>
      <c r="E10606" s="126">
        <v>25000</v>
      </c>
      <c r="F10606" s="126"/>
      <c r="G10606" s="126">
        <f t="shared" si="171"/>
        <v>-25000</v>
      </c>
      <c r="H10606" s="121" t="s">
        <v>6812</v>
      </c>
    </row>
    <row r="10607" spans="1:8" ht="15" x14ac:dyDescent="0.2">
      <c r="A10607" s="619">
        <v>44316</v>
      </c>
      <c r="B10607" s="63" t="s">
        <v>6511</v>
      </c>
      <c r="C10607" s="63" t="s">
        <v>2503</v>
      </c>
      <c r="D10607" s="183"/>
      <c r="E10607" s="126">
        <v>25000</v>
      </c>
      <c r="F10607" s="126"/>
      <c r="G10607" s="126">
        <f t="shared" si="171"/>
        <v>-25000</v>
      </c>
      <c r="H10607" s="121" t="s">
        <v>6812</v>
      </c>
    </row>
    <row r="10608" spans="1:8" ht="15" x14ac:dyDescent="0.2">
      <c r="A10608" s="619">
        <v>44316</v>
      </c>
      <c r="B10608" s="63" t="s">
        <v>25</v>
      </c>
      <c r="C10608" s="63" t="s">
        <v>2503</v>
      </c>
      <c r="D10608" s="183"/>
      <c r="E10608" s="126">
        <v>62000</v>
      </c>
      <c r="F10608" s="126"/>
      <c r="G10608" s="126">
        <f t="shared" si="171"/>
        <v>-62000</v>
      </c>
      <c r="H10608" s="121" t="s">
        <v>6812</v>
      </c>
    </row>
    <row r="10609" spans="1:8" ht="15" customHeight="1" x14ac:dyDescent="0.2">
      <c r="A10609" s="619">
        <v>44316</v>
      </c>
      <c r="B10609" s="63" t="s">
        <v>16</v>
      </c>
      <c r="C10609" s="63" t="s">
        <v>2503</v>
      </c>
      <c r="D10609" s="183"/>
      <c r="E10609" s="126">
        <v>119000</v>
      </c>
      <c r="F10609" s="126"/>
      <c r="G10609" s="126">
        <f t="shared" si="171"/>
        <v>-119000</v>
      </c>
      <c r="H10609" s="121" t="s">
        <v>6812</v>
      </c>
    </row>
    <row r="10610" spans="1:8" ht="15" x14ac:dyDescent="0.2">
      <c r="A10610" s="619">
        <v>44316</v>
      </c>
      <c r="B10610" s="63" t="s">
        <v>3945</v>
      </c>
      <c r="C10610" s="63" t="s">
        <v>2503</v>
      </c>
      <c r="D10610" s="183"/>
      <c r="E10610" s="126">
        <v>31500</v>
      </c>
      <c r="F10610" s="126"/>
      <c r="G10610" s="126">
        <f t="shared" si="171"/>
        <v>-31500</v>
      </c>
      <c r="H10610" s="121" t="s">
        <v>6812</v>
      </c>
    </row>
    <row r="10611" spans="1:8" ht="15" x14ac:dyDescent="0.2">
      <c r="A10611" s="619">
        <v>44316</v>
      </c>
      <c r="B10611" s="63" t="s">
        <v>3946</v>
      </c>
      <c r="C10611" s="63" t="s">
        <v>2503</v>
      </c>
      <c r="D10611" s="183"/>
      <c r="E10611" s="126">
        <v>72583.333333333328</v>
      </c>
      <c r="F10611" s="126"/>
      <c r="G10611" s="126">
        <f t="shared" si="171"/>
        <v>-72583.333333333328</v>
      </c>
      <c r="H10611" s="121" t="s">
        <v>6812</v>
      </c>
    </row>
    <row r="10612" spans="1:8" ht="15" x14ac:dyDescent="0.2">
      <c r="A10612" s="619">
        <v>44316</v>
      </c>
      <c r="B10612" s="63" t="s">
        <v>1400</v>
      </c>
      <c r="C10612" s="63" t="s">
        <v>2503</v>
      </c>
      <c r="D10612" s="183"/>
      <c r="E10612" s="126">
        <v>200695.83333333334</v>
      </c>
      <c r="F10612" s="126"/>
      <c r="G10612" s="126">
        <f t="shared" si="171"/>
        <v>-200695.83333333334</v>
      </c>
      <c r="H10612" s="121" t="s">
        <v>6812</v>
      </c>
    </row>
    <row r="10613" spans="1:8" ht="15" x14ac:dyDescent="0.2">
      <c r="A10613" s="619">
        <v>44316</v>
      </c>
      <c r="B10613" s="63" t="s">
        <v>6516</v>
      </c>
      <c r="C10613" s="63" t="s">
        <v>2503</v>
      </c>
      <c r="D10613" s="183"/>
      <c r="E10613" s="126">
        <v>116254.16666666666</v>
      </c>
      <c r="F10613" s="126"/>
      <c r="G10613" s="126">
        <f t="shared" si="171"/>
        <v>-116254.16666666666</v>
      </c>
      <c r="H10613" s="121" t="s">
        <v>6812</v>
      </c>
    </row>
    <row r="10614" spans="1:8" ht="15" x14ac:dyDescent="0.2">
      <c r="A10614" s="619">
        <v>44316</v>
      </c>
      <c r="B10614" s="63" t="s">
        <v>37</v>
      </c>
      <c r="C10614" s="63" t="s">
        <v>2503</v>
      </c>
      <c r="D10614" s="183"/>
      <c r="E10614" s="126">
        <v>92458.333333333343</v>
      </c>
      <c r="F10614" s="126"/>
      <c r="G10614" s="126">
        <f t="shared" si="171"/>
        <v>-92458.333333333343</v>
      </c>
      <c r="H10614" s="121" t="s">
        <v>6812</v>
      </c>
    </row>
    <row r="10615" spans="1:8" ht="15" x14ac:dyDescent="0.2">
      <c r="A10615" s="619">
        <v>44316</v>
      </c>
      <c r="B10615" s="63" t="s">
        <v>2933</v>
      </c>
      <c r="C10615" s="63" t="s">
        <v>2503</v>
      </c>
      <c r="D10615" s="183"/>
      <c r="E10615" s="126">
        <v>81066.666666666672</v>
      </c>
      <c r="F10615" s="126"/>
      <c r="G10615" s="126">
        <f t="shared" si="171"/>
        <v>-81066.666666666672</v>
      </c>
      <c r="H10615" s="121" t="s">
        <v>6812</v>
      </c>
    </row>
    <row r="10616" spans="1:8" ht="15" x14ac:dyDescent="0.2">
      <c r="A10616" s="619">
        <v>44316</v>
      </c>
      <c r="B10616" s="63" t="s">
        <v>6518</v>
      </c>
      <c r="C10616" s="63" t="s">
        <v>2503</v>
      </c>
      <c r="D10616" s="183"/>
      <c r="E10616" s="126">
        <v>54996</v>
      </c>
      <c r="F10616" s="126"/>
      <c r="G10616" s="126">
        <f t="shared" si="171"/>
        <v>-54996</v>
      </c>
      <c r="H10616" s="121" t="s">
        <v>6812</v>
      </c>
    </row>
    <row r="10617" spans="1:8" ht="15" x14ac:dyDescent="0.2">
      <c r="A10617" s="619">
        <v>44316</v>
      </c>
      <c r="B10617" s="63" t="s">
        <v>7126</v>
      </c>
      <c r="C10617" s="63" t="s">
        <v>2503</v>
      </c>
      <c r="D10617" s="183"/>
      <c r="E10617" s="126">
        <v>87987</v>
      </c>
      <c r="F10617" s="126"/>
      <c r="G10617" s="126">
        <f t="shared" si="171"/>
        <v>-87987</v>
      </c>
      <c r="H10617" s="121" t="s">
        <v>6812</v>
      </c>
    </row>
    <row r="10618" spans="1:8" ht="15" x14ac:dyDescent="0.2">
      <c r="A10618" s="619">
        <v>44316</v>
      </c>
      <c r="B10618" s="63" t="s">
        <v>6511</v>
      </c>
      <c r="C10618" s="63" t="s">
        <v>2503</v>
      </c>
      <c r="D10618" s="183"/>
      <c r="E10618" s="126">
        <v>127450</v>
      </c>
      <c r="F10618" s="126"/>
      <c r="G10618" s="126">
        <f t="shared" si="171"/>
        <v>-127450</v>
      </c>
      <c r="H10618" s="121" t="s">
        <v>6812</v>
      </c>
    </row>
    <row r="10619" spans="1:8" ht="15" x14ac:dyDescent="0.2">
      <c r="A10619" s="619">
        <v>44316</v>
      </c>
      <c r="B10619" s="63" t="s">
        <v>82</v>
      </c>
      <c r="C10619" s="63" t="s">
        <v>2503</v>
      </c>
      <c r="D10619" s="183"/>
      <c r="E10619" s="126">
        <v>17500</v>
      </c>
      <c r="F10619" s="126"/>
      <c r="G10619" s="126">
        <f t="shared" si="171"/>
        <v>-17500</v>
      </c>
      <c r="H10619" s="121" t="s">
        <v>6812</v>
      </c>
    </row>
    <row r="10620" spans="1:8" ht="15" x14ac:dyDescent="0.2">
      <c r="A10620" s="619">
        <v>44316</v>
      </c>
      <c r="B10620" s="63" t="s">
        <v>5811</v>
      </c>
      <c r="C10620" s="63" t="s">
        <v>2503</v>
      </c>
      <c r="D10620" s="183"/>
      <c r="E10620" s="126">
        <v>60260</v>
      </c>
      <c r="F10620" s="126"/>
      <c r="G10620" s="126">
        <f t="shared" si="171"/>
        <v>-60260</v>
      </c>
      <c r="H10620" s="121" t="s">
        <v>6812</v>
      </c>
    </row>
    <row r="10621" spans="1:8" ht="15" x14ac:dyDescent="0.2">
      <c r="A10621" s="619">
        <v>44316</v>
      </c>
      <c r="B10621" s="63" t="s">
        <v>4553</v>
      </c>
      <c r="C10621" s="63" t="s">
        <v>2503</v>
      </c>
      <c r="D10621" s="183"/>
      <c r="E10621" s="126">
        <v>31163</v>
      </c>
      <c r="F10621" s="126"/>
      <c r="G10621" s="126">
        <f t="shared" si="171"/>
        <v>-31163</v>
      </c>
      <c r="H10621" s="121" t="s">
        <v>6812</v>
      </c>
    </row>
    <row r="10622" spans="1:8" ht="15" customHeight="1" x14ac:dyDescent="0.25">
      <c r="A10622" s="637">
        <v>44287</v>
      </c>
      <c r="B10622" s="174" t="s">
        <v>5544</v>
      </c>
      <c r="C10622" s="174" t="s">
        <v>6816</v>
      </c>
      <c r="D10622" s="228" t="s">
        <v>6818</v>
      </c>
      <c r="E10622" s="236">
        <v>49900</v>
      </c>
      <c r="F10622" s="236"/>
      <c r="G10622" s="638">
        <f t="shared" si="171"/>
        <v>-49900</v>
      </c>
      <c r="H10622" s="117" t="s">
        <v>6812</v>
      </c>
    </row>
    <row r="10623" spans="1:8" ht="48" customHeight="1" x14ac:dyDescent="0.25">
      <c r="A10623" s="637">
        <v>44288</v>
      </c>
      <c r="B10623" s="174" t="s">
        <v>6511</v>
      </c>
      <c r="C10623" s="551" t="s">
        <v>1355</v>
      </c>
      <c r="D10623" s="740" t="s">
        <v>6973</v>
      </c>
      <c r="E10623" s="552">
        <v>73360</v>
      </c>
      <c r="F10623" s="236"/>
      <c r="G10623" s="638">
        <f t="shared" si="171"/>
        <v>-73360</v>
      </c>
      <c r="H10623" s="117" t="s">
        <v>6812</v>
      </c>
    </row>
    <row r="10624" spans="1:8" ht="15" customHeight="1" x14ac:dyDescent="0.25">
      <c r="A10624" s="637">
        <v>44288</v>
      </c>
      <c r="B10624" s="174" t="s">
        <v>6408</v>
      </c>
      <c r="C10624" s="551" t="s">
        <v>1355</v>
      </c>
      <c r="D10624" s="740" t="s">
        <v>6789</v>
      </c>
      <c r="E10624" s="552">
        <v>7970</v>
      </c>
      <c r="F10624" s="236"/>
      <c r="G10624" s="638">
        <f t="shared" si="171"/>
        <v>-7970</v>
      </c>
      <c r="H10624" s="117" t="s">
        <v>6812</v>
      </c>
    </row>
    <row r="10625" spans="1:8" ht="15" customHeight="1" x14ac:dyDescent="0.25">
      <c r="A10625" s="637">
        <v>44288</v>
      </c>
      <c r="B10625" s="174" t="s">
        <v>1400</v>
      </c>
      <c r="C10625" s="551" t="s">
        <v>1355</v>
      </c>
      <c r="D10625" s="740" t="s">
        <v>6789</v>
      </c>
      <c r="E10625" s="552">
        <v>21500</v>
      </c>
      <c r="F10625" s="236"/>
      <c r="G10625" s="638"/>
      <c r="H10625" s="117"/>
    </row>
    <row r="10626" spans="1:8" ht="15" customHeight="1" x14ac:dyDescent="0.25">
      <c r="A10626" s="637">
        <v>44288</v>
      </c>
      <c r="B10626" s="174" t="s">
        <v>6408</v>
      </c>
      <c r="C10626" s="551" t="s">
        <v>1355</v>
      </c>
      <c r="D10626" s="740" t="s">
        <v>6789</v>
      </c>
      <c r="E10626" s="552">
        <v>2900</v>
      </c>
      <c r="F10626" s="236"/>
      <c r="G10626" s="638"/>
      <c r="H10626" s="117"/>
    </row>
    <row r="10627" spans="1:8" ht="15" customHeight="1" x14ac:dyDescent="0.25">
      <c r="A10627" s="637">
        <v>44288</v>
      </c>
      <c r="B10627" s="174" t="s">
        <v>1400</v>
      </c>
      <c r="C10627" s="551" t="s">
        <v>1355</v>
      </c>
      <c r="D10627" s="740" t="s">
        <v>6789</v>
      </c>
      <c r="E10627" s="552">
        <v>24225</v>
      </c>
      <c r="F10627" s="236"/>
      <c r="G10627" s="638"/>
      <c r="H10627" s="117"/>
    </row>
    <row r="10628" spans="1:8" ht="15" customHeight="1" x14ac:dyDescent="0.25">
      <c r="A10628" s="637">
        <v>44288</v>
      </c>
      <c r="B10628" s="174" t="s">
        <v>6408</v>
      </c>
      <c r="C10628" s="551" t="s">
        <v>1355</v>
      </c>
      <c r="D10628" s="740" t="s">
        <v>6789</v>
      </c>
      <c r="E10628" s="552">
        <v>54720</v>
      </c>
      <c r="F10628" s="236"/>
      <c r="G10628" s="638"/>
      <c r="H10628" s="117"/>
    </row>
    <row r="10629" spans="1:8" ht="15" customHeight="1" x14ac:dyDescent="0.25">
      <c r="A10629" s="637">
        <v>44288</v>
      </c>
      <c r="B10629" s="174" t="s">
        <v>6511</v>
      </c>
      <c r="C10629" s="551" t="s">
        <v>1355</v>
      </c>
      <c r="D10629" s="740" t="s">
        <v>6789</v>
      </c>
      <c r="E10629" s="552">
        <v>22415</v>
      </c>
      <c r="F10629" s="236"/>
      <c r="G10629" s="638">
        <f t="shared" ref="G10629:G10692" si="172">F10629-E10629</f>
        <v>-22415</v>
      </c>
      <c r="H10629" s="117" t="s">
        <v>6812</v>
      </c>
    </row>
    <row r="10630" spans="1:8" ht="72" x14ac:dyDescent="0.2">
      <c r="A10630" s="620">
        <v>44288</v>
      </c>
      <c r="B10630" s="174" t="s">
        <v>6518</v>
      </c>
      <c r="C10630" s="174" t="s">
        <v>6555</v>
      </c>
      <c r="D10630" s="228" t="s">
        <v>6819</v>
      </c>
      <c r="E10630" s="236">
        <v>390000</v>
      </c>
      <c r="F10630" s="236"/>
      <c r="G10630" s="236">
        <f t="shared" si="172"/>
        <v>-390000</v>
      </c>
      <c r="H10630" s="244" t="s">
        <v>6812</v>
      </c>
    </row>
    <row r="10631" spans="1:8" ht="24" x14ac:dyDescent="0.2">
      <c r="A10631" s="620">
        <v>44288</v>
      </c>
      <c r="B10631" s="174" t="s">
        <v>6647</v>
      </c>
      <c r="C10631" s="174" t="s">
        <v>431</v>
      </c>
      <c r="D10631" s="228" t="s">
        <v>6788</v>
      </c>
      <c r="E10631" s="236">
        <v>300000</v>
      </c>
      <c r="F10631" s="236"/>
      <c r="G10631" s="638">
        <f t="shared" si="172"/>
        <v>-300000</v>
      </c>
      <c r="H10631" s="244" t="s">
        <v>6812</v>
      </c>
    </row>
    <row r="10632" spans="1:8" ht="24" x14ac:dyDescent="0.2">
      <c r="A10632" s="620">
        <v>44288</v>
      </c>
      <c r="B10632" s="174" t="s">
        <v>6518</v>
      </c>
      <c r="C10632" s="174" t="s">
        <v>6822</v>
      </c>
      <c r="D10632" s="228" t="s">
        <v>6788</v>
      </c>
      <c r="E10632" s="236">
        <v>400000</v>
      </c>
      <c r="F10632" s="236"/>
      <c r="G10632" s="638">
        <f t="shared" si="172"/>
        <v>-400000</v>
      </c>
      <c r="H10632" s="244" t="s">
        <v>6812</v>
      </c>
    </row>
    <row r="10633" spans="1:8" ht="15" x14ac:dyDescent="0.2">
      <c r="A10633" s="620">
        <v>44291</v>
      </c>
      <c r="B10633" s="174" t="s">
        <v>6758</v>
      </c>
      <c r="C10633" s="174" t="s">
        <v>6637</v>
      </c>
      <c r="D10633" s="228" t="s">
        <v>6830</v>
      </c>
      <c r="E10633" s="236">
        <v>170000</v>
      </c>
      <c r="F10633" s="236"/>
      <c r="G10633" s="638">
        <f t="shared" si="172"/>
        <v>-170000</v>
      </c>
      <c r="H10633" s="244" t="s">
        <v>6812</v>
      </c>
    </row>
    <row r="10634" spans="1:8" ht="15" x14ac:dyDescent="0.2">
      <c r="A10634" s="620">
        <v>44291</v>
      </c>
      <c r="B10634" s="174" t="s">
        <v>6518</v>
      </c>
      <c r="C10634" s="174" t="s">
        <v>7181</v>
      </c>
      <c r="D10634" s="228" t="s">
        <v>6831</v>
      </c>
      <c r="E10634" s="236">
        <v>50000</v>
      </c>
      <c r="F10634" s="236"/>
      <c r="G10634" s="638">
        <f t="shared" si="172"/>
        <v>-50000</v>
      </c>
      <c r="H10634" s="244" t="s">
        <v>6812</v>
      </c>
    </row>
    <row r="10635" spans="1:8" ht="60" x14ac:dyDescent="0.2">
      <c r="A10635" s="620">
        <v>44291</v>
      </c>
      <c r="B10635" s="174" t="s">
        <v>6508</v>
      </c>
      <c r="C10635" s="551" t="s">
        <v>1803</v>
      </c>
      <c r="D10635" s="740" t="s">
        <v>6833</v>
      </c>
      <c r="E10635" s="552">
        <v>158559</v>
      </c>
      <c r="F10635" s="236"/>
      <c r="G10635" s="236">
        <f t="shared" si="172"/>
        <v>-158559</v>
      </c>
      <c r="H10635" s="244" t="s">
        <v>6812</v>
      </c>
    </row>
    <row r="10636" spans="1:8" ht="15" x14ac:dyDescent="0.2">
      <c r="A10636" s="620">
        <v>44291</v>
      </c>
      <c r="B10636" s="174" t="s">
        <v>6518</v>
      </c>
      <c r="C10636" s="551" t="s">
        <v>1803</v>
      </c>
      <c r="D10636" s="740" t="s">
        <v>6789</v>
      </c>
      <c r="E10636" s="552">
        <v>82220</v>
      </c>
      <c r="F10636" s="236"/>
      <c r="G10636" s="236">
        <f t="shared" si="172"/>
        <v>-82220</v>
      </c>
      <c r="H10636" s="244" t="s">
        <v>6812</v>
      </c>
    </row>
    <row r="10637" spans="1:8" ht="15" x14ac:dyDescent="0.2">
      <c r="A10637" s="620">
        <v>44291</v>
      </c>
      <c r="B10637" s="174" t="s">
        <v>6511</v>
      </c>
      <c r="C10637" s="551" t="s">
        <v>1803</v>
      </c>
      <c r="D10637" s="740" t="s">
        <v>6789</v>
      </c>
      <c r="E10637" s="552">
        <v>41721</v>
      </c>
      <c r="F10637" s="236"/>
      <c r="G10637" s="236">
        <f t="shared" si="172"/>
        <v>-41721</v>
      </c>
      <c r="H10637" s="244" t="s">
        <v>6812</v>
      </c>
    </row>
    <row r="10638" spans="1:8" ht="15" x14ac:dyDescent="0.2">
      <c r="A10638" s="620">
        <v>44291</v>
      </c>
      <c r="B10638" s="174" t="s">
        <v>6758</v>
      </c>
      <c r="C10638" s="551" t="s">
        <v>1803</v>
      </c>
      <c r="D10638" s="740" t="s">
        <v>6789</v>
      </c>
      <c r="E10638" s="552">
        <v>200000</v>
      </c>
      <c r="F10638" s="236"/>
      <c r="G10638" s="236">
        <f t="shared" si="172"/>
        <v>-200000</v>
      </c>
      <c r="H10638" s="244" t="s">
        <v>6812</v>
      </c>
    </row>
    <row r="10639" spans="1:8" ht="24" customHeight="1" x14ac:dyDescent="0.2">
      <c r="A10639" s="620">
        <v>44291</v>
      </c>
      <c r="B10639" s="174" t="s">
        <v>7126</v>
      </c>
      <c r="C10639" s="174" t="s">
        <v>6832</v>
      </c>
      <c r="D10639" s="228" t="s">
        <v>6788</v>
      </c>
      <c r="E10639" s="236">
        <v>381800</v>
      </c>
      <c r="F10639" s="236"/>
      <c r="G10639" s="236">
        <f t="shared" si="172"/>
        <v>-381800</v>
      </c>
      <c r="H10639" s="244" t="s">
        <v>6812</v>
      </c>
    </row>
    <row r="10640" spans="1:8" ht="24" x14ac:dyDescent="0.2">
      <c r="A10640" s="620">
        <v>44292</v>
      </c>
      <c r="B10640" s="174" t="s">
        <v>2933</v>
      </c>
      <c r="C10640" s="174" t="s">
        <v>6624</v>
      </c>
      <c r="D10640" s="228" t="s">
        <v>6788</v>
      </c>
      <c r="E10640" s="236">
        <v>125000</v>
      </c>
      <c r="F10640" s="236"/>
      <c r="G10640" s="236">
        <f t="shared" si="172"/>
        <v>-125000</v>
      </c>
      <c r="H10640" s="244" t="s">
        <v>6812</v>
      </c>
    </row>
    <row r="10641" spans="1:8" ht="15" x14ac:dyDescent="0.2">
      <c r="A10641" s="620">
        <v>44292</v>
      </c>
      <c r="B10641" s="174" t="s">
        <v>1400</v>
      </c>
      <c r="C10641" s="174" t="s">
        <v>6706</v>
      </c>
      <c r="D10641" s="228" t="s">
        <v>6834</v>
      </c>
      <c r="E10641" s="236">
        <v>28000</v>
      </c>
      <c r="F10641" s="236"/>
      <c r="G10641" s="236">
        <f t="shared" si="172"/>
        <v>-28000</v>
      </c>
      <c r="H10641" s="244" t="s">
        <v>6812</v>
      </c>
    </row>
    <row r="10642" spans="1:8" ht="36" x14ac:dyDescent="0.2">
      <c r="A10642" s="620">
        <v>44292</v>
      </c>
      <c r="B10642" s="174" t="s">
        <v>6508</v>
      </c>
      <c r="C10642" s="174" t="s">
        <v>6835</v>
      </c>
      <c r="D10642" s="228" t="s">
        <v>6861</v>
      </c>
      <c r="E10642" s="236">
        <v>300000</v>
      </c>
      <c r="F10642" s="236"/>
      <c r="G10642" s="236">
        <f t="shared" si="172"/>
        <v>-300000</v>
      </c>
      <c r="H10642" s="244" t="s">
        <v>6812</v>
      </c>
    </row>
    <row r="10643" spans="1:8" ht="24" x14ac:dyDescent="0.2">
      <c r="A10643" s="620">
        <v>44293</v>
      </c>
      <c r="B10643" s="174" t="s">
        <v>2933</v>
      </c>
      <c r="C10643" s="174" t="s">
        <v>6857</v>
      </c>
      <c r="D10643" s="228" t="s">
        <v>6788</v>
      </c>
      <c r="E10643" s="236">
        <v>100000</v>
      </c>
      <c r="F10643" s="236"/>
      <c r="G10643" s="236">
        <f t="shared" si="172"/>
        <v>-100000</v>
      </c>
      <c r="H10643" s="244" t="s">
        <v>6812</v>
      </c>
    </row>
    <row r="10644" spans="1:8" ht="24" x14ac:dyDescent="0.2">
      <c r="A10644" s="620">
        <v>44294</v>
      </c>
      <c r="B10644" s="174" t="s">
        <v>6635</v>
      </c>
      <c r="C10644" s="174" t="s">
        <v>6637</v>
      </c>
      <c r="D10644" s="228" t="s">
        <v>6860</v>
      </c>
      <c r="E10644" s="236"/>
      <c r="F10644" s="236"/>
      <c r="G10644" s="236">
        <f t="shared" si="172"/>
        <v>0</v>
      </c>
      <c r="H10644" s="244" t="s">
        <v>6812</v>
      </c>
    </row>
    <row r="10645" spans="1:8" ht="15" x14ac:dyDescent="0.2">
      <c r="A10645" s="620">
        <v>44298</v>
      </c>
      <c r="B10645" s="174" t="s">
        <v>1400</v>
      </c>
      <c r="C10645" s="174" t="s">
        <v>2104</v>
      </c>
      <c r="D10645" s="228" t="s">
        <v>6873</v>
      </c>
      <c r="E10645" s="236">
        <v>34800</v>
      </c>
      <c r="F10645" s="236"/>
      <c r="G10645" s="236">
        <f t="shared" si="172"/>
        <v>-34800</v>
      </c>
      <c r="H10645" s="244" t="s">
        <v>6812</v>
      </c>
    </row>
    <row r="10646" spans="1:8" ht="15" x14ac:dyDescent="0.2">
      <c r="A10646" s="620">
        <v>44298</v>
      </c>
      <c r="B10646" s="174" t="s">
        <v>11</v>
      </c>
      <c r="C10646" s="174" t="s">
        <v>6350</v>
      </c>
      <c r="D10646" s="228" t="s">
        <v>6874</v>
      </c>
      <c r="E10646" s="236">
        <v>22000</v>
      </c>
      <c r="F10646" s="236"/>
      <c r="G10646" s="236">
        <f t="shared" si="172"/>
        <v>-22000</v>
      </c>
      <c r="H10646" s="244" t="s">
        <v>6812</v>
      </c>
    </row>
    <row r="10647" spans="1:8" ht="15" x14ac:dyDescent="0.2">
      <c r="A10647" s="620">
        <v>44298</v>
      </c>
      <c r="B10647" s="174" t="s">
        <v>1400</v>
      </c>
      <c r="C10647" s="174" t="s">
        <v>6312</v>
      </c>
      <c r="D10647" s="228" t="s">
        <v>6875</v>
      </c>
      <c r="E10647" s="236">
        <v>50000</v>
      </c>
      <c r="F10647" s="236"/>
      <c r="G10647" s="236">
        <f t="shared" si="172"/>
        <v>-50000</v>
      </c>
      <c r="H10647" s="244" t="s">
        <v>6812</v>
      </c>
    </row>
    <row r="10648" spans="1:8" ht="24" x14ac:dyDescent="0.2">
      <c r="A10648" s="620">
        <v>44301</v>
      </c>
      <c r="B10648" s="174" t="s">
        <v>6511</v>
      </c>
      <c r="C10648" s="174" t="s">
        <v>6492</v>
      </c>
      <c r="D10648" s="228" t="s">
        <v>6876</v>
      </c>
      <c r="E10648" s="236">
        <v>78000</v>
      </c>
      <c r="F10648" s="236"/>
      <c r="G10648" s="236">
        <f t="shared" si="172"/>
        <v>-78000</v>
      </c>
      <c r="H10648" s="244" t="s">
        <v>6812</v>
      </c>
    </row>
    <row r="10649" spans="1:8" ht="15" x14ac:dyDescent="0.2">
      <c r="A10649" s="620">
        <v>44301</v>
      </c>
      <c r="B10649" s="174" t="s">
        <v>6408</v>
      </c>
      <c r="C10649" s="174" t="s">
        <v>6476</v>
      </c>
      <c r="D10649" s="228" t="s">
        <v>6877</v>
      </c>
      <c r="E10649" s="236">
        <v>50000</v>
      </c>
      <c r="F10649" s="236"/>
      <c r="G10649" s="236">
        <f t="shared" si="172"/>
        <v>-50000</v>
      </c>
      <c r="H10649" s="244" t="s">
        <v>6812</v>
      </c>
    </row>
    <row r="10650" spans="1:8" ht="15" x14ac:dyDescent="0.2">
      <c r="A10650" s="620">
        <v>44316</v>
      </c>
      <c r="B10650" s="174" t="s">
        <v>1400</v>
      </c>
      <c r="C10650" s="551" t="s">
        <v>2386</v>
      </c>
      <c r="D10650" s="740" t="s">
        <v>6905</v>
      </c>
      <c r="E10650" s="552">
        <v>33249</v>
      </c>
      <c r="F10650" s="236"/>
      <c r="G10650" s="236">
        <f t="shared" si="172"/>
        <v>-33249</v>
      </c>
      <c r="H10650" s="244" t="s">
        <v>6812</v>
      </c>
    </row>
    <row r="10651" spans="1:8" ht="15" x14ac:dyDescent="0.2">
      <c r="A10651" s="620">
        <v>44316</v>
      </c>
      <c r="B10651" s="174" t="s">
        <v>6447</v>
      </c>
      <c r="C10651" s="551" t="s">
        <v>2386</v>
      </c>
      <c r="D10651" s="740" t="s">
        <v>6789</v>
      </c>
      <c r="E10651" s="552">
        <v>36751</v>
      </c>
      <c r="F10651" s="236"/>
      <c r="G10651" s="236">
        <f t="shared" si="172"/>
        <v>-36751</v>
      </c>
      <c r="H10651" s="244" t="s">
        <v>6812</v>
      </c>
    </row>
    <row r="10652" spans="1:8" ht="15" x14ac:dyDescent="0.2">
      <c r="A10652" s="620">
        <v>44316</v>
      </c>
      <c r="B10652" s="174" t="s">
        <v>1400</v>
      </c>
      <c r="C10652" s="174" t="s">
        <v>5593</v>
      </c>
      <c r="D10652" s="228" t="s">
        <v>6906</v>
      </c>
      <c r="E10652" s="236">
        <v>77000</v>
      </c>
      <c r="F10652" s="236"/>
      <c r="G10652" s="236">
        <f t="shared" si="172"/>
        <v>-77000</v>
      </c>
      <c r="H10652" s="244" t="s">
        <v>6812</v>
      </c>
    </row>
    <row r="10653" spans="1:8" ht="15" x14ac:dyDescent="0.2">
      <c r="A10653" s="620">
        <v>44316</v>
      </c>
      <c r="B10653" s="174" t="s">
        <v>7126</v>
      </c>
      <c r="C10653" s="174" t="s">
        <v>5681</v>
      </c>
      <c r="D10653" s="228" t="s">
        <v>6907</v>
      </c>
      <c r="E10653" s="236">
        <v>100000</v>
      </c>
      <c r="F10653" s="236"/>
      <c r="G10653" s="236">
        <f t="shared" si="172"/>
        <v>-100000</v>
      </c>
      <c r="H10653" s="244" t="s">
        <v>6812</v>
      </c>
    </row>
    <row r="10654" spans="1:8" ht="15" x14ac:dyDescent="0.2">
      <c r="A10654" s="620">
        <v>44316</v>
      </c>
      <c r="B10654" s="174" t="s">
        <v>6518</v>
      </c>
      <c r="C10654" s="551" t="s">
        <v>2310</v>
      </c>
      <c r="D10654" s="740" t="s">
        <v>6908</v>
      </c>
      <c r="E10654" s="552">
        <v>14000</v>
      </c>
      <c r="F10654" s="236"/>
      <c r="G10654" s="236">
        <f t="shared" si="172"/>
        <v>-14000</v>
      </c>
      <c r="H10654" s="244" t="s">
        <v>6812</v>
      </c>
    </row>
    <row r="10655" spans="1:8" ht="15" x14ac:dyDescent="0.2">
      <c r="A10655" s="620">
        <v>44316</v>
      </c>
      <c r="B10655" s="174" t="s">
        <v>6408</v>
      </c>
      <c r="C10655" s="551" t="s">
        <v>2310</v>
      </c>
      <c r="D10655" s="740" t="s">
        <v>6789</v>
      </c>
      <c r="E10655" s="552">
        <v>44000</v>
      </c>
      <c r="F10655" s="236"/>
      <c r="G10655" s="236">
        <f t="shared" si="172"/>
        <v>-44000</v>
      </c>
      <c r="H10655" s="244" t="s">
        <v>6812</v>
      </c>
    </row>
    <row r="10656" spans="1:8" ht="72" x14ac:dyDescent="0.2">
      <c r="A10656" s="618">
        <v>44287</v>
      </c>
      <c r="B10656" s="94" t="s">
        <v>1400</v>
      </c>
      <c r="C10656" s="94" t="s">
        <v>559</v>
      </c>
      <c r="D10656" s="802" t="s">
        <v>6811</v>
      </c>
      <c r="E10656" s="176"/>
      <c r="F10656" s="176">
        <v>390000</v>
      </c>
      <c r="G10656" s="176">
        <f t="shared" si="172"/>
        <v>390000</v>
      </c>
      <c r="H10656" s="261" t="s">
        <v>6812</v>
      </c>
    </row>
    <row r="10657" spans="1:8" ht="36" x14ac:dyDescent="0.2">
      <c r="A10657" s="618">
        <v>44287</v>
      </c>
      <c r="B10657" s="94" t="s">
        <v>1400</v>
      </c>
      <c r="C10657" s="94" t="s">
        <v>559</v>
      </c>
      <c r="D10657" s="802" t="s">
        <v>6813</v>
      </c>
      <c r="E10657" s="176"/>
      <c r="F10657" s="176">
        <v>207090</v>
      </c>
      <c r="G10657" s="176">
        <f t="shared" si="172"/>
        <v>207090</v>
      </c>
      <c r="H10657" s="261" t="s">
        <v>6812</v>
      </c>
    </row>
    <row r="10658" spans="1:8" ht="24" x14ac:dyDescent="0.2">
      <c r="A10658" s="618">
        <v>44287</v>
      </c>
      <c r="B10658" s="94" t="s">
        <v>1400</v>
      </c>
      <c r="C10658" s="94" t="s">
        <v>559</v>
      </c>
      <c r="D10658" s="802" t="s">
        <v>6814</v>
      </c>
      <c r="E10658" s="176"/>
      <c r="F10658" s="176">
        <v>300000</v>
      </c>
      <c r="G10658" s="176">
        <f t="shared" si="172"/>
        <v>300000</v>
      </c>
      <c r="H10658" s="261" t="s">
        <v>6812</v>
      </c>
    </row>
    <row r="10659" spans="1:8" ht="24" x14ac:dyDescent="0.2">
      <c r="A10659" s="618">
        <v>44288</v>
      </c>
      <c r="B10659" s="94" t="s">
        <v>1400</v>
      </c>
      <c r="C10659" s="94" t="s">
        <v>559</v>
      </c>
      <c r="D10659" s="802" t="s">
        <v>6827</v>
      </c>
      <c r="E10659" s="176"/>
      <c r="F10659" s="176">
        <v>400000</v>
      </c>
      <c r="G10659" s="176">
        <f t="shared" si="172"/>
        <v>400000</v>
      </c>
      <c r="H10659" s="261" t="s">
        <v>6812</v>
      </c>
    </row>
    <row r="10660" spans="1:8" ht="36" x14ac:dyDescent="0.2">
      <c r="A10660" s="618">
        <v>44292</v>
      </c>
      <c r="B10660" s="94" t="s">
        <v>1400</v>
      </c>
      <c r="C10660" s="94" t="s">
        <v>559</v>
      </c>
      <c r="D10660" s="802" t="s">
        <v>6828</v>
      </c>
      <c r="E10660" s="176"/>
      <c r="F10660" s="176">
        <v>381800</v>
      </c>
      <c r="G10660" s="176">
        <f t="shared" si="172"/>
        <v>381800</v>
      </c>
      <c r="H10660" s="261" t="s">
        <v>6812</v>
      </c>
    </row>
    <row r="10661" spans="1:8" ht="36" x14ac:dyDescent="0.2">
      <c r="A10661" s="618">
        <v>44292</v>
      </c>
      <c r="B10661" s="94" t="s">
        <v>1400</v>
      </c>
      <c r="C10661" s="94" t="s">
        <v>559</v>
      </c>
      <c r="D10661" s="802" t="s">
        <v>6829</v>
      </c>
      <c r="E10661" s="176"/>
      <c r="F10661" s="176">
        <v>500000</v>
      </c>
      <c r="G10661" s="176">
        <f t="shared" si="172"/>
        <v>500000</v>
      </c>
      <c r="H10661" s="261" t="s">
        <v>6812</v>
      </c>
    </row>
    <row r="10662" spans="1:8" ht="36" x14ac:dyDescent="0.2">
      <c r="A10662" s="618">
        <v>44292</v>
      </c>
      <c r="B10662" s="94" t="s">
        <v>1400</v>
      </c>
      <c r="C10662" s="94" t="s">
        <v>559</v>
      </c>
      <c r="D10662" s="802" t="s">
        <v>9208</v>
      </c>
      <c r="E10662" s="176"/>
      <c r="F10662" s="176">
        <v>550000</v>
      </c>
      <c r="G10662" s="176">
        <f t="shared" si="172"/>
        <v>550000</v>
      </c>
      <c r="H10662" s="261" t="s">
        <v>6812</v>
      </c>
    </row>
    <row r="10663" spans="1:8" ht="24" x14ac:dyDescent="0.2">
      <c r="A10663" s="618">
        <v>44292</v>
      </c>
      <c r="B10663" s="94" t="s">
        <v>1400</v>
      </c>
      <c r="C10663" s="94" t="s">
        <v>559</v>
      </c>
      <c r="D10663" s="802" t="s">
        <v>9209</v>
      </c>
      <c r="E10663" s="176"/>
      <c r="F10663" s="176">
        <v>150000</v>
      </c>
      <c r="G10663" s="176">
        <f t="shared" si="172"/>
        <v>150000</v>
      </c>
      <c r="H10663" s="261" t="s">
        <v>6812</v>
      </c>
    </row>
    <row r="10664" spans="1:8" ht="36" x14ac:dyDescent="0.2">
      <c r="A10664" s="618">
        <v>44293</v>
      </c>
      <c r="B10664" s="94" t="s">
        <v>1400</v>
      </c>
      <c r="C10664" s="94" t="s">
        <v>559</v>
      </c>
      <c r="D10664" s="802" t="s">
        <v>6862</v>
      </c>
      <c r="E10664" s="176"/>
      <c r="F10664" s="176">
        <v>300000</v>
      </c>
      <c r="G10664" s="176">
        <f t="shared" si="172"/>
        <v>300000</v>
      </c>
      <c r="H10664" s="261" t="s">
        <v>6812</v>
      </c>
    </row>
    <row r="10665" spans="1:8" ht="24" x14ac:dyDescent="0.2">
      <c r="A10665" s="618">
        <v>44293</v>
      </c>
      <c r="B10665" s="94" t="s">
        <v>1400</v>
      </c>
      <c r="C10665" s="94" t="s">
        <v>559</v>
      </c>
      <c r="D10665" s="802" t="s">
        <v>6855</v>
      </c>
      <c r="E10665" s="176"/>
      <c r="F10665" s="176">
        <v>100000</v>
      </c>
      <c r="G10665" s="176">
        <f t="shared" si="172"/>
        <v>100000</v>
      </c>
      <c r="H10665" s="261" t="s">
        <v>6812</v>
      </c>
    </row>
    <row r="10666" spans="1:8" ht="24" x14ac:dyDescent="0.2">
      <c r="A10666" s="618">
        <v>44293</v>
      </c>
      <c r="B10666" s="94" t="s">
        <v>1400</v>
      </c>
      <c r="C10666" s="94" t="s">
        <v>559</v>
      </c>
      <c r="D10666" s="802" t="s">
        <v>6856</v>
      </c>
      <c r="E10666" s="176"/>
      <c r="F10666" s="176">
        <v>125000</v>
      </c>
      <c r="G10666" s="176">
        <f t="shared" si="172"/>
        <v>125000</v>
      </c>
      <c r="H10666" s="261" t="s">
        <v>6812</v>
      </c>
    </row>
    <row r="10667" spans="1:8" ht="15" x14ac:dyDescent="0.2">
      <c r="A10667" s="618">
        <v>44293</v>
      </c>
      <c r="B10667" s="94" t="s">
        <v>3946</v>
      </c>
      <c r="C10667" s="94" t="s">
        <v>559</v>
      </c>
      <c r="D10667" s="892" t="s">
        <v>6854</v>
      </c>
      <c r="E10667" s="176"/>
      <c r="F10667" s="176">
        <v>138189</v>
      </c>
      <c r="G10667" s="176">
        <f t="shared" si="172"/>
        <v>138189</v>
      </c>
      <c r="H10667" s="261" t="s">
        <v>6812</v>
      </c>
    </row>
    <row r="10668" spans="1:8" ht="60" x14ac:dyDescent="0.2">
      <c r="A10668" s="618">
        <v>44294</v>
      </c>
      <c r="B10668" s="94" t="s">
        <v>1400</v>
      </c>
      <c r="C10668" s="94" t="s">
        <v>559</v>
      </c>
      <c r="D10668" s="898" t="s">
        <v>6962</v>
      </c>
      <c r="E10668" s="643"/>
      <c r="F10668" s="643">
        <v>2300000</v>
      </c>
      <c r="G10668" s="176">
        <f t="shared" si="172"/>
        <v>2300000</v>
      </c>
      <c r="H10668" s="261" t="s">
        <v>6812</v>
      </c>
    </row>
    <row r="10669" spans="1:8" ht="24" x14ac:dyDescent="0.2">
      <c r="A10669" s="618">
        <v>44305</v>
      </c>
      <c r="B10669" s="91" t="s">
        <v>6408</v>
      </c>
      <c r="C10669" s="94" t="s">
        <v>559</v>
      </c>
      <c r="D10669" s="798" t="s">
        <v>6878</v>
      </c>
      <c r="E10669" s="92"/>
      <c r="F10669" s="92">
        <v>400000</v>
      </c>
      <c r="G10669" s="92">
        <f t="shared" si="172"/>
        <v>400000</v>
      </c>
      <c r="H10669" s="261" t="s">
        <v>6812</v>
      </c>
    </row>
    <row r="10670" spans="1:8" ht="24" x14ac:dyDescent="0.2">
      <c r="A10670" s="618">
        <v>44305</v>
      </c>
      <c r="B10670" s="91" t="s">
        <v>6408</v>
      </c>
      <c r="C10670" s="94" t="s">
        <v>559</v>
      </c>
      <c r="D10670" s="798" t="s">
        <v>6878</v>
      </c>
      <c r="E10670" s="92"/>
      <c r="F10670" s="92">
        <v>450000</v>
      </c>
      <c r="G10670" s="92">
        <f t="shared" si="172"/>
        <v>450000</v>
      </c>
      <c r="H10670" s="261" t="s">
        <v>6812</v>
      </c>
    </row>
    <row r="10671" spans="1:8" ht="36" x14ac:dyDescent="0.2">
      <c r="A10671" s="618">
        <v>44309</v>
      </c>
      <c r="B10671" s="94" t="s">
        <v>6511</v>
      </c>
      <c r="C10671" s="94" t="s">
        <v>559</v>
      </c>
      <c r="D10671" s="899" t="s">
        <v>6895</v>
      </c>
      <c r="E10671" s="176"/>
      <c r="F10671" s="176">
        <v>1000000</v>
      </c>
      <c r="G10671" s="176">
        <f t="shared" si="172"/>
        <v>1000000</v>
      </c>
      <c r="H10671" s="261" t="s">
        <v>6812</v>
      </c>
    </row>
    <row r="10672" spans="1:8" ht="15" x14ac:dyDescent="0.2">
      <c r="A10672" s="618">
        <v>44312</v>
      </c>
      <c r="B10672" s="91" t="s">
        <v>3945</v>
      </c>
      <c r="C10672" s="94" t="s">
        <v>559</v>
      </c>
      <c r="D10672" s="801" t="s">
        <v>6898</v>
      </c>
      <c r="E10672" s="92"/>
      <c r="F10672" s="92">
        <v>53505</v>
      </c>
      <c r="G10672" s="92">
        <f t="shared" si="172"/>
        <v>53505</v>
      </c>
      <c r="H10672" s="261" t="s">
        <v>6812</v>
      </c>
    </row>
    <row r="10673" spans="1:8" ht="36" x14ac:dyDescent="0.2">
      <c r="A10673" s="618">
        <v>44313</v>
      </c>
      <c r="B10673" s="94" t="s">
        <v>6511</v>
      </c>
      <c r="C10673" s="94" t="s">
        <v>559</v>
      </c>
      <c r="D10673" s="899" t="s">
        <v>6895</v>
      </c>
      <c r="E10673" s="176"/>
      <c r="F10673" s="176">
        <v>1000000</v>
      </c>
      <c r="G10673" s="176">
        <f t="shared" si="172"/>
        <v>1000000</v>
      </c>
      <c r="H10673" s="261" t="s">
        <v>6812</v>
      </c>
    </row>
    <row r="10674" spans="1:8" ht="24" x14ac:dyDescent="0.2">
      <c r="A10674" s="618">
        <v>44314</v>
      </c>
      <c r="B10674" s="94" t="s">
        <v>6447</v>
      </c>
      <c r="C10674" s="94" t="s">
        <v>559</v>
      </c>
      <c r="D10674" s="802" t="s">
        <v>6899</v>
      </c>
      <c r="E10674" s="176"/>
      <c r="F10674" s="176">
        <v>550220</v>
      </c>
      <c r="G10674" s="176">
        <f t="shared" si="172"/>
        <v>550220</v>
      </c>
      <c r="H10674" s="261" t="s">
        <v>6812</v>
      </c>
    </row>
    <row r="10675" spans="1:8" ht="15" x14ac:dyDescent="0.2">
      <c r="A10675" s="618">
        <v>44315</v>
      </c>
      <c r="B10675" s="91" t="s">
        <v>3946</v>
      </c>
      <c r="C10675" s="94" t="s">
        <v>559</v>
      </c>
      <c r="D10675" s="801" t="s">
        <v>6898</v>
      </c>
      <c r="E10675" s="92"/>
      <c r="F10675" s="92">
        <v>139113</v>
      </c>
      <c r="G10675" s="92">
        <f t="shared" si="172"/>
        <v>139113</v>
      </c>
      <c r="H10675" s="261" t="s">
        <v>6812</v>
      </c>
    </row>
    <row r="10676" spans="1:8" ht="15" x14ac:dyDescent="0.2">
      <c r="A10676" s="619">
        <v>44319</v>
      </c>
      <c r="B10676" s="41" t="s">
        <v>6516</v>
      </c>
      <c r="C10676" s="41" t="s">
        <v>392</v>
      </c>
      <c r="D10676" s="108" t="s">
        <v>6913</v>
      </c>
      <c r="E10676" s="42">
        <v>1500</v>
      </c>
      <c r="G10676" s="58">
        <f t="shared" si="172"/>
        <v>-1500</v>
      </c>
      <c r="H10676" s="121" t="s">
        <v>6912</v>
      </c>
    </row>
    <row r="10677" spans="1:8" ht="15" x14ac:dyDescent="0.2">
      <c r="A10677" s="619">
        <v>44319</v>
      </c>
      <c r="B10677" s="41" t="s">
        <v>6518</v>
      </c>
      <c r="C10677" s="41" t="s">
        <v>6804</v>
      </c>
      <c r="D10677" s="108" t="s">
        <v>370</v>
      </c>
      <c r="E10677" s="42">
        <v>6500</v>
      </c>
      <c r="G10677" s="58">
        <f t="shared" si="172"/>
        <v>-6500</v>
      </c>
      <c r="H10677" s="121" t="s">
        <v>6912</v>
      </c>
    </row>
    <row r="10678" spans="1:8" ht="15" x14ac:dyDescent="0.2">
      <c r="A10678" s="619">
        <v>44319</v>
      </c>
      <c r="B10678" s="41" t="s">
        <v>6518</v>
      </c>
      <c r="C10678" s="41" t="s">
        <v>7181</v>
      </c>
      <c r="D10678" s="108" t="s">
        <v>6914</v>
      </c>
      <c r="E10678" s="42">
        <v>50000</v>
      </c>
      <c r="G10678" s="58">
        <f t="shared" si="172"/>
        <v>-50000</v>
      </c>
      <c r="H10678" s="121" t="s">
        <v>6912</v>
      </c>
    </row>
    <row r="10679" spans="1:8" ht="15" x14ac:dyDescent="0.2">
      <c r="A10679" s="619">
        <v>44319</v>
      </c>
      <c r="B10679" s="41" t="s">
        <v>6518</v>
      </c>
      <c r="C10679" s="41" t="s">
        <v>392</v>
      </c>
      <c r="D10679" s="108" t="s">
        <v>6915</v>
      </c>
      <c r="E10679" s="42">
        <v>1000</v>
      </c>
      <c r="G10679" s="42">
        <f t="shared" si="172"/>
        <v>-1000</v>
      </c>
      <c r="H10679" s="121" t="s">
        <v>6912</v>
      </c>
    </row>
    <row r="10680" spans="1:8" ht="15" x14ac:dyDescent="0.2">
      <c r="A10680" s="619">
        <v>44319</v>
      </c>
      <c r="B10680" s="41" t="s">
        <v>16</v>
      </c>
      <c r="C10680" s="41" t="s">
        <v>3364</v>
      </c>
      <c r="D10680" s="108" t="s">
        <v>370</v>
      </c>
      <c r="E10680" s="42">
        <v>4162</v>
      </c>
      <c r="G10680" s="42">
        <f t="shared" si="172"/>
        <v>-4162</v>
      </c>
      <c r="H10680" s="121" t="s">
        <v>6912</v>
      </c>
    </row>
    <row r="10681" spans="1:8" ht="15" x14ac:dyDescent="0.2">
      <c r="A10681" s="619">
        <v>44319</v>
      </c>
      <c r="B10681" s="41" t="s">
        <v>25</v>
      </c>
      <c r="C10681" s="41" t="s">
        <v>1005</v>
      </c>
      <c r="E10681" s="42">
        <v>650</v>
      </c>
      <c r="G10681" s="42">
        <f t="shared" si="172"/>
        <v>-650</v>
      </c>
      <c r="H10681" s="121" t="s">
        <v>6912</v>
      </c>
    </row>
    <row r="10682" spans="1:8" ht="15" x14ac:dyDescent="0.2">
      <c r="A10682" s="619">
        <v>44319</v>
      </c>
      <c r="B10682" s="41" t="s">
        <v>6511</v>
      </c>
      <c r="C10682" s="41" t="s">
        <v>3145</v>
      </c>
      <c r="D10682" s="108" t="s">
        <v>6917</v>
      </c>
      <c r="E10682" s="42">
        <v>15340</v>
      </c>
      <c r="G10682" s="42">
        <f t="shared" si="172"/>
        <v>-15340</v>
      </c>
      <c r="H10682" s="121" t="s">
        <v>6912</v>
      </c>
    </row>
    <row r="10683" spans="1:8" ht="15" x14ac:dyDescent="0.2">
      <c r="A10683" s="619">
        <v>44319</v>
      </c>
      <c r="B10683" s="41" t="s">
        <v>6511</v>
      </c>
      <c r="C10683" s="41" t="s">
        <v>3145</v>
      </c>
      <c r="D10683" s="108" t="s">
        <v>6917</v>
      </c>
      <c r="E10683" s="42">
        <v>4180</v>
      </c>
      <c r="G10683" s="42">
        <f t="shared" si="172"/>
        <v>-4180</v>
      </c>
      <c r="H10683" s="121" t="s">
        <v>6912</v>
      </c>
    </row>
    <row r="10684" spans="1:8" ht="15" x14ac:dyDescent="0.2">
      <c r="A10684" s="619">
        <v>44320</v>
      </c>
      <c r="B10684" s="41" t="s">
        <v>6511</v>
      </c>
      <c r="C10684" s="41" t="s">
        <v>392</v>
      </c>
      <c r="D10684" s="108" t="s">
        <v>6918</v>
      </c>
      <c r="E10684" s="42">
        <v>1150</v>
      </c>
      <c r="G10684" s="42">
        <f t="shared" si="172"/>
        <v>-1150</v>
      </c>
      <c r="H10684" s="121" t="s">
        <v>6912</v>
      </c>
    </row>
    <row r="10685" spans="1:8" ht="15" x14ac:dyDescent="0.2">
      <c r="A10685" s="619">
        <v>44321</v>
      </c>
      <c r="B10685" s="41" t="s">
        <v>2933</v>
      </c>
      <c r="C10685" s="41" t="s">
        <v>6767</v>
      </c>
      <c r="D10685" s="108" t="s">
        <v>6919</v>
      </c>
      <c r="E10685" s="42">
        <v>25000</v>
      </c>
      <c r="G10685" s="42">
        <f t="shared" si="172"/>
        <v>-25000</v>
      </c>
      <c r="H10685" s="121" t="s">
        <v>6912</v>
      </c>
    </row>
    <row r="10686" spans="1:8" ht="15" x14ac:dyDescent="0.2">
      <c r="A10686" s="619">
        <v>44322</v>
      </c>
      <c r="B10686" s="41" t="s">
        <v>6511</v>
      </c>
      <c r="C10686" s="41" t="s">
        <v>6378</v>
      </c>
      <c r="D10686" s="108" t="s">
        <v>6993</v>
      </c>
      <c r="E10686" s="42">
        <v>100000</v>
      </c>
      <c r="G10686" s="42">
        <f t="shared" si="172"/>
        <v>-100000</v>
      </c>
      <c r="H10686" s="121" t="s">
        <v>6912</v>
      </c>
    </row>
    <row r="10687" spans="1:8" ht="15" x14ac:dyDescent="0.2">
      <c r="A10687" s="619">
        <v>44322</v>
      </c>
      <c r="B10687" s="41" t="s">
        <v>1400</v>
      </c>
      <c r="C10687" s="41" t="s">
        <v>6920</v>
      </c>
      <c r="D10687" s="108" t="s">
        <v>6991</v>
      </c>
      <c r="E10687" s="42">
        <v>65000</v>
      </c>
      <c r="G10687" s="42">
        <f t="shared" si="172"/>
        <v>-65000</v>
      </c>
      <c r="H10687" s="121" t="s">
        <v>6912</v>
      </c>
    </row>
    <row r="10688" spans="1:8" ht="15" x14ac:dyDescent="0.2">
      <c r="A10688" s="619">
        <v>44322</v>
      </c>
      <c r="B10688" s="41" t="s">
        <v>25</v>
      </c>
      <c r="C10688" s="41" t="s">
        <v>4065</v>
      </c>
      <c r="D10688" s="108" t="s">
        <v>6921</v>
      </c>
      <c r="E10688" s="42">
        <v>2000</v>
      </c>
      <c r="G10688" s="42">
        <f t="shared" si="172"/>
        <v>-2000</v>
      </c>
      <c r="H10688" s="121" t="s">
        <v>6912</v>
      </c>
    </row>
    <row r="10689" spans="1:8" ht="15" customHeight="1" x14ac:dyDescent="0.2">
      <c r="A10689" s="619">
        <v>44323</v>
      </c>
      <c r="B10689" s="41" t="s">
        <v>6758</v>
      </c>
      <c r="C10689" s="41" t="s">
        <v>2503</v>
      </c>
      <c r="D10689" s="108" t="s">
        <v>6922</v>
      </c>
      <c r="E10689" s="42">
        <v>20000</v>
      </c>
      <c r="G10689" s="42">
        <f t="shared" si="172"/>
        <v>-20000</v>
      </c>
      <c r="H10689" s="121" t="s">
        <v>6912</v>
      </c>
    </row>
    <row r="10690" spans="1:8" ht="15" x14ac:dyDescent="0.2">
      <c r="A10690" s="619">
        <v>44323</v>
      </c>
      <c r="B10690" s="41" t="s">
        <v>2933</v>
      </c>
      <c r="C10690" s="41" t="s">
        <v>2503</v>
      </c>
      <c r="D10690" s="108" t="s">
        <v>6923</v>
      </c>
      <c r="E10690" s="42">
        <v>6000</v>
      </c>
      <c r="G10690" s="42">
        <f t="shared" si="172"/>
        <v>-6000</v>
      </c>
      <c r="H10690" s="121" t="s">
        <v>6912</v>
      </c>
    </row>
    <row r="10691" spans="1:8" ht="15" x14ac:dyDescent="0.2">
      <c r="A10691" s="619">
        <v>44323</v>
      </c>
      <c r="B10691" s="41" t="s">
        <v>1691</v>
      </c>
      <c r="C10691" s="41" t="s">
        <v>392</v>
      </c>
      <c r="D10691" s="108" t="s">
        <v>6925</v>
      </c>
      <c r="E10691" s="42">
        <v>13200</v>
      </c>
      <c r="G10691" s="42">
        <f t="shared" si="172"/>
        <v>-13200</v>
      </c>
      <c r="H10691" s="121" t="s">
        <v>6912</v>
      </c>
    </row>
    <row r="10692" spans="1:8" ht="15" x14ac:dyDescent="0.2">
      <c r="A10692" s="619">
        <v>44323</v>
      </c>
      <c r="B10692" s="41" t="s">
        <v>37</v>
      </c>
      <c r="C10692" s="582" t="s">
        <v>3003</v>
      </c>
      <c r="D10692" s="893" t="s">
        <v>2711</v>
      </c>
      <c r="E10692" s="583">
        <v>12960</v>
      </c>
      <c r="G10692" s="42">
        <f t="shared" si="172"/>
        <v>-12960</v>
      </c>
      <c r="H10692" s="121" t="s">
        <v>6912</v>
      </c>
    </row>
    <row r="10693" spans="1:8" ht="15" x14ac:dyDescent="0.2">
      <c r="A10693" s="619">
        <v>44323</v>
      </c>
      <c r="B10693" s="41" t="s">
        <v>3946</v>
      </c>
      <c r="C10693" s="582" t="s">
        <v>3003</v>
      </c>
      <c r="D10693" s="893" t="s">
        <v>6789</v>
      </c>
      <c r="E10693" s="583">
        <v>13520</v>
      </c>
      <c r="G10693" s="42">
        <f t="shared" ref="G10693:G10756" si="173">F10693-E10693</f>
        <v>-13520</v>
      </c>
      <c r="H10693" s="121" t="s">
        <v>6912</v>
      </c>
    </row>
    <row r="10694" spans="1:8" ht="15" x14ac:dyDescent="0.2">
      <c r="A10694" s="619">
        <v>44323</v>
      </c>
      <c r="B10694" s="41" t="s">
        <v>3945</v>
      </c>
      <c r="C10694" s="582" t="s">
        <v>3003</v>
      </c>
      <c r="D10694" s="893" t="s">
        <v>6789</v>
      </c>
      <c r="E10694" s="583">
        <v>5200</v>
      </c>
      <c r="G10694" s="42">
        <f t="shared" si="173"/>
        <v>-5200</v>
      </c>
      <c r="H10694" s="121" t="s">
        <v>6912</v>
      </c>
    </row>
    <row r="10695" spans="1:8" ht="15" x14ac:dyDescent="0.2">
      <c r="A10695" s="619">
        <v>44323</v>
      </c>
      <c r="B10695" s="41" t="s">
        <v>6103</v>
      </c>
      <c r="C10695" s="41" t="s">
        <v>6763</v>
      </c>
      <c r="D10695" s="108" t="s">
        <v>6991</v>
      </c>
      <c r="E10695" s="42">
        <v>25000</v>
      </c>
      <c r="G10695" s="42">
        <f t="shared" si="173"/>
        <v>-25000</v>
      </c>
      <c r="H10695" s="121" t="s">
        <v>6912</v>
      </c>
    </row>
    <row r="10696" spans="1:8" ht="15" x14ac:dyDescent="0.2">
      <c r="A10696" s="619">
        <v>44323</v>
      </c>
      <c r="B10696" s="41" t="s">
        <v>82</v>
      </c>
      <c r="C10696" s="41" t="s">
        <v>3145</v>
      </c>
      <c r="D10696" s="108" t="s">
        <v>5257</v>
      </c>
      <c r="E10696" s="42">
        <v>4200</v>
      </c>
      <c r="G10696" s="42">
        <f t="shared" si="173"/>
        <v>-4200</v>
      </c>
      <c r="H10696" s="121" t="s">
        <v>6912</v>
      </c>
    </row>
    <row r="10697" spans="1:8" ht="15" x14ac:dyDescent="0.2">
      <c r="A10697" s="619">
        <v>44323</v>
      </c>
      <c r="B10697" s="41" t="s">
        <v>37</v>
      </c>
      <c r="C10697" s="41" t="s">
        <v>3145</v>
      </c>
      <c r="D10697" s="108" t="s">
        <v>5257</v>
      </c>
      <c r="E10697" s="42">
        <v>2000</v>
      </c>
      <c r="G10697" s="42">
        <f t="shared" si="173"/>
        <v>-2000</v>
      </c>
      <c r="H10697" s="121" t="s">
        <v>6912</v>
      </c>
    </row>
    <row r="10698" spans="1:8" ht="15" x14ac:dyDescent="0.2">
      <c r="A10698" s="619">
        <v>44323</v>
      </c>
      <c r="B10698" s="41" t="s">
        <v>1400</v>
      </c>
      <c r="C10698" s="41" t="s">
        <v>3145</v>
      </c>
      <c r="D10698" s="108" t="s">
        <v>4966</v>
      </c>
      <c r="E10698" s="42">
        <v>550</v>
      </c>
      <c r="G10698" s="42">
        <f t="shared" si="173"/>
        <v>-550</v>
      </c>
      <c r="H10698" s="121" t="s">
        <v>6912</v>
      </c>
    </row>
    <row r="10699" spans="1:8" ht="15" x14ac:dyDescent="0.2">
      <c r="A10699" s="619">
        <v>44323</v>
      </c>
      <c r="B10699" s="41" t="s">
        <v>3945</v>
      </c>
      <c r="C10699" s="41" t="s">
        <v>3145</v>
      </c>
      <c r="D10699" s="108" t="s">
        <v>6879</v>
      </c>
      <c r="E10699" s="42">
        <v>4500</v>
      </c>
      <c r="G10699" s="42">
        <f t="shared" si="173"/>
        <v>-4500</v>
      </c>
      <c r="H10699" s="121" t="s">
        <v>6912</v>
      </c>
    </row>
    <row r="10700" spans="1:8" ht="24" x14ac:dyDescent="0.2">
      <c r="A10700" s="619">
        <v>44323</v>
      </c>
      <c r="B10700" s="41" t="s">
        <v>16</v>
      </c>
      <c r="C10700" s="41" t="s">
        <v>103</v>
      </c>
      <c r="D10700" s="129" t="s">
        <v>6928</v>
      </c>
      <c r="E10700" s="42">
        <v>12025</v>
      </c>
      <c r="G10700" s="42">
        <f t="shared" si="173"/>
        <v>-12025</v>
      </c>
      <c r="H10700" s="121" t="s">
        <v>6912</v>
      </c>
    </row>
    <row r="10701" spans="1:8" ht="15" x14ac:dyDescent="0.2">
      <c r="A10701" s="619">
        <v>44323</v>
      </c>
      <c r="B10701" s="41" t="s">
        <v>25</v>
      </c>
      <c r="C10701" s="41" t="s">
        <v>6929</v>
      </c>
      <c r="D10701" s="108" t="s">
        <v>6930</v>
      </c>
      <c r="E10701" s="42">
        <v>60000</v>
      </c>
      <c r="G10701" s="42">
        <f t="shared" si="173"/>
        <v>-60000</v>
      </c>
      <c r="H10701" s="121" t="s">
        <v>6912</v>
      </c>
    </row>
    <row r="10702" spans="1:8" ht="15" x14ac:dyDescent="0.2">
      <c r="A10702" s="619">
        <v>44324</v>
      </c>
      <c r="B10702" s="41" t="s">
        <v>2933</v>
      </c>
      <c r="C10702" s="41" t="s">
        <v>5741</v>
      </c>
      <c r="D10702" s="108" t="s">
        <v>6931</v>
      </c>
      <c r="E10702" s="42">
        <v>500</v>
      </c>
      <c r="G10702" s="42">
        <f t="shared" si="173"/>
        <v>-500</v>
      </c>
      <c r="H10702" s="121" t="s">
        <v>6912</v>
      </c>
    </row>
    <row r="10703" spans="1:8" ht="15" x14ac:dyDescent="0.2">
      <c r="A10703" s="619">
        <v>44324</v>
      </c>
      <c r="B10703" s="41" t="s">
        <v>7126</v>
      </c>
      <c r="C10703" s="41" t="s">
        <v>6847</v>
      </c>
      <c r="D10703" s="108" t="s">
        <v>2655</v>
      </c>
      <c r="E10703" s="42">
        <v>74000</v>
      </c>
      <c r="G10703" s="42">
        <f t="shared" si="173"/>
        <v>-74000</v>
      </c>
      <c r="H10703" s="121" t="s">
        <v>6912</v>
      </c>
    </row>
    <row r="10704" spans="1:8" ht="15" x14ac:dyDescent="0.2">
      <c r="A10704" s="619">
        <v>44324</v>
      </c>
      <c r="B10704" s="41" t="s">
        <v>6408</v>
      </c>
      <c r="C10704" s="41" t="s">
        <v>6847</v>
      </c>
      <c r="D10704" s="108" t="s">
        <v>2655</v>
      </c>
      <c r="E10704" s="42">
        <v>6500</v>
      </c>
      <c r="G10704" s="42">
        <f t="shared" si="173"/>
        <v>-6500</v>
      </c>
      <c r="H10704" s="121" t="s">
        <v>6912</v>
      </c>
    </row>
    <row r="10705" spans="1:8" ht="15" x14ac:dyDescent="0.2">
      <c r="A10705" s="619">
        <v>44324</v>
      </c>
      <c r="B10705" s="41" t="s">
        <v>16</v>
      </c>
      <c r="C10705" s="41" t="s">
        <v>1495</v>
      </c>
      <c r="D10705" s="108" t="s">
        <v>370</v>
      </c>
      <c r="E10705" s="42">
        <v>900</v>
      </c>
      <c r="G10705" s="42">
        <f t="shared" si="173"/>
        <v>-900</v>
      </c>
      <c r="H10705" s="121" t="s">
        <v>6912</v>
      </c>
    </row>
    <row r="10706" spans="1:8" ht="15" x14ac:dyDescent="0.2">
      <c r="A10706" s="619">
        <v>44324</v>
      </c>
      <c r="B10706" s="41" t="s">
        <v>6758</v>
      </c>
      <c r="C10706" s="41" t="s">
        <v>392</v>
      </c>
      <c r="D10706" s="108" t="s">
        <v>6932</v>
      </c>
      <c r="E10706" s="42">
        <v>500</v>
      </c>
      <c r="G10706" s="42">
        <f t="shared" si="173"/>
        <v>-500</v>
      </c>
      <c r="H10706" s="121" t="s">
        <v>6912</v>
      </c>
    </row>
    <row r="10707" spans="1:8" ht="15" x14ac:dyDescent="0.2">
      <c r="A10707" s="619">
        <v>44324</v>
      </c>
      <c r="B10707" s="41" t="s">
        <v>6758</v>
      </c>
      <c r="C10707" s="41" t="s">
        <v>5741</v>
      </c>
      <c r="D10707" s="108" t="s">
        <v>6933</v>
      </c>
      <c r="E10707" s="42">
        <v>500</v>
      </c>
      <c r="G10707" s="42">
        <f t="shared" si="173"/>
        <v>-500</v>
      </c>
      <c r="H10707" s="121" t="s">
        <v>6912</v>
      </c>
    </row>
    <row r="10708" spans="1:8" ht="15" x14ac:dyDescent="0.2">
      <c r="A10708" s="619">
        <v>44324</v>
      </c>
      <c r="B10708" s="41" t="s">
        <v>82</v>
      </c>
      <c r="C10708" s="41" t="s">
        <v>1687</v>
      </c>
      <c r="D10708" s="108" t="s">
        <v>6934</v>
      </c>
      <c r="E10708" s="42">
        <v>30000</v>
      </c>
      <c r="G10708" s="42">
        <f t="shared" si="173"/>
        <v>-30000</v>
      </c>
      <c r="H10708" s="121" t="s">
        <v>6912</v>
      </c>
    </row>
    <row r="10709" spans="1:8" ht="15" customHeight="1" x14ac:dyDescent="0.2">
      <c r="A10709" s="619">
        <v>44324</v>
      </c>
      <c r="B10709" s="41" t="s">
        <v>6408</v>
      </c>
      <c r="C10709" s="41" t="s">
        <v>3446</v>
      </c>
      <c r="D10709" s="108" t="s">
        <v>6935</v>
      </c>
      <c r="E10709" s="42">
        <v>10000</v>
      </c>
      <c r="G10709" s="42">
        <f t="shared" si="173"/>
        <v>-10000</v>
      </c>
      <c r="H10709" s="121" t="s">
        <v>6912</v>
      </c>
    </row>
    <row r="10710" spans="1:8" ht="15" customHeight="1" x14ac:dyDescent="0.2">
      <c r="A10710" s="619">
        <v>44327</v>
      </c>
      <c r="B10710" s="41" t="s">
        <v>1400</v>
      </c>
      <c r="C10710" s="41" t="s">
        <v>2264</v>
      </c>
      <c r="D10710" s="108" t="s">
        <v>6992</v>
      </c>
      <c r="E10710" s="42">
        <v>200000</v>
      </c>
      <c r="G10710" s="42">
        <f t="shared" si="173"/>
        <v>-200000</v>
      </c>
      <c r="H10710" s="121" t="s">
        <v>6912</v>
      </c>
    </row>
    <row r="10711" spans="1:8" ht="15" customHeight="1" x14ac:dyDescent="0.2">
      <c r="A10711" s="619">
        <v>44333</v>
      </c>
      <c r="B10711" s="41" t="s">
        <v>82</v>
      </c>
      <c r="C10711" s="41" t="s">
        <v>2238</v>
      </c>
      <c r="D10711" s="108" t="s">
        <v>6936</v>
      </c>
      <c r="E10711" s="42">
        <v>30000</v>
      </c>
      <c r="G10711" s="42">
        <f t="shared" si="173"/>
        <v>-30000</v>
      </c>
      <c r="H10711" s="121" t="s">
        <v>6912</v>
      </c>
    </row>
    <row r="10712" spans="1:8" ht="15" x14ac:dyDescent="0.2">
      <c r="A10712" s="619">
        <v>44333</v>
      </c>
      <c r="B10712" s="41" t="s">
        <v>6408</v>
      </c>
      <c r="C10712" s="41" t="s">
        <v>3446</v>
      </c>
      <c r="D10712" s="108" t="s">
        <v>6937</v>
      </c>
      <c r="E10712" s="42">
        <v>10000</v>
      </c>
      <c r="G10712" s="42">
        <f t="shared" si="173"/>
        <v>-10000</v>
      </c>
      <c r="H10712" s="121" t="s">
        <v>6912</v>
      </c>
    </row>
    <row r="10713" spans="1:8" ht="15" customHeight="1" x14ac:dyDescent="0.2">
      <c r="A10713" s="619">
        <v>44333</v>
      </c>
      <c r="B10713" s="41" t="s">
        <v>6511</v>
      </c>
      <c r="C10713" s="41" t="s">
        <v>251</v>
      </c>
      <c r="D10713" s="108" t="s">
        <v>2655</v>
      </c>
      <c r="E10713" s="42">
        <v>15000</v>
      </c>
      <c r="G10713" s="42">
        <f t="shared" si="173"/>
        <v>-15000</v>
      </c>
      <c r="H10713" s="121" t="s">
        <v>6912</v>
      </c>
    </row>
    <row r="10714" spans="1:8" ht="15" customHeight="1" x14ac:dyDescent="0.2">
      <c r="A10714" s="619">
        <v>44333</v>
      </c>
      <c r="B10714" s="41" t="s">
        <v>82</v>
      </c>
      <c r="C10714" s="41" t="s">
        <v>392</v>
      </c>
      <c r="D10714" s="108" t="s">
        <v>4966</v>
      </c>
      <c r="E10714" s="42">
        <v>320</v>
      </c>
      <c r="G10714" s="42">
        <f t="shared" si="173"/>
        <v>-320</v>
      </c>
      <c r="H10714" s="121" t="s">
        <v>6912</v>
      </c>
    </row>
    <row r="10715" spans="1:8" ht="15" x14ac:dyDescent="0.2">
      <c r="A10715" s="619">
        <v>44333</v>
      </c>
      <c r="B10715" s="41" t="s">
        <v>6758</v>
      </c>
      <c r="C10715" s="41" t="s">
        <v>3145</v>
      </c>
      <c r="D10715" s="108" t="s">
        <v>6942</v>
      </c>
      <c r="E10715" s="42">
        <v>14600</v>
      </c>
      <c r="G10715" s="42">
        <f t="shared" si="173"/>
        <v>-14600</v>
      </c>
      <c r="H10715" s="121" t="s">
        <v>6912</v>
      </c>
    </row>
    <row r="10716" spans="1:8" ht="15" x14ac:dyDescent="0.2">
      <c r="A10716" s="619">
        <v>44333</v>
      </c>
      <c r="B10716" s="41" t="s">
        <v>16</v>
      </c>
      <c r="C10716" s="41" t="s">
        <v>1689</v>
      </c>
      <c r="D10716" s="108" t="s">
        <v>6343</v>
      </c>
      <c r="E10716" s="42">
        <v>1040</v>
      </c>
      <c r="G10716" s="42">
        <f t="shared" si="173"/>
        <v>-1040</v>
      </c>
      <c r="H10716" s="121" t="s">
        <v>6912</v>
      </c>
    </row>
    <row r="10717" spans="1:8" ht="15" x14ac:dyDescent="0.2">
      <c r="A10717" s="619">
        <v>44333</v>
      </c>
      <c r="B10717" s="41" t="s">
        <v>25</v>
      </c>
      <c r="C10717" s="41" t="s">
        <v>1689</v>
      </c>
      <c r="D10717" s="108" t="s">
        <v>6343</v>
      </c>
      <c r="E10717" s="42">
        <v>2100</v>
      </c>
      <c r="G10717" s="42">
        <f t="shared" si="173"/>
        <v>-2100</v>
      </c>
      <c r="H10717" s="121" t="s">
        <v>6912</v>
      </c>
    </row>
    <row r="10718" spans="1:8" ht="15" x14ac:dyDescent="0.2">
      <c r="A10718" s="619">
        <v>44333</v>
      </c>
      <c r="B10718" s="41" t="s">
        <v>16</v>
      </c>
      <c r="C10718" s="41" t="s">
        <v>392</v>
      </c>
      <c r="D10718" s="108" t="s">
        <v>3802</v>
      </c>
      <c r="E10718" s="42">
        <v>650</v>
      </c>
      <c r="G10718" s="42">
        <f t="shared" si="173"/>
        <v>-650</v>
      </c>
      <c r="H10718" s="121" t="s">
        <v>6912</v>
      </c>
    </row>
    <row r="10719" spans="1:8" ht="15" x14ac:dyDescent="0.2">
      <c r="A10719" s="619">
        <v>44333</v>
      </c>
      <c r="B10719" s="41" t="s">
        <v>16</v>
      </c>
      <c r="C10719" s="41" t="s">
        <v>5341</v>
      </c>
      <c r="D10719" s="108" t="s">
        <v>6943</v>
      </c>
      <c r="E10719" s="42">
        <v>12500</v>
      </c>
      <c r="G10719" s="42">
        <f t="shared" si="173"/>
        <v>-12500</v>
      </c>
      <c r="H10719" s="121" t="s">
        <v>6912</v>
      </c>
    </row>
    <row r="10720" spans="1:8" ht="15" x14ac:dyDescent="0.2">
      <c r="A10720" s="619">
        <v>44334</v>
      </c>
      <c r="B10720" s="41" t="s">
        <v>6408</v>
      </c>
      <c r="C10720" s="41" t="s">
        <v>3145</v>
      </c>
      <c r="D10720" s="108" t="s">
        <v>4535</v>
      </c>
      <c r="E10720" s="42">
        <v>17100</v>
      </c>
      <c r="G10720" s="42">
        <f t="shared" si="173"/>
        <v>-17100</v>
      </c>
      <c r="H10720" s="121" t="s">
        <v>6912</v>
      </c>
    </row>
    <row r="10721" spans="1:8" ht="15" x14ac:dyDescent="0.2">
      <c r="A10721" s="619">
        <v>44334</v>
      </c>
      <c r="B10721" s="41" t="s">
        <v>6511</v>
      </c>
      <c r="C10721" s="41" t="s">
        <v>3145</v>
      </c>
      <c r="D10721" s="108" t="s">
        <v>4535</v>
      </c>
      <c r="E10721" s="42">
        <v>1650</v>
      </c>
      <c r="G10721" s="42">
        <f t="shared" si="173"/>
        <v>-1650</v>
      </c>
      <c r="H10721" s="121" t="s">
        <v>6912</v>
      </c>
    </row>
    <row r="10722" spans="1:8" ht="15" x14ac:dyDescent="0.2">
      <c r="A10722" s="619">
        <v>44335</v>
      </c>
      <c r="B10722" s="41" t="s">
        <v>7126</v>
      </c>
      <c r="C10722" s="41" t="s">
        <v>6832</v>
      </c>
      <c r="D10722" s="108" t="s">
        <v>6944</v>
      </c>
      <c r="E10722" s="42">
        <v>79500</v>
      </c>
      <c r="G10722" s="42">
        <f t="shared" si="173"/>
        <v>-79500</v>
      </c>
      <c r="H10722" s="121" t="s">
        <v>6912</v>
      </c>
    </row>
    <row r="10723" spans="1:8" ht="15" x14ac:dyDescent="0.2">
      <c r="A10723" s="619">
        <v>44335</v>
      </c>
      <c r="B10723" s="41" t="s">
        <v>2933</v>
      </c>
      <c r="C10723" s="41" t="s">
        <v>3145</v>
      </c>
      <c r="D10723" s="108" t="s">
        <v>6344</v>
      </c>
      <c r="E10723" s="42">
        <v>1070</v>
      </c>
      <c r="G10723" s="42">
        <f t="shared" si="173"/>
        <v>-1070</v>
      </c>
      <c r="H10723" s="121" t="s">
        <v>6912</v>
      </c>
    </row>
    <row r="10724" spans="1:8" ht="15" x14ac:dyDescent="0.2">
      <c r="A10724" s="619">
        <v>44335</v>
      </c>
      <c r="B10724" s="41" t="s">
        <v>16</v>
      </c>
      <c r="C10724" s="41" t="s">
        <v>5341</v>
      </c>
      <c r="D10724" s="108" t="s">
        <v>6945</v>
      </c>
      <c r="E10724" s="42">
        <v>10000</v>
      </c>
      <c r="G10724" s="42">
        <f t="shared" si="173"/>
        <v>-10000</v>
      </c>
      <c r="H10724" s="121" t="s">
        <v>6912</v>
      </c>
    </row>
    <row r="10725" spans="1:8" ht="15" x14ac:dyDescent="0.2">
      <c r="A10725" s="619">
        <v>44336</v>
      </c>
      <c r="B10725" s="41" t="s">
        <v>7126</v>
      </c>
      <c r="C10725" s="41" t="s">
        <v>3145</v>
      </c>
      <c r="D10725" s="108" t="s">
        <v>6942</v>
      </c>
      <c r="E10725" s="42">
        <v>31700</v>
      </c>
      <c r="G10725" s="42">
        <f t="shared" si="173"/>
        <v>-31700</v>
      </c>
      <c r="H10725" s="121" t="s">
        <v>6912</v>
      </c>
    </row>
    <row r="10726" spans="1:8" ht="15" x14ac:dyDescent="0.2">
      <c r="A10726" s="619">
        <v>44336</v>
      </c>
      <c r="B10726" s="41" t="s">
        <v>7126</v>
      </c>
      <c r="C10726" s="41" t="s">
        <v>6476</v>
      </c>
      <c r="D10726" s="108" t="s">
        <v>6946</v>
      </c>
      <c r="E10726" s="42">
        <v>40000</v>
      </c>
      <c r="G10726" s="42">
        <f t="shared" si="173"/>
        <v>-40000</v>
      </c>
      <c r="H10726" s="121" t="s">
        <v>6912</v>
      </c>
    </row>
    <row r="10727" spans="1:8" ht="15" x14ac:dyDescent="0.2">
      <c r="A10727" s="619">
        <v>44336</v>
      </c>
      <c r="B10727" s="41" t="s">
        <v>1400</v>
      </c>
      <c r="C10727" s="41" t="s">
        <v>3145</v>
      </c>
      <c r="D10727" s="108" t="s">
        <v>4450</v>
      </c>
      <c r="E10727" s="42">
        <v>65310</v>
      </c>
      <c r="G10727" s="42">
        <f t="shared" si="173"/>
        <v>-65310</v>
      </c>
      <c r="H10727" s="121" t="s">
        <v>6912</v>
      </c>
    </row>
    <row r="10728" spans="1:8" ht="15" x14ac:dyDescent="0.2">
      <c r="A10728" s="619">
        <v>44336</v>
      </c>
      <c r="B10728" s="41" t="s">
        <v>82</v>
      </c>
      <c r="C10728" s="41" t="s">
        <v>6947</v>
      </c>
      <c r="D10728" s="108" t="s">
        <v>6948</v>
      </c>
      <c r="E10728" s="42">
        <v>16000</v>
      </c>
      <c r="G10728" s="42">
        <f t="shared" si="173"/>
        <v>-16000</v>
      </c>
      <c r="H10728" s="121" t="s">
        <v>6912</v>
      </c>
    </row>
    <row r="10729" spans="1:8" ht="15" x14ac:dyDescent="0.2">
      <c r="A10729" s="619">
        <v>44336</v>
      </c>
      <c r="B10729" s="41" t="s">
        <v>2933</v>
      </c>
      <c r="C10729" s="41" t="s">
        <v>3145</v>
      </c>
      <c r="D10729" s="108" t="s">
        <v>6949</v>
      </c>
      <c r="E10729" s="42">
        <v>670</v>
      </c>
      <c r="G10729" s="42">
        <f t="shared" si="173"/>
        <v>-670</v>
      </c>
      <c r="H10729" s="121" t="s">
        <v>6912</v>
      </c>
    </row>
    <row r="10730" spans="1:8" ht="15" x14ac:dyDescent="0.2">
      <c r="A10730" s="619">
        <v>44336</v>
      </c>
      <c r="B10730" s="41" t="s">
        <v>6511</v>
      </c>
      <c r="C10730" s="41" t="s">
        <v>2190</v>
      </c>
      <c r="E10730" s="42">
        <v>120</v>
      </c>
      <c r="G10730" s="42">
        <f t="shared" si="173"/>
        <v>-120</v>
      </c>
      <c r="H10730" s="121" t="s">
        <v>6912</v>
      </c>
    </row>
    <row r="10731" spans="1:8" ht="15" x14ac:dyDescent="0.2">
      <c r="A10731" s="619">
        <v>44336</v>
      </c>
      <c r="B10731" s="41" t="s">
        <v>2933</v>
      </c>
      <c r="C10731" s="41" t="s">
        <v>2190</v>
      </c>
      <c r="E10731" s="42">
        <v>7260</v>
      </c>
      <c r="G10731" s="42">
        <f t="shared" si="173"/>
        <v>-7260</v>
      </c>
      <c r="H10731" s="121" t="s">
        <v>6912</v>
      </c>
    </row>
    <row r="10732" spans="1:8" ht="15" x14ac:dyDescent="0.2">
      <c r="A10732" s="619">
        <v>44336</v>
      </c>
      <c r="B10732" s="41" t="s">
        <v>25</v>
      </c>
      <c r="C10732" s="41" t="s">
        <v>2428</v>
      </c>
      <c r="D10732" s="108" t="s">
        <v>2108</v>
      </c>
      <c r="E10732" s="42">
        <v>3000</v>
      </c>
      <c r="G10732" s="42">
        <f t="shared" si="173"/>
        <v>-3000</v>
      </c>
      <c r="H10732" s="121" t="s">
        <v>6912</v>
      </c>
    </row>
    <row r="10733" spans="1:8" ht="15" x14ac:dyDescent="0.2">
      <c r="A10733" s="619">
        <v>44337</v>
      </c>
      <c r="B10733" s="41" t="s">
        <v>7126</v>
      </c>
      <c r="C10733" s="41" t="s">
        <v>6832</v>
      </c>
      <c r="D10733" s="108" t="s">
        <v>370</v>
      </c>
      <c r="E10733" s="42">
        <v>15140</v>
      </c>
      <c r="G10733" s="42">
        <f t="shared" si="173"/>
        <v>-15140</v>
      </c>
      <c r="H10733" s="121" t="s">
        <v>6912</v>
      </c>
    </row>
    <row r="10734" spans="1:8" ht="15" customHeight="1" x14ac:dyDescent="0.2">
      <c r="A10734" s="619">
        <v>44338</v>
      </c>
      <c r="B10734" s="41" t="s">
        <v>6950</v>
      </c>
      <c r="C10734" s="41" t="s">
        <v>3145</v>
      </c>
      <c r="D10734" s="108" t="s">
        <v>6951</v>
      </c>
      <c r="E10734" s="42">
        <v>3869</v>
      </c>
      <c r="G10734" s="42">
        <f t="shared" si="173"/>
        <v>-3869</v>
      </c>
      <c r="H10734" s="121" t="s">
        <v>6912</v>
      </c>
    </row>
    <row r="10735" spans="1:8" ht="15" customHeight="1" x14ac:dyDescent="0.2">
      <c r="A10735" s="619">
        <v>44338</v>
      </c>
      <c r="B10735" s="41" t="s">
        <v>6508</v>
      </c>
      <c r="C10735" s="41" t="s">
        <v>6835</v>
      </c>
      <c r="D10735" s="108" t="s">
        <v>6952</v>
      </c>
      <c r="E10735" s="42">
        <v>200000</v>
      </c>
      <c r="G10735" s="42">
        <f t="shared" si="173"/>
        <v>-200000</v>
      </c>
      <c r="H10735" s="121" t="s">
        <v>6912</v>
      </c>
    </row>
    <row r="10736" spans="1:8" ht="15" customHeight="1" x14ac:dyDescent="0.2">
      <c r="A10736" s="619">
        <v>44338</v>
      </c>
      <c r="B10736" s="41" t="s">
        <v>6953</v>
      </c>
      <c r="C10736" s="41" t="s">
        <v>2555</v>
      </c>
      <c r="D10736" s="108" t="s">
        <v>3361</v>
      </c>
      <c r="E10736" s="42">
        <v>50000</v>
      </c>
      <c r="G10736" s="42">
        <f t="shared" si="173"/>
        <v>-50000</v>
      </c>
      <c r="H10736" s="121" t="s">
        <v>6912</v>
      </c>
    </row>
    <row r="10737" spans="1:8" ht="15" customHeight="1" x14ac:dyDescent="0.2">
      <c r="A10737" s="619">
        <v>44340</v>
      </c>
      <c r="B10737" s="41" t="s">
        <v>7126</v>
      </c>
      <c r="C10737" s="41" t="s">
        <v>6847</v>
      </c>
      <c r="D10737" s="108" t="s">
        <v>6954</v>
      </c>
      <c r="E10737" s="42">
        <v>33630</v>
      </c>
      <c r="G10737" s="42">
        <f t="shared" si="173"/>
        <v>-33630</v>
      </c>
      <c r="H10737" s="121" t="s">
        <v>6912</v>
      </c>
    </row>
    <row r="10738" spans="1:8" ht="15" customHeight="1" x14ac:dyDescent="0.2">
      <c r="A10738" s="619">
        <v>44340</v>
      </c>
      <c r="B10738" s="41" t="s">
        <v>6953</v>
      </c>
      <c r="C10738" s="41" t="s">
        <v>5593</v>
      </c>
      <c r="D10738" s="108" t="s">
        <v>6991</v>
      </c>
      <c r="E10738" s="42">
        <v>200000</v>
      </c>
      <c r="G10738" s="42">
        <f t="shared" si="173"/>
        <v>-200000</v>
      </c>
      <c r="H10738" s="121" t="s">
        <v>6912</v>
      </c>
    </row>
    <row r="10739" spans="1:8" ht="15" x14ac:dyDescent="0.2">
      <c r="A10739" s="619">
        <v>44340</v>
      </c>
      <c r="B10739" s="41" t="s">
        <v>7126</v>
      </c>
      <c r="C10739" s="41" t="s">
        <v>6832</v>
      </c>
      <c r="D10739" s="108" t="s">
        <v>370</v>
      </c>
      <c r="E10739" s="42">
        <v>86500</v>
      </c>
      <c r="G10739" s="42">
        <f t="shared" si="173"/>
        <v>-86500</v>
      </c>
      <c r="H10739" s="121" t="s">
        <v>6912</v>
      </c>
    </row>
    <row r="10740" spans="1:8" ht="15" x14ac:dyDescent="0.2">
      <c r="A10740" s="619">
        <v>44341</v>
      </c>
      <c r="B10740" s="41" t="s">
        <v>7126</v>
      </c>
      <c r="C10740" s="41" t="s">
        <v>6832</v>
      </c>
      <c r="D10740" s="108" t="s">
        <v>370</v>
      </c>
      <c r="E10740" s="42">
        <v>54850</v>
      </c>
      <c r="G10740" s="42">
        <f t="shared" si="173"/>
        <v>-54850</v>
      </c>
      <c r="H10740" s="121" t="s">
        <v>6912</v>
      </c>
    </row>
    <row r="10741" spans="1:8" ht="15" x14ac:dyDescent="0.2">
      <c r="A10741" s="619">
        <v>44341</v>
      </c>
      <c r="B10741" s="41" t="s">
        <v>82</v>
      </c>
      <c r="C10741" s="41" t="s">
        <v>6967</v>
      </c>
      <c r="D10741" s="108" t="s">
        <v>6061</v>
      </c>
      <c r="E10741" s="42">
        <v>5000</v>
      </c>
      <c r="G10741" s="42">
        <f t="shared" si="173"/>
        <v>-5000</v>
      </c>
      <c r="H10741" s="121" t="s">
        <v>6912</v>
      </c>
    </row>
    <row r="10742" spans="1:8" ht="15" x14ac:dyDescent="0.2">
      <c r="A10742" s="619">
        <v>44341</v>
      </c>
      <c r="B10742" s="41" t="s">
        <v>6953</v>
      </c>
      <c r="C10742" s="41" t="s">
        <v>6141</v>
      </c>
      <c r="D10742" s="108" t="s">
        <v>3361</v>
      </c>
      <c r="E10742" s="42">
        <v>5000</v>
      </c>
      <c r="G10742" s="42">
        <f t="shared" si="173"/>
        <v>-5000</v>
      </c>
      <c r="H10742" s="121" t="s">
        <v>6912</v>
      </c>
    </row>
    <row r="10743" spans="1:8" ht="15" x14ac:dyDescent="0.2">
      <c r="A10743" s="619">
        <v>44341</v>
      </c>
      <c r="B10743" s="41" t="s">
        <v>6408</v>
      </c>
      <c r="C10743" s="41" t="s">
        <v>5741</v>
      </c>
      <c r="E10743" s="42">
        <v>500</v>
      </c>
      <c r="G10743" s="42">
        <f t="shared" si="173"/>
        <v>-500</v>
      </c>
      <c r="H10743" s="121" t="s">
        <v>6912</v>
      </c>
    </row>
    <row r="10744" spans="1:8" ht="15" x14ac:dyDescent="0.2">
      <c r="A10744" s="619">
        <v>44343</v>
      </c>
      <c r="B10744" s="41" t="s">
        <v>16</v>
      </c>
      <c r="C10744" s="41" t="s">
        <v>1689</v>
      </c>
      <c r="D10744" s="108" t="s">
        <v>6968</v>
      </c>
      <c r="E10744" s="42">
        <v>14804</v>
      </c>
      <c r="G10744" s="42">
        <f t="shared" si="173"/>
        <v>-14804</v>
      </c>
      <c r="H10744" s="121" t="s">
        <v>6912</v>
      </c>
    </row>
    <row r="10745" spans="1:8" ht="15" x14ac:dyDescent="0.2">
      <c r="A10745" s="619">
        <v>44343</v>
      </c>
      <c r="B10745" s="41" t="s">
        <v>25</v>
      </c>
      <c r="C10745" s="41" t="s">
        <v>1689</v>
      </c>
      <c r="D10745" s="108" t="s">
        <v>6968</v>
      </c>
      <c r="E10745" s="42">
        <v>36535</v>
      </c>
      <c r="G10745" s="42">
        <f t="shared" si="173"/>
        <v>-36535</v>
      </c>
      <c r="H10745" s="121" t="s">
        <v>6912</v>
      </c>
    </row>
    <row r="10746" spans="1:8" ht="15" x14ac:dyDescent="0.2">
      <c r="A10746" s="619">
        <v>44343</v>
      </c>
      <c r="B10746" s="41" t="s">
        <v>6408</v>
      </c>
      <c r="C10746" s="41" t="s">
        <v>3145</v>
      </c>
      <c r="D10746" s="108" t="s">
        <v>6969</v>
      </c>
      <c r="E10746" s="42">
        <v>17245</v>
      </c>
      <c r="G10746" s="42">
        <f t="shared" si="173"/>
        <v>-17245</v>
      </c>
      <c r="H10746" s="121" t="s">
        <v>6912</v>
      </c>
    </row>
    <row r="10747" spans="1:8" ht="15" x14ac:dyDescent="0.2">
      <c r="A10747" s="619">
        <v>44344</v>
      </c>
      <c r="B10747" s="41" t="s">
        <v>6953</v>
      </c>
      <c r="C10747" s="41" t="s">
        <v>286</v>
      </c>
      <c r="D10747" s="108" t="s">
        <v>370</v>
      </c>
      <c r="E10747" s="42">
        <v>250</v>
      </c>
      <c r="G10747" s="42">
        <f t="shared" si="173"/>
        <v>-250</v>
      </c>
      <c r="H10747" s="121" t="s">
        <v>6912</v>
      </c>
    </row>
    <row r="10748" spans="1:8" ht="15" x14ac:dyDescent="0.2">
      <c r="A10748" s="619">
        <v>44344</v>
      </c>
      <c r="B10748" s="41" t="s">
        <v>6408</v>
      </c>
      <c r="C10748" s="41" t="s">
        <v>286</v>
      </c>
      <c r="D10748" s="108" t="s">
        <v>4901</v>
      </c>
      <c r="E10748" s="42">
        <v>12500</v>
      </c>
      <c r="G10748" s="42">
        <f t="shared" si="173"/>
        <v>-12500</v>
      </c>
      <c r="H10748" s="121" t="s">
        <v>6912</v>
      </c>
    </row>
    <row r="10749" spans="1:8" ht="15" x14ac:dyDescent="0.2">
      <c r="A10749" s="619">
        <v>44344</v>
      </c>
      <c r="B10749" s="41" t="s">
        <v>1400</v>
      </c>
      <c r="C10749" s="41" t="s">
        <v>286</v>
      </c>
      <c r="D10749" s="108" t="s">
        <v>4901</v>
      </c>
      <c r="E10749" s="42">
        <v>12500</v>
      </c>
      <c r="G10749" s="42">
        <f t="shared" si="173"/>
        <v>-12500</v>
      </c>
      <c r="H10749" s="121" t="s">
        <v>6912</v>
      </c>
    </row>
    <row r="10750" spans="1:8" ht="15" x14ac:dyDescent="0.2">
      <c r="A10750" s="619">
        <v>44344</v>
      </c>
      <c r="B10750" s="43" t="s">
        <v>6953</v>
      </c>
      <c r="C10750" s="648" t="s">
        <v>318</v>
      </c>
      <c r="D10750" s="900" t="s">
        <v>7021</v>
      </c>
      <c r="E10750" s="649">
        <v>28250</v>
      </c>
      <c r="F10750" s="58"/>
      <c r="G10750" s="58">
        <f t="shared" si="173"/>
        <v>-28250</v>
      </c>
      <c r="H10750" s="121" t="s">
        <v>6912</v>
      </c>
    </row>
    <row r="10751" spans="1:8" ht="15" x14ac:dyDescent="0.2">
      <c r="A10751" s="619">
        <v>44344</v>
      </c>
      <c r="B10751" s="43" t="s">
        <v>2933</v>
      </c>
      <c r="C10751" s="648" t="s">
        <v>318</v>
      </c>
      <c r="D10751" s="900" t="s">
        <v>7021</v>
      </c>
      <c r="E10751" s="649">
        <v>20390</v>
      </c>
      <c r="F10751" s="58"/>
      <c r="G10751" s="58">
        <f t="shared" si="173"/>
        <v>-20390</v>
      </c>
      <c r="H10751" s="121" t="s">
        <v>6912</v>
      </c>
    </row>
    <row r="10752" spans="1:8" ht="15" x14ac:dyDescent="0.2">
      <c r="A10752" s="619">
        <v>44344</v>
      </c>
      <c r="B10752" s="43" t="s">
        <v>1400</v>
      </c>
      <c r="C10752" s="648" t="s">
        <v>318</v>
      </c>
      <c r="D10752" s="900" t="s">
        <v>7021</v>
      </c>
      <c r="E10752" s="649">
        <f>24270-14200</f>
        <v>10070</v>
      </c>
      <c r="F10752" s="58"/>
      <c r="G10752" s="58">
        <f t="shared" si="173"/>
        <v>-10070</v>
      </c>
      <c r="H10752" s="121" t="s">
        <v>6912</v>
      </c>
    </row>
    <row r="10753" spans="1:8" ht="15" x14ac:dyDescent="0.2">
      <c r="A10753" s="619">
        <v>44344</v>
      </c>
      <c r="B10753" s="43" t="s">
        <v>6511</v>
      </c>
      <c r="C10753" s="648" t="s">
        <v>318</v>
      </c>
      <c r="D10753" s="900" t="s">
        <v>7021</v>
      </c>
      <c r="E10753" s="649">
        <v>33875</v>
      </c>
      <c r="F10753" s="58"/>
      <c r="G10753" s="58">
        <f t="shared" si="173"/>
        <v>-33875</v>
      </c>
      <c r="H10753" s="121" t="s">
        <v>6912</v>
      </c>
    </row>
    <row r="10754" spans="1:8" ht="15" x14ac:dyDescent="0.2">
      <c r="A10754" s="619">
        <v>44344</v>
      </c>
      <c r="B10754" s="43" t="s">
        <v>6408</v>
      </c>
      <c r="C10754" s="648" t="s">
        <v>318</v>
      </c>
      <c r="D10754" s="900" t="s">
        <v>7021</v>
      </c>
      <c r="E10754" s="649">
        <v>13000</v>
      </c>
      <c r="F10754" s="58"/>
      <c r="G10754" s="58">
        <f t="shared" si="173"/>
        <v>-13000</v>
      </c>
      <c r="H10754" s="121" t="s">
        <v>6912</v>
      </c>
    </row>
    <row r="10755" spans="1:8" ht="15" x14ac:dyDescent="0.2">
      <c r="A10755" s="619">
        <v>44344</v>
      </c>
      <c r="B10755" s="43" t="s">
        <v>6758</v>
      </c>
      <c r="C10755" s="648" t="s">
        <v>318</v>
      </c>
      <c r="D10755" s="900" t="s">
        <v>7021</v>
      </c>
      <c r="E10755" s="649">
        <v>28170</v>
      </c>
      <c r="F10755" s="58"/>
      <c r="G10755" s="58">
        <f t="shared" si="173"/>
        <v>-28170</v>
      </c>
      <c r="H10755" s="121" t="s">
        <v>6912</v>
      </c>
    </row>
    <row r="10756" spans="1:8" ht="15" x14ac:dyDescent="0.2">
      <c r="A10756" s="619">
        <v>44344</v>
      </c>
      <c r="B10756" s="43" t="s">
        <v>6447</v>
      </c>
      <c r="C10756" s="648" t="s">
        <v>318</v>
      </c>
      <c r="D10756" s="900" t="s">
        <v>7021</v>
      </c>
      <c r="E10756" s="649">
        <v>8000</v>
      </c>
      <c r="F10756" s="58"/>
      <c r="G10756" s="58">
        <f t="shared" si="173"/>
        <v>-8000</v>
      </c>
      <c r="H10756" s="121" t="s">
        <v>6912</v>
      </c>
    </row>
    <row r="10757" spans="1:8" ht="15" x14ac:dyDescent="0.2">
      <c r="A10757" s="619">
        <v>44344</v>
      </c>
      <c r="B10757" s="41" t="s">
        <v>2933</v>
      </c>
      <c r="C10757" s="41" t="s">
        <v>3145</v>
      </c>
      <c r="D10757" s="108" t="s">
        <v>6344</v>
      </c>
      <c r="E10757" s="42">
        <v>4450</v>
      </c>
      <c r="G10757" s="42">
        <f t="shared" ref="G10757:G10820" si="174">F10757-E10757</f>
        <v>-4450</v>
      </c>
      <c r="H10757" s="121" t="s">
        <v>6912</v>
      </c>
    </row>
    <row r="10758" spans="1:8" ht="15" x14ac:dyDescent="0.2">
      <c r="A10758" s="619">
        <v>44345</v>
      </c>
      <c r="B10758" s="41" t="s">
        <v>6953</v>
      </c>
      <c r="C10758" s="41" t="s">
        <v>392</v>
      </c>
      <c r="D10758" s="108" t="s">
        <v>6915</v>
      </c>
      <c r="E10758" s="42">
        <v>1000</v>
      </c>
      <c r="G10758" s="42">
        <f t="shared" si="174"/>
        <v>-1000</v>
      </c>
      <c r="H10758" s="121" t="s">
        <v>6912</v>
      </c>
    </row>
    <row r="10759" spans="1:8" ht="15" x14ac:dyDescent="0.2">
      <c r="A10759" s="619">
        <v>44345</v>
      </c>
      <c r="B10759" s="41" t="s">
        <v>25</v>
      </c>
      <c r="C10759" s="41" t="s">
        <v>1005</v>
      </c>
      <c r="E10759" s="42">
        <v>650</v>
      </c>
      <c r="G10759" s="42">
        <f t="shared" si="174"/>
        <v>-650</v>
      </c>
      <c r="H10759" s="121" t="s">
        <v>6912</v>
      </c>
    </row>
    <row r="10760" spans="1:8" ht="15" x14ac:dyDescent="0.2">
      <c r="A10760" s="619">
        <v>44345</v>
      </c>
      <c r="B10760" s="41" t="s">
        <v>3946</v>
      </c>
      <c r="C10760" s="41" t="s">
        <v>392</v>
      </c>
      <c r="D10760" s="108" t="s">
        <v>6970</v>
      </c>
      <c r="E10760" s="42">
        <v>3600</v>
      </c>
      <c r="G10760" s="42">
        <f t="shared" si="174"/>
        <v>-3600</v>
      </c>
      <c r="H10760" s="121" t="s">
        <v>6912</v>
      </c>
    </row>
    <row r="10761" spans="1:8" ht="15" x14ac:dyDescent="0.2">
      <c r="A10761" s="619">
        <v>44345</v>
      </c>
      <c r="B10761" s="41" t="s">
        <v>2933</v>
      </c>
      <c r="C10761" s="41" t="s">
        <v>3145</v>
      </c>
      <c r="D10761" s="108" t="s">
        <v>4535</v>
      </c>
      <c r="E10761" s="42">
        <v>7050</v>
      </c>
      <c r="G10761" s="42">
        <f t="shared" si="174"/>
        <v>-7050</v>
      </c>
      <c r="H10761" s="121" t="s">
        <v>6912</v>
      </c>
    </row>
    <row r="10762" spans="1:8" ht="15" x14ac:dyDescent="0.2">
      <c r="A10762" s="619">
        <v>44345</v>
      </c>
      <c r="B10762" s="41" t="s">
        <v>6511</v>
      </c>
      <c r="C10762" s="41" t="s">
        <v>6378</v>
      </c>
      <c r="D10762" s="108" t="s">
        <v>6971</v>
      </c>
      <c r="E10762" s="42">
        <v>100000</v>
      </c>
      <c r="G10762" s="42">
        <f t="shared" si="174"/>
        <v>-100000</v>
      </c>
      <c r="H10762" s="121" t="s">
        <v>6912</v>
      </c>
    </row>
    <row r="10763" spans="1:8" ht="15" x14ac:dyDescent="0.2">
      <c r="A10763" s="619">
        <v>44347</v>
      </c>
      <c r="B10763" s="41" t="s">
        <v>16</v>
      </c>
      <c r="C10763" s="41" t="s">
        <v>2503</v>
      </c>
      <c r="D10763" s="108" t="s">
        <v>5451</v>
      </c>
      <c r="E10763" s="42">
        <v>25000</v>
      </c>
      <c r="G10763" s="42">
        <f t="shared" si="174"/>
        <v>-25000</v>
      </c>
      <c r="H10763" s="121" t="s">
        <v>6912</v>
      </c>
    </row>
    <row r="10764" spans="1:8" ht="15" x14ac:dyDescent="0.2">
      <c r="A10764" s="619">
        <v>44347</v>
      </c>
      <c r="B10764" s="41" t="s">
        <v>6950</v>
      </c>
      <c r="C10764" s="41" t="s">
        <v>1896</v>
      </c>
      <c r="D10764" s="108" t="s">
        <v>370</v>
      </c>
      <c r="E10764" s="42">
        <v>2000</v>
      </c>
      <c r="G10764" s="42">
        <f t="shared" si="174"/>
        <v>-2000</v>
      </c>
      <c r="H10764" s="121" t="s">
        <v>6912</v>
      </c>
    </row>
    <row r="10765" spans="1:8" ht="15" x14ac:dyDescent="0.2">
      <c r="A10765" s="619">
        <v>44347</v>
      </c>
      <c r="B10765" s="41" t="s">
        <v>6511</v>
      </c>
      <c r="C10765" s="41" t="s">
        <v>3145</v>
      </c>
      <c r="D10765" s="108" t="s">
        <v>6972</v>
      </c>
      <c r="E10765" s="42">
        <v>9200</v>
      </c>
      <c r="G10765" s="42">
        <f t="shared" si="174"/>
        <v>-9200</v>
      </c>
      <c r="H10765" s="121" t="s">
        <v>6912</v>
      </c>
    </row>
    <row r="10766" spans="1:8" ht="15" x14ac:dyDescent="0.2">
      <c r="A10766" s="619">
        <v>44347</v>
      </c>
      <c r="B10766" s="41" t="s">
        <v>1400</v>
      </c>
      <c r="C10766" s="41" t="s">
        <v>3145</v>
      </c>
      <c r="D10766" s="108" t="s">
        <v>4450</v>
      </c>
      <c r="E10766" s="42">
        <v>38342</v>
      </c>
      <c r="G10766" s="42">
        <f t="shared" si="174"/>
        <v>-38342</v>
      </c>
      <c r="H10766" s="121" t="s">
        <v>6912</v>
      </c>
    </row>
    <row r="10767" spans="1:8" ht="15" x14ac:dyDescent="0.2">
      <c r="A10767" s="619">
        <v>44347</v>
      </c>
      <c r="B10767" s="41" t="s">
        <v>16</v>
      </c>
      <c r="C10767" s="41" t="s">
        <v>463</v>
      </c>
      <c r="D10767" s="108" t="s">
        <v>6975</v>
      </c>
      <c r="E10767" s="42">
        <v>19878</v>
      </c>
      <c r="G10767" s="42">
        <f t="shared" si="174"/>
        <v>-19878</v>
      </c>
      <c r="H10767" s="121" t="s">
        <v>6912</v>
      </c>
    </row>
    <row r="10768" spans="1:8" ht="15" x14ac:dyDescent="0.2">
      <c r="A10768" s="619">
        <v>44347</v>
      </c>
      <c r="B10768" s="63" t="s">
        <v>1400</v>
      </c>
      <c r="C10768" s="63" t="s">
        <v>2503</v>
      </c>
      <c r="D10768" s="183"/>
      <c r="E10768" s="126">
        <v>25000</v>
      </c>
      <c r="F10768" s="126"/>
      <c r="G10768" s="126">
        <f t="shared" si="174"/>
        <v>-25000</v>
      </c>
      <c r="H10768" s="121" t="s">
        <v>6912</v>
      </c>
    </row>
    <row r="10769" spans="1:8" ht="15" x14ac:dyDescent="0.2">
      <c r="A10769" s="619">
        <v>44347</v>
      </c>
      <c r="B10769" s="63" t="s">
        <v>6518</v>
      </c>
      <c r="C10769" s="63" t="s">
        <v>2503</v>
      </c>
      <c r="D10769" s="183"/>
      <c r="E10769" s="126">
        <v>25000</v>
      </c>
      <c r="F10769" s="126"/>
      <c r="G10769" s="126">
        <f t="shared" si="174"/>
        <v>-25000</v>
      </c>
      <c r="H10769" s="121" t="s">
        <v>6912</v>
      </c>
    </row>
    <row r="10770" spans="1:8" ht="15" x14ac:dyDescent="0.2">
      <c r="A10770" s="619">
        <v>44347</v>
      </c>
      <c r="B10770" s="63" t="s">
        <v>6408</v>
      </c>
      <c r="C10770" s="63" t="s">
        <v>2503</v>
      </c>
      <c r="D10770" s="183"/>
      <c r="E10770" s="126">
        <v>25000</v>
      </c>
      <c r="F10770" s="126"/>
      <c r="G10770" s="126">
        <f t="shared" si="174"/>
        <v>-25000</v>
      </c>
      <c r="H10770" s="121" t="s">
        <v>6912</v>
      </c>
    </row>
    <row r="10771" spans="1:8" ht="15" x14ac:dyDescent="0.2">
      <c r="A10771" s="619">
        <v>44347</v>
      </c>
      <c r="B10771" s="63" t="s">
        <v>6511</v>
      </c>
      <c r="C10771" s="63" t="s">
        <v>2503</v>
      </c>
      <c r="D10771" s="183"/>
      <c r="E10771" s="126">
        <v>25000</v>
      </c>
      <c r="F10771" s="126"/>
      <c r="G10771" s="126">
        <f t="shared" si="174"/>
        <v>-25000</v>
      </c>
      <c r="H10771" s="121" t="s">
        <v>6912</v>
      </c>
    </row>
    <row r="10772" spans="1:8" ht="15" x14ac:dyDescent="0.2">
      <c r="A10772" s="619">
        <v>44347</v>
      </c>
      <c r="B10772" s="63" t="s">
        <v>25</v>
      </c>
      <c r="C10772" s="63" t="s">
        <v>2503</v>
      </c>
      <c r="D10772" s="183"/>
      <c r="E10772" s="126">
        <v>62000</v>
      </c>
      <c r="F10772" s="126"/>
      <c r="G10772" s="126">
        <f t="shared" si="174"/>
        <v>-62000</v>
      </c>
      <c r="H10772" s="121" t="s">
        <v>6912</v>
      </c>
    </row>
    <row r="10773" spans="1:8" ht="15" x14ac:dyDescent="0.2">
      <c r="A10773" s="619">
        <v>44347</v>
      </c>
      <c r="B10773" s="63" t="s">
        <v>16</v>
      </c>
      <c r="C10773" s="63" t="s">
        <v>2503</v>
      </c>
      <c r="D10773" s="183"/>
      <c r="E10773" s="126">
        <v>94000</v>
      </c>
      <c r="F10773" s="126"/>
      <c r="G10773" s="126">
        <f t="shared" si="174"/>
        <v>-94000</v>
      </c>
      <c r="H10773" s="121" t="s">
        <v>6912</v>
      </c>
    </row>
    <row r="10774" spans="1:8" ht="15" x14ac:dyDescent="0.2">
      <c r="A10774" s="619">
        <v>44347</v>
      </c>
      <c r="B10774" s="63" t="s">
        <v>3945</v>
      </c>
      <c r="C10774" s="63" t="s">
        <v>2503</v>
      </c>
      <c r="D10774" s="183"/>
      <c r="E10774" s="126">
        <v>37258.06451612903</v>
      </c>
      <c r="F10774" s="126"/>
      <c r="G10774" s="126">
        <f t="shared" si="174"/>
        <v>-37258.06451612903</v>
      </c>
      <c r="H10774" s="121" t="s">
        <v>6912</v>
      </c>
    </row>
    <row r="10775" spans="1:8" ht="15" x14ac:dyDescent="0.2">
      <c r="A10775" s="619">
        <v>44347</v>
      </c>
      <c r="B10775" s="63" t="s">
        <v>3946</v>
      </c>
      <c r="C10775" s="63" t="s">
        <v>2503</v>
      </c>
      <c r="D10775" s="183"/>
      <c r="E10775" s="126">
        <v>75645.161290322576</v>
      </c>
      <c r="F10775" s="126"/>
      <c r="G10775" s="126">
        <f t="shared" si="174"/>
        <v>-75645.161290322576</v>
      </c>
      <c r="H10775" s="121" t="s">
        <v>6912</v>
      </c>
    </row>
    <row r="10776" spans="1:8" ht="15" x14ac:dyDescent="0.2">
      <c r="A10776" s="619">
        <v>44347</v>
      </c>
      <c r="B10776" s="63" t="s">
        <v>1400</v>
      </c>
      <c r="C10776" s="63" t="s">
        <v>2503</v>
      </c>
      <c r="D10776" s="183"/>
      <c r="E10776" s="126">
        <v>201483.87096774194</v>
      </c>
      <c r="F10776" s="126"/>
      <c r="G10776" s="126">
        <f t="shared" si="174"/>
        <v>-201483.87096774194</v>
      </c>
      <c r="H10776" s="121" t="s">
        <v>6912</v>
      </c>
    </row>
    <row r="10777" spans="1:8" ht="15" x14ac:dyDescent="0.2">
      <c r="A10777" s="619">
        <v>44347</v>
      </c>
      <c r="B10777" s="63" t="s">
        <v>6516</v>
      </c>
      <c r="C10777" s="63" t="s">
        <v>2503</v>
      </c>
      <c r="D10777" s="183"/>
      <c r="E10777" s="126">
        <v>121334.67741935483</v>
      </c>
      <c r="F10777" s="126"/>
      <c r="G10777" s="126">
        <f t="shared" si="174"/>
        <v>-121334.67741935483</v>
      </c>
      <c r="H10777" s="121" t="s">
        <v>6912</v>
      </c>
    </row>
    <row r="10778" spans="1:8" ht="15" x14ac:dyDescent="0.2">
      <c r="A10778" s="619">
        <v>44347</v>
      </c>
      <c r="B10778" s="63" t="s">
        <v>37</v>
      </c>
      <c r="C10778" s="63" t="s">
        <v>2503</v>
      </c>
      <c r="D10778" s="183"/>
      <c r="E10778" s="126">
        <v>89770.161290322576</v>
      </c>
      <c r="F10778" s="126"/>
      <c r="G10778" s="126">
        <f t="shared" si="174"/>
        <v>-89770.161290322576</v>
      </c>
      <c r="H10778" s="121" t="s">
        <v>6912</v>
      </c>
    </row>
    <row r="10779" spans="1:8" ht="15" x14ac:dyDescent="0.2">
      <c r="A10779" s="619">
        <v>44347</v>
      </c>
      <c r="B10779" s="63" t="s">
        <v>2933</v>
      </c>
      <c r="C10779" s="63" t="s">
        <v>2503</v>
      </c>
      <c r="D10779" s="183"/>
      <c r="E10779" s="126">
        <v>84967.741935483878</v>
      </c>
      <c r="F10779" s="126"/>
      <c r="G10779" s="126">
        <f t="shared" si="174"/>
        <v>-84967.741935483878</v>
      </c>
      <c r="H10779" s="121" t="s">
        <v>6912</v>
      </c>
    </row>
    <row r="10780" spans="1:8" ht="15" x14ac:dyDescent="0.2">
      <c r="A10780" s="619">
        <v>44347</v>
      </c>
      <c r="B10780" s="63" t="s">
        <v>6518</v>
      </c>
      <c r="C10780" s="63" t="s">
        <v>2503</v>
      </c>
      <c r="D10780" s="183"/>
      <c r="E10780" s="126">
        <v>43290</v>
      </c>
      <c r="F10780" s="126"/>
      <c r="G10780" s="126">
        <f t="shared" si="174"/>
        <v>-43290</v>
      </c>
      <c r="H10780" s="121" t="s">
        <v>6912</v>
      </c>
    </row>
    <row r="10781" spans="1:8" ht="15" x14ac:dyDescent="0.2">
      <c r="A10781" s="619">
        <v>44347</v>
      </c>
      <c r="B10781" s="63" t="s">
        <v>7126</v>
      </c>
      <c r="C10781" s="63" t="s">
        <v>2503</v>
      </c>
      <c r="D10781" s="183"/>
      <c r="E10781" s="126">
        <v>127416</v>
      </c>
      <c r="F10781" s="126"/>
      <c r="G10781" s="126">
        <f t="shared" si="174"/>
        <v>-127416</v>
      </c>
      <c r="H10781" s="121" t="s">
        <v>6912</v>
      </c>
    </row>
    <row r="10782" spans="1:8" ht="15" x14ac:dyDescent="0.2">
      <c r="A10782" s="619">
        <v>44347</v>
      </c>
      <c r="B10782" s="63" t="s">
        <v>6511</v>
      </c>
      <c r="C10782" s="63" t="s">
        <v>2503</v>
      </c>
      <c r="D10782" s="183"/>
      <c r="E10782" s="126">
        <v>127416</v>
      </c>
      <c r="F10782" s="126"/>
      <c r="G10782" s="126">
        <f t="shared" si="174"/>
        <v>-127416</v>
      </c>
      <c r="H10782" s="121" t="s">
        <v>6912</v>
      </c>
    </row>
    <row r="10783" spans="1:8" ht="15" x14ac:dyDescent="0.2">
      <c r="A10783" s="619">
        <v>44347</v>
      </c>
      <c r="B10783" s="63" t="s">
        <v>5811</v>
      </c>
      <c r="C10783" s="63" t="s">
        <v>2503</v>
      </c>
      <c r="D10783" s="183"/>
      <c r="E10783" s="126">
        <v>64343</v>
      </c>
      <c r="F10783" s="126"/>
      <c r="G10783" s="126">
        <f t="shared" si="174"/>
        <v>-64343</v>
      </c>
      <c r="H10783" s="121" t="s">
        <v>6912</v>
      </c>
    </row>
    <row r="10784" spans="1:8" ht="15" x14ac:dyDescent="0.2">
      <c r="A10784" s="619">
        <v>44347</v>
      </c>
      <c r="B10784" s="63" t="s">
        <v>82</v>
      </c>
      <c r="C10784" s="63" t="s">
        <v>2503</v>
      </c>
      <c r="D10784" s="183"/>
      <c r="E10784" s="126">
        <v>16734</v>
      </c>
      <c r="F10784" s="126"/>
      <c r="G10784" s="126">
        <f t="shared" si="174"/>
        <v>-16734</v>
      </c>
      <c r="H10784" s="121" t="s">
        <v>6912</v>
      </c>
    </row>
    <row r="10785" spans="1:8" ht="15" x14ac:dyDescent="0.2">
      <c r="A10785" s="619">
        <v>44347</v>
      </c>
      <c r="B10785" s="63" t="s">
        <v>4553</v>
      </c>
      <c r="C10785" s="63" t="s">
        <v>2503</v>
      </c>
      <c r="D10785" s="183"/>
      <c r="E10785" s="126">
        <v>28851</v>
      </c>
      <c r="F10785" s="126"/>
      <c r="G10785" s="126">
        <f t="shared" si="174"/>
        <v>-28851</v>
      </c>
      <c r="H10785" s="121" t="s">
        <v>6912</v>
      </c>
    </row>
    <row r="10786" spans="1:8" ht="15" x14ac:dyDescent="0.2">
      <c r="A10786" s="620">
        <v>44335</v>
      </c>
      <c r="B10786" s="122" t="s">
        <v>6511</v>
      </c>
      <c r="C10786" s="122" t="s">
        <v>2128</v>
      </c>
      <c r="D10786" s="812" t="s">
        <v>6939</v>
      </c>
      <c r="E10786" s="123">
        <v>600000</v>
      </c>
      <c r="F10786" s="123"/>
      <c r="G10786" s="123">
        <f t="shared" si="174"/>
        <v>-600000</v>
      </c>
      <c r="H10786" s="244" t="s">
        <v>6912</v>
      </c>
    </row>
    <row r="10787" spans="1:8" ht="15" x14ac:dyDescent="0.2">
      <c r="A10787" s="620">
        <v>44335</v>
      </c>
      <c r="B10787" s="122" t="s">
        <v>6511</v>
      </c>
      <c r="C10787" s="122" t="s">
        <v>2128</v>
      </c>
      <c r="D10787" s="812" t="s">
        <v>6940</v>
      </c>
      <c r="E10787" s="123">
        <v>661044</v>
      </c>
      <c r="F10787" s="123"/>
      <c r="G10787" s="123">
        <f t="shared" si="174"/>
        <v>-661044</v>
      </c>
      <c r="H10787" s="244" t="s">
        <v>6912</v>
      </c>
    </row>
    <row r="10788" spans="1:8" ht="15" x14ac:dyDescent="0.2">
      <c r="A10788" s="620">
        <v>44336</v>
      </c>
      <c r="B10788" s="122" t="s">
        <v>1400</v>
      </c>
      <c r="C10788" s="122" t="s">
        <v>2104</v>
      </c>
      <c r="D10788" s="812" t="s">
        <v>6941</v>
      </c>
      <c r="E10788" s="123">
        <v>22400</v>
      </c>
      <c r="F10788" s="123"/>
      <c r="G10788" s="123">
        <f t="shared" si="174"/>
        <v>-22400</v>
      </c>
      <c r="H10788" s="244" t="s">
        <v>6912</v>
      </c>
    </row>
    <row r="10789" spans="1:8" ht="15" x14ac:dyDescent="0.2">
      <c r="A10789" s="620">
        <v>44341</v>
      </c>
      <c r="B10789" s="122" t="s">
        <v>1400</v>
      </c>
      <c r="C10789" s="122" t="s">
        <v>1391</v>
      </c>
      <c r="D10789" s="812" t="s">
        <v>6956</v>
      </c>
      <c r="E10789" s="123">
        <v>100000</v>
      </c>
      <c r="F10789" s="123"/>
      <c r="G10789" s="123">
        <f t="shared" si="174"/>
        <v>-100000</v>
      </c>
      <c r="H10789" s="244" t="s">
        <v>6912</v>
      </c>
    </row>
    <row r="10790" spans="1:8" ht="15" x14ac:dyDescent="0.2">
      <c r="A10790" s="620">
        <v>44341</v>
      </c>
      <c r="B10790" s="122" t="s">
        <v>1400</v>
      </c>
      <c r="C10790" s="122" t="s">
        <v>6706</v>
      </c>
      <c r="D10790" s="812" t="s">
        <v>6957</v>
      </c>
      <c r="E10790" s="123">
        <v>141000</v>
      </c>
      <c r="F10790" s="123"/>
      <c r="G10790" s="123">
        <f t="shared" si="174"/>
        <v>-141000</v>
      </c>
      <c r="H10790" s="244" t="s">
        <v>6912</v>
      </c>
    </row>
    <row r="10791" spans="1:8" ht="15" x14ac:dyDescent="0.2">
      <c r="A10791" s="620">
        <v>44341</v>
      </c>
      <c r="B10791" s="122" t="s">
        <v>6518</v>
      </c>
      <c r="C10791" s="122" t="s">
        <v>431</v>
      </c>
      <c r="D10791" s="812" t="s">
        <v>6959</v>
      </c>
      <c r="E10791" s="123">
        <v>100000</v>
      </c>
      <c r="F10791" s="123"/>
      <c r="G10791" s="123">
        <f t="shared" si="174"/>
        <v>-100000</v>
      </c>
      <c r="H10791" s="244" t="s">
        <v>6912</v>
      </c>
    </row>
    <row r="10792" spans="1:8" ht="15" x14ac:dyDescent="0.2">
      <c r="A10792" s="620">
        <v>44341</v>
      </c>
      <c r="B10792" s="122" t="s">
        <v>6511</v>
      </c>
      <c r="C10792" s="122" t="s">
        <v>1803</v>
      </c>
      <c r="D10792" s="812" t="s">
        <v>6958</v>
      </c>
      <c r="E10792" s="123">
        <v>300000</v>
      </c>
      <c r="F10792" s="123"/>
      <c r="G10792" s="123">
        <f t="shared" si="174"/>
        <v>-300000</v>
      </c>
      <c r="H10792" s="244" t="s">
        <v>6912</v>
      </c>
    </row>
    <row r="10793" spans="1:8" ht="24" customHeight="1" x14ac:dyDescent="0.2">
      <c r="A10793" s="620">
        <v>44345</v>
      </c>
      <c r="B10793" s="122" t="s">
        <v>1400</v>
      </c>
      <c r="C10793" s="582" t="s">
        <v>166</v>
      </c>
      <c r="D10793" s="897" t="s">
        <v>6965</v>
      </c>
      <c r="E10793" s="583">
        <v>92268</v>
      </c>
      <c r="F10793" s="123"/>
      <c r="G10793" s="123">
        <f t="shared" si="174"/>
        <v>-92268</v>
      </c>
      <c r="H10793" s="244" t="s">
        <v>6912</v>
      </c>
    </row>
    <row r="10794" spans="1:8" ht="15" customHeight="1" x14ac:dyDescent="0.2">
      <c r="A10794" s="620">
        <v>44345</v>
      </c>
      <c r="B10794" s="122" t="s">
        <v>6408</v>
      </c>
      <c r="C10794" s="582" t="s">
        <v>166</v>
      </c>
      <c r="D10794" s="893" t="s">
        <v>6789</v>
      </c>
      <c r="E10794" s="583">
        <v>23720</v>
      </c>
      <c r="F10794" s="123"/>
      <c r="G10794" s="123">
        <f t="shared" si="174"/>
        <v>-23720</v>
      </c>
      <c r="H10794" s="244" t="s">
        <v>6912</v>
      </c>
    </row>
    <row r="10795" spans="1:8" ht="15" customHeight="1" x14ac:dyDescent="0.2">
      <c r="A10795" s="620">
        <v>44345</v>
      </c>
      <c r="B10795" s="122" t="s">
        <v>6447</v>
      </c>
      <c r="C10795" s="582" t="s">
        <v>166</v>
      </c>
      <c r="D10795" s="893" t="s">
        <v>6789</v>
      </c>
      <c r="E10795" s="583">
        <v>4575</v>
      </c>
      <c r="F10795" s="123"/>
      <c r="G10795" s="123">
        <f t="shared" si="174"/>
        <v>-4575</v>
      </c>
      <c r="H10795" s="244" t="s">
        <v>6912</v>
      </c>
    </row>
    <row r="10796" spans="1:8" ht="15" customHeight="1" x14ac:dyDescent="0.2">
      <c r="A10796" s="620">
        <v>44345</v>
      </c>
      <c r="B10796" s="122" t="s">
        <v>6511</v>
      </c>
      <c r="C10796" s="582" t="s">
        <v>166</v>
      </c>
      <c r="D10796" s="893" t="s">
        <v>6789</v>
      </c>
      <c r="E10796" s="583">
        <v>124340</v>
      </c>
      <c r="F10796" s="123"/>
      <c r="G10796" s="123">
        <f t="shared" si="174"/>
        <v>-124340</v>
      </c>
      <c r="H10796" s="244" t="s">
        <v>6912</v>
      </c>
    </row>
    <row r="10797" spans="1:8" ht="15" customHeight="1" x14ac:dyDescent="0.2">
      <c r="A10797" s="620">
        <v>44345</v>
      </c>
      <c r="B10797" s="122" t="s">
        <v>6953</v>
      </c>
      <c r="C10797" s="582" t="s">
        <v>166</v>
      </c>
      <c r="D10797" s="893" t="s">
        <v>6789</v>
      </c>
      <c r="E10797" s="583">
        <v>111600</v>
      </c>
      <c r="F10797" s="123"/>
      <c r="G10797" s="123">
        <f t="shared" si="174"/>
        <v>-111600</v>
      </c>
      <c r="H10797" s="244" t="s">
        <v>6912</v>
      </c>
    </row>
    <row r="10798" spans="1:8" ht="15" customHeight="1" x14ac:dyDescent="0.2">
      <c r="A10798" s="620">
        <v>44345</v>
      </c>
      <c r="B10798" s="122" t="s">
        <v>392</v>
      </c>
      <c r="C10798" s="582" t="s">
        <v>166</v>
      </c>
      <c r="D10798" s="893" t="s">
        <v>6789</v>
      </c>
      <c r="E10798" s="583">
        <v>8587</v>
      </c>
      <c r="F10798" s="123"/>
      <c r="G10798" s="123">
        <f t="shared" si="174"/>
        <v>-8587</v>
      </c>
      <c r="H10798" s="244" t="s">
        <v>6912</v>
      </c>
    </row>
    <row r="10799" spans="1:8" ht="15" customHeight="1" x14ac:dyDescent="0.2">
      <c r="A10799" s="620">
        <v>44345</v>
      </c>
      <c r="B10799" s="122" t="s">
        <v>1400</v>
      </c>
      <c r="C10799" s="644" t="s">
        <v>2310</v>
      </c>
      <c r="D10799" s="901" t="s">
        <v>6966</v>
      </c>
      <c r="E10799" s="645">
        <v>61516</v>
      </c>
      <c r="F10799" s="123"/>
      <c r="G10799" s="123">
        <f t="shared" si="174"/>
        <v>-61516</v>
      </c>
      <c r="H10799" s="244" t="s">
        <v>6912</v>
      </c>
    </row>
    <row r="10800" spans="1:8" ht="15" customHeight="1" x14ac:dyDescent="0.2">
      <c r="A10800" s="620">
        <v>44345</v>
      </c>
      <c r="B10800" s="122" t="s">
        <v>82</v>
      </c>
      <c r="C10800" s="644" t="s">
        <v>2310</v>
      </c>
      <c r="D10800" s="901" t="s">
        <v>6789</v>
      </c>
      <c r="E10800" s="645">
        <v>18900</v>
      </c>
      <c r="F10800" s="123"/>
      <c r="G10800" s="123">
        <f t="shared" si="174"/>
        <v>-18900</v>
      </c>
      <c r="H10800" s="244" t="s">
        <v>6912</v>
      </c>
    </row>
    <row r="10801" spans="1:8" ht="15" customHeight="1" x14ac:dyDescent="0.2">
      <c r="A10801" s="620">
        <v>44345</v>
      </c>
      <c r="B10801" s="122" t="s">
        <v>6408</v>
      </c>
      <c r="C10801" s="644" t="s">
        <v>2310</v>
      </c>
      <c r="D10801" s="901" t="s">
        <v>6789</v>
      </c>
      <c r="E10801" s="645">
        <v>42580</v>
      </c>
      <c r="F10801" s="123"/>
      <c r="G10801" s="123">
        <f t="shared" si="174"/>
        <v>-42580</v>
      </c>
      <c r="H10801" s="244" t="s">
        <v>6912</v>
      </c>
    </row>
    <row r="10802" spans="1:8" ht="15" customHeight="1" x14ac:dyDescent="0.2">
      <c r="A10802" s="618">
        <v>44321</v>
      </c>
      <c r="B10802" s="91" t="s">
        <v>37</v>
      </c>
      <c r="C10802" s="94" t="s">
        <v>559</v>
      </c>
      <c r="D10802" s="801" t="s">
        <v>6898</v>
      </c>
      <c r="E10802" s="92"/>
      <c r="F10802" s="92">
        <v>157140</v>
      </c>
      <c r="G10802" s="92">
        <f t="shared" si="174"/>
        <v>157140</v>
      </c>
      <c r="H10802" s="261" t="s">
        <v>6912</v>
      </c>
    </row>
    <row r="10803" spans="1:8" ht="15" x14ac:dyDescent="0.2">
      <c r="A10803" s="618">
        <v>44321</v>
      </c>
      <c r="B10803" s="91" t="s">
        <v>82</v>
      </c>
      <c r="C10803" s="94" t="s">
        <v>559</v>
      </c>
      <c r="D10803" s="801" t="s">
        <v>6916</v>
      </c>
      <c r="E10803" s="92"/>
      <c r="F10803" s="92">
        <v>1581625</v>
      </c>
      <c r="G10803" s="92">
        <f t="shared" si="174"/>
        <v>1581625</v>
      </c>
      <c r="H10803" s="261" t="s">
        <v>6912</v>
      </c>
    </row>
    <row r="10804" spans="1:8" ht="36" x14ac:dyDescent="0.2">
      <c r="A10804" s="642">
        <v>44323</v>
      </c>
      <c r="B10804" s="94" t="s">
        <v>4721</v>
      </c>
      <c r="C10804" s="94" t="s">
        <v>559</v>
      </c>
      <c r="D10804" s="802" t="s">
        <v>6926</v>
      </c>
      <c r="E10804" s="176"/>
      <c r="F10804" s="176">
        <v>1500000</v>
      </c>
      <c r="G10804" s="176">
        <f t="shared" si="174"/>
        <v>1500000</v>
      </c>
      <c r="H10804" s="261" t="s">
        <v>6912</v>
      </c>
    </row>
    <row r="10805" spans="1:8" ht="15" customHeight="1" x14ac:dyDescent="0.2">
      <c r="A10805" s="642">
        <v>44326</v>
      </c>
      <c r="B10805" s="94" t="s">
        <v>6953</v>
      </c>
      <c r="C10805" s="94" t="s">
        <v>559</v>
      </c>
      <c r="D10805" s="892" t="s">
        <v>6938</v>
      </c>
      <c r="E10805" s="176"/>
      <c r="F10805" s="176">
        <v>1350000</v>
      </c>
      <c r="G10805" s="176">
        <f t="shared" si="174"/>
        <v>1350000</v>
      </c>
      <c r="H10805" s="261" t="s">
        <v>6912</v>
      </c>
    </row>
    <row r="10806" spans="1:8" ht="36" customHeight="1" x14ac:dyDescent="0.2">
      <c r="A10806" s="642">
        <v>44342</v>
      </c>
      <c r="B10806" s="94" t="s">
        <v>6511</v>
      </c>
      <c r="C10806" s="94" t="s">
        <v>559</v>
      </c>
      <c r="D10806" s="802" t="s">
        <v>6960</v>
      </c>
      <c r="E10806" s="176"/>
      <c r="F10806" s="176">
        <v>500000</v>
      </c>
      <c r="G10806" s="176">
        <f t="shared" si="174"/>
        <v>500000</v>
      </c>
      <c r="H10806" s="261" t="s">
        <v>6912</v>
      </c>
    </row>
    <row r="10807" spans="1:8" ht="36" customHeight="1" x14ac:dyDescent="0.2">
      <c r="A10807" s="642">
        <v>44342</v>
      </c>
      <c r="B10807" s="94" t="s">
        <v>6511</v>
      </c>
      <c r="C10807" s="94" t="s">
        <v>559</v>
      </c>
      <c r="D10807" s="802" t="s">
        <v>6960</v>
      </c>
      <c r="E10807" s="176"/>
      <c r="F10807" s="176">
        <v>500000</v>
      </c>
      <c r="G10807" s="176">
        <f t="shared" si="174"/>
        <v>500000</v>
      </c>
      <c r="H10807" s="261" t="s">
        <v>6912</v>
      </c>
    </row>
    <row r="10808" spans="1:8" ht="36" x14ac:dyDescent="0.2">
      <c r="A10808" s="642">
        <v>44342</v>
      </c>
      <c r="B10808" s="94" t="s">
        <v>6511</v>
      </c>
      <c r="C10808" s="94" t="s">
        <v>559</v>
      </c>
      <c r="D10808" s="802" t="s">
        <v>6960</v>
      </c>
      <c r="E10808" s="176"/>
      <c r="F10808" s="176">
        <v>500000</v>
      </c>
      <c r="G10808" s="176">
        <f t="shared" si="174"/>
        <v>500000</v>
      </c>
      <c r="H10808" s="261" t="s">
        <v>6912</v>
      </c>
    </row>
    <row r="10809" spans="1:8" ht="36" x14ac:dyDescent="0.2">
      <c r="A10809" s="642">
        <v>44342</v>
      </c>
      <c r="B10809" s="94" t="s">
        <v>6511</v>
      </c>
      <c r="C10809" s="94" t="s">
        <v>559</v>
      </c>
      <c r="D10809" s="802" t="s">
        <v>6960</v>
      </c>
      <c r="E10809" s="176"/>
      <c r="F10809" s="176">
        <v>500000</v>
      </c>
      <c r="G10809" s="176">
        <f t="shared" si="174"/>
        <v>500000</v>
      </c>
      <c r="H10809" s="261" t="s">
        <v>6912</v>
      </c>
    </row>
    <row r="10810" spans="1:8" ht="36" x14ac:dyDescent="0.2">
      <c r="A10810" s="642">
        <v>44342</v>
      </c>
      <c r="B10810" s="94" t="s">
        <v>6511</v>
      </c>
      <c r="C10810" s="94" t="s">
        <v>559</v>
      </c>
      <c r="D10810" s="802" t="s">
        <v>6960</v>
      </c>
      <c r="E10810" s="176"/>
      <c r="F10810" s="176">
        <v>38585</v>
      </c>
      <c r="G10810" s="176">
        <f t="shared" si="174"/>
        <v>38585</v>
      </c>
      <c r="H10810" s="261" t="s">
        <v>6912</v>
      </c>
    </row>
    <row r="10811" spans="1:8" ht="15" x14ac:dyDescent="0.2">
      <c r="A10811" s="642">
        <v>44345</v>
      </c>
      <c r="B10811" s="91" t="s">
        <v>3945</v>
      </c>
      <c r="C10811" s="94" t="s">
        <v>559</v>
      </c>
      <c r="D10811" s="801" t="s">
        <v>6961</v>
      </c>
      <c r="E10811" s="176"/>
      <c r="F10811" s="92">
        <v>53505</v>
      </c>
      <c r="G10811" s="92">
        <f t="shared" si="174"/>
        <v>53505</v>
      </c>
      <c r="H10811" s="261" t="s">
        <v>6912</v>
      </c>
    </row>
    <row r="10812" spans="1:8" ht="36" x14ac:dyDescent="0.2">
      <c r="A10812" s="642">
        <v>44345</v>
      </c>
      <c r="B10812" s="94" t="s">
        <v>6103</v>
      </c>
      <c r="C10812" s="94" t="s">
        <v>559</v>
      </c>
      <c r="D10812" s="802" t="s">
        <v>7015</v>
      </c>
      <c r="E10812" s="176"/>
      <c r="F10812" s="176">
        <v>500000</v>
      </c>
      <c r="G10812" s="176">
        <f t="shared" si="174"/>
        <v>500000</v>
      </c>
      <c r="H10812" s="261" t="s">
        <v>6912</v>
      </c>
    </row>
    <row r="10813" spans="1:8" ht="24" x14ac:dyDescent="0.2">
      <c r="A10813" s="642">
        <v>44345</v>
      </c>
      <c r="B10813" s="94" t="s">
        <v>5052</v>
      </c>
      <c r="C10813" s="94" t="s">
        <v>559</v>
      </c>
      <c r="D10813" s="802" t="s">
        <v>6963</v>
      </c>
      <c r="E10813" s="176"/>
      <c r="F10813" s="176">
        <v>365090</v>
      </c>
      <c r="G10813" s="176">
        <f t="shared" si="174"/>
        <v>365090</v>
      </c>
      <c r="H10813" s="261" t="s">
        <v>6912</v>
      </c>
    </row>
    <row r="10814" spans="1:8" ht="24" x14ac:dyDescent="0.2">
      <c r="A10814" s="642">
        <v>44345</v>
      </c>
      <c r="B10814" s="94" t="s">
        <v>5052</v>
      </c>
      <c r="C10814" s="94" t="s">
        <v>559</v>
      </c>
      <c r="D10814" s="802" t="s">
        <v>6964</v>
      </c>
      <c r="E10814" s="176"/>
      <c r="F10814" s="176">
        <v>122996</v>
      </c>
      <c r="G10814" s="176">
        <f t="shared" si="174"/>
        <v>122996</v>
      </c>
      <c r="H10814" s="261" t="s">
        <v>6912</v>
      </c>
    </row>
    <row r="10815" spans="1:8" ht="15" x14ac:dyDescent="0.2">
      <c r="A10815" s="619">
        <v>44349</v>
      </c>
      <c r="B10815" s="63" t="s">
        <v>6511</v>
      </c>
      <c r="C10815" s="63" t="s">
        <v>3145</v>
      </c>
      <c r="D10815" s="183" t="s">
        <v>6733</v>
      </c>
      <c r="E10815" s="126">
        <v>1085</v>
      </c>
      <c r="F10815" s="126"/>
      <c r="G10815" s="126">
        <f t="shared" si="174"/>
        <v>-1085</v>
      </c>
      <c r="H10815" s="121" t="s">
        <v>6977</v>
      </c>
    </row>
    <row r="10816" spans="1:8" ht="15" x14ac:dyDescent="0.2">
      <c r="A10816" s="619">
        <v>44349</v>
      </c>
      <c r="B10816" s="63" t="s">
        <v>6758</v>
      </c>
      <c r="C10816" s="63" t="s">
        <v>5741</v>
      </c>
      <c r="D10816" s="183" t="s">
        <v>6978</v>
      </c>
      <c r="E10816" s="126">
        <v>3000</v>
      </c>
      <c r="F10816" s="126"/>
      <c r="G10816" s="126">
        <f t="shared" si="174"/>
        <v>-3000</v>
      </c>
      <c r="H10816" s="121" t="s">
        <v>6977</v>
      </c>
    </row>
    <row r="10817" spans="1:8" ht="15" x14ac:dyDescent="0.2">
      <c r="A10817" s="619">
        <v>44350</v>
      </c>
      <c r="B10817" s="63" t="s">
        <v>6408</v>
      </c>
      <c r="C10817" s="63" t="s">
        <v>3145</v>
      </c>
      <c r="D10817" s="183" t="s">
        <v>6979</v>
      </c>
      <c r="E10817" s="126">
        <v>17580</v>
      </c>
      <c r="F10817" s="126"/>
      <c r="G10817" s="126">
        <f t="shared" si="174"/>
        <v>-17580</v>
      </c>
      <c r="H10817" s="121" t="s">
        <v>6977</v>
      </c>
    </row>
    <row r="10818" spans="1:8" ht="15" x14ac:dyDescent="0.2">
      <c r="A10818" s="619">
        <v>44350</v>
      </c>
      <c r="B10818" s="63" t="s">
        <v>37</v>
      </c>
      <c r="C10818" s="63" t="s">
        <v>6980</v>
      </c>
      <c r="D10818" s="183" t="s">
        <v>6981</v>
      </c>
      <c r="E10818" s="126">
        <v>2000</v>
      </c>
      <c r="F10818" s="126"/>
      <c r="G10818" s="126">
        <f t="shared" si="174"/>
        <v>-2000</v>
      </c>
      <c r="H10818" s="121" t="s">
        <v>6977</v>
      </c>
    </row>
    <row r="10819" spans="1:8" ht="15" x14ac:dyDescent="0.2">
      <c r="A10819" s="619">
        <v>44350</v>
      </c>
      <c r="B10819" s="63" t="s">
        <v>6516</v>
      </c>
      <c r="C10819" s="63" t="s">
        <v>392</v>
      </c>
      <c r="D10819" s="183"/>
      <c r="E10819" s="126">
        <v>1120</v>
      </c>
      <c r="F10819" s="126"/>
      <c r="G10819" s="126">
        <f t="shared" si="174"/>
        <v>-1120</v>
      </c>
      <c r="H10819" s="121" t="s">
        <v>6977</v>
      </c>
    </row>
    <row r="10820" spans="1:8" ht="15" x14ac:dyDescent="0.2">
      <c r="A10820" s="619">
        <v>44351</v>
      </c>
      <c r="B10820" s="63" t="s">
        <v>1400</v>
      </c>
      <c r="C10820" s="63" t="s">
        <v>6624</v>
      </c>
      <c r="D10820" s="183" t="s">
        <v>6982</v>
      </c>
      <c r="E10820" s="126">
        <v>25000</v>
      </c>
      <c r="F10820" s="126"/>
      <c r="G10820" s="126">
        <f t="shared" si="174"/>
        <v>-25000</v>
      </c>
      <c r="H10820" s="121" t="s">
        <v>6977</v>
      </c>
    </row>
    <row r="10821" spans="1:8" ht="15" x14ac:dyDescent="0.2">
      <c r="A10821" s="619">
        <v>44352</v>
      </c>
      <c r="B10821" s="63" t="s">
        <v>6103</v>
      </c>
      <c r="C10821" s="551" t="s">
        <v>6763</v>
      </c>
      <c r="D10821" s="740" t="s">
        <v>1157</v>
      </c>
      <c r="E10821" s="552">
        <v>4850</v>
      </c>
      <c r="F10821" s="126"/>
      <c r="G10821" s="126">
        <f t="shared" ref="G10821:G10884" si="175">F10821-E10821</f>
        <v>-4850</v>
      </c>
      <c r="H10821" s="121" t="s">
        <v>6977</v>
      </c>
    </row>
    <row r="10822" spans="1:8" ht="15" x14ac:dyDescent="0.2">
      <c r="A10822" s="619">
        <v>44352</v>
      </c>
      <c r="B10822" s="63" t="s">
        <v>6511</v>
      </c>
      <c r="C10822" s="551" t="s">
        <v>6763</v>
      </c>
      <c r="D10822" s="740" t="s">
        <v>1157</v>
      </c>
      <c r="E10822" s="552">
        <v>29940</v>
      </c>
      <c r="F10822" s="126"/>
      <c r="G10822" s="126">
        <f t="shared" si="175"/>
        <v>-29940</v>
      </c>
      <c r="H10822" s="121" t="s">
        <v>6977</v>
      </c>
    </row>
    <row r="10823" spans="1:8" ht="15" x14ac:dyDescent="0.2">
      <c r="A10823" s="619">
        <v>44352</v>
      </c>
      <c r="B10823" s="63" t="s">
        <v>2933</v>
      </c>
      <c r="C10823" s="646" t="s">
        <v>6983</v>
      </c>
      <c r="D10823" s="902" t="s">
        <v>6984</v>
      </c>
      <c r="E10823" s="647">
        <v>110750</v>
      </c>
      <c r="F10823" s="126"/>
      <c r="G10823" s="126">
        <f t="shared" si="175"/>
        <v>-110750</v>
      </c>
      <c r="H10823" s="121" t="s">
        <v>6977</v>
      </c>
    </row>
    <row r="10824" spans="1:8" ht="15" x14ac:dyDescent="0.2">
      <c r="A10824" s="619">
        <v>44352</v>
      </c>
      <c r="B10824" s="63" t="s">
        <v>6950</v>
      </c>
      <c r="C10824" s="646" t="s">
        <v>6983</v>
      </c>
      <c r="D10824" s="902" t="s">
        <v>6985</v>
      </c>
      <c r="E10824" s="647">
        <v>4600</v>
      </c>
      <c r="F10824" s="126"/>
      <c r="G10824" s="126">
        <f t="shared" si="175"/>
        <v>-4600</v>
      </c>
      <c r="H10824" s="121" t="s">
        <v>6977</v>
      </c>
    </row>
    <row r="10825" spans="1:8" ht="15" x14ac:dyDescent="0.2">
      <c r="A10825" s="619">
        <v>44352</v>
      </c>
      <c r="B10825" s="63" t="s">
        <v>6511</v>
      </c>
      <c r="C10825" s="63" t="s">
        <v>1063</v>
      </c>
      <c r="D10825" s="183" t="s">
        <v>6986</v>
      </c>
      <c r="E10825" s="126">
        <v>17655</v>
      </c>
      <c r="F10825" s="126"/>
      <c r="G10825" s="126">
        <f t="shared" si="175"/>
        <v>-17655</v>
      </c>
      <c r="H10825" s="121" t="s">
        <v>6977</v>
      </c>
    </row>
    <row r="10826" spans="1:8" ht="15" x14ac:dyDescent="0.2">
      <c r="A10826" s="619">
        <v>44356</v>
      </c>
      <c r="B10826" s="63" t="s">
        <v>6953</v>
      </c>
      <c r="C10826" s="63" t="s">
        <v>5593</v>
      </c>
      <c r="D10826" s="183" t="s">
        <v>6990</v>
      </c>
      <c r="E10826" s="126">
        <v>200000</v>
      </c>
      <c r="F10826" s="126"/>
      <c r="G10826" s="126">
        <f t="shared" si="175"/>
        <v>-200000</v>
      </c>
      <c r="H10826" s="121" t="s">
        <v>6977</v>
      </c>
    </row>
    <row r="10827" spans="1:8" ht="15" x14ac:dyDescent="0.2">
      <c r="A10827" s="619">
        <v>44356</v>
      </c>
      <c r="B10827" s="63" t="s">
        <v>2933</v>
      </c>
      <c r="C10827" s="63" t="s">
        <v>392</v>
      </c>
      <c r="D10827" s="183" t="s">
        <v>6994</v>
      </c>
      <c r="E10827" s="126">
        <v>500</v>
      </c>
      <c r="F10827" s="126"/>
      <c r="G10827" s="126">
        <f t="shared" si="175"/>
        <v>-500</v>
      </c>
      <c r="H10827" s="121" t="s">
        <v>6977</v>
      </c>
    </row>
    <row r="10828" spans="1:8" ht="15" x14ac:dyDescent="0.2">
      <c r="A10828" s="619">
        <v>44356</v>
      </c>
      <c r="B10828" s="63" t="s">
        <v>6408</v>
      </c>
      <c r="C10828" s="63" t="s">
        <v>3145</v>
      </c>
      <c r="D10828" s="183" t="s">
        <v>6995</v>
      </c>
      <c r="E10828" s="126">
        <v>6320</v>
      </c>
      <c r="F10828" s="126"/>
      <c r="G10828" s="126">
        <f t="shared" si="175"/>
        <v>-6320</v>
      </c>
      <c r="H10828" s="121" t="s">
        <v>6977</v>
      </c>
    </row>
    <row r="10829" spans="1:8" ht="15" x14ac:dyDescent="0.2">
      <c r="A10829" s="619">
        <v>44356</v>
      </c>
      <c r="B10829" s="63" t="s">
        <v>1400</v>
      </c>
      <c r="C10829" s="63" t="s">
        <v>3145</v>
      </c>
      <c r="D10829" s="183" t="s">
        <v>4450</v>
      </c>
      <c r="E10829" s="126">
        <v>62305</v>
      </c>
      <c r="F10829" s="126"/>
      <c r="G10829" s="126">
        <f t="shared" si="175"/>
        <v>-62305</v>
      </c>
      <c r="H10829" s="121" t="s">
        <v>6977</v>
      </c>
    </row>
    <row r="10830" spans="1:8" ht="15" x14ac:dyDescent="0.2">
      <c r="A10830" s="619">
        <v>44356</v>
      </c>
      <c r="B10830" s="63" t="s">
        <v>6511</v>
      </c>
      <c r="C10830" s="63" t="s">
        <v>3145</v>
      </c>
      <c r="D10830" s="183" t="s">
        <v>6996</v>
      </c>
      <c r="E10830" s="126">
        <v>1200</v>
      </c>
      <c r="F10830" s="126"/>
      <c r="G10830" s="126">
        <f t="shared" si="175"/>
        <v>-1200</v>
      </c>
      <c r="H10830" s="121" t="s">
        <v>6977</v>
      </c>
    </row>
    <row r="10831" spans="1:8" ht="15" x14ac:dyDescent="0.2">
      <c r="A10831" s="619">
        <v>44356</v>
      </c>
      <c r="B10831" s="63" t="s">
        <v>16</v>
      </c>
      <c r="C10831" s="63" t="s">
        <v>1495</v>
      </c>
      <c r="D10831" s="183" t="s">
        <v>370</v>
      </c>
      <c r="E10831" s="126">
        <v>900</v>
      </c>
      <c r="F10831" s="126"/>
      <c r="G10831" s="126">
        <f t="shared" si="175"/>
        <v>-900</v>
      </c>
      <c r="H10831" s="121" t="s">
        <v>6977</v>
      </c>
    </row>
    <row r="10832" spans="1:8" ht="15" x14ac:dyDescent="0.2">
      <c r="A10832" s="619">
        <v>44356</v>
      </c>
      <c r="B10832" s="63" t="s">
        <v>16</v>
      </c>
      <c r="C10832" s="63" t="s">
        <v>392</v>
      </c>
      <c r="D10832" s="183" t="s">
        <v>570</v>
      </c>
      <c r="E10832" s="126">
        <v>3000</v>
      </c>
      <c r="F10832" s="126"/>
      <c r="G10832" s="126">
        <f t="shared" si="175"/>
        <v>-3000</v>
      </c>
      <c r="H10832" s="121" t="s">
        <v>6977</v>
      </c>
    </row>
    <row r="10833" spans="1:8" ht="15" x14ac:dyDescent="0.2">
      <c r="A10833" s="619">
        <v>44356</v>
      </c>
      <c r="B10833" s="63" t="s">
        <v>16</v>
      </c>
      <c r="C10833" s="63" t="s">
        <v>3364</v>
      </c>
      <c r="D10833" s="183"/>
      <c r="E10833" s="126">
        <v>4162</v>
      </c>
      <c r="F10833" s="126"/>
      <c r="G10833" s="126">
        <f t="shared" si="175"/>
        <v>-4162</v>
      </c>
      <c r="H10833" s="121" t="s">
        <v>6977</v>
      </c>
    </row>
    <row r="10834" spans="1:8" ht="15" x14ac:dyDescent="0.2">
      <c r="A10834" s="619">
        <v>44357</v>
      </c>
      <c r="B10834" s="41" t="s">
        <v>6953</v>
      </c>
      <c r="C10834" s="41" t="s">
        <v>6653</v>
      </c>
      <c r="D10834" s="108" t="s">
        <v>6997</v>
      </c>
      <c r="E10834" s="58">
        <v>40000</v>
      </c>
      <c r="F10834" s="58"/>
      <c r="G10834" s="58">
        <f t="shared" si="175"/>
        <v>-40000</v>
      </c>
      <c r="H10834" s="121" t="s">
        <v>6977</v>
      </c>
    </row>
    <row r="10835" spans="1:8" ht="15" x14ac:dyDescent="0.2">
      <c r="A10835" s="619">
        <v>44357</v>
      </c>
      <c r="B10835" s="41" t="s">
        <v>25</v>
      </c>
      <c r="C10835" s="41" t="s">
        <v>392</v>
      </c>
      <c r="D10835" s="108" t="s">
        <v>6849</v>
      </c>
      <c r="E10835" s="58">
        <v>20000</v>
      </c>
      <c r="F10835" s="58"/>
      <c r="G10835" s="58">
        <f t="shared" si="175"/>
        <v>-20000</v>
      </c>
      <c r="H10835" s="121" t="s">
        <v>6977</v>
      </c>
    </row>
    <row r="10836" spans="1:8" ht="15" x14ac:dyDescent="0.2">
      <c r="A10836" s="619">
        <v>44357</v>
      </c>
      <c r="B10836" s="41" t="s">
        <v>25</v>
      </c>
      <c r="C10836" s="41" t="s">
        <v>2428</v>
      </c>
      <c r="D10836" s="108" t="s">
        <v>6998</v>
      </c>
      <c r="E10836" s="58">
        <v>40000</v>
      </c>
      <c r="F10836" s="58"/>
      <c r="G10836" s="58">
        <f t="shared" si="175"/>
        <v>-40000</v>
      </c>
      <c r="H10836" s="121" t="s">
        <v>6977</v>
      </c>
    </row>
    <row r="10837" spans="1:8" ht="15" x14ac:dyDescent="0.2">
      <c r="A10837" s="619">
        <v>44357</v>
      </c>
      <c r="B10837" s="41" t="s">
        <v>1400</v>
      </c>
      <c r="C10837" s="41" t="s">
        <v>6445</v>
      </c>
      <c r="D10837" s="108" t="s">
        <v>6999</v>
      </c>
      <c r="E10837" s="58">
        <v>1200</v>
      </c>
      <c r="F10837" s="58"/>
      <c r="G10837" s="58">
        <f t="shared" si="175"/>
        <v>-1200</v>
      </c>
      <c r="H10837" s="121" t="s">
        <v>6977</v>
      </c>
    </row>
    <row r="10838" spans="1:8" ht="15" x14ac:dyDescent="0.2">
      <c r="A10838" s="619">
        <v>44357</v>
      </c>
      <c r="B10838" s="41" t="s">
        <v>1400</v>
      </c>
      <c r="C10838" s="41" t="s">
        <v>7000</v>
      </c>
      <c r="D10838" s="108" t="s">
        <v>7001</v>
      </c>
      <c r="E10838" s="58">
        <v>10000</v>
      </c>
      <c r="F10838" s="58"/>
      <c r="G10838" s="58">
        <f t="shared" si="175"/>
        <v>-10000</v>
      </c>
      <c r="H10838" s="121" t="s">
        <v>6977</v>
      </c>
    </row>
    <row r="10839" spans="1:8" ht="15" x14ac:dyDescent="0.2">
      <c r="A10839" s="619">
        <v>44358</v>
      </c>
      <c r="B10839" s="41" t="s">
        <v>6953</v>
      </c>
      <c r="C10839" s="41" t="s">
        <v>2555</v>
      </c>
      <c r="D10839" s="108" t="s">
        <v>7002</v>
      </c>
      <c r="E10839" s="58">
        <v>75000</v>
      </c>
      <c r="F10839" s="58"/>
      <c r="G10839" s="58">
        <f t="shared" si="175"/>
        <v>-75000</v>
      </c>
      <c r="H10839" s="121" t="s">
        <v>6977</v>
      </c>
    </row>
    <row r="10840" spans="1:8" ht="15" x14ac:dyDescent="0.2">
      <c r="A10840" s="619">
        <v>44358</v>
      </c>
      <c r="B10840" s="41" t="s">
        <v>1400</v>
      </c>
      <c r="C10840" s="41" t="s">
        <v>6378</v>
      </c>
      <c r="D10840" s="108" t="s">
        <v>7004</v>
      </c>
      <c r="E10840" s="58">
        <v>50000</v>
      </c>
      <c r="F10840" s="58"/>
      <c r="G10840" s="58">
        <f t="shared" si="175"/>
        <v>-50000</v>
      </c>
      <c r="H10840" s="121" t="s">
        <v>6977</v>
      </c>
    </row>
    <row r="10841" spans="1:8" ht="15" x14ac:dyDescent="0.2">
      <c r="A10841" s="619">
        <v>44358</v>
      </c>
      <c r="B10841" s="41" t="s">
        <v>1400</v>
      </c>
      <c r="C10841" s="41" t="s">
        <v>7005</v>
      </c>
      <c r="D10841" s="108" t="s">
        <v>7006</v>
      </c>
      <c r="E10841" s="58">
        <v>15000</v>
      </c>
      <c r="F10841" s="58"/>
      <c r="G10841" s="58">
        <f t="shared" si="175"/>
        <v>-15000</v>
      </c>
      <c r="H10841" s="121" t="s">
        <v>6977</v>
      </c>
    </row>
    <row r="10842" spans="1:8" ht="15" x14ac:dyDescent="0.2">
      <c r="A10842" s="619">
        <v>44359</v>
      </c>
      <c r="B10842" s="41" t="s">
        <v>82</v>
      </c>
      <c r="C10842" s="41" t="s">
        <v>392</v>
      </c>
      <c r="D10842" s="108" t="s">
        <v>6620</v>
      </c>
      <c r="E10842" s="58">
        <v>1460</v>
      </c>
      <c r="F10842" s="58"/>
      <c r="G10842" s="58">
        <f t="shared" si="175"/>
        <v>-1460</v>
      </c>
      <c r="H10842" s="121" t="s">
        <v>6977</v>
      </c>
    </row>
    <row r="10843" spans="1:8" ht="15" x14ac:dyDescent="0.2">
      <c r="A10843" s="619">
        <v>44359</v>
      </c>
      <c r="B10843" s="41" t="s">
        <v>5811</v>
      </c>
      <c r="C10843" s="41" t="s">
        <v>3145</v>
      </c>
      <c r="D10843" s="108" t="s">
        <v>7007</v>
      </c>
      <c r="E10843" s="58">
        <v>6360</v>
      </c>
      <c r="F10843" s="58"/>
      <c r="G10843" s="58">
        <f t="shared" si="175"/>
        <v>-6360</v>
      </c>
      <c r="H10843" s="121" t="s">
        <v>6977</v>
      </c>
    </row>
    <row r="10844" spans="1:8" ht="15" x14ac:dyDescent="0.2">
      <c r="A10844" s="619">
        <v>44359</v>
      </c>
      <c r="B10844" s="41" t="s">
        <v>6953</v>
      </c>
      <c r="C10844" s="41" t="s">
        <v>3145</v>
      </c>
      <c r="D10844" s="108" t="s">
        <v>7008</v>
      </c>
      <c r="E10844" s="58">
        <v>34300</v>
      </c>
      <c r="F10844" s="58"/>
      <c r="G10844" s="58">
        <f t="shared" si="175"/>
        <v>-34300</v>
      </c>
      <c r="H10844" s="121" t="s">
        <v>6977</v>
      </c>
    </row>
    <row r="10845" spans="1:8" ht="15" x14ac:dyDescent="0.2">
      <c r="A10845" s="619">
        <v>44359</v>
      </c>
      <c r="B10845" s="41" t="s">
        <v>6511</v>
      </c>
      <c r="C10845" s="41" t="s">
        <v>3145</v>
      </c>
      <c r="D10845" s="108" t="s">
        <v>4535</v>
      </c>
      <c r="E10845" s="58">
        <v>4280</v>
      </c>
      <c r="F10845" s="58"/>
      <c r="G10845" s="58">
        <f t="shared" si="175"/>
        <v>-4280</v>
      </c>
      <c r="H10845" s="121" t="s">
        <v>6977</v>
      </c>
    </row>
    <row r="10846" spans="1:8" ht="15" x14ac:dyDescent="0.2">
      <c r="A10846" s="619">
        <v>44359</v>
      </c>
      <c r="B10846" s="41" t="s">
        <v>6511</v>
      </c>
      <c r="C10846" s="41" t="s">
        <v>3145</v>
      </c>
      <c r="D10846" s="108" t="s">
        <v>7009</v>
      </c>
      <c r="E10846" s="58">
        <v>17830</v>
      </c>
      <c r="F10846" s="58"/>
      <c r="G10846" s="58">
        <f t="shared" si="175"/>
        <v>-17830</v>
      </c>
      <c r="H10846" s="121" t="s">
        <v>6977</v>
      </c>
    </row>
    <row r="10847" spans="1:8" ht="15" x14ac:dyDescent="0.2">
      <c r="A10847" s="619">
        <v>44359</v>
      </c>
      <c r="B10847" s="41" t="s">
        <v>6511</v>
      </c>
      <c r="C10847" s="41" t="s">
        <v>3145</v>
      </c>
      <c r="D10847" s="108" t="s">
        <v>7010</v>
      </c>
      <c r="E10847" s="58">
        <v>3250</v>
      </c>
      <c r="F10847" s="58"/>
      <c r="G10847" s="58">
        <f t="shared" si="175"/>
        <v>-3250</v>
      </c>
      <c r="H10847" s="121" t="s">
        <v>6977</v>
      </c>
    </row>
    <row r="10848" spans="1:8" ht="15" x14ac:dyDescent="0.2">
      <c r="A10848" s="619">
        <v>44359</v>
      </c>
      <c r="B10848" s="41" t="s">
        <v>25</v>
      </c>
      <c r="C10848" s="41" t="s">
        <v>4065</v>
      </c>
      <c r="D10848" s="108" t="s">
        <v>7011</v>
      </c>
      <c r="E10848" s="58">
        <v>2600</v>
      </c>
      <c r="F10848" s="58"/>
      <c r="G10848" s="58">
        <f t="shared" si="175"/>
        <v>-2600</v>
      </c>
      <c r="H10848" s="121" t="s">
        <v>6977</v>
      </c>
    </row>
    <row r="10849" spans="1:8" ht="15" x14ac:dyDescent="0.2">
      <c r="A10849" s="619">
        <v>44359</v>
      </c>
      <c r="B10849" s="41" t="s">
        <v>6511</v>
      </c>
      <c r="C10849" s="41" t="s">
        <v>3145</v>
      </c>
      <c r="D10849" s="108" t="s">
        <v>7012</v>
      </c>
      <c r="E10849" s="58">
        <v>4500</v>
      </c>
      <c r="F10849" s="58"/>
      <c r="G10849" s="58">
        <f t="shared" si="175"/>
        <v>-4500</v>
      </c>
      <c r="H10849" s="121" t="s">
        <v>6977</v>
      </c>
    </row>
    <row r="10850" spans="1:8" ht="15" x14ac:dyDescent="0.2">
      <c r="A10850" s="619">
        <v>44359</v>
      </c>
      <c r="B10850" s="41" t="s">
        <v>6953</v>
      </c>
      <c r="C10850" s="41" t="s">
        <v>5741</v>
      </c>
      <c r="D10850" s="108" t="s">
        <v>6702</v>
      </c>
      <c r="E10850" s="58">
        <v>1000</v>
      </c>
      <c r="F10850" s="58"/>
      <c r="G10850" s="58">
        <f t="shared" si="175"/>
        <v>-1000</v>
      </c>
      <c r="H10850" s="121" t="s">
        <v>6977</v>
      </c>
    </row>
    <row r="10851" spans="1:8" ht="15" x14ac:dyDescent="0.2">
      <c r="A10851" s="619">
        <v>44361</v>
      </c>
      <c r="B10851" s="41" t="s">
        <v>6511</v>
      </c>
      <c r="C10851" s="41" t="s">
        <v>2264</v>
      </c>
      <c r="D10851" s="108" t="s">
        <v>7013</v>
      </c>
      <c r="E10851" s="58">
        <v>200000</v>
      </c>
      <c r="F10851" s="58"/>
      <c r="G10851" s="58">
        <f t="shared" si="175"/>
        <v>-200000</v>
      </c>
      <c r="H10851" s="121" t="s">
        <v>6977</v>
      </c>
    </row>
    <row r="10852" spans="1:8" ht="15" x14ac:dyDescent="0.2">
      <c r="A10852" s="619">
        <v>44361</v>
      </c>
      <c r="B10852" s="41" t="s">
        <v>3946</v>
      </c>
      <c r="C10852" s="41" t="s">
        <v>3145</v>
      </c>
      <c r="D10852" s="108" t="s">
        <v>7033</v>
      </c>
      <c r="E10852" s="58">
        <v>20000</v>
      </c>
      <c r="F10852" s="58"/>
      <c r="G10852" s="58">
        <f t="shared" si="175"/>
        <v>-20000</v>
      </c>
      <c r="H10852" s="121" t="s">
        <v>6977</v>
      </c>
    </row>
    <row r="10853" spans="1:8" ht="15" x14ac:dyDescent="0.2">
      <c r="A10853" s="619">
        <v>44361</v>
      </c>
      <c r="B10853" s="41" t="s">
        <v>1400</v>
      </c>
      <c r="C10853" s="582" t="s">
        <v>3145</v>
      </c>
      <c r="D10853" s="893" t="s">
        <v>7034</v>
      </c>
      <c r="E10853" s="583">
        <v>22000</v>
      </c>
      <c r="F10853" s="58"/>
      <c r="G10853" s="58">
        <f t="shared" si="175"/>
        <v>-22000</v>
      </c>
      <c r="H10853" s="121" t="s">
        <v>6977</v>
      </c>
    </row>
    <row r="10854" spans="1:8" ht="15" x14ac:dyDescent="0.2">
      <c r="A10854" s="619">
        <v>44361</v>
      </c>
      <c r="B10854" s="41" t="s">
        <v>3946</v>
      </c>
      <c r="C10854" s="582" t="s">
        <v>3145</v>
      </c>
      <c r="D10854" s="893" t="s">
        <v>7035</v>
      </c>
      <c r="E10854" s="583">
        <v>11000</v>
      </c>
      <c r="F10854" s="58"/>
      <c r="G10854" s="58">
        <f t="shared" si="175"/>
        <v>-11000</v>
      </c>
      <c r="H10854" s="121" t="s">
        <v>6977</v>
      </c>
    </row>
    <row r="10855" spans="1:8" ht="15" x14ac:dyDescent="0.2">
      <c r="A10855" s="619">
        <v>44362</v>
      </c>
      <c r="B10855" s="41" t="s">
        <v>6511</v>
      </c>
      <c r="C10855" s="41" t="s">
        <v>3145</v>
      </c>
      <c r="D10855" s="108" t="s">
        <v>7036</v>
      </c>
      <c r="E10855" s="58">
        <v>3425</v>
      </c>
      <c r="F10855" s="58"/>
      <c r="G10855" s="58">
        <f t="shared" si="175"/>
        <v>-3425</v>
      </c>
      <c r="H10855" s="121" t="s">
        <v>6977</v>
      </c>
    </row>
    <row r="10856" spans="1:8" ht="15" x14ac:dyDescent="0.2">
      <c r="A10856" s="619">
        <v>44362</v>
      </c>
      <c r="B10856" s="41" t="s">
        <v>1400</v>
      </c>
      <c r="C10856" s="41" t="s">
        <v>7037</v>
      </c>
      <c r="D10856" s="108" t="s">
        <v>7038</v>
      </c>
      <c r="E10856" s="58">
        <v>25000</v>
      </c>
      <c r="F10856" s="58"/>
      <c r="G10856" s="58">
        <f t="shared" si="175"/>
        <v>-25000</v>
      </c>
      <c r="H10856" s="121" t="s">
        <v>6977</v>
      </c>
    </row>
    <row r="10857" spans="1:8" ht="15" x14ac:dyDescent="0.2">
      <c r="A10857" s="619">
        <v>44362</v>
      </c>
      <c r="B10857" s="41" t="s">
        <v>6511</v>
      </c>
      <c r="C10857" s="41" t="s">
        <v>3145</v>
      </c>
      <c r="D10857" s="108" t="s">
        <v>7039</v>
      </c>
      <c r="E10857" s="58">
        <v>50000</v>
      </c>
      <c r="F10857" s="58"/>
      <c r="G10857" s="58">
        <f t="shared" si="175"/>
        <v>-50000</v>
      </c>
      <c r="H10857" s="121" t="s">
        <v>6977</v>
      </c>
    </row>
    <row r="10858" spans="1:8" ht="15" x14ac:dyDescent="0.2">
      <c r="A10858" s="619">
        <v>44362</v>
      </c>
      <c r="B10858" s="41" t="s">
        <v>3946</v>
      </c>
      <c r="C10858" s="582" t="s">
        <v>3003</v>
      </c>
      <c r="D10858" s="893" t="s">
        <v>7040</v>
      </c>
      <c r="E10858" s="583">
        <v>7701</v>
      </c>
      <c r="F10858" s="58"/>
      <c r="G10858" s="58">
        <f t="shared" si="175"/>
        <v>-7701</v>
      </c>
      <c r="H10858" s="121" t="s">
        <v>6977</v>
      </c>
    </row>
    <row r="10859" spans="1:8" ht="15" x14ac:dyDescent="0.2">
      <c r="A10859" s="619">
        <v>44362</v>
      </c>
      <c r="B10859" s="41" t="s">
        <v>3945</v>
      </c>
      <c r="C10859" s="582" t="s">
        <v>3003</v>
      </c>
      <c r="D10859" s="893" t="s">
        <v>1157</v>
      </c>
      <c r="E10859" s="583">
        <v>3640</v>
      </c>
      <c r="F10859" s="58"/>
      <c r="G10859" s="58">
        <f t="shared" si="175"/>
        <v>-3640</v>
      </c>
      <c r="H10859" s="121" t="s">
        <v>6977</v>
      </c>
    </row>
    <row r="10860" spans="1:8" ht="15" x14ac:dyDescent="0.2">
      <c r="A10860" s="619">
        <v>44362</v>
      </c>
      <c r="B10860" s="41" t="s">
        <v>37</v>
      </c>
      <c r="C10860" s="582" t="s">
        <v>3003</v>
      </c>
      <c r="D10860" s="893" t="s">
        <v>1157</v>
      </c>
      <c r="E10860" s="583">
        <v>12960</v>
      </c>
      <c r="F10860" s="58"/>
      <c r="G10860" s="58">
        <f t="shared" si="175"/>
        <v>-12960</v>
      </c>
      <c r="H10860" s="121" t="s">
        <v>6977</v>
      </c>
    </row>
    <row r="10861" spans="1:8" ht="15" x14ac:dyDescent="0.2">
      <c r="A10861" s="619">
        <v>44362</v>
      </c>
      <c r="B10861" s="41" t="s">
        <v>6511</v>
      </c>
      <c r="C10861" s="41" t="s">
        <v>392</v>
      </c>
      <c r="D10861" s="108" t="s">
        <v>7041</v>
      </c>
      <c r="E10861" s="58">
        <v>200</v>
      </c>
      <c r="F10861" s="58"/>
      <c r="G10861" s="58">
        <f t="shared" si="175"/>
        <v>-200</v>
      </c>
      <c r="H10861" s="121" t="s">
        <v>6977</v>
      </c>
    </row>
    <row r="10862" spans="1:8" ht="15" x14ac:dyDescent="0.2">
      <c r="A10862" s="619">
        <v>44362</v>
      </c>
      <c r="B10862" s="41" t="s">
        <v>6511</v>
      </c>
      <c r="C10862" s="41" t="s">
        <v>392</v>
      </c>
      <c r="D10862" s="108" t="s">
        <v>7042</v>
      </c>
      <c r="E10862" s="58">
        <v>1750</v>
      </c>
      <c r="F10862" s="58"/>
      <c r="G10862" s="58">
        <f t="shared" si="175"/>
        <v>-1750</v>
      </c>
      <c r="H10862" s="121" t="s">
        <v>6977</v>
      </c>
    </row>
    <row r="10863" spans="1:8" ht="15" x14ac:dyDescent="0.2">
      <c r="A10863" s="619">
        <v>44362</v>
      </c>
      <c r="B10863" s="41" t="s">
        <v>6511</v>
      </c>
      <c r="C10863" s="41" t="s">
        <v>3145</v>
      </c>
      <c r="D10863" s="108" t="s">
        <v>7043</v>
      </c>
      <c r="E10863" s="58">
        <v>17930</v>
      </c>
      <c r="F10863" s="58"/>
      <c r="G10863" s="58">
        <f t="shared" si="175"/>
        <v>-17930</v>
      </c>
      <c r="H10863" s="121" t="s">
        <v>6977</v>
      </c>
    </row>
    <row r="10864" spans="1:8" ht="15" x14ac:dyDescent="0.2">
      <c r="A10864" s="619">
        <v>44362</v>
      </c>
      <c r="B10864" s="41" t="s">
        <v>6511</v>
      </c>
      <c r="C10864" s="41" t="s">
        <v>3145</v>
      </c>
      <c r="D10864" s="108" t="s">
        <v>7044</v>
      </c>
      <c r="E10864" s="58">
        <v>10914</v>
      </c>
      <c r="F10864" s="58"/>
      <c r="G10864" s="58">
        <f t="shared" si="175"/>
        <v>-10914</v>
      </c>
      <c r="H10864" s="121" t="s">
        <v>6977</v>
      </c>
    </row>
    <row r="10865" spans="1:8" ht="15" x14ac:dyDescent="0.2">
      <c r="A10865" s="619">
        <v>44362</v>
      </c>
      <c r="B10865" s="41" t="s">
        <v>6408</v>
      </c>
      <c r="C10865" s="41" t="s">
        <v>3145</v>
      </c>
      <c r="D10865" s="108" t="s">
        <v>7044</v>
      </c>
      <c r="E10865" s="58">
        <v>62430</v>
      </c>
      <c r="F10865" s="58"/>
      <c r="G10865" s="58">
        <f t="shared" si="175"/>
        <v>-62430</v>
      </c>
      <c r="H10865" s="121" t="s">
        <v>6977</v>
      </c>
    </row>
    <row r="10866" spans="1:8" ht="15" x14ac:dyDescent="0.2">
      <c r="A10866" s="619">
        <v>44362</v>
      </c>
      <c r="B10866" s="41" t="s">
        <v>6516</v>
      </c>
      <c r="C10866" s="41" t="s">
        <v>392</v>
      </c>
      <c r="D10866" s="108" t="s">
        <v>7045</v>
      </c>
      <c r="E10866" s="58">
        <v>500</v>
      </c>
      <c r="F10866" s="58"/>
      <c r="G10866" s="58">
        <f t="shared" si="175"/>
        <v>-500</v>
      </c>
      <c r="H10866" s="121" t="s">
        <v>6977</v>
      </c>
    </row>
    <row r="10867" spans="1:8" ht="15" x14ac:dyDescent="0.2">
      <c r="A10867" s="619">
        <v>44362</v>
      </c>
      <c r="B10867" s="41" t="s">
        <v>25</v>
      </c>
      <c r="C10867" s="41" t="s">
        <v>4065</v>
      </c>
      <c r="D10867" s="108" t="s">
        <v>2108</v>
      </c>
      <c r="E10867" s="58">
        <v>2000</v>
      </c>
      <c r="F10867" s="58"/>
      <c r="G10867" s="58">
        <f t="shared" si="175"/>
        <v>-2000</v>
      </c>
      <c r="H10867" s="121" t="s">
        <v>6977</v>
      </c>
    </row>
    <row r="10868" spans="1:8" ht="15" x14ac:dyDescent="0.2">
      <c r="A10868" s="619">
        <v>44363</v>
      </c>
      <c r="B10868" s="41" t="s">
        <v>6511</v>
      </c>
      <c r="C10868" s="41" t="s">
        <v>1355</v>
      </c>
      <c r="D10868" s="108" t="s">
        <v>7046</v>
      </c>
      <c r="E10868" s="58">
        <v>55500</v>
      </c>
      <c r="F10868" s="58"/>
      <c r="G10868" s="58">
        <f t="shared" si="175"/>
        <v>-55500</v>
      </c>
      <c r="H10868" s="121" t="s">
        <v>6977</v>
      </c>
    </row>
    <row r="10869" spans="1:8" ht="15" x14ac:dyDescent="0.2">
      <c r="A10869" s="619">
        <v>44363</v>
      </c>
      <c r="B10869" s="41" t="s">
        <v>1400</v>
      </c>
      <c r="C10869" s="41" t="s">
        <v>3145</v>
      </c>
      <c r="D10869" s="108" t="s">
        <v>7047</v>
      </c>
      <c r="E10869" s="58">
        <v>25950</v>
      </c>
      <c r="F10869" s="58"/>
      <c r="G10869" s="58">
        <f t="shared" si="175"/>
        <v>-25950</v>
      </c>
      <c r="H10869" s="121" t="s">
        <v>6977</v>
      </c>
    </row>
    <row r="10870" spans="1:8" ht="15" x14ac:dyDescent="0.2">
      <c r="A10870" s="619">
        <v>44363</v>
      </c>
      <c r="B10870" s="41" t="s">
        <v>1400</v>
      </c>
      <c r="C10870" s="41" t="s">
        <v>2503</v>
      </c>
      <c r="D10870" s="108" t="s">
        <v>7048</v>
      </c>
      <c r="E10870" s="58">
        <v>1600</v>
      </c>
      <c r="F10870" s="58"/>
      <c r="G10870" s="58">
        <f t="shared" si="175"/>
        <v>-1600</v>
      </c>
      <c r="H10870" s="121" t="s">
        <v>6977</v>
      </c>
    </row>
    <row r="10871" spans="1:8" ht="15" x14ac:dyDescent="0.2">
      <c r="A10871" s="619">
        <v>44364</v>
      </c>
      <c r="B10871" s="41" t="s">
        <v>6408</v>
      </c>
      <c r="C10871" s="41" t="s">
        <v>3145</v>
      </c>
      <c r="D10871" s="108" t="s">
        <v>4535</v>
      </c>
      <c r="E10871" s="58">
        <v>9300</v>
      </c>
      <c r="F10871" s="58"/>
      <c r="G10871" s="58">
        <f t="shared" si="175"/>
        <v>-9300</v>
      </c>
      <c r="H10871" s="121" t="s">
        <v>6977</v>
      </c>
    </row>
    <row r="10872" spans="1:8" ht="15" x14ac:dyDescent="0.2">
      <c r="A10872" s="619">
        <v>44365</v>
      </c>
      <c r="B10872" s="41" t="s">
        <v>6953</v>
      </c>
      <c r="C10872" s="41" t="s">
        <v>5593</v>
      </c>
      <c r="D10872" s="108" t="s">
        <v>7013</v>
      </c>
      <c r="E10872" s="58">
        <v>200000</v>
      </c>
      <c r="F10872" s="58"/>
      <c r="G10872" s="58">
        <f t="shared" si="175"/>
        <v>-200000</v>
      </c>
      <c r="H10872" s="121" t="s">
        <v>6977</v>
      </c>
    </row>
    <row r="10873" spans="1:8" ht="15" x14ac:dyDescent="0.2">
      <c r="A10873" s="619">
        <v>44365</v>
      </c>
      <c r="B10873" s="41" t="s">
        <v>6408</v>
      </c>
      <c r="C10873" s="41" t="s">
        <v>3446</v>
      </c>
      <c r="D10873" s="108" t="s">
        <v>7049</v>
      </c>
      <c r="E10873" s="58">
        <v>30000</v>
      </c>
      <c r="F10873" s="58"/>
      <c r="G10873" s="58">
        <f t="shared" si="175"/>
        <v>-30000</v>
      </c>
      <c r="H10873" s="121" t="s">
        <v>6977</v>
      </c>
    </row>
    <row r="10874" spans="1:8" ht="24" x14ac:dyDescent="0.2">
      <c r="A10874" s="619">
        <v>44365</v>
      </c>
      <c r="B10874" s="41" t="s">
        <v>7126</v>
      </c>
      <c r="C10874" s="41" t="s">
        <v>6476</v>
      </c>
      <c r="D10874" s="129" t="s">
        <v>7070</v>
      </c>
      <c r="E10874" s="58">
        <v>60000</v>
      </c>
      <c r="F10874" s="58"/>
      <c r="G10874" s="58">
        <f t="shared" si="175"/>
        <v>-60000</v>
      </c>
      <c r="H10874" s="121" t="s">
        <v>6977</v>
      </c>
    </row>
    <row r="10875" spans="1:8" ht="15" x14ac:dyDescent="0.2">
      <c r="A10875" s="619">
        <v>44365</v>
      </c>
      <c r="B10875" s="41" t="s">
        <v>6953</v>
      </c>
      <c r="C10875" s="41" t="s">
        <v>6706</v>
      </c>
      <c r="D10875" s="108" t="s">
        <v>370</v>
      </c>
      <c r="E10875" s="58">
        <v>12000</v>
      </c>
      <c r="F10875" s="58"/>
      <c r="G10875" s="58">
        <f t="shared" si="175"/>
        <v>-12000</v>
      </c>
      <c r="H10875" s="121" t="s">
        <v>6977</v>
      </c>
    </row>
    <row r="10876" spans="1:8" ht="15" x14ac:dyDescent="0.2">
      <c r="A10876" s="619">
        <v>44365</v>
      </c>
      <c r="B10876" s="41" t="s">
        <v>4553</v>
      </c>
      <c r="C10876" s="41" t="s">
        <v>392</v>
      </c>
      <c r="D10876" s="108" t="s">
        <v>7050</v>
      </c>
      <c r="E10876" s="58">
        <v>500</v>
      </c>
      <c r="F10876" s="58"/>
      <c r="G10876" s="58">
        <f t="shared" si="175"/>
        <v>-500</v>
      </c>
      <c r="H10876" s="121" t="s">
        <v>6977</v>
      </c>
    </row>
    <row r="10877" spans="1:8" ht="15" x14ac:dyDescent="0.2">
      <c r="A10877" s="619">
        <v>44365</v>
      </c>
      <c r="B10877" s="41" t="s">
        <v>25</v>
      </c>
      <c r="C10877" s="41" t="s">
        <v>392</v>
      </c>
      <c r="D10877" s="108" t="s">
        <v>7051</v>
      </c>
      <c r="E10877" s="58">
        <v>6620</v>
      </c>
      <c r="F10877" s="58"/>
      <c r="G10877" s="58">
        <f t="shared" si="175"/>
        <v>-6620</v>
      </c>
      <c r="H10877" s="121" t="s">
        <v>6977</v>
      </c>
    </row>
    <row r="10878" spans="1:8" ht="15" x14ac:dyDescent="0.2">
      <c r="A10878" s="619">
        <v>44365</v>
      </c>
      <c r="B10878" s="41" t="s">
        <v>2933</v>
      </c>
      <c r="C10878" s="41" t="s">
        <v>2190</v>
      </c>
      <c r="D10878" s="108" t="s">
        <v>7052</v>
      </c>
      <c r="E10878" s="58">
        <v>14880</v>
      </c>
      <c r="F10878" s="58"/>
      <c r="G10878" s="58">
        <f t="shared" si="175"/>
        <v>-14880</v>
      </c>
      <c r="H10878" s="121" t="s">
        <v>6977</v>
      </c>
    </row>
    <row r="10879" spans="1:8" ht="15" x14ac:dyDescent="0.2">
      <c r="A10879" s="619">
        <v>44365</v>
      </c>
      <c r="B10879" s="41" t="s">
        <v>3946</v>
      </c>
      <c r="C10879" s="41" t="s">
        <v>3145</v>
      </c>
      <c r="D10879" s="108" t="s">
        <v>6699</v>
      </c>
      <c r="E10879" s="58">
        <v>21000</v>
      </c>
      <c r="F10879" s="58"/>
      <c r="G10879" s="58">
        <f t="shared" si="175"/>
        <v>-21000</v>
      </c>
      <c r="H10879" s="121" t="s">
        <v>6977</v>
      </c>
    </row>
    <row r="10880" spans="1:8" ht="15" x14ac:dyDescent="0.2">
      <c r="A10880" s="619">
        <v>44365</v>
      </c>
      <c r="B10880" s="41" t="s">
        <v>6408</v>
      </c>
      <c r="C10880" s="41" t="s">
        <v>3145</v>
      </c>
      <c r="D10880" s="108" t="s">
        <v>4893</v>
      </c>
      <c r="E10880" s="58">
        <v>12434</v>
      </c>
      <c r="F10880" s="58"/>
      <c r="G10880" s="58">
        <f t="shared" si="175"/>
        <v>-12434</v>
      </c>
      <c r="H10880" s="121" t="s">
        <v>6977</v>
      </c>
    </row>
    <row r="10881" spans="1:8" ht="15" x14ac:dyDescent="0.2">
      <c r="A10881" s="619">
        <v>44368</v>
      </c>
      <c r="B10881" s="41" t="s">
        <v>2933</v>
      </c>
      <c r="C10881" s="41" t="s">
        <v>3145</v>
      </c>
      <c r="D10881" s="108" t="s">
        <v>7053</v>
      </c>
      <c r="E10881" s="58">
        <v>9970</v>
      </c>
      <c r="F10881" s="58"/>
      <c r="G10881" s="58">
        <f t="shared" si="175"/>
        <v>-9970</v>
      </c>
      <c r="H10881" s="121" t="s">
        <v>6977</v>
      </c>
    </row>
    <row r="10882" spans="1:8" ht="15" x14ac:dyDescent="0.2">
      <c r="A10882" s="619">
        <v>44368</v>
      </c>
      <c r="B10882" s="41" t="s">
        <v>1400</v>
      </c>
      <c r="C10882" s="41" t="s">
        <v>3145</v>
      </c>
      <c r="D10882" s="108" t="s">
        <v>7054</v>
      </c>
      <c r="E10882" s="58">
        <v>3500</v>
      </c>
      <c r="F10882" s="58"/>
      <c r="G10882" s="58">
        <f t="shared" si="175"/>
        <v>-3500</v>
      </c>
      <c r="H10882" s="121" t="s">
        <v>6977</v>
      </c>
    </row>
    <row r="10883" spans="1:8" ht="15" x14ac:dyDescent="0.2">
      <c r="A10883" s="619">
        <v>44368</v>
      </c>
      <c r="B10883" s="41" t="s">
        <v>1400</v>
      </c>
      <c r="C10883" s="41" t="s">
        <v>7005</v>
      </c>
      <c r="D10883" s="108" t="s">
        <v>7055</v>
      </c>
      <c r="E10883" s="58">
        <v>25000</v>
      </c>
      <c r="F10883" s="58"/>
      <c r="G10883" s="58">
        <f t="shared" si="175"/>
        <v>-25000</v>
      </c>
      <c r="H10883" s="121" t="s">
        <v>6977</v>
      </c>
    </row>
    <row r="10884" spans="1:8" ht="15" x14ac:dyDescent="0.2">
      <c r="A10884" s="619">
        <v>44368</v>
      </c>
      <c r="B10884" s="41" t="s">
        <v>6511</v>
      </c>
      <c r="C10884" s="41" t="s">
        <v>3145</v>
      </c>
      <c r="D10884" s="108" t="s">
        <v>7039</v>
      </c>
      <c r="E10884" s="58">
        <v>32000</v>
      </c>
      <c r="F10884" s="58"/>
      <c r="G10884" s="58">
        <f t="shared" si="175"/>
        <v>-32000</v>
      </c>
      <c r="H10884" s="121" t="s">
        <v>6977</v>
      </c>
    </row>
    <row r="10885" spans="1:8" ht="15" x14ac:dyDescent="0.2">
      <c r="A10885" s="619">
        <v>44369</v>
      </c>
      <c r="B10885" s="41" t="s">
        <v>6508</v>
      </c>
      <c r="C10885" s="222" t="s">
        <v>6586</v>
      </c>
      <c r="D10885" s="108" t="s">
        <v>4436</v>
      </c>
      <c r="E10885" s="58">
        <v>10500</v>
      </c>
      <c r="F10885" s="58"/>
      <c r="G10885" s="58">
        <f t="shared" ref="G10885:G10948" si="176">F10885-E10885</f>
        <v>-10500</v>
      </c>
      <c r="H10885" s="121" t="s">
        <v>6977</v>
      </c>
    </row>
    <row r="10886" spans="1:8" ht="15" x14ac:dyDescent="0.2">
      <c r="A10886" s="619">
        <v>44369</v>
      </c>
      <c r="B10886" s="41" t="s">
        <v>25</v>
      </c>
      <c r="C10886" s="582" t="s">
        <v>1689</v>
      </c>
      <c r="D10886" s="893" t="s">
        <v>6343</v>
      </c>
      <c r="E10886" s="583">
        <v>6190</v>
      </c>
      <c r="F10886" s="58"/>
      <c r="G10886" s="58">
        <f t="shared" si="176"/>
        <v>-6190</v>
      </c>
      <c r="H10886" s="121" t="s">
        <v>6977</v>
      </c>
    </row>
    <row r="10887" spans="1:8" ht="15" x14ac:dyDescent="0.2">
      <c r="A10887" s="619">
        <v>44369</v>
      </c>
      <c r="B10887" s="41" t="s">
        <v>16</v>
      </c>
      <c r="C10887" s="582" t="s">
        <v>1689</v>
      </c>
      <c r="D10887" s="893" t="s">
        <v>6343</v>
      </c>
      <c r="E10887" s="583">
        <v>2200</v>
      </c>
      <c r="F10887" s="58"/>
      <c r="G10887" s="58">
        <f t="shared" si="176"/>
        <v>-2200</v>
      </c>
      <c r="H10887" s="121" t="s">
        <v>6977</v>
      </c>
    </row>
    <row r="10888" spans="1:8" ht="15" x14ac:dyDescent="0.2">
      <c r="A10888" s="619">
        <v>44369</v>
      </c>
      <c r="B10888" s="41" t="s">
        <v>16</v>
      </c>
      <c r="C10888" s="41" t="s">
        <v>7056</v>
      </c>
      <c r="D10888" s="108" t="s">
        <v>370</v>
      </c>
      <c r="E10888" s="58">
        <v>30000</v>
      </c>
      <c r="F10888" s="58"/>
      <c r="G10888" s="58">
        <f t="shared" si="176"/>
        <v>-30000</v>
      </c>
      <c r="H10888" s="121" t="s">
        <v>6977</v>
      </c>
    </row>
    <row r="10889" spans="1:8" ht="15" x14ac:dyDescent="0.2">
      <c r="A10889" s="619">
        <v>44369</v>
      </c>
      <c r="B10889" s="41" t="s">
        <v>2933</v>
      </c>
      <c r="C10889" s="41" t="s">
        <v>7057</v>
      </c>
      <c r="D10889" s="108" t="s">
        <v>7058</v>
      </c>
      <c r="E10889" s="58">
        <v>25000</v>
      </c>
      <c r="F10889" s="58"/>
      <c r="G10889" s="58">
        <f t="shared" si="176"/>
        <v>-25000</v>
      </c>
      <c r="H10889" s="121" t="s">
        <v>6977</v>
      </c>
    </row>
    <row r="10890" spans="1:8" ht="15" customHeight="1" x14ac:dyDescent="0.2">
      <c r="A10890" s="619">
        <v>44369</v>
      </c>
      <c r="B10890" s="41" t="s">
        <v>16</v>
      </c>
      <c r="C10890" s="41" t="s">
        <v>2334</v>
      </c>
      <c r="D10890" s="108" t="s">
        <v>370</v>
      </c>
      <c r="E10890" s="58">
        <v>5000</v>
      </c>
      <c r="F10890" s="58"/>
      <c r="G10890" s="58">
        <f t="shared" si="176"/>
        <v>-5000</v>
      </c>
      <c r="H10890" s="121" t="s">
        <v>6977</v>
      </c>
    </row>
    <row r="10891" spans="1:8" ht="15" x14ac:dyDescent="0.2">
      <c r="A10891" s="619">
        <v>44370</v>
      </c>
      <c r="B10891" s="41" t="s">
        <v>6511</v>
      </c>
      <c r="C10891" s="41" t="s">
        <v>4908</v>
      </c>
      <c r="D10891" s="108" t="s">
        <v>7059</v>
      </c>
      <c r="E10891" s="58">
        <v>10000</v>
      </c>
      <c r="F10891" s="58"/>
      <c r="G10891" s="58">
        <f t="shared" si="176"/>
        <v>-10000</v>
      </c>
      <c r="H10891" s="121" t="s">
        <v>6977</v>
      </c>
    </row>
    <row r="10892" spans="1:8" ht="15" x14ac:dyDescent="0.2">
      <c r="A10892" s="619">
        <v>44370</v>
      </c>
      <c r="B10892" s="41" t="s">
        <v>1400</v>
      </c>
      <c r="C10892" s="41" t="s">
        <v>6711</v>
      </c>
      <c r="D10892" s="108" t="s">
        <v>7060</v>
      </c>
      <c r="E10892" s="58">
        <v>38000</v>
      </c>
      <c r="F10892" s="58"/>
      <c r="G10892" s="58">
        <f t="shared" si="176"/>
        <v>-38000</v>
      </c>
      <c r="H10892" s="121" t="s">
        <v>6977</v>
      </c>
    </row>
    <row r="10893" spans="1:8" ht="15" x14ac:dyDescent="0.2">
      <c r="A10893" s="619">
        <v>44370</v>
      </c>
      <c r="B10893" s="41" t="s">
        <v>6511</v>
      </c>
      <c r="C10893" s="41" t="s">
        <v>3145</v>
      </c>
      <c r="D10893" s="108" t="s">
        <v>7061</v>
      </c>
      <c r="E10893" s="58">
        <v>26670</v>
      </c>
      <c r="F10893" s="58"/>
      <c r="G10893" s="58">
        <f t="shared" si="176"/>
        <v>-26670</v>
      </c>
      <c r="H10893" s="121" t="s">
        <v>6977</v>
      </c>
    </row>
    <row r="10894" spans="1:8" ht="15" customHeight="1" x14ac:dyDescent="0.2">
      <c r="A10894" s="619">
        <v>44371</v>
      </c>
      <c r="B10894" s="41" t="s">
        <v>6408</v>
      </c>
      <c r="C10894" s="41" t="s">
        <v>6476</v>
      </c>
      <c r="D10894" s="108" t="s">
        <v>2655</v>
      </c>
      <c r="E10894" s="58">
        <v>5000</v>
      </c>
      <c r="F10894" s="58"/>
      <c r="G10894" s="58">
        <f t="shared" si="176"/>
        <v>-5000</v>
      </c>
      <c r="H10894" s="121" t="s">
        <v>6977</v>
      </c>
    </row>
    <row r="10895" spans="1:8" ht="15" x14ac:dyDescent="0.2">
      <c r="A10895" s="619">
        <v>44371</v>
      </c>
      <c r="B10895" s="41" t="s">
        <v>6408</v>
      </c>
      <c r="C10895" s="41" t="s">
        <v>392</v>
      </c>
      <c r="D10895" s="108" t="s">
        <v>7062</v>
      </c>
      <c r="E10895" s="58">
        <v>1840</v>
      </c>
      <c r="F10895" s="58"/>
      <c r="G10895" s="58">
        <f t="shared" si="176"/>
        <v>-1840</v>
      </c>
      <c r="H10895" s="121" t="s">
        <v>6977</v>
      </c>
    </row>
    <row r="10896" spans="1:8" ht="15" x14ac:dyDescent="0.2">
      <c r="A10896" s="619">
        <v>44371</v>
      </c>
      <c r="B10896" s="41" t="s">
        <v>2933</v>
      </c>
      <c r="C10896" s="41" t="s">
        <v>392</v>
      </c>
      <c r="D10896" s="108" t="s">
        <v>7063</v>
      </c>
      <c r="E10896" s="58">
        <v>2800</v>
      </c>
      <c r="F10896" s="58"/>
      <c r="G10896" s="58">
        <f t="shared" si="176"/>
        <v>-2800</v>
      </c>
      <c r="H10896" s="121" t="s">
        <v>6977</v>
      </c>
    </row>
    <row r="10897" spans="1:8" ht="15" x14ac:dyDescent="0.2">
      <c r="A10897" s="619">
        <v>44371</v>
      </c>
      <c r="B10897" s="41" t="s">
        <v>6408</v>
      </c>
      <c r="C10897" s="41" t="s">
        <v>3145</v>
      </c>
      <c r="D10897" s="108" t="s">
        <v>370</v>
      </c>
      <c r="E10897" s="58">
        <v>7110</v>
      </c>
      <c r="F10897" s="58"/>
      <c r="G10897" s="58">
        <f t="shared" si="176"/>
        <v>-7110</v>
      </c>
      <c r="H10897" s="121" t="s">
        <v>6977</v>
      </c>
    </row>
    <row r="10898" spans="1:8" ht="15" x14ac:dyDescent="0.2">
      <c r="A10898" s="619">
        <v>44371</v>
      </c>
      <c r="B10898" s="41" t="s">
        <v>6511</v>
      </c>
      <c r="C10898" s="41" t="s">
        <v>6009</v>
      </c>
      <c r="D10898" s="108" t="s">
        <v>7072</v>
      </c>
      <c r="E10898" s="58">
        <v>55600</v>
      </c>
      <c r="F10898" s="58"/>
      <c r="G10898" s="58">
        <f t="shared" si="176"/>
        <v>-55600</v>
      </c>
      <c r="H10898" s="121" t="s">
        <v>6977</v>
      </c>
    </row>
    <row r="10899" spans="1:8" ht="15" x14ac:dyDescent="0.2">
      <c r="A10899" s="619">
        <v>44371</v>
      </c>
      <c r="B10899" s="41" t="s">
        <v>6511</v>
      </c>
      <c r="C10899" s="41" t="s">
        <v>3145</v>
      </c>
      <c r="D10899" s="108" t="s">
        <v>7073</v>
      </c>
      <c r="E10899" s="58">
        <v>7020</v>
      </c>
      <c r="F10899" s="58"/>
      <c r="G10899" s="58">
        <f t="shared" si="176"/>
        <v>-7020</v>
      </c>
      <c r="H10899" s="121" t="s">
        <v>6977</v>
      </c>
    </row>
    <row r="10900" spans="1:8" ht="15" x14ac:dyDescent="0.2">
      <c r="A10900" s="619">
        <v>44371</v>
      </c>
      <c r="B10900" s="41" t="s">
        <v>6511</v>
      </c>
      <c r="C10900" s="41" t="s">
        <v>3145</v>
      </c>
      <c r="D10900" s="108" t="s">
        <v>7074</v>
      </c>
      <c r="E10900" s="58">
        <v>11094</v>
      </c>
      <c r="F10900" s="58"/>
      <c r="G10900" s="58">
        <f t="shared" si="176"/>
        <v>-11094</v>
      </c>
      <c r="H10900" s="121" t="s">
        <v>6977</v>
      </c>
    </row>
    <row r="10901" spans="1:8" ht="15" x14ac:dyDescent="0.2">
      <c r="A10901" s="619">
        <v>44371</v>
      </c>
      <c r="B10901" s="41" t="s">
        <v>2933</v>
      </c>
      <c r="C10901" s="41" t="s">
        <v>3145</v>
      </c>
      <c r="D10901" s="108" t="s">
        <v>7075</v>
      </c>
      <c r="E10901" s="58">
        <v>580</v>
      </c>
      <c r="F10901" s="58"/>
      <c r="G10901" s="58">
        <f t="shared" si="176"/>
        <v>-580</v>
      </c>
      <c r="H10901" s="121" t="s">
        <v>6977</v>
      </c>
    </row>
    <row r="10902" spans="1:8" ht="15" x14ac:dyDescent="0.2">
      <c r="A10902" s="619">
        <v>44371</v>
      </c>
      <c r="B10902" s="41" t="s">
        <v>1400</v>
      </c>
      <c r="C10902" s="41" t="s">
        <v>3145</v>
      </c>
      <c r="D10902" s="108" t="s">
        <v>7076</v>
      </c>
      <c r="E10902" s="58">
        <v>14250</v>
      </c>
      <c r="F10902" s="58"/>
      <c r="G10902" s="58">
        <f t="shared" si="176"/>
        <v>-14250</v>
      </c>
      <c r="H10902" s="121" t="s">
        <v>6977</v>
      </c>
    </row>
    <row r="10903" spans="1:8" ht="15" x14ac:dyDescent="0.2">
      <c r="A10903" s="619">
        <v>44371</v>
      </c>
      <c r="B10903" s="41" t="s">
        <v>6408</v>
      </c>
      <c r="C10903" s="41" t="s">
        <v>3446</v>
      </c>
      <c r="D10903" s="108" t="s">
        <v>7077</v>
      </c>
      <c r="E10903" s="58">
        <v>35000</v>
      </c>
      <c r="F10903" s="58"/>
      <c r="G10903" s="58">
        <f t="shared" si="176"/>
        <v>-35000</v>
      </c>
      <c r="H10903" s="121" t="s">
        <v>6977</v>
      </c>
    </row>
    <row r="10904" spans="1:8" ht="15" x14ac:dyDescent="0.2">
      <c r="A10904" s="619">
        <v>44371</v>
      </c>
      <c r="B10904" s="41" t="s">
        <v>6508</v>
      </c>
      <c r="C10904" s="582" t="s">
        <v>3145</v>
      </c>
      <c r="D10904" s="893" t="s">
        <v>4535</v>
      </c>
      <c r="E10904" s="583">
        <v>45016</v>
      </c>
      <c r="F10904" s="58"/>
      <c r="G10904" s="58">
        <f t="shared" si="176"/>
        <v>-45016</v>
      </c>
      <c r="H10904" s="121" t="s">
        <v>6977</v>
      </c>
    </row>
    <row r="10905" spans="1:8" ht="15" x14ac:dyDescent="0.2">
      <c r="A10905" s="619">
        <v>44371</v>
      </c>
      <c r="B10905" s="41" t="s">
        <v>6408</v>
      </c>
      <c r="C10905" s="582" t="s">
        <v>3145</v>
      </c>
      <c r="D10905" s="893" t="s">
        <v>4535</v>
      </c>
      <c r="E10905" s="583">
        <v>4000</v>
      </c>
      <c r="F10905" s="58"/>
      <c r="G10905" s="58">
        <f t="shared" si="176"/>
        <v>-4000</v>
      </c>
      <c r="H10905" s="121" t="s">
        <v>6977</v>
      </c>
    </row>
    <row r="10906" spans="1:8" ht="15" x14ac:dyDescent="0.2">
      <c r="A10906" s="619">
        <v>44371</v>
      </c>
      <c r="B10906" s="41" t="s">
        <v>1400</v>
      </c>
      <c r="C10906" s="41" t="s">
        <v>3145</v>
      </c>
      <c r="D10906" s="108" t="s">
        <v>7078</v>
      </c>
      <c r="E10906" s="58">
        <v>10000</v>
      </c>
      <c r="F10906" s="58"/>
      <c r="G10906" s="58">
        <f t="shared" si="176"/>
        <v>-10000</v>
      </c>
      <c r="H10906" s="121" t="s">
        <v>6977</v>
      </c>
    </row>
    <row r="10907" spans="1:8" ht="15" x14ac:dyDescent="0.2">
      <c r="A10907" s="619">
        <v>44372</v>
      </c>
      <c r="B10907" s="41" t="s">
        <v>6953</v>
      </c>
      <c r="C10907" s="41" t="s">
        <v>5741</v>
      </c>
      <c r="D10907" s="108" t="s">
        <v>370</v>
      </c>
      <c r="E10907" s="58">
        <v>300</v>
      </c>
      <c r="F10907" s="58"/>
      <c r="G10907" s="58">
        <f t="shared" si="176"/>
        <v>-300</v>
      </c>
      <c r="H10907" s="121" t="s">
        <v>6977</v>
      </c>
    </row>
    <row r="10908" spans="1:8" ht="15" x14ac:dyDescent="0.2">
      <c r="A10908" s="619">
        <v>44372</v>
      </c>
      <c r="B10908" s="41" t="s">
        <v>16</v>
      </c>
      <c r="C10908" s="41" t="s">
        <v>7056</v>
      </c>
      <c r="D10908" s="108" t="s">
        <v>370</v>
      </c>
      <c r="E10908" s="58">
        <v>10000</v>
      </c>
      <c r="F10908" s="58"/>
      <c r="G10908" s="58">
        <f t="shared" si="176"/>
        <v>-10000</v>
      </c>
      <c r="H10908" s="121" t="s">
        <v>6977</v>
      </c>
    </row>
    <row r="10909" spans="1:8" ht="15" x14ac:dyDescent="0.2">
      <c r="A10909" s="619">
        <v>44373</v>
      </c>
      <c r="B10909" s="41" t="s">
        <v>16</v>
      </c>
      <c r="C10909" s="41" t="s">
        <v>7056</v>
      </c>
      <c r="D10909" s="108" t="s">
        <v>370</v>
      </c>
      <c r="E10909" s="58">
        <v>5000</v>
      </c>
      <c r="F10909" s="58"/>
      <c r="G10909" s="58">
        <f t="shared" si="176"/>
        <v>-5000</v>
      </c>
      <c r="H10909" s="121" t="s">
        <v>6977</v>
      </c>
    </row>
    <row r="10910" spans="1:8" ht="15" x14ac:dyDescent="0.2">
      <c r="A10910" s="619">
        <v>44375</v>
      </c>
      <c r="B10910" s="41" t="s">
        <v>6511</v>
      </c>
      <c r="C10910" s="41" t="s">
        <v>392</v>
      </c>
      <c r="D10910" s="108" t="s">
        <v>7079</v>
      </c>
      <c r="E10910" s="58">
        <v>7000</v>
      </c>
      <c r="F10910" s="58"/>
      <c r="G10910" s="58">
        <f t="shared" si="176"/>
        <v>-7000</v>
      </c>
      <c r="H10910" s="121" t="s">
        <v>6977</v>
      </c>
    </row>
    <row r="10911" spans="1:8" ht="15" x14ac:dyDescent="0.2">
      <c r="A10911" s="619">
        <v>44375</v>
      </c>
      <c r="B10911" s="41" t="s">
        <v>3946</v>
      </c>
      <c r="C10911" s="582" t="s">
        <v>6499</v>
      </c>
      <c r="D10911" s="893" t="s">
        <v>370</v>
      </c>
      <c r="E10911" s="583">
        <v>10000</v>
      </c>
      <c r="F10911" s="58"/>
      <c r="G10911" s="58">
        <f t="shared" si="176"/>
        <v>-10000</v>
      </c>
      <c r="H10911" s="121" t="s">
        <v>6977</v>
      </c>
    </row>
    <row r="10912" spans="1:8" ht="15" x14ac:dyDescent="0.2">
      <c r="A10912" s="619">
        <v>44375</v>
      </c>
      <c r="B10912" s="41" t="s">
        <v>3945</v>
      </c>
      <c r="C10912" s="582" t="s">
        <v>6499</v>
      </c>
      <c r="D10912" s="893" t="s">
        <v>370</v>
      </c>
      <c r="E10912" s="583">
        <v>10000</v>
      </c>
      <c r="F10912" s="58"/>
      <c r="G10912" s="58">
        <f t="shared" si="176"/>
        <v>-10000</v>
      </c>
      <c r="H10912" s="121" t="s">
        <v>6977</v>
      </c>
    </row>
    <row r="10913" spans="1:8" ht="24" x14ac:dyDescent="0.2">
      <c r="A10913" s="619">
        <v>44375</v>
      </c>
      <c r="B10913" s="41" t="s">
        <v>6518</v>
      </c>
      <c r="C10913" s="41" t="s">
        <v>2586</v>
      </c>
      <c r="D10913" s="129" t="s">
        <v>7080</v>
      </c>
      <c r="E10913" s="58">
        <v>232000</v>
      </c>
      <c r="F10913" s="58"/>
      <c r="G10913" s="58">
        <f t="shared" si="176"/>
        <v>-232000</v>
      </c>
      <c r="H10913" s="121" t="s">
        <v>6977</v>
      </c>
    </row>
    <row r="10914" spans="1:8" ht="15" x14ac:dyDescent="0.2">
      <c r="A10914" s="619">
        <v>44375</v>
      </c>
      <c r="B10914" s="41" t="s">
        <v>6511</v>
      </c>
      <c r="C10914" s="41" t="s">
        <v>392</v>
      </c>
      <c r="E10914" s="58">
        <v>120</v>
      </c>
      <c r="F10914" s="58"/>
      <c r="G10914" s="58">
        <f t="shared" si="176"/>
        <v>-120</v>
      </c>
      <c r="H10914" s="121" t="s">
        <v>6977</v>
      </c>
    </row>
    <row r="10915" spans="1:8" ht="15" x14ac:dyDescent="0.2">
      <c r="A10915" s="619">
        <v>44375</v>
      </c>
      <c r="B10915" s="41" t="s">
        <v>25</v>
      </c>
      <c r="C10915" s="41" t="s">
        <v>2428</v>
      </c>
      <c r="D10915" s="108" t="s">
        <v>392</v>
      </c>
      <c r="E10915" s="58">
        <v>23320</v>
      </c>
      <c r="F10915" s="58"/>
      <c r="G10915" s="58">
        <f t="shared" si="176"/>
        <v>-23320</v>
      </c>
      <c r="H10915" s="121" t="s">
        <v>6977</v>
      </c>
    </row>
    <row r="10916" spans="1:8" ht="15" x14ac:dyDescent="0.2">
      <c r="A10916" s="619">
        <v>44375</v>
      </c>
      <c r="B10916" s="41" t="s">
        <v>1400</v>
      </c>
      <c r="C10916" s="41" t="s">
        <v>7081</v>
      </c>
      <c r="D10916" s="108" t="s">
        <v>7082</v>
      </c>
      <c r="E10916" s="58">
        <v>22000</v>
      </c>
      <c r="F10916" s="58"/>
      <c r="G10916" s="58">
        <f t="shared" si="176"/>
        <v>-22000</v>
      </c>
      <c r="H10916" s="121" t="s">
        <v>6977</v>
      </c>
    </row>
    <row r="10917" spans="1:8" ht="15" x14ac:dyDescent="0.2">
      <c r="A10917" s="619">
        <v>44375</v>
      </c>
      <c r="B10917" s="41" t="s">
        <v>16</v>
      </c>
      <c r="C10917" s="41" t="s">
        <v>2996</v>
      </c>
      <c r="E10917" s="58">
        <v>3000</v>
      </c>
      <c r="F10917" s="58"/>
      <c r="G10917" s="58">
        <f t="shared" si="176"/>
        <v>-3000</v>
      </c>
      <c r="H10917" s="121" t="s">
        <v>6977</v>
      </c>
    </row>
    <row r="10918" spans="1:8" ht="15" x14ac:dyDescent="0.2">
      <c r="A10918" s="619">
        <v>44375</v>
      </c>
      <c r="B10918" s="41" t="s">
        <v>25</v>
      </c>
      <c r="C10918" s="41" t="s">
        <v>1005</v>
      </c>
      <c r="E10918" s="58">
        <v>650</v>
      </c>
      <c r="F10918" s="58"/>
      <c r="G10918" s="58">
        <f t="shared" si="176"/>
        <v>-650</v>
      </c>
      <c r="H10918" s="121" t="s">
        <v>6977</v>
      </c>
    </row>
    <row r="10919" spans="1:8" ht="15" x14ac:dyDescent="0.2">
      <c r="A10919" s="619">
        <v>44375</v>
      </c>
      <c r="B10919" s="41" t="s">
        <v>2933</v>
      </c>
      <c r="C10919" s="41" t="s">
        <v>6141</v>
      </c>
      <c r="D10919" s="108" t="s">
        <v>7083</v>
      </c>
      <c r="E10919" s="58">
        <v>3000</v>
      </c>
      <c r="F10919" s="58"/>
      <c r="G10919" s="58">
        <f t="shared" si="176"/>
        <v>-3000</v>
      </c>
      <c r="H10919" s="121" t="s">
        <v>6977</v>
      </c>
    </row>
    <row r="10920" spans="1:8" ht="15" x14ac:dyDescent="0.2">
      <c r="A10920" s="619">
        <v>44375</v>
      </c>
      <c r="B10920" s="41" t="s">
        <v>16</v>
      </c>
      <c r="C10920" s="41" t="s">
        <v>7056</v>
      </c>
      <c r="E10920" s="58">
        <v>4000</v>
      </c>
      <c r="F10920" s="58"/>
      <c r="G10920" s="58">
        <f t="shared" si="176"/>
        <v>-4000</v>
      </c>
      <c r="H10920" s="121" t="s">
        <v>6977</v>
      </c>
    </row>
    <row r="10921" spans="1:8" ht="15" x14ac:dyDescent="0.2">
      <c r="A10921" s="619">
        <v>44375</v>
      </c>
      <c r="B10921" s="41" t="s">
        <v>1400</v>
      </c>
      <c r="C10921" s="41" t="s">
        <v>3145</v>
      </c>
      <c r="D10921" s="108" t="s">
        <v>4450</v>
      </c>
      <c r="E10921" s="58">
        <v>57729</v>
      </c>
      <c r="F10921" s="58"/>
      <c r="G10921" s="58">
        <f t="shared" si="176"/>
        <v>-57729</v>
      </c>
      <c r="H10921" s="121" t="s">
        <v>6977</v>
      </c>
    </row>
    <row r="10922" spans="1:8" ht="15" x14ac:dyDescent="0.2">
      <c r="A10922" s="619">
        <v>44377</v>
      </c>
      <c r="B10922" s="41" t="s">
        <v>2933</v>
      </c>
      <c r="C10922" s="41" t="s">
        <v>392</v>
      </c>
      <c r="D10922" s="108" t="s">
        <v>7084</v>
      </c>
      <c r="E10922" s="58">
        <v>600</v>
      </c>
      <c r="F10922" s="58"/>
      <c r="G10922" s="58">
        <f t="shared" si="176"/>
        <v>-600</v>
      </c>
      <c r="H10922" s="121" t="s">
        <v>6977</v>
      </c>
    </row>
    <row r="10923" spans="1:8" ht="15" x14ac:dyDescent="0.2">
      <c r="A10923" s="619">
        <v>44377</v>
      </c>
      <c r="B10923" s="41" t="s">
        <v>6408</v>
      </c>
      <c r="C10923" s="41" t="s">
        <v>392</v>
      </c>
      <c r="D10923" s="108" t="s">
        <v>6209</v>
      </c>
      <c r="E10923" s="58">
        <v>5000</v>
      </c>
      <c r="F10923" s="58"/>
      <c r="G10923" s="58">
        <f t="shared" si="176"/>
        <v>-5000</v>
      </c>
      <c r="H10923" s="121" t="s">
        <v>6977</v>
      </c>
    </row>
    <row r="10924" spans="1:8" ht="15" x14ac:dyDescent="0.2">
      <c r="A10924" s="619">
        <v>44377</v>
      </c>
      <c r="B10924" s="41" t="s">
        <v>6408</v>
      </c>
      <c r="C10924" s="41" t="s">
        <v>3145</v>
      </c>
      <c r="D10924" s="108" t="s">
        <v>7085</v>
      </c>
      <c r="E10924" s="58">
        <v>10500</v>
      </c>
      <c r="F10924" s="58"/>
      <c r="G10924" s="58">
        <f t="shared" si="176"/>
        <v>-10500</v>
      </c>
      <c r="H10924" s="121" t="s">
        <v>6977</v>
      </c>
    </row>
    <row r="10925" spans="1:8" ht="15" x14ac:dyDescent="0.2">
      <c r="A10925" s="619">
        <v>44377</v>
      </c>
      <c r="B10925" s="41" t="s">
        <v>6408</v>
      </c>
      <c r="C10925" s="41" t="s">
        <v>3145</v>
      </c>
      <c r="D10925" s="108" t="s">
        <v>7085</v>
      </c>
      <c r="E10925" s="58">
        <v>5000</v>
      </c>
      <c r="F10925" s="58"/>
      <c r="G10925" s="58">
        <f t="shared" si="176"/>
        <v>-5000</v>
      </c>
      <c r="H10925" s="121" t="s">
        <v>6977</v>
      </c>
    </row>
    <row r="10926" spans="1:8" ht="15" x14ac:dyDescent="0.2">
      <c r="A10926" s="619">
        <v>44377</v>
      </c>
      <c r="B10926" s="41" t="s">
        <v>16</v>
      </c>
      <c r="C10926" s="41" t="s">
        <v>103</v>
      </c>
      <c r="D10926" s="108" t="s">
        <v>7168</v>
      </c>
      <c r="E10926" s="58">
        <v>25000</v>
      </c>
      <c r="F10926" s="58"/>
      <c r="G10926" s="58">
        <f t="shared" si="176"/>
        <v>-25000</v>
      </c>
      <c r="H10926" s="121" t="s">
        <v>6977</v>
      </c>
    </row>
    <row r="10927" spans="1:8" ht="15" x14ac:dyDescent="0.2">
      <c r="A10927" s="619">
        <v>44377</v>
      </c>
      <c r="B10927" s="63" t="s">
        <v>1400</v>
      </c>
      <c r="C10927" s="63" t="s">
        <v>2503</v>
      </c>
      <c r="D10927" s="183" t="s">
        <v>7097</v>
      </c>
      <c r="E10927" s="126">
        <v>25000</v>
      </c>
      <c r="F10927" s="126"/>
      <c r="G10927" s="126">
        <f t="shared" si="176"/>
        <v>-25000</v>
      </c>
      <c r="H10927" s="121" t="s">
        <v>6912</v>
      </c>
    </row>
    <row r="10928" spans="1:8" ht="15" x14ac:dyDescent="0.2">
      <c r="A10928" s="619">
        <v>44377</v>
      </c>
      <c r="B10928" s="63" t="s">
        <v>6953</v>
      </c>
      <c r="C10928" s="63" t="s">
        <v>2503</v>
      </c>
      <c r="D10928" s="183" t="s">
        <v>7097</v>
      </c>
      <c r="E10928" s="126">
        <v>25000</v>
      </c>
      <c r="F10928" s="126"/>
      <c r="G10928" s="126">
        <f t="shared" si="176"/>
        <v>-25000</v>
      </c>
      <c r="H10928" s="121" t="s">
        <v>6912</v>
      </c>
    </row>
    <row r="10929" spans="1:8" ht="15" x14ac:dyDescent="0.2">
      <c r="A10929" s="619">
        <v>44377</v>
      </c>
      <c r="B10929" s="63" t="s">
        <v>6408</v>
      </c>
      <c r="C10929" s="63" t="s">
        <v>2503</v>
      </c>
      <c r="D10929" s="183" t="s">
        <v>141</v>
      </c>
      <c r="E10929" s="126">
        <v>25000</v>
      </c>
      <c r="F10929" s="126"/>
      <c r="G10929" s="126">
        <f t="shared" si="176"/>
        <v>-25000</v>
      </c>
      <c r="H10929" s="121" t="s">
        <v>6912</v>
      </c>
    </row>
    <row r="10930" spans="1:8" ht="15" x14ac:dyDescent="0.2">
      <c r="A10930" s="619">
        <v>44377</v>
      </c>
      <c r="B10930" s="63" t="s">
        <v>6511</v>
      </c>
      <c r="C10930" s="63" t="s">
        <v>2503</v>
      </c>
      <c r="D10930" s="183" t="s">
        <v>141</v>
      </c>
      <c r="E10930" s="126">
        <v>25000</v>
      </c>
      <c r="F10930" s="126"/>
      <c r="G10930" s="126">
        <f t="shared" si="176"/>
        <v>-25000</v>
      </c>
      <c r="H10930" s="121" t="s">
        <v>6912</v>
      </c>
    </row>
    <row r="10931" spans="1:8" ht="15" x14ac:dyDescent="0.2">
      <c r="A10931" s="619">
        <v>44377</v>
      </c>
      <c r="B10931" s="63" t="s">
        <v>25</v>
      </c>
      <c r="C10931" s="63" t="s">
        <v>2503</v>
      </c>
      <c r="D10931" s="183"/>
      <c r="E10931" s="126">
        <v>62000</v>
      </c>
      <c r="F10931" s="126"/>
      <c r="G10931" s="126">
        <f t="shared" si="176"/>
        <v>-62000</v>
      </c>
      <c r="H10931" s="121" t="s">
        <v>6912</v>
      </c>
    </row>
    <row r="10932" spans="1:8" ht="15" x14ac:dyDescent="0.2">
      <c r="A10932" s="619">
        <v>44377</v>
      </c>
      <c r="B10932" s="63" t="s">
        <v>16</v>
      </c>
      <c r="C10932" s="63" t="s">
        <v>2503</v>
      </c>
      <c r="D10932" s="183"/>
      <c r="E10932" s="126">
        <v>113000</v>
      </c>
      <c r="F10932" s="126"/>
      <c r="G10932" s="126">
        <f t="shared" si="176"/>
        <v>-113000</v>
      </c>
      <c r="H10932" s="121" t="s">
        <v>6912</v>
      </c>
    </row>
    <row r="10933" spans="1:8" ht="15" x14ac:dyDescent="0.2">
      <c r="A10933" s="619">
        <v>44377</v>
      </c>
      <c r="B10933" s="63" t="s">
        <v>3945</v>
      </c>
      <c r="C10933" s="63" t="s">
        <v>2503</v>
      </c>
      <c r="D10933" s="183"/>
      <c r="E10933" s="126">
        <v>30333.333333333332</v>
      </c>
      <c r="F10933" s="126"/>
      <c r="G10933" s="126">
        <f t="shared" si="176"/>
        <v>-30333.333333333332</v>
      </c>
      <c r="H10933" s="121" t="s">
        <v>6912</v>
      </c>
    </row>
    <row r="10934" spans="1:8" ht="15" x14ac:dyDescent="0.2">
      <c r="A10934" s="619">
        <v>44377</v>
      </c>
      <c r="B10934" s="63" t="s">
        <v>3946</v>
      </c>
      <c r="C10934" s="63" t="s">
        <v>2503</v>
      </c>
      <c r="D10934" s="183"/>
      <c r="E10934" s="126">
        <v>94079.166666666672</v>
      </c>
      <c r="F10934" s="126"/>
      <c r="G10934" s="126">
        <f t="shared" si="176"/>
        <v>-94079.166666666672</v>
      </c>
      <c r="H10934" s="121" t="s">
        <v>6912</v>
      </c>
    </row>
    <row r="10935" spans="1:8" ht="15" x14ac:dyDescent="0.2">
      <c r="A10935" s="619">
        <v>44377</v>
      </c>
      <c r="B10935" s="63" t="s">
        <v>1400</v>
      </c>
      <c r="C10935" s="63" t="s">
        <v>2503</v>
      </c>
      <c r="D10935" s="183"/>
      <c r="E10935" s="126">
        <v>208973</v>
      </c>
      <c r="F10935" s="126"/>
      <c r="G10935" s="126">
        <f t="shared" si="176"/>
        <v>-208973</v>
      </c>
      <c r="H10935" s="121" t="s">
        <v>6912</v>
      </c>
    </row>
    <row r="10936" spans="1:8" ht="15" x14ac:dyDescent="0.2">
      <c r="A10936" s="619">
        <v>44377</v>
      </c>
      <c r="B10936" s="63" t="s">
        <v>6516</v>
      </c>
      <c r="C10936" s="63" t="s">
        <v>2503</v>
      </c>
      <c r="D10936" s="183"/>
      <c r="E10936" s="126">
        <v>116066.66666666667</v>
      </c>
      <c r="F10936" s="126"/>
      <c r="G10936" s="126">
        <f t="shared" si="176"/>
        <v>-116066.66666666667</v>
      </c>
      <c r="H10936" s="121" t="s">
        <v>6912</v>
      </c>
    </row>
    <row r="10937" spans="1:8" ht="15" x14ac:dyDescent="0.2">
      <c r="A10937" s="619">
        <v>44377</v>
      </c>
      <c r="B10937" s="63" t="s">
        <v>37</v>
      </c>
      <c r="C10937" s="63" t="s">
        <v>2503</v>
      </c>
      <c r="D10937" s="183"/>
      <c r="E10937" s="126">
        <v>88093</v>
      </c>
      <c r="F10937" s="126"/>
      <c r="G10937" s="126">
        <f t="shared" si="176"/>
        <v>-88093</v>
      </c>
      <c r="H10937" s="121" t="s">
        <v>6912</v>
      </c>
    </row>
    <row r="10938" spans="1:8" ht="15" x14ac:dyDescent="0.2">
      <c r="A10938" s="619">
        <v>44377</v>
      </c>
      <c r="B10938" s="63" t="s">
        <v>2933</v>
      </c>
      <c r="C10938" s="63" t="s">
        <v>2503</v>
      </c>
      <c r="D10938" s="183"/>
      <c r="E10938" s="126">
        <v>79450</v>
      </c>
      <c r="F10938" s="126"/>
      <c r="G10938" s="126">
        <f t="shared" si="176"/>
        <v>-79450</v>
      </c>
      <c r="H10938" s="121" t="s">
        <v>6912</v>
      </c>
    </row>
    <row r="10939" spans="1:8" ht="15" x14ac:dyDescent="0.2">
      <c r="A10939" s="619">
        <v>44377</v>
      </c>
      <c r="B10939" s="63" t="s">
        <v>6518</v>
      </c>
      <c r="C10939" s="63" t="s">
        <v>2503</v>
      </c>
      <c r="D10939" s="183"/>
      <c r="E10939" s="126">
        <v>19163</v>
      </c>
      <c r="F10939" s="126"/>
      <c r="G10939" s="126">
        <f t="shared" si="176"/>
        <v>-19163</v>
      </c>
      <c r="H10939" s="121" t="s">
        <v>6912</v>
      </c>
    </row>
    <row r="10940" spans="1:8" ht="15" x14ac:dyDescent="0.2">
      <c r="A10940" s="619">
        <v>44377</v>
      </c>
      <c r="B10940" s="63" t="s">
        <v>7126</v>
      </c>
      <c r="C10940" s="63" t="s">
        <v>2503</v>
      </c>
      <c r="D10940" s="183"/>
      <c r="E10940" s="126">
        <v>119359</v>
      </c>
      <c r="F10940" s="126"/>
      <c r="G10940" s="126">
        <f t="shared" si="176"/>
        <v>-119359</v>
      </c>
      <c r="H10940" s="121" t="s">
        <v>6912</v>
      </c>
    </row>
    <row r="10941" spans="1:8" ht="15" x14ac:dyDescent="0.2">
      <c r="A10941" s="619">
        <v>44377</v>
      </c>
      <c r="B10941" s="63" t="s">
        <v>6511</v>
      </c>
      <c r="C10941" s="63" t="s">
        <v>2503</v>
      </c>
      <c r="D10941" s="183"/>
      <c r="E10941" s="126">
        <v>119359</v>
      </c>
      <c r="F10941" s="126"/>
      <c r="G10941" s="126">
        <f t="shared" si="176"/>
        <v>-119359</v>
      </c>
      <c r="H10941" s="121" t="s">
        <v>6912</v>
      </c>
    </row>
    <row r="10942" spans="1:8" ht="15" x14ac:dyDescent="0.2">
      <c r="A10942" s="619">
        <v>44377</v>
      </c>
      <c r="B10942" s="63" t="s">
        <v>5811</v>
      </c>
      <c r="C10942" s="63" t="s">
        <v>2503</v>
      </c>
      <c r="D10942" s="183"/>
      <c r="E10942" s="126">
        <v>61617</v>
      </c>
      <c r="F10942" s="126"/>
      <c r="G10942" s="126">
        <f t="shared" si="176"/>
        <v>-61617</v>
      </c>
      <c r="H10942" s="121" t="s">
        <v>6912</v>
      </c>
    </row>
    <row r="10943" spans="1:8" ht="15" x14ac:dyDescent="0.2">
      <c r="A10943" s="619">
        <v>44377</v>
      </c>
      <c r="B10943" s="63" t="s">
        <v>6953</v>
      </c>
      <c r="C10943" s="63" t="s">
        <v>2503</v>
      </c>
      <c r="D10943" s="183"/>
      <c r="E10943" s="126">
        <v>49233</v>
      </c>
      <c r="F10943" s="126"/>
      <c r="G10943" s="126">
        <f t="shared" si="176"/>
        <v>-49233</v>
      </c>
      <c r="H10943" s="121" t="s">
        <v>6912</v>
      </c>
    </row>
    <row r="10944" spans="1:8" ht="15" x14ac:dyDescent="0.2">
      <c r="A10944" s="620">
        <v>44356</v>
      </c>
      <c r="B10944" s="122" t="s">
        <v>7126</v>
      </c>
      <c r="C10944" s="122" t="s">
        <v>2586</v>
      </c>
      <c r="D10944" s="812" t="s">
        <v>6976</v>
      </c>
      <c r="E10944" s="123">
        <v>200000</v>
      </c>
      <c r="F10944" s="123"/>
      <c r="G10944" s="123">
        <f t="shared" si="176"/>
        <v>-200000</v>
      </c>
      <c r="H10944" s="244" t="s">
        <v>6977</v>
      </c>
    </row>
    <row r="10945" spans="1:8" ht="15" x14ac:dyDescent="0.2">
      <c r="A10945" s="620">
        <v>44357</v>
      </c>
      <c r="B10945" s="122" t="s">
        <v>6953</v>
      </c>
      <c r="C10945" s="122" t="s">
        <v>7003</v>
      </c>
      <c r="D10945" s="812" t="s">
        <v>6989</v>
      </c>
      <c r="E10945" s="123">
        <v>100000</v>
      </c>
      <c r="F10945" s="123"/>
      <c r="G10945" s="123">
        <f t="shared" si="176"/>
        <v>-100000</v>
      </c>
      <c r="H10945" s="244" t="s">
        <v>6977</v>
      </c>
    </row>
    <row r="10946" spans="1:8" ht="15" x14ac:dyDescent="0.2">
      <c r="A10946" s="620">
        <v>44357</v>
      </c>
      <c r="B10946" s="122" t="s">
        <v>7126</v>
      </c>
      <c r="C10946" s="122" t="s">
        <v>5681</v>
      </c>
      <c r="D10946" s="812" t="s">
        <v>7017</v>
      </c>
      <c r="E10946" s="123">
        <v>46300</v>
      </c>
      <c r="F10946" s="123"/>
      <c r="G10946" s="123">
        <f t="shared" si="176"/>
        <v>-46300</v>
      </c>
      <c r="H10946" s="244" t="s">
        <v>6977</v>
      </c>
    </row>
    <row r="10947" spans="1:8" ht="15" x14ac:dyDescent="0.2">
      <c r="A10947" s="620">
        <v>44357</v>
      </c>
      <c r="B10947" s="122" t="s">
        <v>1400</v>
      </c>
      <c r="C10947" s="122" t="s">
        <v>5681</v>
      </c>
      <c r="D10947" s="812" t="s">
        <v>6789</v>
      </c>
      <c r="E10947" s="123">
        <v>53700</v>
      </c>
      <c r="F10947" s="123"/>
      <c r="G10947" s="123">
        <f t="shared" si="176"/>
        <v>-53700</v>
      </c>
      <c r="H10947" s="244" t="s">
        <v>6977</v>
      </c>
    </row>
    <row r="10948" spans="1:8" ht="36" x14ac:dyDescent="0.2">
      <c r="A10948" s="620">
        <v>44363</v>
      </c>
      <c r="B10948" s="174" t="s">
        <v>2933</v>
      </c>
      <c r="C10948" s="174" t="s">
        <v>2128</v>
      </c>
      <c r="D10948" s="228" t="s">
        <v>9210</v>
      </c>
      <c r="E10948" s="236">
        <v>449090</v>
      </c>
      <c r="F10948" s="236"/>
      <c r="G10948" s="236">
        <f t="shared" si="176"/>
        <v>-449090</v>
      </c>
      <c r="H10948" s="244" t="s">
        <v>6977</v>
      </c>
    </row>
    <row r="10949" spans="1:8" ht="15" x14ac:dyDescent="0.2">
      <c r="A10949" s="620">
        <v>44363</v>
      </c>
      <c r="B10949" s="174" t="s">
        <v>1400</v>
      </c>
      <c r="C10949" s="174" t="s">
        <v>2128</v>
      </c>
      <c r="D10949" s="903" t="s">
        <v>6789</v>
      </c>
      <c r="E10949" s="236">
        <v>200000</v>
      </c>
      <c r="F10949" s="236"/>
      <c r="G10949" s="236">
        <f t="shared" ref="G10949:G11012" si="177">F10949-E10949</f>
        <v>-200000</v>
      </c>
      <c r="H10949" s="244" t="s">
        <v>6977</v>
      </c>
    </row>
    <row r="10950" spans="1:8" ht="15" x14ac:dyDescent="0.2">
      <c r="A10950" s="620">
        <v>44363</v>
      </c>
      <c r="B10950" s="174" t="s">
        <v>2652</v>
      </c>
      <c r="C10950" s="174" t="s">
        <v>2128</v>
      </c>
      <c r="D10950" s="903" t="s">
        <v>6789</v>
      </c>
      <c r="E10950" s="236">
        <v>115010</v>
      </c>
      <c r="F10950" s="236"/>
      <c r="G10950" s="236">
        <f t="shared" si="177"/>
        <v>-115010</v>
      </c>
      <c r="H10950" s="244" t="s">
        <v>6977</v>
      </c>
    </row>
    <row r="10951" spans="1:8" ht="15" x14ac:dyDescent="0.2">
      <c r="A10951" s="620">
        <v>44363</v>
      </c>
      <c r="B10951" s="174" t="s">
        <v>6508</v>
      </c>
      <c r="C10951" s="174" t="s">
        <v>2128</v>
      </c>
      <c r="D10951" s="903" t="s">
        <v>6789</v>
      </c>
      <c r="E10951" s="236">
        <v>25140</v>
      </c>
      <c r="F10951" s="236"/>
      <c r="G10951" s="236">
        <f t="shared" si="177"/>
        <v>-25140</v>
      </c>
      <c r="H10951" s="244" t="s">
        <v>6977</v>
      </c>
    </row>
    <row r="10952" spans="1:8" ht="15" x14ac:dyDescent="0.2">
      <c r="A10952" s="620">
        <v>44369</v>
      </c>
      <c r="B10952" s="174" t="s">
        <v>1400</v>
      </c>
      <c r="C10952" s="174" t="s">
        <v>7023</v>
      </c>
      <c r="D10952" s="812" t="s">
        <v>7024</v>
      </c>
      <c r="E10952" s="236">
        <v>66250</v>
      </c>
      <c r="F10952" s="236"/>
      <c r="G10952" s="236">
        <f t="shared" si="177"/>
        <v>-66250</v>
      </c>
      <c r="H10952" s="244" t="s">
        <v>6977</v>
      </c>
    </row>
    <row r="10953" spans="1:8" ht="15" x14ac:dyDescent="0.2">
      <c r="A10953" s="620">
        <v>44372</v>
      </c>
      <c r="B10953" s="174" t="s">
        <v>6511</v>
      </c>
      <c r="C10953" s="174" t="s">
        <v>6763</v>
      </c>
      <c r="D10953" s="812" t="s">
        <v>7025</v>
      </c>
      <c r="E10953" s="236">
        <v>150000</v>
      </c>
      <c r="F10953" s="236"/>
      <c r="G10953" s="236">
        <f t="shared" si="177"/>
        <v>-150000</v>
      </c>
      <c r="H10953" s="244" t="s">
        <v>6977</v>
      </c>
    </row>
    <row r="10954" spans="1:8" ht="15" x14ac:dyDescent="0.2">
      <c r="A10954" s="620">
        <v>44373</v>
      </c>
      <c r="B10954" s="174" t="s">
        <v>6511</v>
      </c>
      <c r="C10954" s="174" t="s">
        <v>7026</v>
      </c>
      <c r="D10954" s="812" t="s">
        <v>7027</v>
      </c>
      <c r="E10954" s="236">
        <v>50000</v>
      </c>
      <c r="F10954" s="236"/>
      <c r="G10954" s="236">
        <f t="shared" si="177"/>
        <v>-50000</v>
      </c>
      <c r="H10954" s="244" t="s">
        <v>6977</v>
      </c>
    </row>
    <row r="10955" spans="1:8" ht="15" customHeight="1" x14ac:dyDescent="0.2">
      <c r="A10955" s="620">
        <v>44373</v>
      </c>
      <c r="B10955" s="174" t="s">
        <v>6953</v>
      </c>
      <c r="C10955" s="174" t="s">
        <v>2555</v>
      </c>
      <c r="D10955" s="812" t="s">
        <v>7028</v>
      </c>
      <c r="E10955" s="236">
        <v>30000</v>
      </c>
      <c r="F10955" s="236"/>
      <c r="G10955" s="236">
        <f t="shared" si="177"/>
        <v>-30000</v>
      </c>
      <c r="H10955" s="244" t="s">
        <v>6977</v>
      </c>
    </row>
    <row r="10956" spans="1:8" ht="15" x14ac:dyDescent="0.2">
      <c r="A10956" s="620">
        <v>44373</v>
      </c>
      <c r="B10956" s="174" t="s">
        <v>6758</v>
      </c>
      <c r="C10956" s="551" t="s">
        <v>2386</v>
      </c>
      <c r="D10956" s="893" t="s">
        <v>7029</v>
      </c>
      <c r="E10956" s="552">
        <v>53870</v>
      </c>
      <c r="F10956" s="236"/>
      <c r="G10956" s="236">
        <f t="shared" si="177"/>
        <v>-53870</v>
      </c>
      <c r="H10956" s="244" t="s">
        <v>6977</v>
      </c>
    </row>
    <row r="10957" spans="1:8" ht="15" x14ac:dyDescent="0.2">
      <c r="A10957" s="620">
        <v>44373</v>
      </c>
      <c r="B10957" s="174" t="s">
        <v>6508</v>
      </c>
      <c r="C10957" s="551" t="s">
        <v>2386</v>
      </c>
      <c r="D10957" s="904" t="s">
        <v>6789</v>
      </c>
      <c r="E10957" s="552">
        <v>16130</v>
      </c>
      <c r="F10957" s="236"/>
      <c r="G10957" s="236">
        <f t="shared" si="177"/>
        <v>-16130</v>
      </c>
      <c r="H10957" s="244" t="s">
        <v>6977</v>
      </c>
    </row>
    <row r="10958" spans="1:8" ht="15" x14ac:dyDescent="0.2">
      <c r="A10958" s="620">
        <v>44373</v>
      </c>
      <c r="B10958" s="174" t="s">
        <v>6518</v>
      </c>
      <c r="C10958" s="174" t="s">
        <v>6822</v>
      </c>
      <c r="D10958" s="812" t="s">
        <v>7030</v>
      </c>
      <c r="E10958" s="236">
        <v>100000</v>
      </c>
      <c r="F10958" s="236"/>
      <c r="G10958" s="236">
        <f t="shared" si="177"/>
        <v>-100000</v>
      </c>
      <c r="H10958" s="244" t="s">
        <v>6977</v>
      </c>
    </row>
    <row r="10959" spans="1:8" ht="15" x14ac:dyDescent="0.2">
      <c r="A10959" s="620">
        <v>44373</v>
      </c>
      <c r="B10959" s="174" t="s">
        <v>16</v>
      </c>
      <c r="C10959" s="551" t="s">
        <v>7031</v>
      </c>
      <c r="D10959" s="893" t="s">
        <v>7032</v>
      </c>
      <c r="E10959" s="552">
        <v>102704</v>
      </c>
      <c r="F10959" s="236"/>
      <c r="G10959" s="236">
        <f t="shared" si="177"/>
        <v>-102704</v>
      </c>
      <c r="H10959" s="244" t="s">
        <v>6977</v>
      </c>
    </row>
    <row r="10960" spans="1:8" ht="15" x14ac:dyDescent="0.2">
      <c r="A10960" s="620">
        <v>44373</v>
      </c>
      <c r="B10960" s="174" t="s">
        <v>16</v>
      </c>
      <c r="C10960" s="551" t="s">
        <v>7031</v>
      </c>
      <c r="D10960" s="893" t="s">
        <v>6789</v>
      </c>
      <c r="E10960" s="552">
        <v>54313</v>
      </c>
      <c r="F10960" s="236"/>
      <c r="G10960" s="236">
        <f t="shared" si="177"/>
        <v>-54313</v>
      </c>
      <c r="H10960" s="244" t="s">
        <v>6977</v>
      </c>
    </row>
    <row r="10961" spans="1:8" ht="15" x14ac:dyDescent="0.2">
      <c r="A10961" s="620">
        <v>44373</v>
      </c>
      <c r="B10961" s="174" t="s">
        <v>16</v>
      </c>
      <c r="C10961" s="551" t="s">
        <v>7031</v>
      </c>
      <c r="D10961" s="893" t="s">
        <v>6789</v>
      </c>
      <c r="E10961" s="552">
        <v>50642</v>
      </c>
      <c r="F10961" s="236"/>
      <c r="G10961" s="236">
        <f t="shared" si="177"/>
        <v>-50642</v>
      </c>
      <c r="H10961" s="244" t="s">
        <v>6977</v>
      </c>
    </row>
    <row r="10962" spans="1:8" ht="15" x14ac:dyDescent="0.2">
      <c r="A10962" s="620">
        <v>44375</v>
      </c>
      <c r="B10962" s="174" t="s">
        <v>1400</v>
      </c>
      <c r="C10962" s="650" t="s">
        <v>7064</v>
      </c>
      <c r="D10962" s="894" t="s">
        <v>7065</v>
      </c>
      <c r="E10962" s="651">
        <v>23500</v>
      </c>
      <c r="F10962" s="236"/>
      <c r="G10962" s="236">
        <f t="shared" si="177"/>
        <v>-23500</v>
      </c>
      <c r="H10962" s="244" t="s">
        <v>6977</v>
      </c>
    </row>
    <row r="10963" spans="1:8" ht="15" x14ac:dyDescent="0.2">
      <c r="A10963" s="620">
        <v>44375</v>
      </c>
      <c r="B10963" s="174" t="s">
        <v>2933</v>
      </c>
      <c r="C10963" s="650" t="s">
        <v>7064</v>
      </c>
      <c r="D10963" s="905" t="s">
        <v>6789</v>
      </c>
      <c r="E10963" s="651">
        <v>18500</v>
      </c>
      <c r="F10963" s="236"/>
      <c r="G10963" s="236">
        <f t="shared" si="177"/>
        <v>-18500</v>
      </c>
      <c r="H10963" s="244" t="s">
        <v>6977</v>
      </c>
    </row>
    <row r="10964" spans="1:8" ht="15" x14ac:dyDescent="0.2">
      <c r="A10964" s="620">
        <v>44375</v>
      </c>
      <c r="B10964" s="174" t="s">
        <v>5641</v>
      </c>
      <c r="C10964" s="650" t="s">
        <v>7064</v>
      </c>
      <c r="D10964" s="905" t="s">
        <v>6789</v>
      </c>
      <c r="E10964" s="651">
        <v>18000</v>
      </c>
      <c r="F10964" s="236"/>
      <c r="G10964" s="236">
        <f t="shared" si="177"/>
        <v>-18000</v>
      </c>
      <c r="H10964" s="244" t="s">
        <v>6977</v>
      </c>
    </row>
    <row r="10965" spans="1:8" ht="15" x14ac:dyDescent="0.2">
      <c r="A10965" s="620">
        <v>44375</v>
      </c>
      <c r="B10965" s="174" t="s">
        <v>1400</v>
      </c>
      <c r="C10965" s="174" t="s">
        <v>7064</v>
      </c>
      <c r="D10965" s="903" t="s">
        <v>7066</v>
      </c>
      <c r="E10965" s="236">
        <v>78000</v>
      </c>
      <c r="F10965" s="236"/>
      <c r="G10965" s="236">
        <f t="shared" si="177"/>
        <v>-78000</v>
      </c>
      <c r="H10965" s="244" t="s">
        <v>6977</v>
      </c>
    </row>
    <row r="10966" spans="1:8" ht="36" x14ac:dyDescent="0.2">
      <c r="A10966" s="620">
        <v>44377</v>
      </c>
      <c r="B10966" s="174" t="s">
        <v>7067</v>
      </c>
      <c r="C10966" s="174" t="s">
        <v>2128</v>
      </c>
      <c r="D10966" s="228" t="s">
        <v>7086</v>
      </c>
      <c r="E10966" s="236">
        <v>2032139</v>
      </c>
      <c r="F10966" s="236"/>
      <c r="G10966" s="236">
        <f t="shared" si="177"/>
        <v>-2032139</v>
      </c>
      <c r="H10966" s="244" t="s">
        <v>6977</v>
      </c>
    </row>
    <row r="10967" spans="1:8" ht="15" x14ac:dyDescent="0.2">
      <c r="A10967" s="618">
        <v>44356</v>
      </c>
      <c r="B10967" s="91" t="s">
        <v>3946</v>
      </c>
      <c r="C10967" s="94" t="s">
        <v>559</v>
      </c>
      <c r="D10967" s="801" t="s">
        <v>6987</v>
      </c>
      <c r="E10967" s="92"/>
      <c r="F10967" s="92">
        <v>139113</v>
      </c>
      <c r="G10967" s="92">
        <f t="shared" si="177"/>
        <v>139113</v>
      </c>
      <c r="H10967" s="261" t="s">
        <v>6977</v>
      </c>
    </row>
    <row r="10968" spans="1:8" ht="15" x14ac:dyDescent="0.2">
      <c r="A10968" s="618">
        <v>44356</v>
      </c>
      <c r="B10968" s="91" t="s">
        <v>3945</v>
      </c>
      <c r="C10968" s="94" t="s">
        <v>559</v>
      </c>
      <c r="D10968" s="801" t="s">
        <v>6988</v>
      </c>
      <c r="E10968" s="92"/>
      <c r="F10968" s="92">
        <v>11700</v>
      </c>
      <c r="G10968" s="92">
        <f t="shared" si="177"/>
        <v>11700</v>
      </c>
      <c r="H10968" s="261" t="s">
        <v>6977</v>
      </c>
    </row>
    <row r="10969" spans="1:8" ht="15" x14ac:dyDescent="0.2">
      <c r="A10969" s="618">
        <v>44362</v>
      </c>
      <c r="B10969" s="91" t="s">
        <v>37</v>
      </c>
      <c r="C10969" s="94" t="s">
        <v>559</v>
      </c>
      <c r="D10969" s="801" t="s">
        <v>6987</v>
      </c>
      <c r="E10969" s="92"/>
      <c r="F10969" s="92">
        <v>157140</v>
      </c>
      <c r="G10969" s="92">
        <f t="shared" si="177"/>
        <v>157140</v>
      </c>
      <c r="H10969" s="261" t="s">
        <v>6977</v>
      </c>
    </row>
    <row r="10970" spans="1:8" ht="15" x14ac:dyDescent="0.2">
      <c r="A10970" s="618">
        <v>44362</v>
      </c>
      <c r="B10970" s="91" t="s">
        <v>37</v>
      </c>
      <c r="C10970" s="94" t="s">
        <v>559</v>
      </c>
      <c r="D10970" s="801" t="s">
        <v>7014</v>
      </c>
      <c r="E10970" s="92"/>
      <c r="F10970" s="92">
        <v>157140</v>
      </c>
      <c r="G10970" s="92">
        <f t="shared" si="177"/>
        <v>157140</v>
      </c>
      <c r="H10970" s="261" t="s">
        <v>6977</v>
      </c>
    </row>
    <row r="10971" spans="1:8" ht="36" x14ac:dyDescent="0.2">
      <c r="A10971" s="618">
        <v>44363</v>
      </c>
      <c r="B10971" s="94" t="s">
        <v>1400</v>
      </c>
      <c r="C10971" s="94" t="s">
        <v>559</v>
      </c>
      <c r="D10971" s="802" t="s">
        <v>7018</v>
      </c>
      <c r="E10971" s="176"/>
      <c r="F10971" s="176">
        <v>789240</v>
      </c>
      <c r="G10971" s="176">
        <f t="shared" si="177"/>
        <v>789240</v>
      </c>
      <c r="H10971" s="261" t="s">
        <v>6977</v>
      </c>
    </row>
    <row r="10972" spans="1:8" ht="15" x14ac:dyDescent="0.2">
      <c r="A10972" s="618">
        <v>44368</v>
      </c>
      <c r="B10972" s="91" t="s">
        <v>1400</v>
      </c>
      <c r="C10972" s="94" t="s">
        <v>559</v>
      </c>
      <c r="D10972" s="801" t="s">
        <v>7020</v>
      </c>
      <c r="E10972" s="92"/>
      <c r="F10972" s="92">
        <v>3500000</v>
      </c>
      <c r="G10972" s="92">
        <f t="shared" si="177"/>
        <v>3500000</v>
      </c>
      <c r="H10972" s="261" t="s">
        <v>6977</v>
      </c>
    </row>
    <row r="10973" spans="1:8" ht="15" x14ac:dyDescent="0.2">
      <c r="A10973" s="618">
        <v>44372</v>
      </c>
      <c r="B10973" s="91" t="s">
        <v>82</v>
      </c>
      <c r="C10973" s="94" t="s">
        <v>559</v>
      </c>
      <c r="D10973" s="801" t="s">
        <v>7022</v>
      </c>
      <c r="E10973" s="92"/>
      <c r="F10973" s="92">
        <v>119150</v>
      </c>
      <c r="G10973" s="92">
        <f t="shared" si="177"/>
        <v>119150</v>
      </c>
      <c r="H10973" s="261" t="s">
        <v>6977</v>
      </c>
    </row>
    <row r="10974" spans="1:8" ht="24" x14ac:dyDescent="0.2">
      <c r="A10974" s="618">
        <v>44377</v>
      </c>
      <c r="B10974" s="91" t="s">
        <v>1400</v>
      </c>
      <c r="C10974" s="94" t="s">
        <v>559</v>
      </c>
      <c r="D10974" s="798" t="s">
        <v>7257</v>
      </c>
      <c r="E10974" s="92"/>
      <c r="F10974" s="92">
        <v>167125</v>
      </c>
      <c r="G10974" s="92">
        <f t="shared" si="177"/>
        <v>167125</v>
      </c>
      <c r="H10974" s="261" t="s">
        <v>6977</v>
      </c>
    </row>
    <row r="10975" spans="1:8" ht="15" x14ac:dyDescent="0.2">
      <c r="A10975" s="618">
        <v>44377</v>
      </c>
      <c r="B10975" s="91" t="s">
        <v>3946</v>
      </c>
      <c r="C10975" s="94" t="s">
        <v>559</v>
      </c>
      <c r="D10975" s="801" t="s">
        <v>7014</v>
      </c>
      <c r="E10975" s="92"/>
      <c r="F10975" s="92">
        <v>139113</v>
      </c>
      <c r="G10975" s="92">
        <f t="shared" si="177"/>
        <v>139113</v>
      </c>
      <c r="H10975" s="261" t="s">
        <v>6977</v>
      </c>
    </row>
    <row r="10976" spans="1:8" ht="15" x14ac:dyDescent="0.2">
      <c r="A10976" s="618">
        <v>44377</v>
      </c>
      <c r="B10976" s="91" t="s">
        <v>3945</v>
      </c>
      <c r="C10976" s="94" t="s">
        <v>559</v>
      </c>
      <c r="D10976" s="801" t="s">
        <v>7014</v>
      </c>
      <c r="E10976" s="92"/>
      <c r="F10976" s="92">
        <v>53505</v>
      </c>
      <c r="G10976" s="92">
        <f t="shared" si="177"/>
        <v>53505</v>
      </c>
      <c r="H10976" s="261" t="s">
        <v>6977</v>
      </c>
    </row>
    <row r="10977" spans="1:8" ht="24" x14ac:dyDescent="0.2">
      <c r="A10977" s="618">
        <v>44377</v>
      </c>
      <c r="B10977" s="94" t="s">
        <v>6511</v>
      </c>
      <c r="C10977" s="94" t="s">
        <v>559</v>
      </c>
      <c r="D10977" s="802" t="s">
        <v>7069</v>
      </c>
      <c r="E10977" s="176"/>
      <c r="F10977" s="176">
        <v>2032139</v>
      </c>
      <c r="G10977" s="176">
        <f t="shared" si="177"/>
        <v>2032139</v>
      </c>
      <c r="H10977" s="261" t="s">
        <v>6977</v>
      </c>
    </row>
    <row r="10978" spans="1:8" ht="15" x14ac:dyDescent="0.2">
      <c r="A10978" s="619">
        <v>44378</v>
      </c>
      <c r="B10978" s="41" t="s">
        <v>6511</v>
      </c>
      <c r="C10978" s="41" t="s">
        <v>4908</v>
      </c>
      <c r="D10978" s="108" t="s">
        <v>734</v>
      </c>
      <c r="E10978" s="58">
        <v>20000</v>
      </c>
      <c r="F10978" s="58"/>
      <c r="G10978" s="126">
        <f t="shared" si="177"/>
        <v>-20000</v>
      </c>
      <c r="H10978" s="121" t="s">
        <v>7071</v>
      </c>
    </row>
    <row r="10979" spans="1:8" ht="15" x14ac:dyDescent="0.2">
      <c r="A10979" s="619">
        <v>44378</v>
      </c>
      <c r="B10979" s="41" t="s">
        <v>6508</v>
      </c>
      <c r="C10979" s="222" t="s">
        <v>6586</v>
      </c>
      <c r="D10979" s="108" t="s">
        <v>2711</v>
      </c>
      <c r="E10979" s="58">
        <v>36950</v>
      </c>
      <c r="F10979" s="58"/>
      <c r="G10979" s="126">
        <f t="shared" si="177"/>
        <v>-36950</v>
      </c>
      <c r="H10979" s="121" t="s">
        <v>7071</v>
      </c>
    </row>
    <row r="10980" spans="1:8" ht="15" x14ac:dyDescent="0.2">
      <c r="A10980" s="619">
        <v>44378</v>
      </c>
      <c r="B10980" s="41" t="s">
        <v>7067</v>
      </c>
      <c r="C10980" s="41" t="s">
        <v>5741</v>
      </c>
      <c r="E10980" s="58">
        <v>1500</v>
      </c>
      <c r="F10980" s="58"/>
      <c r="G10980" s="126">
        <f t="shared" si="177"/>
        <v>-1500</v>
      </c>
      <c r="H10980" s="121" t="s">
        <v>7071</v>
      </c>
    </row>
    <row r="10981" spans="1:8" ht="15" x14ac:dyDescent="0.2">
      <c r="A10981" s="619">
        <v>44378</v>
      </c>
      <c r="B10981" s="41" t="s">
        <v>6508</v>
      </c>
      <c r="C10981" s="629" t="s">
        <v>3145</v>
      </c>
      <c r="D10981" s="895" t="s">
        <v>7101</v>
      </c>
      <c r="E10981" s="630">
        <v>9000</v>
      </c>
      <c r="F10981" s="58"/>
      <c r="G10981" s="126">
        <f t="shared" si="177"/>
        <v>-9000</v>
      </c>
      <c r="H10981" s="121" t="s">
        <v>7071</v>
      </c>
    </row>
    <row r="10982" spans="1:8" ht="15" x14ac:dyDescent="0.2">
      <c r="A10982" s="619">
        <v>44378</v>
      </c>
      <c r="B10982" s="41" t="s">
        <v>7067</v>
      </c>
      <c r="C10982" s="629" t="s">
        <v>3145</v>
      </c>
      <c r="D10982" s="895" t="s">
        <v>7101</v>
      </c>
      <c r="E10982" s="630">
        <v>8236</v>
      </c>
      <c r="F10982" s="58"/>
      <c r="G10982" s="126">
        <f t="shared" si="177"/>
        <v>-8236</v>
      </c>
      <c r="H10982" s="121" t="s">
        <v>7071</v>
      </c>
    </row>
    <row r="10983" spans="1:8" ht="15" x14ac:dyDescent="0.2">
      <c r="A10983" s="619">
        <v>44378</v>
      </c>
      <c r="B10983" s="41" t="s">
        <v>7067</v>
      </c>
      <c r="C10983" s="41" t="s">
        <v>2190</v>
      </c>
      <c r="E10983" s="58">
        <v>475</v>
      </c>
      <c r="F10983" s="58"/>
      <c r="G10983" s="126">
        <f t="shared" si="177"/>
        <v>-475</v>
      </c>
      <c r="H10983" s="121" t="s">
        <v>7071</v>
      </c>
    </row>
    <row r="10984" spans="1:8" ht="15" x14ac:dyDescent="0.2">
      <c r="A10984" s="619">
        <v>44378</v>
      </c>
      <c r="B10984" s="41" t="s">
        <v>7067</v>
      </c>
      <c r="C10984" s="41" t="s">
        <v>2190</v>
      </c>
      <c r="E10984" s="58">
        <v>300</v>
      </c>
      <c r="F10984" s="58"/>
      <c r="G10984" s="126">
        <f t="shared" si="177"/>
        <v>-300</v>
      </c>
      <c r="H10984" s="121" t="s">
        <v>7071</v>
      </c>
    </row>
    <row r="10985" spans="1:8" ht="15" x14ac:dyDescent="0.2">
      <c r="A10985" s="619">
        <v>44378</v>
      </c>
      <c r="B10985" s="41" t="s">
        <v>7067</v>
      </c>
      <c r="C10985" s="41" t="s">
        <v>2190</v>
      </c>
      <c r="E10985" s="58">
        <v>300</v>
      </c>
      <c r="F10985" s="58"/>
      <c r="G10985" s="126">
        <f t="shared" si="177"/>
        <v>-300</v>
      </c>
      <c r="H10985" s="121" t="s">
        <v>7071</v>
      </c>
    </row>
    <row r="10986" spans="1:8" ht="15" x14ac:dyDescent="0.2">
      <c r="A10986" s="619">
        <v>44378</v>
      </c>
      <c r="B10986" s="41" t="s">
        <v>7067</v>
      </c>
      <c r="C10986" s="41" t="s">
        <v>2190</v>
      </c>
      <c r="E10986" s="58">
        <v>350</v>
      </c>
      <c r="F10986" s="58"/>
      <c r="G10986" s="126">
        <f t="shared" si="177"/>
        <v>-350</v>
      </c>
      <c r="H10986" s="121" t="s">
        <v>7071</v>
      </c>
    </row>
    <row r="10987" spans="1:8" ht="15" x14ac:dyDescent="0.2">
      <c r="A10987" s="619">
        <v>44378</v>
      </c>
      <c r="B10987" s="41" t="s">
        <v>7067</v>
      </c>
      <c r="C10987" s="41" t="s">
        <v>3145</v>
      </c>
      <c r="D10987" s="108" t="s">
        <v>392</v>
      </c>
      <c r="E10987" s="58">
        <v>6400</v>
      </c>
      <c r="F10987" s="58"/>
      <c r="G10987" s="126">
        <f t="shared" si="177"/>
        <v>-6400</v>
      </c>
      <c r="H10987" s="121" t="s">
        <v>7071</v>
      </c>
    </row>
    <row r="10988" spans="1:8" ht="15" x14ac:dyDescent="0.2">
      <c r="A10988" s="619">
        <v>44379</v>
      </c>
      <c r="B10988" s="41" t="s">
        <v>7067</v>
      </c>
      <c r="C10988" s="41" t="s">
        <v>778</v>
      </c>
      <c r="D10988" s="108" t="s">
        <v>7102</v>
      </c>
      <c r="E10988" s="58">
        <v>10000</v>
      </c>
      <c r="F10988" s="58"/>
      <c r="G10988" s="126">
        <f t="shared" si="177"/>
        <v>-10000</v>
      </c>
      <c r="H10988" s="121" t="s">
        <v>7071</v>
      </c>
    </row>
    <row r="10989" spans="1:8" ht="15" x14ac:dyDescent="0.2">
      <c r="A10989" s="619">
        <v>44379</v>
      </c>
      <c r="B10989" s="41" t="s">
        <v>6408</v>
      </c>
      <c r="C10989" s="41" t="s">
        <v>2503</v>
      </c>
      <c r="D10989" s="108" t="s">
        <v>6704</v>
      </c>
      <c r="E10989" s="58">
        <v>23600</v>
      </c>
      <c r="F10989" s="58"/>
      <c r="G10989" s="126">
        <f t="shared" si="177"/>
        <v>-23600</v>
      </c>
      <c r="H10989" s="121" t="s">
        <v>7071</v>
      </c>
    </row>
    <row r="10990" spans="1:8" ht="15" x14ac:dyDescent="0.2">
      <c r="A10990" s="619">
        <v>44379</v>
      </c>
      <c r="B10990" s="41" t="s">
        <v>2933</v>
      </c>
      <c r="C10990" s="629" t="s">
        <v>3145</v>
      </c>
      <c r="D10990" s="895" t="s">
        <v>7101</v>
      </c>
      <c r="E10990" s="630">
        <v>4410</v>
      </c>
      <c r="F10990" s="58"/>
      <c r="G10990" s="126">
        <f t="shared" si="177"/>
        <v>-4410</v>
      </c>
      <c r="H10990" s="121" t="s">
        <v>7071</v>
      </c>
    </row>
    <row r="10991" spans="1:8" ht="15" x14ac:dyDescent="0.2">
      <c r="A10991" s="619">
        <v>44379</v>
      </c>
      <c r="B10991" s="41" t="s">
        <v>7067</v>
      </c>
      <c r="C10991" s="629" t="s">
        <v>3145</v>
      </c>
      <c r="D10991" s="895" t="s">
        <v>7101</v>
      </c>
      <c r="E10991" s="630">
        <v>8200</v>
      </c>
      <c r="F10991" s="58"/>
      <c r="G10991" s="126">
        <f t="shared" si="177"/>
        <v>-8200</v>
      </c>
      <c r="H10991" s="121" t="s">
        <v>7071</v>
      </c>
    </row>
    <row r="10992" spans="1:8" ht="15" x14ac:dyDescent="0.2">
      <c r="A10992" s="619">
        <v>44379</v>
      </c>
      <c r="B10992" s="41" t="s">
        <v>6408</v>
      </c>
      <c r="C10992" s="41" t="s">
        <v>3145</v>
      </c>
      <c r="D10992" s="108" t="s">
        <v>6942</v>
      </c>
      <c r="E10992" s="58">
        <v>4190</v>
      </c>
      <c r="F10992" s="58"/>
      <c r="G10992" s="126">
        <f t="shared" si="177"/>
        <v>-4190</v>
      </c>
      <c r="H10992" s="121" t="s">
        <v>7071</v>
      </c>
    </row>
    <row r="10993" spans="1:8" ht="15" x14ac:dyDescent="0.2">
      <c r="A10993" s="619">
        <v>44380</v>
      </c>
      <c r="B10993" s="41" t="s">
        <v>2933</v>
      </c>
      <c r="C10993" s="41" t="s">
        <v>7161</v>
      </c>
      <c r="D10993" s="108" t="s">
        <v>7103</v>
      </c>
      <c r="E10993" s="58">
        <v>20000</v>
      </c>
      <c r="F10993" s="58"/>
      <c r="G10993" s="126">
        <f t="shared" si="177"/>
        <v>-20000</v>
      </c>
      <c r="H10993" s="121" t="s">
        <v>7071</v>
      </c>
    </row>
    <row r="10994" spans="1:8" ht="15" x14ac:dyDescent="0.2">
      <c r="A10994" s="619">
        <v>44380</v>
      </c>
      <c r="B10994" s="41" t="s">
        <v>7067</v>
      </c>
      <c r="C10994" s="41" t="s">
        <v>5741</v>
      </c>
      <c r="E10994" s="58">
        <v>1000</v>
      </c>
      <c r="F10994" s="58"/>
      <c r="G10994" s="126">
        <f t="shared" si="177"/>
        <v>-1000</v>
      </c>
      <c r="H10994" s="121" t="s">
        <v>7071</v>
      </c>
    </row>
    <row r="10995" spans="1:8" ht="15" x14ac:dyDescent="0.2">
      <c r="A10995" s="619">
        <v>44380</v>
      </c>
      <c r="B10995" s="41" t="s">
        <v>7067</v>
      </c>
      <c r="C10995" s="41" t="s">
        <v>7104</v>
      </c>
      <c r="D10995" s="108" t="s">
        <v>370</v>
      </c>
      <c r="E10995" s="58">
        <v>5000</v>
      </c>
      <c r="F10995" s="58"/>
      <c r="G10995" s="126">
        <f t="shared" si="177"/>
        <v>-5000</v>
      </c>
      <c r="H10995" s="121" t="s">
        <v>7071</v>
      </c>
    </row>
    <row r="10996" spans="1:8" ht="15" x14ac:dyDescent="0.2">
      <c r="A10996" s="619">
        <v>44380</v>
      </c>
      <c r="B10996" s="41" t="s">
        <v>7067</v>
      </c>
      <c r="C10996" s="41" t="s">
        <v>392</v>
      </c>
      <c r="D10996" s="108" t="s">
        <v>7105</v>
      </c>
      <c r="E10996" s="58">
        <v>5650</v>
      </c>
      <c r="F10996" s="58"/>
      <c r="G10996" s="126">
        <f t="shared" si="177"/>
        <v>-5650</v>
      </c>
      <c r="H10996" s="121" t="s">
        <v>7071</v>
      </c>
    </row>
    <row r="10997" spans="1:8" ht="15" x14ac:dyDescent="0.2">
      <c r="A10997" s="619">
        <v>44380</v>
      </c>
      <c r="B10997" s="41" t="s">
        <v>16</v>
      </c>
      <c r="C10997" s="41" t="s">
        <v>1495</v>
      </c>
      <c r="E10997" s="58">
        <v>1300</v>
      </c>
      <c r="F10997" s="58"/>
      <c r="G10997" s="126">
        <f t="shared" si="177"/>
        <v>-1300</v>
      </c>
      <c r="H10997" s="121" t="s">
        <v>7071</v>
      </c>
    </row>
    <row r="10998" spans="1:8" ht="15" x14ac:dyDescent="0.2">
      <c r="A10998" s="619">
        <v>44382</v>
      </c>
      <c r="B10998" s="41" t="s">
        <v>7067</v>
      </c>
      <c r="C10998" s="41" t="s">
        <v>3145</v>
      </c>
      <c r="D10998" s="108" t="s">
        <v>7106</v>
      </c>
      <c r="E10998" s="58">
        <v>51221</v>
      </c>
      <c r="F10998" s="58"/>
      <c r="G10998" s="126">
        <f t="shared" si="177"/>
        <v>-51221</v>
      </c>
      <c r="H10998" s="121" t="s">
        <v>7071</v>
      </c>
    </row>
    <row r="10999" spans="1:8" ht="15" x14ac:dyDescent="0.2">
      <c r="A10999" s="619">
        <v>44382</v>
      </c>
      <c r="B10999" s="41" t="s">
        <v>16</v>
      </c>
      <c r="C10999" s="41" t="s">
        <v>7056</v>
      </c>
      <c r="E10999" s="58">
        <v>5000</v>
      </c>
      <c r="F10999" s="58"/>
      <c r="G10999" s="126">
        <f t="shared" si="177"/>
        <v>-5000</v>
      </c>
      <c r="H10999" s="121" t="s">
        <v>7071</v>
      </c>
    </row>
    <row r="11000" spans="1:8" ht="15" x14ac:dyDescent="0.2">
      <c r="A11000" s="619">
        <v>44382</v>
      </c>
      <c r="B11000" s="41" t="s">
        <v>16</v>
      </c>
      <c r="C11000" s="41" t="s">
        <v>7056</v>
      </c>
      <c r="D11000" s="108" t="s">
        <v>3787</v>
      </c>
      <c r="E11000" s="58">
        <v>20000</v>
      </c>
      <c r="F11000" s="58"/>
      <c r="G11000" s="126">
        <f t="shared" si="177"/>
        <v>-20000</v>
      </c>
      <c r="H11000" s="121" t="s">
        <v>7071</v>
      </c>
    </row>
    <row r="11001" spans="1:8" ht="15" x14ac:dyDescent="0.2">
      <c r="A11001" s="619">
        <v>44382</v>
      </c>
      <c r="B11001" s="41" t="s">
        <v>37</v>
      </c>
      <c r="C11001" s="41" t="s">
        <v>392</v>
      </c>
      <c r="D11001" s="108" t="s">
        <v>7107</v>
      </c>
      <c r="E11001" s="58">
        <v>2000</v>
      </c>
      <c r="F11001" s="58"/>
      <c r="G11001" s="126">
        <f t="shared" si="177"/>
        <v>-2000</v>
      </c>
      <c r="H11001" s="121" t="s">
        <v>7071</v>
      </c>
    </row>
    <row r="11002" spans="1:8" ht="15" x14ac:dyDescent="0.2">
      <c r="A11002" s="619">
        <v>44382</v>
      </c>
      <c r="B11002" s="41" t="s">
        <v>37</v>
      </c>
      <c r="C11002" s="41" t="s">
        <v>392</v>
      </c>
      <c r="D11002" s="108" t="s">
        <v>7108</v>
      </c>
      <c r="E11002" s="58">
        <v>2000</v>
      </c>
      <c r="F11002" s="58"/>
      <c r="G11002" s="126">
        <f t="shared" si="177"/>
        <v>-2000</v>
      </c>
      <c r="H11002" s="121" t="s">
        <v>7071</v>
      </c>
    </row>
    <row r="11003" spans="1:8" ht="15" x14ac:dyDescent="0.2">
      <c r="A11003" s="619">
        <v>44382</v>
      </c>
      <c r="B11003" s="41" t="s">
        <v>3946</v>
      </c>
      <c r="C11003" s="41" t="s">
        <v>6476</v>
      </c>
      <c r="D11003" s="108" t="s">
        <v>7109</v>
      </c>
      <c r="E11003" s="58">
        <v>20000</v>
      </c>
      <c r="F11003" s="58"/>
      <c r="G11003" s="126">
        <f t="shared" si="177"/>
        <v>-20000</v>
      </c>
      <c r="H11003" s="121" t="s">
        <v>7071</v>
      </c>
    </row>
    <row r="11004" spans="1:8" ht="15" x14ac:dyDescent="0.2">
      <c r="A11004" s="619">
        <v>44382</v>
      </c>
      <c r="B11004" s="41" t="s">
        <v>6511</v>
      </c>
      <c r="C11004" s="41" t="s">
        <v>6378</v>
      </c>
      <c r="D11004" s="108" t="s">
        <v>7110</v>
      </c>
      <c r="E11004" s="58">
        <v>200000</v>
      </c>
      <c r="F11004" s="58"/>
      <c r="G11004" s="126">
        <f t="shared" si="177"/>
        <v>-200000</v>
      </c>
      <c r="H11004" s="121" t="s">
        <v>7071</v>
      </c>
    </row>
    <row r="11005" spans="1:8" ht="15" x14ac:dyDescent="0.2">
      <c r="A11005" s="619">
        <v>44383</v>
      </c>
      <c r="B11005" s="63" t="s">
        <v>6518</v>
      </c>
      <c r="C11005" s="63" t="s">
        <v>6527</v>
      </c>
      <c r="D11005" s="108" t="s">
        <v>7100</v>
      </c>
      <c r="E11005" s="126">
        <v>150000</v>
      </c>
      <c r="F11005" s="126"/>
      <c r="G11005" s="126">
        <f t="shared" si="177"/>
        <v>-150000</v>
      </c>
      <c r="H11005" s="121" t="s">
        <v>7071</v>
      </c>
    </row>
    <row r="11006" spans="1:8" ht="15" x14ac:dyDescent="0.2">
      <c r="A11006" s="619">
        <v>44383</v>
      </c>
      <c r="B11006" s="63" t="s">
        <v>6953</v>
      </c>
      <c r="C11006" s="63" t="s">
        <v>2555</v>
      </c>
      <c r="D11006" s="108" t="s">
        <v>1157</v>
      </c>
      <c r="E11006" s="126">
        <v>20000</v>
      </c>
      <c r="F11006" s="126"/>
      <c r="G11006" s="126">
        <f t="shared" si="177"/>
        <v>-20000</v>
      </c>
      <c r="H11006" s="121" t="s">
        <v>7071</v>
      </c>
    </row>
    <row r="11007" spans="1:8" ht="15" x14ac:dyDescent="0.2">
      <c r="A11007" s="619">
        <v>44383</v>
      </c>
      <c r="B11007" s="63" t="s">
        <v>6953</v>
      </c>
      <c r="C11007" s="63" t="s">
        <v>2338</v>
      </c>
      <c r="D11007" s="108" t="s">
        <v>370</v>
      </c>
      <c r="E11007" s="126">
        <v>15000</v>
      </c>
      <c r="F11007" s="126"/>
      <c r="G11007" s="126">
        <f t="shared" si="177"/>
        <v>-15000</v>
      </c>
      <c r="H11007" s="121" t="s">
        <v>7071</v>
      </c>
    </row>
    <row r="11008" spans="1:8" ht="15" x14ac:dyDescent="0.2">
      <c r="A11008" s="619">
        <v>44383</v>
      </c>
      <c r="B11008" s="63" t="s">
        <v>7067</v>
      </c>
      <c r="C11008" s="63" t="s">
        <v>2190</v>
      </c>
      <c r="E11008" s="126">
        <v>990</v>
      </c>
      <c r="F11008" s="126"/>
      <c r="G11008" s="126">
        <f t="shared" si="177"/>
        <v>-990</v>
      </c>
      <c r="H11008" s="121" t="s">
        <v>7071</v>
      </c>
    </row>
    <row r="11009" spans="1:8" ht="15" x14ac:dyDescent="0.2">
      <c r="A11009" s="619">
        <v>44383</v>
      </c>
      <c r="B11009" s="63" t="s">
        <v>7067</v>
      </c>
      <c r="C11009" s="63" t="s">
        <v>778</v>
      </c>
      <c r="E11009" s="126">
        <v>13000</v>
      </c>
      <c r="F11009" s="126"/>
      <c r="G11009" s="126">
        <f t="shared" si="177"/>
        <v>-13000</v>
      </c>
      <c r="H11009" s="121" t="s">
        <v>7071</v>
      </c>
    </row>
    <row r="11010" spans="1:8" ht="15" x14ac:dyDescent="0.2">
      <c r="A11010" s="619">
        <v>44383</v>
      </c>
      <c r="B11010" s="63" t="s">
        <v>6408</v>
      </c>
      <c r="C11010" s="63" t="s">
        <v>392</v>
      </c>
      <c r="D11010" s="108" t="s">
        <v>1228</v>
      </c>
      <c r="E11010" s="126">
        <v>120</v>
      </c>
      <c r="F11010" s="126"/>
      <c r="G11010" s="126">
        <f t="shared" si="177"/>
        <v>-120</v>
      </c>
      <c r="H11010" s="121" t="s">
        <v>7071</v>
      </c>
    </row>
    <row r="11011" spans="1:8" ht="15" x14ac:dyDescent="0.2">
      <c r="A11011" s="619">
        <v>44383</v>
      </c>
      <c r="B11011" s="63" t="s">
        <v>2933</v>
      </c>
      <c r="C11011" s="63" t="s">
        <v>2503</v>
      </c>
      <c r="D11011" s="108" t="s">
        <v>7114</v>
      </c>
      <c r="E11011" s="126">
        <v>19000</v>
      </c>
      <c r="F11011" s="126"/>
      <c r="G11011" s="126">
        <f t="shared" si="177"/>
        <v>-19000</v>
      </c>
      <c r="H11011" s="121" t="s">
        <v>7071</v>
      </c>
    </row>
    <row r="11012" spans="1:8" ht="15" x14ac:dyDescent="0.2">
      <c r="A11012" s="619">
        <v>44383</v>
      </c>
      <c r="B11012" s="63" t="s">
        <v>2933</v>
      </c>
      <c r="C11012" s="63" t="s">
        <v>392</v>
      </c>
      <c r="D11012" s="108" t="s">
        <v>7115</v>
      </c>
      <c r="E11012" s="126">
        <v>600</v>
      </c>
      <c r="F11012" s="126"/>
      <c r="G11012" s="126">
        <f t="shared" si="177"/>
        <v>-600</v>
      </c>
      <c r="H11012" s="121" t="s">
        <v>7071</v>
      </c>
    </row>
    <row r="11013" spans="1:8" ht="15" x14ac:dyDescent="0.2">
      <c r="A11013" s="619">
        <v>44383</v>
      </c>
      <c r="B11013" s="63" t="s">
        <v>6511</v>
      </c>
      <c r="C11013" s="63" t="s">
        <v>392</v>
      </c>
      <c r="D11013" s="108" t="s">
        <v>7116</v>
      </c>
      <c r="E11013" s="126">
        <v>2000</v>
      </c>
      <c r="F11013" s="126"/>
      <c r="G11013" s="126">
        <f t="shared" ref="G11013:G11076" si="178">F11013-E11013</f>
        <v>-2000</v>
      </c>
      <c r="H11013" s="121" t="s">
        <v>7071</v>
      </c>
    </row>
    <row r="11014" spans="1:8" ht="15" x14ac:dyDescent="0.2">
      <c r="A11014" s="619">
        <v>44384</v>
      </c>
      <c r="B11014" s="63" t="s">
        <v>3946</v>
      </c>
      <c r="C11014" s="63" t="s">
        <v>3145</v>
      </c>
      <c r="D11014" s="108" t="s">
        <v>7117</v>
      </c>
      <c r="E11014" s="126">
        <v>7880</v>
      </c>
      <c r="F11014" s="126"/>
      <c r="G11014" s="126">
        <f t="shared" si="178"/>
        <v>-7880</v>
      </c>
      <c r="H11014" s="121" t="s">
        <v>7071</v>
      </c>
    </row>
    <row r="11015" spans="1:8" ht="15" x14ac:dyDescent="0.2">
      <c r="A11015" s="619">
        <v>44384</v>
      </c>
      <c r="B11015" s="63" t="s">
        <v>6511</v>
      </c>
      <c r="C11015" s="63" t="s">
        <v>3145</v>
      </c>
      <c r="D11015" s="108" t="s">
        <v>7118</v>
      </c>
      <c r="E11015" s="126">
        <v>4200</v>
      </c>
      <c r="F11015" s="126"/>
      <c r="G11015" s="126">
        <f t="shared" si="178"/>
        <v>-4200</v>
      </c>
      <c r="H11015" s="121" t="s">
        <v>7071</v>
      </c>
    </row>
    <row r="11016" spans="1:8" ht="15" x14ac:dyDescent="0.2">
      <c r="A11016" s="619">
        <v>44384</v>
      </c>
      <c r="B11016" s="63" t="s">
        <v>7067</v>
      </c>
      <c r="C11016" s="63" t="s">
        <v>2190</v>
      </c>
      <c r="E11016" s="126">
        <v>900</v>
      </c>
      <c r="F11016" s="126"/>
      <c r="G11016" s="126">
        <f t="shared" si="178"/>
        <v>-900</v>
      </c>
      <c r="H11016" s="121" t="s">
        <v>7071</v>
      </c>
    </row>
    <row r="11017" spans="1:8" ht="15" x14ac:dyDescent="0.2">
      <c r="A11017" s="619">
        <v>44384</v>
      </c>
      <c r="B11017" s="63" t="s">
        <v>1400</v>
      </c>
      <c r="C11017" s="63" t="s">
        <v>3145</v>
      </c>
      <c r="D11017" s="108" t="s">
        <v>4450</v>
      </c>
      <c r="E11017" s="126">
        <v>27622</v>
      </c>
      <c r="F11017" s="126"/>
      <c r="G11017" s="126">
        <f t="shared" si="178"/>
        <v>-27622</v>
      </c>
      <c r="H11017" s="121" t="s">
        <v>7071</v>
      </c>
    </row>
    <row r="11018" spans="1:8" ht="15" x14ac:dyDescent="0.2">
      <c r="A11018" s="619">
        <v>44384</v>
      </c>
      <c r="B11018" s="63" t="s">
        <v>1400</v>
      </c>
      <c r="C11018" s="63" t="s">
        <v>7119</v>
      </c>
      <c r="D11018" s="108" t="s">
        <v>7120</v>
      </c>
      <c r="E11018" s="126">
        <v>82000</v>
      </c>
      <c r="F11018" s="126"/>
      <c r="G11018" s="126">
        <f t="shared" si="178"/>
        <v>-82000</v>
      </c>
      <c r="H11018" s="121" t="s">
        <v>7071</v>
      </c>
    </row>
    <row r="11019" spans="1:8" ht="15" x14ac:dyDescent="0.2">
      <c r="A11019" s="619">
        <v>44384</v>
      </c>
      <c r="B11019" s="63" t="s">
        <v>1400</v>
      </c>
      <c r="C11019" s="63" t="s">
        <v>392</v>
      </c>
      <c r="D11019" s="108" t="s">
        <v>7079</v>
      </c>
      <c r="E11019" s="126">
        <v>9000</v>
      </c>
      <c r="F11019" s="126"/>
      <c r="G11019" s="126">
        <f t="shared" si="178"/>
        <v>-9000</v>
      </c>
      <c r="H11019" s="121" t="s">
        <v>7071</v>
      </c>
    </row>
    <row r="11020" spans="1:8" ht="15" x14ac:dyDescent="0.2">
      <c r="A11020" s="619">
        <v>44384</v>
      </c>
      <c r="B11020" s="63" t="s">
        <v>1400</v>
      </c>
      <c r="C11020" s="63" t="s">
        <v>392</v>
      </c>
      <c r="D11020" s="108" t="s">
        <v>7121</v>
      </c>
      <c r="E11020" s="126">
        <v>2000</v>
      </c>
      <c r="F11020" s="126"/>
      <c r="G11020" s="126">
        <f t="shared" si="178"/>
        <v>-2000</v>
      </c>
      <c r="H11020" s="121" t="s">
        <v>7071</v>
      </c>
    </row>
    <row r="11021" spans="1:8" ht="15" x14ac:dyDescent="0.2">
      <c r="A11021" s="619">
        <v>44385</v>
      </c>
      <c r="B11021" s="63" t="s">
        <v>3946</v>
      </c>
      <c r="C11021" s="63" t="s">
        <v>392</v>
      </c>
      <c r="D11021" s="108" t="s">
        <v>3588</v>
      </c>
      <c r="E11021" s="126">
        <v>1800</v>
      </c>
      <c r="F11021" s="126"/>
      <c r="G11021" s="126">
        <f t="shared" si="178"/>
        <v>-1800</v>
      </c>
      <c r="H11021" s="121" t="s">
        <v>7071</v>
      </c>
    </row>
    <row r="11022" spans="1:8" ht="15" x14ac:dyDescent="0.2">
      <c r="A11022" s="619">
        <v>44385</v>
      </c>
      <c r="B11022" s="63" t="s">
        <v>16</v>
      </c>
      <c r="C11022" s="63" t="s">
        <v>392</v>
      </c>
      <c r="D11022" s="108" t="s">
        <v>7122</v>
      </c>
      <c r="E11022" s="126">
        <v>2750</v>
      </c>
      <c r="F11022" s="126"/>
      <c r="G11022" s="126">
        <f t="shared" si="178"/>
        <v>-2750</v>
      </c>
      <c r="H11022" s="121" t="s">
        <v>7071</v>
      </c>
    </row>
    <row r="11023" spans="1:8" ht="15" x14ac:dyDescent="0.2">
      <c r="A11023" s="619">
        <v>44385</v>
      </c>
      <c r="B11023" s="63" t="s">
        <v>2933</v>
      </c>
      <c r="C11023" s="63" t="s">
        <v>6767</v>
      </c>
      <c r="D11023" s="108" t="s">
        <v>370</v>
      </c>
      <c r="E11023" s="126">
        <v>25000</v>
      </c>
      <c r="F11023" s="126"/>
      <c r="G11023" s="126">
        <f t="shared" si="178"/>
        <v>-25000</v>
      </c>
      <c r="H11023" s="121" t="s">
        <v>7071</v>
      </c>
    </row>
    <row r="11024" spans="1:8" ht="15" x14ac:dyDescent="0.2">
      <c r="A11024" s="619">
        <v>44385</v>
      </c>
      <c r="B11024" s="63" t="s">
        <v>3946</v>
      </c>
      <c r="C11024" s="63" t="s">
        <v>6476</v>
      </c>
      <c r="D11024" s="108" t="s">
        <v>7123</v>
      </c>
      <c r="E11024" s="126">
        <v>30000</v>
      </c>
      <c r="F11024" s="126"/>
      <c r="G11024" s="126">
        <f t="shared" si="178"/>
        <v>-30000</v>
      </c>
      <c r="H11024" s="121" t="s">
        <v>7071</v>
      </c>
    </row>
    <row r="11025" spans="1:8" ht="15" x14ac:dyDescent="0.2">
      <c r="A11025" s="619">
        <v>44385</v>
      </c>
      <c r="B11025" s="63" t="s">
        <v>16</v>
      </c>
      <c r="C11025" s="63" t="s">
        <v>7056</v>
      </c>
      <c r="E11025" s="126">
        <v>1000</v>
      </c>
      <c r="F11025" s="126"/>
      <c r="G11025" s="126">
        <f t="shared" si="178"/>
        <v>-1000</v>
      </c>
      <c r="H11025" s="121" t="s">
        <v>7071</v>
      </c>
    </row>
    <row r="11026" spans="1:8" ht="15" x14ac:dyDescent="0.2">
      <c r="A11026" s="619">
        <v>44387</v>
      </c>
      <c r="B11026" s="63" t="s">
        <v>16</v>
      </c>
      <c r="C11026" s="63" t="s">
        <v>7056</v>
      </c>
      <c r="E11026" s="126">
        <v>3000</v>
      </c>
      <c r="F11026" s="126"/>
      <c r="G11026" s="126">
        <f t="shared" si="178"/>
        <v>-3000</v>
      </c>
      <c r="H11026" s="121" t="s">
        <v>7071</v>
      </c>
    </row>
    <row r="11027" spans="1:8" ht="15" x14ac:dyDescent="0.2">
      <c r="A11027" s="619">
        <v>44387</v>
      </c>
      <c r="B11027" s="63" t="s">
        <v>6953</v>
      </c>
      <c r="C11027" s="63" t="s">
        <v>7003</v>
      </c>
      <c r="D11027" s="108" t="s">
        <v>2711</v>
      </c>
      <c r="E11027" s="126">
        <v>45000</v>
      </c>
      <c r="F11027" s="126"/>
      <c r="G11027" s="126">
        <f t="shared" si="178"/>
        <v>-45000</v>
      </c>
      <c r="H11027" s="121" t="s">
        <v>7071</v>
      </c>
    </row>
    <row r="11028" spans="1:8" ht="15" customHeight="1" x14ac:dyDescent="0.2">
      <c r="A11028" s="619">
        <v>44387</v>
      </c>
      <c r="B11028" s="63" t="s">
        <v>7067</v>
      </c>
      <c r="C11028" s="63" t="s">
        <v>2190</v>
      </c>
      <c r="E11028" s="126">
        <v>570</v>
      </c>
      <c r="F11028" s="126"/>
      <c r="G11028" s="126">
        <f t="shared" si="178"/>
        <v>-570</v>
      </c>
      <c r="H11028" s="121" t="s">
        <v>7071</v>
      </c>
    </row>
    <row r="11029" spans="1:8" ht="15" customHeight="1" x14ac:dyDescent="0.2">
      <c r="A11029" s="619">
        <v>44387</v>
      </c>
      <c r="B11029" s="63" t="s">
        <v>6953</v>
      </c>
      <c r="C11029" s="63" t="s">
        <v>7104</v>
      </c>
      <c r="E11029" s="126">
        <v>5000</v>
      </c>
      <c r="F11029" s="126"/>
      <c r="G11029" s="126">
        <f t="shared" si="178"/>
        <v>-5000</v>
      </c>
      <c r="H11029" s="121" t="s">
        <v>7071</v>
      </c>
    </row>
    <row r="11030" spans="1:8" ht="15" customHeight="1" x14ac:dyDescent="0.2">
      <c r="A11030" s="619">
        <v>44390</v>
      </c>
      <c r="B11030" s="63" t="s">
        <v>7067</v>
      </c>
      <c r="C11030" s="63" t="s">
        <v>6761</v>
      </c>
      <c r="D11030" s="108" t="s">
        <v>3361</v>
      </c>
      <c r="E11030" s="126">
        <v>20000</v>
      </c>
      <c r="F11030" s="126"/>
      <c r="G11030" s="126">
        <f t="shared" si="178"/>
        <v>-20000</v>
      </c>
      <c r="H11030" s="121" t="s">
        <v>7071</v>
      </c>
    </row>
    <row r="11031" spans="1:8" ht="15" customHeight="1" x14ac:dyDescent="0.2">
      <c r="A11031" s="619">
        <v>44390</v>
      </c>
      <c r="B11031" s="63" t="s">
        <v>6953</v>
      </c>
      <c r="C11031" s="63" t="s">
        <v>3145</v>
      </c>
      <c r="D11031" s="108" t="s">
        <v>7127</v>
      </c>
      <c r="E11031" s="126">
        <v>4000</v>
      </c>
      <c r="F11031" s="126"/>
      <c r="G11031" s="126">
        <f t="shared" si="178"/>
        <v>-4000</v>
      </c>
      <c r="H11031" s="121" t="s">
        <v>7071</v>
      </c>
    </row>
    <row r="11032" spans="1:8" ht="15" customHeight="1" x14ac:dyDescent="0.2">
      <c r="A11032" s="619">
        <v>44390</v>
      </c>
      <c r="B11032" s="63" t="s">
        <v>7067</v>
      </c>
      <c r="C11032" s="63" t="s">
        <v>2190</v>
      </c>
      <c r="E11032" s="126">
        <v>1140</v>
      </c>
      <c r="F11032" s="126"/>
      <c r="G11032" s="126">
        <f t="shared" si="178"/>
        <v>-1140</v>
      </c>
      <c r="H11032" s="121" t="s">
        <v>7071</v>
      </c>
    </row>
    <row r="11033" spans="1:8" ht="15" customHeight="1" x14ac:dyDescent="0.2">
      <c r="A11033" s="619">
        <v>44390</v>
      </c>
      <c r="B11033" s="63" t="s">
        <v>7067</v>
      </c>
      <c r="C11033" s="63" t="s">
        <v>392</v>
      </c>
      <c r="D11033" s="108" t="s">
        <v>600</v>
      </c>
      <c r="E11033" s="126">
        <v>600</v>
      </c>
      <c r="F11033" s="126"/>
      <c r="G11033" s="126">
        <f t="shared" si="178"/>
        <v>-600</v>
      </c>
      <c r="H11033" s="121" t="s">
        <v>7071</v>
      </c>
    </row>
    <row r="11034" spans="1:8" ht="15" customHeight="1" x14ac:dyDescent="0.2">
      <c r="A11034" s="619">
        <v>44390</v>
      </c>
      <c r="B11034" s="63" t="s">
        <v>7067</v>
      </c>
      <c r="C11034" s="63" t="s">
        <v>392</v>
      </c>
      <c r="D11034" s="108" t="s">
        <v>600</v>
      </c>
      <c r="E11034" s="126">
        <v>460</v>
      </c>
      <c r="F11034" s="126"/>
      <c r="G11034" s="126">
        <f t="shared" si="178"/>
        <v>-460</v>
      </c>
      <c r="H11034" s="121" t="s">
        <v>7071</v>
      </c>
    </row>
    <row r="11035" spans="1:8" ht="15" customHeight="1" x14ac:dyDescent="0.2">
      <c r="A11035" s="619">
        <v>44390</v>
      </c>
      <c r="B11035" s="63" t="s">
        <v>7067</v>
      </c>
      <c r="C11035" s="63" t="s">
        <v>392</v>
      </c>
      <c r="D11035" s="108" t="s">
        <v>600</v>
      </c>
      <c r="E11035" s="126">
        <v>240</v>
      </c>
      <c r="F11035" s="126"/>
      <c r="G11035" s="126">
        <f t="shared" si="178"/>
        <v>-240</v>
      </c>
      <c r="H11035" s="121" t="s">
        <v>7071</v>
      </c>
    </row>
    <row r="11036" spans="1:8" ht="15" customHeight="1" x14ac:dyDescent="0.2">
      <c r="A11036" s="619">
        <v>44390</v>
      </c>
      <c r="B11036" s="63" t="s">
        <v>7067</v>
      </c>
      <c r="C11036" s="63" t="s">
        <v>2190</v>
      </c>
      <c r="E11036" s="126">
        <v>150</v>
      </c>
      <c r="F11036" s="126"/>
      <c r="G11036" s="126">
        <f t="shared" si="178"/>
        <v>-150</v>
      </c>
      <c r="H11036" s="121" t="s">
        <v>7071</v>
      </c>
    </row>
    <row r="11037" spans="1:8" ht="15" customHeight="1" x14ac:dyDescent="0.2">
      <c r="A11037" s="619">
        <v>44390</v>
      </c>
      <c r="B11037" s="63" t="s">
        <v>7067</v>
      </c>
      <c r="C11037" s="63" t="s">
        <v>2190</v>
      </c>
      <c r="E11037" s="126">
        <v>300</v>
      </c>
      <c r="F11037" s="126"/>
      <c r="G11037" s="126">
        <f t="shared" si="178"/>
        <v>-300</v>
      </c>
      <c r="H11037" s="121" t="s">
        <v>7071</v>
      </c>
    </row>
    <row r="11038" spans="1:8" ht="15" customHeight="1" x14ac:dyDescent="0.2">
      <c r="A11038" s="619">
        <v>44390</v>
      </c>
      <c r="B11038" s="63" t="s">
        <v>7067</v>
      </c>
      <c r="C11038" s="63" t="s">
        <v>2190</v>
      </c>
      <c r="E11038" s="126">
        <v>150</v>
      </c>
      <c r="F11038" s="126"/>
      <c r="G11038" s="126">
        <f t="shared" si="178"/>
        <v>-150</v>
      </c>
      <c r="H11038" s="121" t="s">
        <v>7071</v>
      </c>
    </row>
    <row r="11039" spans="1:8" ht="15" customHeight="1" x14ac:dyDescent="0.2">
      <c r="A11039" s="619">
        <v>44391</v>
      </c>
      <c r="B11039" s="63" t="s">
        <v>6511</v>
      </c>
      <c r="C11039" s="63" t="s">
        <v>3145</v>
      </c>
      <c r="D11039" s="108" t="s">
        <v>7128</v>
      </c>
      <c r="E11039" s="126">
        <v>20180</v>
      </c>
      <c r="F11039" s="126"/>
      <c r="G11039" s="126">
        <f t="shared" si="178"/>
        <v>-20180</v>
      </c>
      <c r="H11039" s="121" t="s">
        <v>7071</v>
      </c>
    </row>
    <row r="11040" spans="1:8" ht="15" customHeight="1" x14ac:dyDescent="0.2">
      <c r="A11040" s="619">
        <v>44391</v>
      </c>
      <c r="B11040" s="63" t="s">
        <v>6516</v>
      </c>
      <c r="C11040" s="551" t="s">
        <v>3003</v>
      </c>
      <c r="D11040" s="893" t="s">
        <v>7129</v>
      </c>
      <c r="E11040" s="552">
        <v>60743</v>
      </c>
      <c r="F11040" s="126"/>
      <c r="G11040" s="126">
        <f t="shared" si="178"/>
        <v>-60743</v>
      </c>
      <c r="H11040" s="121" t="s">
        <v>7071</v>
      </c>
    </row>
    <row r="11041" spans="1:8" ht="15" customHeight="1" x14ac:dyDescent="0.2">
      <c r="A11041" s="619">
        <v>44391</v>
      </c>
      <c r="B11041" s="63" t="s">
        <v>3946</v>
      </c>
      <c r="C11041" s="551" t="s">
        <v>3003</v>
      </c>
      <c r="D11041" s="893" t="s">
        <v>6789</v>
      </c>
      <c r="E11041" s="552">
        <v>13520</v>
      </c>
      <c r="F11041" s="126"/>
      <c r="G11041" s="126">
        <f t="shared" si="178"/>
        <v>-13520</v>
      </c>
      <c r="H11041" s="121" t="s">
        <v>7071</v>
      </c>
    </row>
    <row r="11042" spans="1:8" ht="15" customHeight="1" x14ac:dyDescent="0.2">
      <c r="A11042" s="619">
        <v>44391</v>
      </c>
      <c r="B11042" s="63" t="s">
        <v>3945</v>
      </c>
      <c r="C11042" s="551" t="s">
        <v>3003</v>
      </c>
      <c r="D11042" s="893" t="s">
        <v>6789</v>
      </c>
      <c r="E11042" s="552">
        <v>5200</v>
      </c>
      <c r="F11042" s="126"/>
      <c r="G11042" s="126">
        <f t="shared" si="178"/>
        <v>-5200</v>
      </c>
      <c r="H11042" s="121" t="s">
        <v>7071</v>
      </c>
    </row>
    <row r="11043" spans="1:8" ht="15" customHeight="1" x14ac:dyDescent="0.2">
      <c r="A11043" s="619">
        <v>44391</v>
      </c>
      <c r="B11043" s="63" t="s">
        <v>37</v>
      </c>
      <c r="C11043" s="551" t="s">
        <v>3003</v>
      </c>
      <c r="D11043" s="893" t="s">
        <v>6789</v>
      </c>
      <c r="E11043" s="552">
        <v>25920</v>
      </c>
      <c r="F11043" s="126"/>
      <c r="G11043" s="126">
        <f t="shared" si="178"/>
        <v>-25920</v>
      </c>
      <c r="H11043" s="121" t="s">
        <v>7071</v>
      </c>
    </row>
    <row r="11044" spans="1:8" ht="15" customHeight="1" x14ac:dyDescent="0.2">
      <c r="A11044" s="619">
        <v>44391</v>
      </c>
      <c r="B11044" s="63" t="s">
        <v>82</v>
      </c>
      <c r="C11044" s="551" t="s">
        <v>3003</v>
      </c>
      <c r="D11044" s="893" t="s">
        <v>6789</v>
      </c>
      <c r="E11044" s="552">
        <v>6760</v>
      </c>
      <c r="F11044" s="126"/>
      <c r="G11044" s="126">
        <f t="shared" si="178"/>
        <v>-6760</v>
      </c>
      <c r="H11044" s="121" t="s">
        <v>7071</v>
      </c>
    </row>
    <row r="11045" spans="1:8" ht="15" customHeight="1" x14ac:dyDescent="0.2">
      <c r="A11045" s="619">
        <v>44391</v>
      </c>
      <c r="B11045" s="63" t="s">
        <v>1400</v>
      </c>
      <c r="C11045" s="63" t="s">
        <v>6920</v>
      </c>
      <c r="D11045" s="108" t="s">
        <v>2655</v>
      </c>
      <c r="E11045" s="126">
        <v>45000</v>
      </c>
      <c r="F11045" s="126"/>
      <c r="G11045" s="126">
        <f t="shared" si="178"/>
        <v>-45000</v>
      </c>
      <c r="H11045" s="121" t="s">
        <v>7071</v>
      </c>
    </row>
    <row r="11046" spans="1:8" ht="15" customHeight="1" x14ac:dyDescent="0.2">
      <c r="A11046" s="619">
        <v>44391</v>
      </c>
      <c r="B11046" s="63" t="s">
        <v>6511</v>
      </c>
      <c r="C11046" s="551" t="s">
        <v>3446</v>
      </c>
      <c r="D11046" s="893" t="s">
        <v>7130</v>
      </c>
      <c r="E11046" s="552">
        <v>25000</v>
      </c>
      <c r="F11046" s="126"/>
      <c r="G11046" s="126">
        <f t="shared" si="178"/>
        <v>-25000</v>
      </c>
      <c r="H11046" s="121" t="s">
        <v>7071</v>
      </c>
    </row>
    <row r="11047" spans="1:8" ht="15" customHeight="1" x14ac:dyDescent="0.2">
      <c r="A11047" s="619">
        <v>44391</v>
      </c>
      <c r="B11047" s="63" t="s">
        <v>1400</v>
      </c>
      <c r="C11047" s="551" t="s">
        <v>3446</v>
      </c>
      <c r="D11047" s="893" t="s">
        <v>7240</v>
      </c>
      <c r="E11047" s="552">
        <v>25000</v>
      </c>
      <c r="F11047" s="126"/>
      <c r="G11047" s="126">
        <f t="shared" si="178"/>
        <v>-25000</v>
      </c>
      <c r="H11047" s="121" t="s">
        <v>7071</v>
      </c>
    </row>
    <row r="11048" spans="1:8" ht="15" x14ac:dyDescent="0.2">
      <c r="A11048" s="619">
        <v>44391</v>
      </c>
      <c r="B11048" s="63" t="s">
        <v>16</v>
      </c>
      <c r="C11048" s="63" t="s">
        <v>7056</v>
      </c>
      <c r="E11048" s="126">
        <v>1000</v>
      </c>
      <c r="F11048" s="126"/>
      <c r="G11048" s="126">
        <f t="shared" si="178"/>
        <v>-1000</v>
      </c>
      <c r="H11048" s="121" t="s">
        <v>7071</v>
      </c>
    </row>
    <row r="11049" spans="1:8" ht="15" x14ac:dyDescent="0.2">
      <c r="A11049" s="619">
        <v>44392</v>
      </c>
      <c r="B11049" s="63" t="s">
        <v>7112</v>
      </c>
      <c r="C11049" s="63" t="s">
        <v>5741</v>
      </c>
      <c r="E11049" s="126">
        <v>2000</v>
      </c>
      <c r="F11049" s="126"/>
      <c r="G11049" s="126">
        <f t="shared" si="178"/>
        <v>-2000</v>
      </c>
      <c r="H11049" s="121" t="s">
        <v>7071</v>
      </c>
    </row>
    <row r="11050" spans="1:8" ht="15" x14ac:dyDescent="0.2">
      <c r="A11050" s="619">
        <v>44392</v>
      </c>
      <c r="B11050" s="63" t="s">
        <v>6511</v>
      </c>
      <c r="C11050" s="63" t="s">
        <v>3011</v>
      </c>
      <c r="D11050" s="108" t="s">
        <v>2711</v>
      </c>
      <c r="E11050" s="126">
        <v>75000</v>
      </c>
      <c r="F11050" s="126"/>
      <c r="G11050" s="126">
        <f t="shared" si="178"/>
        <v>-75000</v>
      </c>
      <c r="H11050" s="121" t="s">
        <v>7071</v>
      </c>
    </row>
    <row r="11051" spans="1:8" ht="15" x14ac:dyDescent="0.2">
      <c r="A11051" s="619">
        <v>44392</v>
      </c>
      <c r="B11051" s="63" t="s">
        <v>7112</v>
      </c>
      <c r="C11051" s="63" t="s">
        <v>3145</v>
      </c>
      <c r="D11051" s="108" t="s">
        <v>7131</v>
      </c>
      <c r="E11051" s="126">
        <v>3500</v>
      </c>
      <c r="F11051" s="126"/>
      <c r="G11051" s="126">
        <f t="shared" si="178"/>
        <v>-3500</v>
      </c>
      <c r="H11051" s="121" t="s">
        <v>7071</v>
      </c>
    </row>
    <row r="11052" spans="1:8" ht="15" x14ac:dyDescent="0.2">
      <c r="A11052" s="619">
        <v>44392</v>
      </c>
      <c r="B11052" s="63" t="s">
        <v>25</v>
      </c>
      <c r="C11052" s="63" t="s">
        <v>1689</v>
      </c>
      <c r="D11052" s="108" t="s">
        <v>6343</v>
      </c>
      <c r="E11052" s="126">
        <v>6210</v>
      </c>
      <c r="F11052" s="126"/>
      <c r="G11052" s="126">
        <f t="shared" si="178"/>
        <v>-6210</v>
      </c>
      <c r="H11052" s="121" t="s">
        <v>7071</v>
      </c>
    </row>
    <row r="11053" spans="1:8" ht="15" x14ac:dyDescent="0.2">
      <c r="A11053" s="619">
        <v>44392</v>
      </c>
      <c r="B11053" s="63" t="s">
        <v>16</v>
      </c>
      <c r="C11053" s="63" t="s">
        <v>1689</v>
      </c>
      <c r="D11053" s="108" t="s">
        <v>6343</v>
      </c>
      <c r="E11053" s="126">
        <v>3080</v>
      </c>
      <c r="F11053" s="126"/>
      <c r="G11053" s="126">
        <f t="shared" si="178"/>
        <v>-3080</v>
      </c>
      <c r="H11053" s="121" t="s">
        <v>7071</v>
      </c>
    </row>
    <row r="11054" spans="1:8" ht="15" x14ac:dyDescent="0.2">
      <c r="A11054" s="619">
        <v>44392</v>
      </c>
      <c r="B11054" s="63" t="s">
        <v>6511</v>
      </c>
      <c r="C11054" s="63" t="s">
        <v>3145</v>
      </c>
      <c r="D11054" s="108" t="s">
        <v>7132</v>
      </c>
      <c r="E11054" s="126">
        <v>400</v>
      </c>
      <c r="F11054" s="126"/>
      <c r="G11054" s="126">
        <f t="shared" si="178"/>
        <v>-400</v>
      </c>
      <c r="H11054" s="121" t="s">
        <v>7071</v>
      </c>
    </row>
    <row r="11055" spans="1:8" ht="15" x14ac:dyDescent="0.2">
      <c r="A11055" s="619">
        <v>44392</v>
      </c>
      <c r="B11055" s="63" t="s">
        <v>7067</v>
      </c>
      <c r="C11055" s="63" t="s">
        <v>3145</v>
      </c>
      <c r="D11055" s="108" t="s">
        <v>7133</v>
      </c>
      <c r="E11055" s="126">
        <v>26156</v>
      </c>
      <c r="F11055" s="126"/>
      <c r="G11055" s="126">
        <f t="shared" si="178"/>
        <v>-26156</v>
      </c>
      <c r="H11055" s="121" t="s">
        <v>7071</v>
      </c>
    </row>
    <row r="11056" spans="1:8" ht="15" x14ac:dyDescent="0.2">
      <c r="A11056" s="619">
        <v>44392</v>
      </c>
      <c r="B11056" s="63" t="s">
        <v>7067</v>
      </c>
      <c r="C11056" s="63" t="s">
        <v>3145</v>
      </c>
      <c r="D11056" s="108" t="s">
        <v>7134</v>
      </c>
      <c r="E11056" s="126">
        <v>1540</v>
      </c>
      <c r="F11056" s="126"/>
      <c r="G11056" s="126">
        <f t="shared" si="178"/>
        <v>-1540</v>
      </c>
      <c r="H11056" s="121" t="s">
        <v>7071</v>
      </c>
    </row>
    <row r="11057" spans="1:8" ht="15" x14ac:dyDescent="0.2">
      <c r="A11057" s="619">
        <v>44392</v>
      </c>
      <c r="B11057" s="63" t="s">
        <v>7067</v>
      </c>
      <c r="C11057" s="63" t="s">
        <v>2796</v>
      </c>
      <c r="D11057" s="108" t="s">
        <v>7135</v>
      </c>
      <c r="E11057" s="126">
        <v>1200</v>
      </c>
      <c r="F11057" s="126"/>
      <c r="G11057" s="126">
        <f t="shared" si="178"/>
        <v>-1200</v>
      </c>
      <c r="H11057" s="121" t="s">
        <v>7071</v>
      </c>
    </row>
    <row r="11058" spans="1:8" ht="15" x14ac:dyDescent="0.2">
      <c r="A11058" s="619">
        <v>44392</v>
      </c>
      <c r="B11058" s="63" t="s">
        <v>6511</v>
      </c>
      <c r="C11058" s="63" t="s">
        <v>3145</v>
      </c>
      <c r="D11058" s="108" t="s">
        <v>6098</v>
      </c>
      <c r="E11058" s="126">
        <v>79350</v>
      </c>
      <c r="F11058" s="126"/>
      <c r="G11058" s="126">
        <f t="shared" si="178"/>
        <v>-79350</v>
      </c>
      <c r="H11058" s="121" t="s">
        <v>7071</v>
      </c>
    </row>
    <row r="11059" spans="1:8" ht="15" x14ac:dyDescent="0.2">
      <c r="A11059" s="619">
        <v>44392</v>
      </c>
      <c r="B11059" s="63" t="s">
        <v>6511</v>
      </c>
      <c r="C11059" s="63" t="s">
        <v>3145</v>
      </c>
      <c r="D11059" s="108" t="s">
        <v>6098</v>
      </c>
      <c r="E11059" s="126">
        <v>21750</v>
      </c>
      <c r="F11059" s="126"/>
      <c r="G11059" s="126">
        <f t="shared" si="178"/>
        <v>-21750</v>
      </c>
      <c r="H11059" s="121" t="s">
        <v>7071</v>
      </c>
    </row>
    <row r="11060" spans="1:8" ht="15" x14ac:dyDescent="0.2">
      <c r="A11060" s="619">
        <v>44392</v>
      </c>
      <c r="B11060" s="63" t="s">
        <v>6953</v>
      </c>
      <c r="C11060" s="63" t="s">
        <v>6378</v>
      </c>
      <c r="D11060" s="108" t="s">
        <v>1121</v>
      </c>
      <c r="E11060" s="126">
        <v>5000</v>
      </c>
      <c r="F11060" s="126"/>
      <c r="G11060" s="126">
        <f t="shared" si="178"/>
        <v>-5000</v>
      </c>
      <c r="H11060" s="121" t="s">
        <v>7071</v>
      </c>
    </row>
    <row r="11061" spans="1:8" ht="15" x14ac:dyDescent="0.2">
      <c r="A11061" s="619">
        <v>44392</v>
      </c>
      <c r="B11061" s="63" t="s">
        <v>2933</v>
      </c>
      <c r="C11061" s="63" t="s">
        <v>3145</v>
      </c>
      <c r="D11061" s="108" t="s">
        <v>6486</v>
      </c>
      <c r="E11061" s="126">
        <v>1300</v>
      </c>
      <c r="F11061" s="126"/>
      <c r="G11061" s="126">
        <f t="shared" si="178"/>
        <v>-1300</v>
      </c>
      <c r="H11061" s="121" t="s">
        <v>7071</v>
      </c>
    </row>
    <row r="11062" spans="1:8" ht="15" x14ac:dyDescent="0.2">
      <c r="A11062" s="619">
        <v>44392</v>
      </c>
      <c r="B11062" s="63" t="s">
        <v>7067</v>
      </c>
      <c r="C11062" s="63" t="s">
        <v>7147</v>
      </c>
      <c r="D11062" s="108" t="s">
        <v>3361</v>
      </c>
      <c r="E11062" s="126">
        <v>30000</v>
      </c>
      <c r="F11062" s="126"/>
      <c r="G11062" s="126">
        <f t="shared" si="178"/>
        <v>-30000</v>
      </c>
      <c r="H11062" s="121" t="s">
        <v>7071</v>
      </c>
    </row>
    <row r="11063" spans="1:8" ht="15" x14ac:dyDescent="0.2">
      <c r="A11063" s="619">
        <v>44392</v>
      </c>
      <c r="B11063" s="63" t="s">
        <v>16</v>
      </c>
      <c r="C11063" s="63" t="s">
        <v>3364</v>
      </c>
      <c r="E11063" s="126">
        <v>4090</v>
      </c>
      <c r="F11063" s="126"/>
      <c r="G11063" s="126">
        <f t="shared" si="178"/>
        <v>-4090</v>
      </c>
      <c r="H11063" s="121" t="s">
        <v>7071</v>
      </c>
    </row>
    <row r="11064" spans="1:8" ht="15" x14ac:dyDescent="0.2">
      <c r="A11064" s="619">
        <v>44393</v>
      </c>
      <c r="B11064" s="63" t="s">
        <v>6953</v>
      </c>
      <c r="C11064" s="63" t="s">
        <v>3145</v>
      </c>
      <c r="D11064" s="108" t="s">
        <v>6949</v>
      </c>
      <c r="E11064" s="126">
        <v>7020</v>
      </c>
      <c r="F11064" s="126"/>
      <c r="G11064" s="126">
        <f t="shared" si="178"/>
        <v>-7020</v>
      </c>
      <c r="H11064" s="121" t="s">
        <v>7071</v>
      </c>
    </row>
    <row r="11065" spans="1:8" ht="15" x14ac:dyDescent="0.2">
      <c r="A11065" s="619">
        <v>44393</v>
      </c>
      <c r="B11065" s="63" t="s">
        <v>16</v>
      </c>
      <c r="C11065" s="63" t="s">
        <v>2996</v>
      </c>
      <c r="D11065" s="108" t="s">
        <v>7148</v>
      </c>
      <c r="E11065" s="126">
        <v>6000</v>
      </c>
      <c r="F11065" s="126"/>
      <c r="G11065" s="126">
        <f t="shared" si="178"/>
        <v>-6000</v>
      </c>
      <c r="H11065" s="121" t="s">
        <v>7071</v>
      </c>
    </row>
    <row r="11066" spans="1:8" ht="15" x14ac:dyDescent="0.2">
      <c r="A11066" s="619">
        <v>44393</v>
      </c>
      <c r="B11066" s="63" t="s">
        <v>3946</v>
      </c>
      <c r="C11066" s="63" t="s">
        <v>3145</v>
      </c>
      <c r="D11066" s="108" t="s">
        <v>7149</v>
      </c>
      <c r="E11066" s="126">
        <v>9000</v>
      </c>
      <c r="F11066" s="126"/>
      <c r="G11066" s="126">
        <f t="shared" si="178"/>
        <v>-9000</v>
      </c>
      <c r="H11066" s="121" t="s">
        <v>7071</v>
      </c>
    </row>
    <row r="11067" spans="1:8" ht="15" x14ac:dyDescent="0.2">
      <c r="A11067" s="619">
        <v>44394</v>
      </c>
      <c r="B11067" s="63" t="s">
        <v>6508</v>
      </c>
      <c r="C11067" s="63" t="s">
        <v>6605</v>
      </c>
      <c r="D11067" s="108" t="s">
        <v>7150</v>
      </c>
      <c r="E11067" s="126">
        <v>30000</v>
      </c>
      <c r="F11067" s="126"/>
      <c r="G11067" s="126">
        <f t="shared" si="178"/>
        <v>-30000</v>
      </c>
      <c r="H11067" s="121" t="s">
        <v>7071</v>
      </c>
    </row>
    <row r="11068" spans="1:8" ht="15" x14ac:dyDescent="0.2">
      <c r="A11068" s="619">
        <v>44394</v>
      </c>
      <c r="B11068" s="63" t="s">
        <v>6511</v>
      </c>
      <c r="C11068" s="63" t="s">
        <v>6378</v>
      </c>
      <c r="D11068" s="108" t="s">
        <v>7151</v>
      </c>
      <c r="E11068" s="126">
        <v>100000</v>
      </c>
      <c r="F11068" s="126"/>
      <c r="G11068" s="126">
        <f t="shared" si="178"/>
        <v>-100000</v>
      </c>
      <c r="H11068" s="121" t="s">
        <v>7071</v>
      </c>
    </row>
    <row r="11069" spans="1:8" ht="15" x14ac:dyDescent="0.2">
      <c r="A11069" s="619">
        <v>44394</v>
      </c>
      <c r="B11069" s="63" t="s">
        <v>1400</v>
      </c>
      <c r="C11069" s="63" t="s">
        <v>2264</v>
      </c>
      <c r="D11069" s="108" t="s">
        <v>5570</v>
      </c>
      <c r="E11069" s="126">
        <v>150000</v>
      </c>
      <c r="F11069" s="126"/>
      <c r="G11069" s="126">
        <f t="shared" si="178"/>
        <v>-150000</v>
      </c>
      <c r="H11069" s="121" t="s">
        <v>7071</v>
      </c>
    </row>
    <row r="11070" spans="1:8" ht="15" x14ac:dyDescent="0.2">
      <c r="A11070" s="619">
        <v>44394</v>
      </c>
      <c r="B11070" s="63" t="s">
        <v>25</v>
      </c>
      <c r="C11070" s="63" t="s">
        <v>6929</v>
      </c>
      <c r="D11070" s="108" t="s">
        <v>7152</v>
      </c>
      <c r="E11070" s="126">
        <v>48000</v>
      </c>
      <c r="F11070" s="126"/>
      <c r="G11070" s="126">
        <f t="shared" si="178"/>
        <v>-48000</v>
      </c>
      <c r="H11070" s="121" t="s">
        <v>7071</v>
      </c>
    </row>
    <row r="11071" spans="1:8" ht="15" x14ac:dyDescent="0.2">
      <c r="A11071" s="619">
        <v>44394</v>
      </c>
      <c r="B11071" s="63" t="s">
        <v>1400</v>
      </c>
      <c r="C11071" s="63" t="s">
        <v>2796</v>
      </c>
      <c r="D11071" s="108" t="s">
        <v>6445</v>
      </c>
      <c r="E11071" s="126">
        <v>600</v>
      </c>
      <c r="F11071" s="126"/>
      <c r="G11071" s="126">
        <f t="shared" si="178"/>
        <v>-600</v>
      </c>
      <c r="H11071" s="121" t="s">
        <v>7071</v>
      </c>
    </row>
    <row r="11072" spans="1:8" ht="15" x14ac:dyDescent="0.2">
      <c r="A11072" s="619">
        <v>44394</v>
      </c>
      <c r="B11072" s="63" t="s">
        <v>7067</v>
      </c>
      <c r="C11072" s="63" t="s">
        <v>7104</v>
      </c>
      <c r="D11072" s="108" t="s">
        <v>7154</v>
      </c>
      <c r="E11072" s="126">
        <v>20000</v>
      </c>
      <c r="F11072" s="126"/>
      <c r="G11072" s="126">
        <f t="shared" si="178"/>
        <v>-20000</v>
      </c>
      <c r="H11072" s="121" t="s">
        <v>7071</v>
      </c>
    </row>
    <row r="11073" spans="1:8" ht="15" x14ac:dyDescent="0.2">
      <c r="A11073" s="619">
        <v>44396</v>
      </c>
      <c r="B11073" s="63" t="s">
        <v>1400</v>
      </c>
      <c r="C11073" s="63" t="s">
        <v>7005</v>
      </c>
      <c r="D11073" s="108" t="s">
        <v>7155</v>
      </c>
      <c r="E11073" s="126">
        <v>30000</v>
      </c>
      <c r="F11073" s="126"/>
      <c r="G11073" s="126">
        <f t="shared" si="178"/>
        <v>-30000</v>
      </c>
      <c r="H11073" s="121" t="s">
        <v>7071</v>
      </c>
    </row>
    <row r="11074" spans="1:8" ht="15" customHeight="1" x14ac:dyDescent="0.2">
      <c r="A11074" s="619">
        <v>44396</v>
      </c>
      <c r="B11074" s="63" t="s">
        <v>6511</v>
      </c>
      <c r="C11074" s="63" t="s">
        <v>7026</v>
      </c>
      <c r="D11074" s="108" t="s">
        <v>7156</v>
      </c>
      <c r="E11074" s="126">
        <v>50000</v>
      </c>
      <c r="F11074" s="126"/>
      <c r="G11074" s="126">
        <f t="shared" si="178"/>
        <v>-50000</v>
      </c>
      <c r="H11074" s="121" t="s">
        <v>7071</v>
      </c>
    </row>
    <row r="11075" spans="1:8" ht="15" customHeight="1" x14ac:dyDescent="0.2">
      <c r="A11075" s="619">
        <v>44396</v>
      </c>
      <c r="B11075" s="63" t="s">
        <v>16</v>
      </c>
      <c r="C11075" s="63" t="s">
        <v>7056</v>
      </c>
      <c r="E11075" s="126">
        <v>3000</v>
      </c>
      <c r="F11075" s="126"/>
      <c r="G11075" s="126">
        <f t="shared" si="178"/>
        <v>-3000</v>
      </c>
      <c r="H11075" s="121" t="s">
        <v>7071</v>
      </c>
    </row>
    <row r="11076" spans="1:8" ht="15" customHeight="1" x14ac:dyDescent="0.2">
      <c r="A11076" s="619">
        <v>44396</v>
      </c>
      <c r="B11076" s="63" t="s">
        <v>7067</v>
      </c>
      <c r="C11076" s="63" t="s">
        <v>7147</v>
      </c>
      <c r="D11076" s="108" t="s">
        <v>7157</v>
      </c>
      <c r="E11076" s="126">
        <v>30000</v>
      </c>
      <c r="F11076" s="126"/>
      <c r="G11076" s="126">
        <f t="shared" si="178"/>
        <v>-30000</v>
      </c>
      <c r="H11076" s="121" t="s">
        <v>7071</v>
      </c>
    </row>
    <row r="11077" spans="1:8" ht="15" customHeight="1" x14ac:dyDescent="0.2">
      <c r="A11077" s="619">
        <v>44396</v>
      </c>
      <c r="B11077" s="63" t="s">
        <v>6953</v>
      </c>
      <c r="C11077" s="63" t="s">
        <v>7003</v>
      </c>
      <c r="D11077" s="108" t="s">
        <v>7158</v>
      </c>
      <c r="E11077" s="126">
        <v>50000</v>
      </c>
      <c r="F11077" s="126"/>
      <c r="G11077" s="126">
        <f t="shared" ref="G11077:G11140" si="179">F11077-E11077</f>
        <v>-50000</v>
      </c>
      <c r="H11077" s="121" t="s">
        <v>7071</v>
      </c>
    </row>
    <row r="11078" spans="1:8" ht="15" customHeight="1" x14ac:dyDescent="0.2">
      <c r="A11078" s="619">
        <v>44396</v>
      </c>
      <c r="B11078" s="63" t="s">
        <v>3946</v>
      </c>
      <c r="C11078" s="63" t="s">
        <v>6476</v>
      </c>
      <c r="D11078" s="108" t="s">
        <v>7159</v>
      </c>
      <c r="E11078" s="126">
        <v>45000</v>
      </c>
      <c r="F11078" s="126"/>
      <c r="G11078" s="126">
        <f t="shared" si="179"/>
        <v>-45000</v>
      </c>
      <c r="H11078" s="121" t="s">
        <v>7071</v>
      </c>
    </row>
    <row r="11079" spans="1:8" ht="15" customHeight="1" x14ac:dyDescent="0.2">
      <c r="A11079" s="619">
        <v>44396</v>
      </c>
      <c r="B11079" s="63" t="s">
        <v>6953</v>
      </c>
      <c r="C11079" s="63" t="s">
        <v>705</v>
      </c>
      <c r="D11079" s="108" t="s">
        <v>1157</v>
      </c>
      <c r="E11079" s="126">
        <v>19000</v>
      </c>
      <c r="F11079" s="126"/>
      <c r="G11079" s="126">
        <f t="shared" si="179"/>
        <v>-19000</v>
      </c>
      <c r="H11079" s="121" t="s">
        <v>7071</v>
      </c>
    </row>
    <row r="11080" spans="1:8" ht="15" customHeight="1" x14ac:dyDescent="0.2">
      <c r="A11080" s="619">
        <v>44396</v>
      </c>
      <c r="B11080" s="63" t="s">
        <v>2933</v>
      </c>
      <c r="C11080" s="63" t="s">
        <v>2503</v>
      </c>
      <c r="D11080" s="108" t="s">
        <v>7160</v>
      </c>
      <c r="E11080" s="126">
        <v>5000</v>
      </c>
      <c r="F11080" s="126"/>
      <c r="G11080" s="126">
        <f t="shared" si="179"/>
        <v>-5000</v>
      </c>
      <c r="H11080" s="121" t="s">
        <v>7071</v>
      </c>
    </row>
    <row r="11081" spans="1:8" ht="15" customHeight="1" x14ac:dyDescent="0.2">
      <c r="A11081" s="619">
        <v>44396</v>
      </c>
      <c r="B11081" s="63" t="s">
        <v>2933</v>
      </c>
      <c r="C11081" s="63" t="s">
        <v>7161</v>
      </c>
      <c r="D11081" s="108" t="s">
        <v>7162</v>
      </c>
      <c r="E11081" s="126">
        <v>30000</v>
      </c>
      <c r="F11081" s="126"/>
      <c r="G11081" s="126">
        <f t="shared" si="179"/>
        <v>-30000</v>
      </c>
      <c r="H11081" s="121" t="s">
        <v>7071</v>
      </c>
    </row>
    <row r="11082" spans="1:8" ht="15" customHeight="1" x14ac:dyDescent="0.2">
      <c r="A11082" s="619">
        <v>44396</v>
      </c>
      <c r="B11082" s="63" t="s">
        <v>6953</v>
      </c>
      <c r="C11082" s="63" t="s">
        <v>4908</v>
      </c>
      <c r="D11082" s="108" t="s">
        <v>370</v>
      </c>
      <c r="E11082" s="126">
        <v>10000</v>
      </c>
      <c r="F11082" s="126"/>
      <c r="G11082" s="126">
        <f t="shared" si="179"/>
        <v>-10000</v>
      </c>
      <c r="H11082" s="121" t="s">
        <v>7071</v>
      </c>
    </row>
    <row r="11083" spans="1:8" ht="15" customHeight="1" x14ac:dyDescent="0.2">
      <c r="A11083" s="619">
        <v>44396</v>
      </c>
      <c r="B11083" s="63" t="s">
        <v>1400</v>
      </c>
      <c r="C11083" s="63" t="s">
        <v>6852</v>
      </c>
      <c r="D11083" s="108" t="s">
        <v>370</v>
      </c>
      <c r="E11083" s="126">
        <v>10000</v>
      </c>
      <c r="F11083" s="126"/>
      <c r="G11083" s="126">
        <f t="shared" si="179"/>
        <v>-10000</v>
      </c>
      <c r="H11083" s="121" t="s">
        <v>7071</v>
      </c>
    </row>
    <row r="11084" spans="1:8" ht="24" customHeight="1" x14ac:dyDescent="0.2">
      <c r="A11084" s="619">
        <v>44396</v>
      </c>
      <c r="B11084" s="63" t="s">
        <v>7067</v>
      </c>
      <c r="C11084" s="63" t="s">
        <v>3145</v>
      </c>
      <c r="D11084" s="129" t="s">
        <v>7164</v>
      </c>
      <c r="E11084" s="126">
        <v>28787</v>
      </c>
      <c r="F11084" s="126"/>
      <c r="G11084" s="126">
        <f t="shared" si="179"/>
        <v>-28787</v>
      </c>
      <c r="H11084" s="121" t="s">
        <v>7071</v>
      </c>
    </row>
    <row r="11085" spans="1:8" ht="15" customHeight="1" x14ac:dyDescent="0.2">
      <c r="A11085" s="619">
        <v>44396</v>
      </c>
      <c r="B11085" s="63" t="s">
        <v>6953</v>
      </c>
      <c r="C11085" s="63" t="s">
        <v>3145</v>
      </c>
      <c r="D11085" s="108" t="s">
        <v>7165</v>
      </c>
      <c r="E11085" s="126">
        <v>3500</v>
      </c>
      <c r="F11085" s="126"/>
      <c r="G11085" s="126">
        <f t="shared" si="179"/>
        <v>-3500</v>
      </c>
      <c r="H11085" s="121" t="s">
        <v>7071</v>
      </c>
    </row>
    <row r="11086" spans="1:8" ht="15" customHeight="1" x14ac:dyDescent="0.2">
      <c r="A11086" s="619">
        <v>44401</v>
      </c>
      <c r="B11086" s="63" t="s">
        <v>1400</v>
      </c>
      <c r="C11086" s="63" t="s">
        <v>3145</v>
      </c>
      <c r="D11086" s="108" t="s">
        <v>6699</v>
      </c>
      <c r="E11086" s="126">
        <v>1400</v>
      </c>
      <c r="F11086" s="126"/>
      <c r="G11086" s="126">
        <f t="shared" si="179"/>
        <v>-1400</v>
      </c>
      <c r="H11086" s="121" t="s">
        <v>7071</v>
      </c>
    </row>
    <row r="11087" spans="1:8" ht="15" customHeight="1" x14ac:dyDescent="0.2">
      <c r="A11087" s="619">
        <v>44401</v>
      </c>
      <c r="B11087" s="63" t="s">
        <v>16</v>
      </c>
      <c r="C11087" s="63" t="s">
        <v>2996</v>
      </c>
      <c r="D11087" s="108" t="s">
        <v>370</v>
      </c>
      <c r="E11087" s="126">
        <v>6000</v>
      </c>
      <c r="F11087" s="126"/>
      <c r="G11087" s="126">
        <f t="shared" si="179"/>
        <v>-6000</v>
      </c>
      <c r="H11087" s="121" t="s">
        <v>7071</v>
      </c>
    </row>
    <row r="11088" spans="1:8" ht="15" customHeight="1" x14ac:dyDescent="0.2">
      <c r="A11088" s="619">
        <v>44401</v>
      </c>
      <c r="B11088" s="63" t="s">
        <v>6516</v>
      </c>
      <c r="C11088" s="63" t="s">
        <v>3145</v>
      </c>
      <c r="D11088" s="108" t="s">
        <v>4694</v>
      </c>
      <c r="E11088" s="126">
        <v>9250</v>
      </c>
      <c r="F11088" s="126"/>
      <c r="G11088" s="126">
        <f t="shared" si="179"/>
        <v>-9250</v>
      </c>
      <c r="H11088" s="121" t="s">
        <v>7071</v>
      </c>
    </row>
    <row r="11089" spans="1:8" ht="15" customHeight="1" x14ac:dyDescent="0.2">
      <c r="A11089" s="619">
        <v>44401</v>
      </c>
      <c r="B11089" s="63" t="s">
        <v>37</v>
      </c>
      <c r="C11089" s="63" t="s">
        <v>3145</v>
      </c>
      <c r="D11089" s="108" t="s">
        <v>4694</v>
      </c>
      <c r="E11089" s="126">
        <v>5130</v>
      </c>
      <c r="F11089" s="126"/>
      <c r="G11089" s="126">
        <f t="shared" si="179"/>
        <v>-5130</v>
      </c>
      <c r="H11089" s="121" t="s">
        <v>7071</v>
      </c>
    </row>
    <row r="11090" spans="1:8" ht="15" customHeight="1" x14ac:dyDescent="0.2">
      <c r="A11090" s="619">
        <v>44401</v>
      </c>
      <c r="B11090" s="63" t="s">
        <v>1400</v>
      </c>
      <c r="C11090" s="63" t="s">
        <v>3145</v>
      </c>
      <c r="D11090" s="108" t="s">
        <v>4694</v>
      </c>
      <c r="E11090" s="126">
        <v>3860</v>
      </c>
      <c r="F11090" s="126"/>
      <c r="G11090" s="126">
        <f t="shared" si="179"/>
        <v>-3860</v>
      </c>
      <c r="H11090" s="121" t="s">
        <v>7071</v>
      </c>
    </row>
    <row r="11091" spans="1:8" ht="15" customHeight="1" x14ac:dyDescent="0.2">
      <c r="A11091" s="619">
        <v>44401</v>
      </c>
      <c r="B11091" s="63" t="s">
        <v>6953</v>
      </c>
      <c r="C11091" s="63" t="s">
        <v>3145</v>
      </c>
      <c r="D11091" s="108" t="s">
        <v>4694</v>
      </c>
      <c r="E11091" s="126">
        <v>5500</v>
      </c>
      <c r="F11091" s="126"/>
      <c r="G11091" s="126">
        <f t="shared" si="179"/>
        <v>-5500</v>
      </c>
      <c r="H11091" s="121" t="s">
        <v>7071</v>
      </c>
    </row>
    <row r="11092" spans="1:8" ht="15" customHeight="1" x14ac:dyDescent="0.2">
      <c r="A11092" s="619">
        <v>44401</v>
      </c>
      <c r="B11092" s="63" t="s">
        <v>82</v>
      </c>
      <c r="C11092" s="63" t="s">
        <v>3145</v>
      </c>
      <c r="D11092" s="108" t="s">
        <v>4694</v>
      </c>
      <c r="E11092" s="126">
        <v>5000</v>
      </c>
      <c r="F11092" s="126"/>
      <c r="G11092" s="126">
        <f t="shared" si="179"/>
        <v>-5000</v>
      </c>
      <c r="H11092" s="121" t="s">
        <v>7071</v>
      </c>
    </row>
    <row r="11093" spans="1:8" ht="15" customHeight="1" x14ac:dyDescent="0.2">
      <c r="A11093" s="619">
        <v>44401</v>
      </c>
      <c r="B11093" s="63" t="s">
        <v>6953</v>
      </c>
      <c r="C11093" s="63" t="s">
        <v>3145</v>
      </c>
      <c r="D11093" s="108" t="s">
        <v>7172</v>
      </c>
      <c r="E11093" s="126">
        <v>39039</v>
      </c>
      <c r="F11093" s="126"/>
      <c r="G11093" s="126">
        <f t="shared" si="179"/>
        <v>-39039</v>
      </c>
      <c r="H11093" s="121" t="s">
        <v>7071</v>
      </c>
    </row>
    <row r="11094" spans="1:8" ht="15" customHeight="1" x14ac:dyDescent="0.2">
      <c r="A11094" s="619">
        <v>44401</v>
      </c>
      <c r="B11094" s="63" t="s">
        <v>6953</v>
      </c>
      <c r="C11094" s="63" t="s">
        <v>3145</v>
      </c>
      <c r="D11094" s="108" t="s">
        <v>7173</v>
      </c>
      <c r="E11094" s="126">
        <v>1050</v>
      </c>
      <c r="F11094" s="126"/>
      <c r="G11094" s="126">
        <f t="shared" si="179"/>
        <v>-1050</v>
      </c>
      <c r="H11094" s="121" t="s">
        <v>7071</v>
      </c>
    </row>
    <row r="11095" spans="1:8" ht="15" customHeight="1" x14ac:dyDescent="0.2">
      <c r="A11095" s="619">
        <v>44401</v>
      </c>
      <c r="B11095" s="63" t="s">
        <v>1400</v>
      </c>
      <c r="C11095" s="63" t="s">
        <v>3145</v>
      </c>
      <c r="D11095" s="108" t="s">
        <v>7174</v>
      </c>
      <c r="E11095" s="126">
        <v>9300</v>
      </c>
      <c r="F11095" s="126"/>
      <c r="G11095" s="126">
        <f t="shared" si="179"/>
        <v>-9300</v>
      </c>
      <c r="H11095" s="121" t="s">
        <v>7071</v>
      </c>
    </row>
    <row r="11096" spans="1:8" ht="15" customHeight="1" x14ac:dyDescent="0.2">
      <c r="A11096" s="619">
        <v>44401</v>
      </c>
      <c r="B11096" s="63" t="s">
        <v>25</v>
      </c>
      <c r="C11096" s="63" t="s">
        <v>1689</v>
      </c>
      <c r="D11096" s="108" t="s">
        <v>7175</v>
      </c>
      <c r="E11096" s="126">
        <v>59315</v>
      </c>
      <c r="F11096" s="126"/>
      <c r="G11096" s="126">
        <f t="shared" si="179"/>
        <v>-59315</v>
      </c>
      <c r="H11096" s="121" t="s">
        <v>7071</v>
      </c>
    </row>
    <row r="11097" spans="1:8" ht="15" customHeight="1" x14ac:dyDescent="0.2">
      <c r="A11097" s="619">
        <v>44403</v>
      </c>
      <c r="B11097" s="63" t="s">
        <v>16</v>
      </c>
      <c r="C11097" s="63" t="s">
        <v>1689</v>
      </c>
      <c r="D11097" s="108" t="s">
        <v>7175</v>
      </c>
      <c r="E11097" s="126">
        <v>15339</v>
      </c>
      <c r="F11097" s="126"/>
      <c r="G11097" s="126">
        <f t="shared" si="179"/>
        <v>-15339</v>
      </c>
      <c r="H11097" s="121" t="s">
        <v>7071</v>
      </c>
    </row>
    <row r="11098" spans="1:8" ht="15" customHeight="1" x14ac:dyDescent="0.2">
      <c r="A11098" s="619">
        <v>44403</v>
      </c>
      <c r="B11098" s="63" t="s">
        <v>1400</v>
      </c>
      <c r="C11098" s="63" t="s">
        <v>6378</v>
      </c>
      <c r="D11098" s="108" t="s">
        <v>7176</v>
      </c>
      <c r="E11098" s="126">
        <v>50000</v>
      </c>
      <c r="F11098" s="126"/>
      <c r="G11098" s="126">
        <f t="shared" si="179"/>
        <v>-50000</v>
      </c>
      <c r="H11098" s="121" t="s">
        <v>7071</v>
      </c>
    </row>
    <row r="11099" spans="1:8" ht="15" customHeight="1" x14ac:dyDescent="0.2">
      <c r="A11099" s="619">
        <v>44403</v>
      </c>
      <c r="B11099" s="63" t="s">
        <v>7067</v>
      </c>
      <c r="C11099" s="63" t="s">
        <v>5652</v>
      </c>
      <c r="D11099" s="108" t="s">
        <v>1157</v>
      </c>
      <c r="E11099" s="126">
        <v>14300</v>
      </c>
      <c r="F11099" s="126"/>
      <c r="G11099" s="126">
        <f t="shared" si="179"/>
        <v>-14300</v>
      </c>
      <c r="H11099" s="121" t="s">
        <v>7071</v>
      </c>
    </row>
    <row r="11100" spans="1:8" ht="15" customHeight="1" x14ac:dyDescent="0.2">
      <c r="A11100" s="619">
        <v>44403</v>
      </c>
      <c r="B11100" s="63" t="s">
        <v>16</v>
      </c>
      <c r="C11100" s="63" t="s">
        <v>392</v>
      </c>
      <c r="D11100" s="108" t="s">
        <v>7177</v>
      </c>
      <c r="E11100" s="126">
        <v>1000</v>
      </c>
      <c r="F11100" s="126"/>
      <c r="G11100" s="126">
        <f t="shared" si="179"/>
        <v>-1000</v>
      </c>
      <c r="H11100" s="121" t="s">
        <v>7071</v>
      </c>
    </row>
    <row r="11101" spans="1:8" ht="15" customHeight="1" x14ac:dyDescent="0.2">
      <c r="A11101" s="619">
        <v>44403</v>
      </c>
      <c r="B11101" s="63" t="s">
        <v>16</v>
      </c>
      <c r="C11101" s="63" t="s">
        <v>7056</v>
      </c>
      <c r="D11101" s="108" t="s">
        <v>7178</v>
      </c>
      <c r="E11101" s="126">
        <v>6000</v>
      </c>
      <c r="F11101" s="126"/>
      <c r="G11101" s="126">
        <f t="shared" si="179"/>
        <v>-6000</v>
      </c>
      <c r="H11101" s="121" t="s">
        <v>7071</v>
      </c>
    </row>
    <row r="11102" spans="1:8" ht="15" customHeight="1" x14ac:dyDescent="0.2">
      <c r="A11102" s="619">
        <v>44404</v>
      </c>
      <c r="B11102" s="63" t="s">
        <v>16</v>
      </c>
      <c r="C11102" s="63" t="s">
        <v>7056</v>
      </c>
      <c r="D11102" s="108" t="s">
        <v>7184</v>
      </c>
      <c r="E11102" s="126">
        <v>2000</v>
      </c>
      <c r="F11102" s="126"/>
      <c r="G11102" s="126">
        <f t="shared" si="179"/>
        <v>-2000</v>
      </c>
      <c r="H11102" s="121" t="s">
        <v>7071</v>
      </c>
    </row>
    <row r="11103" spans="1:8" ht="15" customHeight="1" x14ac:dyDescent="0.2">
      <c r="A11103" s="619">
        <v>44404</v>
      </c>
      <c r="B11103" s="63" t="s">
        <v>6953</v>
      </c>
      <c r="C11103" s="63" t="s">
        <v>2796</v>
      </c>
      <c r="D11103" s="108" t="s">
        <v>5384</v>
      </c>
      <c r="E11103" s="126">
        <v>1000</v>
      </c>
      <c r="F11103" s="126"/>
      <c r="G11103" s="126">
        <f t="shared" si="179"/>
        <v>-1000</v>
      </c>
      <c r="H11103" s="121" t="s">
        <v>7071</v>
      </c>
    </row>
    <row r="11104" spans="1:8" ht="15" customHeight="1" x14ac:dyDescent="0.2">
      <c r="A11104" s="619">
        <v>44404</v>
      </c>
      <c r="B11104" s="63" t="s">
        <v>6511</v>
      </c>
      <c r="C11104" s="63" t="s">
        <v>6473</v>
      </c>
      <c r="D11104" s="108" t="s">
        <v>7185</v>
      </c>
      <c r="E11104" s="126">
        <v>63000</v>
      </c>
      <c r="F11104" s="126"/>
      <c r="G11104" s="126">
        <f t="shared" si="179"/>
        <v>-63000</v>
      </c>
      <c r="H11104" s="121" t="s">
        <v>7071</v>
      </c>
    </row>
    <row r="11105" spans="1:8" ht="15" customHeight="1" x14ac:dyDescent="0.2">
      <c r="A11105" s="619">
        <v>44405</v>
      </c>
      <c r="B11105" s="63" t="s">
        <v>25</v>
      </c>
      <c r="C11105" s="63" t="s">
        <v>2428</v>
      </c>
      <c r="D11105" s="108" t="s">
        <v>7186</v>
      </c>
      <c r="E11105" s="126">
        <v>29700</v>
      </c>
      <c r="F11105" s="126"/>
      <c r="G11105" s="126">
        <f t="shared" si="179"/>
        <v>-29700</v>
      </c>
      <c r="H11105" s="121" t="s">
        <v>7071</v>
      </c>
    </row>
    <row r="11106" spans="1:8" ht="15" customHeight="1" x14ac:dyDescent="0.2">
      <c r="A11106" s="619">
        <v>44406</v>
      </c>
      <c r="B11106" s="63" t="s">
        <v>2933</v>
      </c>
      <c r="C11106" s="63" t="s">
        <v>392</v>
      </c>
      <c r="D11106" s="108" t="s">
        <v>6386</v>
      </c>
      <c r="E11106" s="126">
        <v>1200</v>
      </c>
      <c r="F11106" s="126"/>
      <c r="G11106" s="126">
        <f t="shared" si="179"/>
        <v>-1200</v>
      </c>
      <c r="H11106" s="121" t="s">
        <v>7071</v>
      </c>
    </row>
    <row r="11107" spans="1:8" ht="15" customHeight="1" x14ac:dyDescent="0.2">
      <c r="A11107" s="619">
        <v>44406</v>
      </c>
      <c r="B11107" s="63" t="s">
        <v>6953</v>
      </c>
      <c r="C11107" s="63" t="s">
        <v>3145</v>
      </c>
      <c r="D11107" s="108" t="s">
        <v>7187</v>
      </c>
      <c r="E11107" s="126">
        <v>2500</v>
      </c>
      <c r="F11107" s="126"/>
      <c r="G11107" s="126">
        <f t="shared" si="179"/>
        <v>-2500</v>
      </c>
      <c r="H11107" s="121" t="s">
        <v>7071</v>
      </c>
    </row>
    <row r="11108" spans="1:8" ht="15" customHeight="1" x14ac:dyDescent="0.2">
      <c r="A11108" s="619">
        <v>44406</v>
      </c>
      <c r="B11108" s="63" t="s">
        <v>6953</v>
      </c>
      <c r="C11108" s="63" t="s">
        <v>6009</v>
      </c>
      <c r="D11108" s="108" t="s">
        <v>7188</v>
      </c>
      <c r="E11108" s="126">
        <v>9000</v>
      </c>
      <c r="F11108" s="126"/>
      <c r="G11108" s="126">
        <f t="shared" si="179"/>
        <v>-9000</v>
      </c>
      <c r="H11108" s="121" t="s">
        <v>7071</v>
      </c>
    </row>
    <row r="11109" spans="1:8" ht="15" customHeight="1" x14ac:dyDescent="0.2">
      <c r="A11109" s="619">
        <v>44406</v>
      </c>
      <c r="B11109" s="63" t="s">
        <v>6511</v>
      </c>
      <c r="C11109" s="63" t="s">
        <v>7189</v>
      </c>
      <c r="D11109" s="108" t="s">
        <v>7190</v>
      </c>
      <c r="E11109" s="126">
        <v>74000</v>
      </c>
      <c r="F11109" s="126"/>
      <c r="G11109" s="126">
        <f t="shared" si="179"/>
        <v>-74000</v>
      </c>
      <c r="H11109" s="121" t="s">
        <v>7071</v>
      </c>
    </row>
    <row r="11110" spans="1:8" ht="15" customHeight="1" x14ac:dyDescent="0.2">
      <c r="A11110" s="619">
        <v>44406</v>
      </c>
      <c r="B11110" s="63" t="s">
        <v>6953</v>
      </c>
      <c r="C11110" s="63" t="s">
        <v>392</v>
      </c>
      <c r="D11110" s="108" t="s">
        <v>7191</v>
      </c>
      <c r="E11110" s="126">
        <v>2000</v>
      </c>
      <c r="F11110" s="126"/>
      <c r="G11110" s="126">
        <f t="shared" si="179"/>
        <v>-2000</v>
      </c>
      <c r="H11110" s="121" t="s">
        <v>7071</v>
      </c>
    </row>
    <row r="11111" spans="1:8" ht="15" customHeight="1" x14ac:dyDescent="0.2">
      <c r="A11111" s="619">
        <v>44406</v>
      </c>
      <c r="B11111" s="63" t="s">
        <v>6953</v>
      </c>
      <c r="C11111" s="63" t="s">
        <v>6378</v>
      </c>
      <c r="D11111" s="108" t="s">
        <v>7192</v>
      </c>
      <c r="E11111" s="126">
        <v>5000</v>
      </c>
      <c r="F11111" s="126"/>
      <c r="G11111" s="126">
        <f t="shared" si="179"/>
        <v>-5000</v>
      </c>
      <c r="H11111" s="121" t="s">
        <v>7071</v>
      </c>
    </row>
    <row r="11112" spans="1:8" ht="15" x14ac:dyDescent="0.2">
      <c r="A11112" s="619">
        <v>44406</v>
      </c>
      <c r="B11112" s="63" t="s">
        <v>6511</v>
      </c>
      <c r="C11112" s="63" t="s">
        <v>3145</v>
      </c>
      <c r="D11112" s="108" t="s">
        <v>7195</v>
      </c>
      <c r="E11112" s="126">
        <v>10783</v>
      </c>
      <c r="F11112" s="126"/>
      <c r="G11112" s="126">
        <f t="shared" si="179"/>
        <v>-10783</v>
      </c>
      <c r="H11112" s="121" t="s">
        <v>7071</v>
      </c>
    </row>
    <row r="11113" spans="1:8" ht="15" customHeight="1" x14ac:dyDescent="0.2">
      <c r="A11113" s="619">
        <v>44406</v>
      </c>
      <c r="B11113" s="63" t="s">
        <v>16</v>
      </c>
      <c r="C11113" s="63" t="s">
        <v>7056</v>
      </c>
      <c r="E11113" s="126">
        <v>5000</v>
      </c>
      <c r="F11113" s="126"/>
      <c r="G11113" s="126">
        <f t="shared" si="179"/>
        <v>-5000</v>
      </c>
      <c r="H11113" s="121" t="s">
        <v>7071</v>
      </c>
    </row>
    <row r="11114" spans="1:8" ht="15" customHeight="1" x14ac:dyDescent="0.2">
      <c r="A11114" s="619">
        <v>44406</v>
      </c>
      <c r="B11114" s="63" t="s">
        <v>6953</v>
      </c>
      <c r="C11114" s="63" t="s">
        <v>6378</v>
      </c>
      <c r="D11114" s="108" t="s">
        <v>7196</v>
      </c>
      <c r="E11114" s="126">
        <v>2000</v>
      </c>
      <c r="F11114" s="126"/>
      <c r="G11114" s="126">
        <f t="shared" si="179"/>
        <v>-2000</v>
      </c>
      <c r="H11114" s="121" t="s">
        <v>7071</v>
      </c>
    </row>
    <row r="11115" spans="1:8" ht="15" customHeight="1" x14ac:dyDescent="0.2">
      <c r="A11115" s="619">
        <v>44406</v>
      </c>
      <c r="B11115" s="63" t="s">
        <v>16</v>
      </c>
      <c r="C11115" s="63" t="s">
        <v>392</v>
      </c>
      <c r="D11115" s="108" t="s">
        <v>7197</v>
      </c>
      <c r="E11115" s="126">
        <v>300</v>
      </c>
      <c r="F11115" s="126"/>
      <c r="G11115" s="126">
        <f t="shared" si="179"/>
        <v>-300</v>
      </c>
      <c r="H11115" s="121" t="s">
        <v>7071</v>
      </c>
    </row>
    <row r="11116" spans="1:8" ht="15" customHeight="1" x14ac:dyDescent="0.2">
      <c r="A11116" s="619">
        <v>44407</v>
      </c>
      <c r="B11116" s="63" t="s">
        <v>16</v>
      </c>
      <c r="C11116" s="63" t="s">
        <v>1005</v>
      </c>
      <c r="E11116" s="126">
        <v>650</v>
      </c>
      <c r="F11116" s="126"/>
      <c r="G11116" s="126">
        <f t="shared" si="179"/>
        <v>-650</v>
      </c>
      <c r="H11116" s="121" t="s">
        <v>7071</v>
      </c>
    </row>
    <row r="11117" spans="1:8" ht="15" customHeight="1" x14ac:dyDescent="0.2">
      <c r="A11117" s="619">
        <v>44407</v>
      </c>
      <c r="B11117" s="63" t="s">
        <v>6511</v>
      </c>
      <c r="C11117" s="63" t="s">
        <v>3145</v>
      </c>
      <c r="D11117" s="108" t="s">
        <v>7198</v>
      </c>
      <c r="E11117" s="126">
        <v>6990</v>
      </c>
      <c r="F11117" s="126"/>
      <c r="G11117" s="126">
        <f t="shared" si="179"/>
        <v>-6990</v>
      </c>
      <c r="H11117" s="121" t="s">
        <v>7071</v>
      </c>
    </row>
    <row r="11118" spans="1:8" ht="15" customHeight="1" x14ac:dyDescent="0.2">
      <c r="A11118" s="619">
        <v>44407</v>
      </c>
      <c r="B11118" s="63" t="s">
        <v>1400</v>
      </c>
      <c r="C11118" s="63" t="s">
        <v>3145</v>
      </c>
      <c r="D11118" s="108" t="s">
        <v>7199</v>
      </c>
      <c r="E11118" s="126">
        <v>21900</v>
      </c>
      <c r="F11118" s="126"/>
      <c r="G11118" s="126">
        <f t="shared" si="179"/>
        <v>-21900</v>
      </c>
      <c r="H11118" s="121" t="s">
        <v>7071</v>
      </c>
    </row>
    <row r="11119" spans="1:8" ht="15" customHeight="1" x14ac:dyDescent="0.2">
      <c r="A11119" s="619">
        <v>44407</v>
      </c>
      <c r="B11119" s="63" t="s">
        <v>6953</v>
      </c>
      <c r="C11119" s="63" t="s">
        <v>3145</v>
      </c>
      <c r="D11119" s="108" t="s">
        <v>7200</v>
      </c>
      <c r="E11119" s="126">
        <v>1280</v>
      </c>
      <c r="F11119" s="126"/>
      <c r="G11119" s="126">
        <f t="shared" si="179"/>
        <v>-1280</v>
      </c>
      <c r="H11119" s="121" t="s">
        <v>7071</v>
      </c>
    </row>
    <row r="11120" spans="1:8" ht="15" customHeight="1" x14ac:dyDescent="0.2">
      <c r="A11120" s="619">
        <v>44407</v>
      </c>
      <c r="B11120" s="63" t="s">
        <v>1400</v>
      </c>
      <c r="C11120" s="63" t="s">
        <v>3145</v>
      </c>
      <c r="D11120" s="108" t="s">
        <v>7201</v>
      </c>
      <c r="E11120" s="126">
        <v>5500</v>
      </c>
      <c r="F11120" s="126"/>
      <c r="G11120" s="126">
        <f t="shared" si="179"/>
        <v>-5500</v>
      </c>
      <c r="H11120" s="121" t="s">
        <v>7071</v>
      </c>
    </row>
    <row r="11121" spans="1:8" ht="15" customHeight="1" x14ac:dyDescent="0.2">
      <c r="A11121" s="619">
        <v>44407</v>
      </c>
      <c r="B11121" s="63" t="s">
        <v>1400</v>
      </c>
      <c r="C11121" s="63" t="s">
        <v>2503</v>
      </c>
      <c r="D11121" s="108" t="s">
        <v>7097</v>
      </c>
      <c r="E11121" s="126">
        <v>25000</v>
      </c>
      <c r="F11121" s="126"/>
      <c r="G11121" s="126">
        <f t="shared" si="179"/>
        <v>-25000</v>
      </c>
      <c r="H11121" s="121" t="s">
        <v>7071</v>
      </c>
    </row>
    <row r="11122" spans="1:8" ht="15" customHeight="1" x14ac:dyDescent="0.2">
      <c r="A11122" s="619">
        <v>44407</v>
      </c>
      <c r="B11122" s="63" t="s">
        <v>2933</v>
      </c>
      <c r="C11122" s="63" t="s">
        <v>2503</v>
      </c>
      <c r="D11122" s="108" t="s">
        <v>7097</v>
      </c>
      <c r="E11122" s="126">
        <v>25000</v>
      </c>
      <c r="F11122" s="126"/>
      <c r="G11122" s="126">
        <f t="shared" si="179"/>
        <v>-25000</v>
      </c>
      <c r="H11122" s="121" t="s">
        <v>7071</v>
      </c>
    </row>
    <row r="11123" spans="1:8" ht="15" customHeight="1" x14ac:dyDescent="0.2">
      <c r="A11123" s="619">
        <v>44407</v>
      </c>
      <c r="B11123" s="63" t="s">
        <v>3946</v>
      </c>
      <c r="C11123" s="63" t="s">
        <v>2503</v>
      </c>
      <c r="D11123" s="108" t="s">
        <v>141</v>
      </c>
      <c r="E11123" s="126">
        <v>25000</v>
      </c>
      <c r="F11123" s="126"/>
      <c r="G11123" s="126">
        <f t="shared" si="179"/>
        <v>-25000</v>
      </c>
      <c r="H11123" s="121" t="s">
        <v>7071</v>
      </c>
    </row>
    <row r="11124" spans="1:8" ht="15" customHeight="1" x14ac:dyDescent="0.2">
      <c r="A11124" s="619">
        <v>44407</v>
      </c>
      <c r="B11124" s="63" t="s">
        <v>1400</v>
      </c>
      <c r="C11124" s="63" t="s">
        <v>2503</v>
      </c>
      <c r="D11124" s="108" t="s">
        <v>141</v>
      </c>
      <c r="E11124" s="126">
        <v>25000</v>
      </c>
      <c r="F11124" s="126"/>
      <c r="G11124" s="126">
        <f t="shared" si="179"/>
        <v>-25000</v>
      </c>
      <c r="H11124" s="121" t="s">
        <v>7071</v>
      </c>
    </row>
    <row r="11125" spans="1:8" ht="15" customHeight="1" x14ac:dyDescent="0.2">
      <c r="A11125" s="619">
        <v>44407</v>
      </c>
      <c r="B11125" s="63" t="s">
        <v>25</v>
      </c>
      <c r="C11125" s="63" t="s">
        <v>2503</v>
      </c>
      <c r="D11125" s="108" t="s">
        <v>7217</v>
      </c>
      <c r="E11125" s="126">
        <v>60000</v>
      </c>
      <c r="F11125" s="126"/>
      <c r="G11125" s="126">
        <f t="shared" si="179"/>
        <v>-60000</v>
      </c>
      <c r="H11125" s="121" t="s">
        <v>7071</v>
      </c>
    </row>
    <row r="11126" spans="1:8" ht="15" customHeight="1" x14ac:dyDescent="0.2">
      <c r="A11126" s="619">
        <v>44407</v>
      </c>
      <c r="B11126" s="63" t="s">
        <v>16</v>
      </c>
      <c r="C11126" s="63" t="s">
        <v>2503</v>
      </c>
      <c r="D11126" s="108" t="s">
        <v>7218</v>
      </c>
      <c r="E11126" s="126">
        <v>89000</v>
      </c>
      <c r="F11126" s="126"/>
      <c r="G11126" s="126">
        <f t="shared" si="179"/>
        <v>-89000</v>
      </c>
      <c r="H11126" s="121" t="s">
        <v>7071</v>
      </c>
    </row>
    <row r="11127" spans="1:8" ht="15" x14ac:dyDescent="0.2">
      <c r="A11127" s="619">
        <v>44407</v>
      </c>
      <c r="B11127" s="63" t="s">
        <v>3945</v>
      </c>
      <c r="C11127" s="63" t="s">
        <v>2503</v>
      </c>
      <c r="E11127" s="126">
        <v>51129.032258064515</v>
      </c>
      <c r="F11127" s="126"/>
      <c r="G11127" s="126">
        <f t="shared" si="179"/>
        <v>-51129.032258064515</v>
      </c>
      <c r="H11127" s="121" t="s">
        <v>7071</v>
      </c>
    </row>
    <row r="11128" spans="1:8" ht="15" customHeight="1" x14ac:dyDescent="0.2">
      <c r="A11128" s="619">
        <v>44407</v>
      </c>
      <c r="B11128" s="63" t="s">
        <v>3946</v>
      </c>
      <c r="C11128" s="63" t="s">
        <v>2503</v>
      </c>
      <c r="E11128" s="126">
        <v>108758.06451612904</v>
      </c>
      <c r="F11128" s="126"/>
      <c r="G11128" s="126">
        <f t="shared" si="179"/>
        <v>-108758.06451612904</v>
      </c>
      <c r="H11128" s="121" t="s">
        <v>7071</v>
      </c>
    </row>
    <row r="11129" spans="1:8" ht="15" customHeight="1" x14ac:dyDescent="0.2">
      <c r="A11129" s="619">
        <v>44407</v>
      </c>
      <c r="B11129" s="63" t="s">
        <v>1400</v>
      </c>
      <c r="C11129" s="63" t="s">
        <v>2503</v>
      </c>
      <c r="E11129" s="126">
        <v>210012</v>
      </c>
      <c r="F11129" s="126"/>
      <c r="G11129" s="126">
        <f t="shared" si="179"/>
        <v>-210012</v>
      </c>
      <c r="H11129" s="121" t="s">
        <v>7071</v>
      </c>
    </row>
    <row r="11130" spans="1:8" ht="15" customHeight="1" x14ac:dyDescent="0.2">
      <c r="A11130" s="619">
        <v>44407</v>
      </c>
      <c r="B11130" s="63" t="s">
        <v>37</v>
      </c>
      <c r="C11130" s="63" t="s">
        <v>2503</v>
      </c>
      <c r="E11130" s="126">
        <v>99318.548387096773</v>
      </c>
      <c r="F11130" s="126"/>
      <c r="G11130" s="126">
        <f t="shared" si="179"/>
        <v>-99318.548387096773</v>
      </c>
      <c r="H11130" s="121" t="s">
        <v>7071</v>
      </c>
    </row>
    <row r="11131" spans="1:8" ht="15" customHeight="1" x14ac:dyDescent="0.2">
      <c r="A11131" s="619">
        <v>44407</v>
      </c>
      <c r="B11131" s="63" t="s">
        <v>2933</v>
      </c>
      <c r="C11131" s="63" t="s">
        <v>2503</v>
      </c>
      <c r="E11131" s="126">
        <v>94467.741935483878</v>
      </c>
      <c r="F11131" s="126"/>
      <c r="G11131" s="126">
        <f t="shared" si="179"/>
        <v>-94467.741935483878</v>
      </c>
      <c r="H11131" s="121" t="s">
        <v>7071</v>
      </c>
    </row>
    <row r="11132" spans="1:8" ht="15" customHeight="1" x14ac:dyDescent="0.2">
      <c r="A11132" s="619">
        <v>44407</v>
      </c>
      <c r="B11132" s="63" t="s">
        <v>7067</v>
      </c>
      <c r="C11132" s="63" t="s">
        <v>2503</v>
      </c>
      <c r="E11132" s="126">
        <v>80718</v>
      </c>
      <c r="F11132" s="126"/>
      <c r="G11132" s="126">
        <f t="shared" si="179"/>
        <v>-80718</v>
      </c>
      <c r="H11132" s="121" t="s">
        <v>7071</v>
      </c>
    </row>
    <row r="11133" spans="1:8" ht="15" customHeight="1" x14ac:dyDescent="0.2">
      <c r="A11133" s="619">
        <v>44407</v>
      </c>
      <c r="B11133" s="63" t="s">
        <v>6511</v>
      </c>
      <c r="C11133" s="63" t="s">
        <v>2503</v>
      </c>
      <c r="E11133" s="126">
        <v>45553</v>
      </c>
      <c r="F11133" s="126"/>
      <c r="G11133" s="126">
        <f t="shared" si="179"/>
        <v>-45553</v>
      </c>
      <c r="H11133" s="121" t="s">
        <v>7071</v>
      </c>
    </row>
    <row r="11134" spans="1:8" ht="15" customHeight="1" x14ac:dyDescent="0.2">
      <c r="A11134" s="619">
        <v>44407</v>
      </c>
      <c r="B11134" s="63" t="s">
        <v>6408</v>
      </c>
      <c r="C11134" s="63" t="s">
        <v>2503</v>
      </c>
      <c r="E11134" s="126">
        <v>80718</v>
      </c>
      <c r="F11134" s="126"/>
      <c r="G11134" s="126">
        <f t="shared" si="179"/>
        <v>-80718</v>
      </c>
      <c r="H11134" s="121" t="s">
        <v>7071</v>
      </c>
    </row>
    <row r="11135" spans="1:8" ht="15" customHeight="1" x14ac:dyDescent="0.2">
      <c r="A11135" s="619">
        <v>44407</v>
      </c>
      <c r="B11135" s="63" t="s">
        <v>6518</v>
      </c>
      <c r="C11135" s="63" t="s">
        <v>2503</v>
      </c>
      <c r="D11135" s="108" t="s">
        <v>7221</v>
      </c>
      <c r="E11135" s="126">
        <v>44814.516129032258</v>
      </c>
      <c r="F11135" s="126"/>
      <c r="G11135" s="126">
        <f t="shared" si="179"/>
        <v>-44814.516129032258</v>
      </c>
      <c r="H11135" s="121" t="s">
        <v>7071</v>
      </c>
    </row>
    <row r="11136" spans="1:8" ht="15" customHeight="1" x14ac:dyDescent="0.2">
      <c r="A11136" s="619">
        <v>44407</v>
      </c>
      <c r="B11136" s="63" t="s">
        <v>5811</v>
      </c>
      <c r="C11136" s="63" t="s">
        <v>2503</v>
      </c>
      <c r="D11136" s="108" t="s">
        <v>7220</v>
      </c>
      <c r="E11136" s="126">
        <f>68337-22056</f>
        <v>46281</v>
      </c>
      <c r="F11136" s="126"/>
      <c r="G11136" s="126">
        <f t="shared" si="179"/>
        <v>-46281</v>
      </c>
      <c r="H11136" s="121" t="s">
        <v>7071</v>
      </c>
    </row>
    <row r="11137" spans="1:8" ht="15" customHeight="1" x14ac:dyDescent="0.2">
      <c r="A11137" s="619">
        <v>44407</v>
      </c>
      <c r="B11137" s="63" t="s">
        <v>6953</v>
      </c>
      <c r="C11137" s="63" t="s">
        <v>2503</v>
      </c>
      <c r="D11137" s="108" t="s">
        <v>7219</v>
      </c>
      <c r="E11137" s="126">
        <v>57221</v>
      </c>
      <c r="F11137" s="126"/>
      <c r="G11137" s="126">
        <f t="shared" si="179"/>
        <v>-57221</v>
      </c>
      <c r="H11137" s="121" t="s">
        <v>7071</v>
      </c>
    </row>
    <row r="11138" spans="1:8" ht="24" customHeight="1" x14ac:dyDescent="0.2">
      <c r="A11138" s="620">
        <v>44378</v>
      </c>
      <c r="B11138" s="174" t="s">
        <v>7067</v>
      </c>
      <c r="C11138" s="174" t="s">
        <v>1063</v>
      </c>
      <c r="D11138" s="228" t="s">
        <v>7087</v>
      </c>
      <c r="E11138" s="236">
        <v>127378</v>
      </c>
      <c r="F11138" s="236"/>
      <c r="G11138" s="236">
        <f t="shared" si="179"/>
        <v>-127378</v>
      </c>
      <c r="H11138" s="244" t="s">
        <v>7071</v>
      </c>
    </row>
    <row r="11139" spans="1:8" ht="15" customHeight="1" x14ac:dyDescent="0.2">
      <c r="A11139" s="620">
        <v>44378</v>
      </c>
      <c r="B11139" s="174" t="s">
        <v>7067</v>
      </c>
      <c r="C11139" s="174" t="s">
        <v>2128</v>
      </c>
      <c r="D11139" s="228" t="s">
        <v>7094</v>
      </c>
      <c r="E11139" s="236">
        <v>750000</v>
      </c>
      <c r="F11139" s="236"/>
      <c r="G11139" s="236">
        <f t="shared" si="179"/>
        <v>-750000</v>
      </c>
      <c r="H11139" s="244" t="s">
        <v>7071</v>
      </c>
    </row>
    <row r="11140" spans="1:8" ht="15" customHeight="1" x14ac:dyDescent="0.2">
      <c r="A11140" s="620">
        <v>44378</v>
      </c>
      <c r="B11140" s="174" t="s">
        <v>7067</v>
      </c>
      <c r="C11140" s="174" t="s">
        <v>2128</v>
      </c>
      <c r="D11140" s="228" t="s">
        <v>7095</v>
      </c>
      <c r="E11140" s="236">
        <v>750000</v>
      </c>
      <c r="F11140" s="236"/>
      <c r="G11140" s="236">
        <f t="shared" si="179"/>
        <v>-750000</v>
      </c>
      <c r="H11140" s="244" t="s">
        <v>7071</v>
      </c>
    </row>
    <row r="11141" spans="1:8" ht="15" customHeight="1" x14ac:dyDescent="0.2">
      <c r="A11141" s="620">
        <v>44378</v>
      </c>
      <c r="B11141" s="174" t="s">
        <v>7067</v>
      </c>
      <c r="C11141" s="174" t="s">
        <v>6835</v>
      </c>
      <c r="D11141" s="228" t="s">
        <v>7096</v>
      </c>
      <c r="E11141" s="236">
        <v>700000</v>
      </c>
      <c r="F11141" s="236"/>
      <c r="G11141" s="236">
        <f t="shared" ref="G11141:G11204" si="180">F11141-E11141</f>
        <v>-700000</v>
      </c>
      <c r="H11141" s="244" t="s">
        <v>7071</v>
      </c>
    </row>
    <row r="11142" spans="1:8" ht="24" customHeight="1" x14ac:dyDescent="0.2">
      <c r="A11142" s="620">
        <v>44383</v>
      </c>
      <c r="B11142" s="174" t="s">
        <v>7067</v>
      </c>
      <c r="C11142" s="174" t="s">
        <v>2128</v>
      </c>
      <c r="D11142" s="228" t="s">
        <v>7124</v>
      </c>
      <c r="E11142" s="236">
        <v>291705</v>
      </c>
      <c r="F11142" s="236"/>
      <c r="G11142" s="236">
        <f t="shared" si="180"/>
        <v>-291705</v>
      </c>
      <c r="H11142" s="244" t="s">
        <v>7071</v>
      </c>
    </row>
    <row r="11143" spans="1:8" ht="15" customHeight="1" x14ac:dyDescent="0.2">
      <c r="A11143" s="620">
        <v>44385</v>
      </c>
      <c r="B11143" s="174" t="s">
        <v>6953</v>
      </c>
      <c r="C11143" s="174" t="s">
        <v>2555</v>
      </c>
      <c r="D11143" s="228" t="s">
        <v>7125</v>
      </c>
      <c r="E11143" s="236">
        <v>50000</v>
      </c>
      <c r="F11143" s="236"/>
      <c r="G11143" s="236">
        <f t="shared" si="180"/>
        <v>-50000</v>
      </c>
      <c r="H11143" s="244" t="s">
        <v>7071</v>
      </c>
    </row>
    <row r="11144" spans="1:8" ht="24" customHeight="1" x14ac:dyDescent="0.2">
      <c r="A11144" s="620">
        <v>44392</v>
      </c>
      <c r="B11144" s="174" t="s">
        <v>6511</v>
      </c>
      <c r="C11144" s="551" t="s">
        <v>166</v>
      </c>
      <c r="D11144" s="740" t="s">
        <v>7139</v>
      </c>
      <c r="E11144" s="552">
        <v>92178</v>
      </c>
      <c r="F11144" s="236"/>
      <c r="G11144" s="236">
        <f t="shared" si="180"/>
        <v>-92178</v>
      </c>
      <c r="H11144" s="244" t="s">
        <v>7071</v>
      </c>
    </row>
    <row r="11145" spans="1:8" ht="15" customHeight="1" x14ac:dyDescent="0.2">
      <c r="A11145" s="620">
        <v>44392</v>
      </c>
      <c r="B11145" s="174" t="s">
        <v>6953</v>
      </c>
      <c r="C11145" s="551" t="s">
        <v>166</v>
      </c>
      <c r="D11145" s="740" t="s">
        <v>6789</v>
      </c>
      <c r="E11145" s="552">
        <v>34800</v>
      </c>
      <c r="F11145" s="236"/>
      <c r="G11145" s="236">
        <f t="shared" si="180"/>
        <v>-34800</v>
      </c>
      <c r="H11145" s="244" t="s">
        <v>7071</v>
      </c>
    </row>
    <row r="11146" spans="1:8" ht="15" customHeight="1" x14ac:dyDescent="0.2">
      <c r="A11146" s="620">
        <v>44392</v>
      </c>
      <c r="B11146" s="174" t="s">
        <v>1400</v>
      </c>
      <c r="C11146" s="551" t="s">
        <v>166</v>
      </c>
      <c r="D11146" s="740" t="s">
        <v>6789</v>
      </c>
      <c r="E11146" s="552">
        <v>23022</v>
      </c>
      <c r="F11146" s="236"/>
      <c r="G11146" s="236">
        <f t="shared" si="180"/>
        <v>-23022</v>
      </c>
      <c r="H11146" s="244" t="s">
        <v>7071</v>
      </c>
    </row>
    <row r="11147" spans="1:8" ht="36" customHeight="1" x14ac:dyDescent="0.2">
      <c r="A11147" s="620">
        <v>44392</v>
      </c>
      <c r="B11147" s="174" t="s">
        <v>6953</v>
      </c>
      <c r="C11147" s="634" t="s">
        <v>1355</v>
      </c>
      <c r="D11147" s="896" t="s">
        <v>9211</v>
      </c>
      <c r="E11147" s="636">
        <v>134360</v>
      </c>
      <c r="F11147" s="236"/>
      <c r="G11147" s="236">
        <f t="shared" si="180"/>
        <v>-134360</v>
      </c>
      <c r="H11147" s="244" t="s">
        <v>7071</v>
      </c>
    </row>
    <row r="11148" spans="1:8" ht="15" customHeight="1" x14ac:dyDescent="0.2">
      <c r="A11148" s="620">
        <v>44392</v>
      </c>
      <c r="B11148" s="174" t="s">
        <v>1400</v>
      </c>
      <c r="C11148" s="634" t="s">
        <v>1355</v>
      </c>
      <c r="D11148" s="896" t="s">
        <v>6789</v>
      </c>
      <c r="E11148" s="636">
        <v>79000</v>
      </c>
      <c r="F11148" s="236"/>
      <c r="G11148" s="236">
        <f t="shared" si="180"/>
        <v>-79000</v>
      </c>
      <c r="H11148" s="244" t="s">
        <v>7071</v>
      </c>
    </row>
    <row r="11149" spans="1:8" ht="15" customHeight="1" x14ac:dyDescent="0.2">
      <c r="A11149" s="620">
        <v>44392</v>
      </c>
      <c r="B11149" s="174" t="s">
        <v>6408</v>
      </c>
      <c r="C11149" s="634" t="s">
        <v>1355</v>
      </c>
      <c r="D11149" s="896" t="s">
        <v>6789</v>
      </c>
      <c r="E11149" s="636">
        <v>35561</v>
      </c>
      <c r="F11149" s="236"/>
      <c r="G11149" s="236">
        <f t="shared" si="180"/>
        <v>-35561</v>
      </c>
      <c r="H11149" s="244" t="s">
        <v>7071</v>
      </c>
    </row>
    <row r="11150" spans="1:8" ht="15" customHeight="1" x14ac:dyDescent="0.2">
      <c r="A11150" s="620">
        <v>44392</v>
      </c>
      <c r="B11150" s="174" t="s">
        <v>3946</v>
      </c>
      <c r="C11150" s="634" t="s">
        <v>1355</v>
      </c>
      <c r="D11150" s="896" t="s">
        <v>6789</v>
      </c>
      <c r="E11150" s="636">
        <v>252800</v>
      </c>
      <c r="F11150" s="236"/>
      <c r="G11150" s="236">
        <f t="shared" si="180"/>
        <v>-252800</v>
      </c>
      <c r="H11150" s="244" t="s">
        <v>7071</v>
      </c>
    </row>
    <row r="11151" spans="1:8" ht="15" customHeight="1" x14ac:dyDescent="0.2">
      <c r="A11151" s="620">
        <v>44392</v>
      </c>
      <c r="B11151" s="174" t="s">
        <v>7067</v>
      </c>
      <c r="C11151" s="634" t="s">
        <v>1355</v>
      </c>
      <c r="D11151" s="896" t="s">
        <v>6789</v>
      </c>
      <c r="E11151" s="636">
        <v>209</v>
      </c>
      <c r="F11151" s="236"/>
      <c r="G11151" s="236">
        <f t="shared" si="180"/>
        <v>-209</v>
      </c>
      <c r="H11151" s="244" t="s">
        <v>7071</v>
      </c>
    </row>
    <row r="11152" spans="1:8" ht="36" customHeight="1" x14ac:dyDescent="0.2">
      <c r="A11152" s="620">
        <v>44392</v>
      </c>
      <c r="B11152" s="174" t="s">
        <v>6511</v>
      </c>
      <c r="C11152" s="650" t="s">
        <v>1355</v>
      </c>
      <c r="D11152" s="906" t="s">
        <v>9212</v>
      </c>
      <c r="E11152" s="651">
        <v>441381</v>
      </c>
      <c r="F11152" s="236"/>
      <c r="G11152" s="236">
        <f t="shared" si="180"/>
        <v>-441381</v>
      </c>
      <c r="H11152" s="244" t="s">
        <v>7071</v>
      </c>
    </row>
    <row r="11153" spans="1:8" ht="15" customHeight="1" x14ac:dyDescent="0.2">
      <c r="A11153" s="620">
        <v>44392</v>
      </c>
      <c r="B11153" s="174" t="s">
        <v>6953</v>
      </c>
      <c r="C11153" s="650" t="s">
        <v>1355</v>
      </c>
      <c r="D11153" s="906" t="s">
        <v>6789</v>
      </c>
      <c r="E11153" s="651">
        <v>39410</v>
      </c>
      <c r="F11153" s="236"/>
      <c r="G11153" s="236">
        <f t="shared" si="180"/>
        <v>-39410</v>
      </c>
      <c r="H11153" s="244" t="s">
        <v>7071</v>
      </c>
    </row>
    <row r="11154" spans="1:8" ht="15" customHeight="1" x14ac:dyDescent="0.2">
      <c r="A11154" s="620">
        <v>44392</v>
      </c>
      <c r="B11154" s="174" t="s">
        <v>6408</v>
      </c>
      <c r="C11154" s="650" t="s">
        <v>1355</v>
      </c>
      <c r="D11154" s="906" t="s">
        <v>6789</v>
      </c>
      <c r="E11154" s="651">
        <v>40445</v>
      </c>
      <c r="F11154" s="236"/>
      <c r="G11154" s="236">
        <f t="shared" si="180"/>
        <v>-40445</v>
      </c>
      <c r="H11154" s="244" t="s">
        <v>7071</v>
      </c>
    </row>
    <row r="11155" spans="1:8" ht="15" customHeight="1" x14ac:dyDescent="0.2">
      <c r="A11155" s="620">
        <v>44392</v>
      </c>
      <c r="B11155" s="174" t="s">
        <v>6953</v>
      </c>
      <c r="C11155" s="174" t="s">
        <v>7003</v>
      </c>
      <c r="D11155" s="228" t="s">
        <v>7143</v>
      </c>
      <c r="E11155" s="236">
        <v>50000</v>
      </c>
      <c r="F11155" s="236"/>
      <c r="G11155" s="236">
        <f t="shared" si="180"/>
        <v>-50000</v>
      </c>
      <c r="H11155" s="244" t="s">
        <v>7071</v>
      </c>
    </row>
    <row r="11156" spans="1:8" ht="15" customHeight="1" x14ac:dyDescent="0.2">
      <c r="A11156" s="620">
        <v>44392</v>
      </c>
      <c r="B11156" s="174" t="s">
        <v>7112</v>
      </c>
      <c r="C11156" s="174" t="s">
        <v>2555</v>
      </c>
      <c r="D11156" s="228" t="s">
        <v>7144</v>
      </c>
      <c r="E11156" s="236">
        <v>50000</v>
      </c>
      <c r="F11156" s="236"/>
      <c r="G11156" s="236">
        <f t="shared" si="180"/>
        <v>-50000</v>
      </c>
      <c r="H11156" s="244" t="s">
        <v>7071</v>
      </c>
    </row>
    <row r="11157" spans="1:8" ht="15" customHeight="1" x14ac:dyDescent="0.2">
      <c r="A11157" s="620">
        <v>44401</v>
      </c>
      <c r="B11157" s="174" t="s">
        <v>6511</v>
      </c>
      <c r="C11157" s="174" t="s">
        <v>6763</v>
      </c>
      <c r="D11157" s="228" t="s">
        <v>7166</v>
      </c>
      <c r="E11157" s="236">
        <v>121000</v>
      </c>
      <c r="F11157" s="236"/>
      <c r="G11157" s="236">
        <f t="shared" si="180"/>
        <v>-121000</v>
      </c>
      <c r="H11157" s="244" t="s">
        <v>7071</v>
      </c>
    </row>
    <row r="11158" spans="1:8" ht="15" customHeight="1" x14ac:dyDescent="0.2">
      <c r="A11158" s="620">
        <v>44404</v>
      </c>
      <c r="B11158" s="174" t="s">
        <v>6511</v>
      </c>
      <c r="C11158" s="174" t="s">
        <v>7026</v>
      </c>
      <c r="D11158" s="228" t="s">
        <v>7171</v>
      </c>
      <c r="E11158" s="236">
        <v>42000</v>
      </c>
      <c r="F11158" s="236"/>
      <c r="G11158" s="236">
        <f t="shared" si="180"/>
        <v>-42000</v>
      </c>
      <c r="H11158" s="244" t="s">
        <v>7071</v>
      </c>
    </row>
    <row r="11159" spans="1:8" ht="15" customHeight="1" x14ac:dyDescent="0.2">
      <c r="A11159" s="620">
        <v>44405</v>
      </c>
      <c r="B11159" s="174" t="s">
        <v>2933</v>
      </c>
      <c r="C11159" s="566" t="s">
        <v>1391</v>
      </c>
      <c r="D11159" s="875" t="s">
        <v>7180</v>
      </c>
      <c r="E11159" s="567">
        <v>10100</v>
      </c>
      <c r="F11159" s="236"/>
      <c r="G11159" s="236">
        <f t="shared" si="180"/>
        <v>-10100</v>
      </c>
      <c r="H11159" s="244" t="s">
        <v>7071</v>
      </c>
    </row>
    <row r="11160" spans="1:8" ht="15" customHeight="1" x14ac:dyDescent="0.2">
      <c r="A11160" s="620">
        <v>44405</v>
      </c>
      <c r="B11160" s="174" t="s">
        <v>11</v>
      </c>
      <c r="C11160" s="566" t="s">
        <v>1391</v>
      </c>
      <c r="D11160" s="875" t="s">
        <v>6789</v>
      </c>
      <c r="E11160" s="567">
        <v>3293</v>
      </c>
      <c r="F11160" s="236"/>
      <c r="G11160" s="236">
        <f t="shared" si="180"/>
        <v>-3293</v>
      </c>
      <c r="H11160" s="244" t="s">
        <v>7071</v>
      </c>
    </row>
    <row r="11161" spans="1:8" ht="15" customHeight="1" x14ac:dyDescent="0.2">
      <c r="A11161" s="620">
        <v>44405</v>
      </c>
      <c r="B11161" s="174" t="s">
        <v>2652</v>
      </c>
      <c r="C11161" s="566" t="s">
        <v>1391</v>
      </c>
      <c r="D11161" s="875" t="s">
        <v>6789</v>
      </c>
      <c r="E11161" s="567">
        <v>813</v>
      </c>
      <c r="F11161" s="236"/>
      <c r="G11161" s="236">
        <f t="shared" si="180"/>
        <v>-813</v>
      </c>
      <c r="H11161" s="244" t="s">
        <v>7071</v>
      </c>
    </row>
    <row r="11162" spans="1:8" ht="15" customHeight="1" x14ac:dyDescent="0.2">
      <c r="A11162" s="620">
        <v>44405</v>
      </c>
      <c r="B11162" s="174" t="s">
        <v>6953</v>
      </c>
      <c r="C11162" s="566" t="s">
        <v>1391</v>
      </c>
      <c r="D11162" s="875" t="s">
        <v>6789</v>
      </c>
      <c r="E11162" s="567">
        <v>17710</v>
      </c>
      <c r="F11162" s="236"/>
      <c r="G11162" s="236">
        <f t="shared" si="180"/>
        <v>-17710</v>
      </c>
      <c r="H11162" s="244" t="s">
        <v>7071</v>
      </c>
    </row>
    <row r="11163" spans="1:8" ht="15" customHeight="1" x14ac:dyDescent="0.2">
      <c r="A11163" s="620">
        <v>44405</v>
      </c>
      <c r="B11163" s="174" t="s">
        <v>1400</v>
      </c>
      <c r="C11163" s="566" t="s">
        <v>1391</v>
      </c>
      <c r="D11163" s="875" t="s">
        <v>6789</v>
      </c>
      <c r="E11163" s="567">
        <v>28084</v>
      </c>
      <c r="F11163" s="236"/>
      <c r="G11163" s="236">
        <f t="shared" si="180"/>
        <v>-28084</v>
      </c>
      <c r="H11163" s="244" t="s">
        <v>7071</v>
      </c>
    </row>
    <row r="11164" spans="1:8" ht="72" customHeight="1" x14ac:dyDescent="0.2">
      <c r="A11164" s="620">
        <v>44405</v>
      </c>
      <c r="B11164" s="174" t="s">
        <v>6508</v>
      </c>
      <c r="C11164" s="174" t="s">
        <v>6555</v>
      </c>
      <c r="D11164" s="228" t="s">
        <v>7183</v>
      </c>
      <c r="E11164" s="236">
        <v>275079</v>
      </c>
      <c r="F11164" s="236"/>
      <c r="G11164" s="236">
        <f t="shared" si="180"/>
        <v>-275079</v>
      </c>
      <c r="H11164" s="244" t="s">
        <v>7071</v>
      </c>
    </row>
    <row r="11165" spans="1:8" ht="15" customHeight="1" x14ac:dyDescent="0.2">
      <c r="A11165" s="620">
        <v>44407</v>
      </c>
      <c r="B11165" s="174" t="s">
        <v>6953</v>
      </c>
      <c r="C11165" s="174" t="s">
        <v>6706</v>
      </c>
      <c r="D11165" s="228" t="s">
        <v>7193</v>
      </c>
      <c r="E11165" s="236">
        <v>200000</v>
      </c>
      <c r="F11165" s="236"/>
      <c r="G11165" s="236">
        <f t="shared" si="180"/>
        <v>-200000</v>
      </c>
      <c r="H11165" s="244" t="s">
        <v>7071</v>
      </c>
    </row>
    <row r="11166" spans="1:8" ht="15" customHeight="1" x14ac:dyDescent="0.2">
      <c r="A11166" s="620">
        <v>44407</v>
      </c>
      <c r="B11166" s="174" t="s">
        <v>6511</v>
      </c>
      <c r="C11166" s="174" t="s">
        <v>2586</v>
      </c>
      <c r="D11166" s="228" t="s">
        <v>7194</v>
      </c>
      <c r="E11166" s="236">
        <v>200000</v>
      </c>
      <c r="F11166" s="236"/>
      <c r="G11166" s="236">
        <f t="shared" si="180"/>
        <v>-200000</v>
      </c>
      <c r="H11166" s="244" t="s">
        <v>7071</v>
      </c>
    </row>
    <row r="11167" spans="1:8" ht="15" customHeight="1" x14ac:dyDescent="0.2">
      <c r="A11167" s="618">
        <v>44378</v>
      </c>
      <c r="B11167" s="91" t="s">
        <v>7067</v>
      </c>
      <c r="C11167" s="94" t="s">
        <v>559</v>
      </c>
      <c r="D11167" s="801" t="s">
        <v>7068</v>
      </c>
      <c r="E11167" s="92"/>
      <c r="F11167" s="92">
        <v>6012500</v>
      </c>
      <c r="G11167" s="92">
        <f t="shared" si="180"/>
        <v>6012500</v>
      </c>
      <c r="H11167" s="261" t="s">
        <v>7071</v>
      </c>
    </row>
    <row r="11168" spans="1:8" ht="15" x14ac:dyDescent="0.2">
      <c r="A11168" s="618">
        <v>44378</v>
      </c>
      <c r="B11168" s="91" t="s">
        <v>3946</v>
      </c>
      <c r="C11168" s="94" t="s">
        <v>559</v>
      </c>
      <c r="D11168" s="801" t="s">
        <v>7093</v>
      </c>
      <c r="E11168" s="92"/>
      <c r="F11168" s="92">
        <v>1500000</v>
      </c>
      <c r="G11168" s="92">
        <f t="shared" si="180"/>
        <v>1500000</v>
      </c>
      <c r="H11168" s="261" t="s">
        <v>7071</v>
      </c>
    </row>
    <row r="11169" spans="1:8" ht="15" customHeight="1" x14ac:dyDescent="0.2">
      <c r="A11169" s="618">
        <v>44383</v>
      </c>
      <c r="B11169" s="91" t="s">
        <v>6518</v>
      </c>
      <c r="C11169" s="94" t="s">
        <v>559</v>
      </c>
      <c r="D11169" s="801" t="s">
        <v>7099</v>
      </c>
      <c r="E11169" s="92"/>
      <c r="F11169" s="92">
        <v>1850000</v>
      </c>
      <c r="G11169" s="92">
        <f t="shared" si="180"/>
        <v>1850000</v>
      </c>
      <c r="H11169" s="261" t="s">
        <v>7071</v>
      </c>
    </row>
    <row r="11170" spans="1:8" ht="15" customHeight="1" x14ac:dyDescent="0.2">
      <c r="A11170" s="618">
        <v>44385</v>
      </c>
      <c r="B11170" s="91" t="s">
        <v>6516</v>
      </c>
      <c r="C11170" s="94" t="s">
        <v>559</v>
      </c>
      <c r="D11170" s="801" t="s">
        <v>7111</v>
      </c>
      <c r="E11170" s="92"/>
      <c r="F11170" s="92">
        <v>625014</v>
      </c>
      <c r="G11170" s="92">
        <f t="shared" si="180"/>
        <v>625014</v>
      </c>
      <c r="H11170" s="261" t="s">
        <v>7071</v>
      </c>
    </row>
    <row r="11171" spans="1:8" ht="15" customHeight="1" x14ac:dyDescent="0.2">
      <c r="A11171" s="618">
        <v>44385</v>
      </c>
      <c r="B11171" s="91" t="s">
        <v>7112</v>
      </c>
      <c r="C11171" s="94" t="s">
        <v>559</v>
      </c>
      <c r="D11171" s="801" t="s">
        <v>7203</v>
      </c>
      <c r="E11171" s="92"/>
      <c r="F11171" s="92">
        <v>454725</v>
      </c>
      <c r="G11171" s="92">
        <f t="shared" si="180"/>
        <v>454725</v>
      </c>
      <c r="H11171" s="261" t="s">
        <v>7071</v>
      </c>
    </row>
    <row r="11172" spans="1:8" ht="24" customHeight="1" x14ac:dyDescent="0.2">
      <c r="A11172" s="618">
        <v>44391</v>
      </c>
      <c r="B11172" s="94" t="s">
        <v>7126</v>
      </c>
      <c r="C11172" s="94" t="s">
        <v>559</v>
      </c>
      <c r="D11172" s="802" t="s">
        <v>7140</v>
      </c>
      <c r="E11172" s="176"/>
      <c r="F11172" s="176">
        <v>521235</v>
      </c>
      <c r="G11172" s="176">
        <f t="shared" si="180"/>
        <v>521235</v>
      </c>
      <c r="H11172" s="261" t="s">
        <v>7071</v>
      </c>
    </row>
    <row r="11173" spans="1:8" ht="36" customHeight="1" x14ac:dyDescent="0.2">
      <c r="A11173" s="618">
        <v>44392</v>
      </c>
      <c r="B11173" s="94" t="s">
        <v>1400</v>
      </c>
      <c r="C11173" s="94" t="s">
        <v>559</v>
      </c>
      <c r="D11173" s="802" t="s">
        <v>7136</v>
      </c>
      <c r="E11173" s="176"/>
      <c r="F11173" s="176">
        <v>501930</v>
      </c>
      <c r="G11173" s="176">
        <f t="shared" si="180"/>
        <v>501930</v>
      </c>
      <c r="H11173" s="261" t="s">
        <v>7071</v>
      </c>
    </row>
    <row r="11174" spans="1:8" ht="24" customHeight="1" x14ac:dyDescent="0.2">
      <c r="A11174" s="618">
        <v>44392</v>
      </c>
      <c r="B11174" s="94" t="s">
        <v>1400</v>
      </c>
      <c r="C11174" s="94" t="s">
        <v>559</v>
      </c>
      <c r="D11174" s="802" t="s">
        <v>7137</v>
      </c>
      <c r="E11174" s="176"/>
      <c r="F11174" s="176">
        <v>150000</v>
      </c>
      <c r="G11174" s="176">
        <f t="shared" si="180"/>
        <v>150000</v>
      </c>
      <c r="H11174" s="261" t="s">
        <v>7071</v>
      </c>
    </row>
    <row r="11175" spans="1:8" ht="24" customHeight="1" x14ac:dyDescent="0.2">
      <c r="A11175" s="618">
        <v>44392</v>
      </c>
      <c r="B11175" s="94" t="s">
        <v>1400</v>
      </c>
      <c r="C11175" s="94" t="s">
        <v>559</v>
      </c>
      <c r="D11175" s="802" t="s">
        <v>7138</v>
      </c>
      <c r="E11175" s="176"/>
      <c r="F11175" s="176">
        <v>700000</v>
      </c>
      <c r="G11175" s="176">
        <f t="shared" si="180"/>
        <v>700000</v>
      </c>
      <c r="H11175" s="261" t="s">
        <v>7071</v>
      </c>
    </row>
    <row r="11176" spans="1:8" ht="15" customHeight="1" x14ac:dyDescent="0.2">
      <c r="A11176" s="618">
        <v>44394</v>
      </c>
      <c r="B11176" s="91" t="s">
        <v>6953</v>
      </c>
      <c r="C11176" s="94" t="s">
        <v>559</v>
      </c>
      <c r="D11176" s="801" t="s">
        <v>7146</v>
      </c>
      <c r="E11176" s="92"/>
      <c r="F11176" s="92">
        <v>1350000</v>
      </c>
      <c r="G11176" s="92">
        <f t="shared" si="180"/>
        <v>1350000</v>
      </c>
      <c r="H11176" s="261" t="s">
        <v>7071</v>
      </c>
    </row>
    <row r="11177" spans="1:8" ht="24" customHeight="1" x14ac:dyDescent="0.2">
      <c r="A11177" s="618">
        <v>44396</v>
      </c>
      <c r="B11177" s="94" t="s">
        <v>1400</v>
      </c>
      <c r="C11177" s="94" t="s">
        <v>559</v>
      </c>
      <c r="D11177" s="802" t="s">
        <v>7167</v>
      </c>
      <c r="E11177" s="176"/>
      <c r="F11177" s="176">
        <v>450000</v>
      </c>
      <c r="G11177" s="176">
        <f t="shared" si="180"/>
        <v>450000</v>
      </c>
      <c r="H11177" s="261" t="s">
        <v>7071</v>
      </c>
    </row>
    <row r="11178" spans="1:8" ht="15" customHeight="1" x14ac:dyDescent="0.2">
      <c r="A11178" s="618">
        <v>44405</v>
      </c>
      <c r="B11178" s="91" t="s">
        <v>37</v>
      </c>
      <c r="C11178" s="91" t="s">
        <v>559</v>
      </c>
      <c r="D11178" s="801" t="s">
        <v>7179</v>
      </c>
      <c r="E11178" s="176"/>
      <c r="F11178" s="92">
        <v>157140</v>
      </c>
      <c r="G11178" s="92">
        <f t="shared" si="180"/>
        <v>157140</v>
      </c>
      <c r="H11178" s="261" t="s">
        <v>7071</v>
      </c>
    </row>
    <row r="11179" spans="1:8" ht="72" customHeight="1" x14ac:dyDescent="0.2">
      <c r="A11179" s="618">
        <v>44405</v>
      </c>
      <c r="B11179" s="94" t="s">
        <v>1400</v>
      </c>
      <c r="C11179" s="94" t="s">
        <v>559</v>
      </c>
      <c r="D11179" s="802" t="s">
        <v>7183</v>
      </c>
      <c r="E11179" s="176"/>
      <c r="F11179" s="176">
        <v>275079</v>
      </c>
      <c r="G11179" s="176">
        <f t="shared" si="180"/>
        <v>275079</v>
      </c>
      <c r="H11179" s="261" t="s">
        <v>7071</v>
      </c>
    </row>
    <row r="11180" spans="1:8" ht="15" customHeight="1" x14ac:dyDescent="0.2">
      <c r="A11180" s="619">
        <v>44410</v>
      </c>
      <c r="B11180" s="63" t="s">
        <v>16</v>
      </c>
      <c r="C11180" s="63" t="s">
        <v>7056</v>
      </c>
      <c r="D11180" s="108" t="s">
        <v>7202</v>
      </c>
      <c r="E11180" s="126">
        <v>1000</v>
      </c>
      <c r="F11180" s="126"/>
      <c r="G11180" s="126">
        <f t="shared" si="180"/>
        <v>-1000</v>
      </c>
      <c r="H11180" s="121" t="s">
        <v>7205</v>
      </c>
    </row>
    <row r="11181" spans="1:8" ht="15" customHeight="1" x14ac:dyDescent="0.2">
      <c r="A11181" s="619">
        <v>44410</v>
      </c>
      <c r="B11181" s="63" t="s">
        <v>6953</v>
      </c>
      <c r="C11181" s="63" t="s">
        <v>3145</v>
      </c>
      <c r="D11181" s="108" t="s">
        <v>7206</v>
      </c>
      <c r="E11181" s="126">
        <v>20500</v>
      </c>
      <c r="F11181" s="126"/>
      <c r="G11181" s="126">
        <f t="shared" si="180"/>
        <v>-20500</v>
      </c>
      <c r="H11181" s="121" t="s">
        <v>7205</v>
      </c>
    </row>
    <row r="11182" spans="1:8" ht="24" customHeight="1" x14ac:dyDescent="0.2">
      <c r="A11182" s="619">
        <v>44410</v>
      </c>
      <c r="B11182" s="63" t="s">
        <v>6511</v>
      </c>
      <c r="C11182" s="63" t="s">
        <v>6378</v>
      </c>
      <c r="D11182" s="129" t="s">
        <v>7207</v>
      </c>
      <c r="E11182" s="126">
        <v>5000</v>
      </c>
      <c r="F11182" s="126"/>
      <c r="G11182" s="126">
        <f t="shared" si="180"/>
        <v>-5000</v>
      </c>
      <c r="H11182" s="121" t="s">
        <v>7205</v>
      </c>
    </row>
    <row r="11183" spans="1:8" ht="15" customHeight="1" x14ac:dyDescent="0.2">
      <c r="A11183" s="619">
        <v>44410</v>
      </c>
      <c r="B11183" s="63" t="s">
        <v>6511</v>
      </c>
      <c r="C11183" s="63" t="s">
        <v>4908</v>
      </c>
      <c r="D11183" s="129" t="s">
        <v>1157</v>
      </c>
      <c r="E11183" s="126">
        <v>15000</v>
      </c>
      <c r="F11183" s="126"/>
      <c r="G11183" s="126">
        <f t="shared" si="180"/>
        <v>-15000</v>
      </c>
      <c r="H11183" s="121" t="s">
        <v>7205</v>
      </c>
    </row>
    <row r="11184" spans="1:8" ht="15" customHeight="1" x14ac:dyDescent="0.2">
      <c r="A11184" s="619">
        <v>44410</v>
      </c>
      <c r="B11184" s="63" t="s">
        <v>16</v>
      </c>
      <c r="C11184" s="63" t="s">
        <v>1689</v>
      </c>
      <c r="D11184" s="108" t="s">
        <v>7208</v>
      </c>
      <c r="E11184" s="126">
        <v>2722</v>
      </c>
      <c r="F11184" s="126"/>
      <c r="G11184" s="126">
        <f t="shared" si="180"/>
        <v>-2722</v>
      </c>
      <c r="H11184" s="121" t="s">
        <v>7205</v>
      </c>
    </row>
    <row r="11185" spans="1:8" ht="15" customHeight="1" x14ac:dyDescent="0.2">
      <c r="A11185" s="619">
        <v>44410</v>
      </c>
      <c r="B11185" s="63" t="s">
        <v>6953</v>
      </c>
      <c r="C11185" s="63" t="s">
        <v>3145</v>
      </c>
      <c r="D11185" s="108" t="s">
        <v>6486</v>
      </c>
      <c r="E11185" s="126">
        <v>1780</v>
      </c>
      <c r="F11185" s="126"/>
      <c r="G11185" s="126">
        <f t="shared" si="180"/>
        <v>-1780</v>
      </c>
      <c r="H11185" s="121" t="s">
        <v>7205</v>
      </c>
    </row>
    <row r="11186" spans="1:8" ht="15" customHeight="1" x14ac:dyDescent="0.2">
      <c r="A11186" s="619">
        <v>44410</v>
      </c>
      <c r="B11186" s="63" t="s">
        <v>6511</v>
      </c>
      <c r="C11186" s="63" t="s">
        <v>3145</v>
      </c>
      <c r="D11186" s="108" t="s">
        <v>7209</v>
      </c>
      <c r="E11186" s="126">
        <v>3300</v>
      </c>
      <c r="F11186" s="126"/>
      <c r="G11186" s="126">
        <f t="shared" si="180"/>
        <v>-3300</v>
      </c>
      <c r="H11186" s="121" t="s">
        <v>7205</v>
      </c>
    </row>
    <row r="11187" spans="1:8" ht="15" customHeight="1" x14ac:dyDescent="0.2">
      <c r="A11187" s="619">
        <v>44411</v>
      </c>
      <c r="B11187" s="63" t="s">
        <v>7126</v>
      </c>
      <c r="C11187" s="63" t="s">
        <v>6009</v>
      </c>
      <c r="D11187" s="108" t="s">
        <v>7210</v>
      </c>
      <c r="E11187" s="126">
        <v>25800</v>
      </c>
      <c r="F11187" s="126"/>
      <c r="G11187" s="126">
        <f t="shared" si="180"/>
        <v>-25800</v>
      </c>
      <c r="H11187" s="121" t="s">
        <v>7205</v>
      </c>
    </row>
    <row r="11188" spans="1:8" ht="15" customHeight="1" x14ac:dyDescent="0.2">
      <c r="A11188" s="619">
        <v>44411</v>
      </c>
      <c r="B11188" s="63" t="s">
        <v>16</v>
      </c>
      <c r="C11188" s="63" t="s">
        <v>7056</v>
      </c>
      <c r="D11188" s="108" t="s">
        <v>370</v>
      </c>
      <c r="E11188" s="126">
        <v>2000</v>
      </c>
      <c r="F11188" s="126"/>
      <c r="G11188" s="126">
        <f t="shared" si="180"/>
        <v>-2000</v>
      </c>
      <c r="H11188" s="121" t="s">
        <v>7205</v>
      </c>
    </row>
    <row r="11189" spans="1:8" ht="15" customHeight="1" x14ac:dyDescent="0.2">
      <c r="A11189" s="619">
        <v>44411</v>
      </c>
      <c r="B11189" s="63" t="s">
        <v>6953</v>
      </c>
      <c r="C11189" s="63" t="s">
        <v>6947</v>
      </c>
      <c r="D11189" s="108" t="s">
        <v>7211</v>
      </c>
      <c r="E11189" s="126">
        <v>40000</v>
      </c>
      <c r="F11189" s="126"/>
      <c r="G11189" s="126">
        <f t="shared" si="180"/>
        <v>-40000</v>
      </c>
      <c r="H11189" s="121" t="s">
        <v>7205</v>
      </c>
    </row>
    <row r="11190" spans="1:8" ht="15" customHeight="1" x14ac:dyDescent="0.2">
      <c r="A11190" s="619">
        <v>44412</v>
      </c>
      <c r="B11190" s="63" t="s">
        <v>6516</v>
      </c>
      <c r="C11190" s="63" t="s">
        <v>7212</v>
      </c>
      <c r="D11190" s="108" t="s">
        <v>7213</v>
      </c>
      <c r="E11190" s="126">
        <v>20000</v>
      </c>
      <c r="F11190" s="126"/>
      <c r="G11190" s="126">
        <f t="shared" si="180"/>
        <v>-20000</v>
      </c>
      <c r="H11190" s="121" t="s">
        <v>7205</v>
      </c>
    </row>
    <row r="11191" spans="1:8" ht="15" customHeight="1" x14ac:dyDescent="0.2">
      <c r="A11191" s="619">
        <v>44413</v>
      </c>
      <c r="B11191" s="63" t="s">
        <v>5811</v>
      </c>
      <c r="C11191" s="63" t="s">
        <v>3145</v>
      </c>
      <c r="D11191" s="108" t="s">
        <v>6699</v>
      </c>
      <c r="E11191" s="126">
        <v>1250</v>
      </c>
      <c r="F11191" s="126"/>
      <c r="G11191" s="126">
        <f t="shared" si="180"/>
        <v>-1250</v>
      </c>
      <c r="H11191" s="121" t="s">
        <v>7205</v>
      </c>
    </row>
    <row r="11192" spans="1:8" ht="15" customHeight="1" x14ac:dyDescent="0.2">
      <c r="A11192" s="619">
        <v>44413</v>
      </c>
      <c r="B11192" s="63" t="s">
        <v>1400</v>
      </c>
      <c r="C11192" s="63" t="s">
        <v>3145</v>
      </c>
      <c r="D11192" s="108" t="s">
        <v>7225</v>
      </c>
      <c r="E11192" s="126">
        <v>9580</v>
      </c>
      <c r="F11192" s="126"/>
      <c r="G11192" s="126">
        <f t="shared" si="180"/>
        <v>-9580</v>
      </c>
      <c r="H11192" s="121" t="s">
        <v>7205</v>
      </c>
    </row>
    <row r="11193" spans="1:8" ht="15" customHeight="1" x14ac:dyDescent="0.2">
      <c r="A11193" s="619">
        <v>44413</v>
      </c>
      <c r="B11193" s="63" t="s">
        <v>16</v>
      </c>
      <c r="C11193" s="63" t="s">
        <v>5341</v>
      </c>
      <c r="D11193" s="108" t="s">
        <v>7226</v>
      </c>
      <c r="E11193" s="126">
        <v>15000</v>
      </c>
      <c r="F11193" s="126"/>
      <c r="G11193" s="126">
        <f t="shared" si="180"/>
        <v>-15000</v>
      </c>
      <c r="H11193" s="121" t="s">
        <v>7205</v>
      </c>
    </row>
    <row r="11194" spans="1:8" ht="15" customHeight="1" x14ac:dyDescent="0.2">
      <c r="A11194" s="619">
        <v>44413</v>
      </c>
      <c r="B11194" s="63" t="s">
        <v>6511</v>
      </c>
      <c r="C11194" s="63" t="s">
        <v>6378</v>
      </c>
      <c r="D11194" s="108" t="s">
        <v>7236</v>
      </c>
      <c r="E11194" s="126">
        <v>30000</v>
      </c>
      <c r="F11194" s="126"/>
      <c r="G11194" s="126">
        <f t="shared" si="180"/>
        <v>-30000</v>
      </c>
      <c r="H11194" s="121" t="s">
        <v>7205</v>
      </c>
    </row>
    <row r="11195" spans="1:8" ht="15" customHeight="1" x14ac:dyDescent="0.2">
      <c r="A11195" s="619">
        <v>44414</v>
      </c>
      <c r="B11195" s="63" t="s">
        <v>37</v>
      </c>
      <c r="C11195" s="63" t="s">
        <v>392</v>
      </c>
      <c r="D11195" s="108" t="s">
        <v>7107</v>
      </c>
      <c r="E11195" s="126">
        <v>2000</v>
      </c>
      <c r="F11195" s="126"/>
      <c r="G11195" s="126">
        <f t="shared" si="180"/>
        <v>-2000</v>
      </c>
      <c r="H11195" s="121" t="s">
        <v>7205</v>
      </c>
    </row>
    <row r="11196" spans="1:8" ht="15" customHeight="1" x14ac:dyDescent="0.2">
      <c r="A11196" s="619">
        <v>44414</v>
      </c>
      <c r="B11196" s="63" t="s">
        <v>16</v>
      </c>
      <c r="C11196" s="63" t="s">
        <v>7056</v>
      </c>
      <c r="D11196" s="108" t="s">
        <v>1157</v>
      </c>
      <c r="E11196" s="126">
        <v>8000</v>
      </c>
      <c r="F11196" s="126"/>
      <c r="G11196" s="126">
        <f t="shared" si="180"/>
        <v>-8000</v>
      </c>
      <c r="H11196" s="121" t="s">
        <v>7205</v>
      </c>
    </row>
    <row r="11197" spans="1:8" ht="15" customHeight="1" x14ac:dyDescent="0.2">
      <c r="A11197" s="619">
        <v>44414</v>
      </c>
      <c r="B11197" s="63" t="s">
        <v>6408</v>
      </c>
      <c r="C11197" s="63" t="s">
        <v>3145</v>
      </c>
      <c r="D11197" s="108" t="s">
        <v>6942</v>
      </c>
      <c r="E11197" s="126">
        <v>5400</v>
      </c>
      <c r="F11197" s="126"/>
      <c r="G11197" s="126">
        <f t="shared" si="180"/>
        <v>-5400</v>
      </c>
      <c r="H11197" s="121" t="s">
        <v>7205</v>
      </c>
    </row>
    <row r="11198" spans="1:8" ht="15" customHeight="1" x14ac:dyDescent="0.2">
      <c r="A11198" s="619">
        <v>44414</v>
      </c>
      <c r="B11198" s="63" t="s">
        <v>1400</v>
      </c>
      <c r="C11198" s="63" t="s">
        <v>1524</v>
      </c>
      <c r="D11198" s="108" t="s">
        <v>7227</v>
      </c>
      <c r="E11198" s="126">
        <v>55200</v>
      </c>
      <c r="F11198" s="126"/>
      <c r="G11198" s="126">
        <f t="shared" si="180"/>
        <v>-55200</v>
      </c>
      <c r="H11198" s="121" t="s">
        <v>7205</v>
      </c>
    </row>
    <row r="11199" spans="1:8" ht="15" customHeight="1" x14ac:dyDescent="0.2">
      <c r="A11199" s="619">
        <v>44414</v>
      </c>
      <c r="B11199" s="63" t="s">
        <v>1400</v>
      </c>
      <c r="C11199" s="63" t="s">
        <v>705</v>
      </c>
      <c r="D11199" s="108" t="s">
        <v>7228</v>
      </c>
      <c r="E11199" s="126">
        <v>18022</v>
      </c>
      <c r="F11199" s="126"/>
      <c r="G11199" s="126">
        <f t="shared" si="180"/>
        <v>-18022</v>
      </c>
      <c r="H11199" s="121" t="s">
        <v>7205</v>
      </c>
    </row>
    <row r="11200" spans="1:8" ht="15" customHeight="1" x14ac:dyDescent="0.2">
      <c r="A11200" s="619">
        <v>44414</v>
      </c>
      <c r="B11200" s="63" t="s">
        <v>1400</v>
      </c>
      <c r="C11200" s="63" t="s">
        <v>3145</v>
      </c>
      <c r="D11200" s="108" t="s">
        <v>7229</v>
      </c>
      <c r="E11200" s="126">
        <v>50818</v>
      </c>
      <c r="F11200" s="126"/>
      <c r="G11200" s="126">
        <f t="shared" si="180"/>
        <v>-50818</v>
      </c>
      <c r="H11200" s="121" t="s">
        <v>7205</v>
      </c>
    </row>
    <row r="11201" spans="1:8" ht="15" customHeight="1" x14ac:dyDescent="0.2">
      <c r="A11201" s="619">
        <v>44414</v>
      </c>
      <c r="B11201" s="63" t="s">
        <v>6408</v>
      </c>
      <c r="C11201" s="63" t="s">
        <v>3145</v>
      </c>
      <c r="D11201" s="108" t="s">
        <v>7230</v>
      </c>
      <c r="E11201" s="126">
        <v>2250</v>
      </c>
      <c r="F11201" s="126"/>
      <c r="G11201" s="126">
        <f t="shared" si="180"/>
        <v>-2250</v>
      </c>
      <c r="H11201" s="121" t="s">
        <v>7205</v>
      </c>
    </row>
    <row r="11202" spans="1:8" ht="15" customHeight="1" x14ac:dyDescent="0.2">
      <c r="A11202" s="619">
        <v>44414</v>
      </c>
      <c r="B11202" s="63" t="s">
        <v>6408</v>
      </c>
      <c r="C11202" s="63" t="s">
        <v>3145</v>
      </c>
      <c r="D11202" s="108" t="s">
        <v>7230</v>
      </c>
      <c r="E11202" s="126">
        <v>6375</v>
      </c>
      <c r="F11202" s="126"/>
      <c r="G11202" s="126">
        <f t="shared" si="180"/>
        <v>-6375</v>
      </c>
      <c r="H11202" s="121" t="s">
        <v>7205</v>
      </c>
    </row>
    <row r="11203" spans="1:8" ht="15" customHeight="1" x14ac:dyDescent="0.2">
      <c r="A11203" s="619">
        <v>44414</v>
      </c>
      <c r="B11203" s="63" t="s">
        <v>16</v>
      </c>
      <c r="C11203" s="63" t="s">
        <v>1495</v>
      </c>
      <c r="D11203" s="108" t="s">
        <v>370</v>
      </c>
      <c r="E11203" s="126">
        <v>1300</v>
      </c>
      <c r="F11203" s="126"/>
      <c r="G11203" s="126">
        <f t="shared" si="180"/>
        <v>-1300</v>
      </c>
      <c r="H11203" s="121" t="s">
        <v>7205</v>
      </c>
    </row>
    <row r="11204" spans="1:8" ht="15" customHeight="1" x14ac:dyDescent="0.2">
      <c r="A11204" s="619">
        <v>44417</v>
      </c>
      <c r="B11204" s="63" t="s">
        <v>6408</v>
      </c>
      <c r="C11204" s="63" t="s">
        <v>3145</v>
      </c>
      <c r="D11204" s="108" t="s">
        <v>7231</v>
      </c>
      <c r="E11204" s="126">
        <v>7000</v>
      </c>
      <c r="F11204" s="126"/>
      <c r="G11204" s="126">
        <f t="shared" si="180"/>
        <v>-7000</v>
      </c>
      <c r="H11204" s="121" t="s">
        <v>7205</v>
      </c>
    </row>
    <row r="11205" spans="1:8" ht="15" customHeight="1" x14ac:dyDescent="0.2">
      <c r="A11205" s="619">
        <v>44418</v>
      </c>
      <c r="B11205" s="63" t="s">
        <v>6408</v>
      </c>
      <c r="C11205" s="63" t="s">
        <v>3145</v>
      </c>
      <c r="D11205" s="108" t="s">
        <v>7232</v>
      </c>
      <c r="E11205" s="126">
        <v>19780</v>
      </c>
      <c r="F11205" s="126"/>
      <c r="G11205" s="126">
        <f t="shared" ref="G11205:G11268" si="181">F11205-E11205</f>
        <v>-19780</v>
      </c>
      <c r="H11205" s="121" t="s">
        <v>7205</v>
      </c>
    </row>
    <row r="11206" spans="1:8" ht="15" customHeight="1" x14ac:dyDescent="0.2">
      <c r="A11206" s="619">
        <v>44418</v>
      </c>
      <c r="B11206" s="63" t="s">
        <v>3946</v>
      </c>
      <c r="C11206" s="551" t="s">
        <v>3003</v>
      </c>
      <c r="D11206" s="893" t="s">
        <v>5858</v>
      </c>
      <c r="E11206" s="552">
        <v>13520</v>
      </c>
      <c r="F11206" s="126"/>
      <c r="G11206" s="126">
        <f t="shared" si="181"/>
        <v>-13520</v>
      </c>
      <c r="H11206" s="121" t="s">
        <v>7205</v>
      </c>
    </row>
    <row r="11207" spans="1:8" ht="15" customHeight="1" x14ac:dyDescent="0.2">
      <c r="A11207" s="619">
        <v>44418</v>
      </c>
      <c r="B11207" s="63" t="s">
        <v>3945</v>
      </c>
      <c r="C11207" s="551" t="s">
        <v>3003</v>
      </c>
      <c r="D11207" s="893" t="s">
        <v>6789</v>
      </c>
      <c r="E11207" s="552">
        <v>5200</v>
      </c>
      <c r="F11207" s="126"/>
      <c r="G11207" s="126">
        <f t="shared" si="181"/>
        <v>-5200</v>
      </c>
      <c r="H11207" s="121" t="s">
        <v>7205</v>
      </c>
    </row>
    <row r="11208" spans="1:8" ht="15" customHeight="1" x14ac:dyDescent="0.2">
      <c r="A11208" s="619">
        <v>44418</v>
      </c>
      <c r="B11208" s="63" t="s">
        <v>3946</v>
      </c>
      <c r="C11208" s="551" t="s">
        <v>3003</v>
      </c>
      <c r="D11208" s="893" t="s">
        <v>7233</v>
      </c>
      <c r="E11208" s="552">
        <v>145780</v>
      </c>
      <c r="F11208" s="126"/>
      <c r="G11208" s="126">
        <f t="shared" si="181"/>
        <v>-145780</v>
      </c>
      <c r="H11208" s="121" t="s">
        <v>7205</v>
      </c>
    </row>
    <row r="11209" spans="1:8" ht="15" customHeight="1" x14ac:dyDescent="0.2">
      <c r="A11209" s="619">
        <v>44419</v>
      </c>
      <c r="B11209" s="63" t="s">
        <v>6408</v>
      </c>
      <c r="C11209" s="63" t="s">
        <v>3145</v>
      </c>
      <c r="D11209" s="108" t="s">
        <v>4535</v>
      </c>
      <c r="E11209" s="126">
        <v>3600</v>
      </c>
      <c r="F11209" s="126"/>
      <c r="G11209" s="126">
        <f t="shared" si="181"/>
        <v>-3600</v>
      </c>
      <c r="H11209" s="121" t="s">
        <v>7205</v>
      </c>
    </row>
    <row r="11210" spans="1:8" ht="15" customHeight="1" x14ac:dyDescent="0.2">
      <c r="A11210" s="619">
        <v>44419</v>
      </c>
      <c r="B11210" s="63" t="s">
        <v>7112</v>
      </c>
      <c r="C11210" s="63" t="s">
        <v>3145</v>
      </c>
      <c r="D11210" s="108" t="s">
        <v>7237</v>
      </c>
      <c r="E11210" s="126">
        <v>42300</v>
      </c>
      <c r="F11210" s="126"/>
      <c r="G11210" s="126">
        <f t="shared" si="181"/>
        <v>-42300</v>
      </c>
      <c r="H11210" s="121" t="s">
        <v>7205</v>
      </c>
    </row>
    <row r="11211" spans="1:8" ht="15" customHeight="1" x14ac:dyDescent="0.2">
      <c r="A11211" s="619">
        <v>44419</v>
      </c>
      <c r="B11211" s="63" t="s">
        <v>7112</v>
      </c>
      <c r="C11211" s="63" t="s">
        <v>3145</v>
      </c>
      <c r="D11211" s="108" t="s">
        <v>7238</v>
      </c>
      <c r="E11211" s="126">
        <v>1450</v>
      </c>
      <c r="F11211" s="126"/>
      <c r="G11211" s="126">
        <f t="shared" si="181"/>
        <v>-1450</v>
      </c>
      <c r="H11211" s="121" t="s">
        <v>7205</v>
      </c>
    </row>
    <row r="11212" spans="1:8" ht="15" customHeight="1" x14ac:dyDescent="0.2">
      <c r="A11212" s="619">
        <v>44419</v>
      </c>
      <c r="B11212" s="63" t="s">
        <v>6953</v>
      </c>
      <c r="C11212" s="63" t="s">
        <v>3145</v>
      </c>
      <c r="D11212" s="108" t="s">
        <v>7238</v>
      </c>
      <c r="E11212" s="126">
        <v>5350</v>
      </c>
      <c r="F11212" s="126"/>
      <c r="G11212" s="126">
        <f t="shared" si="181"/>
        <v>-5350</v>
      </c>
      <c r="H11212" s="121" t="s">
        <v>7205</v>
      </c>
    </row>
    <row r="11213" spans="1:8" ht="15" x14ac:dyDescent="0.2">
      <c r="A11213" s="619">
        <v>44419</v>
      </c>
      <c r="B11213" s="63" t="s">
        <v>1400</v>
      </c>
      <c r="C11213" s="63" t="s">
        <v>3145</v>
      </c>
      <c r="D11213" s="108" t="s">
        <v>7238</v>
      </c>
      <c r="E11213" s="126">
        <v>2000</v>
      </c>
      <c r="F11213" s="126"/>
      <c r="G11213" s="126">
        <f t="shared" si="181"/>
        <v>-2000</v>
      </c>
      <c r="H11213" s="121" t="s">
        <v>7205</v>
      </c>
    </row>
    <row r="11214" spans="1:8" ht="15" x14ac:dyDescent="0.2">
      <c r="A11214" s="619">
        <v>44419</v>
      </c>
      <c r="B11214" s="63" t="s">
        <v>6511</v>
      </c>
      <c r="C11214" s="63" t="s">
        <v>3446</v>
      </c>
      <c r="D11214" s="108" t="s">
        <v>7239</v>
      </c>
      <c r="E11214" s="126">
        <v>10000</v>
      </c>
      <c r="F11214" s="126"/>
      <c r="G11214" s="126">
        <f t="shared" si="181"/>
        <v>-10000</v>
      </c>
      <c r="H11214" s="121" t="s">
        <v>7205</v>
      </c>
    </row>
    <row r="11215" spans="1:8" ht="15" x14ac:dyDescent="0.2">
      <c r="A11215" s="619">
        <v>44419</v>
      </c>
      <c r="B11215" s="63" t="s">
        <v>6508</v>
      </c>
      <c r="C11215" s="63" t="s">
        <v>3145</v>
      </c>
      <c r="D11215" s="108" t="s">
        <v>7241</v>
      </c>
      <c r="E11215" s="126">
        <v>9500</v>
      </c>
      <c r="F11215" s="126"/>
      <c r="G11215" s="126">
        <f t="shared" si="181"/>
        <v>-9500</v>
      </c>
      <c r="H11215" s="121" t="s">
        <v>7205</v>
      </c>
    </row>
    <row r="11216" spans="1:8" ht="15" x14ac:dyDescent="0.2">
      <c r="A11216" s="619">
        <v>44419</v>
      </c>
      <c r="B11216" s="63" t="s">
        <v>6508</v>
      </c>
      <c r="C11216" s="63" t="s">
        <v>6605</v>
      </c>
      <c r="D11216" s="108" t="s">
        <v>7306</v>
      </c>
      <c r="E11216" s="126">
        <v>35000</v>
      </c>
      <c r="F11216" s="126"/>
      <c r="G11216" s="126">
        <f t="shared" si="181"/>
        <v>-35000</v>
      </c>
      <c r="H11216" s="121" t="s">
        <v>7205</v>
      </c>
    </row>
    <row r="11217" spans="1:8" ht="15" x14ac:dyDescent="0.2">
      <c r="A11217" s="619">
        <v>44419</v>
      </c>
      <c r="B11217" s="63" t="s">
        <v>16</v>
      </c>
      <c r="C11217" s="63" t="s">
        <v>2996</v>
      </c>
      <c r="D11217" s="108" t="s">
        <v>370</v>
      </c>
      <c r="E11217" s="126">
        <v>3000</v>
      </c>
      <c r="F11217" s="126"/>
      <c r="G11217" s="126">
        <f t="shared" si="181"/>
        <v>-3000</v>
      </c>
      <c r="H11217" s="121" t="s">
        <v>7205</v>
      </c>
    </row>
    <row r="11218" spans="1:8" ht="15" x14ac:dyDescent="0.2">
      <c r="A11218" s="619">
        <v>44420</v>
      </c>
      <c r="B11218" s="63" t="s">
        <v>7067</v>
      </c>
      <c r="C11218" s="63" t="s">
        <v>6784</v>
      </c>
      <c r="D11218" s="108" t="s">
        <v>3361</v>
      </c>
      <c r="E11218" s="126">
        <v>50000</v>
      </c>
      <c r="F11218" s="126"/>
      <c r="G11218" s="126">
        <f t="shared" si="181"/>
        <v>-50000</v>
      </c>
      <c r="H11218" s="121" t="s">
        <v>7205</v>
      </c>
    </row>
    <row r="11219" spans="1:8" ht="15" x14ac:dyDescent="0.2">
      <c r="A11219" s="619">
        <v>44420</v>
      </c>
      <c r="B11219" s="63" t="s">
        <v>1400</v>
      </c>
      <c r="C11219" s="63" t="s">
        <v>7244</v>
      </c>
      <c r="D11219" s="108" t="s">
        <v>7245</v>
      </c>
      <c r="E11219" s="126">
        <v>27000</v>
      </c>
      <c r="F11219" s="126"/>
      <c r="G11219" s="126">
        <f t="shared" si="181"/>
        <v>-27000</v>
      </c>
      <c r="H11219" s="121" t="s">
        <v>7205</v>
      </c>
    </row>
    <row r="11220" spans="1:8" ht="15" x14ac:dyDescent="0.2">
      <c r="A11220" s="619">
        <v>44420</v>
      </c>
      <c r="B11220" s="63" t="s">
        <v>6508</v>
      </c>
      <c r="C11220" s="63" t="s">
        <v>3145</v>
      </c>
      <c r="D11220" s="108" t="s">
        <v>7246</v>
      </c>
      <c r="E11220" s="126">
        <v>49100</v>
      </c>
      <c r="F11220" s="126"/>
      <c r="G11220" s="126">
        <f t="shared" si="181"/>
        <v>-49100</v>
      </c>
      <c r="H11220" s="121" t="s">
        <v>7205</v>
      </c>
    </row>
    <row r="11221" spans="1:8" ht="15" x14ac:dyDescent="0.2">
      <c r="A11221" s="619">
        <v>44420</v>
      </c>
      <c r="B11221" s="63" t="s">
        <v>1400</v>
      </c>
      <c r="C11221" s="63" t="s">
        <v>3145</v>
      </c>
      <c r="D11221" s="108" t="s">
        <v>7247</v>
      </c>
      <c r="E11221" s="126">
        <v>31200</v>
      </c>
      <c r="F11221" s="126"/>
      <c r="G11221" s="126">
        <f t="shared" si="181"/>
        <v>-31200</v>
      </c>
      <c r="H11221" s="121" t="s">
        <v>7205</v>
      </c>
    </row>
    <row r="11222" spans="1:8" ht="15" x14ac:dyDescent="0.2">
      <c r="A11222" s="619">
        <v>44420</v>
      </c>
      <c r="B11222" s="63" t="s">
        <v>7112</v>
      </c>
      <c r="C11222" s="63" t="s">
        <v>3145</v>
      </c>
      <c r="D11222" s="108" t="s">
        <v>7248</v>
      </c>
      <c r="E11222" s="126">
        <v>5875</v>
      </c>
      <c r="F11222" s="126"/>
      <c r="G11222" s="126">
        <f t="shared" si="181"/>
        <v>-5875</v>
      </c>
      <c r="H11222" s="121" t="s">
        <v>7205</v>
      </c>
    </row>
    <row r="11223" spans="1:8" ht="15" x14ac:dyDescent="0.2">
      <c r="A11223" s="619">
        <v>44421</v>
      </c>
      <c r="B11223" s="63" t="s">
        <v>6511</v>
      </c>
      <c r="C11223" s="63" t="s">
        <v>3145</v>
      </c>
      <c r="D11223" s="108" t="s">
        <v>6733</v>
      </c>
      <c r="E11223" s="126">
        <v>5360</v>
      </c>
      <c r="F11223" s="126"/>
      <c r="G11223" s="126">
        <f t="shared" si="181"/>
        <v>-5360</v>
      </c>
      <c r="H11223" s="121" t="s">
        <v>7205</v>
      </c>
    </row>
    <row r="11224" spans="1:8" ht="15" x14ac:dyDescent="0.2">
      <c r="A11224" s="619">
        <v>44421</v>
      </c>
      <c r="B11224" s="63" t="s">
        <v>1400</v>
      </c>
      <c r="C11224" s="63" t="s">
        <v>7161</v>
      </c>
      <c r="D11224" s="108" t="s">
        <v>3361</v>
      </c>
      <c r="E11224" s="126">
        <v>15000</v>
      </c>
      <c r="F11224" s="126"/>
      <c r="G11224" s="126">
        <f t="shared" si="181"/>
        <v>-15000</v>
      </c>
      <c r="H11224" s="121" t="s">
        <v>7205</v>
      </c>
    </row>
    <row r="11225" spans="1:8" ht="15" x14ac:dyDescent="0.2">
      <c r="A11225" s="619">
        <v>44421</v>
      </c>
      <c r="B11225" s="63" t="s">
        <v>16</v>
      </c>
      <c r="C11225" s="63" t="s">
        <v>3364</v>
      </c>
      <c r="D11225" s="108" t="s">
        <v>370</v>
      </c>
      <c r="E11225" s="126">
        <v>4508</v>
      </c>
      <c r="F11225" s="126"/>
      <c r="G11225" s="126">
        <f t="shared" si="181"/>
        <v>-4508</v>
      </c>
      <c r="H11225" s="121" t="s">
        <v>7205</v>
      </c>
    </row>
    <row r="11226" spans="1:8" ht="15" x14ac:dyDescent="0.2">
      <c r="A11226" s="619">
        <v>44421</v>
      </c>
      <c r="B11226" s="63" t="s">
        <v>6508</v>
      </c>
      <c r="C11226" s="63" t="s">
        <v>3145</v>
      </c>
      <c r="D11226" s="108" t="s">
        <v>7249</v>
      </c>
      <c r="E11226" s="126">
        <v>10000</v>
      </c>
      <c r="F11226" s="126"/>
      <c r="G11226" s="126">
        <f t="shared" si="181"/>
        <v>-10000</v>
      </c>
      <c r="H11226" s="121" t="s">
        <v>7205</v>
      </c>
    </row>
    <row r="11227" spans="1:8" ht="15" x14ac:dyDescent="0.2">
      <c r="A11227" s="619">
        <v>44421</v>
      </c>
      <c r="B11227" s="63" t="s">
        <v>25</v>
      </c>
      <c r="C11227" s="63" t="s">
        <v>1689</v>
      </c>
      <c r="D11227" s="108" t="s">
        <v>6343</v>
      </c>
      <c r="E11227" s="126">
        <v>6580</v>
      </c>
      <c r="F11227" s="126"/>
      <c r="G11227" s="126">
        <f t="shared" si="181"/>
        <v>-6580</v>
      </c>
      <c r="H11227" s="121" t="s">
        <v>7205</v>
      </c>
    </row>
    <row r="11228" spans="1:8" ht="15" x14ac:dyDescent="0.2">
      <c r="A11228" s="619">
        <v>44421</v>
      </c>
      <c r="B11228" s="63" t="s">
        <v>16</v>
      </c>
      <c r="C11228" s="63" t="s">
        <v>1689</v>
      </c>
      <c r="D11228" s="108" t="s">
        <v>6343</v>
      </c>
      <c r="E11228" s="126">
        <v>3350</v>
      </c>
      <c r="F11228" s="126"/>
      <c r="G11228" s="126">
        <f t="shared" si="181"/>
        <v>-3350</v>
      </c>
      <c r="H11228" s="121" t="s">
        <v>7205</v>
      </c>
    </row>
    <row r="11229" spans="1:8" ht="15" x14ac:dyDescent="0.2">
      <c r="A11229" s="619">
        <v>44421</v>
      </c>
      <c r="B11229" s="63" t="s">
        <v>6511</v>
      </c>
      <c r="C11229" s="63" t="s">
        <v>5741</v>
      </c>
      <c r="D11229" s="108" t="s">
        <v>7250</v>
      </c>
      <c r="E11229" s="126">
        <v>700</v>
      </c>
      <c r="F11229" s="126"/>
      <c r="G11229" s="126">
        <f t="shared" si="181"/>
        <v>-700</v>
      </c>
      <c r="H11229" s="121" t="s">
        <v>7205</v>
      </c>
    </row>
    <row r="11230" spans="1:8" ht="15" x14ac:dyDescent="0.2">
      <c r="A11230" s="619">
        <v>44421</v>
      </c>
      <c r="B11230" s="63" t="s">
        <v>6953</v>
      </c>
      <c r="C11230" s="63" t="s">
        <v>5741</v>
      </c>
      <c r="D11230" s="108" t="s">
        <v>370</v>
      </c>
      <c r="E11230" s="126">
        <v>1300</v>
      </c>
      <c r="F11230" s="126"/>
      <c r="G11230" s="126">
        <f t="shared" si="181"/>
        <v>-1300</v>
      </c>
      <c r="H11230" s="121" t="s">
        <v>7205</v>
      </c>
    </row>
    <row r="11231" spans="1:8" ht="15" x14ac:dyDescent="0.2">
      <c r="A11231" s="619">
        <v>44428</v>
      </c>
      <c r="B11231" s="63" t="s">
        <v>6953</v>
      </c>
      <c r="C11231" s="63" t="s">
        <v>3145</v>
      </c>
      <c r="D11231" s="108" t="s">
        <v>6057</v>
      </c>
      <c r="E11231" s="126">
        <v>25600</v>
      </c>
      <c r="F11231" s="126"/>
      <c r="G11231" s="126">
        <f t="shared" si="181"/>
        <v>-25600</v>
      </c>
      <c r="H11231" s="121" t="s">
        <v>7205</v>
      </c>
    </row>
    <row r="11232" spans="1:8" ht="15" x14ac:dyDescent="0.2">
      <c r="A11232" s="619">
        <v>44428</v>
      </c>
      <c r="B11232" s="63" t="s">
        <v>6953</v>
      </c>
      <c r="C11232" s="63" t="s">
        <v>3145</v>
      </c>
      <c r="D11232" s="108" t="s">
        <v>6057</v>
      </c>
      <c r="E11232" s="126">
        <v>24600</v>
      </c>
      <c r="F11232" s="126"/>
      <c r="G11232" s="126">
        <f t="shared" si="181"/>
        <v>-24600</v>
      </c>
      <c r="H11232" s="121" t="s">
        <v>7205</v>
      </c>
    </row>
    <row r="11233" spans="1:8" ht="15" x14ac:dyDescent="0.2">
      <c r="A11233" s="619">
        <v>44428</v>
      </c>
      <c r="B11233" s="63" t="s">
        <v>6953</v>
      </c>
      <c r="C11233" s="63" t="s">
        <v>3145</v>
      </c>
      <c r="D11233" s="108" t="s">
        <v>6057</v>
      </c>
      <c r="E11233" s="126">
        <v>9365</v>
      </c>
      <c r="F11233" s="126"/>
      <c r="G11233" s="126">
        <f t="shared" si="181"/>
        <v>-9365</v>
      </c>
      <c r="H11233" s="121" t="s">
        <v>7205</v>
      </c>
    </row>
    <row r="11234" spans="1:8" ht="15" x14ac:dyDescent="0.2">
      <c r="A11234" s="619">
        <v>44428</v>
      </c>
      <c r="B11234" s="63" t="s">
        <v>6953</v>
      </c>
      <c r="C11234" s="63" t="s">
        <v>3145</v>
      </c>
      <c r="D11234" s="108" t="s">
        <v>6057</v>
      </c>
      <c r="E11234" s="126">
        <v>26115</v>
      </c>
      <c r="F11234" s="126"/>
      <c r="G11234" s="126">
        <f t="shared" si="181"/>
        <v>-26115</v>
      </c>
      <c r="H11234" s="121" t="s">
        <v>7205</v>
      </c>
    </row>
    <row r="11235" spans="1:8" ht="15" x14ac:dyDescent="0.2">
      <c r="A11235" s="619">
        <v>44428</v>
      </c>
      <c r="B11235" s="63" t="s">
        <v>6953</v>
      </c>
      <c r="C11235" s="63" t="s">
        <v>3145</v>
      </c>
      <c r="D11235" s="108" t="s">
        <v>6057</v>
      </c>
      <c r="E11235" s="126">
        <v>13440</v>
      </c>
      <c r="F11235" s="126"/>
      <c r="G11235" s="126">
        <f t="shared" si="181"/>
        <v>-13440</v>
      </c>
      <c r="H11235" s="121" t="s">
        <v>7205</v>
      </c>
    </row>
    <row r="11236" spans="1:8" ht="15" x14ac:dyDescent="0.2">
      <c r="A11236" s="619">
        <v>44428</v>
      </c>
      <c r="B11236" s="63" t="s">
        <v>6953</v>
      </c>
      <c r="C11236" s="63" t="s">
        <v>3145</v>
      </c>
      <c r="D11236" s="108" t="s">
        <v>6057</v>
      </c>
      <c r="E11236" s="126">
        <v>8715</v>
      </c>
      <c r="F11236" s="126"/>
      <c r="G11236" s="126">
        <f t="shared" si="181"/>
        <v>-8715</v>
      </c>
      <c r="H11236" s="121" t="s">
        <v>7205</v>
      </c>
    </row>
    <row r="11237" spans="1:8" ht="15" x14ac:dyDescent="0.2">
      <c r="A11237" s="619">
        <v>44428</v>
      </c>
      <c r="B11237" s="63" t="s">
        <v>6953</v>
      </c>
      <c r="C11237" s="63" t="s">
        <v>3145</v>
      </c>
      <c r="D11237" s="108" t="s">
        <v>6057</v>
      </c>
      <c r="E11237" s="126">
        <v>26338</v>
      </c>
      <c r="F11237" s="126"/>
      <c r="G11237" s="126">
        <f t="shared" si="181"/>
        <v>-26338</v>
      </c>
      <c r="H11237" s="121" t="s">
        <v>7205</v>
      </c>
    </row>
    <row r="11238" spans="1:8" ht="15" x14ac:dyDescent="0.2">
      <c r="A11238" s="619">
        <v>44428</v>
      </c>
      <c r="B11238" s="63" t="s">
        <v>6953</v>
      </c>
      <c r="C11238" s="63" t="s">
        <v>3145</v>
      </c>
      <c r="D11238" s="108" t="s">
        <v>6057</v>
      </c>
      <c r="E11238" s="126">
        <v>17883</v>
      </c>
      <c r="F11238" s="126"/>
      <c r="G11238" s="126">
        <f t="shared" si="181"/>
        <v>-17883</v>
      </c>
      <c r="H11238" s="121" t="s">
        <v>7205</v>
      </c>
    </row>
    <row r="11239" spans="1:8" ht="15" customHeight="1" x14ac:dyDescent="0.2">
      <c r="A11239" s="619">
        <v>44428</v>
      </c>
      <c r="B11239" s="63" t="s">
        <v>6953</v>
      </c>
      <c r="C11239" s="63" t="s">
        <v>3145</v>
      </c>
      <c r="D11239" s="108" t="s">
        <v>6057</v>
      </c>
      <c r="E11239" s="126">
        <v>2430</v>
      </c>
      <c r="F11239" s="126"/>
      <c r="G11239" s="126">
        <f t="shared" si="181"/>
        <v>-2430</v>
      </c>
      <c r="H11239" s="121" t="s">
        <v>7205</v>
      </c>
    </row>
    <row r="11240" spans="1:8" ht="15" customHeight="1" x14ac:dyDescent="0.2">
      <c r="A11240" s="619">
        <v>44428</v>
      </c>
      <c r="B11240" s="63" t="s">
        <v>6953</v>
      </c>
      <c r="C11240" s="63" t="s">
        <v>3145</v>
      </c>
      <c r="D11240" s="108" t="s">
        <v>6057</v>
      </c>
      <c r="E11240" s="126">
        <v>2300</v>
      </c>
      <c r="F11240" s="126"/>
      <c r="G11240" s="126">
        <f t="shared" si="181"/>
        <v>-2300</v>
      </c>
      <c r="H11240" s="121" t="s">
        <v>7205</v>
      </c>
    </row>
    <row r="11241" spans="1:8" ht="15" customHeight="1" x14ac:dyDescent="0.2">
      <c r="A11241" s="619">
        <v>44428</v>
      </c>
      <c r="B11241" s="63" t="s">
        <v>6953</v>
      </c>
      <c r="C11241" s="63" t="s">
        <v>6378</v>
      </c>
      <c r="D11241" s="108" t="s">
        <v>7251</v>
      </c>
      <c r="E11241" s="126">
        <v>1700</v>
      </c>
      <c r="F11241" s="126"/>
      <c r="G11241" s="126">
        <f t="shared" si="181"/>
        <v>-1700</v>
      </c>
      <c r="H11241" s="121" t="s">
        <v>7205</v>
      </c>
    </row>
    <row r="11242" spans="1:8" ht="15" x14ac:dyDescent="0.2">
      <c r="A11242" s="619">
        <v>44428</v>
      </c>
      <c r="B11242" s="63" t="s">
        <v>6508</v>
      </c>
      <c r="C11242" s="63" t="s">
        <v>3145</v>
      </c>
      <c r="D11242" s="108" t="s">
        <v>5358</v>
      </c>
      <c r="E11242" s="126">
        <v>3365</v>
      </c>
      <c r="F11242" s="126"/>
      <c r="G11242" s="126">
        <f t="shared" si="181"/>
        <v>-3365</v>
      </c>
      <c r="H11242" s="121" t="s">
        <v>7205</v>
      </c>
    </row>
    <row r="11243" spans="1:8" ht="15" x14ac:dyDescent="0.2">
      <c r="A11243" s="619">
        <v>44429</v>
      </c>
      <c r="B11243" s="63" t="s">
        <v>6511</v>
      </c>
      <c r="C11243" s="63" t="s">
        <v>3145</v>
      </c>
      <c r="D11243" s="108" t="s">
        <v>7254</v>
      </c>
      <c r="E11243" s="126">
        <v>22600</v>
      </c>
      <c r="F11243" s="126"/>
      <c r="G11243" s="126">
        <f t="shared" si="181"/>
        <v>-22600</v>
      </c>
      <c r="H11243" s="121" t="s">
        <v>7205</v>
      </c>
    </row>
    <row r="11244" spans="1:8" ht="15" x14ac:dyDescent="0.2">
      <c r="A11244" s="619">
        <v>44429</v>
      </c>
      <c r="B11244" s="63" t="s">
        <v>6511</v>
      </c>
      <c r="C11244" s="63" t="s">
        <v>3145</v>
      </c>
      <c r="D11244" s="108" t="s">
        <v>392</v>
      </c>
      <c r="E11244" s="126">
        <v>310</v>
      </c>
      <c r="F11244" s="126"/>
      <c r="G11244" s="126">
        <f t="shared" si="181"/>
        <v>-310</v>
      </c>
      <c r="H11244" s="121" t="s">
        <v>7205</v>
      </c>
    </row>
    <row r="11245" spans="1:8" ht="15" x14ac:dyDescent="0.2">
      <c r="A11245" s="619">
        <v>44429</v>
      </c>
      <c r="B11245" s="63" t="s">
        <v>6508</v>
      </c>
      <c r="C11245" s="63" t="s">
        <v>5741</v>
      </c>
      <c r="E11245" s="126">
        <v>500</v>
      </c>
      <c r="F11245" s="126"/>
      <c r="G11245" s="126">
        <f t="shared" si="181"/>
        <v>-500</v>
      </c>
      <c r="H11245" s="121" t="s">
        <v>7205</v>
      </c>
    </row>
    <row r="11246" spans="1:8" ht="15" x14ac:dyDescent="0.2">
      <c r="A11246" s="619">
        <v>44429</v>
      </c>
      <c r="B11246" s="63" t="s">
        <v>6511</v>
      </c>
      <c r="C11246" s="63" t="s">
        <v>392</v>
      </c>
      <c r="D11246" s="108" t="s">
        <v>7255</v>
      </c>
      <c r="E11246" s="126">
        <v>330</v>
      </c>
      <c r="F11246" s="126"/>
      <c r="G11246" s="126">
        <f t="shared" si="181"/>
        <v>-330</v>
      </c>
      <c r="H11246" s="121" t="s">
        <v>7205</v>
      </c>
    </row>
    <row r="11247" spans="1:8" ht="15" x14ac:dyDescent="0.2">
      <c r="A11247" s="619">
        <v>44429</v>
      </c>
      <c r="B11247" s="63" t="s">
        <v>16</v>
      </c>
      <c r="C11247" s="63" t="s">
        <v>2996</v>
      </c>
      <c r="E11247" s="126">
        <v>3000</v>
      </c>
      <c r="F11247" s="126"/>
      <c r="G11247" s="126">
        <f t="shared" si="181"/>
        <v>-3000</v>
      </c>
      <c r="H11247" s="121" t="s">
        <v>7205</v>
      </c>
    </row>
    <row r="11248" spans="1:8" ht="15" customHeight="1" x14ac:dyDescent="0.2">
      <c r="A11248" s="619">
        <v>44429</v>
      </c>
      <c r="B11248" s="63" t="s">
        <v>7112</v>
      </c>
      <c r="C11248" s="63" t="s">
        <v>3145</v>
      </c>
      <c r="D11248" s="108" t="s">
        <v>7256</v>
      </c>
      <c r="E11248" s="126">
        <v>18200</v>
      </c>
      <c r="F11248" s="126"/>
      <c r="G11248" s="126">
        <f t="shared" si="181"/>
        <v>-18200</v>
      </c>
      <c r="H11248" s="121" t="s">
        <v>7205</v>
      </c>
    </row>
    <row r="11249" spans="1:8" ht="15" x14ac:dyDescent="0.2">
      <c r="A11249" s="619">
        <v>44429</v>
      </c>
      <c r="B11249" s="63" t="s">
        <v>6508</v>
      </c>
      <c r="C11249" s="63" t="s">
        <v>3145</v>
      </c>
      <c r="D11249" s="108" t="s">
        <v>7258</v>
      </c>
      <c r="E11249" s="126">
        <v>8048</v>
      </c>
      <c r="F11249" s="126"/>
      <c r="G11249" s="126">
        <f t="shared" si="181"/>
        <v>-8048</v>
      </c>
      <c r="H11249" s="121" t="s">
        <v>7205</v>
      </c>
    </row>
    <row r="11250" spans="1:8" ht="15" x14ac:dyDescent="0.2">
      <c r="A11250" s="619">
        <v>44433</v>
      </c>
      <c r="B11250" s="63" t="s">
        <v>7126</v>
      </c>
      <c r="C11250" s="63" t="s">
        <v>6476</v>
      </c>
      <c r="D11250" s="108" t="s">
        <v>3361</v>
      </c>
      <c r="E11250" s="126">
        <v>8000</v>
      </c>
      <c r="F11250" s="126"/>
      <c r="G11250" s="126">
        <f t="shared" si="181"/>
        <v>-8000</v>
      </c>
      <c r="H11250" s="121" t="s">
        <v>7205</v>
      </c>
    </row>
    <row r="11251" spans="1:8" ht="15" x14ac:dyDescent="0.2">
      <c r="A11251" s="619">
        <v>44433</v>
      </c>
      <c r="B11251" s="63" t="s">
        <v>1400</v>
      </c>
      <c r="C11251" s="63" t="s">
        <v>7161</v>
      </c>
      <c r="D11251" s="108" t="s">
        <v>7259</v>
      </c>
      <c r="E11251" s="126">
        <v>10000</v>
      </c>
      <c r="F11251" s="126"/>
      <c r="G11251" s="126">
        <f t="shared" si="181"/>
        <v>-10000</v>
      </c>
      <c r="H11251" s="121" t="s">
        <v>7205</v>
      </c>
    </row>
    <row r="11252" spans="1:8" ht="15" customHeight="1" x14ac:dyDescent="0.2">
      <c r="A11252" s="619">
        <v>44433</v>
      </c>
      <c r="B11252" s="63" t="s">
        <v>2933</v>
      </c>
      <c r="C11252" s="63" t="s">
        <v>3145</v>
      </c>
      <c r="D11252" s="108" t="s">
        <v>6486</v>
      </c>
      <c r="E11252" s="126">
        <v>1860</v>
      </c>
      <c r="F11252" s="126"/>
      <c r="G11252" s="126">
        <f t="shared" si="181"/>
        <v>-1860</v>
      </c>
      <c r="H11252" s="121" t="s">
        <v>7205</v>
      </c>
    </row>
    <row r="11253" spans="1:8" ht="15" x14ac:dyDescent="0.2">
      <c r="A11253" s="619">
        <v>44433</v>
      </c>
      <c r="B11253" s="63" t="s">
        <v>16</v>
      </c>
      <c r="C11253" s="63" t="s">
        <v>392</v>
      </c>
      <c r="E11253" s="126">
        <v>150</v>
      </c>
      <c r="F11253" s="126"/>
      <c r="G11253" s="126">
        <f t="shared" si="181"/>
        <v>-150</v>
      </c>
      <c r="H11253" s="121" t="s">
        <v>7205</v>
      </c>
    </row>
    <row r="11254" spans="1:8" ht="15" x14ac:dyDescent="0.2">
      <c r="A11254" s="619">
        <v>44433</v>
      </c>
      <c r="B11254" s="63" t="s">
        <v>6953</v>
      </c>
      <c r="C11254" s="63" t="s">
        <v>3145</v>
      </c>
      <c r="D11254" s="108" t="s">
        <v>4966</v>
      </c>
      <c r="E11254" s="126">
        <v>2000</v>
      </c>
      <c r="F11254" s="126"/>
      <c r="G11254" s="126">
        <f t="shared" si="181"/>
        <v>-2000</v>
      </c>
      <c r="H11254" s="121" t="s">
        <v>7205</v>
      </c>
    </row>
    <row r="11255" spans="1:8" ht="15" x14ac:dyDescent="0.2">
      <c r="A11255" s="619">
        <v>44433</v>
      </c>
      <c r="B11255" s="63" t="s">
        <v>25</v>
      </c>
      <c r="C11255" s="63" t="s">
        <v>2428</v>
      </c>
      <c r="D11255" s="108" t="s">
        <v>7260</v>
      </c>
      <c r="E11255" s="126">
        <v>43653</v>
      </c>
      <c r="F11255" s="126"/>
      <c r="G11255" s="126">
        <f t="shared" si="181"/>
        <v>-43653</v>
      </c>
      <c r="H11255" s="121" t="s">
        <v>7205</v>
      </c>
    </row>
    <row r="11256" spans="1:8" ht="15" x14ac:dyDescent="0.2">
      <c r="A11256" s="619">
        <v>44435</v>
      </c>
      <c r="B11256" s="63" t="s">
        <v>6953</v>
      </c>
      <c r="C11256" s="63" t="s">
        <v>2190</v>
      </c>
      <c r="E11256" s="126">
        <v>125</v>
      </c>
      <c r="F11256" s="126"/>
      <c r="G11256" s="126">
        <f t="shared" si="181"/>
        <v>-125</v>
      </c>
      <c r="H11256" s="121" t="s">
        <v>7205</v>
      </c>
    </row>
    <row r="11257" spans="1:8" ht="15" x14ac:dyDescent="0.2">
      <c r="A11257" s="619">
        <v>44435</v>
      </c>
      <c r="B11257" s="63" t="s">
        <v>16</v>
      </c>
      <c r="C11257" s="63" t="s">
        <v>392</v>
      </c>
      <c r="D11257" s="108" t="s">
        <v>7261</v>
      </c>
      <c r="E11257" s="126">
        <v>7500</v>
      </c>
      <c r="F11257" s="126"/>
      <c r="G11257" s="126">
        <f t="shared" si="181"/>
        <v>-7500</v>
      </c>
      <c r="H11257" s="121" t="s">
        <v>7205</v>
      </c>
    </row>
    <row r="11258" spans="1:8" ht="15" x14ac:dyDescent="0.2">
      <c r="A11258" s="619">
        <v>44435</v>
      </c>
      <c r="B11258" s="63" t="s">
        <v>1400</v>
      </c>
      <c r="C11258" s="63" t="s">
        <v>392</v>
      </c>
      <c r="D11258" s="108" t="s">
        <v>7262</v>
      </c>
      <c r="E11258" s="126">
        <v>600</v>
      </c>
      <c r="F11258" s="126"/>
      <c r="G11258" s="126">
        <f t="shared" si="181"/>
        <v>-600</v>
      </c>
      <c r="H11258" s="121" t="s">
        <v>7205</v>
      </c>
    </row>
    <row r="11259" spans="1:8" ht="15" x14ac:dyDescent="0.2">
      <c r="A11259" s="619">
        <v>44435</v>
      </c>
      <c r="B11259" s="63" t="s">
        <v>7067</v>
      </c>
      <c r="C11259" s="63" t="s">
        <v>3145</v>
      </c>
      <c r="D11259" s="108" t="s">
        <v>7263</v>
      </c>
      <c r="E11259" s="126">
        <v>36425</v>
      </c>
      <c r="F11259" s="126"/>
      <c r="G11259" s="126">
        <f t="shared" si="181"/>
        <v>-36425</v>
      </c>
      <c r="H11259" s="121" t="s">
        <v>7205</v>
      </c>
    </row>
    <row r="11260" spans="1:8" ht="15" x14ac:dyDescent="0.2">
      <c r="A11260" s="619">
        <v>44439</v>
      </c>
      <c r="B11260" s="63" t="s">
        <v>7067</v>
      </c>
      <c r="C11260" s="63" t="s">
        <v>6761</v>
      </c>
      <c r="D11260" s="183" t="s">
        <v>7270</v>
      </c>
      <c r="E11260" s="126">
        <v>50000</v>
      </c>
      <c r="F11260" s="126"/>
      <c r="G11260" s="126">
        <f t="shared" si="181"/>
        <v>-50000</v>
      </c>
      <c r="H11260" s="121" t="s">
        <v>7265</v>
      </c>
    </row>
    <row r="11261" spans="1:8" ht="24" x14ac:dyDescent="0.2">
      <c r="A11261" s="619">
        <v>44439</v>
      </c>
      <c r="B11261" s="63" t="s">
        <v>3946</v>
      </c>
      <c r="C11261" s="63" t="s">
        <v>7271</v>
      </c>
      <c r="D11261" s="183" t="s">
        <v>7272</v>
      </c>
      <c r="E11261" s="126">
        <v>350000</v>
      </c>
      <c r="F11261" s="126"/>
      <c r="G11261" s="126">
        <f t="shared" si="181"/>
        <v>-350000</v>
      </c>
      <c r="H11261" s="121" t="s">
        <v>7265</v>
      </c>
    </row>
    <row r="11262" spans="1:8" ht="15" x14ac:dyDescent="0.2">
      <c r="A11262" s="619">
        <v>44439</v>
      </c>
      <c r="B11262" s="63" t="s">
        <v>16</v>
      </c>
      <c r="C11262" s="63" t="s">
        <v>463</v>
      </c>
      <c r="D11262" s="183" t="s">
        <v>7311</v>
      </c>
      <c r="E11262" s="126">
        <v>36852</v>
      </c>
      <c r="F11262" s="126"/>
      <c r="G11262" s="126">
        <f t="shared" si="181"/>
        <v>-36852</v>
      </c>
      <c r="H11262" s="121" t="s">
        <v>7265</v>
      </c>
    </row>
    <row r="11263" spans="1:8" ht="15" x14ac:dyDescent="0.2">
      <c r="A11263" s="619">
        <v>44439</v>
      </c>
      <c r="B11263" s="63" t="s">
        <v>6953</v>
      </c>
      <c r="C11263" s="63" t="s">
        <v>2503</v>
      </c>
      <c r="D11263" s="183" t="s">
        <v>7097</v>
      </c>
      <c r="E11263" s="126">
        <v>25000</v>
      </c>
      <c r="F11263" s="126"/>
      <c r="G11263" s="126">
        <f t="shared" si="181"/>
        <v>-25000</v>
      </c>
      <c r="H11263" s="121" t="s">
        <v>7265</v>
      </c>
    </row>
    <row r="11264" spans="1:8" ht="15" x14ac:dyDescent="0.2">
      <c r="A11264" s="619">
        <v>44439</v>
      </c>
      <c r="B11264" s="63" t="s">
        <v>1400</v>
      </c>
      <c r="C11264" s="63" t="s">
        <v>2503</v>
      </c>
      <c r="D11264" s="183" t="s">
        <v>7097</v>
      </c>
      <c r="E11264" s="126">
        <v>25000</v>
      </c>
      <c r="F11264" s="126"/>
      <c r="G11264" s="126">
        <f t="shared" si="181"/>
        <v>-25000</v>
      </c>
      <c r="H11264" s="121" t="s">
        <v>7265</v>
      </c>
    </row>
    <row r="11265" spans="1:8" ht="15" x14ac:dyDescent="0.2">
      <c r="A11265" s="619">
        <v>44439</v>
      </c>
      <c r="B11265" s="63" t="s">
        <v>6511</v>
      </c>
      <c r="C11265" s="63" t="s">
        <v>2503</v>
      </c>
      <c r="D11265" s="183" t="s">
        <v>141</v>
      </c>
      <c r="E11265" s="126">
        <v>25000</v>
      </c>
      <c r="F11265" s="126"/>
      <c r="G11265" s="126">
        <f t="shared" si="181"/>
        <v>-25000</v>
      </c>
      <c r="H11265" s="121" t="s">
        <v>7265</v>
      </c>
    </row>
    <row r="11266" spans="1:8" ht="15" x14ac:dyDescent="0.2">
      <c r="A11266" s="619">
        <v>44439</v>
      </c>
      <c r="B11266" s="63" t="s">
        <v>7067</v>
      </c>
      <c r="C11266" s="63" t="s">
        <v>2503</v>
      </c>
      <c r="D11266" s="183" t="s">
        <v>141</v>
      </c>
      <c r="E11266" s="126">
        <v>25000</v>
      </c>
      <c r="F11266" s="126"/>
      <c r="G11266" s="126">
        <f t="shared" si="181"/>
        <v>-25000</v>
      </c>
      <c r="H11266" s="121" t="s">
        <v>7265</v>
      </c>
    </row>
    <row r="11267" spans="1:8" ht="15" x14ac:dyDescent="0.2">
      <c r="A11267" s="619">
        <v>44439</v>
      </c>
      <c r="B11267" s="63" t="s">
        <v>25</v>
      </c>
      <c r="C11267" s="63" t="s">
        <v>2503</v>
      </c>
      <c r="D11267" s="183" t="s">
        <v>7310</v>
      </c>
      <c r="E11267" s="126">
        <v>60000</v>
      </c>
      <c r="F11267" s="126"/>
      <c r="G11267" s="126">
        <f t="shared" si="181"/>
        <v>-60000</v>
      </c>
      <c r="H11267" s="121" t="s">
        <v>7265</v>
      </c>
    </row>
    <row r="11268" spans="1:8" ht="15" x14ac:dyDescent="0.2">
      <c r="A11268" s="619">
        <v>44439</v>
      </c>
      <c r="B11268" s="63" t="s">
        <v>16</v>
      </c>
      <c r="C11268" s="63" t="s">
        <v>2503</v>
      </c>
      <c r="D11268" s="183"/>
      <c r="E11268" s="126">
        <v>89000</v>
      </c>
      <c r="F11268" s="126"/>
      <c r="G11268" s="126">
        <f t="shared" si="181"/>
        <v>-89000</v>
      </c>
      <c r="H11268" s="121" t="s">
        <v>7265</v>
      </c>
    </row>
    <row r="11269" spans="1:8" ht="15" x14ac:dyDescent="0.2">
      <c r="A11269" s="619">
        <v>44439</v>
      </c>
      <c r="B11269" s="63" t="s">
        <v>3945</v>
      </c>
      <c r="C11269" s="63" t="s">
        <v>2503</v>
      </c>
      <c r="D11269" s="183"/>
      <c r="E11269" s="126">
        <v>57000</v>
      </c>
      <c r="F11269" s="126"/>
      <c r="G11269" s="126">
        <f t="shared" ref="G11269:G11332" si="182">F11269-E11269</f>
        <v>-57000</v>
      </c>
      <c r="H11269" s="121" t="s">
        <v>7265</v>
      </c>
    </row>
    <row r="11270" spans="1:8" ht="15" x14ac:dyDescent="0.2">
      <c r="A11270" s="619">
        <v>44439</v>
      </c>
      <c r="B11270" s="63" t="s">
        <v>3946</v>
      </c>
      <c r="C11270" s="63" t="s">
        <v>2503</v>
      </c>
      <c r="D11270" s="183"/>
      <c r="E11270" s="126">
        <v>88065</v>
      </c>
      <c r="F11270" s="126"/>
      <c r="G11270" s="126">
        <f t="shared" si="182"/>
        <v>-88065</v>
      </c>
      <c r="H11270" s="121" t="s">
        <v>7265</v>
      </c>
    </row>
    <row r="11271" spans="1:8" ht="15" x14ac:dyDescent="0.2">
      <c r="A11271" s="619">
        <v>44439</v>
      </c>
      <c r="B11271" s="63" t="s">
        <v>1400</v>
      </c>
      <c r="C11271" s="63" t="s">
        <v>2503</v>
      </c>
      <c r="D11271" s="183"/>
      <c r="E11271" s="126">
        <v>209909</v>
      </c>
      <c r="F11271" s="126"/>
      <c r="G11271" s="126">
        <f t="shared" si="182"/>
        <v>-209909</v>
      </c>
      <c r="H11271" s="121" t="s">
        <v>7265</v>
      </c>
    </row>
    <row r="11272" spans="1:8" ht="15" x14ac:dyDescent="0.2">
      <c r="A11272" s="619">
        <v>44439</v>
      </c>
      <c r="B11272" s="63" t="s">
        <v>37</v>
      </c>
      <c r="C11272" s="63" t="s">
        <v>2503</v>
      </c>
      <c r="D11272" s="183"/>
      <c r="E11272" s="126">
        <v>101944</v>
      </c>
      <c r="F11272" s="126"/>
      <c r="G11272" s="126">
        <f t="shared" si="182"/>
        <v>-101944</v>
      </c>
      <c r="H11272" s="121" t="s">
        <v>7265</v>
      </c>
    </row>
    <row r="11273" spans="1:8" ht="15" x14ac:dyDescent="0.2">
      <c r="A11273" s="619">
        <v>44439</v>
      </c>
      <c r="B11273" s="63" t="s">
        <v>2933</v>
      </c>
      <c r="C11273" s="63" t="s">
        <v>2503</v>
      </c>
      <c r="D11273" s="183"/>
      <c r="E11273" s="126">
        <v>74129</v>
      </c>
      <c r="F11273" s="126"/>
      <c r="G11273" s="126">
        <f t="shared" si="182"/>
        <v>-74129</v>
      </c>
      <c r="H11273" s="121" t="s">
        <v>7265</v>
      </c>
    </row>
    <row r="11274" spans="1:8" ht="15" x14ac:dyDescent="0.2">
      <c r="A11274" s="619">
        <v>44439</v>
      </c>
      <c r="B11274" s="63" t="s">
        <v>6511</v>
      </c>
      <c r="C11274" s="63" t="s">
        <v>2503</v>
      </c>
      <c r="D11274" s="183"/>
      <c r="E11274" s="126">
        <v>41371</v>
      </c>
      <c r="F11274" s="126"/>
      <c r="G11274" s="126">
        <f t="shared" si="182"/>
        <v>-41371</v>
      </c>
      <c r="H11274" s="121" t="s">
        <v>7265</v>
      </c>
    </row>
    <row r="11275" spans="1:8" ht="15" x14ac:dyDescent="0.2">
      <c r="A11275" s="619">
        <v>44439</v>
      </c>
      <c r="B11275" s="63" t="s">
        <v>7067</v>
      </c>
      <c r="C11275" s="63" t="s">
        <v>2503</v>
      </c>
      <c r="D11275" s="183"/>
      <c r="E11275" s="126">
        <v>69492</v>
      </c>
      <c r="F11275" s="126"/>
      <c r="G11275" s="126">
        <f t="shared" si="182"/>
        <v>-69492</v>
      </c>
      <c r="H11275" s="121" t="s">
        <v>7265</v>
      </c>
    </row>
    <row r="11276" spans="1:8" ht="15" x14ac:dyDescent="0.2">
      <c r="A11276" s="619">
        <v>44439</v>
      </c>
      <c r="B11276" s="63" t="s">
        <v>6408</v>
      </c>
      <c r="C11276" s="63" t="s">
        <v>2503</v>
      </c>
      <c r="D11276" s="183"/>
      <c r="E11276" s="126">
        <v>29675</v>
      </c>
      <c r="F11276" s="126"/>
      <c r="G11276" s="126">
        <f t="shared" si="182"/>
        <v>-29675</v>
      </c>
      <c r="H11276" s="121" t="s">
        <v>7265</v>
      </c>
    </row>
    <row r="11277" spans="1:8" ht="15" x14ac:dyDescent="0.2">
      <c r="A11277" s="619">
        <v>44439</v>
      </c>
      <c r="B11277" s="63" t="s">
        <v>6518</v>
      </c>
      <c r="C11277" s="63" t="s">
        <v>2503</v>
      </c>
      <c r="D11277" s="183"/>
      <c r="E11277" s="126">
        <v>33073</v>
      </c>
      <c r="F11277" s="126"/>
      <c r="G11277" s="126">
        <f t="shared" si="182"/>
        <v>-33073</v>
      </c>
      <c r="H11277" s="121" t="s">
        <v>7265</v>
      </c>
    </row>
    <row r="11278" spans="1:8" ht="15" x14ac:dyDescent="0.2">
      <c r="A11278" s="619">
        <v>44439</v>
      </c>
      <c r="B11278" s="63" t="s">
        <v>5811</v>
      </c>
      <c r="C11278" s="63" t="s">
        <v>2503</v>
      </c>
      <c r="D11278" s="183"/>
      <c r="E11278" s="126">
        <v>53575</v>
      </c>
      <c r="F11278" s="126"/>
      <c r="G11278" s="126">
        <f t="shared" si="182"/>
        <v>-53575</v>
      </c>
      <c r="H11278" s="121" t="s">
        <v>7265</v>
      </c>
    </row>
    <row r="11279" spans="1:8" ht="15" x14ac:dyDescent="0.2">
      <c r="A11279" s="619">
        <v>44439</v>
      </c>
      <c r="B11279" s="63" t="s">
        <v>6953</v>
      </c>
      <c r="C11279" s="63" t="s">
        <v>2503</v>
      </c>
      <c r="D11279" s="183"/>
      <c r="E11279" s="126">
        <v>88327</v>
      </c>
      <c r="F11279" s="126"/>
      <c r="G11279" s="126">
        <f t="shared" si="182"/>
        <v>-88327</v>
      </c>
      <c r="H11279" s="121" t="s">
        <v>7265</v>
      </c>
    </row>
    <row r="11280" spans="1:8" ht="15" x14ac:dyDescent="0.2">
      <c r="A11280" s="619">
        <v>44439</v>
      </c>
      <c r="B11280" s="63" t="s">
        <v>7112</v>
      </c>
      <c r="C11280" s="63" t="s">
        <v>2503</v>
      </c>
      <c r="D11280" s="183"/>
      <c r="E11280" s="126">
        <v>39202</v>
      </c>
      <c r="F11280" s="126"/>
      <c r="G11280" s="126">
        <f t="shared" si="182"/>
        <v>-39202</v>
      </c>
      <c r="H11280" s="121" t="s">
        <v>7265</v>
      </c>
    </row>
    <row r="11281" spans="1:8" ht="15" x14ac:dyDescent="0.2">
      <c r="A11281" s="620">
        <v>44411</v>
      </c>
      <c r="B11281" s="174" t="s">
        <v>6511</v>
      </c>
      <c r="C11281" s="174" t="s">
        <v>7204</v>
      </c>
      <c r="D11281" s="228" t="s">
        <v>7144</v>
      </c>
      <c r="E11281" s="236">
        <v>50000</v>
      </c>
      <c r="F11281" s="236"/>
      <c r="G11281" s="236">
        <f t="shared" si="182"/>
        <v>-50000</v>
      </c>
      <c r="H11281" s="244" t="s">
        <v>7205</v>
      </c>
    </row>
    <row r="11282" spans="1:8" ht="36" x14ac:dyDescent="0.2">
      <c r="A11282" s="620">
        <v>44413</v>
      </c>
      <c r="B11282" s="174" t="s">
        <v>2933</v>
      </c>
      <c r="C11282" s="551" t="s">
        <v>2310</v>
      </c>
      <c r="D11282" s="740" t="s">
        <v>7215</v>
      </c>
      <c r="E11282" s="552">
        <v>65789</v>
      </c>
      <c r="F11282" s="236"/>
      <c r="G11282" s="236">
        <f t="shared" si="182"/>
        <v>-65789</v>
      </c>
      <c r="H11282" s="244" t="s">
        <v>7205</v>
      </c>
    </row>
    <row r="11283" spans="1:8" ht="15" x14ac:dyDescent="0.2">
      <c r="A11283" s="620">
        <v>44413</v>
      </c>
      <c r="B11283" s="174" t="s">
        <v>1400</v>
      </c>
      <c r="C11283" s="551" t="s">
        <v>2310</v>
      </c>
      <c r="D11283" s="740" t="s">
        <v>6789</v>
      </c>
      <c r="E11283" s="552">
        <v>934</v>
      </c>
      <c r="F11283" s="236"/>
      <c r="G11283" s="236">
        <f t="shared" si="182"/>
        <v>-934</v>
      </c>
      <c r="H11283" s="244" t="s">
        <v>7205</v>
      </c>
    </row>
    <row r="11284" spans="1:8" ht="15" x14ac:dyDescent="0.2">
      <c r="A11284" s="620">
        <v>44413</v>
      </c>
      <c r="B11284" s="174" t="s">
        <v>6953</v>
      </c>
      <c r="C11284" s="551" t="s">
        <v>2310</v>
      </c>
      <c r="D11284" s="740" t="s">
        <v>6789</v>
      </c>
      <c r="E11284" s="552">
        <v>35130</v>
      </c>
      <c r="F11284" s="236"/>
      <c r="G11284" s="236">
        <f t="shared" si="182"/>
        <v>-35130</v>
      </c>
      <c r="H11284" s="244" t="s">
        <v>7205</v>
      </c>
    </row>
    <row r="11285" spans="1:8" ht="15" x14ac:dyDescent="0.2">
      <c r="A11285" s="620">
        <v>44413</v>
      </c>
      <c r="B11285" s="174" t="s">
        <v>6511</v>
      </c>
      <c r="C11285" s="551" t="s">
        <v>2310</v>
      </c>
      <c r="D11285" s="740" t="s">
        <v>6789</v>
      </c>
      <c r="E11285" s="552">
        <v>105070</v>
      </c>
      <c r="F11285" s="236"/>
      <c r="G11285" s="236">
        <f t="shared" si="182"/>
        <v>-105070</v>
      </c>
      <c r="H11285" s="244" t="s">
        <v>7205</v>
      </c>
    </row>
    <row r="11286" spans="1:8" ht="15" x14ac:dyDescent="0.2">
      <c r="A11286" s="620">
        <v>44413</v>
      </c>
      <c r="B11286" s="174" t="s">
        <v>6518</v>
      </c>
      <c r="C11286" s="174" t="s">
        <v>7181</v>
      </c>
      <c r="D11286" s="228" t="s">
        <v>7216</v>
      </c>
      <c r="E11286" s="236">
        <v>96000</v>
      </c>
      <c r="F11286" s="236"/>
      <c r="G11286" s="236">
        <f t="shared" si="182"/>
        <v>-96000</v>
      </c>
      <c r="H11286" s="244" t="s">
        <v>7205</v>
      </c>
    </row>
    <row r="11287" spans="1:8" ht="15" x14ac:dyDescent="0.2">
      <c r="A11287" s="620">
        <v>44418</v>
      </c>
      <c r="B11287" s="174" t="s">
        <v>6953</v>
      </c>
      <c r="C11287" s="174" t="s">
        <v>7003</v>
      </c>
      <c r="D11287" s="228" t="s">
        <v>7222</v>
      </c>
      <c r="E11287" s="236">
        <v>80000</v>
      </c>
      <c r="F11287" s="236"/>
      <c r="G11287" s="236">
        <f t="shared" si="182"/>
        <v>-80000</v>
      </c>
      <c r="H11287" s="244" t="s">
        <v>7205</v>
      </c>
    </row>
    <row r="11288" spans="1:8" ht="15" x14ac:dyDescent="0.2">
      <c r="A11288" s="620">
        <v>44418</v>
      </c>
      <c r="B11288" s="174" t="s">
        <v>2933</v>
      </c>
      <c r="C11288" s="670" t="s">
        <v>7223</v>
      </c>
      <c r="D11288" s="907" t="s">
        <v>7224</v>
      </c>
      <c r="E11288" s="672">
        <v>47000</v>
      </c>
      <c r="F11288" s="236"/>
      <c r="G11288" s="236">
        <f t="shared" si="182"/>
        <v>-47000</v>
      </c>
      <c r="H11288" s="244" t="s">
        <v>7205</v>
      </c>
    </row>
    <row r="11289" spans="1:8" ht="15" x14ac:dyDescent="0.2">
      <c r="A11289" s="620">
        <v>44418</v>
      </c>
      <c r="B11289" s="174" t="s">
        <v>6953</v>
      </c>
      <c r="C11289" s="670" t="s">
        <v>7223</v>
      </c>
      <c r="D11289" s="907" t="s">
        <v>6789</v>
      </c>
      <c r="E11289" s="672">
        <v>53000</v>
      </c>
      <c r="F11289" s="236"/>
      <c r="G11289" s="236">
        <f t="shared" si="182"/>
        <v>-53000</v>
      </c>
      <c r="H11289" s="244" t="s">
        <v>7205</v>
      </c>
    </row>
    <row r="11290" spans="1:8" ht="15" x14ac:dyDescent="0.2">
      <c r="A11290" s="620">
        <v>44419</v>
      </c>
      <c r="B11290" s="174" t="s">
        <v>6511</v>
      </c>
      <c r="C11290" s="174" t="s">
        <v>6378</v>
      </c>
      <c r="D11290" s="228" t="s">
        <v>7235</v>
      </c>
      <c r="E11290" s="236">
        <v>50000</v>
      </c>
      <c r="F11290" s="236"/>
      <c r="G11290" s="236">
        <f t="shared" si="182"/>
        <v>-50000</v>
      </c>
      <c r="H11290" s="244" t="s">
        <v>7205</v>
      </c>
    </row>
    <row r="11291" spans="1:8" ht="15" x14ac:dyDescent="0.2">
      <c r="A11291" s="620">
        <v>44420</v>
      </c>
      <c r="B11291" s="174" t="s">
        <v>7112</v>
      </c>
      <c r="C11291" s="174" t="s">
        <v>6653</v>
      </c>
      <c r="D11291" s="228" t="s">
        <v>7234</v>
      </c>
      <c r="E11291" s="236">
        <v>250000</v>
      </c>
      <c r="F11291" s="236"/>
      <c r="G11291" s="236">
        <f t="shared" si="182"/>
        <v>-250000</v>
      </c>
      <c r="H11291" s="244" t="s">
        <v>7205</v>
      </c>
    </row>
    <row r="11292" spans="1:8" ht="15" x14ac:dyDescent="0.2">
      <c r="A11292" s="620">
        <v>44420</v>
      </c>
      <c r="B11292" s="174" t="s">
        <v>6953</v>
      </c>
      <c r="C11292" s="174" t="s">
        <v>6706</v>
      </c>
      <c r="D11292" s="228" t="s">
        <v>7362</v>
      </c>
      <c r="E11292" s="236">
        <v>100000</v>
      </c>
      <c r="F11292" s="236"/>
      <c r="G11292" s="236">
        <f t="shared" si="182"/>
        <v>-100000</v>
      </c>
      <c r="H11292" s="244" t="s">
        <v>7205</v>
      </c>
    </row>
    <row r="11293" spans="1:8" ht="15" x14ac:dyDescent="0.2">
      <c r="A11293" s="620">
        <v>44431</v>
      </c>
      <c r="B11293" s="174" t="s">
        <v>6511</v>
      </c>
      <c r="C11293" s="174" t="s">
        <v>6763</v>
      </c>
      <c r="D11293" s="228" t="s">
        <v>7252</v>
      </c>
      <c r="E11293" s="236">
        <v>200000</v>
      </c>
      <c r="F11293" s="236"/>
      <c r="G11293" s="236">
        <f t="shared" si="182"/>
        <v>-200000</v>
      </c>
      <c r="H11293" s="244" t="s">
        <v>7205</v>
      </c>
    </row>
    <row r="11294" spans="1:8" ht="15" x14ac:dyDescent="0.2">
      <c r="A11294" s="620">
        <v>44431</v>
      </c>
      <c r="B11294" s="174" t="s">
        <v>6953</v>
      </c>
      <c r="C11294" s="551" t="s">
        <v>6706</v>
      </c>
      <c r="D11294" s="740" t="s">
        <v>7253</v>
      </c>
      <c r="E11294" s="552">
        <v>50000</v>
      </c>
      <c r="F11294" s="236"/>
      <c r="G11294" s="236">
        <f t="shared" si="182"/>
        <v>-50000</v>
      </c>
      <c r="H11294" s="244" t="s">
        <v>7205</v>
      </c>
    </row>
    <row r="11295" spans="1:8" ht="15" x14ac:dyDescent="0.2">
      <c r="A11295" s="620">
        <v>44431</v>
      </c>
      <c r="B11295" s="174" t="s">
        <v>7112</v>
      </c>
      <c r="C11295" s="551" t="s">
        <v>6706</v>
      </c>
      <c r="D11295" s="740" t="s">
        <v>6789</v>
      </c>
      <c r="E11295" s="552">
        <v>50000</v>
      </c>
      <c r="F11295" s="236"/>
      <c r="G11295" s="236">
        <f t="shared" si="182"/>
        <v>-50000</v>
      </c>
      <c r="H11295" s="244" t="s">
        <v>7205</v>
      </c>
    </row>
    <row r="11296" spans="1:8" ht="15" x14ac:dyDescent="0.2">
      <c r="A11296" s="620">
        <v>44435</v>
      </c>
      <c r="B11296" s="174" t="s">
        <v>6953</v>
      </c>
      <c r="C11296" s="174" t="s">
        <v>7223</v>
      </c>
      <c r="D11296" s="228" t="s">
        <v>7268</v>
      </c>
      <c r="E11296" s="236">
        <v>65000</v>
      </c>
      <c r="F11296" s="236"/>
      <c r="G11296" s="236">
        <f t="shared" si="182"/>
        <v>-65000</v>
      </c>
      <c r="H11296" s="244" t="s">
        <v>7205</v>
      </c>
    </row>
    <row r="11297" spans="1:8" ht="36" x14ac:dyDescent="0.2">
      <c r="A11297" s="618">
        <v>44413</v>
      </c>
      <c r="B11297" s="94" t="s">
        <v>1400</v>
      </c>
      <c r="C11297" s="94" t="s">
        <v>559</v>
      </c>
      <c r="D11297" s="802" t="s">
        <v>7214</v>
      </c>
      <c r="E11297" s="176"/>
      <c r="F11297" s="176">
        <v>206910</v>
      </c>
      <c r="G11297" s="176">
        <f t="shared" si="182"/>
        <v>206910</v>
      </c>
      <c r="H11297" s="261" t="s">
        <v>7205</v>
      </c>
    </row>
    <row r="11298" spans="1:8" ht="15" x14ac:dyDescent="0.2">
      <c r="A11298" s="618">
        <v>44425</v>
      </c>
      <c r="B11298" s="91" t="s">
        <v>3946</v>
      </c>
      <c r="C11298" s="94" t="s">
        <v>559</v>
      </c>
      <c r="D11298" s="801" t="s">
        <v>7179</v>
      </c>
      <c r="E11298" s="176"/>
      <c r="F11298" s="92">
        <v>139113</v>
      </c>
      <c r="G11298" s="176">
        <f t="shared" si="182"/>
        <v>139113</v>
      </c>
      <c r="H11298" s="261" t="s">
        <v>7205</v>
      </c>
    </row>
    <row r="11299" spans="1:8" ht="15" x14ac:dyDescent="0.2">
      <c r="A11299" s="618">
        <v>44425</v>
      </c>
      <c r="B11299" s="91" t="s">
        <v>3945</v>
      </c>
      <c r="C11299" s="94" t="s">
        <v>559</v>
      </c>
      <c r="D11299" s="801" t="s">
        <v>7179</v>
      </c>
      <c r="E11299" s="176"/>
      <c r="F11299" s="92">
        <v>53505</v>
      </c>
      <c r="G11299" s="176">
        <f t="shared" si="182"/>
        <v>53505</v>
      </c>
      <c r="H11299" s="261" t="s">
        <v>7205</v>
      </c>
    </row>
    <row r="11300" spans="1:8" ht="15" x14ac:dyDescent="0.2">
      <c r="A11300" s="618">
        <v>44428</v>
      </c>
      <c r="B11300" s="91" t="s">
        <v>7112</v>
      </c>
      <c r="C11300" s="94" t="s">
        <v>559</v>
      </c>
      <c r="D11300" s="801" t="s">
        <v>7463</v>
      </c>
      <c r="E11300" s="176"/>
      <c r="F11300" s="92">
        <v>797475</v>
      </c>
      <c r="G11300" s="176">
        <f t="shared" si="182"/>
        <v>797475</v>
      </c>
      <c r="H11300" s="261" t="s">
        <v>7205</v>
      </c>
    </row>
    <row r="11301" spans="1:8" ht="15" x14ac:dyDescent="0.2">
      <c r="A11301" s="618">
        <v>44433</v>
      </c>
      <c r="B11301" s="91" t="s">
        <v>3945</v>
      </c>
      <c r="C11301" s="94" t="s">
        <v>559</v>
      </c>
      <c r="D11301" s="801" t="s">
        <v>7264</v>
      </c>
      <c r="E11301" s="176"/>
      <c r="F11301" s="92">
        <v>90958</v>
      </c>
      <c r="G11301" s="92">
        <f t="shared" si="182"/>
        <v>90958</v>
      </c>
      <c r="H11301" s="261" t="s">
        <v>7205</v>
      </c>
    </row>
    <row r="11302" spans="1:8" ht="15" x14ac:dyDescent="0.2">
      <c r="A11302" s="619">
        <v>44440</v>
      </c>
      <c r="B11302" s="63" t="s">
        <v>16</v>
      </c>
      <c r="C11302" s="63" t="s">
        <v>392</v>
      </c>
      <c r="D11302" s="183" t="s">
        <v>7269</v>
      </c>
      <c r="E11302" s="126">
        <v>65000</v>
      </c>
      <c r="F11302" s="126"/>
      <c r="G11302" s="126">
        <f t="shared" si="182"/>
        <v>-65000</v>
      </c>
      <c r="H11302" s="121" t="s">
        <v>7265</v>
      </c>
    </row>
    <row r="11303" spans="1:8" ht="15" x14ac:dyDescent="0.2">
      <c r="A11303" s="619">
        <v>44446</v>
      </c>
      <c r="B11303" s="63" t="s">
        <v>6953</v>
      </c>
      <c r="C11303" s="63" t="s">
        <v>6378</v>
      </c>
      <c r="D11303" s="183" t="s">
        <v>7273</v>
      </c>
      <c r="E11303" s="126">
        <v>5000</v>
      </c>
      <c r="F11303" s="126"/>
      <c r="G11303" s="126">
        <f t="shared" si="182"/>
        <v>-5000</v>
      </c>
      <c r="H11303" s="121" t="s">
        <v>7265</v>
      </c>
    </row>
    <row r="11304" spans="1:8" ht="15" x14ac:dyDescent="0.2">
      <c r="A11304" s="619">
        <v>44447</v>
      </c>
      <c r="B11304" s="63" t="s">
        <v>16</v>
      </c>
      <c r="C11304" s="63" t="s">
        <v>392</v>
      </c>
      <c r="D11304" s="183" t="s">
        <v>7274</v>
      </c>
      <c r="E11304" s="126">
        <v>7600</v>
      </c>
      <c r="F11304" s="126"/>
      <c r="G11304" s="126">
        <f t="shared" si="182"/>
        <v>-7600</v>
      </c>
      <c r="H11304" s="121" t="s">
        <v>7265</v>
      </c>
    </row>
    <row r="11305" spans="1:8" ht="15" x14ac:dyDescent="0.2">
      <c r="A11305" s="619">
        <v>44447</v>
      </c>
      <c r="B11305" s="63" t="s">
        <v>7067</v>
      </c>
      <c r="C11305" s="63" t="s">
        <v>392</v>
      </c>
      <c r="D11305" s="183" t="s">
        <v>5741</v>
      </c>
      <c r="E11305" s="126">
        <v>700</v>
      </c>
      <c r="F11305" s="126"/>
      <c r="G11305" s="126">
        <f t="shared" si="182"/>
        <v>-700</v>
      </c>
      <c r="H11305" s="121" t="s">
        <v>7265</v>
      </c>
    </row>
    <row r="11306" spans="1:8" ht="15" x14ac:dyDescent="0.2">
      <c r="A11306" s="619">
        <v>44447</v>
      </c>
      <c r="B11306" s="63" t="s">
        <v>7126</v>
      </c>
      <c r="C11306" s="63" t="s">
        <v>6527</v>
      </c>
      <c r="D11306" s="183" t="s">
        <v>7275</v>
      </c>
      <c r="E11306" s="126">
        <v>100000</v>
      </c>
      <c r="F11306" s="126"/>
      <c r="G11306" s="126">
        <f t="shared" si="182"/>
        <v>-100000</v>
      </c>
      <c r="H11306" s="121" t="s">
        <v>7265</v>
      </c>
    </row>
    <row r="11307" spans="1:8" ht="15" x14ac:dyDescent="0.2">
      <c r="A11307" s="619">
        <v>44447</v>
      </c>
      <c r="B11307" s="63" t="s">
        <v>7067</v>
      </c>
      <c r="C11307" s="63" t="s">
        <v>392</v>
      </c>
      <c r="D11307" s="183" t="s">
        <v>7276</v>
      </c>
      <c r="E11307" s="126">
        <v>1000</v>
      </c>
      <c r="F11307" s="126"/>
      <c r="G11307" s="126">
        <f t="shared" si="182"/>
        <v>-1000</v>
      </c>
      <c r="H11307" s="121" t="s">
        <v>7265</v>
      </c>
    </row>
    <row r="11308" spans="1:8" ht="15" x14ac:dyDescent="0.2">
      <c r="A11308" s="619">
        <v>44448</v>
      </c>
      <c r="B11308" s="63" t="s">
        <v>7067</v>
      </c>
      <c r="C11308" s="63" t="s">
        <v>2128</v>
      </c>
      <c r="D11308" s="183" t="s">
        <v>7277</v>
      </c>
      <c r="E11308" s="126">
        <v>200000</v>
      </c>
      <c r="F11308" s="126"/>
      <c r="G11308" s="126">
        <f t="shared" si="182"/>
        <v>-200000</v>
      </c>
      <c r="H11308" s="121" t="s">
        <v>7265</v>
      </c>
    </row>
    <row r="11309" spans="1:8" ht="15" x14ac:dyDescent="0.2">
      <c r="A11309" s="619">
        <v>44447</v>
      </c>
      <c r="B11309" s="63" t="s">
        <v>7067</v>
      </c>
      <c r="C11309" s="63" t="s">
        <v>2128</v>
      </c>
      <c r="D11309" s="183" t="s">
        <v>7278</v>
      </c>
      <c r="E11309" s="126">
        <v>243000</v>
      </c>
      <c r="F11309" s="126"/>
      <c r="G11309" s="126">
        <f t="shared" si="182"/>
        <v>-243000</v>
      </c>
      <c r="H11309" s="121" t="s">
        <v>7265</v>
      </c>
    </row>
    <row r="11310" spans="1:8" ht="15" x14ac:dyDescent="0.2">
      <c r="A11310" s="619">
        <v>44447</v>
      </c>
      <c r="B11310" s="63" t="s">
        <v>7067</v>
      </c>
      <c r="C11310" s="63" t="s">
        <v>2128</v>
      </c>
      <c r="D11310" s="183" t="s">
        <v>7279</v>
      </c>
      <c r="E11310" s="126">
        <v>300000</v>
      </c>
      <c r="F11310" s="126"/>
      <c r="G11310" s="126">
        <f t="shared" si="182"/>
        <v>-300000</v>
      </c>
      <c r="H11310" s="121" t="s">
        <v>7265</v>
      </c>
    </row>
    <row r="11311" spans="1:8" ht="15" x14ac:dyDescent="0.2">
      <c r="A11311" s="619">
        <v>44447</v>
      </c>
      <c r="B11311" s="63" t="s">
        <v>7112</v>
      </c>
      <c r="C11311" s="63" t="s">
        <v>7280</v>
      </c>
      <c r="D11311" s="183" t="s">
        <v>2711</v>
      </c>
      <c r="E11311" s="126">
        <v>25000</v>
      </c>
      <c r="F11311" s="126"/>
      <c r="G11311" s="126">
        <f t="shared" si="182"/>
        <v>-25000</v>
      </c>
      <c r="H11311" s="121" t="s">
        <v>7265</v>
      </c>
    </row>
    <row r="11312" spans="1:8" ht="15" x14ac:dyDescent="0.2">
      <c r="A11312" s="619">
        <v>44447</v>
      </c>
      <c r="B11312" s="63" t="s">
        <v>6953</v>
      </c>
      <c r="C11312" s="63" t="s">
        <v>7003</v>
      </c>
      <c r="D11312" s="183" t="s">
        <v>7281</v>
      </c>
      <c r="E11312" s="126">
        <v>40000</v>
      </c>
      <c r="F11312" s="126"/>
      <c r="G11312" s="126">
        <f t="shared" si="182"/>
        <v>-40000</v>
      </c>
      <c r="H11312" s="121" t="s">
        <v>7265</v>
      </c>
    </row>
    <row r="11313" spans="1:8" ht="15" x14ac:dyDescent="0.2">
      <c r="A11313" s="619">
        <v>44452</v>
      </c>
      <c r="B11313" s="63" t="s">
        <v>6511</v>
      </c>
      <c r="C11313" s="63" t="s">
        <v>6763</v>
      </c>
      <c r="D11313" s="183" t="s">
        <v>7282</v>
      </c>
      <c r="E11313" s="126">
        <v>200000</v>
      </c>
      <c r="F11313" s="126"/>
      <c r="G11313" s="126">
        <f t="shared" si="182"/>
        <v>-200000</v>
      </c>
      <c r="H11313" s="121" t="s">
        <v>7265</v>
      </c>
    </row>
    <row r="11314" spans="1:8" ht="15" x14ac:dyDescent="0.2">
      <c r="A11314" s="619">
        <v>44452</v>
      </c>
      <c r="B11314" s="63" t="s">
        <v>6408</v>
      </c>
      <c r="C11314" s="63" t="s">
        <v>6476</v>
      </c>
      <c r="D11314" s="183" t="s">
        <v>1157</v>
      </c>
      <c r="E11314" s="126">
        <v>20000</v>
      </c>
      <c r="F11314" s="126"/>
      <c r="G11314" s="126">
        <f t="shared" si="182"/>
        <v>-20000</v>
      </c>
      <c r="H11314" s="121" t="s">
        <v>7265</v>
      </c>
    </row>
    <row r="11315" spans="1:8" ht="15" x14ac:dyDescent="0.2">
      <c r="A11315" s="619">
        <v>44453</v>
      </c>
      <c r="B11315" s="63" t="s">
        <v>7067</v>
      </c>
      <c r="C11315" s="63" t="s">
        <v>2190</v>
      </c>
      <c r="D11315" s="183"/>
      <c r="E11315" s="126">
        <v>900</v>
      </c>
      <c r="F11315" s="126"/>
      <c r="G11315" s="126">
        <f t="shared" si="182"/>
        <v>-900</v>
      </c>
      <c r="H11315" s="121" t="s">
        <v>7265</v>
      </c>
    </row>
    <row r="11316" spans="1:8" ht="15" x14ac:dyDescent="0.2">
      <c r="A11316" s="619">
        <v>44453</v>
      </c>
      <c r="B11316" s="63" t="s">
        <v>6408</v>
      </c>
      <c r="C11316" s="63" t="s">
        <v>5741</v>
      </c>
      <c r="D11316" s="183"/>
      <c r="E11316" s="126">
        <v>1000</v>
      </c>
      <c r="F11316" s="126"/>
      <c r="G11316" s="126">
        <f t="shared" si="182"/>
        <v>-1000</v>
      </c>
      <c r="H11316" s="121" t="s">
        <v>7265</v>
      </c>
    </row>
    <row r="11317" spans="1:8" ht="15" x14ac:dyDescent="0.2">
      <c r="A11317" s="619">
        <v>44453</v>
      </c>
      <c r="B11317" s="63" t="s">
        <v>16</v>
      </c>
      <c r="C11317" s="63" t="s">
        <v>3364</v>
      </c>
      <c r="D11317" s="183"/>
      <c r="E11317" s="126">
        <v>4089</v>
      </c>
      <c r="F11317" s="126"/>
      <c r="G11317" s="126">
        <f t="shared" si="182"/>
        <v>-4089</v>
      </c>
      <c r="H11317" s="121" t="s">
        <v>7265</v>
      </c>
    </row>
    <row r="11318" spans="1:8" ht="15" x14ac:dyDescent="0.2">
      <c r="A11318" s="619">
        <v>44453</v>
      </c>
      <c r="B11318" s="63" t="s">
        <v>7067</v>
      </c>
      <c r="C11318" s="63" t="s">
        <v>3145</v>
      </c>
      <c r="D11318" s="183" t="s">
        <v>7283</v>
      </c>
      <c r="E11318" s="126">
        <v>73500</v>
      </c>
      <c r="F11318" s="126"/>
      <c r="G11318" s="126">
        <f t="shared" si="182"/>
        <v>-73500</v>
      </c>
      <c r="H11318" s="121" t="s">
        <v>7265</v>
      </c>
    </row>
    <row r="11319" spans="1:8" ht="15" x14ac:dyDescent="0.2">
      <c r="A11319" s="619">
        <v>44453</v>
      </c>
      <c r="B11319" s="63" t="s">
        <v>7067</v>
      </c>
      <c r="C11319" s="63" t="s">
        <v>5741</v>
      </c>
      <c r="D11319" s="183"/>
      <c r="E11319" s="126">
        <v>500</v>
      </c>
      <c r="F11319" s="126"/>
      <c r="G11319" s="126">
        <f t="shared" si="182"/>
        <v>-500</v>
      </c>
      <c r="H11319" s="121" t="s">
        <v>7265</v>
      </c>
    </row>
    <row r="11320" spans="1:8" ht="15" x14ac:dyDescent="0.2">
      <c r="A11320" s="619">
        <v>44453</v>
      </c>
      <c r="B11320" s="63" t="s">
        <v>16</v>
      </c>
      <c r="C11320" s="63" t="s">
        <v>1495</v>
      </c>
      <c r="D11320" s="183"/>
      <c r="E11320" s="126">
        <v>800</v>
      </c>
      <c r="F11320" s="126"/>
      <c r="G11320" s="126">
        <f t="shared" si="182"/>
        <v>-800</v>
      </c>
      <c r="H11320" s="121" t="s">
        <v>7265</v>
      </c>
    </row>
    <row r="11321" spans="1:8" ht="15" x14ac:dyDescent="0.2">
      <c r="A11321" s="619">
        <v>44453</v>
      </c>
      <c r="B11321" s="63" t="s">
        <v>7067</v>
      </c>
      <c r="C11321" s="63" t="s">
        <v>3145</v>
      </c>
      <c r="D11321" s="183" t="s">
        <v>7284</v>
      </c>
      <c r="E11321" s="126">
        <v>57865</v>
      </c>
      <c r="F11321" s="126"/>
      <c r="G11321" s="126">
        <f t="shared" si="182"/>
        <v>-57865</v>
      </c>
      <c r="H11321" s="121" t="s">
        <v>7265</v>
      </c>
    </row>
    <row r="11322" spans="1:8" ht="15" x14ac:dyDescent="0.2">
      <c r="A11322" s="619">
        <v>44453</v>
      </c>
      <c r="B11322" s="63" t="s">
        <v>7067</v>
      </c>
      <c r="C11322" s="63" t="s">
        <v>3145</v>
      </c>
      <c r="D11322" s="183" t="s">
        <v>7284</v>
      </c>
      <c r="E11322" s="126">
        <v>10414</v>
      </c>
      <c r="F11322" s="126"/>
      <c r="G11322" s="126">
        <f t="shared" si="182"/>
        <v>-10414</v>
      </c>
      <c r="H11322" s="121" t="s">
        <v>7265</v>
      </c>
    </row>
    <row r="11323" spans="1:8" ht="15" x14ac:dyDescent="0.2">
      <c r="A11323" s="619">
        <v>44453</v>
      </c>
      <c r="B11323" s="63" t="s">
        <v>7067</v>
      </c>
      <c r="C11323" s="63" t="s">
        <v>3145</v>
      </c>
      <c r="D11323" s="183" t="s">
        <v>7285</v>
      </c>
      <c r="E11323" s="126">
        <v>14840</v>
      </c>
      <c r="F11323" s="126"/>
      <c r="G11323" s="126">
        <f t="shared" si="182"/>
        <v>-14840</v>
      </c>
      <c r="H11323" s="121" t="s">
        <v>7265</v>
      </c>
    </row>
    <row r="11324" spans="1:8" ht="15" x14ac:dyDescent="0.2">
      <c r="A11324" s="619">
        <v>44453</v>
      </c>
      <c r="B11324" s="63" t="s">
        <v>7067</v>
      </c>
      <c r="C11324" s="63" t="s">
        <v>3145</v>
      </c>
      <c r="D11324" s="183" t="s">
        <v>7284</v>
      </c>
      <c r="E11324" s="126">
        <v>95753</v>
      </c>
      <c r="F11324" s="126"/>
      <c r="G11324" s="126">
        <f t="shared" si="182"/>
        <v>-95753</v>
      </c>
      <c r="H11324" s="121" t="s">
        <v>7265</v>
      </c>
    </row>
    <row r="11325" spans="1:8" ht="15" x14ac:dyDescent="0.2">
      <c r="A11325" s="619">
        <v>44453</v>
      </c>
      <c r="B11325" s="63" t="s">
        <v>7067</v>
      </c>
      <c r="C11325" s="63" t="s">
        <v>3145</v>
      </c>
      <c r="D11325" s="183" t="s">
        <v>7284</v>
      </c>
      <c r="E11325" s="126">
        <v>8670</v>
      </c>
      <c r="F11325" s="126"/>
      <c r="G11325" s="126">
        <f t="shared" si="182"/>
        <v>-8670</v>
      </c>
      <c r="H11325" s="121" t="s">
        <v>7265</v>
      </c>
    </row>
    <row r="11326" spans="1:8" ht="15" x14ac:dyDescent="0.2">
      <c r="A11326" s="619">
        <v>44453</v>
      </c>
      <c r="B11326" s="63" t="s">
        <v>7067</v>
      </c>
      <c r="C11326" s="63" t="s">
        <v>392</v>
      </c>
      <c r="D11326" s="183" t="s">
        <v>7286</v>
      </c>
      <c r="E11326" s="126">
        <v>1350</v>
      </c>
      <c r="F11326" s="126"/>
      <c r="G11326" s="126">
        <f t="shared" si="182"/>
        <v>-1350</v>
      </c>
      <c r="H11326" s="121" t="s">
        <v>7265</v>
      </c>
    </row>
    <row r="11327" spans="1:8" ht="24" x14ac:dyDescent="0.2">
      <c r="A11327" s="619">
        <v>44453</v>
      </c>
      <c r="B11327" s="63" t="s">
        <v>1400</v>
      </c>
      <c r="C11327" s="551" t="s">
        <v>1803</v>
      </c>
      <c r="D11327" s="740" t="s">
        <v>7301</v>
      </c>
      <c r="E11327" s="552">
        <v>500000</v>
      </c>
      <c r="F11327" s="126"/>
      <c r="G11327" s="126">
        <f t="shared" si="182"/>
        <v>-500000</v>
      </c>
      <c r="H11327" s="121" t="s">
        <v>7265</v>
      </c>
    </row>
    <row r="11328" spans="1:8" ht="15" x14ac:dyDescent="0.2">
      <c r="A11328" s="619">
        <v>44453</v>
      </c>
      <c r="B11328" s="63" t="s">
        <v>7067</v>
      </c>
      <c r="C11328" s="63" t="s">
        <v>2190</v>
      </c>
      <c r="D11328" s="183"/>
      <c r="E11328" s="126">
        <v>900</v>
      </c>
      <c r="F11328" s="126"/>
      <c r="G11328" s="126">
        <f t="shared" si="182"/>
        <v>-900</v>
      </c>
      <c r="H11328" s="121" t="s">
        <v>7265</v>
      </c>
    </row>
    <row r="11329" spans="1:8" ht="15" x14ac:dyDescent="0.2">
      <c r="A11329" s="619">
        <v>44453</v>
      </c>
      <c r="B11329" s="63" t="s">
        <v>7112</v>
      </c>
      <c r="C11329" s="63" t="s">
        <v>5652</v>
      </c>
      <c r="D11329" s="183" t="s">
        <v>2932</v>
      </c>
      <c r="E11329" s="126">
        <v>1410</v>
      </c>
      <c r="F11329" s="126"/>
      <c r="G11329" s="126">
        <f t="shared" si="182"/>
        <v>-1410</v>
      </c>
      <c r="H11329" s="121" t="s">
        <v>7265</v>
      </c>
    </row>
    <row r="11330" spans="1:8" ht="15" x14ac:dyDescent="0.2">
      <c r="A11330" s="619">
        <v>44453</v>
      </c>
      <c r="B11330" s="63" t="s">
        <v>16</v>
      </c>
      <c r="C11330" s="63" t="s">
        <v>2996</v>
      </c>
      <c r="D11330" s="183"/>
      <c r="E11330" s="126">
        <v>2500</v>
      </c>
      <c r="F11330" s="126"/>
      <c r="G11330" s="126">
        <f t="shared" si="182"/>
        <v>-2500</v>
      </c>
      <c r="H11330" s="121" t="s">
        <v>7265</v>
      </c>
    </row>
    <row r="11331" spans="1:8" ht="15" x14ac:dyDescent="0.2">
      <c r="A11331" s="619">
        <v>44453</v>
      </c>
      <c r="B11331" s="63" t="s">
        <v>7067</v>
      </c>
      <c r="C11331" s="63" t="s">
        <v>3145</v>
      </c>
      <c r="D11331" s="183" t="s">
        <v>7284</v>
      </c>
      <c r="E11331" s="126">
        <v>13150</v>
      </c>
      <c r="F11331" s="126"/>
      <c r="G11331" s="126">
        <f t="shared" si="182"/>
        <v>-13150</v>
      </c>
      <c r="H11331" s="121" t="s">
        <v>7265</v>
      </c>
    </row>
    <row r="11332" spans="1:8" ht="15" x14ac:dyDescent="0.2">
      <c r="A11332" s="619">
        <v>44454</v>
      </c>
      <c r="B11332" s="63" t="s">
        <v>7067</v>
      </c>
      <c r="C11332" s="63" t="s">
        <v>3145</v>
      </c>
      <c r="D11332" s="183" t="s">
        <v>7287</v>
      </c>
      <c r="E11332" s="126">
        <v>6000</v>
      </c>
      <c r="F11332" s="126"/>
      <c r="G11332" s="126">
        <f t="shared" si="182"/>
        <v>-6000</v>
      </c>
      <c r="H11332" s="121" t="s">
        <v>7265</v>
      </c>
    </row>
    <row r="11333" spans="1:8" ht="15" x14ac:dyDescent="0.2">
      <c r="A11333" s="619">
        <v>44454</v>
      </c>
      <c r="B11333" s="63" t="s">
        <v>7067</v>
      </c>
      <c r="C11333" s="63" t="s">
        <v>3145</v>
      </c>
      <c r="D11333" s="183" t="s">
        <v>7288</v>
      </c>
      <c r="E11333" s="126">
        <v>32600</v>
      </c>
      <c r="F11333" s="126"/>
      <c r="G11333" s="126">
        <f t="shared" ref="G11333:G11396" si="183">F11333-E11333</f>
        <v>-32600</v>
      </c>
      <c r="H11333" s="121" t="s">
        <v>7265</v>
      </c>
    </row>
    <row r="11334" spans="1:8" ht="15" x14ac:dyDescent="0.2">
      <c r="A11334" s="619">
        <v>44454</v>
      </c>
      <c r="B11334" s="63" t="s">
        <v>1400</v>
      </c>
      <c r="C11334" s="63" t="s">
        <v>3145</v>
      </c>
      <c r="D11334" s="183" t="s">
        <v>4450</v>
      </c>
      <c r="E11334" s="126">
        <v>18911</v>
      </c>
      <c r="F11334" s="126"/>
      <c r="G11334" s="126">
        <f t="shared" si="183"/>
        <v>-18911</v>
      </c>
      <c r="H11334" s="121" t="s">
        <v>7265</v>
      </c>
    </row>
    <row r="11335" spans="1:8" ht="15" x14ac:dyDescent="0.2">
      <c r="A11335" s="619">
        <v>44454</v>
      </c>
      <c r="B11335" s="63" t="s">
        <v>6508</v>
      </c>
      <c r="C11335" s="63" t="s">
        <v>3145</v>
      </c>
      <c r="D11335" s="183" t="s">
        <v>3787</v>
      </c>
      <c r="E11335" s="126">
        <v>2900</v>
      </c>
      <c r="F11335" s="126"/>
      <c r="G11335" s="126">
        <f t="shared" si="183"/>
        <v>-2900</v>
      </c>
      <c r="H11335" s="121" t="s">
        <v>7265</v>
      </c>
    </row>
    <row r="11336" spans="1:8" ht="15" customHeight="1" x14ac:dyDescent="0.2">
      <c r="A11336" s="619">
        <v>44454</v>
      </c>
      <c r="B11336" s="63" t="s">
        <v>6508</v>
      </c>
      <c r="C11336" s="63" t="s">
        <v>3145</v>
      </c>
      <c r="D11336" s="183" t="s">
        <v>3787</v>
      </c>
      <c r="E11336" s="126">
        <v>10900</v>
      </c>
      <c r="F11336" s="126"/>
      <c r="G11336" s="126">
        <f t="shared" si="183"/>
        <v>-10900</v>
      </c>
      <c r="H11336" s="121" t="s">
        <v>7265</v>
      </c>
    </row>
    <row r="11337" spans="1:8" ht="15" customHeight="1" x14ac:dyDescent="0.2">
      <c r="A11337" s="619">
        <v>44454</v>
      </c>
      <c r="B11337" s="63" t="s">
        <v>16</v>
      </c>
      <c r="C11337" s="63" t="s">
        <v>392</v>
      </c>
      <c r="D11337" s="183" t="s">
        <v>3802</v>
      </c>
      <c r="E11337" s="126">
        <v>650</v>
      </c>
      <c r="F11337" s="126"/>
      <c r="G11337" s="126">
        <f t="shared" si="183"/>
        <v>-650</v>
      </c>
      <c r="H11337" s="121" t="s">
        <v>7265</v>
      </c>
    </row>
    <row r="11338" spans="1:8" ht="15" customHeight="1" x14ac:dyDescent="0.2">
      <c r="A11338" s="619">
        <v>44454</v>
      </c>
      <c r="B11338" s="63" t="s">
        <v>1400</v>
      </c>
      <c r="C11338" s="63" t="s">
        <v>392</v>
      </c>
      <c r="D11338" s="183" t="s">
        <v>7289</v>
      </c>
      <c r="E11338" s="126">
        <v>650</v>
      </c>
      <c r="F11338" s="126"/>
      <c r="G11338" s="126">
        <f t="shared" si="183"/>
        <v>-650</v>
      </c>
      <c r="H11338" s="121" t="s">
        <v>7265</v>
      </c>
    </row>
    <row r="11339" spans="1:8" ht="15" x14ac:dyDescent="0.2">
      <c r="A11339" s="619">
        <v>44454</v>
      </c>
      <c r="B11339" s="63" t="s">
        <v>6408</v>
      </c>
      <c r="C11339" s="63" t="s">
        <v>3145</v>
      </c>
      <c r="D11339" s="183" t="s">
        <v>7285</v>
      </c>
      <c r="E11339" s="126">
        <v>8400</v>
      </c>
      <c r="F11339" s="126"/>
      <c r="G11339" s="126">
        <f t="shared" si="183"/>
        <v>-8400</v>
      </c>
      <c r="H11339" s="121" t="s">
        <v>7265</v>
      </c>
    </row>
    <row r="11340" spans="1:8" ht="15" x14ac:dyDescent="0.2">
      <c r="A11340" s="619">
        <v>44454</v>
      </c>
      <c r="B11340" s="63" t="s">
        <v>6408</v>
      </c>
      <c r="C11340" s="63" t="s">
        <v>3145</v>
      </c>
      <c r="D11340" s="183" t="s">
        <v>7285</v>
      </c>
      <c r="E11340" s="126">
        <v>7760</v>
      </c>
      <c r="F11340" s="126"/>
      <c r="G11340" s="126">
        <f t="shared" si="183"/>
        <v>-7760</v>
      </c>
      <c r="H11340" s="121" t="s">
        <v>7265</v>
      </c>
    </row>
    <row r="11341" spans="1:8" ht="15" x14ac:dyDescent="0.2">
      <c r="A11341" s="619">
        <v>44454</v>
      </c>
      <c r="B11341" s="63" t="s">
        <v>6511</v>
      </c>
      <c r="C11341" s="63" t="s">
        <v>5741</v>
      </c>
      <c r="D11341" s="183"/>
      <c r="E11341" s="126">
        <v>300</v>
      </c>
      <c r="F11341" s="126"/>
      <c r="G11341" s="126">
        <f t="shared" si="183"/>
        <v>-300</v>
      </c>
      <c r="H11341" s="121" t="s">
        <v>7265</v>
      </c>
    </row>
    <row r="11342" spans="1:8" ht="15" x14ac:dyDescent="0.2">
      <c r="A11342" s="619">
        <v>44454</v>
      </c>
      <c r="B11342" s="63" t="s">
        <v>37</v>
      </c>
      <c r="C11342" s="63" t="s">
        <v>392</v>
      </c>
      <c r="D11342" s="183" t="s">
        <v>7107</v>
      </c>
      <c r="E11342" s="126">
        <v>2000</v>
      </c>
      <c r="F11342" s="126"/>
      <c r="G11342" s="126">
        <f t="shared" si="183"/>
        <v>-2000</v>
      </c>
      <c r="H11342" s="121" t="s">
        <v>7265</v>
      </c>
    </row>
    <row r="11343" spans="1:8" ht="15" x14ac:dyDescent="0.2">
      <c r="A11343" s="619">
        <v>44454</v>
      </c>
      <c r="B11343" s="63" t="s">
        <v>3946</v>
      </c>
      <c r="C11343" s="551" t="s">
        <v>3003</v>
      </c>
      <c r="D11343" s="740" t="s">
        <v>370</v>
      </c>
      <c r="E11343" s="552">
        <v>13520</v>
      </c>
      <c r="F11343" s="126"/>
      <c r="G11343" s="126">
        <f t="shared" si="183"/>
        <v>-13520</v>
      </c>
      <c r="H11343" s="121" t="s">
        <v>7265</v>
      </c>
    </row>
    <row r="11344" spans="1:8" ht="15" x14ac:dyDescent="0.2">
      <c r="A11344" s="619">
        <v>44454</v>
      </c>
      <c r="B11344" s="63" t="s">
        <v>3945</v>
      </c>
      <c r="C11344" s="551" t="s">
        <v>3003</v>
      </c>
      <c r="D11344" s="740" t="s">
        <v>370</v>
      </c>
      <c r="E11344" s="552">
        <v>8840</v>
      </c>
      <c r="F11344" s="126"/>
      <c r="G11344" s="126">
        <f t="shared" si="183"/>
        <v>-8840</v>
      </c>
      <c r="H11344" s="121" t="s">
        <v>7265</v>
      </c>
    </row>
    <row r="11345" spans="1:8" ht="15" x14ac:dyDescent="0.2">
      <c r="A11345" s="619">
        <v>44454</v>
      </c>
      <c r="B11345" s="63" t="s">
        <v>37</v>
      </c>
      <c r="C11345" s="551" t="s">
        <v>3003</v>
      </c>
      <c r="D11345" s="740" t="s">
        <v>370</v>
      </c>
      <c r="E11345" s="552">
        <v>15552</v>
      </c>
      <c r="F11345" s="126"/>
      <c r="G11345" s="126">
        <f t="shared" si="183"/>
        <v>-15552</v>
      </c>
      <c r="H11345" s="121" t="s">
        <v>7265</v>
      </c>
    </row>
    <row r="11346" spans="1:8" ht="15" x14ac:dyDescent="0.2">
      <c r="A11346" s="619">
        <v>44455</v>
      </c>
      <c r="B11346" s="63" t="s">
        <v>3946</v>
      </c>
      <c r="C11346" s="63" t="s">
        <v>3033</v>
      </c>
      <c r="D11346" s="183" t="s">
        <v>2711</v>
      </c>
      <c r="E11346" s="126">
        <v>20000</v>
      </c>
      <c r="F11346" s="126"/>
      <c r="G11346" s="126">
        <f t="shared" si="183"/>
        <v>-20000</v>
      </c>
      <c r="H11346" s="121" t="s">
        <v>7265</v>
      </c>
    </row>
    <row r="11347" spans="1:8" ht="15" x14ac:dyDescent="0.2">
      <c r="A11347" s="619">
        <v>44455</v>
      </c>
      <c r="B11347" s="63" t="s">
        <v>6953</v>
      </c>
      <c r="C11347" s="63" t="s">
        <v>4908</v>
      </c>
      <c r="D11347" s="183" t="s">
        <v>5858</v>
      </c>
      <c r="E11347" s="126">
        <v>12000</v>
      </c>
      <c r="F11347" s="126"/>
      <c r="G11347" s="126">
        <f t="shared" si="183"/>
        <v>-12000</v>
      </c>
      <c r="H11347" s="121" t="s">
        <v>7265</v>
      </c>
    </row>
    <row r="11348" spans="1:8" ht="15" x14ac:dyDescent="0.2">
      <c r="A11348" s="619">
        <v>44455</v>
      </c>
      <c r="B11348" s="63" t="s">
        <v>25</v>
      </c>
      <c r="C11348" s="63" t="s">
        <v>392</v>
      </c>
      <c r="D11348" s="183" t="s">
        <v>7303</v>
      </c>
      <c r="E11348" s="126">
        <v>3900</v>
      </c>
      <c r="F11348" s="126"/>
      <c r="G11348" s="126">
        <f t="shared" si="183"/>
        <v>-3900</v>
      </c>
      <c r="H11348" s="121" t="s">
        <v>7265</v>
      </c>
    </row>
    <row r="11349" spans="1:8" ht="15" x14ac:dyDescent="0.2">
      <c r="A11349" s="619">
        <v>44455</v>
      </c>
      <c r="B11349" s="63" t="s">
        <v>25</v>
      </c>
      <c r="C11349" s="63" t="s">
        <v>4065</v>
      </c>
      <c r="D11349" s="183" t="s">
        <v>2431</v>
      </c>
      <c r="E11349" s="126">
        <v>1500</v>
      </c>
      <c r="F11349" s="126"/>
      <c r="G11349" s="126">
        <f t="shared" si="183"/>
        <v>-1500</v>
      </c>
      <c r="H11349" s="121" t="s">
        <v>7265</v>
      </c>
    </row>
    <row r="11350" spans="1:8" ht="15" customHeight="1" x14ac:dyDescent="0.2">
      <c r="A11350" s="619">
        <v>44455</v>
      </c>
      <c r="B11350" s="63" t="s">
        <v>6511</v>
      </c>
      <c r="C11350" s="63" t="s">
        <v>6378</v>
      </c>
      <c r="D11350" s="183" t="s">
        <v>7304</v>
      </c>
      <c r="E11350" s="126">
        <v>40000</v>
      </c>
      <c r="F11350" s="126"/>
      <c r="G11350" s="126">
        <f t="shared" si="183"/>
        <v>-40000</v>
      </c>
      <c r="H11350" s="121" t="s">
        <v>7265</v>
      </c>
    </row>
    <row r="11351" spans="1:8" ht="15" x14ac:dyDescent="0.2">
      <c r="A11351" s="619">
        <v>44455</v>
      </c>
      <c r="B11351" s="63" t="s">
        <v>6508</v>
      </c>
      <c r="C11351" s="63" t="s">
        <v>6605</v>
      </c>
      <c r="D11351" s="183" t="s">
        <v>7305</v>
      </c>
      <c r="E11351" s="126">
        <v>40000</v>
      </c>
      <c r="F11351" s="126"/>
      <c r="G11351" s="126">
        <f t="shared" si="183"/>
        <v>-40000</v>
      </c>
      <c r="H11351" s="121" t="s">
        <v>7265</v>
      </c>
    </row>
    <row r="11352" spans="1:8" ht="15" x14ac:dyDescent="0.2">
      <c r="A11352" s="619">
        <v>44456</v>
      </c>
      <c r="B11352" s="63" t="s">
        <v>6518</v>
      </c>
      <c r="C11352" s="63" t="s">
        <v>6822</v>
      </c>
      <c r="D11352" s="183" t="s">
        <v>7307</v>
      </c>
      <c r="E11352" s="126">
        <v>45000</v>
      </c>
      <c r="F11352" s="126"/>
      <c r="G11352" s="126">
        <f t="shared" si="183"/>
        <v>-45000</v>
      </c>
      <c r="H11352" s="121" t="s">
        <v>7265</v>
      </c>
    </row>
    <row r="11353" spans="1:8" ht="15" x14ac:dyDescent="0.2">
      <c r="A11353" s="619">
        <v>44456</v>
      </c>
      <c r="B11353" s="63" t="s">
        <v>7555</v>
      </c>
      <c r="C11353" s="63" t="s">
        <v>392</v>
      </c>
      <c r="D11353" s="183" t="s">
        <v>7308</v>
      </c>
      <c r="E11353" s="126">
        <v>5000</v>
      </c>
      <c r="F11353" s="126"/>
      <c r="G11353" s="126">
        <f t="shared" si="183"/>
        <v>-5000</v>
      </c>
      <c r="H11353" s="121" t="s">
        <v>7265</v>
      </c>
    </row>
    <row r="11354" spans="1:8" ht="24" x14ac:dyDescent="0.2">
      <c r="A11354" s="619">
        <v>44456</v>
      </c>
      <c r="B11354" s="63" t="s">
        <v>7112</v>
      </c>
      <c r="C11354" s="63" t="s">
        <v>3145</v>
      </c>
      <c r="D11354" s="183" t="s">
        <v>7319</v>
      </c>
      <c r="E11354" s="126">
        <v>21700</v>
      </c>
      <c r="F11354" s="126"/>
      <c r="G11354" s="126">
        <f t="shared" si="183"/>
        <v>-21700</v>
      </c>
      <c r="H11354" s="121" t="s">
        <v>7265</v>
      </c>
    </row>
    <row r="11355" spans="1:8" ht="15" x14ac:dyDescent="0.2">
      <c r="A11355" s="619">
        <v>44456</v>
      </c>
      <c r="B11355" s="63" t="s">
        <v>37</v>
      </c>
      <c r="C11355" s="63" t="s">
        <v>3145</v>
      </c>
      <c r="D11355" s="183" t="s">
        <v>7238</v>
      </c>
      <c r="E11355" s="126">
        <v>5600</v>
      </c>
      <c r="F11355" s="126"/>
      <c r="G11355" s="126">
        <f t="shared" si="183"/>
        <v>-5600</v>
      </c>
      <c r="H11355" s="121" t="s">
        <v>7265</v>
      </c>
    </row>
    <row r="11356" spans="1:8" ht="15" x14ac:dyDescent="0.2">
      <c r="A11356" s="619">
        <v>44456</v>
      </c>
      <c r="B11356" s="63" t="s">
        <v>7112</v>
      </c>
      <c r="C11356" s="63" t="s">
        <v>3145</v>
      </c>
      <c r="D11356" s="183" t="s">
        <v>7238</v>
      </c>
      <c r="E11356" s="126">
        <v>8500</v>
      </c>
      <c r="F11356" s="126"/>
      <c r="G11356" s="126">
        <f t="shared" si="183"/>
        <v>-8500</v>
      </c>
      <c r="H11356" s="121" t="s">
        <v>7265</v>
      </c>
    </row>
    <row r="11357" spans="1:8" ht="15" x14ac:dyDescent="0.2">
      <c r="A11357" s="619">
        <v>44456</v>
      </c>
      <c r="B11357" s="63" t="s">
        <v>1400</v>
      </c>
      <c r="C11357" s="63" t="s">
        <v>3145</v>
      </c>
      <c r="D11357" s="183" t="s">
        <v>7238</v>
      </c>
      <c r="E11357" s="126">
        <v>9680</v>
      </c>
      <c r="F11357" s="126"/>
      <c r="G11357" s="126">
        <f t="shared" si="183"/>
        <v>-9680</v>
      </c>
      <c r="H11357" s="121" t="s">
        <v>7265</v>
      </c>
    </row>
    <row r="11358" spans="1:8" ht="15" x14ac:dyDescent="0.2">
      <c r="A11358" s="619">
        <v>44456</v>
      </c>
      <c r="B11358" s="63" t="s">
        <v>7067</v>
      </c>
      <c r="C11358" s="63" t="s">
        <v>3145</v>
      </c>
      <c r="D11358" s="183" t="s">
        <v>7320</v>
      </c>
      <c r="E11358" s="126">
        <v>1250</v>
      </c>
      <c r="F11358" s="126"/>
      <c r="G11358" s="126">
        <f t="shared" si="183"/>
        <v>-1250</v>
      </c>
      <c r="H11358" s="121" t="s">
        <v>7265</v>
      </c>
    </row>
    <row r="11359" spans="1:8" ht="15" x14ac:dyDescent="0.2">
      <c r="A11359" s="619">
        <v>44456</v>
      </c>
      <c r="B11359" s="63" t="s">
        <v>7067</v>
      </c>
      <c r="C11359" s="63" t="s">
        <v>3145</v>
      </c>
      <c r="D11359" s="183" t="s">
        <v>7321</v>
      </c>
      <c r="E11359" s="126">
        <v>4600</v>
      </c>
      <c r="F11359" s="126"/>
      <c r="G11359" s="126">
        <f t="shared" si="183"/>
        <v>-4600</v>
      </c>
      <c r="H11359" s="121" t="s">
        <v>7265</v>
      </c>
    </row>
    <row r="11360" spans="1:8" ht="15" x14ac:dyDescent="0.2">
      <c r="A11360" s="619">
        <v>44459</v>
      </c>
      <c r="B11360" s="63" t="s">
        <v>7067</v>
      </c>
      <c r="C11360" s="63" t="s">
        <v>286</v>
      </c>
      <c r="D11360" s="183" t="s">
        <v>7322</v>
      </c>
      <c r="E11360" s="126">
        <v>400</v>
      </c>
      <c r="F11360" s="126"/>
      <c r="G11360" s="126">
        <f t="shared" si="183"/>
        <v>-400</v>
      </c>
      <c r="H11360" s="121" t="s">
        <v>7265</v>
      </c>
    </row>
    <row r="11361" spans="1:8" ht="15" x14ac:dyDescent="0.2">
      <c r="A11361" s="619">
        <v>44459</v>
      </c>
      <c r="B11361" s="63" t="s">
        <v>7112</v>
      </c>
      <c r="C11361" s="63" t="s">
        <v>5741</v>
      </c>
      <c r="D11361" s="183"/>
      <c r="E11361" s="126">
        <v>1500</v>
      </c>
      <c r="F11361" s="126"/>
      <c r="G11361" s="126">
        <f t="shared" si="183"/>
        <v>-1500</v>
      </c>
      <c r="H11361" s="121" t="s">
        <v>7265</v>
      </c>
    </row>
    <row r="11362" spans="1:8" ht="15" x14ac:dyDescent="0.2">
      <c r="A11362" s="619">
        <v>44459</v>
      </c>
      <c r="B11362" s="63" t="s">
        <v>1691</v>
      </c>
      <c r="C11362" s="63" t="s">
        <v>7323</v>
      </c>
      <c r="D11362" s="183" t="s">
        <v>7324</v>
      </c>
      <c r="E11362" s="126">
        <v>15000</v>
      </c>
      <c r="F11362" s="126"/>
      <c r="G11362" s="126">
        <f t="shared" si="183"/>
        <v>-15000</v>
      </c>
      <c r="H11362" s="121" t="s">
        <v>7265</v>
      </c>
    </row>
    <row r="11363" spans="1:8" ht="15" x14ac:dyDescent="0.2">
      <c r="A11363" s="619">
        <v>44459</v>
      </c>
      <c r="B11363" s="63" t="s">
        <v>6953</v>
      </c>
      <c r="C11363" s="63" t="s">
        <v>6624</v>
      </c>
      <c r="D11363" s="183" t="s">
        <v>1121</v>
      </c>
      <c r="E11363" s="126">
        <v>20000</v>
      </c>
      <c r="F11363" s="126"/>
      <c r="G11363" s="126">
        <f t="shared" si="183"/>
        <v>-20000</v>
      </c>
      <c r="H11363" s="121" t="s">
        <v>7265</v>
      </c>
    </row>
    <row r="11364" spans="1:8" ht="15" x14ac:dyDescent="0.2">
      <c r="A11364" s="619">
        <v>44459</v>
      </c>
      <c r="B11364" s="63" t="s">
        <v>3946</v>
      </c>
      <c r="C11364" s="63" t="s">
        <v>2503</v>
      </c>
      <c r="D11364" s="183" t="s">
        <v>7325</v>
      </c>
      <c r="E11364" s="126">
        <v>4600</v>
      </c>
      <c r="F11364" s="126"/>
      <c r="G11364" s="126">
        <f t="shared" si="183"/>
        <v>-4600</v>
      </c>
      <c r="H11364" s="121" t="s">
        <v>7265</v>
      </c>
    </row>
    <row r="11365" spans="1:8" ht="15" x14ac:dyDescent="0.2">
      <c r="A11365" s="619">
        <v>44459</v>
      </c>
      <c r="B11365" s="63" t="s">
        <v>5811</v>
      </c>
      <c r="C11365" s="63" t="s">
        <v>3145</v>
      </c>
      <c r="D11365" s="183" t="s">
        <v>6585</v>
      </c>
      <c r="E11365" s="126">
        <v>19660</v>
      </c>
      <c r="F11365" s="126"/>
      <c r="G11365" s="126">
        <f t="shared" si="183"/>
        <v>-19660</v>
      </c>
      <c r="H11365" s="121" t="s">
        <v>7265</v>
      </c>
    </row>
    <row r="11366" spans="1:8" ht="15" x14ac:dyDescent="0.2">
      <c r="A11366" s="619">
        <v>44460</v>
      </c>
      <c r="B11366" s="63" t="s">
        <v>1400</v>
      </c>
      <c r="C11366" s="63" t="s">
        <v>3145</v>
      </c>
      <c r="D11366" s="183" t="s">
        <v>6585</v>
      </c>
      <c r="E11366" s="126">
        <v>23750</v>
      </c>
      <c r="F11366" s="126"/>
      <c r="G11366" s="126">
        <f t="shared" si="183"/>
        <v>-23750</v>
      </c>
      <c r="H11366" s="121" t="s">
        <v>7265</v>
      </c>
    </row>
    <row r="11367" spans="1:8" ht="15" x14ac:dyDescent="0.2">
      <c r="A11367" s="619">
        <v>44460</v>
      </c>
      <c r="B11367" s="63" t="s">
        <v>16</v>
      </c>
      <c r="C11367" s="551" t="s">
        <v>1689</v>
      </c>
      <c r="D11367" s="740" t="s">
        <v>7326</v>
      </c>
      <c r="E11367" s="552">
        <v>2550</v>
      </c>
      <c r="F11367" s="126"/>
      <c r="G11367" s="126">
        <f t="shared" si="183"/>
        <v>-2550</v>
      </c>
      <c r="H11367" s="121" t="s">
        <v>7265</v>
      </c>
    </row>
    <row r="11368" spans="1:8" ht="15" x14ac:dyDescent="0.2">
      <c r="A11368" s="619">
        <v>44460</v>
      </c>
      <c r="B11368" s="63" t="s">
        <v>25</v>
      </c>
      <c r="C11368" s="551" t="s">
        <v>1689</v>
      </c>
      <c r="D11368" s="740" t="s">
        <v>7326</v>
      </c>
      <c r="E11368" s="552">
        <v>6870</v>
      </c>
      <c r="F11368" s="126"/>
      <c r="G11368" s="126">
        <f t="shared" si="183"/>
        <v>-6870</v>
      </c>
      <c r="H11368" s="121" t="s">
        <v>7265</v>
      </c>
    </row>
    <row r="11369" spans="1:8" ht="15" x14ac:dyDescent="0.2">
      <c r="A11369" s="619">
        <v>44461</v>
      </c>
      <c r="B11369" s="63" t="s">
        <v>16</v>
      </c>
      <c r="C11369" s="551" t="s">
        <v>1689</v>
      </c>
      <c r="D11369" s="740" t="s">
        <v>7327</v>
      </c>
      <c r="E11369" s="126">
        <v>9247</v>
      </c>
      <c r="F11369" s="126"/>
      <c r="G11369" s="126">
        <f t="shared" si="183"/>
        <v>-9247</v>
      </c>
      <c r="H11369" s="121" t="s">
        <v>7265</v>
      </c>
    </row>
    <row r="11370" spans="1:8" ht="15" x14ac:dyDescent="0.2">
      <c r="A11370" s="619">
        <v>44461</v>
      </c>
      <c r="B11370" s="63" t="s">
        <v>25</v>
      </c>
      <c r="C11370" s="551" t="s">
        <v>1689</v>
      </c>
      <c r="D11370" s="740" t="s">
        <v>7327</v>
      </c>
      <c r="E11370" s="126">
        <v>32367</v>
      </c>
      <c r="F11370" s="126"/>
      <c r="G11370" s="126">
        <f t="shared" si="183"/>
        <v>-32367</v>
      </c>
      <c r="H11370" s="121" t="s">
        <v>7265</v>
      </c>
    </row>
    <row r="11371" spans="1:8" ht="15" x14ac:dyDescent="0.2">
      <c r="A11371" s="619">
        <v>44461</v>
      </c>
      <c r="B11371" s="63" t="s">
        <v>25</v>
      </c>
      <c r="C11371" s="63" t="s">
        <v>392</v>
      </c>
      <c r="D11371" s="183" t="s">
        <v>7328</v>
      </c>
      <c r="E11371" s="126">
        <v>43920</v>
      </c>
      <c r="F11371" s="126"/>
      <c r="G11371" s="126">
        <f t="shared" si="183"/>
        <v>-43920</v>
      </c>
      <c r="H11371" s="121" t="s">
        <v>7265</v>
      </c>
    </row>
    <row r="11372" spans="1:8" ht="15" x14ac:dyDescent="0.2">
      <c r="A11372" s="619">
        <v>44461</v>
      </c>
      <c r="B11372" s="63" t="s">
        <v>7067</v>
      </c>
      <c r="C11372" s="63" t="s">
        <v>392</v>
      </c>
      <c r="D11372" s="183"/>
      <c r="E11372" s="126">
        <v>850</v>
      </c>
      <c r="F11372" s="126"/>
      <c r="G11372" s="126">
        <f t="shared" si="183"/>
        <v>-850</v>
      </c>
      <c r="H11372" s="121" t="s">
        <v>7265</v>
      </c>
    </row>
    <row r="11373" spans="1:8" ht="15" x14ac:dyDescent="0.2">
      <c r="A11373" s="619">
        <v>44461</v>
      </c>
      <c r="B11373" s="63" t="s">
        <v>7112</v>
      </c>
      <c r="C11373" s="63" t="s">
        <v>392</v>
      </c>
      <c r="D11373" s="183" t="s">
        <v>7329</v>
      </c>
      <c r="E11373" s="126">
        <v>6500</v>
      </c>
      <c r="F11373" s="126"/>
      <c r="G11373" s="126">
        <f t="shared" si="183"/>
        <v>-6500</v>
      </c>
      <c r="H11373" s="121" t="s">
        <v>7265</v>
      </c>
    </row>
    <row r="11374" spans="1:8" ht="15" x14ac:dyDescent="0.2">
      <c r="A11374" s="619">
        <v>44461</v>
      </c>
      <c r="B11374" s="63" t="s">
        <v>7555</v>
      </c>
      <c r="C11374" s="63" t="s">
        <v>392</v>
      </c>
      <c r="D11374" s="183" t="s">
        <v>7330</v>
      </c>
      <c r="E11374" s="126">
        <v>2500</v>
      </c>
      <c r="F11374" s="126"/>
      <c r="G11374" s="126">
        <f t="shared" si="183"/>
        <v>-2500</v>
      </c>
      <c r="H11374" s="121" t="s">
        <v>7265</v>
      </c>
    </row>
    <row r="11375" spans="1:8" ht="15" x14ac:dyDescent="0.2">
      <c r="A11375" s="619">
        <v>44461</v>
      </c>
      <c r="B11375" s="63" t="s">
        <v>6508</v>
      </c>
      <c r="C11375" s="63" t="s">
        <v>3145</v>
      </c>
      <c r="D11375" s="908" t="s">
        <v>7331</v>
      </c>
      <c r="E11375" s="126">
        <v>44620</v>
      </c>
      <c r="F11375" s="126"/>
      <c r="G11375" s="126">
        <f t="shared" si="183"/>
        <v>-44620</v>
      </c>
      <c r="H11375" s="121" t="s">
        <v>7265</v>
      </c>
    </row>
    <row r="11376" spans="1:8" ht="15" x14ac:dyDescent="0.2">
      <c r="A11376" s="619">
        <v>44461</v>
      </c>
      <c r="B11376" s="63" t="s">
        <v>7067</v>
      </c>
      <c r="C11376" s="63" t="s">
        <v>3145</v>
      </c>
      <c r="D11376" s="183" t="s">
        <v>7320</v>
      </c>
      <c r="E11376" s="126">
        <v>1250</v>
      </c>
      <c r="F11376" s="126"/>
      <c r="G11376" s="126">
        <f t="shared" si="183"/>
        <v>-1250</v>
      </c>
      <c r="H11376" s="121" t="s">
        <v>7265</v>
      </c>
    </row>
    <row r="11377" spans="1:8" ht="15" x14ac:dyDescent="0.2">
      <c r="A11377" s="619">
        <v>44461</v>
      </c>
      <c r="B11377" s="63" t="s">
        <v>1400</v>
      </c>
      <c r="C11377" s="63" t="s">
        <v>3145</v>
      </c>
      <c r="D11377" s="908" t="s">
        <v>7332</v>
      </c>
      <c r="E11377" s="126">
        <v>1100</v>
      </c>
      <c r="F11377" s="126"/>
      <c r="G11377" s="126">
        <f t="shared" si="183"/>
        <v>-1100</v>
      </c>
      <c r="H11377" s="121" t="s">
        <v>7265</v>
      </c>
    </row>
    <row r="11378" spans="1:8" ht="24" x14ac:dyDescent="0.2">
      <c r="A11378" s="619">
        <v>44464</v>
      </c>
      <c r="B11378" s="63" t="s">
        <v>7067</v>
      </c>
      <c r="C11378" s="63" t="s">
        <v>2128</v>
      </c>
      <c r="D11378" s="183" t="s">
        <v>7333</v>
      </c>
      <c r="E11378" s="126">
        <v>87300</v>
      </c>
      <c r="F11378" s="126"/>
      <c r="G11378" s="126">
        <f t="shared" si="183"/>
        <v>-87300</v>
      </c>
      <c r="H11378" s="121" t="s">
        <v>7265</v>
      </c>
    </row>
    <row r="11379" spans="1:8" ht="15" x14ac:dyDescent="0.2">
      <c r="A11379" s="619">
        <v>44464</v>
      </c>
      <c r="B11379" s="63" t="s">
        <v>6508</v>
      </c>
      <c r="C11379" s="63" t="s">
        <v>3145</v>
      </c>
      <c r="D11379" s="183" t="s">
        <v>4535</v>
      </c>
      <c r="E11379" s="126">
        <v>5647</v>
      </c>
      <c r="F11379" s="126"/>
      <c r="G11379" s="126">
        <f t="shared" si="183"/>
        <v>-5647</v>
      </c>
      <c r="H11379" s="121" t="s">
        <v>7265</v>
      </c>
    </row>
    <row r="11380" spans="1:8" ht="24" x14ac:dyDescent="0.2">
      <c r="A11380" s="619">
        <v>44464</v>
      </c>
      <c r="B11380" s="63" t="s">
        <v>7067</v>
      </c>
      <c r="C11380" s="63" t="s">
        <v>3145</v>
      </c>
      <c r="D11380" s="183" t="s">
        <v>7334</v>
      </c>
      <c r="E11380" s="126">
        <v>23826</v>
      </c>
      <c r="F11380" s="126"/>
      <c r="G11380" s="126">
        <f t="shared" si="183"/>
        <v>-23826</v>
      </c>
      <c r="H11380" s="121" t="s">
        <v>7265</v>
      </c>
    </row>
    <row r="11381" spans="1:8" ht="15" x14ac:dyDescent="0.2">
      <c r="A11381" s="619">
        <v>44464</v>
      </c>
      <c r="B11381" s="63" t="s">
        <v>2933</v>
      </c>
      <c r="C11381" s="63" t="s">
        <v>3145</v>
      </c>
      <c r="D11381" s="183" t="s">
        <v>7335</v>
      </c>
      <c r="E11381" s="126">
        <v>1900</v>
      </c>
      <c r="F11381" s="126"/>
      <c r="G11381" s="126">
        <f t="shared" si="183"/>
        <v>-1900</v>
      </c>
      <c r="H11381" s="121" t="s">
        <v>7265</v>
      </c>
    </row>
    <row r="11382" spans="1:8" ht="24" x14ac:dyDescent="0.2">
      <c r="A11382" s="619">
        <v>44464</v>
      </c>
      <c r="B11382" s="63" t="s">
        <v>7067</v>
      </c>
      <c r="C11382" s="63" t="s">
        <v>392</v>
      </c>
      <c r="D11382" s="183" t="s">
        <v>7336</v>
      </c>
      <c r="E11382" s="126">
        <v>9550</v>
      </c>
      <c r="F11382" s="126"/>
      <c r="G11382" s="126">
        <f t="shared" si="183"/>
        <v>-9550</v>
      </c>
      <c r="H11382" s="121" t="s">
        <v>7265</v>
      </c>
    </row>
    <row r="11383" spans="1:8" ht="15" x14ac:dyDescent="0.2">
      <c r="A11383" s="619">
        <v>44464</v>
      </c>
      <c r="B11383" s="63" t="s">
        <v>3946</v>
      </c>
      <c r="C11383" s="63" t="s">
        <v>3145</v>
      </c>
      <c r="D11383" s="183" t="s">
        <v>7337</v>
      </c>
      <c r="E11383" s="126">
        <v>13800</v>
      </c>
      <c r="F11383" s="126"/>
      <c r="G11383" s="126">
        <f t="shared" si="183"/>
        <v>-13800</v>
      </c>
      <c r="H11383" s="121" t="s">
        <v>7265</v>
      </c>
    </row>
    <row r="11384" spans="1:8" ht="15" x14ac:dyDescent="0.2">
      <c r="A11384" s="619">
        <v>44464</v>
      </c>
      <c r="B11384" s="63" t="s">
        <v>7067</v>
      </c>
      <c r="C11384" s="63" t="s">
        <v>3145</v>
      </c>
      <c r="D11384" s="183" t="s">
        <v>7338</v>
      </c>
      <c r="E11384" s="126">
        <v>2520</v>
      </c>
      <c r="F11384" s="126"/>
      <c r="G11384" s="126">
        <f t="shared" si="183"/>
        <v>-2520</v>
      </c>
      <c r="H11384" s="121" t="s">
        <v>7265</v>
      </c>
    </row>
    <row r="11385" spans="1:8" ht="15" x14ac:dyDescent="0.2">
      <c r="A11385" s="619">
        <v>44466</v>
      </c>
      <c r="B11385" s="63" t="s">
        <v>1400</v>
      </c>
      <c r="C11385" s="63" t="s">
        <v>7161</v>
      </c>
      <c r="D11385" s="183" t="s">
        <v>7339</v>
      </c>
      <c r="E11385" s="126">
        <v>10000</v>
      </c>
      <c r="F11385" s="126"/>
      <c r="G11385" s="126">
        <f t="shared" si="183"/>
        <v>-10000</v>
      </c>
      <c r="H11385" s="121" t="s">
        <v>7265</v>
      </c>
    </row>
    <row r="11386" spans="1:8" ht="15" x14ac:dyDescent="0.2">
      <c r="A11386" s="619">
        <v>44466</v>
      </c>
      <c r="B11386" s="63" t="s">
        <v>7112</v>
      </c>
      <c r="C11386" s="63" t="s">
        <v>1509</v>
      </c>
      <c r="D11386" s="183" t="s">
        <v>7340</v>
      </c>
      <c r="E11386" s="126">
        <v>50000</v>
      </c>
      <c r="F11386" s="126"/>
      <c r="G11386" s="126">
        <f t="shared" si="183"/>
        <v>-50000</v>
      </c>
      <c r="H11386" s="121" t="s">
        <v>7265</v>
      </c>
    </row>
    <row r="11387" spans="1:8" ht="15" x14ac:dyDescent="0.2">
      <c r="A11387" s="619">
        <v>44466</v>
      </c>
      <c r="B11387" s="63" t="s">
        <v>6511</v>
      </c>
      <c r="C11387" s="63" t="s">
        <v>392</v>
      </c>
      <c r="D11387" s="183" t="s">
        <v>7341</v>
      </c>
      <c r="E11387" s="126">
        <v>340</v>
      </c>
      <c r="F11387" s="126"/>
      <c r="G11387" s="126">
        <f t="shared" si="183"/>
        <v>-340</v>
      </c>
      <c r="H11387" s="121" t="s">
        <v>7265</v>
      </c>
    </row>
    <row r="11388" spans="1:8" ht="15" x14ac:dyDescent="0.2">
      <c r="A11388" s="619">
        <v>44466</v>
      </c>
      <c r="B11388" s="63" t="s">
        <v>7067</v>
      </c>
      <c r="C11388" s="63" t="s">
        <v>3145</v>
      </c>
      <c r="D11388" s="183" t="s">
        <v>7342</v>
      </c>
      <c r="E11388" s="126">
        <v>4000</v>
      </c>
      <c r="F11388" s="126"/>
      <c r="G11388" s="126">
        <f t="shared" si="183"/>
        <v>-4000</v>
      </c>
      <c r="H11388" s="121" t="s">
        <v>7265</v>
      </c>
    </row>
    <row r="11389" spans="1:8" ht="15" x14ac:dyDescent="0.2">
      <c r="A11389" s="619">
        <v>44467</v>
      </c>
      <c r="B11389" s="63" t="s">
        <v>25</v>
      </c>
      <c r="C11389" s="63" t="s">
        <v>1005</v>
      </c>
      <c r="D11389" s="183"/>
      <c r="E11389" s="126">
        <v>630</v>
      </c>
      <c r="F11389" s="126"/>
      <c r="G11389" s="126">
        <f t="shared" si="183"/>
        <v>-630</v>
      </c>
      <c r="H11389" s="121" t="s">
        <v>7265</v>
      </c>
    </row>
    <row r="11390" spans="1:8" ht="15" x14ac:dyDescent="0.2">
      <c r="A11390" s="619">
        <v>44468</v>
      </c>
      <c r="B11390" s="63" t="s">
        <v>7555</v>
      </c>
      <c r="C11390" s="63" t="s">
        <v>2473</v>
      </c>
      <c r="D11390" s="183" t="s">
        <v>2711</v>
      </c>
      <c r="E11390" s="126">
        <v>1500</v>
      </c>
      <c r="F11390" s="126"/>
      <c r="G11390" s="126">
        <f t="shared" si="183"/>
        <v>-1500</v>
      </c>
      <c r="H11390" s="121" t="s">
        <v>7265</v>
      </c>
    </row>
    <row r="11391" spans="1:8" ht="15" x14ac:dyDescent="0.2">
      <c r="A11391" s="619">
        <v>44468</v>
      </c>
      <c r="B11391" s="63" t="s">
        <v>7112</v>
      </c>
      <c r="C11391" s="63" t="s">
        <v>778</v>
      </c>
      <c r="D11391" s="183" t="s">
        <v>1121</v>
      </c>
      <c r="E11391" s="126">
        <v>1500</v>
      </c>
      <c r="F11391" s="126"/>
      <c r="G11391" s="126">
        <f t="shared" si="183"/>
        <v>-1500</v>
      </c>
      <c r="H11391" s="121" t="s">
        <v>7265</v>
      </c>
    </row>
    <row r="11392" spans="1:8" ht="60" x14ac:dyDescent="0.2">
      <c r="A11392" s="619">
        <v>44468</v>
      </c>
      <c r="B11392" s="63" t="s">
        <v>16</v>
      </c>
      <c r="C11392" s="63" t="s">
        <v>7343</v>
      </c>
      <c r="D11392" s="183" t="s">
        <v>7344</v>
      </c>
      <c r="E11392" s="126">
        <v>380754</v>
      </c>
      <c r="F11392" s="126"/>
      <c r="G11392" s="126">
        <f t="shared" si="183"/>
        <v>-380754</v>
      </c>
      <c r="H11392" s="121" t="s">
        <v>7265</v>
      </c>
    </row>
    <row r="11393" spans="1:8" ht="15" x14ac:dyDescent="0.2">
      <c r="A11393" s="619">
        <v>44468</v>
      </c>
      <c r="B11393" s="63" t="s">
        <v>7067</v>
      </c>
      <c r="C11393" s="63" t="s">
        <v>2190</v>
      </c>
      <c r="D11393" s="183"/>
      <c r="E11393" s="126">
        <v>650</v>
      </c>
      <c r="F11393" s="126"/>
      <c r="G11393" s="126">
        <f t="shared" si="183"/>
        <v>-650</v>
      </c>
      <c r="H11393" s="121" t="s">
        <v>7265</v>
      </c>
    </row>
    <row r="11394" spans="1:8" ht="15" x14ac:dyDescent="0.2">
      <c r="A11394" s="619">
        <v>44469</v>
      </c>
      <c r="B11394" s="63" t="s">
        <v>7112</v>
      </c>
      <c r="C11394" s="63" t="s">
        <v>3145</v>
      </c>
      <c r="D11394" s="183" t="s">
        <v>7345</v>
      </c>
      <c r="E11394" s="126">
        <v>10000</v>
      </c>
      <c r="F11394" s="126"/>
      <c r="G11394" s="126">
        <f t="shared" si="183"/>
        <v>-10000</v>
      </c>
      <c r="H11394" s="121" t="s">
        <v>7265</v>
      </c>
    </row>
    <row r="11395" spans="1:8" ht="15" x14ac:dyDescent="0.2">
      <c r="A11395" s="619">
        <v>44469</v>
      </c>
      <c r="B11395" s="63" t="s">
        <v>6953</v>
      </c>
      <c r="C11395" s="551" t="s">
        <v>7280</v>
      </c>
      <c r="D11395" s="740" t="s">
        <v>5858</v>
      </c>
      <c r="E11395" s="552">
        <v>13500</v>
      </c>
      <c r="F11395" s="126"/>
      <c r="G11395" s="126">
        <f t="shared" si="183"/>
        <v>-13500</v>
      </c>
      <c r="H11395" s="121" t="s">
        <v>7265</v>
      </c>
    </row>
    <row r="11396" spans="1:8" ht="15" x14ac:dyDescent="0.2">
      <c r="A11396" s="619">
        <v>44469</v>
      </c>
      <c r="B11396" s="63" t="s">
        <v>7112</v>
      </c>
      <c r="C11396" s="551" t="s">
        <v>7280</v>
      </c>
      <c r="D11396" s="740" t="s">
        <v>6789</v>
      </c>
      <c r="E11396" s="552">
        <v>6500</v>
      </c>
      <c r="F11396" s="126"/>
      <c r="G11396" s="126">
        <f t="shared" si="183"/>
        <v>-6500</v>
      </c>
      <c r="H11396" s="121" t="s">
        <v>7265</v>
      </c>
    </row>
    <row r="11397" spans="1:8" ht="15" x14ac:dyDescent="0.2">
      <c r="A11397" s="619">
        <v>44469</v>
      </c>
      <c r="B11397" s="63" t="s">
        <v>16</v>
      </c>
      <c r="C11397" s="63" t="s">
        <v>463</v>
      </c>
      <c r="D11397" s="183" t="s">
        <v>7346</v>
      </c>
      <c r="E11397" s="126">
        <v>23707</v>
      </c>
      <c r="F11397" s="126"/>
      <c r="G11397" s="126">
        <f t="shared" ref="G11397:G11460" si="184">F11397-E11397</f>
        <v>-23707</v>
      </c>
      <c r="H11397" s="121" t="s">
        <v>7265</v>
      </c>
    </row>
    <row r="11398" spans="1:8" ht="15" x14ac:dyDescent="0.2">
      <c r="A11398" s="619">
        <v>44469</v>
      </c>
      <c r="B11398" s="63" t="s">
        <v>3946</v>
      </c>
      <c r="C11398" s="63" t="s">
        <v>392</v>
      </c>
      <c r="D11398" s="183" t="s">
        <v>7348</v>
      </c>
      <c r="E11398" s="126">
        <v>2900</v>
      </c>
      <c r="F11398" s="126"/>
      <c r="G11398" s="126">
        <f t="shared" si="184"/>
        <v>-2900</v>
      </c>
      <c r="H11398" s="121" t="s">
        <v>7265</v>
      </c>
    </row>
    <row r="11399" spans="1:8" ht="15" x14ac:dyDescent="0.2">
      <c r="A11399" s="619">
        <v>44469</v>
      </c>
      <c r="B11399" s="63" t="s">
        <v>3946</v>
      </c>
      <c r="C11399" s="63" t="s">
        <v>392</v>
      </c>
      <c r="D11399" s="183" t="s">
        <v>7349</v>
      </c>
      <c r="E11399" s="126">
        <v>350</v>
      </c>
      <c r="F11399" s="126"/>
      <c r="G11399" s="126">
        <f t="shared" si="184"/>
        <v>-350</v>
      </c>
      <c r="H11399" s="121" t="s">
        <v>7265</v>
      </c>
    </row>
    <row r="11400" spans="1:8" ht="15" x14ac:dyDescent="0.2">
      <c r="A11400" s="619">
        <v>44469</v>
      </c>
      <c r="B11400" s="63" t="s">
        <v>25</v>
      </c>
      <c r="C11400" s="63" t="s">
        <v>2428</v>
      </c>
      <c r="D11400" s="183" t="s">
        <v>7350</v>
      </c>
      <c r="E11400" s="126">
        <v>8500</v>
      </c>
      <c r="F11400" s="126"/>
      <c r="G11400" s="126">
        <f t="shared" si="184"/>
        <v>-8500</v>
      </c>
      <c r="H11400" s="121" t="s">
        <v>7265</v>
      </c>
    </row>
    <row r="11401" spans="1:8" ht="15" x14ac:dyDescent="0.2">
      <c r="A11401" s="619">
        <v>44469</v>
      </c>
      <c r="B11401" s="63" t="s">
        <v>7067</v>
      </c>
      <c r="C11401" s="63" t="s">
        <v>392</v>
      </c>
      <c r="D11401" s="183" t="s">
        <v>3991</v>
      </c>
      <c r="E11401" s="126">
        <v>6000</v>
      </c>
      <c r="F11401" s="126"/>
      <c r="G11401" s="126">
        <f t="shared" si="184"/>
        <v>-6000</v>
      </c>
      <c r="H11401" s="121" t="s">
        <v>7265</v>
      </c>
    </row>
    <row r="11402" spans="1:8" ht="15" x14ac:dyDescent="0.2">
      <c r="A11402" s="619">
        <v>44469</v>
      </c>
      <c r="B11402" s="63" t="s">
        <v>7067</v>
      </c>
      <c r="C11402" s="63" t="s">
        <v>2796</v>
      </c>
      <c r="D11402" s="183" t="s">
        <v>3253</v>
      </c>
      <c r="E11402" s="126">
        <v>680</v>
      </c>
      <c r="F11402" s="126"/>
      <c r="G11402" s="126">
        <f t="shared" si="184"/>
        <v>-680</v>
      </c>
      <c r="H11402" s="121" t="s">
        <v>7265</v>
      </c>
    </row>
    <row r="11403" spans="1:8" ht="15" x14ac:dyDescent="0.2">
      <c r="A11403" s="619">
        <v>44469</v>
      </c>
      <c r="B11403" s="63" t="s">
        <v>7067</v>
      </c>
      <c r="C11403" s="63" t="s">
        <v>2503</v>
      </c>
      <c r="D11403" s="183" t="s">
        <v>7097</v>
      </c>
      <c r="E11403" s="126">
        <v>25000</v>
      </c>
      <c r="F11403" s="126"/>
      <c r="G11403" s="126">
        <f t="shared" si="184"/>
        <v>-25000</v>
      </c>
      <c r="H11403" s="121" t="s">
        <v>7265</v>
      </c>
    </row>
    <row r="11404" spans="1:8" ht="15" x14ac:dyDescent="0.2">
      <c r="A11404" s="619">
        <v>44469</v>
      </c>
      <c r="B11404" s="63" t="s">
        <v>6953</v>
      </c>
      <c r="C11404" s="63" t="s">
        <v>2503</v>
      </c>
      <c r="D11404" s="183" t="s">
        <v>7097</v>
      </c>
      <c r="E11404" s="126">
        <v>25000</v>
      </c>
      <c r="F11404" s="126"/>
      <c r="G11404" s="126">
        <f t="shared" si="184"/>
        <v>-25000</v>
      </c>
      <c r="H11404" s="121" t="s">
        <v>7265</v>
      </c>
    </row>
    <row r="11405" spans="1:8" ht="15" x14ac:dyDescent="0.2">
      <c r="A11405" s="619">
        <v>44469</v>
      </c>
      <c r="B11405" s="63" t="s">
        <v>6511</v>
      </c>
      <c r="C11405" s="63" t="s">
        <v>2503</v>
      </c>
      <c r="D11405" s="183" t="s">
        <v>141</v>
      </c>
      <c r="E11405" s="126">
        <v>25000</v>
      </c>
      <c r="F11405" s="126"/>
      <c r="G11405" s="126">
        <f t="shared" si="184"/>
        <v>-25000</v>
      </c>
      <c r="H11405" s="121" t="s">
        <v>7265</v>
      </c>
    </row>
    <row r="11406" spans="1:8" ht="15" x14ac:dyDescent="0.2">
      <c r="A11406" s="619">
        <v>44469</v>
      </c>
      <c r="B11406" s="63" t="s">
        <v>7067</v>
      </c>
      <c r="C11406" s="63" t="s">
        <v>2503</v>
      </c>
      <c r="D11406" s="183" t="s">
        <v>141</v>
      </c>
      <c r="E11406" s="126">
        <v>25000</v>
      </c>
      <c r="F11406" s="126"/>
      <c r="G11406" s="126">
        <f t="shared" si="184"/>
        <v>-25000</v>
      </c>
      <c r="H11406" s="121" t="s">
        <v>7265</v>
      </c>
    </row>
    <row r="11407" spans="1:8" ht="15" x14ac:dyDescent="0.2">
      <c r="A11407" s="619">
        <v>44469</v>
      </c>
      <c r="B11407" s="63" t="s">
        <v>25</v>
      </c>
      <c r="C11407" s="63" t="s">
        <v>2503</v>
      </c>
      <c r="D11407" s="183" t="s">
        <v>2678</v>
      </c>
      <c r="E11407" s="126">
        <v>60000</v>
      </c>
      <c r="F11407" s="126"/>
      <c r="G11407" s="126">
        <f t="shared" si="184"/>
        <v>-60000</v>
      </c>
      <c r="H11407" s="121" t="s">
        <v>7265</v>
      </c>
    </row>
    <row r="11408" spans="1:8" ht="15" x14ac:dyDescent="0.2">
      <c r="A11408" s="619">
        <v>44469</v>
      </c>
      <c r="B11408" s="63" t="s">
        <v>16</v>
      </c>
      <c r="C11408" s="63" t="s">
        <v>2503</v>
      </c>
      <c r="D11408" s="183" t="s">
        <v>2678</v>
      </c>
      <c r="E11408" s="126">
        <v>74000</v>
      </c>
      <c r="F11408" s="126"/>
      <c r="G11408" s="126">
        <f t="shared" si="184"/>
        <v>-74000</v>
      </c>
      <c r="H11408" s="121" t="s">
        <v>7265</v>
      </c>
    </row>
    <row r="11409" spans="1:8" ht="15" x14ac:dyDescent="0.2">
      <c r="A11409" s="619">
        <v>44469</v>
      </c>
      <c r="B11409" s="63" t="s">
        <v>3945</v>
      </c>
      <c r="C11409" s="63" t="s">
        <v>2503</v>
      </c>
      <c r="D11409" s="183" t="s">
        <v>2678</v>
      </c>
      <c r="E11409" s="126">
        <v>57000</v>
      </c>
      <c r="F11409" s="126"/>
      <c r="G11409" s="126">
        <f t="shared" si="184"/>
        <v>-57000</v>
      </c>
      <c r="H11409" s="121" t="s">
        <v>7265</v>
      </c>
    </row>
    <row r="11410" spans="1:8" ht="15" x14ac:dyDescent="0.2">
      <c r="A11410" s="619">
        <v>44469</v>
      </c>
      <c r="B11410" s="63" t="s">
        <v>3946</v>
      </c>
      <c r="C11410" s="63" t="s">
        <v>2503</v>
      </c>
      <c r="D11410" s="183" t="s">
        <v>2678</v>
      </c>
      <c r="E11410" s="126">
        <v>90358.5</v>
      </c>
      <c r="F11410" s="126"/>
      <c r="G11410" s="126">
        <f t="shared" si="184"/>
        <v>-90358.5</v>
      </c>
      <c r="H11410" s="121" t="s">
        <v>7265</v>
      </c>
    </row>
    <row r="11411" spans="1:8" ht="15" x14ac:dyDescent="0.2">
      <c r="A11411" s="619">
        <v>44469</v>
      </c>
      <c r="B11411" s="63" t="s">
        <v>1400</v>
      </c>
      <c r="C11411" s="63" t="s">
        <v>2503</v>
      </c>
      <c r="D11411" s="183" t="s">
        <v>2678</v>
      </c>
      <c r="E11411" s="126">
        <v>205425.41666666663</v>
      </c>
      <c r="F11411" s="126"/>
      <c r="G11411" s="126">
        <f t="shared" si="184"/>
        <v>-205425.41666666663</v>
      </c>
      <c r="H11411" s="121" t="s">
        <v>7265</v>
      </c>
    </row>
    <row r="11412" spans="1:8" ht="15" x14ac:dyDescent="0.2">
      <c r="A11412" s="619">
        <v>44469</v>
      </c>
      <c r="B11412" s="63" t="s">
        <v>37</v>
      </c>
      <c r="C11412" s="63" t="s">
        <v>2503</v>
      </c>
      <c r="D11412" s="183" t="s">
        <v>2678</v>
      </c>
      <c r="E11412" s="126">
        <v>97833.333333333343</v>
      </c>
      <c r="F11412" s="126"/>
      <c r="G11412" s="126">
        <f t="shared" si="184"/>
        <v>-97833.333333333343</v>
      </c>
      <c r="H11412" s="121" t="s">
        <v>7265</v>
      </c>
    </row>
    <row r="11413" spans="1:8" ht="15" x14ac:dyDescent="0.2">
      <c r="A11413" s="619">
        <v>44469</v>
      </c>
      <c r="B11413" s="63" t="s">
        <v>2933</v>
      </c>
      <c r="C11413" s="63" t="s">
        <v>2503</v>
      </c>
      <c r="D11413" s="183" t="s">
        <v>2678</v>
      </c>
      <c r="E11413" s="126">
        <v>109900</v>
      </c>
      <c r="F11413" s="126"/>
      <c r="G11413" s="126">
        <f t="shared" si="184"/>
        <v>-109900</v>
      </c>
      <c r="H11413" s="121" t="s">
        <v>7265</v>
      </c>
    </row>
    <row r="11414" spans="1:8" ht="15" x14ac:dyDescent="0.2">
      <c r="A11414" s="619">
        <v>44469</v>
      </c>
      <c r="B11414" s="63" t="s">
        <v>7067</v>
      </c>
      <c r="C11414" s="63" t="s">
        <v>2503</v>
      </c>
      <c r="D11414" s="183" t="s">
        <v>2678</v>
      </c>
      <c r="E11414" s="126">
        <v>212375</v>
      </c>
      <c r="F11414" s="126"/>
      <c r="G11414" s="126">
        <f t="shared" si="184"/>
        <v>-212375</v>
      </c>
      <c r="H11414" s="121" t="s">
        <v>7265</v>
      </c>
    </row>
    <row r="11415" spans="1:8" ht="15" x14ac:dyDescent="0.2">
      <c r="A11415" s="619">
        <v>44469</v>
      </c>
      <c r="B11415" s="63" t="s">
        <v>6511</v>
      </c>
      <c r="C11415" s="63" t="s">
        <v>2503</v>
      </c>
      <c r="D11415" s="183" t="s">
        <v>2678</v>
      </c>
      <c r="E11415" s="126">
        <v>38475</v>
      </c>
      <c r="F11415" s="126"/>
      <c r="G11415" s="126">
        <f t="shared" si="184"/>
        <v>-38475</v>
      </c>
      <c r="H11415" s="121" t="s">
        <v>7265</v>
      </c>
    </row>
    <row r="11416" spans="1:8" ht="15" x14ac:dyDescent="0.2">
      <c r="A11416" s="619">
        <v>44469</v>
      </c>
      <c r="B11416" s="63" t="s">
        <v>6518</v>
      </c>
      <c r="C11416" s="63" t="s">
        <v>2503</v>
      </c>
      <c r="D11416" s="183" t="s">
        <v>2678</v>
      </c>
      <c r="E11416" s="126">
        <v>45229.166666666664</v>
      </c>
      <c r="F11416" s="126"/>
      <c r="G11416" s="126">
        <f t="shared" si="184"/>
        <v>-45229.166666666664</v>
      </c>
      <c r="H11416" s="121" t="s">
        <v>7265</v>
      </c>
    </row>
    <row r="11417" spans="1:8" ht="15" x14ac:dyDescent="0.2">
      <c r="A11417" s="619">
        <v>44469</v>
      </c>
      <c r="B11417" s="63" t="s">
        <v>5811</v>
      </c>
      <c r="C11417" s="63" t="s">
        <v>2503</v>
      </c>
      <c r="D11417" s="183" t="s">
        <v>2678</v>
      </c>
      <c r="E11417" s="126">
        <v>43000</v>
      </c>
      <c r="F11417" s="126"/>
      <c r="G11417" s="126">
        <f t="shared" si="184"/>
        <v>-43000</v>
      </c>
      <c r="H11417" s="121" t="s">
        <v>7265</v>
      </c>
    </row>
    <row r="11418" spans="1:8" ht="15" x14ac:dyDescent="0.2">
      <c r="A11418" s="619">
        <v>44469</v>
      </c>
      <c r="B11418" s="63" t="s">
        <v>7555</v>
      </c>
      <c r="C11418" s="63" t="s">
        <v>2503</v>
      </c>
      <c r="D11418" s="183" t="s">
        <v>2678</v>
      </c>
      <c r="E11418" s="126">
        <v>46865</v>
      </c>
      <c r="F11418" s="126"/>
      <c r="G11418" s="126">
        <f t="shared" si="184"/>
        <v>-46865</v>
      </c>
      <c r="H11418" s="121" t="s">
        <v>7265</v>
      </c>
    </row>
    <row r="11419" spans="1:8" ht="15" x14ac:dyDescent="0.2">
      <c r="A11419" s="619">
        <v>44469</v>
      </c>
      <c r="B11419" s="63" t="s">
        <v>11</v>
      </c>
      <c r="C11419" s="63" t="s">
        <v>2503</v>
      </c>
      <c r="D11419" s="183" t="s">
        <v>7360</v>
      </c>
      <c r="E11419" s="126">
        <v>30000</v>
      </c>
      <c r="F11419" s="126"/>
      <c r="G11419" s="126">
        <f t="shared" si="184"/>
        <v>-30000</v>
      </c>
      <c r="H11419" s="121" t="s">
        <v>7265</v>
      </c>
    </row>
    <row r="11420" spans="1:8" ht="15" x14ac:dyDescent="0.2">
      <c r="A11420" s="620">
        <v>44454</v>
      </c>
      <c r="B11420" s="174" t="s">
        <v>7067</v>
      </c>
      <c r="C11420" s="174" t="s">
        <v>6761</v>
      </c>
      <c r="D11420" s="228" t="s">
        <v>7291</v>
      </c>
      <c r="E11420" s="236">
        <v>100000</v>
      </c>
      <c r="F11420" s="236"/>
      <c r="G11420" s="236">
        <f t="shared" si="184"/>
        <v>-100000</v>
      </c>
      <c r="H11420" s="244" t="s">
        <v>7265</v>
      </c>
    </row>
    <row r="11421" spans="1:8" ht="15" x14ac:dyDescent="0.2">
      <c r="A11421" s="620">
        <v>44455</v>
      </c>
      <c r="B11421" s="174" t="s">
        <v>1400</v>
      </c>
      <c r="C11421" s="174" t="s">
        <v>6624</v>
      </c>
      <c r="D11421" s="228" t="s">
        <v>7292</v>
      </c>
      <c r="E11421" s="236">
        <v>45000</v>
      </c>
      <c r="F11421" s="236"/>
      <c r="G11421" s="236">
        <f t="shared" si="184"/>
        <v>-45000</v>
      </c>
      <c r="H11421" s="244" t="s">
        <v>7265</v>
      </c>
    </row>
    <row r="11422" spans="1:8" ht="15" x14ac:dyDescent="0.2">
      <c r="A11422" s="620">
        <v>44455</v>
      </c>
      <c r="B11422" s="174" t="s">
        <v>7067</v>
      </c>
      <c r="C11422" s="174" t="s">
        <v>7223</v>
      </c>
      <c r="D11422" s="228" t="s">
        <v>7293</v>
      </c>
      <c r="E11422" s="236">
        <v>250000</v>
      </c>
      <c r="F11422" s="236"/>
      <c r="G11422" s="236">
        <f t="shared" si="184"/>
        <v>-250000</v>
      </c>
      <c r="H11422" s="244" t="s">
        <v>7265</v>
      </c>
    </row>
    <row r="11423" spans="1:8" ht="15" x14ac:dyDescent="0.2">
      <c r="A11423" s="620">
        <v>44455</v>
      </c>
      <c r="B11423" s="174" t="s">
        <v>6508</v>
      </c>
      <c r="C11423" s="174" t="s">
        <v>256</v>
      </c>
      <c r="D11423" s="228" t="s">
        <v>7294</v>
      </c>
      <c r="E11423" s="236">
        <v>250000</v>
      </c>
      <c r="F11423" s="236"/>
      <c r="G11423" s="236">
        <f t="shared" si="184"/>
        <v>-250000</v>
      </c>
      <c r="H11423" s="244" t="s">
        <v>7265</v>
      </c>
    </row>
    <row r="11424" spans="1:8" ht="15" x14ac:dyDescent="0.2">
      <c r="A11424" s="620">
        <v>44456</v>
      </c>
      <c r="B11424" s="174" t="s">
        <v>6511</v>
      </c>
      <c r="C11424" s="551" t="s">
        <v>3033</v>
      </c>
      <c r="D11424" s="740" t="s">
        <v>7297</v>
      </c>
      <c r="E11424" s="552">
        <v>21000</v>
      </c>
      <c r="F11424" s="236"/>
      <c r="G11424" s="236">
        <f t="shared" si="184"/>
        <v>-21000</v>
      </c>
      <c r="H11424" s="244" t="s">
        <v>7265</v>
      </c>
    </row>
    <row r="11425" spans="1:8" ht="15" x14ac:dyDescent="0.2">
      <c r="A11425" s="620">
        <v>44456</v>
      </c>
      <c r="B11425" s="174" t="s">
        <v>6953</v>
      </c>
      <c r="C11425" s="551" t="s">
        <v>3033</v>
      </c>
      <c r="D11425" s="740" t="s">
        <v>6789</v>
      </c>
      <c r="E11425" s="552">
        <v>4000</v>
      </c>
      <c r="F11425" s="236"/>
      <c r="G11425" s="236">
        <f t="shared" si="184"/>
        <v>-4000</v>
      </c>
      <c r="H11425" s="244" t="s">
        <v>7265</v>
      </c>
    </row>
    <row r="11426" spans="1:8" ht="15" x14ac:dyDescent="0.2">
      <c r="A11426" s="620">
        <v>44456</v>
      </c>
      <c r="B11426" s="174" t="s">
        <v>7067</v>
      </c>
      <c r="C11426" s="174" t="s">
        <v>6784</v>
      </c>
      <c r="D11426" s="228" t="s">
        <v>7298</v>
      </c>
      <c r="E11426" s="236">
        <v>100000</v>
      </c>
      <c r="F11426" s="236"/>
      <c r="G11426" s="236">
        <f t="shared" si="184"/>
        <v>-100000</v>
      </c>
      <c r="H11426" s="244" t="s">
        <v>7265</v>
      </c>
    </row>
    <row r="11427" spans="1:8" ht="15" x14ac:dyDescent="0.2">
      <c r="A11427" s="620">
        <v>44456</v>
      </c>
      <c r="B11427" s="174" t="s">
        <v>7067</v>
      </c>
      <c r="C11427" s="174" t="s">
        <v>6784</v>
      </c>
      <c r="D11427" s="228" t="s">
        <v>7299</v>
      </c>
      <c r="E11427" s="236">
        <v>50000</v>
      </c>
      <c r="F11427" s="236"/>
      <c r="G11427" s="236">
        <f t="shared" si="184"/>
        <v>-50000</v>
      </c>
      <c r="H11427" s="244" t="s">
        <v>7265</v>
      </c>
    </row>
    <row r="11428" spans="1:8" ht="36" x14ac:dyDescent="0.2">
      <c r="A11428" s="620">
        <v>44456</v>
      </c>
      <c r="B11428" s="174" t="s">
        <v>6953</v>
      </c>
      <c r="C11428" s="551" t="s">
        <v>1355</v>
      </c>
      <c r="D11428" s="740" t="s">
        <v>7302</v>
      </c>
      <c r="E11428" s="552">
        <v>142290</v>
      </c>
      <c r="F11428" s="236"/>
      <c r="G11428" s="236">
        <f t="shared" si="184"/>
        <v>-142290</v>
      </c>
      <c r="H11428" s="244" t="s">
        <v>7265</v>
      </c>
    </row>
    <row r="11429" spans="1:8" ht="15" x14ac:dyDescent="0.2">
      <c r="A11429" s="620">
        <v>44456</v>
      </c>
      <c r="B11429" s="174" t="s">
        <v>6511</v>
      </c>
      <c r="C11429" s="551" t="s">
        <v>1355</v>
      </c>
      <c r="D11429" s="740" t="s">
        <v>6789</v>
      </c>
      <c r="E11429" s="552">
        <v>137800</v>
      </c>
      <c r="F11429" s="236"/>
      <c r="G11429" s="236">
        <f t="shared" si="184"/>
        <v>-137800</v>
      </c>
      <c r="H11429" s="244" t="s">
        <v>7265</v>
      </c>
    </row>
    <row r="11430" spans="1:8" ht="15" x14ac:dyDescent="0.2">
      <c r="A11430" s="620">
        <v>44456</v>
      </c>
      <c r="B11430" s="174" t="s">
        <v>7067</v>
      </c>
      <c r="C11430" s="551" t="s">
        <v>1355</v>
      </c>
      <c r="D11430" s="740" t="s">
        <v>6789</v>
      </c>
      <c r="E11430" s="552">
        <v>29791</v>
      </c>
      <c r="F11430" s="236"/>
      <c r="G11430" s="236">
        <f t="shared" si="184"/>
        <v>-29791</v>
      </c>
      <c r="H11430" s="244" t="s">
        <v>7265</v>
      </c>
    </row>
    <row r="11431" spans="1:8" ht="15" x14ac:dyDescent="0.2">
      <c r="A11431" s="620">
        <v>44456</v>
      </c>
      <c r="B11431" s="174" t="s">
        <v>6408</v>
      </c>
      <c r="C11431" s="551" t="s">
        <v>1355</v>
      </c>
      <c r="D11431" s="740" t="s">
        <v>6789</v>
      </c>
      <c r="E11431" s="552">
        <v>87105</v>
      </c>
      <c r="F11431" s="236"/>
      <c r="G11431" s="236">
        <f t="shared" si="184"/>
        <v>-87105</v>
      </c>
      <c r="H11431" s="244" t="s">
        <v>7265</v>
      </c>
    </row>
    <row r="11432" spans="1:8" ht="15" x14ac:dyDescent="0.2">
      <c r="A11432" s="620">
        <v>44456</v>
      </c>
      <c r="B11432" s="174" t="s">
        <v>1400</v>
      </c>
      <c r="C11432" s="551" t="s">
        <v>1355</v>
      </c>
      <c r="D11432" s="740" t="s">
        <v>6789</v>
      </c>
      <c r="E11432" s="552">
        <v>3014</v>
      </c>
      <c r="F11432" s="236"/>
      <c r="G11432" s="236">
        <f t="shared" si="184"/>
        <v>-3014</v>
      </c>
      <c r="H11432" s="244" t="s">
        <v>7265</v>
      </c>
    </row>
    <row r="11433" spans="1:8" ht="15" x14ac:dyDescent="0.2">
      <c r="A11433" s="620">
        <v>44456</v>
      </c>
      <c r="B11433" s="174" t="s">
        <v>7112</v>
      </c>
      <c r="C11433" s="174" t="s">
        <v>6653</v>
      </c>
      <c r="D11433" s="228" t="s">
        <v>7309</v>
      </c>
      <c r="E11433" s="236">
        <v>400000</v>
      </c>
      <c r="F11433" s="236"/>
      <c r="G11433" s="236">
        <f t="shared" si="184"/>
        <v>-400000</v>
      </c>
      <c r="H11433" s="244" t="s">
        <v>7265</v>
      </c>
    </row>
    <row r="11434" spans="1:8" ht="15" x14ac:dyDescent="0.2">
      <c r="A11434" s="620">
        <v>44457</v>
      </c>
      <c r="B11434" s="174" t="s">
        <v>1400</v>
      </c>
      <c r="C11434" s="174" t="s">
        <v>2264</v>
      </c>
      <c r="D11434" s="228" t="s">
        <v>7318</v>
      </c>
      <c r="E11434" s="236">
        <v>100000</v>
      </c>
      <c r="F11434" s="236"/>
      <c r="G11434" s="236">
        <f t="shared" si="184"/>
        <v>-100000</v>
      </c>
      <c r="H11434" s="244" t="s">
        <v>7265</v>
      </c>
    </row>
    <row r="11435" spans="1:8" ht="15" x14ac:dyDescent="0.2">
      <c r="A11435" s="620">
        <v>44460</v>
      </c>
      <c r="B11435" s="174" t="s">
        <v>7112</v>
      </c>
      <c r="C11435" s="551" t="s">
        <v>166</v>
      </c>
      <c r="D11435" s="740" t="s">
        <v>7314</v>
      </c>
      <c r="E11435" s="552">
        <v>46800</v>
      </c>
      <c r="F11435" s="236"/>
      <c r="G11435" s="236">
        <f t="shared" si="184"/>
        <v>-46800</v>
      </c>
      <c r="H11435" s="244" t="s">
        <v>7265</v>
      </c>
    </row>
    <row r="11436" spans="1:8" ht="15" x14ac:dyDescent="0.2">
      <c r="A11436" s="620">
        <v>44460</v>
      </c>
      <c r="B11436" s="174" t="s">
        <v>6953</v>
      </c>
      <c r="C11436" s="551" t="s">
        <v>166</v>
      </c>
      <c r="D11436" s="740" t="s">
        <v>6789</v>
      </c>
      <c r="E11436" s="552">
        <v>123680</v>
      </c>
      <c r="F11436" s="236"/>
      <c r="G11436" s="236">
        <f t="shared" si="184"/>
        <v>-123680</v>
      </c>
      <c r="H11436" s="244" t="s">
        <v>7265</v>
      </c>
    </row>
    <row r="11437" spans="1:8" ht="15" x14ac:dyDescent="0.2">
      <c r="A11437" s="620">
        <v>44460</v>
      </c>
      <c r="B11437" s="174" t="s">
        <v>6408</v>
      </c>
      <c r="C11437" s="551" t="s">
        <v>166</v>
      </c>
      <c r="D11437" s="740" t="s">
        <v>6789</v>
      </c>
      <c r="E11437" s="552">
        <v>13600</v>
      </c>
      <c r="F11437" s="236"/>
      <c r="G11437" s="236">
        <f t="shared" si="184"/>
        <v>-13600</v>
      </c>
      <c r="H11437" s="244" t="s">
        <v>7265</v>
      </c>
    </row>
    <row r="11438" spans="1:8" ht="15" x14ac:dyDescent="0.2">
      <c r="A11438" s="620">
        <v>44460</v>
      </c>
      <c r="B11438" s="174" t="s">
        <v>6511</v>
      </c>
      <c r="C11438" s="551" t="s">
        <v>166</v>
      </c>
      <c r="D11438" s="740" t="s">
        <v>6789</v>
      </c>
      <c r="E11438" s="552">
        <v>6755</v>
      </c>
      <c r="F11438" s="236"/>
      <c r="G11438" s="236">
        <f t="shared" si="184"/>
        <v>-6755</v>
      </c>
      <c r="H11438" s="244" t="s">
        <v>7265</v>
      </c>
    </row>
    <row r="11439" spans="1:8" ht="15" x14ac:dyDescent="0.2">
      <c r="A11439" s="620">
        <v>44460</v>
      </c>
      <c r="B11439" s="174" t="s">
        <v>1400</v>
      </c>
      <c r="C11439" s="551" t="s">
        <v>166</v>
      </c>
      <c r="D11439" s="740" t="s">
        <v>6789</v>
      </c>
      <c r="E11439" s="552">
        <v>9165</v>
      </c>
      <c r="F11439" s="236"/>
      <c r="G11439" s="236">
        <f t="shared" si="184"/>
        <v>-9165</v>
      </c>
      <c r="H11439" s="244" t="s">
        <v>7265</v>
      </c>
    </row>
    <row r="11440" spans="1:8" ht="15" x14ac:dyDescent="0.2">
      <c r="A11440" s="620">
        <v>44464</v>
      </c>
      <c r="B11440" s="174" t="s">
        <v>7126</v>
      </c>
      <c r="C11440" s="174" t="s">
        <v>6763</v>
      </c>
      <c r="D11440" s="228" t="s">
        <v>7317</v>
      </c>
      <c r="E11440" s="236">
        <v>85000</v>
      </c>
      <c r="F11440" s="236"/>
      <c r="G11440" s="236">
        <f t="shared" si="184"/>
        <v>-85000</v>
      </c>
      <c r="H11440" s="244" t="s">
        <v>7265</v>
      </c>
    </row>
    <row r="11441" spans="1:8" ht="24" customHeight="1" x14ac:dyDescent="0.2">
      <c r="A11441" s="618">
        <v>44450</v>
      </c>
      <c r="B11441" s="94" t="s">
        <v>6511</v>
      </c>
      <c r="C11441" s="94" t="s">
        <v>559</v>
      </c>
      <c r="D11441" s="802" t="s">
        <v>7267</v>
      </c>
      <c r="E11441" s="176"/>
      <c r="F11441" s="176">
        <v>500000</v>
      </c>
      <c r="G11441" s="176">
        <f t="shared" si="184"/>
        <v>500000</v>
      </c>
      <c r="H11441" s="261" t="s">
        <v>7265</v>
      </c>
    </row>
    <row r="11442" spans="1:8" ht="15" x14ac:dyDescent="0.2">
      <c r="A11442" s="618">
        <v>44454</v>
      </c>
      <c r="B11442" s="91" t="s">
        <v>14</v>
      </c>
      <c r="C11442" s="94" t="s">
        <v>559</v>
      </c>
      <c r="D11442" s="801" t="s">
        <v>7295</v>
      </c>
      <c r="E11442" s="92"/>
      <c r="F11442" s="92">
        <v>85000</v>
      </c>
      <c r="G11442" s="176">
        <f t="shared" si="184"/>
        <v>85000</v>
      </c>
      <c r="H11442" s="261" t="s">
        <v>7265</v>
      </c>
    </row>
    <row r="11443" spans="1:8" ht="24" x14ac:dyDescent="0.2">
      <c r="A11443" s="618">
        <v>44456</v>
      </c>
      <c r="B11443" s="94" t="s">
        <v>6511</v>
      </c>
      <c r="C11443" s="94" t="s">
        <v>559</v>
      </c>
      <c r="D11443" s="802" t="s">
        <v>7296</v>
      </c>
      <c r="E11443" s="176"/>
      <c r="F11443" s="176">
        <v>400000</v>
      </c>
      <c r="G11443" s="176">
        <f t="shared" si="184"/>
        <v>400000</v>
      </c>
      <c r="H11443" s="261" t="s">
        <v>7265</v>
      </c>
    </row>
    <row r="11444" spans="1:8" ht="24" x14ac:dyDescent="0.2">
      <c r="A11444" s="618">
        <v>44460</v>
      </c>
      <c r="B11444" s="94" t="s">
        <v>6511</v>
      </c>
      <c r="C11444" s="94" t="s">
        <v>559</v>
      </c>
      <c r="D11444" s="802" t="s">
        <v>7312</v>
      </c>
      <c r="E11444" s="176"/>
      <c r="F11444" s="176">
        <v>424000</v>
      </c>
      <c r="G11444" s="176">
        <f t="shared" si="184"/>
        <v>424000</v>
      </c>
      <c r="H11444" s="261" t="s">
        <v>7265</v>
      </c>
    </row>
    <row r="11445" spans="1:8" ht="24" x14ac:dyDescent="0.2">
      <c r="A11445" s="618">
        <v>44460</v>
      </c>
      <c r="B11445" s="94" t="s">
        <v>6511</v>
      </c>
      <c r="C11445" s="94" t="s">
        <v>559</v>
      </c>
      <c r="D11445" s="802" t="s">
        <v>7313</v>
      </c>
      <c r="E11445" s="176"/>
      <c r="F11445" s="176">
        <v>200000</v>
      </c>
      <c r="G11445" s="176">
        <f t="shared" si="184"/>
        <v>200000</v>
      </c>
      <c r="H11445" s="261" t="s">
        <v>7265</v>
      </c>
    </row>
    <row r="11446" spans="1:8" ht="15" x14ac:dyDescent="0.2">
      <c r="A11446" s="618">
        <v>44463</v>
      </c>
      <c r="B11446" s="94" t="s">
        <v>6953</v>
      </c>
      <c r="C11446" s="94" t="s">
        <v>559</v>
      </c>
      <c r="D11446" s="892" t="s">
        <v>7526</v>
      </c>
      <c r="E11446" s="176"/>
      <c r="F11446" s="176">
        <v>1000000</v>
      </c>
      <c r="G11446" s="176">
        <f t="shared" si="184"/>
        <v>1000000</v>
      </c>
      <c r="H11446" s="261" t="s">
        <v>7265</v>
      </c>
    </row>
    <row r="11447" spans="1:8" ht="15" x14ac:dyDescent="0.2">
      <c r="A11447" s="619">
        <v>44471</v>
      </c>
      <c r="B11447" s="63" t="s">
        <v>7112</v>
      </c>
      <c r="C11447" s="63" t="s">
        <v>2503</v>
      </c>
      <c r="D11447" s="791"/>
      <c r="E11447" s="126">
        <v>25000</v>
      </c>
      <c r="F11447" s="126"/>
      <c r="G11447" s="126">
        <f t="shared" si="184"/>
        <v>-25000</v>
      </c>
      <c r="H11447" s="121" t="s">
        <v>7347</v>
      </c>
    </row>
    <row r="11448" spans="1:8" ht="15" x14ac:dyDescent="0.2">
      <c r="A11448" s="619">
        <v>44471</v>
      </c>
      <c r="B11448" s="63" t="s">
        <v>6953</v>
      </c>
      <c r="C11448" s="63" t="s">
        <v>2503</v>
      </c>
      <c r="D11448" s="791"/>
      <c r="E11448" s="126">
        <v>25000</v>
      </c>
      <c r="F11448" s="126"/>
      <c r="G11448" s="126">
        <f t="shared" si="184"/>
        <v>-25000</v>
      </c>
      <c r="H11448" s="121" t="s">
        <v>7347</v>
      </c>
    </row>
    <row r="11449" spans="1:8" ht="15" x14ac:dyDescent="0.2">
      <c r="A11449" s="619">
        <v>44471</v>
      </c>
      <c r="B11449" s="63" t="s">
        <v>1400</v>
      </c>
      <c r="C11449" s="63" t="s">
        <v>2503</v>
      </c>
      <c r="D11449" s="791"/>
      <c r="E11449" s="126">
        <v>25000</v>
      </c>
      <c r="F11449" s="126"/>
      <c r="G11449" s="126">
        <f t="shared" si="184"/>
        <v>-25000</v>
      </c>
      <c r="H11449" s="121" t="s">
        <v>7347</v>
      </c>
    </row>
    <row r="11450" spans="1:8" ht="15" x14ac:dyDescent="0.2">
      <c r="A11450" s="619">
        <v>44471</v>
      </c>
      <c r="B11450" s="63" t="s">
        <v>7067</v>
      </c>
      <c r="C11450" s="63" t="s">
        <v>2503</v>
      </c>
      <c r="D11450" s="791"/>
      <c r="E11450" s="126">
        <v>25000</v>
      </c>
      <c r="F11450" s="126"/>
      <c r="G11450" s="126">
        <f t="shared" si="184"/>
        <v>-25000</v>
      </c>
      <c r="H11450" s="121" t="s">
        <v>7347</v>
      </c>
    </row>
    <row r="11451" spans="1:8" ht="15" x14ac:dyDescent="0.2">
      <c r="A11451" s="619">
        <v>44471</v>
      </c>
      <c r="B11451" s="63" t="s">
        <v>25</v>
      </c>
      <c r="C11451" s="63" t="s">
        <v>2503</v>
      </c>
      <c r="D11451" s="791"/>
      <c r="E11451" s="126">
        <v>60000</v>
      </c>
      <c r="F11451" s="126"/>
      <c r="G11451" s="126">
        <f t="shared" si="184"/>
        <v>-60000</v>
      </c>
      <c r="H11451" s="121" t="s">
        <v>7347</v>
      </c>
    </row>
    <row r="11452" spans="1:8" ht="15" x14ac:dyDescent="0.2">
      <c r="A11452" s="619">
        <v>44471</v>
      </c>
      <c r="B11452" s="63" t="s">
        <v>16</v>
      </c>
      <c r="C11452" s="63" t="s">
        <v>2503</v>
      </c>
      <c r="D11452" s="791"/>
      <c r="E11452" s="126">
        <v>90500</v>
      </c>
      <c r="F11452" s="126"/>
      <c r="G11452" s="126">
        <f t="shared" si="184"/>
        <v>-90500</v>
      </c>
      <c r="H11452" s="121" t="s">
        <v>7347</v>
      </c>
    </row>
    <row r="11453" spans="1:8" ht="15" x14ac:dyDescent="0.2">
      <c r="A11453" s="619">
        <v>44471</v>
      </c>
      <c r="B11453" s="63" t="s">
        <v>3945</v>
      </c>
      <c r="C11453" s="63" t="s">
        <v>2503</v>
      </c>
      <c r="D11453" s="791"/>
      <c r="E11453" s="126">
        <v>58354.838709677417</v>
      </c>
      <c r="F11453" s="126"/>
      <c r="G11453" s="126">
        <f t="shared" si="184"/>
        <v>-58354.838709677417</v>
      </c>
      <c r="H11453" s="121" t="s">
        <v>7347</v>
      </c>
    </row>
    <row r="11454" spans="1:8" ht="15" x14ac:dyDescent="0.2">
      <c r="A11454" s="619">
        <v>44471</v>
      </c>
      <c r="B11454" s="63" t="s">
        <v>3946</v>
      </c>
      <c r="C11454" s="63" t="s">
        <v>2503</v>
      </c>
      <c r="D11454" s="791"/>
      <c r="E11454" s="126">
        <v>104403.22580645162</v>
      </c>
      <c r="F11454" s="126"/>
      <c r="G11454" s="126">
        <f t="shared" si="184"/>
        <v>-104403.22580645162</v>
      </c>
      <c r="H11454" s="121" t="s">
        <v>7347</v>
      </c>
    </row>
    <row r="11455" spans="1:8" ht="15" x14ac:dyDescent="0.2">
      <c r="A11455" s="619">
        <v>44471</v>
      </c>
      <c r="B11455" s="63" t="s">
        <v>1400</v>
      </c>
      <c r="C11455" s="63" t="s">
        <v>2503</v>
      </c>
      <c r="D11455" s="791"/>
      <c r="E11455" s="126">
        <v>139354.83870967742</v>
      </c>
      <c r="F11455" s="126"/>
      <c r="G11455" s="126">
        <f t="shared" si="184"/>
        <v>-139354.83870967742</v>
      </c>
      <c r="H11455" s="121" t="s">
        <v>7347</v>
      </c>
    </row>
    <row r="11456" spans="1:8" ht="15" x14ac:dyDescent="0.2">
      <c r="A11456" s="619">
        <v>44471</v>
      </c>
      <c r="B11456" s="63" t="s">
        <v>37</v>
      </c>
      <c r="C11456" s="63" t="s">
        <v>2503</v>
      </c>
      <c r="D11456" s="791"/>
      <c r="E11456" s="126">
        <v>102782.25806451612</v>
      </c>
      <c r="F11456" s="126"/>
      <c r="G11456" s="126">
        <f t="shared" si="184"/>
        <v>-102782.25806451612</v>
      </c>
      <c r="H11456" s="121" t="s">
        <v>7347</v>
      </c>
    </row>
    <row r="11457" spans="1:8" ht="15" x14ac:dyDescent="0.2">
      <c r="A11457" s="619">
        <v>44471</v>
      </c>
      <c r="B11457" s="63" t="s">
        <v>2933</v>
      </c>
      <c r="C11457" s="63" t="s">
        <v>2503</v>
      </c>
      <c r="D11457" s="791"/>
      <c r="E11457" s="126">
        <v>82500</v>
      </c>
      <c r="F11457" s="126"/>
      <c r="G11457" s="126">
        <f t="shared" si="184"/>
        <v>-82500</v>
      </c>
      <c r="H11457" s="121" t="s">
        <v>7347</v>
      </c>
    </row>
    <row r="11458" spans="1:8" ht="15" x14ac:dyDescent="0.2">
      <c r="A11458" s="619">
        <v>44471</v>
      </c>
      <c r="B11458" s="63" t="s">
        <v>7067</v>
      </c>
      <c r="C11458" s="63" t="s">
        <v>2503</v>
      </c>
      <c r="D11458" s="791"/>
      <c r="E11458" s="126">
        <v>163004</v>
      </c>
      <c r="F11458" s="126"/>
      <c r="G11458" s="126">
        <f t="shared" si="184"/>
        <v>-163004</v>
      </c>
      <c r="H11458" s="121" t="s">
        <v>7347</v>
      </c>
    </row>
    <row r="11459" spans="1:8" ht="15" x14ac:dyDescent="0.2">
      <c r="A11459" s="619">
        <v>44471</v>
      </c>
      <c r="B11459" s="63" t="s">
        <v>5811</v>
      </c>
      <c r="C11459" s="63" t="s">
        <v>2503</v>
      </c>
      <c r="D11459" s="791"/>
      <c r="E11459" s="126">
        <v>37544</v>
      </c>
      <c r="F11459" s="126"/>
      <c r="G11459" s="126">
        <f t="shared" si="184"/>
        <v>-37544</v>
      </c>
      <c r="H11459" s="121" t="s">
        <v>7347</v>
      </c>
    </row>
    <row r="11460" spans="1:8" ht="15" x14ac:dyDescent="0.2">
      <c r="A11460" s="619">
        <v>44471</v>
      </c>
      <c r="B11460" s="63" t="s">
        <v>7126</v>
      </c>
      <c r="C11460" s="63" t="s">
        <v>2503</v>
      </c>
      <c r="D11460" s="791"/>
      <c r="E11460" s="126">
        <v>63615</v>
      </c>
      <c r="F11460" s="126"/>
      <c r="G11460" s="126">
        <f t="shared" si="184"/>
        <v>-63615</v>
      </c>
      <c r="H11460" s="121" t="s">
        <v>7347</v>
      </c>
    </row>
    <row r="11461" spans="1:8" ht="15" x14ac:dyDescent="0.2">
      <c r="A11461" s="619">
        <v>44471</v>
      </c>
      <c r="B11461" s="63" t="s">
        <v>6518</v>
      </c>
      <c r="C11461" s="63" t="s">
        <v>2503</v>
      </c>
      <c r="D11461" s="791"/>
      <c r="E11461" s="126">
        <v>48911</v>
      </c>
      <c r="F11461" s="126"/>
      <c r="G11461" s="126">
        <f t="shared" ref="G11461:G11524" si="185">F11461-E11461</f>
        <v>-48911</v>
      </c>
      <c r="H11461" s="121" t="s">
        <v>7347</v>
      </c>
    </row>
    <row r="11462" spans="1:8" ht="15" x14ac:dyDescent="0.2">
      <c r="A11462" s="619">
        <v>44471</v>
      </c>
      <c r="B11462" s="63" t="s">
        <v>7112</v>
      </c>
      <c r="C11462" s="63" t="s">
        <v>2503</v>
      </c>
      <c r="D11462" s="791"/>
      <c r="E11462" s="126">
        <v>55761</v>
      </c>
      <c r="F11462" s="126"/>
      <c r="G11462" s="126">
        <f t="shared" si="185"/>
        <v>-55761</v>
      </c>
      <c r="H11462" s="121" t="s">
        <v>7347</v>
      </c>
    </row>
    <row r="11463" spans="1:8" ht="15" x14ac:dyDescent="0.2">
      <c r="A11463" s="619">
        <v>44471</v>
      </c>
      <c r="B11463" s="63" t="s">
        <v>7067</v>
      </c>
      <c r="C11463" s="63" t="s">
        <v>2190</v>
      </c>
      <c r="D11463" s="791"/>
      <c r="E11463" s="126">
        <v>1350</v>
      </c>
      <c r="F11463" s="126"/>
      <c r="G11463" s="126">
        <f t="shared" si="185"/>
        <v>-1350</v>
      </c>
      <c r="H11463" s="121" t="s">
        <v>7347</v>
      </c>
    </row>
    <row r="11464" spans="1:8" ht="15" x14ac:dyDescent="0.2">
      <c r="A11464" s="619">
        <v>44471</v>
      </c>
      <c r="B11464" s="63" t="s">
        <v>1400</v>
      </c>
      <c r="C11464" s="63" t="s">
        <v>3145</v>
      </c>
      <c r="D11464" s="791" t="s">
        <v>4450</v>
      </c>
      <c r="E11464" s="126">
        <v>21230</v>
      </c>
      <c r="F11464" s="126"/>
      <c r="G11464" s="126">
        <f t="shared" si="185"/>
        <v>-21230</v>
      </c>
      <c r="H11464" s="121" t="s">
        <v>7347</v>
      </c>
    </row>
    <row r="11465" spans="1:8" ht="15" x14ac:dyDescent="0.2">
      <c r="A11465" s="619">
        <v>44471</v>
      </c>
      <c r="B11465" s="63" t="s">
        <v>6508</v>
      </c>
      <c r="C11465" s="63" t="s">
        <v>392</v>
      </c>
      <c r="D11465" s="791" t="s">
        <v>600</v>
      </c>
      <c r="E11465" s="126">
        <v>450</v>
      </c>
      <c r="F11465" s="126"/>
      <c r="G11465" s="126">
        <f t="shared" si="185"/>
        <v>-450</v>
      </c>
      <c r="H11465" s="121" t="s">
        <v>7347</v>
      </c>
    </row>
    <row r="11466" spans="1:8" ht="15" x14ac:dyDescent="0.2">
      <c r="A11466" s="619">
        <v>44471</v>
      </c>
      <c r="B11466" s="63" t="s">
        <v>3946</v>
      </c>
      <c r="C11466" s="63" t="s">
        <v>6476</v>
      </c>
      <c r="D11466" s="791" t="s">
        <v>7351</v>
      </c>
      <c r="E11466" s="126">
        <f>40000+15000</f>
        <v>55000</v>
      </c>
      <c r="F11466" s="126"/>
      <c r="G11466" s="126">
        <f t="shared" si="185"/>
        <v>-55000</v>
      </c>
      <c r="H11466" s="121" t="s">
        <v>7347</v>
      </c>
    </row>
    <row r="11467" spans="1:8" ht="15" x14ac:dyDescent="0.2">
      <c r="A11467" s="619">
        <v>44473</v>
      </c>
      <c r="B11467" s="63" t="s">
        <v>6758</v>
      </c>
      <c r="C11467" s="63" t="s">
        <v>2503</v>
      </c>
      <c r="D11467" s="791" t="s">
        <v>7352</v>
      </c>
      <c r="E11467" s="126">
        <v>13500</v>
      </c>
      <c r="F11467" s="126"/>
      <c r="G11467" s="126">
        <f t="shared" si="185"/>
        <v>-13500</v>
      </c>
      <c r="H11467" s="121" t="s">
        <v>7347</v>
      </c>
    </row>
    <row r="11468" spans="1:8" ht="15" x14ac:dyDescent="0.2">
      <c r="A11468" s="619">
        <v>44473</v>
      </c>
      <c r="B11468" s="63" t="s">
        <v>7112</v>
      </c>
      <c r="C11468" s="63" t="s">
        <v>2555</v>
      </c>
      <c r="D11468" s="791" t="s">
        <v>7353</v>
      </c>
      <c r="E11468" s="126">
        <v>13500</v>
      </c>
      <c r="F11468" s="126"/>
      <c r="G11468" s="126">
        <f t="shared" si="185"/>
        <v>-13500</v>
      </c>
      <c r="H11468" s="121" t="s">
        <v>7347</v>
      </c>
    </row>
    <row r="11469" spans="1:8" ht="15" x14ac:dyDescent="0.2">
      <c r="A11469" s="619">
        <v>44473</v>
      </c>
      <c r="B11469" s="63" t="s">
        <v>7112</v>
      </c>
      <c r="C11469" s="63" t="s">
        <v>1509</v>
      </c>
      <c r="D11469" s="791" t="s">
        <v>7354</v>
      </c>
      <c r="E11469" s="126">
        <v>20000</v>
      </c>
      <c r="F11469" s="126"/>
      <c r="G11469" s="126">
        <f t="shared" si="185"/>
        <v>-20000</v>
      </c>
      <c r="H11469" s="121" t="s">
        <v>7347</v>
      </c>
    </row>
    <row r="11470" spans="1:8" ht="24" x14ac:dyDescent="0.2">
      <c r="A11470" s="619">
        <v>44473</v>
      </c>
      <c r="B11470" s="63" t="s">
        <v>7067</v>
      </c>
      <c r="C11470" s="63" t="s">
        <v>3145</v>
      </c>
      <c r="D11470" s="183" t="s">
        <v>7355</v>
      </c>
      <c r="E11470" s="126">
        <v>47130</v>
      </c>
      <c r="F11470" s="126"/>
      <c r="G11470" s="126">
        <f t="shared" si="185"/>
        <v>-47130</v>
      </c>
      <c r="H11470" s="121" t="s">
        <v>7347</v>
      </c>
    </row>
    <row r="11471" spans="1:8" ht="15" x14ac:dyDescent="0.2">
      <c r="A11471" s="619">
        <v>44473</v>
      </c>
      <c r="B11471" s="63" t="s">
        <v>16</v>
      </c>
      <c r="C11471" s="63" t="s">
        <v>1495</v>
      </c>
      <c r="D11471" s="791"/>
      <c r="E11471" s="126">
        <v>900</v>
      </c>
      <c r="F11471" s="126"/>
      <c r="G11471" s="126">
        <f t="shared" si="185"/>
        <v>-900</v>
      </c>
      <c r="H11471" s="121" t="s">
        <v>7347</v>
      </c>
    </row>
    <row r="11472" spans="1:8" ht="15" x14ac:dyDescent="0.2">
      <c r="A11472" s="619">
        <v>44473</v>
      </c>
      <c r="B11472" s="63" t="s">
        <v>16</v>
      </c>
      <c r="C11472" s="63" t="s">
        <v>3364</v>
      </c>
      <c r="D11472" s="791"/>
      <c r="E11472" s="126">
        <v>4089</v>
      </c>
      <c r="F11472" s="126"/>
      <c r="G11472" s="126">
        <f t="shared" si="185"/>
        <v>-4089</v>
      </c>
      <c r="H11472" s="121" t="s">
        <v>7347</v>
      </c>
    </row>
    <row r="11473" spans="1:8" ht="15" x14ac:dyDescent="0.2">
      <c r="A11473" s="619">
        <v>44473</v>
      </c>
      <c r="B11473" s="63" t="s">
        <v>6508</v>
      </c>
      <c r="C11473" s="63" t="s">
        <v>5741</v>
      </c>
      <c r="D11473" s="791"/>
      <c r="E11473" s="126">
        <v>1000</v>
      </c>
      <c r="F11473" s="126"/>
      <c r="G11473" s="126">
        <f t="shared" si="185"/>
        <v>-1000</v>
      </c>
      <c r="H11473" s="121" t="s">
        <v>7347</v>
      </c>
    </row>
    <row r="11474" spans="1:8" ht="15" x14ac:dyDescent="0.2">
      <c r="A11474" s="619">
        <v>44473</v>
      </c>
      <c r="B11474" s="63" t="s">
        <v>1400</v>
      </c>
      <c r="C11474" s="63" t="s">
        <v>6624</v>
      </c>
      <c r="D11474" s="791" t="s">
        <v>4436</v>
      </c>
      <c r="E11474" s="126">
        <v>39000</v>
      </c>
      <c r="F11474" s="126"/>
      <c r="G11474" s="126">
        <f t="shared" si="185"/>
        <v>-39000</v>
      </c>
      <c r="H11474" s="121" t="s">
        <v>7347</v>
      </c>
    </row>
    <row r="11475" spans="1:8" ht="15" x14ac:dyDescent="0.2">
      <c r="A11475" s="619">
        <v>44474</v>
      </c>
      <c r="B11475" s="63" t="s">
        <v>37</v>
      </c>
      <c r="C11475" s="63" t="s">
        <v>392</v>
      </c>
      <c r="D11475" s="791" t="s">
        <v>7107</v>
      </c>
      <c r="E11475" s="126">
        <v>2000</v>
      </c>
      <c r="F11475" s="126"/>
      <c r="G11475" s="126">
        <f t="shared" si="185"/>
        <v>-2000</v>
      </c>
      <c r="H11475" s="121" t="s">
        <v>7347</v>
      </c>
    </row>
    <row r="11476" spans="1:8" ht="15" x14ac:dyDescent="0.2">
      <c r="A11476" s="619">
        <v>44474</v>
      </c>
      <c r="B11476" s="63" t="s">
        <v>7067</v>
      </c>
      <c r="C11476" s="63" t="s">
        <v>3145</v>
      </c>
      <c r="D11476" s="791" t="s">
        <v>7356</v>
      </c>
      <c r="E11476" s="126">
        <v>51450</v>
      </c>
      <c r="F11476" s="126"/>
      <c r="G11476" s="126">
        <f t="shared" si="185"/>
        <v>-51450</v>
      </c>
      <c r="H11476" s="121" t="s">
        <v>7347</v>
      </c>
    </row>
    <row r="11477" spans="1:8" ht="15" x14ac:dyDescent="0.2">
      <c r="A11477" s="619">
        <v>44476</v>
      </c>
      <c r="B11477" s="63" t="s">
        <v>7067</v>
      </c>
      <c r="C11477" s="63" t="s">
        <v>5652</v>
      </c>
      <c r="D11477" s="791" t="s">
        <v>7368</v>
      </c>
      <c r="E11477" s="126">
        <v>16160</v>
      </c>
      <c r="F11477" s="126"/>
      <c r="G11477" s="126">
        <f t="shared" si="185"/>
        <v>-16160</v>
      </c>
      <c r="H11477" s="121" t="s">
        <v>7347</v>
      </c>
    </row>
    <row r="11478" spans="1:8" ht="15" x14ac:dyDescent="0.2">
      <c r="A11478" s="619">
        <v>44476</v>
      </c>
      <c r="B11478" s="63" t="s">
        <v>16</v>
      </c>
      <c r="C11478" s="63" t="s">
        <v>5341</v>
      </c>
      <c r="D11478" s="791" t="s">
        <v>6945</v>
      </c>
      <c r="E11478" s="126">
        <v>5000</v>
      </c>
      <c r="F11478" s="126"/>
      <c r="G11478" s="126">
        <f t="shared" si="185"/>
        <v>-5000</v>
      </c>
      <c r="H11478" s="121" t="s">
        <v>7347</v>
      </c>
    </row>
    <row r="11479" spans="1:8" ht="15" x14ac:dyDescent="0.2">
      <c r="A11479" s="619">
        <v>44478</v>
      </c>
      <c r="B11479" s="63" t="s">
        <v>7067</v>
      </c>
      <c r="C11479" s="63" t="s">
        <v>5741</v>
      </c>
      <c r="D11479" s="791" t="s">
        <v>370</v>
      </c>
      <c r="E11479" s="126">
        <v>1000</v>
      </c>
      <c r="F11479" s="126"/>
      <c r="G11479" s="126">
        <f t="shared" si="185"/>
        <v>-1000</v>
      </c>
      <c r="H11479" s="121" t="s">
        <v>7347</v>
      </c>
    </row>
    <row r="11480" spans="1:8" ht="15" x14ac:dyDescent="0.2">
      <c r="A11480" s="619">
        <v>44478</v>
      </c>
      <c r="B11480" s="63" t="s">
        <v>7067</v>
      </c>
      <c r="C11480" s="63" t="s">
        <v>3145</v>
      </c>
      <c r="D11480" s="791" t="s">
        <v>7369</v>
      </c>
      <c r="E11480" s="126">
        <v>51000</v>
      </c>
      <c r="F11480" s="126"/>
      <c r="G11480" s="126">
        <f t="shared" si="185"/>
        <v>-51000</v>
      </c>
      <c r="H11480" s="121" t="s">
        <v>7347</v>
      </c>
    </row>
    <row r="11481" spans="1:8" ht="15" x14ac:dyDescent="0.2">
      <c r="A11481" s="619">
        <v>44478</v>
      </c>
      <c r="B11481" s="63" t="s">
        <v>7067</v>
      </c>
      <c r="C11481" s="63" t="s">
        <v>3145</v>
      </c>
      <c r="D11481" s="791" t="s">
        <v>7370</v>
      </c>
      <c r="E11481" s="126">
        <v>3160</v>
      </c>
      <c r="F11481" s="126"/>
      <c r="G11481" s="126">
        <f t="shared" si="185"/>
        <v>-3160</v>
      </c>
      <c r="H11481" s="121" t="s">
        <v>7347</v>
      </c>
    </row>
    <row r="11482" spans="1:8" ht="15" x14ac:dyDescent="0.2">
      <c r="A11482" s="619">
        <v>44478</v>
      </c>
      <c r="B11482" s="63" t="s">
        <v>7067</v>
      </c>
      <c r="C11482" s="63" t="s">
        <v>3145</v>
      </c>
      <c r="D11482" s="791" t="s">
        <v>7371</v>
      </c>
      <c r="E11482" s="126">
        <v>200</v>
      </c>
      <c r="F11482" s="126"/>
      <c r="G11482" s="126">
        <f t="shared" si="185"/>
        <v>-200</v>
      </c>
      <c r="H11482" s="121" t="s">
        <v>7347</v>
      </c>
    </row>
    <row r="11483" spans="1:8" ht="15" x14ac:dyDescent="0.2">
      <c r="A11483" s="619">
        <v>44478</v>
      </c>
      <c r="B11483" s="63" t="s">
        <v>16</v>
      </c>
      <c r="C11483" s="63" t="s">
        <v>2996</v>
      </c>
      <c r="D11483" s="791"/>
      <c r="E11483" s="126">
        <v>3000</v>
      </c>
      <c r="F11483" s="126"/>
      <c r="G11483" s="126">
        <f t="shared" si="185"/>
        <v>-3000</v>
      </c>
      <c r="H11483" s="121" t="s">
        <v>7347</v>
      </c>
    </row>
    <row r="11484" spans="1:8" ht="15" x14ac:dyDescent="0.2">
      <c r="A11484" s="619">
        <v>44478</v>
      </c>
      <c r="B11484" s="63" t="s">
        <v>3946</v>
      </c>
      <c r="C11484" s="551" t="s">
        <v>3003</v>
      </c>
      <c r="D11484" s="904" t="s">
        <v>370</v>
      </c>
      <c r="E11484" s="552">
        <v>13520</v>
      </c>
      <c r="F11484" s="126"/>
      <c r="G11484" s="126">
        <f t="shared" si="185"/>
        <v>-13520</v>
      </c>
      <c r="H11484" s="121" t="s">
        <v>7347</v>
      </c>
    </row>
    <row r="11485" spans="1:8" ht="15" x14ac:dyDescent="0.2">
      <c r="A11485" s="619">
        <v>44478</v>
      </c>
      <c r="B11485" s="63" t="s">
        <v>3945</v>
      </c>
      <c r="C11485" s="551" t="s">
        <v>3003</v>
      </c>
      <c r="D11485" s="904" t="s">
        <v>370</v>
      </c>
      <c r="E11485" s="552">
        <v>8840</v>
      </c>
      <c r="F11485" s="126"/>
      <c r="G11485" s="126">
        <f t="shared" si="185"/>
        <v>-8840</v>
      </c>
      <c r="H11485" s="121" t="s">
        <v>7347</v>
      </c>
    </row>
    <row r="11486" spans="1:8" ht="15" x14ac:dyDescent="0.2">
      <c r="A11486" s="619">
        <v>44478</v>
      </c>
      <c r="B11486" s="63" t="s">
        <v>37</v>
      </c>
      <c r="C11486" s="551" t="s">
        <v>3003</v>
      </c>
      <c r="D11486" s="904" t="s">
        <v>370</v>
      </c>
      <c r="E11486" s="552">
        <v>15520</v>
      </c>
      <c r="F11486" s="126"/>
      <c r="G11486" s="126">
        <f t="shared" si="185"/>
        <v>-15520</v>
      </c>
      <c r="H11486" s="121" t="s">
        <v>7347</v>
      </c>
    </row>
    <row r="11487" spans="1:8" ht="15" customHeight="1" x14ac:dyDescent="0.2">
      <c r="A11487" s="619">
        <v>44478</v>
      </c>
      <c r="B11487" s="63" t="s">
        <v>7067</v>
      </c>
      <c r="C11487" s="63" t="s">
        <v>5741</v>
      </c>
      <c r="D11487" s="791" t="s">
        <v>7372</v>
      </c>
      <c r="E11487" s="126">
        <v>2000</v>
      </c>
      <c r="F11487" s="126"/>
      <c r="G11487" s="126">
        <f t="shared" si="185"/>
        <v>-2000</v>
      </c>
      <c r="H11487" s="121" t="s">
        <v>7347</v>
      </c>
    </row>
    <row r="11488" spans="1:8" ht="15" customHeight="1" x14ac:dyDescent="0.2">
      <c r="A11488" s="619">
        <v>44478</v>
      </c>
      <c r="B11488" s="63" t="s">
        <v>25</v>
      </c>
      <c r="C11488" s="63" t="s">
        <v>2428</v>
      </c>
      <c r="D11488" s="791" t="s">
        <v>3056</v>
      </c>
      <c r="E11488" s="126">
        <v>22212</v>
      </c>
      <c r="F11488" s="126"/>
      <c r="G11488" s="126">
        <f t="shared" si="185"/>
        <v>-22212</v>
      </c>
      <c r="H11488" s="121" t="s">
        <v>7347</v>
      </c>
    </row>
    <row r="11489" spans="1:8" ht="15" customHeight="1" x14ac:dyDescent="0.2">
      <c r="A11489" s="619">
        <v>44480</v>
      </c>
      <c r="B11489" s="63" t="s">
        <v>1691</v>
      </c>
      <c r="C11489" s="63" t="s">
        <v>7323</v>
      </c>
      <c r="D11489" s="791" t="s">
        <v>7373</v>
      </c>
      <c r="E11489" s="126">
        <v>25000</v>
      </c>
      <c r="F11489" s="126"/>
      <c r="G11489" s="126">
        <f t="shared" si="185"/>
        <v>-25000</v>
      </c>
      <c r="H11489" s="121" t="s">
        <v>7347</v>
      </c>
    </row>
    <row r="11490" spans="1:8" ht="15" customHeight="1" x14ac:dyDescent="0.2">
      <c r="A11490" s="619">
        <v>44480</v>
      </c>
      <c r="B11490" s="63" t="s">
        <v>3946</v>
      </c>
      <c r="C11490" s="63" t="s">
        <v>3145</v>
      </c>
      <c r="D11490" s="791" t="s">
        <v>7374</v>
      </c>
      <c r="E11490" s="126">
        <v>18000</v>
      </c>
      <c r="F11490" s="126"/>
      <c r="G11490" s="126">
        <f t="shared" si="185"/>
        <v>-18000</v>
      </c>
      <c r="H11490" s="121" t="s">
        <v>7347</v>
      </c>
    </row>
    <row r="11491" spans="1:8" ht="15" customHeight="1" x14ac:dyDescent="0.2">
      <c r="A11491" s="619">
        <v>44480</v>
      </c>
      <c r="B11491" s="63" t="s">
        <v>7067</v>
      </c>
      <c r="C11491" s="63" t="s">
        <v>6761</v>
      </c>
      <c r="D11491" s="791" t="s">
        <v>7375</v>
      </c>
      <c r="E11491" s="126">
        <v>120000</v>
      </c>
      <c r="F11491" s="126"/>
      <c r="G11491" s="126">
        <f t="shared" si="185"/>
        <v>-120000</v>
      </c>
      <c r="H11491" s="121" t="s">
        <v>7347</v>
      </c>
    </row>
    <row r="11492" spans="1:8" ht="15" customHeight="1" x14ac:dyDescent="0.2">
      <c r="A11492" s="619">
        <v>44481</v>
      </c>
      <c r="B11492" s="63" t="s">
        <v>7555</v>
      </c>
      <c r="C11492" s="63" t="s">
        <v>3145</v>
      </c>
      <c r="D11492" s="791" t="s">
        <v>7376</v>
      </c>
      <c r="E11492" s="126">
        <v>14410</v>
      </c>
      <c r="F11492" s="126"/>
      <c r="G11492" s="126">
        <f t="shared" si="185"/>
        <v>-14410</v>
      </c>
      <c r="H11492" s="121" t="s">
        <v>7347</v>
      </c>
    </row>
    <row r="11493" spans="1:8" ht="15" customHeight="1" x14ac:dyDescent="0.2">
      <c r="A11493" s="619">
        <v>44481</v>
      </c>
      <c r="B11493" s="63" t="s">
        <v>7067</v>
      </c>
      <c r="C11493" s="63" t="s">
        <v>3145</v>
      </c>
      <c r="D11493" s="791" t="s">
        <v>7376</v>
      </c>
      <c r="E11493" s="126">
        <v>14280</v>
      </c>
      <c r="F11493" s="126"/>
      <c r="G11493" s="126">
        <f t="shared" si="185"/>
        <v>-14280</v>
      </c>
      <c r="H11493" s="121" t="s">
        <v>7347</v>
      </c>
    </row>
    <row r="11494" spans="1:8" ht="15" customHeight="1" x14ac:dyDescent="0.2">
      <c r="A11494" s="619">
        <v>44481</v>
      </c>
      <c r="B11494" s="63" t="s">
        <v>6408</v>
      </c>
      <c r="C11494" s="63" t="s">
        <v>2190</v>
      </c>
      <c r="D11494" s="791"/>
      <c r="E11494" s="126">
        <v>470</v>
      </c>
      <c r="F11494" s="126"/>
      <c r="G11494" s="126">
        <f t="shared" si="185"/>
        <v>-470</v>
      </c>
      <c r="H11494" s="121" t="s">
        <v>7347</v>
      </c>
    </row>
    <row r="11495" spans="1:8" ht="15" customHeight="1" x14ac:dyDescent="0.2">
      <c r="A11495" s="619">
        <v>44481</v>
      </c>
      <c r="B11495" s="63" t="s">
        <v>2933</v>
      </c>
      <c r="C11495" s="63" t="s">
        <v>392</v>
      </c>
      <c r="D11495" s="791" t="s">
        <v>7377</v>
      </c>
      <c r="E11495" s="126">
        <v>1300</v>
      </c>
      <c r="F11495" s="126"/>
      <c r="G11495" s="126">
        <f t="shared" si="185"/>
        <v>-1300</v>
      </c>
      <c r="H11495" s="121" t="s">
        <v>7347</v>
      </c>
    </row>
    <row r="11496" spans="1:8" ht="15" customHeight="1" x14ac:dyDescent="0.2">
      <c r="A11496" s="619">
        <v>44481</v>
      </c>
      <c r="B11496" s="63" t="s">
        <v>7067</v>
      </c>
      <c r="C11496" s="63" t="s">
        <v>7378</v>
      </c>
      <c r="D11496" s="791" t="s">
        <v>7379</v>
      </c>
      <c r="E11496" s="126">
        <v>440000</v>
      </c>
      <c r="F11496" s="126"/>
      <c r="G11496" s="126">
        <f t="shared" si="185"/>
        <v>-440000</v>
      </c>
      <c r="H11496" s="121" t="s">
        <v>7347</v>
      </c>
    </row>
    <row r="11497" spans="1:8" ht="15" customHeight="1" x14ac:dyDescent="0.2">
      <c r="A11497" s="619">
        <v>44482</v>
      </c>
      <c r="B11497" s="63" t="s">
        <v>6511</v>
      </c>
      <c r="C11497" s="63" t="s">
        <v>7380</v>
      </c>
      <c r="D11497" s="791" t="s">
        <v>7381</v>
      </c>
      <c r="E11497" s="126">
        <v>50000</v>
      </c>
      <c r="F11497" s="126"/>
      <c r="G11497" s="126">
        <f t="shared" si="185"/>
        <v>-50000</v>
      </c>
      <c r="H11497" s="121" t="s">
        <v>7347</v>
      </c>
    </row>
    <row r="11498" spans="1:8" ht="15" customHeight="1" x14ac:dyDescent="0.2">
      <c r="A11498" s="619">
        <v>44482</v>
      </c>
      <c r="B11498" s="63" t="s">
        <v>6511</v>
      </c>
      <c r="C11498" s="63" t="s">
        <v>392</v>
      </c>
      <c r="D11498" s="791" t="s">
        <v>7384</v>
      </c>
      <c r="E11498" s="126">
        <v>430</v>
      </c>
      <c r="F11498" s="126"/>
      <c r="G11498" s="126">
        <f t="shared" si="185"/>
        <v>-430</v>
      </c>
      <c r="H11498" s="121" t="s">
        <v>7347</v>
      </c>
    </row>
    <row r="11499" spans="1:8" ht="15" customHeight="1" x14ac:dyDescent="0.2">
      <c r="A11499" s="619">
        <v>44482</v>
      </c>
      <c r="B11499" s="63" t="s">
        <v>6953</v>
      </c>
      <c r="C11499" s="63" t="s">
        <v>7064</v>
      </c>
      <c r="D11499" s="791" t="s">
        <v>7391</v>
      </c>
      <c r="E11499" s="126">
        <v>15000</v>
      </c>
      <c r="F11499" s="126"/>
      <c r="G11499" s="126">
        <f t="shared" si="185"/>
        <v>-15000</v>
      </c>
      <c r="H11499" s="121" t="s">
        <v>7347</v>
      </c>
    </row>
    <row r="11500" spans="1:8" ht="24" customHeight="1" x14ac:dyDescent="0.2">
      <c r="A11500" s="619">
        <v>44482</v>
      </c>
      <c r="B11500" s="63" t="s">
        <v>7067</v>
      </c>
      <c r="C11500" s="63" t="s">
        <v>3145</v>
      </c>
      <c r="D11500" s="183" t="s">
        <v>7392</v>
      </c>
      <c r="E11500" s="126">
        <v>115000</v>
      </c>
      <c r="F11500" s="126"/>
      <c r="G11500" s="126">
        <f t="shared" si="185"/>
        <v>-115000</v>
      </c>
      <c r="H11500" s="121" t="s">
        <v>7347</v>
      </c>
    </row>
    <row r="11501" spans="1:8" ht="24" customHeight="1" x14ac:dyDescent="0.2">
      <c r="A11501" s="619">
        <v>44482</v>
      </c>
      <c r="B11501" s="63" t="s">
        <v>7112</v>
      </c>
      <c r="C11501" s="551" t="s">
        <v>3145</v>
      </c>
      <c r="D11501" s="740" t="s">
        <v>7392</v>
      </c>
      <c r="E11501" s="552">
        <v>12760</v>
      </c>
      <c r="F11501" s="126"/>
      <c r="G11501" s="126">
        <f t="shared" si="185"/>
        <v>-12760</v>
      </c>
      <c r="H11501" s="121" t="s">
        <v>7347</v>
      </c>
    </row>
    <row r="11502" spans="1:8" ht="15" customHeight="1" x14ac:dyDescent="0.2">
      <c r="A11502" s="619">
        <v>44482</v>
      </c>
      <c r="B11502" s="63" t="s">
        <v>4553</v>
      </c>
      <c r="C11502" s="551" t="s">
        <v>3145</v>
      </c>
      <c r="D11502" s="740" t="s">
        <v>6057</v>
      </c>
      <c r="E11502" s="552">
        <v>5000</v>
      </c>
      <c r="F11502" s="126"/>
      <c r="G11502" s="126">
        <f t="shared" si="185"/>
        <v>-5000</v>
      </c>
      <c r="H11502" s="121" t="s">
        <v>7347</v>
      </c>
    </row>
    <row r="11503" spans="1:8" ht="15" customHeight="1" x14ac:dyDescent="0.2">
      <c r="A11503" s="619">
        <v>44482</v>
      </c>
      <c r="B11503" s="63" t="s">
        <v>1400</v>
      </c>
      <c r="C11503" s="63" t="s">
        <v>3145</v>
      </c>
      <c r="D11503" s="791" t="s">
        <v>5257</v>
      </c>
      <c r="E11503" s="126">
        <v>3350</v>
      </c>
      <c r="F11503" s="126"/>
      <c r="G11503" s="126">
        <f t="shared" si="185"/>
        <v>-3350</v>
      </c>
      <c r="H11503" s="121" t="s">
        <v>7347</v>
      </c>
    </row>
    <row r="11504" spans="1:8" ht="15" customHeight="1" x14ac:dyDescent="0.2">
      <c r="A11504" s="619">
        <v>44482</v>
      </c>
      <c r="B11504" s="63" t="s">
        <v>7555</v>
      </c>
      <c r="C11504" s="63" t="s">
        <v>3145</v>
      </c>
      <c r="D11504" s="791" t="s">
        <v>5257</v>
      </c>
      <c r="E11504" s="126">
        <v>34900</v>
      </c>
      <c r="F11504" s="126"/>
      <c r="G11504" s="126">
        <f t="shared" si="185"/>
        <v>-34900</v>
      </c>
      <c r="H11504" s="121" t="s">
        <v>7347</v>
      </c>
    </row>
    <row r="11505" spans="1:8" ht="15" customHeight="1" x14ac:dyDescent="0.2">
      <c r="A11505" s="619">
        <v>44482</v>
      </c>
      <c r="B11505" s="63" t="s">
        <v>7112</v>
      </c>
      <c r="C11505" s="63" t="s">
        <v>3145</v>
      </c>
      <c r="D11505" s="791" t="s">
        <v>5257</v>
      </c>
      <c r="E11505" s="126">
        <v>4350</v>
      </c>
      <c r="F11505" s="126"/>
      <c r="G11505" s="126">
        <f t="shared" si="185"/>
        <v>-4350</v>
      </c>
      <c r="H11505" s="121" t="s">
        <v>7347</v>
      </c>
    </row>
    <row r="11506" spans="1:8" ht="15" customHeight="1" x14ac:dyDescent="0.2">
      <c r="A11506" s="619">
        <v>44482</v>
      </c>
      <c r="B11506" s="63" t="s">
        <v>7067</v>
      </c>
      <c r="C11506" s="63" t="s">
        <v>2190</v>
      </c>
      <c r="D11506" s="791"/>
      <c r="E11506" s="126">
        <v>750</v>
      </c>
      <c r="F11506" s="126"/>
      <c r="G11506" s="126">
        <f t="shared" si="185"/>
        <v>-750</v>
      </c>
      <c r="H11506" s="121" t="s">
        <v>7347</v>
      </c>
    </row>
    <row r="11507" spans="1:8" ht="15" customHeight="1" x14ac:dyDescent="0.2">
      <c r="A11507" s="619">
        <v>44483</v>
      </c>
      <c r="B11507" s="63" t="s">
        <v>7067</v>
      </c>
      <c r="C11507" s="63" t="s">
        <v>3145</v>
      </c>
      <c r="D11507" s="791" t="s">
        <v>7393</v>
      </c>
      <c r="E11507" s="126">
        <v>85615</v>
      </c>
      <c r="F11507" s="126"/>
      <c r="G11507" s="126">
        <f t="shared" si="185"/>
        <v>-85615</v>
      </c>
      <c r="H11507" s="121" t="s">
        <v>7347</v>
      </c>
    </row>
    <row r="11508" spans="1:8" ht="15" customHeight="1" x14ac:dyDescent="0.2">
      <c r="A11508" s="619">
        <v>44483</v>
      </c>
      <c r="B11508" s="63" t="s">
        <v>16</v>
      </c>
      <c r="C11508" s="63" t="s">
        <v>3145</v>
      </c>
      <c r="D11508" s="791" t="s">
        <v>7394</v>
      </c>
      <c r="E11508" s="126">
        <v>900</v>
      </c>
      <c r="F11508" s="126"/>
      <c r="G11508" s="126">
        <f t="shared" si="185"/>
        <v>-900</v>
      </c>
      <c r="H11508" s="121" t="s">
        <v>7347</v>
      </c>
    </row>
    <row r="11509" spans="1:8" ht="15" customHeight="1" x14ac:dyDescent="0.2">
      <c r="A11509" s="619">
        <v>44483</v>
      </c>
      <c r="B11509" s="63" t="s">
        <v>7067</v>
      </c>
      <c r="C11509" s="63" t="s">
        <v>3145</v>
      </c>
      <c r="D11509" s="791" t="s">
        <v>7395</v>
      </c>
      <c r="E11509" s="126">
        <v>5400</v>
      </c>
      <c r="F11509" s="126"/>
      <c r="G11509" s="126">
        <f t="shared" si="185"/>
        <v>-5400</v>
      </c>
      <c r="H11509" s="121" t="s">
        <v>7347</v>
      </c>
    </row>
    <row r="11510" spans="1:8" ht="15" customHeight="1" x14ac:dyDescent="0.2">
      <c r="A11510" s="619">
        <v>44483</v>
      </c>
      <c r="B11510" s="63" t="s">
        <v>1400</v>
      </c>
      <c r="C11510" s="63" t="s">
        <v>392</v>
      </c>
      <c r="D11510" s="791" t="s">
        <v>7396</v>
      </c>
      <c r="E11510" s="126">
        <v>500</v>
      </c>
      <c r="F11510" s="126"/>
      <c r="G11510" s="126">
        <f t="shared" si="185"/>
        <v>-500</v>
      </c>
      <c r="H11510" s="121" t="s">
        <v>7347</v>
      </c>
    </row>
    <row r="11511" spans="1:8" ht="15" customHeight="1" x14ac:dyDescent="0.2">
      <c r="A11511" s="619">
        <v>44483</v>
      </c>
      <c r="B11511" s="63" t="s">
        <v>1400</v>
      </c>
      <c r="C11511" s="63" t="s">
        <v>392</v>
      </c>
      <c r="D11511" s="791" t="s">
        <v>7397</v>
      </c>
      <c r="E11511" s="126">
        <v>600</v>
      </c>
      <c r="F11511" s="126"/>
      <c r="G11511" s="126">
        <f t="shared" si="185"/>
        <v>-600</v>
      </c>
      <c r="H11511" s="121" t="s">
        <v>7347</v>
      </c>
    </row>
    <row r="11512" spans="1:8" ht="15" customHeight="1" x14ac:dyDescent="0.2">
      <c r="A11512" s="619">
        <v>44483</v>
      </c>
      <c r="B11512" s="63" t="s">
        <v>7067</v>
      </c>
      <c r="C11512" s="63" t="s">
        <v>3145</v>
      </c>
      <c r="D11512" s="791" t="s">
        <v>7398</v>
      </c>
      <c r="E11512" s="126">
        <v>55660</v>
      </c>
      <c r="F11512" s="126"/>
      <c r="G11512" s="126">
        <f t="shared" si="185"/>
        <v>-55660</v>
      </c>
      <c r="H11512" s="121" t="s">
        <v>7347</v>
      </c>
    </row>
    <row r="11513" spans="1:8" ht="15" customHeight="1" x14ac:dyDescent="0.2">
      <c r="A11513" s="619">
        <v>44483</v>
      </c>
      <c r="B11513" s="63" t="s">
        <v>7067</v>
      </c>
      <c r="C11513" s="63" t="s">
        <v>318</v>
      </c>
      <c r="D11513" s="791" t="s">
        <v>7399</v>
      </c>
      <c r="E11513" s="126">
        <v>100000</v>
      </c>
      <c r="F11513" s="126"/>
      <c r="G11513" s="126">
        <f t="shared" si="185"/>
        <v>-100000</v>
      </c>
      <c r="H11513" s="121" t="s">
        <v>7347</v>
      </c>
    </row>
    <row r="11514" spans="1:8" ht="15" customHeight="1" x14ac:dyDescent="0.2">
      <c r="A11514" s="619">
        <v>44485</v>
      </c>
      <c r="B11514" s="63" t="s">
        <v>7067</v>
      </c>
      <c r="C11514" s="63" t="s">
        <v>3145</v>
      </c>
      <c r="D11514" s="791" t="s">
        <v>7400</v>
      </c>
      <c r="E11514" s="126">
        <v>17960</v>
      </c>
      <c r="F11514" s="126"/>
      <c r="G11514" s="126">
        <f t="shared" si="185"/>
        <v>-17960</v>
      </c>
      <c r="H11514" s="121" t="s">
        <v>7347</v>
      </c>
    </row>
    <row r="11515" spans="1:8" ht="15" customHeight="1" x14ac:dyDescent="0.2">
      <c r="A11515" s="619">
        <v>44485</v>
      </c>
      <c r="B11515" s="63" t="s">
        <v>7067</v>
      </c>
      <c r="C11515" s="63" t="s">
        <v>3145</v>
      </c>
      <c r="D11515" s="791" t="s">
        <v>4966</v>
      </c>
      <c r="E11515" s="126">
        <v>1000</v>
      </c>
      <c r="F11515" s="126"/>
      <c r="G11515" s="126">
        <f t="shared" si="185"/>
        <v>-1000</v>
      </c>
      <c r="H11515" s="121" t="s">
        <v>7347</v>
      </c>
    </row>
    <row r="11516" spans="1:8" ht="15" customHeight="1" x14ac:dyDescent="0.2">
      <c r="A11516" s="619">
        <v>44487</v>
      </c>
      <c r="B11516" s="63" t="s">
        <v>1400</v>
      </c>
      <c r="C11516" s="63" t="s">
        <v>3145</v>
      </c>
      <c r="D11516" s="791" t="s">
        <v>6845</v>
      </c>
      <c r="E11516" s="126">
        <v>890</v>
      </c>
      <c r="F11516" s="126"/>
      <c r="G11516" s="126">
        <f t="shared" si="185"/>
        <v>-890</v>
      </c>
      <c r="H11516" s="121" t="s">
        <v>7347</v>
      </c>
    </row>
    <row r="11517" spans="1:8" ht="15" customHeight="1" x14ac:dyDescent="0.2">
      <c r="A11517" s="619">
        <v>44489</v>
      </c>
      <c r="B11517" s="63" t="s">
        <v>7067</v>
      </c>
      <c r="C11517" s="63" t="s">
        <v>2190</v>
      </c>
      <c r="D11517" s="791"/>
      <c r="E11517" s="126">
        <v>900</v>
      </c>
      <c r="F11517" s="126"/>
      <c r="G11517" s="126">
        <f t="shared" si="185"/>
        <v>-900</v>
      </c>
      <c r="H11517" s="121" t="s">
        <v>7347</v>
      </c>
    </row>
    <row r="11518" spans="1:8" ht="15" customHeight="1" x14ac:dyDescent="0.2">
      <c r="A11518" s="619">
        <v>44489</v>
      </c>
      <c r="B11518" s="63" t="s">
        <v>6408</v>
      </c>
      <c r="C11518" s="63" t="s">
        <v>392</v>
      </c>
      <c r="D11518" s="791" t="s">
        <v>7401</v>
      </c>
      <c r="E11518" s="126">
        <v>1500</v>
      </c>
      <c r="F11518" s="126"/>
      <c r="G11518" s="126">
        <f t="shared" si="185"/>
        <v>-1500</v>
      </c>
      <c r="H11518" s="121" t="s">
        <v>7347</v>
      </c>
    </row>
    <row r="11519" spans="1:8" ht="15" customHeight="1" x14ac:dyDescent="0.2">
      <c r="A11519" s="619">
        <v>44490</v>
      </c>
      <c r="B11519" s="63" t="s">
        <v>1400</v>
      </c>
      <c r="C11519" s="63" t="s">
        <v>3145</v>
      </c>
      <c r="D11519" s="791" t="s">
        <v>7402</v>
      </c>
      <c r="E11519" s="126">
        <v>29015</v>
      </c>
      <c r="F11519" s="126"/>
      <c r="G11519" s="126">
        <f t="shared" si="185"/>
        <v>-29015</v>
      </c>
      <c r="H11519" s="121" t="s">
        <v>7347</v>
      </c>
    </row>
    <row r="11520" spans="1:8" ht="15" customHeight="1" x14ac:dyDescent="0.2">
      <c r="A11520" s="619">
        <v>44490</v>
      </c>
      <c r="B11520" s="63" t="s">
        <v>7067</v>
      </c>
      <c r="C11520" s="63" t="s">
        <v>3145</v>
      </c>
      <c r="D11520" s="791" t="s">
        <v>7414</v>
      </c>
      <c r="E11520" s="126">
        <v>9657</v>
      </c>
      <c r="F11520" s="126"/>
      <c r="G11520" s="126">
        <f t="shared" si="185"/>
        <v>-9657</v>
      </c>
      <c r="H11520" s="121" t="s">
        <v>7347</v>
      </c>
    </row>
    <row r="11521" spans="1:8" ht="15" customHeight="1" x14ac:dyDescent="0.2">
      <c r="A11521" s="619">
        <v>44490</v>
      </c>
      <c r="B11521" s="63" t="s">
        <v>7067</v>
      </c>
      <c r="C11521" s="63" t="s">
        <v>3145</v>
      </c>
      <c r="D11521" s="791" t="s">
        <v>7415</v>
      </c>
      <c r="E11521" s="126">
        <v>145600</v>
      </c>
      <c r="F11521" s="126"/>
      <c r="G11521" s="126">
        <f t="shared" si="185"/>
        <v>-145600</v>
      </c>
      <c r="H11521" s="121" t="s">
        <v>7347</v>
      </c>
    </row>
    <row r="11522" spans="1:8" ht="15" x14ac:dyDescent="0.2">
      <c r="A11522" s="619">
        <v>44490</v>
      </c>
      <c r="B11522" s="63" t="s">
        <v>4553</v>
      </c>
      <c r="C11522" s="63" t="s">
        <v>3145</v>
      </c>
      <c r="D11522" s="791" t="s">
        <v>392</v>
      </c>
      <c r="E11522" s="126">
        <v>1000</v>
      </c>
      <c r="F11522" s="126"/>
      <c r="G11522" s="126">
        <f t="shared" si="185"/>
        <v>-1000</v>
      </c>
      <c r="H11522" s="121" t="s">
        <v>7347</v>
      </c>
    </row>
    <row r="11523" spans="1:8" ht="15" x14ac:dyDescent="0.2">
      <c r="A11523" s="619">
        <v>44490</v>
      </c>
      <c r="B11523" s="63" t="s">
        <v>16</v>
      </c>
      <c r="C11523" s="63" t="s">
        <v>392</v>
      </c>
      <c r="D11523" s="791" t="s">
        <v>7416</v>
      </c>
      <c r="E11523" s="126">
        <v>3500</v>
      </c>
      <c r="F11523" s="126"/>
      <c r="G11523" s="126">
        <f t="shared" si="185"/>
        <v>-3500</v>
      </c>
      <c r="H11523" s="121" t="s">
        <v>7347</v>
      </c>
    </row>
    <row r="11524" spans="1:8" ht="15" x14ac:dyDescent="0.2">
      <c r="A11524" s="619">
        <v>44490</v>
      </c>
      <c r="B11524" s="63" t="s">
        <v>6950</v>
      </c>
      <c r="C11524" s="63" t="s">
        <v>3145</v>
      </c>
      <c r="D11524" s="791" t="s">
        <v>7464</v>
      </c>
      <c r="E11524" s="126">
        <v>40000</v>
      </c>
      <c r="F11524" s="126"/>
      <c r="G11524" s="126">
        <f t="shared" si="185"/>
        <v>-40000</v>
      </c>
      <c r="H11524" s="121" t="s">
        <v>7347</v>
      </c>
    </row>
    <row r="11525" spans="1:8" ht="15" x14ac:dyDescent="0.2">
      <c r="A11525" s="619">
        <v>44491</v>
      </c>
      <c r="B11525" s="63" t="s">
        <v>7555</v>
      </c>
      <c r="C11525" s="63" t="s">
        <v>1896</v>
      </c>
      <c r="D11525" s="791" t="s">
        <v>3361</v>
      </c>
      <c r="E11525" s="126">
        <v>40000</v>
      </c>
      <c r="F11525" s="126"/>
      <c r="G11525" s="126">
        <f t="shared" ref="G11525:G11588" si="186">F11525-E11525</f>
        <v>-40000</v>
      </c>
      <c r="H11525" s="121" t="s">
        <v>7347</v>
      </c>
    </row>
    <row r="11526" spans="1:8" ht="15" x14ac:dyDescent="0.2">
      <c r="A11526" s="619">
        <v>44491</v>
      </c>
      <c r="B11526" s="63" t="s">
        <v>6950</v>
      </c>
      <c r="C11526" s="63" t="s">
        <v>200</v>
      </c>
      <c r="D11526" s="791" t="s">
        <v>6313</v>
      </c>
      <c r="E11526" s="126">
        <v>15000</v>
      </c>
      <c r="F11526" s="126"/>
      <c r="G11526" s="126">
        <f t="shared" si="186"/>
        <v>-15000</v>
      </c>
      <c r="H11526" s="121" t="s">
        <v>7347</v>
      </c>
    </row>
    <row r="11527" spans="1:8" ht="15" x14ac:dyDescent="0.2">
      <c r="A11527" s="619">
        <v>44491</v>
      </c>
      <c r="B11527" s="63" t="s">
        <v>2933</v>
      </c>
      <c r="C11527" s="63" t="s">
        <v>392</v>
      </c>
      <c r="D11527" s="791" t="s">
        <v>7417</v>
      </c>
      <c r="E11527" s="126">
        <v>1830</v>
      </c>
      <c r="F11527" s="126"/>
      <c r="G11527" s="126">
        <f t="shared" si="186"/>
        <v>-1830</v>
      </c>
      <c r="H11527" s="121" t="s">
        <v>7347</v>
      </c>
    </row>
    <row r="11528" spans="1:8" ht="15" x14ac:dyDescent="0.2">
      <c r="A11528" s="619">
        <v>44491</v>
      </c>
      <c r="B11528" s="63" t="s">
        <v>16</v>
      </c>
      <c r="C11528" s="63" t="s">
        <v>5341</v>
      </c>
      <c r="D11528" s="791" t="s">
        <v>7418</v>
      </c>
      <c r="E11528" s="126">
        <v>5000</v>
      </c>
      <c r="F11528" s="126"/>
      <c r="G11528" s="126">
        <f t="shared" si="186"/>
        <v>-5000</v>
      </c>
      <c r="H11528" s="121" t="s">
        <v>7347</v>
      </c>
    </row>
    <row r="11529" spans="1:8" ht="15" x14ac:dyDescent="0.2">
      <c r="A11529" s="619">
        <v>44491</v>
      </c>
      <c r="B11529" s="63" t="s">
        <v>16</v>
      </c>
      <c r="C11529" s="63" t="s">
        <v>392</v>
      </c>
      <c r="D11529" s="791"/>
      <c r="E11529" s="126">
        <v>66</v>
      </c>
      <c r="F11529" s="126"/>
      <c r="G11529" s="126">
        <f t="shared" si="186"/>
        <v>-66</v>
      </c>
      <c r="H11529" s="121" t="s">
        <v>7347</v>
      </c>
    </row>
    <row r="11530" spans="1:8" ht="15" x14ac:dyDescent="0.2">
      <c r="A11530" s="619">
        <v>44491</v>
      </c>
      <c r="B11530" s="63" t="s">
        <v>7067</v>
      </c>
      <c r="C11530" s="63" t="s">
        <v>392</v>
      </c>
      <c r="D11530" s="791" t="s">
        <v>7419</v>
      </c>
      <c r="E11530" s="126">
        <v>23000</v>
      </c>
      <c r="F11530" s="126"/>
      <c r="G11530" s="126">
        <f t="shared" si="186"/>
        <v>-23000</v>
      </c>
      <c r="H11530" s="121" t="s">
        <v>7347</v>
      </c>
    </row>
    <row r="11531" spans="1:8" ht="15" x14ac:dyDescent="0.2">
      <c r="A11531" s="619">
        <v>44492</v>
      </c>
      <c r="B11531" s="63" t="s">
        <v>7067</v>
      </c>
      <c r="C11531" s="63" t="s">
        <v>3145</v>
      </c>
      <c r="D11531" s="791" t="s">
        <v>6979</v>
      </c>
      <c r="E11531" s="126">
        <v>6080</v>
      </c>
      <c r="F11531" s="126"/>
      <c r="G11531" s="126">
        <f t="shared" si="186"/>
        <v>-6080</v>
      </c>
      <c r="H11531" s="121" t="s">
        <v>7347</v>
      </c>
    </row>
    <row r="11532" spans="1:8" ht="15" x14ac:dyDescent="0.2">
      <c r="A11532" s="619">
        <v>44492</v>
      </c>
      <c r="B11532" s="63" t="s">
        <v>6408</v>
      </c>
      <c r="C11532" s="63" t="s">
        <v>6832</v>
      </c>
      <c r="D11532" s="791" t="s">
        <v>7420</v>
      </c>
      <c r="E11532" s="126">
        <v>24200</v>
      </c>
      <c r="F11532" s="126"/>
      <c r="G11532" s="126">
        <f t="shared" si="186"/>
        <v>-24200</v>
      </c>
      <c r="H11532" s="121" t="s">
        <v>7347</v>
      </c>
    </row>
    <row r="11533" spans="1:8" ht="15" x14ac:dyDescent="0.2">
      <c r="A11533" s="619">
        <v>44492</v>
      </c>
      <c r="B11533" s="63" t="s">
        <v>7067</v>
      </c>
      <c r="C11533" s="63" t="s">
        <v>6476</v>
      </c>
      <c r="D11533" s="791" t="s">
        <v>7421</v>
      </c>
      <c r="E11533" s="126">
        <v>8000</v>
      </c>
      <c r="F11533" s="126"/>
      <c r="G11533" s="126">
        <f t="shared" si="186"/>
        <v>-8000</v>
      </c>
      <c r="H11533" s="121" t="s">
        <v>7347</v>
      </c>
    </row>
    <row r="11534" spans="1:8" ht="15" x14ac:dyDescent="0.2">
      <c r="A11534" s="619">
        <v>44492</v>
      </c>
      <c r="B11534" s="63" t="s">
        <v>7126</v>
      </c>
      <c r="C11534" s="63" t="s">
        <v>6476</v>
      </c>
      <c r="D11534" s="791" t="s">
        <v>7422</v>
      </c>
      <c r="E11534" s="126">
        <v>12000</v>
      </c>
      <c r="F11534" s="126"/>
      <c r="G11534" s="126">
        <f t="shared" si="186"/>
        <v>-12000</v>
      </c>
      <c r="H11534" s="121" t="s">
        <v>7347</v>
      </c>
    </row>
    <row r="11535" spans="1:8" ht="15" x14ac:dyDescent="0.2">
      <c r="A11535" s="619">
        <v>44495</v>
      </c>
      <c r="B11535" s="63" t="s">
        <v>7067</v>
      </c>
      <c r="C11535" s="63" t="s">
        <v>6249</v>
      </c>
      <c r="D11535" s="791" t="s">
        <v>7423</v>
      </c>
      <c r="E11535" s="126">
        <v>27200</v>
      </c>
      <c r="F11535" s="126"/>
      <c r="G11535" s="126">
        <f t="shared" si="186"/>
        <v>-27200</v>
      </c>
      <c r="H11535" s="121" t="s">
        <v>7347</v>
      </c>
    </row>
    <row r="11536" spans="1:8" ht="15" x14ac:dyDescent="0.2">
      <c r="A11536" s="619">
        <v>44495</v>
      </c>
      <c r="B11536" s="63" t="s">
        <v>7067</v>
      </c>
      <c r="C11536" s="63" t="s">
        <v>3145</v>
      </c>
      <c r="D11536" s="791" t="s">
        <v>6057</v>
      </c>
      <c r="E11536" s="126">
        <v>5600</v>
      </c>
      <c r="F11536" s="126"/>
      <c r="G11536" s="126">
        <f t="shared" si="186"/>
        <v>-5600</v>
      </c>
      <c r="H11536" s="121" t="s">
        <v>7347</v>
      </c>
    </row>
    <row r="11537" spans="1:8" ht="15" x14ac:dyDescent="0.2">
      <c r="A11537" s="619">
        <v>44495</v>
      </c>
      <c r="B11537" s="63" t="s">
        <v>7067</v>
      </c>
      <c r="C11537" s="63" t="s">
        <v>1524</v>
      </c>
      <c r="D11537" s="791" t="s">
        <v>7433</v>
      </c>
      <c r="E11537" s="126">
        <v>34100</v>
      </c>
      <c r="F11537" s="126"/>
      <c r="G11537" s="126">
        <f t="shared" si="186"/>
        <v>-34100</v>
      </c>
      <c r="H11537" s="121" t="s">
        <v>7347</v>
      </c>
    </row>
    <row r="11538" spans="1:8" ht="15" x14ac:dyDescent="0.2">
      <c r="A11538" s="619">
        <v>44495</v>
      </c>
      <c r="B11538" s="63" t="s">
        <v>7067</v>
      </c>
      <c r="C11538" s="63" t="s">
        <v>3145</v>
      </c>
      <c r="D11538" s="791" t="s">
        <v>7434</v>
      </c>
      <c r="E11538" s="126">
        <v>13400</v>
      </c>
      <c r="F11538" s="126"/>
      <c r="G11538" s="126">
        <f t="shared" si="186"/>
        <v>-13400</v>
      </c>
      <c r="H11538" s="121" t="s">
        <v>7347</v>
      </c>
    </row>
    <row r="11539" spans="1:8" ht="15" x14ac:dyDescent="0.2">
      <c r="A11539" s="619">
        <v>44495</v>
      </c>
      <c r="B11539" s="63" t="s">
        <v>7067</v>
      </c>
      <c r="C11539" s="63" t="s">
        <v>3145</v>
      </c>
      <c r="D11539" s="791" t="s">
        <v>6057</v>
      </c>
      <c r="E11539" s="126">
        <v>3000</v>
      </c>
      <c r="F11539" s="126"/>
      <c r="G11539" s="126">
        <f t="shared" si="186"/>
        <v>-3000</v>
      </c>
      <c r="H11539" s="121" t="s">
        <v>7347</v>
      </c>
    </row>
    <row r="11540" spans="1:8" ht="15" x14ac:dyDescent="0.2">
      <c r="A11540" s="619">
        <v>44496</v>
      </c>
      <c r="B11540" s="63" t="s">
        <v>7555</v>
      </c>
      <c r="C11540" s="63" t="s">
        <v>1896</v>
      </c>
      <c r="D11540" s="791" t="s">
        <v>7435</v>
      </c>
      <c r="E11540" s="126">
        <v>30000</v>
      </c>
      <c r="F11540" s="126"/>
      <c r="G11540" s="126">
        <f t="shared" si="186"/>
        <v>-30000</v>
      </c>
      <c r="H11540" s="121" t="s">
        <v>7347</v>
      </c>
    </row>
    <row r="11541" spans="1:8" ht="15" x14ac:dyDescent="0.2">
      <c r="A11541" s="619">
        <v>44496</v>
      </c>
      <c r="B11541" s="63" t="s">
        <v>4553</v>
      </c>
      <c r="C11541" s="63" t="s">
        <v>2473</v>
      </c>
      <c r="D11541" s="791" t="s">
        <v>370</v>
      </c>
      <c r="E11541" s="126">
        <v>1000</v>
      </c>
      <c r="F11541" s="126"/>
      <c r="G11541" s="126">
        <f t="shared" si="186"/>
        <v>-1000</v>
      </c>
      <c r="H11541" s="121" t="s">
        <v>7347</v>
      </c>
    </row>
    <row r="11542" spans="1:8" ht="15" x14ac:dyDescent="0.2">
      <c r="A11542" s="619">
        <v>44496</v>
      </c>
      <c r="B11542" s="63" t="s">
        <v>25</v>
      </c>
      <c r="C11542" s="551" t="s">
        <v>1689</v>
      </c>
      <c r="D11542" s="904" t="s">
        <v>370</v>
      </c>
      <c r="E11542" s="552">
        <v>40432</v>
      </c>
      <c r="F11542" s="126"/>
      <c r="G11542" s="126">
        <f t="shared" si="186"/>
        <v>-40432</v>
      </c>
      <c r="H11542" s="121" t="s">
        <v>7347</v>
      </c>
    </row>
    <row r="11543" spans="1:8" ht="15" x14ac:dyDescent="0.2">
      <c r="A11543" s="619">
        <v>44496</v>
      </c>
      <c r="B11543" s="63" t="s">
        <v>16</v>
      </c>
      <c r="C11543" s="551" t="s">
        <v>1689</v>
      </c>
      <c r="D11543" s="904" t="s">
        <v>370</v>
      </c>
      <c r="E11543" s="552">
        <v>11768</v>
      </c>
      <c r="F11543" s="126"/>
      <c r="G11543" s="126">
        <f t="shared" si="186"/>
        <v>-11768</v>
      </c>
      <c r="H11543" s="121" t="s">
        <v>7347</v>
      </c>
    </row>
    <row r="11544" spans="1:8" ht="15" x14ac:dyDescent="0.2">
      <c r="A11544" s="619">
        <v>44496</v>
      </c>
      <c r="B11544" s="63" t="s">
        <v>1400</v>
      </c>
      <c r="C11544" s="63" t="s">
        <v>3145</v>
      </c>
      <c r="D11544" s="791" t="s">
        <v>4874</v>
      </c>
      <c r="E11544" s="126">
        <v>1000</v>
      </c>
      <c r="F11544" s="126"/>
      <c r="G11544" s="126">
        <f t="shared" si="186"/>
        <v>-1000</v>
      </c>
      <c r="H11544" s="121" t="s">
        <v>7347</v>
      </c>
    </row>
    <row r="11545" spans="1:8" ht="15" x14ac:dyDescent="0.2">
      <c r="A11545" s="619">
        <v>44497</v>
      </c>
      <c r="B11545" s="63" t="s">
        <v>16</v>
      </c>
      <c r="C11545" s="63" t="s">
        <v>7436</v>
      </c>
      <c r="D11545" s="791" t="s">
        <v>7437</v>
      </c>
      <c r="E11545" s="126">
        <v>80000</v>
      </c>
      <c r="F11545" s="126"/>
      <c r="G11545" s="126">
        <f t="shared" si="186"/>
        <v>-80000</v>
      </c>
      <c r="H11545" s="121" t="s">
        <v>7347</v>
      </c>
    </row>
    <row r="11546" spans="1:8" ht="15" x14ac:dyDescent="0.2">
      <c r="A11546" s="619">
        <v>44497</v>
      </c>
      <c r="B11546" s="63" t="s">
        <v>7067</v>
      </c>
      <c r="C11546" s="63" t="s">
        <v>3145</v>
      </c>
      <c r="D11546" s="791" t="s">
        <v>7438</v>
      </c>
      <c r="E11546" s="126">
        <v>70000</v>
      </c>
      <c r="F11546" s="126"/>
      <c r="G11546" s="126">
        <f t="shared" si="186"/>
        <v>-70000</v>
      </c>
      <c r="H11546" s="121" t="s">
        <v>7347</v>
      </c>
    </row>
    <row r="11547" spans="1:8" ht="15" x14ac:dyDescent="0.2">
      <c r="A11547" s="619">
        <v>44497</v>
      </c>
      <c r="B11547" s="63" t="s">
        <v>7067</v>
      </c>
      <c r="C11547" s="63" t="s">
        <v>3145</v>
      </c>
      <c r="D11547" s="791" t="s">
        <v>7439</v>
      </c>
      <c r="E11547" s="126">
        <v>17500</v>
      </c>
      <c r="F11547" s="126"/>
      <c r="G11547" s="126">
        <f t="shared" si="186"/>
        <v>-17500</v>
      </c>
      <c r="H11547" s="121" t="s">
        <v>7347</v>
      </c>
    </row>
    <row r="11548" spans="1:8" ht="15" x14ac:dyDescent="0.2">
      <c r="A11548" s="619">
        <v>44498</v>
      </c>
      <c r="B11548" s="63" t="s">
        <v>25</v>
      </c>
      <c r="C11548" s="63" t="s">
        <v>3145</v>
      </c>
      <c r="D11548" s="791" t="s">
        <v>7440</v>
      </c>
      <c r="E11548" s="126">
        <v>10000</v>
      </c>
      <c r="F11548" s="126"/>
      <c r="G11548" s="126">
        <f t="shared" si="186"/>
        <v>-10000</v>
      </c>
      <c r="H11548" s="121" t="s">
        <v>7347</v>
      </c>
    </row>
    <row r="11549" spans="1:8" ht="15" x14ac:dyDescent="0.2">
      <c r="A11549" s="619">
        <v>44499</v>
      </c>
      <c r="B11549" s="63" t="s">
        <v>1400</v>
      </c>
      <c r="C11549" s="63" t="s">
        <v>7450</v>
      </c>
      <c r="D11549" s="791" t="s">
        <v>7451</v>
      </c>
      <c r="E11549" s="126">
        <v>14000</v>
      </c>
      <c r="F11549" s="126"/>
      <c r="G11549" s="126">
        <f t="shared" si="186"/>
        <v>-14000</v>
      </c>
      <c r="H11549" s="121" t="s">
        <v>7347</v>
      </c>
    </row>
    <row r="11550" spans="1:8" ht="15" x14ac:dyDescent="0.2">
      <c r="A11550" s="619">
        <v>44499</v>
      </c>
      <c r="B11550" s="63" t="s">
        <v>7067</v>
      </c>
      <c r="C11550" s="63" t="s">
        <v>6761</v>
      </c>
      <c r="D11550" s="791" t="s">
        <v>7452</v>
      </c>
      <c r="E11550" s="126">
        <v>30000</v>
      </c>
      <c r="F11550" s="126"/>
      <c r="G11550" s="126">
        <f t="shared" si="186"/>
        <v>-30000</v>
      </c>
      <c r="H11550" s="121" t="s">
        <v>7347</v>
      </c>
    </row>
    <row r="11551" spans="1:8" ht="15" x14ac:dyDescent="0.2">
      <c r="A11551" s="619">
        <v>44499</v>
      </c>
      <c r="B11551" s="63" t="s">
        <v>7067</v>
      </c>
      <c r="C11551" s="63" t="s">
        <v>392</v>
      </c>
      <c r="D11551" s="791" t="s">
        <v>600</v>
      </c>
      <c r="E11551" s="126">
        <v>700</v>
      </c>
      <c r="F11551" s="126"/>
      <c r="G11551" s="126">
        <f t="shared" si="186"/>
        <v>-700</v>
      </c>
      <c r="H11551" s="121" t="s">
        <v>7347</v>
      </c>
    </row>
    <row r="11552" spans="1:8" ht="15" x14ac:dyDescent="0.2">
      <c r="A11552" s="619">
        <v>44499</v>
      </c>
      <c r="B11552" s="63" t="s">
        <v>25</v>
      </c>
      <c r="C11552" s="63" t="s">
        <v>3145</v>
      </c>
      <c r="D11552" s="791" t="s">
        <v>6699</v>
      </c>
      <c r="E11552" s="126">
        <v>2600</v>
      </c>
      <c r="F11552" s="126"/>
      <c r="G11552" s="126">
        <f t="shared" si="186"/>
        <v>-2600</v>
      </c>
      <c r="H11552" s="121" t="s">
        <v>7347</v>
      </c>
    </row>
    <row r="11553" spans="1:8" ht="15" x14ac:dyDescent="0.2">
      <c r="A11553" s="619">
        <v>44499</v>
      </c>
      <c r="B11553" s="63" t="s">
        <v>3946</v>
      </c>
      <c r="C11553" s="63" t="s">
        <v>3145</v>
      </c>
      <c r="D11553" s="791" t="s">
        <v>6699</v>
      </c>
      <c r="E11553" s="126">
        <v>475</v>
      </c>
      <c r="F11553" s="126"/>
      <c r="G11553" s="126">
        <f t="shared" si="186"/>
        <v>-475</v>
      </c>
      <c r="H11553" s="121" t="s">
        <v>7347</v>
      </c>
    </row>
    <row r="11554" spans="1:8" ht="15" x14ac:dyDescent="0.2">
      <c r="A11554" s="619">
        <v>44499</v>
      </c>
      <c r="B11554" s="63" t="s">
        <v>5811</v>
      </c>
      <c r="C11554" s="63" t="s">
        <v>3145</v>
      </c>
      <c r="D11554" s="791" t="s">
        <v>6699</v>
      </c>
      <c r="E11554" s="126">
        <v>26200</v>
      </c>
      <c r="F11554" s="126"/>
      <c r="G11554" s="126">
        <f t="shared" si="186"/>
        <v>-26200</v>
      </c>
      <c r="H11554" s="121" t="s">
        <v>7347</v>
      </c>
    </row>
    <row r="11555" spans="1:8" ht="15" customHeight="1" x14ac:dyDescent="0.2">
      <c r="A11555" s="619">
        <v>44499</v>
      </c>
      <c r="B11555" s="63" t="s">
        <v>5811</v>
      </c>
      <c r="C11555" s="63" t="s">
        <v>3145</v>
      </c>
      <c r="D11555" s="791" t="s">
        <v>6699</v>
      </c>
      <c r="E11555" s="126">
        <v>3000</v>
      </c>
      <c r="F11555" s="126"/>
      <c r="G11555" s="126">
        <f t="shared" si="186"/>
        <v>-3000</v>
      </c>
      <c r="H11555" s="121" t="s">
        <v>7347</v>
      </c>
    </row>
    <row r="11556" spans="1:8" ht="15" x14ac:dyDescent="0.2">
      <c r="A11556" s="620">
        <v>44473</v>
      </c>
      <c r="B11556" s="174" t="s">
        <v>7067</v>
      </c>
      <c r="C11556" s="174" t="s">
        <v>6653</v>
      </c>
      <c r="D11556" s="903" t="s">
        <v>7357</v>
      </c>
      <c r="E11556" s="236">
        <v>87000</v>
      </c>
      <c r="F11556" s="236"/>
      <c r="G11556" s="236">
        <f t="shared" si="186"/>
        <v>-87000</v>
      </c>
      <c r="H11556" s="244" t="s">
        <v>7347</v>
      </c>
    </row>
    <row r="11557" spans="1:8" ht="15" x14ac:dyDescent="0.2">
      <c r="A11557" s="620">
        <v>44474</v>
      </c>
      <c r="B11557" s="174" t="s">
        <v>7067</v>
      </c>
      <c r="C11557" s="174" t="s">
        <v>6822</v>
      </c>
      <c r="D11557" s="903" t="s">
        <v>7358</v>
      </c>
      <c r="E11557" s="236">
        <v>150000</v>
      </c>
      <c r="F11557" s="236"/>
      <c r="G11557" s="236">
        <f t="shared" si="186"/>
        <v>-150000</v>
      </c>
      <c r="H11557" s="244" t="s">
        <v>7347</v>
      </c>
    </row>
    <row r="11558" spans="1:8" ht="15" x14ac:dyDescent="0.2">
      <c r="A11558" s="620">
        <v>44476</v>
      </c>
      <c r="B11558" s="174" t="s">
        <v>6511</v>
      </c>
      <c r="C11558" s="174" t="s">
        <v>2586</v>
      </c>
      <c r="D11558" s="909" t="s">
        <v>7382</v>
      </c>
      <c r="E11558" s="674"/>
      <c r="F11558" s="236"/>
      <c r="G11558" s="236">
        <f t="shared" si="186"/>
        <v>0</v>
      </c>
      <c r="H11558" s="244" t="s">
        <v>7347</v>
      </c>
    </row>
    <row r="11559" spans="1:8" ht="15" x14ac:dyDescent="0.2">
      <c r="A11559" s="620">
        <v>44476</v>
      </c>
      <c r="B11559" s="174" t="s">
        <v>1400</v>
      </c>
      <c r="C11559" s="551" t="s">
        <v>6706</v>
      </c>
      <c r="D11559" s="904" t="s">
        <v>7363</v>
      </c>
      <c r="E11559" s="552">
        <v>17273</v>
      </c>
      <c r="F11559" s="236"/>
      <c r="G11559" s="236">
        <f t="shared" si="186"/>
        <v>-17273</v>
      </c>
      <c r="H11559" s="244" t="s">
        <v>7347</v>
      </c>
    </row>
    <row r="11560" spans="1:8" ht="15" x14ac:dyDescent="0.2">
      <c r="A11560" s="620">
        <v>44476</v>
      </c>
      <c r="B11560" s="174" t="s">
        <v>6408</v>
      </c>
      <c r="C11560" s="551" t="s">
        <v>6706</v>
      </c>
      <c r="D11560" s="904" t="s">
        <v>6789</v>
      </c>
      <c r="E11560" s="552">
        <v>2404</v>
      </c>
      <c r="F11560" s="236"/>
      <c r="G11560" s="236">
        <f t="shared" si="186"/>
        <v>-2404</v>
      </c>
      <c r="H11560" s="244" t="s">
        <v>7347</v>
      </c>
    </row>
    <row r="11561" spans="1:8" ht="15" x14ac:dyDescent="0.2">
      <c r="A11561" s="620">
        <v>44476</v>
      </c>
      <c r="B11561" s="174" t="s">
        <v>6953</v>
      </c>
      <c r="C11561" s="551" t="s">
        <v>6706</v>
      </c>
      <c r="D11561" s="904" t="s">
        <v>6789</v>
      </c>
      <c r="E11561" s="552">
        <v>14457</v>
      </c>
      <c r="F11561" s="236"/>
      <c r="G11561" s="236">
        <f t="shared" si="186"/>
        <v>-14457</v>
      </c>
      <c r="H11561" s="244" t="s">
        <v>7347</v>
      </c>
    </row>
    <row r="11562" spans="1:8" ht="15" x14ac:dyDescent="0.2">
      <c r="A11562" s="620">
        <v>44476</v>
      </c>
      <c r="B11562" s="174" t="s">
        <v>7112</v>
      </c>
      <c r="C11562" s="551" t="s">
        <v>6706</v>
      </c>
      <c r="D11562" s="904" t="s">
        <v>6789</v>
      </c>
      <c r="E11562" s="552">
        <v>3866</v>
      </c>
      <c r="F11562" s="236"/>
      <c r="G11562" s="236">
        <f t="shared" si="186"/>
        <v>-3866</v>
      </c>
      <c r="H11562" s="244" t="s">
        <v>7347</v>
      </c>
    </row>
    <row r="11563" spans="1:8" ht="24" x14ac:dyDescent="0.2">
      <c r="A11563" s="620">
        <v>44476</v>
      </c>
      <c r="B11563" s="174" t="s">
        <v>1691</v>
      </c>
      <c r="C11563" s="174" t="s">
        <v>7323</v>
      </c>
      <c r="D11563" s="228" t="s">
        <v>7364</v>
      </c>
      <c r="E11563" s="236">
        <v>25000</v>
      </c>
      <c r="F11563" s="236"/>
      <c r="G11563" s="236">
        <f t="shared" si="186"/>
        <v>-25000</v>
      </c>
      <c r="H11563" s="244" t="s">
        <v>7347</v>
      </c>
    </row>
    <row r="11564" spans="1:8" ht="15" x14ac:dyDescent="0.2">
      <c r="A11564" s="620">
        <v>44480</v>
      </c>
      <c r="B11564" s="174" t="s">
        <v>7067</v>
      </c>
      <c r="C11564" s="174" t="s">
        <v>2128</v>
      </c>
      <c r="D11564" s="228" t="s">
        <v>7366</v>
      </c>
      <c r="E11564" s="236">
        <v>300000</v>
      </c>
      <c r="F11564" s="236"/>
      <c r="G11564" s="236">
        <f t="shared" si="186"/>
        <v>-300000</v>
      </c>
      <c r="H11564" s="244" t="s">
        <v>7347</v>
      </c>
    </row>
    <row r="11565" spans="1:8" ht="15" x14ac:dyDescent="0.2">
      <c r="A11565" s="620">
        <v>44480</v>
      </c>
      <c r="B11565" s="174" t="s">
        <v>7067</v>
      </c>
      <c r="C11565" s="174" t="s">
        <v>2128</v>
      </c>
      <c r="D11565" s="228" t="s">
        <v>7367</v>
      </c>
      <c r="E11565" s="236">
        <v>300000</v>
      </c>
      <c r="F11565" s="236"/>
      <c r="G11565" s="236">
        <f t="shared" si="186"/>
        <v>-300000</v>
      </c>
      <c r="H11565" s="244" t="s">
        <v>7347</v>
      </c>
    </row>
    <row r="11566" spans="1:8" ht="15" x14ac:dyDescent="0.2">
      <c r="A11566" s="620">
        <v>44482</v>
      </c>
      <c r="B11566" s="174" t="s">
        <v>7112</v>
      </c>
      <c r="C11566" s="174" t="s">
        <v>1509</v>
      </c>
      <c r="D11566" s="228" t="s">
        <v>7385</v>
      </c>
      <c r="E11566" s="236">
        <v>53000</v>
      </c>
      <c r="F11566" s="236"/>
      <c r="G11566" s="236">
        <f t="shared" si="186"/>
        <v>-53000</v>
      </c>
      <c r="H11566" s="244" t="s">
        <v>7347</v>
      </c>
    </row>
    <row r="11567" spans="1:8" ht="15" x14ac:dyDescent="0.2">
      <c r="A11567" s="620">
        <v>44485</v>
      </c>
      <c r="B11567" s="174" t="s">
        <v>1400</v>
      </c>
      <c r="C11567" s="174" t="s">
        <v>7386</v>
      </c>
      <c r="D11567" s="228" t="s">
        <v>7387</v>
      </c>
      <c r="E11567" s="236">
        <v>24239</v>
      </c>
      <c r="F11567" s="236"/>
      <c r="G11567" s="236">
        <f t="shared" si="186"/>
        <v>-24239</v>
      </c>
      <c r="H11567" s="244" t="s">
        <v>7347</v>
      </c>
    </row>
    <row r="11568" spans="1:8" ht="15" x14ac:dyDescent="0.2">
      <c r="A11568" s="620">
        <v>44487</v>
      </c>
      <c r="B11568" s="174" t="s">
        <v>7067</v>
      </c>
      <c r="C11568" s="174" t="s">
        <v>6784</v>
      </c>
      <c r="D11568" s="228" t="s">
        <v>7388</v>
      </c>
      <c r="E11568" s="236">
        <v>128000</v>
      </c>
      <c r="F11568" s="236"/>
      <c r="G11568" s="236">
        <f t="shared" si="186"/>
        <v>-128000</v>
      </c>
      <c r="H11568" s="244" t="s">
        <v>7347</v>
      </c>
    </row>
    <row r="11569" spans="1:8" ht="15" x14ac:dyDescent="0.2">
      <c r="A11569" s="620">
        <v>44487</v>
      </c>
      <c r="B11569" s="174" t="s">
        <v>7067</v>
      </c>
      <c r="C11569" s="174" t="s">
        <v>1524</v>
      </c>
      <c r="D11569" s="228" t="s">
        <v>7403</v>
      </c>
      <c r="E11569" s="236">
        <v>59700</v>
      </c>
      <c r="F11569" s="236"/>
      <c r="G11569" s="236">
        <f t="shared" si="186"/>
        <v>-59700</v>
      </c>
      <c r="H11569" s="244" t="s">
        <v>7347</v>
      </c>
    </row>
    <row r="11570" spans="1:8" ht="15" x14ac:dyDescent="0.2">
      <c r="A11570" s="620">
        <v>44487</v>
      </c>
      <c r="B11570" s="174" t="s">
        <v>2933</v>
      </c>
      <c r="C11570" s="551" t="s">
        <v>1063</v>
      </c>
      <c r="D11570" s="740" t="s">
        <v>7404</v>
      </c>
      <c r="E11570" s="552">
        <v>77106</v>
      </c>
      <c r="F11570" s="236"/>
      <c r="G11570" s="236">
        <f t="shared" si="186"/>
        <v>-77106</v>
      </c>
      <c r="H11570" s="244" t="s">
        <v>7347</v>
      </c>
    </row>
    <row r="11571" spans="1:8" ht="15" x14ac:dyDescent="0.2">
      <c r="A11571" s="620">
        <v>44487</v>
      </c>
      <c r="B11571" s="174" t="s">
        <v>4553</v>
      </c>
      <c r="C11571" s="551" t="s">
        <v>1063</v>
      </c>
      <c r="D11571" s="740" t="s">
        <v>6789</v>
      </c>
      <c r="E11571" s="552">
        <v>3700</v>
      </c>
      <c r="F11571" s="236"/>
      <c r="G11571" s="236">
        <f t="shared" si="186"/>
        <v>-3700</v>
      </c>
      <c r="H11571" s="244" t="s">
        <v>7347</v>
      </c>
    </row>
    <row r="11572" spans="1:8" ht="15" x14ac:dyDescent="0.2">
      <c r="A11572" s="620">
        <v>44487</v>
      </c>
      <c r="B11572" s="174" t="s">
        <v>2652</v>
      </c>
      <c r="C11572" s="551" t="s">
        <v>1063</v>
      </c>
      <c r="D11572" s="740" t="s">
        <v>6789</v>
      </c>
      <c r="E11572" s="552">
        <v>5504</v>
      </c>
      <c r="F11572" s="236"/>
      <c r="G11572" s="236">
        <f t="shared" si="186"/>
        <v>-5504</v>
      </c>
      <c r="H11572" s="244" t="s">
        <v>7347</v>
      </c>
    </row>
    <row r="11573" spans="1:8" ht="15" x14ac:dyDescent="0.2">
      <c r="A11573" s="620">
        <v>44487</v>
      </c>
      <c r="B11573" s="174" t="s">
        <v>1400</v>
      </c>
      <c r="C11573" s="551" t="s">
        <v>1063</v>
      </c>
      <c r="D11573" s="740" t="s">
        <v>6789</v>
      </c>
      <c r="E11573" s="552">
        <v>38924</v>
      </c>
      <c r="F11573" s="236"/>
      <c r="G11573" s="236">
        <f t="shared" si="186"/>
        <v>-38924</v>
      </c>
      <c r="H11573" s="244" t="s">
        <v>7347</v>
      </c>
    </row>
    <row r="11574" spans="1:8" ht="15" x14ac:dyDescent="0.2">
      <c r="A11574" s="620">
        <v>44490</v>
      </c>
      <c r="B11574" s="174" t="s">
        <v>6511</v>
      </c>
      <c r="C11574" s="174" t="s">
        <v>6378</v>
      </c>
      <c r="D11574" s="228" t="s">
        <v>7407</v>
      </c>
      <c r="E11574" s="236">
        <v>34000</v>
      </c>
      <c r="F11574" s="236"/>
      <c r="G11574" s="236">
        <f t="shared" si="186"/>
        <v>-34000</v>
      </c>
      <c r="H11574" s="244" t="s">
        <v>7347</v>
      </c>
    </row>
    <row r="11575" spans="1:8" ht="24" x14ac:dyDescent="0.2">
      <c r="A11575" s="620">
        <v>44490</v>
      </c>
      <c r="B11575" s="174" t="s">
        <v>6408</v>
      </c>
      <c r="C11575" s="551" t="s">
        <v>3446</v>
      </c>
      <c r="D11575" s="740" t="s">
        <v>7408</v>
      </c>
      <c r="E11575" s="552">
        <v>10000</v>
      </c>
      <c r="F11575" s="236"/>
      <c r="G11575" s="236">
        <f t="shared" si="186"/>
        <v>-10000</v>
      </c>
      <c r="H11575" s="244" t="s">
        <v>7347</v>
      </c>
    </row>
    <row r="11576" spans="1:8" ht="15" x14ac:dyDescent="0.2">
      <c r="A11576" s="620">
        <v>44490</v>
      </c>
      <c r="B11576" s="174" t="s">
        <v>6511</v>
      </c>
      <c r="C11576" s="551" t="s">
        <v>3446</v>
      </c>
      <c r="D11576" s="740" t="s">
        <v>7409</v>
      </c>
      <c r="E11576" s="552">
        <v>20000</v>
      </c>
      <c r="F11576" s="236"/>
      <c r="G11576" s="236">
        <f t="shared" si="186"/>
        <v>-20000</v>
      </c>
      <c r="H11576" s="244" t="s">
        <v>7347</v>
      </c>
    </row>
    <row r="11577" spans="1:8" ht="15" x14ac:dyDescent="0.2">
      <c r="A11577" s="620">
        <v>44490</v>
      </c>
      <c r="B11577" s="174" t="s">
        <v>3946</v>
      </c>
      <c r="C11577" s="174" t="s">
        <v>7271</v>
      </c>
      <c r="D11577" s="228" t="s">
        <v>7410</v>
      </c>
      <c r="E11577" s="236">
        <v>150000</v>
      </c>
      <c r="F11577" s="236"/>
      <c r="G11577" s="236">
        <f t="shared" si="186"/>
        <v>-150000</v>
      </c>
      <c r="H11577" s="244" t="s">
        <v>7347</v>
      </c>
    </row>
    <row r="11578" spans="1:8" ht="15" x14ac:dyDescent="0.2">
      <c r="A11578" s="620">
        <v>44490</v>
      </c>
      <c r="B11578" s="174" t="s">
        <v>3946</v>
      </c>
      <c r="C11578" s="174" t="s">
        <v>7271</v>
      </c>
      <c r="D11578" s="228" t="s">
        <v>7411</v>
      </c>
      <c r="E11578" s="236">
        <v>150000</v>
      </c>
      <c r="F11578" s="236"/>
      <c r="G11578" s="236">
        <f t="shared" si="186"/>
        <v>-150000</v>
      </c>
      <c r="H11578" s="244" t="s">
        <v>7347</v>
      </c>
    </row>
    <row r="11579" spans="1:8" ht="24" x14ac:dyDescent="0.2">
      <c r="A11579" s="620">
        <v>44494</v>
      </c>
      <c r="B11579" s="174" t="s">
        <v>7067</v>
      </c>
      <c r="C11579" s="174" t="s">
        <v>7412</v>
      </c>
      <c r="D11579" s="228" t="s">
        <v>7413</v>
      </c>
      <c r="E11579" s="236">
        <v>116000</v>
      </c>
      <c r="F11579" s="236"/>
      <c r="G11579" s="236">
        <f t="shared" si="186"/>
        <v>-116000</v>
      </c>
      <c r="H11579" s="244" t="s">
        <v>7347</v>
      </c>
    </row>
    <row r="11580" spans="1:8" ht="24" x14ac:dyDescent="0.2">
      <c r="A11580" s="620">
        <v>44495</v>
      </c>
      <c r="B11580" s="174" t="s">
        <v>6408</v>
      </c>
      <c r="C11580" s="551" t="s">
        <v>2310</v>
      </c>
      <c r="D11580" s="740" t="s">
        <v>7430</v>
      </c>
      <c r="E11580" s="552">
        <v>8300</v>
      </c>
      <c r="F11580" s="236"/>
      <c r="G11580" s="236">
        <f t="shared" si="186"/>
        <v>-8300</v>
      </c>
      <c r="H11580" s="244" t="s">
        <v>7347</v>
      </c>
    </row>
    <row r="11581" spans="1:8" ht="15" x14ac:dyDescent="0.2">
      <c r="A11581" s="620">
        <v>44495</v>
      </c>
      <c r="B11581" s="174" t="s">
        <v>7067</v>
      </c>
      <c r="C11581" s="551" t="s">
        <v>2310</v>
      </c>
      <c r="D11581" s="740" t="s">
        <v>6789</v>
      </c>
      <c r="E11581" s="552">
        <v>280400</v>
      </c>
      <c r="F11581" s="236"/>
      <c r="G11581" s="236">
        <f t="shared" si="186"/>
        <v>-280400</v>
      </c>
      <c r="H11581" s="244" t="s">
        <v>7347</v>
      </c>
    </row>
    <row r="11582" spans="1:8" ht="15" x14ac:dyDescent="0.2">
      <c r="A11582" s="620">
        <v>44495</v>
      </c>
      <c r="B11582" s="174" t="s">
        <v>2933</v>
      </c>
      <c r="C11582" s="551" t="s">
        <v>2310</v>
      </c>
      <c r="D11582" s="740" t="s">
        <v>6789</v>
      </c>
      <c r="E11582" s="552">
        <v>11300</v>
      </c>
      <c r="F11582" s="236"/>
      <c r="G11582" s="236">
        <f t="shared" si="186"/>
        <v>-11300</v>
      </c>
      <c r="H11582" s="244" t="s">
        <v>7347</v>
      </c>
    </row>
    <row r="11583" spans="1:8" ht="24" x14ac:dyDescent="0.2">
      <c r="A11583" s="620">
        <v>44495</v>
      </c>
      <c r="B11583" s="174" t="s">
        <v>7067</v>
      </c>
      <c r="C11583" s="174" t="s">
        <v>4444</v>
      </c>
      <c r="D11583" s="228" t="s">
        <v>7431</v>
      </c>
      <c r="E11583" s="236">
        <v>400000</v>
      </c>
      <c r="F11583" s="236"/>
      <c r="G11583" s="236">
        <f t="shared" si="186"/>
        <v>-400000</v>
      </c>
      <c r="H11583" s="244" t="s">
        <v>7347</v>
      </c>
    </row>
    <row r="11584" spans="1:8" ht="24" x14ac:dyDescent="0.2">
      <c r="A11584" s="620">
        <v>44495</v>
      </c>
      <c r="B11584" s="174" t="s">
        <v>1400</v>
      </c>
      <c r="C11584" s="551" t="s">
        <v>1355</v>
      </c>
      <c r="D11584" s="740" t="s">
        <v>7430</v>
      </c>
      <c r="E11584" s="552">
        <v>75800</v>
      </c>
      <c r="F11584" s="236"/>
      <c r="G11584" s="236">
        <f t="shared" si="186"/>
        <v>-75800</v>
      </c>
      <c r="H11584" s="244" t="s">
        <v>7347</v>
      </c>
    </row>
    <row r="11585" spans="1:8" ht="15" x14ac:dyDescent="0.2">
      <c r="A11585" s="620">
        <v>44495</v>
      </c>
      <c r="B11585" s="174" t="s">
        <v>5811</v>
      </c>
      <c r="C11585" s="551" t="s">
        <v>1355</v>
      </c>
      <c r="D11585" s="740" t="s">
        <v>6789</v>
      </c>
      <c r="E11585" s="552">
        <v>63000</v>
      </c>
      <c r="F11585" s="236"/>
      <c r="G11585" s="236">
        <f t="shared" si="186"/>
        <v>-63000</v>
      </c>
      <c r="H11585" s="244" t="s">
        <v>7347</v>
      </c>
    </row>
    <row r="11586" spans="1:8" ht="15" x14ac:dyDescent="0.2">
      <c r="A11586" s="620">
        <v>44495</v>
      </c>
      <c r="B11586" s="174" t="s">
        <v>3946</v>
      </c>
      <c r="C11586" s="551" t="s">
        <v>1355</v>
      </c>
      <c r="D11586" s="740" t="s">
        <v>6789</v>
      </c>
      <c r="E11586" s="552">
        <v>161200</v>
      </c>
      <c r="F11586" s="236"/>
      <c r="G11586" s="236">
        <f t="shared" si="186"/>
        <v>-161200</v>
      </c>
      <c r="H11586" s="244" t="s">
        <v>7347</v>
      </c>
    </row>
    <row r="11587" spans="1:8" ht="36" x14ac:dyDescent="0.2">
      <c r="A11587" s="620">
        <v>44499</v>
      </c>
      <c r="B11587" s="174" t="s">
        <v>7067</v>
      </c>
      <c r="C11587" s="174" t="s">
        <v>4444</v>
      </c>
      <c r="D11587" s="228" t="s">
        <v>7443</v>
      </c>
      <c r="E11587" s="236">
        <v>190000</v>
      </c>
      <c r="F11587" s="236"/>
      <c r="G11587" s="236">
        <f t="shared" si="186"/>
        <v>-190000</v>
      </c>
      <c r="H11587" s="244" t="s">
        <v>7347</v>
      </c>
    </row>
    <row r="11588" spans="1:8" ht="24" x14ac:dyDescent="0.2">
      <c r="A11588" s="618">
        <v>44471</v>
      </c>
      <c r="B11588" s="94" t="s">
        <v>37</v>
      </c>
      <c r="C11588" s="94" t="s">
        <v>559</v>
      </c>
      <c r="D11588" s="802" t="s">
        <v>7359</v>
      </c>
      <c r="E11588" s="176"/>
      <c r="F11588" s="176">
        <v>377136</v>
      </c>
      <c r="G11588" s="176">
        <f t="shared" si="186"/>
        <v>377136</v>
      </c>
      <c r="H11588" s="261" t="s">
        <v>7347</v>
      </c>
    </row>
    <row r="11589" spans="1:8" ht="24" x14ac:dyDescent="0.2">
      <c r="A11589" s="618">
        <v>44478</v>
      </c>
      <c r="B11589" s="94" t="s">
        <v>5052</v>
      </c>
      <c r="C11589" s="94" t="s">
        <v>559</v>
      </c>
      <c r="D11589" s="802" t="s">
        <v>7365</v>
      </c>
      <c r="E11589" s="176"/>
      <c r="F11589" s="176">
        <v>150000</v>
      </c>
      <c r="G11589" s="176">
        <f t="shared" ref="G11589:G11652" si="187">F11589-E11589</f>
        <v>150000</v>
      </c>
      <c r="H11589" s="261" t="s">
        <v>7347</v>
      </c>
    </row>
    <row r="11590" spans="1:8" ht="24" x14ac:dyDescent="0.2">
      <c r="A11590" s="618">
        <v>44478</v>
      </c>
      <c r="B11590" s="94" t="s">
        <v>5052</v>
      </c>
      <c r="C11590" s="94" t="s">
        <v>559</v>
      </c>
      <c r="D11590" s="802" t="s">
        <v>7365</v>
      </c>
      <c r="E11590" s="176"/>
      <c r="F11590" s="176">
        <v>444000</v>
      </c>
      <c r="G11590" s="176">
        <f t="shared" si="187"/>
        <v>444000</v>
      </c>
      <c r="H11590" s="261" t="s">
        <v>7347</v>
      </c>
    </row>
    <row r="11591" spans="1:8" ht="15" x14ac:dyDescent="0.2">
      <c r="A11591" s="618">
        <v>44489</v>
      </c>
      <c r="B11591" s="91" t="s">
        <v>3946</v>
      </c>
      <c r="C11591" s="94" t="s">
        <v>559</v>
      </c>
      <c r="D11591" s="801" t="s">
        <v>7389</v>
      </c>
      <c r="E11591" s="92"/>
      <c r="F11591" s="92">
        <v>139113</v>
      </c>
      <c r="G11591" s="92">
        <f t="shared" si="187"/>
        <v>139113</v>
      </c>
      <c r="H11591" s="261" t="s">
        <v>7347</v>
      </c>
    </row>
    <row r="11592" spans="1:8" ht="15" x14ac:dyDescent="0.2">
      <c r="A11592" s="618">
        <v>44489</v>
      </c>
      <c r="B11592" s="91" t="s">
        <v>3945</v>
      </c>
      <c r="C11592" s="94" t="s">
        <v>559</v>
      </c>
      <c r="D11592" s="801" t="s">
        <v>7390</v>
      </c>
      <c r="E11592" s="92"/>
      <c r="F11592" s="92">
        <v>90958</v>
      </c>
      <c r="G11592" s="92">
        <f t="shared" si="187"/>
        <v>90958</v>
      </c>
      <c r="H11592" s="261" t="s">
        <v>7347</v>
      </c>
    </row>
    <row r="11593" spans="1:8" ht="24" customHeight="1" x14ac:dyDescent="0.2">
      <c r="A11593" s="618">
        <v>44490</v>
      </c>
      <c r="B11593" s="94" t="s">
        <v>6508</v>
      </c>
      <c r="C11593" s="94" t="s">
        <v>559</v>
      </c>
      <c r="D11593" s="802" t="s">
        <v>7426</v>
      </c>
      <c r="E11593" s="176"/>
      <c r="F11593" s="176">
        <v>230307</v>
      </c>
      <c r="G11593" s="176">
        <f t="shared" si="187"/>
        <v>230307</v>
      </c>
      <c r="H11593" s="261" t="s">
        <v>7347</v>
      </c>
    </row>
    <row r="11594" spans="1:8" ht="24" customHeight="1" x14ac:dyDescent="0.2">
      <c r="A11594" s="618">
        <v>44490</v>
      </c>
      <c r="B11594" s="94" t="s">
        <v>6508</v>
      </c>
      <c r="C11594" s="94" t="s">
        <v>559</v>
      </c>
      <c r="D11594" s="802" t="s">
        <v>7426</v>
      </c>
      <c r="E11594" s="176"/>
      <c r="F11594" s="176">
        <v>301000</v>
      </c>
      <c r="G11594" s="176">
        <f t="shared" si="187"/>
        <v>301000</v>
      </c>
      <c r="H11594" s="261" t="s">
        <v>7347</v>
      </c>
    </row>
    <row r="11595" spans="1:8" ht="15" customHeight="1" x14ac:dyDescent="0.2">
      <c r="A11595" s="675">
        <v>44491</v>
      </c>
      <c r="B11595" s="676" t="s">
        <v>2933</v>
      </c>
      <c r="C11595" s="677" t="s">
        <v>559</v>
      </c>
      <c r="D11595" s="910" t="s">
        <v>7406</v>
      </c>
      <c r="E11595" s="678"/>
      <c r="F11595" s="679">
        <v>4560733</v>
      </c>
      <c r="G11595" s="678">
        <f t="shared" si="187"/>
        <v>4560733</v>
      </c>
      <c r="H11595" s="261" t="s">
        <v>7347</v>
      </c>
    </row>
    <row r="11596" spans="1:8" ht="15" customHeight="1" x14ac:dyDescent="0.2">
      <c r="A11596" s="618">
        <v>44492</v>
      </c>
      <c r="B11596" s="94" t="s">
        <v>7067</v>
      </c>
      <c r="C11596" s="94" t="s">
        <v>559</v>
      </c>
      <c r="D11596" s="802" t="s">
        <v>7405</v>
      </c>
      <c r="E11596" s="176"/>
      <c r="F11596" s="176">
        <v>1000000</v>
      </c>
      <c r="G11596" s="176">
        <f t="shared" si="187"/>
        <v>1000000</v>
      </c>
      <c r="H11596" s="261" t="s">
        <v>7347</v>
      </c>
    </row>
    <row r="11597" spans="1:8" ht="15" customHeight="1" x14ac:dyDescent="0.2">
      <c r="A11597" s="618">
        <v>44492</v>
      </c>
      <c r="B11597" s="94" t="s">
        <v>7067</v>
      </c>
      <c r="C11597" s="94" t="s">
        <v>559</v>
      </c>
      <c r="D11597" s="802" t="s">
        <v>7405</v>
      </c>
      <c r="E11597" s="176"/>
      <c r="F11597" s="176">
        <v>1000000</v>
      </c>
      <c r="G11597" s="176">
        <f t="shared" si="187"/>
        <v>1000000</v>
      </c>
      <c r="H11597" s="261" t="s">
        <v>7347</v>
      </c>
    </row>
    <row r="11598" spans="1:8" ht="15" customHeight="1" x14ac:dyDescent="0.2">
      <c r="A11598" s="618">
        <v>44492</v>
      </c>
      <c r="B11598" s="94" t="s">
        <v>7067</v>
      </c>
      <c r="C11598" s="94" t="s">
        <v>559</v>
      </c>
      <c r="D11598" s="802" t="s">
        <v>7405</v>
      </c>
      <c r="E11598" s="176"/>
      <c r="F11598" s="176">
        <v>805000</v>
      </c>
      <c r="G11598" s="176">
        <f t="shared" si="187"/>
        <v>805000</v>
      </c>
      <c r="H11598" s="261" t="s">
        <v>7347</v>
      </c>
    </row>
    <row r="11599" spans="1:8" ht="15" customHeight="1" x14ac:dyDescent="0.2">
      <c r="A11599" s="618">
        <v>44495</v>
      </c>
      <c r="B11599" s="94" t="s">
        <v>6508</v>
      </c>
      <c r="C11599" s="94" t="s">
        <v>559</v>
      </c>
      <c r="D11599" s="802" t="s">
        <v>7427</v>
      </c>
      <c r="E11599" s="176"/>
      <c r="F11599" s="176">
        <v>300000</v>
      </c>
      <c r="G11599" s="176">
        <f t="shared" si="187"/>
        <v>300000</v>
      </c>
      <c r="H11599" s="261" t="s">
        <v>7347</v>
      </c>
    </row>
    <row r="11600" spans="1:8" ht="24" customHeight="1" x14ac:dyDescent="0.2">
      <c r="A11600" s="618">
        <v>44495</v>
      </c>
      <c r="B11600" s="94" t="s">
        <v>6508</v>
      </c>
      <c r="C11600" s="94" t="s">
        <v>559</v>
      </c>
      <c r="D11600" s="802" t="s">
        <v>7428</v>
      </c>
      <c r="E11600" s="176"/>
      <c r="F11600" s="176">
        <v>300000</v>
      </c>
      <c r="G11600" s="176">
        <f t="shared" si="187"/>
        <v>300000</v>
      </c>
      <c r="H11600" s="261" t="s">
        <v>7347</v>
      </c>
    </row>
    <row r="11601" spans="1:8" ht="24" customHeight="1" x14ac:dyDescent="0.2">
      <c r="A11601" s="618">
        <v>44495</v>
      </c>
      <c r="B11601" s="94" t="s">
        <v>6508</v>
      </c>
      <c r="C11601" s="94" t="s">
        <v>559</v>
      </c>
      <c r="D11601" s="802" t="s">
        <v>7429</v>
      </c>
      <c r="E11601" s="176"/>
      <c r="F11601" s="176">
        <v>400000</v>
      </c>
      <c r="G11601" s="176">
        <f t="shared" si="187"/>
        <v>400000</v>
      </c>
      <c r="H11601" s="261" t="s">
        <v>7347</v>
      </c>
    </row>
    <row r="11602" spans="1:8" ht="15" customHeight="1" x14ac:dyDescent="0.2">
      <c r="A11602" s="619">
        <v>44501</v>
      </c>
      <c r="B11602" s="63" t="s">
        <v>7067</v>
      </c>
      <c r="C11602" s="63" t="s">
        <v>392</v>
      </c>
      <c r="D11602" s="183" t="s">
        <v>600</v>
      </c>
      <c r="E11602" s="126">
        <v>160</v>
      </c>
      <c r="F11602" s="126"/>
      <c r="G11602" s="126">
        <f t="shared" si="187"/>
        <v>-160</v>
      </c>
      <c r="H11602" s="121" t="s">
        <v>7453</v>
      </c>
    </row>
    <row r="11603" spans="1:8" ht="15" customHeight="1" x14ac:dyDescent="0.2">
      <c r="A11603" s="619">
        <v>44502</v>
      </c>
      <c r="B11603" s="63" t="s">
        <v>7112</v>
      </c>
      <c r="C11603" s="63" t="s">
        <v>1509</v>
      </c>
      <c r="D11603" s="183" t="s">
        <v>1121</v>
      </c>
      <c r="E11603" s="126">
        <v>5000</v>
      </c>
      <c r="F11603" s="126"/>
      <c r="G11603" s="126">
        <f t="shared" si="187"/>
        <v>-5000</v>
      </c>
      <c r="H11603" s="121" t="s">
        <v>7453</v>
      </c>
    </row>
    <row r="11604" spans="1:8" ht="15" customHeight="1" x14ac:dyDescent="0.2">
      <c r="A11604" s="619">
        <v>44502</v>
      </c>
      <c r="B11604" s="63" t="s">
        <v>7555</v>
      </c>
      <c r="C11604" s="63" t="s">
        <v>1896</v>
      </c>
      <c r="D11604" s="183" t="s">
        <v>7454</v>
      </c>
      <c r="E11604" s="126">
        <v>15000</v>
      </c>
      <c r="F11604" s="126"/>
      <c r="G11604" s="126">
        <f t="shared" si="187"/>
        <v>-15000</v>
      </c>
      <c r="H11604" s="121" t="s">
        <v>7453</v>
      </c>
    </row>
    <row r="11605" spans="1:8" ht="15" customHeight="1" x14ac:dyDescent="0.2">
      <c r="A11605" s="619">
        <v>44502</v>
      </c>
      <c r="B11605" s="63" t="s">
        <v>7067</v>
      </c>
      <c r="C11605" s="63" t="s">
        <v>3145</v>
      </c>
      <c r="D11605" s="183" t="s">
        <v>7455</v>
      </c>
      <c r="E11605" s="126">
        <v>31710</v>
      </c>
      <c r="F11605" s="126"/>
      <c r="G11605" s="126">
        <f t="shared" si="187"/>
        <v>-31710</v>
      </c>
      <c r="H11605" s="121" t="s">
        <v>7453</v>
      </c>
    </row>
    <row r="11606" spans="1:8" ht="15" customHeight="1" x14ac:dyDescent="0.2">
      <c r="A11606" s="619">
        <v>44503</v>
      </c>
      <c r="B11606" s="63" t="s">
        <v>7067</v>
      </c>
      <c r="C11606" s="63" t="s">
        <v>3145</v>
      </c>
      <c r="D11606" s="183" t="s">
        <v>3974</v>
      </c>
      <c r="E11606" s="126">
        <v>17038</v>
      </c>
      <c r="F11606" s="126"/>
      <c r="G11606" s="126">
        <f t="shared" si="187"/>
        <v>-17038</v>
      </c>
      <c r="H11606" s="121" t="s">
        <v>7453</v>
      </c>
    </row>
    <row r="11607" spans="1:8" ht="15" customHeight="1" x14ac:dyDescent="0.2">
      <c r="A11607" s="619">
        <v>44503</v>
      </c>
      <c r="B11607" s="63" t="s">
        <v>6953</v>
      </c>
      <c r="C11607" s="63" t="s">
        <v>392</v>
      </c>
      <c r="D11607" s="183" t="s">
        <v>7456</v>
      </c>
      <c r="E11607" s="126">
        <v>3000</v>
      </c>
      <c r="F11607" s="126"/>
      <c r="G11607" s="126">
        <f t="shared" si="187"/>
        <v>-3000</v>
      </c>
      <c r="H11607" s="121" t="s">
        <v>7453</v>
      </c>
    </row>
    <row r="11608" spans="1:8" ht="15" customHeight="1" x14ac:dyDescent="0.2">
      <c r="A11608" s="619">
        <v>44503</v>
      </c>
      <c r="B11608" s="63" t="s">
        <v>16</v>
      </c>
      <c r="C11608" s="63" t="s">
        <v>2996</v>
      </c>
      <c r="D11608" s="183"/>
      <c r="E11608" s="126">
        <v>2500</v>
      </c>
      <c r="F11608" s="126"/>
      <c r="G11608" s="126">
        <f t="shared" si="187"/>
        <v>-2500</v>
      </c>
      <c r="H11608" s="121" t="s">
        <v>7453</v>
      </c>
    </row>
    <row r="11609" spans="1:8" ht="15" customHeight="1" x14ac:dyDescent="0.2">
      <c r="A11609" s="619">
        <v>44503</v>
      </c>
      <c r="B11609" s="63" t="s">
        <v>2933</v>
      </c>
      <c r="C11609" s="63" t="s">
        <v>392</v>
      </c>
      <c r="D11609" s="183" t="s">
        <v>7417</v>
      </c>
      <c r="E11609" s="126">
        <v>1650</v>
      </c>
      <c r="F11609" s="126"/>
      <c r="G11609" s="126">
        <f t="shared" si="187"/>
        <v>-1650</v>
      </c>
      <c r="H11609" s="121" t="s">
        <v>7453</v>
      </c>
    </row>
    <row r="11610" spans="1:8" ht="15" customHeight="1" x14ac:dyDescent="0.2">
      <c r="A11610" s="619">
        <v>44503</v>
      </c>
      <c r="B11610" s="63" t="s">
        <v>7555</v>
      </c>
      <c r="C11610" s="63" t="s">
        <v>1896</v>
      </c>
      <c r="D11610" s="183" t="s">
        <v>7457</v>
      </c>
      <c r="E11610" s="126">
        <v>15000</v>
      </c>
      <c r="F11610" s="126"/>
      <c r="G11610" s="126">
        <f t="shared" si="187"/>
        <v>-15000</v>
      </c>
      <c r="H11610" s="121" t="s">
        <v>7453</v>
      </c>
    </row>
    <row r="11611" spans="1:8" ht="15" customHeight="1" x14ac:dyDescent="0.2">
      <c r="A11611" s="619">
        <v>44504</v>
      </c>
      <c r="B11611" s="63" t="s">
        <v>7067</v>
      </c>
      <c r="C11611" s="551" t="s">
        <v>318</v>
      </c>
      <c r="D11611" s="740" t="s">
        <v>7383</v>
      </c>
      <c r="E11611" s="552">
        <v>33100</v>
      </c>
      <c r="F11611" s="126"/>
      <c r="G11611" s="126">
        <f t="shared" si="187"/>
        <v>-33100</v>
      </c>
      <c r="H11611" s="121" t="s">
        <v>7453</v>
      </c>
    </row>
    <row r="11612" spans="1:8" ht="15" customHeight="1" x14ac:dyDescent="0.2">
      <c r="A11612" s="619">
        <v>44504</v>
      </c>
      <c r="B11612" s="63" t="s">
        <v>1400</v>
      </c>
      <c r="C11612" s="551" t="s">
        <v>318</v>
      </c>
      <c r="D11612" s="740" t="s">
        <v>6789</v>
      </c>
      <c r="E11612" s="552">
        <v>30250</v>
      </c>
      <c r="F11612" s="126"/>
      <c r="G11612" s="126">
        <f t="shared" si="187"/>
        <v>-30250</v>
      </c>
      <c r="H11612" s="121" t="s">
        <v>7453</v>
      </c>
    </row>
    <row r="11613" spans="1:8" ht="15" customHeight="1" x14ac:dyDescent="0.2">
      <c r="A11613" s="619">
        <v>44504</v>
      </c>
      <c r="B11613" s="63" t="s">
        <v>6953</v>
      </c>
      <c r="C11613" s="551" t="s">
        <v>318</v>
      </c>
      <c r="D11613" s="740" t="s">
        <v>6789</v>
      </c>
      <c r="E11613" s="552">
        <v>7750</v>
      </c>
      <c r="F11613" s="126"/>
      <c r="G11613" s="126">
        <f t="shared" si="187"/>
        <v>-7750</v>
      </c>
      <c r="H11613" s="121" t="s">
        <v>7453</v>
      </c>
    </row>
    <row r="11614" spans="1:8" ht="15" customHeight="1" x14ac:dyDescent="0.2">
      <c r="A11614" s="619">
        <v>44504</v>
      </c>
      <c r="B11614" s="63" t="s">
        <v>1400</v>
      </c>
      <c r="C11614" s="551" t="s">
        <v>318</v>
      </c>
      <c r="D11614" s="740" t="s">
        <v>6789</v>
      </c>
      <c r="E11614" s="552">
        <v>28900</v>
      </c>
      <c r="F11614" s="126"/>
      <c r="G11614" s="126">
        <f t="shared" si="187"/>
        <v>-28900</v>
      </c>
      <c r="H11614" s="121" t="s">
        <v>7453</v>
      </c>
    </row>
    <row r="11615" spans="1:8" ht="24" customHeight="1" x14ac:dyDescent="0.2">
      <c r="A11615" s="619">
        <v>44505</v>
      </c>
      <c r="B11615" s="63" t="s">
        <v>7067</v>
      </c>
      <c r="C11615" s="63" t="s">
        <v>3145</v>
      </c>
      <c r="D11615" s="183" t="s">
        <v>7458</v>
      </c>
      <c r="E11615" s="126">
        <v>19950</v>
      </c>
      <c r="F11615" s="126"/>
      <c r="G11615" s="126">
        <f t="shared" si="187"/>
        <v>-19950</v>
      </c>
      <c r="H11615" s="121" t="s">
        <v>7453</v>
      </c>
    </row>
    <row r="11616" spans="1:8" ht="15" customHeight="1" x14ac:dyDescent="0.2">
      <c r="A11616" s="619">
        <v>44505</v>
      </c>
      <c r="B11616" s="63" t="s">
        <v>16</v>
      </c>
      <c r="C11616" s="63" t="s">
        <v>1495</v>
      </c>
      <c r="D11616" s="183" t="s">
        <v>370</v>
      </c>
      <c r="E11616" s="126">
        <v>1900</v>
      </c>
      <c r="F11616" s="126"/>
      <c r="G11616" s="126">
        <f t="shared" si="187"/>
        <v>-1900</v>
      </c>
      <c r="H11616" s="121" t="s">
        <v>7453</v>
      </c>
    </row>
    <row r="11617" spans="1:8" ht="15" customHeight="1" x14ac:dyDescent="0.2">
      <c r="A11617" s="619">
        <v>44505</v>
      </c>
      <c r="B11617" s="63" t="s">
        <v>37</v>
      </c>
      <c r="C11617" s="63" t="s">
        <v>392</v>
      </c>
      <c r="D11617" s="183" t="s">
        <v>7459</v>
      </c>
      <c r="E11617" s="126">
        <v>2000</v>
      </c>
      <c r="F11617" s="126"/>
      <c r="G11617" s="126">
        <f t="shared" si="187"/>
        <v>-2000</v>
      </c>
      <c r="H11617" s="121" t="s">
        <v>7453</v>
      </c>
    </row>
    <row r="11618" spans="1:8" ht="15" customHeight="1" x14ac:dyDescent="0.2">
      <c r="A11618" s="619">
        <v>44505</v>
      </c>
      <c r="B11618" s="63" t="s">
        <v>7067</v>
      </c>
      <c r="C11618" s="63" t="s">
        <v>392</v>
      </c>
      <c r="D11618" s="183" t="s">
        <v>7460</v>
      </c>
      <c r="E11618" s="126">
        <v>3000</v>
      </c>
      <c r="F11618" s="126"/>
      <c r="G11618" s="126">
        <f t="shared" si="187"/>
        <v>-3000</v>
      </c>
      <c r="H11618" s="121" t="s">
        <v>7453</v>
      </c>
    </row>
    <row r="11619" spans="1:8" ht="15" customHeight="1" x14ac:dyDescent="0.2">
      <c r="A11619" s="619">
        <v>44506</v>
      </c>
      <c r="B11619" s="63" t="s">
        <v>7112</v>
      </c>
      <c r="C11619" s="63" t="s">
        <v>3145</v>
      </c>
      <c r="D11619" s="183" t="s">
        <v>7461</v>
      </c>
      <c r="E11619" s="126">
        <v>12780</v>
      </c>
      <c r="F11619" s="126"/>
      <c r="G11619" s="126">
        <f t="shared" si="187"/>
        <v>-12780</v>
      </c>
      <c r="H11619" s="121" t="s">
        <v>7453</v>
      </c>
    </row>
    <row r="11620" spans="1:8" ht="15" customHeight="1" x14ac:dyDescent="0.2">
      <c r="A11620" s="619">
        <v>44506</v>
      </c>
      <c r="B11620" s="63" t="s">
        <v>7067</v>
      </c>
      <c r="C11620" s="63" t="s">
        <v>3145</v>
      </c>
      <c r="D11620" s="183" t="s">
        <v>6057</v>
      </c>
      <c r="E11620" s="126">
        <v>18890</v>
      </c>
      <c r="F11620" s="126"/>
      <c r="G11620" s="126">
        <f t="shared" si="187"/>
        <v>-18890</v>
      </c>
      <c r="H11620" s="121" t="s">
        <v>7453</v>
      </c>
    </row>
    <row r="11621" spans="1:8" ht="15" customHeight="1" x14ac:dyDescent="0.2">
      <c r="A11621" s="619">
        <v>44508</v>
      </c>
      <c r="B11621" s="63" t="s">
        <v>7555</v>
      </c>
      <c r="C11621" s="670" t="s">
        <v>3003</v>
      </c>
      <c r="D11621" s="907" t="s">
        <v>7471</v>
      </c>
      <c r="E11621" s="672">
        <v>36400</v>
      </c>
      <c r="F11621" s="126"/>
      <c r="G11621" s="126">
        <f t="shared" si="187"/>
        <v>-36400</v>
      </c>
      <c r="H11621" s="121" t="s">
        <v>7453</v>
      </c>
    </row>
    <row r="11622" spans="1:8" ht="15" customHeight="1" x14ac:dyDescent="0.2">
      <c r="A11622" s="619">
        <v>44508</v>
      </c>
      <c r="B11622" s="63" t="s">
        <v>3945</v>
      </c>
      <c r="C11622" s="670" t="s">
        <v>3003</v>
      </c>
      <c r="D11622" s="907" t="s">
        <v>7471</v>
      </c>
      <c r="E11622" s="672">
        <v>8840</v>
      </c>
      <c r="F11622" s="126"/>
      <c r="G11622" s="126">
        <f t="shared" si="187"/>
        <v>-8840</v>
      </c>
      <c r="H11622" s="121" t="s">
        <v>7453</v>
      </c>
    </row>
    <row r="11623" spans="1:8" ht="15" customHeight="1" x14ac:dyDescent="0.2">
      <c r="A11623" s="619">
        <v>44508</v>
      </c>
      <c r="B11623" s="63" t="s">
        <v>3946</v>
      </c>
      <c r="C11623" s="670" t="s">
        <v>3003</v>
      </c>
      <c r="D11623" s="907" t="s">
        <v>7471</v>
      </c>
      <c r="E11623" s="672">
        <v>13520</v>
      </c>
      <c r="F11623" s="126"/>
      <c r="G11623" s="126">
        <f t="shared" si="187"/>
        <v>-13520</v>
      </c>
      <c r="H11623" s="121" t="s">
        <v>7453</v>
      </c>
    </row>
    <row r="11624" spans="1:8" ht="15" customHeight="1" x14ac:dyDescent="0.2">
      <c r="A11624" s="619">
        <v>44508</v>
      </c>
      <c r="B11624" s="63" t="s">
        <v>16</v>
      </c>
      <c r="C11624" s="63" t="s">
        <v>392</v>
      </c>
      <c r="D11624" s="183" t="s">
        <v>7472</v>
      </c>
      <c r="E11624" s="126">
        <v>8000</v>
      </c>
      <c r="F11624" s="126"/>
      <c r="G11624" s="126">
        <f t="shared" si="187"/>
        <v>-8000</v>
      </c>
      <c r="H11624" s="121" t="s">
        <v>7453</v>
      </c>
    </row>
    <row r="11625" spans="1:8" ht="15" customHeight="1" x14ac:dyDescent="0.2">
      <c r="A11625" s="619">
        <v>44508</v>
      </c>
      <c r="B11625" s="63" t="s">
        <v>25</v>
      </c>
      <c r="C11625" s="63" t="s">
        <v>4065</v>
      </c>
      <c r="D11625" s="183" t="s">
        <v>392</v>
      </c>
      <c r="E11625" s="126">
        <v>4500</v>
      </c>
      <c r="F11625" s="126"/>
      <c r="G11625" s="126">
        <f t="shared" si="187"/>
        <v>-4500</v>
      </c>
      <c r="H11625" s="121" t="s">
        <v>7453</v>
      </c>
    </row>
    <row r="11626" spans="1:8" ht="15" customHeight="1" x14ac:dyDescent="0.2">
      <c r="A11626" s="619">
        <v>44508</v>
      </c>
      <c r="B11626" s="63" t="s">
        <v>7067</v>
      </c>
      <c r="C11626" s="63" t="s">
        <v>3145</v>
      </c>
      <c r="D11626" s="183" t="s">
        <v>7473</v>
      </c>
      <c r="E11626" s="126">
        <v>43000</v>
      </c>
      <c r="F11626" s="126"/>
      <c r="G11626" s="126">
        <f t="shared" si="187"/>
        <v>-43000</v>
      </c>
      <c r="H11626" s="121" t="s">
        <v>7453</v>
      </c>
    </row>
    <row r="11627" spans="1:8" ht="24" customHeight="1" x14ac:dyDescent="0.2">
      <c r="A11627" s="619">
        <v>44508</v>
      </c>
      <c r="B11627" s="63" t="s">
        <v>7067</v>
      </c>
      <c r="C11627" s="63" t="s">
        <v>6761</v>
      </c>
      <c r="D11627" s="183" t="s">
        <v>7474</v>
      </c>
      <c r="E11627" s="126">
        <v>100000</v>
      </c>
      <c r="F11627" s="126"/>
      <c r="G11627" s="126">
        <f t="shared" si="187"/>
        <v>-100000</v>
      </c>
      <c r="H11627" s="121" t="s">
        <v>7453</v>
      </c>
    </row>
    <row r="11628" spans="1:8" ht="15" customHeight="1" x14ac:dyDescent="0.2">
      <c r="A11628" s="619">
        <v>44508</v>
      </c>
      <c r="B11628" s="63" t="s">
        <v>3946</v>
      </c>
      <c r="C11628" s="63" t="s">
        <v>6476</v>
      </c>
      <c r="D11628" s="183" t="s">
        <v>7475</v>
      </c>
      <c r="E11628" s="126">
        <v>50000</v>
      </c>
      <c r="F11628" s="126"/>
      <c r="G11628" s="126">
        <f t="shared" si="187"/>
        <v>-50000</v>
      </c>
      <c r="H11628" s="121" t="s">
        <v>7453</v>
      </c>
    </row>
    <row r="11629" spans="1:8" ht="15" customHeight="1" x14ac:dyDescent="0.2">
      <c r="A11629" s="619">
        <v>44508</v>
      </c>
      <c r="B11629" s="63" t="s">
        <v>7067</v>
      </c>
      <c r="C11629" s="63" t="s">
        <v>3145</v>
      </c>
      <c r="D11629" s="183" t="s">
        <v>7476</v>
      </c>
      <c r="E11629" s="126">
        <v>11610</v>
      </c>
      <c r="F11629" s="126"/>
      <c r="G11629" s="126">
        <f t="shared" si="187"/>
        <v>-11610</v>
      </c>
      <c r="H11629" s="121" t="s">
        <v>7453</v>
      </c>
    </row>
    <row r="11630" spans="1:8" ht="15" customHeight="1" x14ac:dyDescent="0.2">
      <c r="A11630" s="619">
        <v>44509</v>
      </c>
      <c r="B11630" s="63" t="s">
        <v>7067</v>
      </c>
      <c r="C11630" s="63" t="s">
        <v>3145</v>
      </c>
      <c r="D11630" s="183" t="s">
        <v>4694</v>
      </c>
      <c r="E11630" s="126">
        <v>3660</v>
      </c>
      <c r="F11630" s="126"/>
      <c r="G11630" s="126">
        <f t="shared" si="187"/>
        <v>-3660</v>
      </c>
      <c r="H11630" s="121" t="s">
        <v>7453</v>
      </c>
    </row>
    <row r="11631" spans="1:8" ht="15" customHeight="1" x14ac:dyDescent="0.2">
      <c r="A11631" s="619">
        <v>44509</v>
      </c>
      <c r="B11631" s="63" t="s">
        <v>1400</v>
      </c>
      <c r="C11631" s="63" t="s">
        <v>7477</v>
      </c>
      <c r="D11631" s="183" t="s">
        <v>3361</v>
      </c>
      <c r="E11631" s="126">
        <v>3000</v>
      </c>
      <c r="F11631" s="126"/>
      <c r="G11631" s="126">
        <f t="shared" si="187"/>
        <v>-3000</v>
      </c>
      <c r="H11631" s="121" t="s">
        <v>7453</v>
      </c>
    </row>
    <row r="11632" spans="1:8" ht="15" customHeight="1" x14ac:dyDescent="0.2">
      <c r="A11632" s="619">
        <v>44511</v>
      </c>
      <c r="B11632" s="63" t="s">
        <v>16</v>
      </c>
      <c r="C11632" s="63" t="s">
        <v>7478</v>
      </c>
      <c r="D11632" s="183" t="s">
        <v>7479</v>
      </c>
      <c r="E11632" s="126">
        <v>12000</v>
      </c>
      <c r="F11632" s="126"/>
      <c r="G11632" s="126">
        <f t="shared" si="187"/>
        <v>-12000</v>
      </c>
      <c r="H11632" s="121" t="s">
        <v>7453</v>
      </c>
    </row>
    <row r="11633" spans="1:8" ht="15" customHeight="1" x14ac:dyDescent="0.2">
      <c r="A11633" s="619">
        <v>44511</v>
      </c>
      <c r="B11633" s="63" t="s">
        <v>7555</v>
      </c>
      <c r="C11633" s="63" t="s">
        <v>3145</v>
      </c>
      <c r="D11633" s="183" t="s">
        <v>7480</v>
      </c>
      <c r="E11633" s="126">
        <v>5830</v>
      </c>
      <c r="F11633" s="126"/>
      <c r="G11633" s="126">
        <f t="shared" si="187"/>
        <v>-5830</v>
      </c>
      <c r="H11633" s="121" t="s">
        <v>7453</v>
      </c>
    </row>
    <row r="11634" spans="1:8" ht="15" customHeight="1" x14ac:dyDescent="0.2">
      <c r="A11634" s="619">
        <v>44511</v>
      </c>
      <c r="B11634" s="63" t="s">
        <v>7555</v>
      </c>
      <c r="C11634" s="63" t="s">
        <v>1896</v>
      </c>
      <c r="D11634" s="183" t="s">
        <v>7481</v>
      </c>
      <c r="E11634" s="126">
        <v>13000</v>
      </c>
      <c r="F11634" s="126"/>
      <c r="G11634" s="126">
        <f t="shared" si="187"/>
        <v>-13000</v>
      </c>
      <c r="H11634" s="121" t="s">
        <v>7453</v>
      </c>
    </row>
    <row r="11635" spans="1:8" ht="15" customHeight="1" x14ac:dyDescent="0.2">
      <c r="A11635" s="619">
        <v>44512</v>
      </c>
      <c r="B11635" s="63" t="s">
        <v>7555</v>
      </c>
      <c r="C11635" s="63" t="s">
        <v>1896</v>
      </c>
      <c r="D11635" s="183" t="s">
        <v>7482</v>
      </c>
      <c r="E11635" s="126">
        <v>22000</v>
      </c>
      <c r="F11635" s="126"/>
      <c r="G11635" s="126">
        <f t="shared" si="187"/>
        <v>-22000</v>
      </c>
      <c r="H11635" s="121" t="s">
        <v>7453</v>
      </c>
    </row>
    <row r="11636" spans="1:8" ht="15" customHeight="1" x14ac:dyDescent="0.2">
      <c r="A11636" s="619">
        <v>44512</v>
      </c>
      <c r="B11636" s="63" t="s">
        <v>7555</v>
      </c>
      <c r="C11636" s="63" t="s">
        <v>3145</v>
      </c>
      <c r="D11636" s="183" t="s">
        <v>7483</v>
      </c>
      <c r="E11636" s="126">
        <v>46200</v>
      </c>
      <c r="F11636" s="126"/>
      <c r="G11636" s="126">
        <f t="shared" si="187"/>
        <v>-46200</v>
      </c>
      <c r="H11636" s="121" t="s">
        <v>7453</v>
      </c>
    </row>
    <row r="11637" spans="1:8" ht="15" customHeight="1" x14ac:dyDescent="0.2">
      <c r="A11637" s="619">
        <v>44512</v>
      </c>
      <c r="B11637" s="63" t="s">
        <v>2933</v>
      </c>
      <c r="C11637" s="63" t="s">
        <v>3145</v>
      </c>
      <c r="D11637" s="183" t="s">
        <v>6486</v>
      </c>
      <c r="E11637" s="126">
        <v>2510</v>
      </c>
      <c r="F11637" s="126"/>
      <c r="G11637" s="126">
        <f t="shared" si="187"/>
        <v>-2510</v>
      </c>
      <c r="H11637" s="121" t="s">
        <v>7453</v>
      </c>
    </row>
    <row r="11638" spans="1:8" ht="15" customHeight="1" x14ac:dyDescent="0.2">
      <c r="A11638" s="619">
        <v>44512</v>
      </c>
      <c r="B11638" s="63" t="s">
        <v>6950</v>
      </c>
      <c r="C11638" s="63" t="s">
        <v>3145</v>
      </c>
      <c r="D11638" s="183" t="s">
        <v>6486</v>
      </c>
      <c r="E11638" s="126">
        <v>9500</v>
      </c>
      <c r="F11638" s="126"/>
      <c r="G11638" s="126">
        <f t="shared" si="187"/>
        <v>-9500</v>
      </c>
      <c r="H11638" s="121" t="s">
        <v>7453</v>
      </c>
    </row>
    <row r="11639" spans="1:8" ht="15" customHeight="1" x14ac:dyDescent="0.2">
      <c r="A11639" s="619">
        <v>44512</v>
      </c>
      <c r="B11639" s="63" t="s">
        <v>1400</v>
      </c>
      <c r="C11639" s="63" t="s">
        <v>6249</v>
      </c>
      <c r="D11639" s="183" t="s">
        <v>7496</v>
      </c>
      <c r="E11639" s="126">
        <v>26000</v>
      </c>
      <c r="F11639" s="126"/>
      <c r="G11639" s="126">
        <f t="shared" si="187"/>
        <v>-26000</v>
      </c>
      <c r="H11639" s="121" t="s">
        <v>7453</v>
      </c>
    </row>
    <row r="11640" spans="1:8" ht="15" customHeight="1" x14ac:dyDescent="0.2">
      <c r="A11640" s="619">
        <v>44512</v>
      </c>
      <c r="B11640" s="63" t="s">
        <v>7067</v>
      </c>
      <c r="C11640" s="63" t="s">
        <v>3446</v>
      </c>
      <c r="D11640" s="183" t="s">
        <v>7497</v>
      </c>
      <c r="E11640" s="126">
        <v>20000</v>
      </c>
      <c r="F11640" s="126"/>
      <c r="G11640" s="126">
        <f t="shared" si="187"/>
        <v>-20000</v>
      </c>
      <c r="H11640" s="121" t="s">
        <v>7453</v>
      </c>
    </row>
    <row r="11641" spans="1:8" ht="15" customHeight="1" x14ac:dyDescent="0.2">
      <c r="A11641" s="619">
        <v>44512</v>
      </c>
      <c r="B11641" s="63" t="s">
        <v>7555</v>
      </c>
      <c r="C11641" s="63" t="s">
        <v>3145</v>
      </c>
      <c r="D11641" s="183" t="s">
        <v>7498</v>
      </c>
      <c r="E11641" s="126">
        <v>4290</v>
      </c>
      <c r="F11641" s="126"/>
      <c r="G11641" s="126">
        <f t="shared" si="187"/>
        <v>-4290</v>
      </c>
      <c r="H11641" s="121" t="s">
        <v>7453</v>
      </c>
    </row>
    <row r="11642" spans="1:8" ht="15" customHeight="1" x14ac:dyDescent="0.2">
      <c r="A11642" s="619">
        <v>44512</v>
      </c>
      <c r="B11642" s="63" t="s">
        <v>6950</v>
      </c>
      <c r="C11642" s="63" t="s">
        <v>3145</v>
      </c>
      <c r="D11642" s="183" t="s">
        <v>7499</v>
      </c>
      <c r="E11642" s="126">
        <v>18000</v>
      </c>
      <c r="F11642" s="126"/>
      <c r="G11642" s="126">
        <f t="shared" si="187"/>
        <v>-18000</v>
      </c>
      <c r="H11642" s="121" t="s">
        <v>7453</v>
      </c>
    </row>
    <row r="11643" spans="1:8" ht="15" customHeight="1" x14ac:dyDescent="0.2">
      <c r="A11643" s="619">
        <v>44515</v>
      </c>
      <c r="B11643" s="63" t="s">
        <v>37</v>
      </c>
      <c r="C11643" s="63" t="s">
        <v>6499</v>
      </c>
      <c r="D11643" s="183" t="s">
        <v>7500</v>
      </c>
      <c r="E11643" s="126">
        <v>10000</v>
      </c>
      <c r="F11643" s="126"/>
      <c r="G11643" s="126">
        <f t="shared" si="187"/>
        <v>-10000</v>
      </c>
      <c r="H11643" s="121" t="s">
        <v>7453</v>
      </c>
    </row>
    <row r="11644" spans="1:8" ht="15" customHeight="1" x14ac:dyDescent="0.2">
      <c r="A11644" s="619">
        <v>44515</v>
      </c>
      <c r="B11644" s="63" t="s">
        <v>16</v>
      </c>
      <c r="C11644" s="63" t="s">
        <v>3364</v>
      </c>
      <c r="D11644" s="183"/>
      <c r="E11644" s="126">
        <v>4293</v>
      </c>
      <c r="F11644" s="126"/>
      <c r="G11644" s="126">
        <f t="shared" si="187"/>
        <v>-4293</v>
      </c>
      <c r="H11644" s="121" t="s">
        <v>7453</v>
      </c>
    </row>
    <row r="11645" spans="1:8" ht="15" customHeight="1" x14ac:dyDescent="0.2">
      <c r="A11645" s="619">
        <v>44515</v>
      </c>
      <c r="B11645" s="63" t="s">
        <v>25</v>
      </c>
      <c r="C11645" s="63" t="s">
        <v>392</v>
      </c>
      <c r="D11645" s="183" t="s">
        <v>7501</v>
      </c>
      <c r="E11645" s="126">
        <v>65376</v>
      </c>
      <c r="F11645" s="126"/>
      <c r="G11645" s="126">
        <f t="shared" si="187"/>
        <v>-65376</v>
      </c>
      <c r="H11645" s="121" t="s">
        <v>7453</v>
      </c>
    </row>
    <row r="11646" spans="1:8" ht="15" customHeight="1" x14ac:dyDescent="0.2">
      <c r="A11646" s="619">
        <v>44516</v>
      </c>
      <c r="B11646" s="63" t="s">
        <v>7067</v>
      </c>
      <c r="C11646" s="551" t="s">
        <v>3145</v>
      </c>
      <c r="D11646" s="740" t="s">
        <v>6057</v>
      </c>
      <c r="E11646" s="552">
        <f>12650+500</f>
        <v>13150</v>
      </c>
      <c r="F11646" s="126"/>
      <c r="G11646" s="126">
        <f t="shared" si="187"/>
        <v>-13150</v>
      </c>
      <c r="H11646" s="121" t="s">
        <v>7453</v>
      </c>
    </row>
    <row r="11647" spans="1:8" ht="15" customHeight="1" x14ac:dyDescent="0.2">
      <c r="A11647" s="619">
        <v>44516</v>
      </c>
      <c r="B11647" s="63" t="s">
        <v>1400</v>
      </c>
      <c r="C11647" s="551" t="s">
        <v>3145</v>
      </c>
      <c r="D11647" s="740" t="s">
        <v>6057</v>
      </c>
      <c r="E11647" s="552">
        <v>1500</v>
      </c>
      <c r="F11647" s="126"/>
      <c r="G11647" s="126">
        <f t="shared" si="187"/>
        <v>-1500</v>
      </c>
      <c r="H11647" s="121" t="s">
        <v>7453</v>
      </c>
    </row>
    <row r="11648" spans="1:8" ht="15" customHeight="1" x14ac:dyDescent="0.2">
      <c r="A11648" s="619">
        <v>44517</v>
      </c>
      <c r="B11648" s="63" t="s">
        <v>7067</v>
      </c>
      <c r="C11648" s="63" t="s">
        <v>3145</v>
      </c>
      <c r="D11648" s="183" t="s">
        <v>6057</v>
      </c>
      <c r="E11648" s="126">
        <v>3300</v>
      </c>
      <c r="F11648" s="126"/>
      <c r="G11648" s="126">
        <f t="shared" si="187"/>
        <v>-3300</v>
      </c>
      <c r="H11648" s="121" t="s">
        <v>7453</v>
      </c>
    </row>
    <row r="11649" spans="1:8" ht="15" customHeight="1" x14ac:dyDescent="0.2">
      <c r="A11649" s="619">
        <v>44517</v>
      </c>
      <c r="B11649" s="63" t="s">
        <v>7067</v>
      </c>
      <c r="C11649" s="63" t="s">
        <v>6761</v>
      </c>
      <c r="D11649" s="183" t="s">
        <v>7383</v>
      </c>
      <c r="E11649" s="126">
        <v>100000</v>
      </c>
      <c r="F11649" s="126"/>
      <c r="G11649" s="126">
        <f t="shared" si="187"/>
        <v>-100000</v>
      </c>
      <c r="H11649" s="121" t="s">
        <v>7453</v>
      </c>
    </row>
    <row r="11650" spans="1:8" ht="15" customHeight="1" x14ac:dyDescent="0.2">
      <c r="A11650" s="619">
        <v>44517</v>
      </c>
      <c r="B11650" s="63" t="s">
        <v>7555</v>
      </c>
      <c r="C11650" s="63" t="s">
        <v>7512</v>
      </c>
      <c r="D11650" s="183" t="s">
        <v>7502</v>
      </c>
      <c r="E11650" s="126">
        <v>5000</v>
      </c>
      <c r="F11650" s="126"/>
      <c r="G11650" s="126">
        <f t="shared" si="187"/>
        <v>-5000</v>
      </c>
      <c r="H11650" s="121" t="s">
        <v>7453</v>
      </c>
    </row>
    <row r="11651" spans="1:8" ht="15" customHeight="1" x14ac:dyDescent="0.2">
      <c r="A11651" s="619">
        <v>44518</v>
      </c>
      <c r="B11651" s="63" t="s">
        <v>7067</v>
      </c>
      <c r="C11651" s="63" t="s">
        <v>3145</v>
      </c>
      <c r="D11651" s="183" t="s">
        <v>7198</v>
      </c>
      <c r="E11651" s="126">
        <v>19112</v>
      </c>
      <c r="F11651" s="126"/>
      <c r="G11651" s="126">
        <f t="shared" si="187"/>
        <v>-19112</v>
      </c>
      <c r="H11651" s="121" t="s">
        <v>7453</v>
      </c>
    </row>
    <row r="11652" spans="1:8" ht="15" customHeight="1" x14ac:dyDescent="0.2">
      <c r="A11652" s="619">
        <v>44518</v>
      </c>
      <c r="B11652" s="63" t="s">
        <v>14</v>
      </c>
      <c r="C11652" s="63" t="s">
        <v>3145</v>
      </c>
      <c r="D11652" s="183" t="s">
        <v>7503</v>
      </c>
      <c r="E11652" s="126">
        <v>3030</v>
      </c>
      <c r="F11652" s="126"/>
      <c r="G11652" s="126">
        <f t="shared" si="187"/>
        <v>-3030</v>
      </c>
      <c r="H11652" s="121" t="s">
        <v>7453</v>
      </c>
    </row>
    <row r="11653" spans="1:8" ht="15" customHeight="1" x14ac:dyDescent="0.2">
      <c r="A11653" s="619">
        <v>44518</v>
      </c>
      <c r="B11653" s="63" t="s">
        <v>6950</v>
      </c>
      <c r="C11653" s="63" t="s">
        <v>3145</v>
      </c>
      <c r="D11653" s="183" t="s">
        <v>7504</v>
      </c>
      <c r="E11653" s="126">
        <v>15500</v>
      </c>
      <c r="F11653" s="126"/>
      <c r="G11653" s="126">
        <f t="shared" ref="G11653:G11716" si="188">F11653-E11653</f>
        <v>-15500</v>
      </c>
      <c r="H11653" s="121" t="s">
        <v>7453</v>
      </c>
    </row>
    <row r="11654" spans="1:8" ht="15" customHeight="1" x14ac:dyDescent="0.2">
      <c r="A11654" s="619">
        <v>44518</v>
      </c>
      <c r="B11654" s="63" t="s">
        <v>7067</v>
      </c>
      <c r="C11654" s="63" t="s">
        <v>3145</v>
      </c>
      <c r="D11654" s="183" t="s">
        <v>7505</v>
      </c>
      <c r="E11654" s="126">
        <v>5000</v>
      </c>
      <c r="F11654" s="126"/>
      <c r="G11654" s="126">
        <f t="shared" si="188"/>
        <v>-5000</v>
      </c>
      <c r="H11654" s="121" t="s">
        <v>7453</v>
      </c>
    </row>
    <row r="11655" spans="1:8" ht="15" customHeight="1" x14ac:dyDescent="0.2">
      <c r="A11655" s="619">
        <v>44518</v>
      </c>
      <c r="B11655" s="63" t="s">
        <v>7067</v>
      </c>
      <c r="C11655" s="63" t="s">
        <v>3145</v>
      </c>
      <c r="D11655" s="183" t="s">
        <v>7506</v>
      </c>
      <c r="E11655" s="126">
        <v>3000</v>
      </c>
      <c r="F11655" s="126"/>
      <c r="G11655" s="126">
        <f t="shared" si="188"/>
        <v>-3000</v>
      </c>
      <c r="H11655" s="121" t="s">
        <v>7453</v>
      </c>
    </row>
    <row r="11656" spans="1:8" ht="15" customHeight="1" x14ac:dyDescent="0.2">
      <c r="A11656" s="619">
        <v>44518</v>
      </c>
      <c r="B11656" s="63" t="s">
        <v>6950</v>
      </c>
      <c r="C11656" s="63" t="s">
        <v>3145</v>
      </c>
      <c r="D11656" s="183" t="s">
        <v>7507</v>
      </c>
      <c r="E11656" s="126">
        <v>5000</v>
      </c>
      <c r="F11656" s="126"/>
      <c r="G11656" s="126">
        <f t="shared" si="188"/>
        <v>-5000</v>
      </c>
      <c r="H11656" s="121" t="s">
        <v>7453</v>
      </c>
    </row>
    <row r="11657" spans="1:8" ht="15" customHeight="1" x14ac:dyDescent="0.2">
      <c r="A11657" s="619">
        <v>44518</v>
      </c>
      <c r="B11657" s="63" t="s">
        <v>16</v>
      </c>
      <c r="C11657" s="63" t="s">
        <v>5341</v>
      </c>
      <c r="D11657" s="183" t="s">
        <v>7508</v>
      </c>
      <c r="E11657" s="126">
        <v>15000</v>
      </c>
      <c r="F11657" s="126"/>
      <c r="G11657" s="126">
        <f t="shared" si="188"/>
        <v>-15000</v>
      </c>
      <c r="H11657" s="121" t="s">
        <v>7453</v>
      </c>
    </row>
    <row r="11658" spans="1:8" ht="15" customHeight="1" x14ac:dyDescent="0.2">
      <c r="A11658" s="619">
        <v>44519</v>
      </c>
      <c r="B11658" s="63" t="s">
        <v>7555</v>
      </c>
      <c r="C11658" s="63" t="s">
        <v>3145</v>
      </c>
      <c r="D11658" s="183" t="s">
        <v>7509</v>
      </c>
      <c r="E11658" s="126">
        <v>16000</v>
      </c>
      <c r="F11658" s="126"/>
      <c r="G11658" s="126">
        <f t="shared" si="188"/>
        <v>-16000</v>
      </c>
      <c r="H11658" s="121" t="s">
        <v>7453</v>
      </c>
    </row>
    <row r="11659" spans="1:8" ht="15" customHeight="1" x14ac:dyDescent="0.2">
      <c r="A11659" s="619">
        <v>44520</v>
      </c>
      <c r="B11659" s="63" t="s">
        <v>7555</v>
      </c>
      <c r="C11659" s="63" t="s">
        <v>7512</v>
      </c>
      <c r="D11659" s="183" t="s">
        <v>7510</v>
      </c>
      <c r="E11659" s="126">
        <v>6000</v>
      </c>
      <c r="F11659" s="126"/>
      <c r="G11659" s="126">
        <f t="shared" si="188"/>
        <v>-6000</v>
      </c>
      <c r="H11659" s="121" t="s">
        <v>7453</v>
      </c>
    </row>
    <row r="11660" spans="1:8" ht="15" customHeight="1" x14ac:dyDescent="0.2">
      <c r="A11660" s="619">
        <v>44520</v>
      </c>
      <c r="B11660" s="63" t="s">
        <v>1400</v>
      </c>
      <c r="C11660" s="63" t="s">
        <v>3145</v>
      </c>
      <c r="D11660" s="183" t="s">
        <v>4450</v>
      </c>
      <c r="E11660" s="126">
        <v>19525</v>
      </c>
      <c r="F11660" s="126"/>
      <c r="G11660" s="126">
        <f t="shared" si="188"/>
        <v>-19525</v>
      </c>
      <c r="H11660" s="121" t="s">
        <v>7453</v>
      </c>
    </row>
    <row r="11661" spans="1:8" ht="15" customHeight="1" x14ac:dyDescent="0.2">
      <c r="A11661" s="619">
        <v>44520</v>
      </c>
      <c r="B11661" s="63" t="s">
        <v>7067</v>
      </c>
      <c r="C11661" s="63" t="s">
        <v>6761</v>
      </c>
      <c r="D11661" s="183" t="s">
        <v>7511</v>
      </c>
      <c r="E11661" s="126">
        <v>50000</v>
      </c>
      <c r="F11661" s="126"/>
      <c r="G11661" s="126">
        <f t="shared" si="188"/>
        <v>-50000</v>
      </c>
      <c r="H11661" s="121" t="s">
        <v>7453</v>
      </c>
    </row>
    <row r="11662" spans="1:8" ht="15" customHeight="1" x14ac:dyDescent="0.2">
      <c r="A11662" s="619">
        <v>44520</v>
      </c>
      <c r="B11662" s="63" t="s">
        <v>7555</v>
      </c>
      <c r="C11662" s="63" t="s">
        <v>7512</v>
      </c>
      <c r="D11662" s="183" t="s">
        <v>1121</v>
      </c>
      <c r="E11662" s="126">
        <v>8000</v>
      </c>
      <c r="F11662" s="126"/>
      <c r="G11662" s="126">
        <f t="shared" si="188"/>
        <v>-8000</v>
      </c>
      <c r="H11662" s="121" t="s">
        <v>7453</v>
      </c>
    </row>
    <row r="11663" spans="1:8" ht="15" customHeight="1" x14ac:dyDescent="0.2">
      <c r="A11663" s="619">
        <v>44522</v>
      </c>
      <c r="B11663" s="63" t="s">
        <v>7112</v>
      </c>
      <c r="C11663" s="63" t="s">
        <v>6476</v>
      </c>
      <c r="D11663" s="183" t="s">
        <v>7513</v>
      </c>
      <c r="E11663" s="126">
        <v>5000</v>
      </c>
      <c r="F11663" s="126"/>
      <c r="G11663" s="126">
        <f t="shared" si="188"/>
        <v>-5000</v>
      </c>
      <c r="H11663" s="121" t="s">
        <v>7453</v>
      </c>
    </row>
    <row r="11664" spans="1:8" ht="15" customHeight="1" x14ac:dyDescent="0.2">
      <c r="A11664" s="619">
        <v>44522</v>
      </c>
      <c r="B11664" s="63" t="s">
        <v>7555</v>
      </c>
      <c r="C11664" s="63" t="s">
        <v>1896</v>
      </c>
      <c r="D11664" s="183" t="s">
        <v>7514</v>
      </c>
      <c r="E11664" s="126">
        <v>10000</v>
      </c>
      <c r="F11664" s="126"/>
      <c r="G11664" s="126">
        <f t="shared" si="188"/>
        <v>-10000</v>
      </c>
      <c r="H11664" s="121" t="s">
        <v>7453</v>
      </c>
    </row>
    <row r="11665" spans="1:8" ht="15" customHeight="1" x14ac:dyDescent="0.2">
      <c r="A11665" s="619">
        <v>44522</v>
      </c>
      <c r="B11665" s="63" t="s">
        <v>7067</v>
      </c>
      <c r="C11665" s="63" t="s">
        <v>2190</v>
      </c>
      <c r="D11665" s="183"/>
      <c r="E11665" s="126">
        <v>1360</v>
      </c>
      <c r="F11665" s="126"/>
      <c r="G11665" s="126">
        <f t="shared" si="188"/>
        <v>-1360</v>
      </c>
      <c r="H11665" s="121" t="s">
        <v>7453</v>
      </c>
    </row>
    <row r="11666" spans="1:8" ht="15" customHeight="1" x14ac:dyDescent="0.2">
      <c r="A11666" s="619">
        <v>44522</v>
      </c>
      <c r="B11666" s="63" t="s">
        <v>16</v>
      </c>
      <c r="C11666" s="63" t="s">
        <v>1689</v>
      </c>
      <c r="D11666" s="183"/>
      <c r="E11666" s="126">
        <v>9271</v>
      </c>
      <c r="F11666" s="126"/>
      <c r="G11666" s="126">
        <f t="shared" si="188"/>
        <v>-9271</v>
      </c>
      <c r="H11666" s="121" t="s">
        <v>7453</v>
      </c>
    </row>
    <row r="11667" spans="1:8" ht="15" customHeight="1" x14ac:dyDescent="0.2">
      <c r="A11667" s="619">
        <v>44522</v>
      </c>
      <c r="B11667" s="63" t="s">
        <v>25</v>
      </c>
      <c r="C11667" s="63" t="s">
        <v>1689</v>
      </c>
      <c r="D11667" s="183"/>
      <c r="E11667" s="126">
        <v>20399</v>
      </c>
      <c r="F11667" s="126"/>
      <c r="G11667" s="126">
        <f t="shared" si="188"/>
        <v>-20399</v>
      </c>
      <c r="H11667" s="121" t="s">
        <v>7453</v>
      </c>
    </row>
    <row r="11668" spans="1:8" ht="15" customHeight="1" x14ac:dyDescent="0.2">
      <c r="A11668" s="619">
        <v>44522</v>
      </c>
      <c r="B11668" s="63" t="s">
        <v>1400</v>
      </c>
      <c r="C11668" s="63" t="s">
        <v>7477</v>
      </c>
      <c r="D11668" s="183" t="s">
        <v>7540</v>
      </c>
      <c r="E11668" s="126">
        <v>3000</v>
      </c>
      <c r="F11668" s="126"/>
      <c r="G11668" s="126">
        <f t="shared" si="188"/>
        <v>-3000</v>
      </c>
      <c r="H11668" s="121" t="s">
        <v>7453</v>
      </c>
    </row>
    <row r="11669" spans="1:8" ht="15" customHeight="1" x14ac:dyDescent="0.2">
      <c r="A11669" s="619">
        <v>44523</v>
      </c>
      <c r="B11669" s="63" t="s">
        <v>7067</v>
      </c>
      <c r="C11669" s="63" t="s">
        <v>3145</v>
      </c>
      <c r="D11669" s="183" t="s">
        <v>7476</v>
      </c>
      <c r="E11669" s="126">
        <v>12346</v>
      </c>
      <c r="F11669" s="126"/>
      <c r="G11669" s="126">
        <f t="shared" si="188"/>
        <v>-12346</v>
      </c>
      <c r="H11669" s="121" t="s">
        <v>7453</v>
      </c>
    </row>
    <row r="11670" spans="1:8" ht="15" customHeight="1" x14ac:dyDescent="0.2">
      <c r="A11670" s="619">
        <v>44523</v>
      </c>
      <c r="B11670" s="63" t="s">
        <v>7555</v>
      </c>
      <c r="C11670" s="63" t="s">
        <v>3145</v>
      </c>
      <c r="D11670" s="183" t="s">
        <v>7476</v>
      </c>
      <c r="E11670" s="126">
        <v>3030</v>
      </c>
      <c r="F11670" s="126"/>
      <c r="G11670" s="126">
        <f t="shared" si="188"/>
        <v>-3030</v>
      </c>
      <c r="H11670" s="121" t="s">
        <v>7453</v>
      </c>
    </row>
    <row r="11671" spans="1:8" ht="15" customHeight="1" x14ac:dyDescent="0.2">
      <c r="A11671" s="619">
        <v>44523</v>
      </c>
      <c r="B11671" s="63" t="s">
        <v>7112</v>
      </c>
      <c r="C11671" s="63" t="s">
        <v>5741</v>
      </c>
      <c r="D11671" s="183"/>
      <c r="E11671" s="126">
        <v>1800</v>
      </c>
      <c r="F11671" s="126"/>
      <c r="G11671" s="126">
        <f t="shared" si="188"/>
        <v>-1800</v>
      </c>
      <c r="H11671" s="121" t="s">
        <v>7453</v>
      </c>
    </row>
    <row r="11672" spans="1:8" ht="15" customHeight="1" x14ac:dyDescent="0.2">
      <c r="A11672" s="619">
        <v>44523</v>
      </c>
      <c r="B11672" s="63" t="s">
        <v>7555</v>
      </c>
      <c r="C11672" s="63" t="s">
        <v>392</v>
      </c>
      <c r="D11672" s="183"/>
      <c r="E11672" s="126">
        <v>1800</v>
      </c>
      <c r="F11672" s="126"/>
      <c r="G11672" s="126">
        <f t="shared" si="188"/>
        <v>-1800</v>
      </c>
      <c r="H11672" s="121" t="s">
        <v>7453</v>
      </c>
    </row>
    <row r="11673" spans="1:8" ht="15" customHeight="1" x14ac:dyDescent="0.2">
      <c r="A11673" s="619">
        <v>44523</v>
      </c>
      <c r="B11673" s="63" t="s">
        <v>7555</v>
      </c>
      <c r="C11673" s="63" t="s">
        <v>3145</v>
      </c>
      <c r="D11673" s="183" t="s">
        <v>7476</v>
      </c>
      <c r="E11673" s="126">
        <v>4820</v>
      </c>
      <c r="F11673" s="126"/>
      <c r="G11673" s="126">
        <f t="shared" si="188"/>
        <v>-4820</v>
      </c>
      <c r="H11673" s="121" t="s">
        <v>7453</v>
      </c>
    </row>
    <row r="11674" spans="1:8" ht="15" customHeight="1" x14ac:dyDescent="0.2">
      <c r="A11674" s="619">
        <v>44527</v>
      </c>
      <c r="B11674" s="63" t="s">
        <v>7067</v>
      </c>
      <c r="C11674" s="63" t="s">
        <v>3145</v>
      </c>
      <c r="D11674" s="183" t="s">
        <v>7476</v>
      </c>
      <c r="E11674" s="126">
        <v>19644</v>
      </c>
      <c r="F11674" s="126"/>
      <c r="G11674" s="126">
        <f t="shared" si="188"/>
        <v>-19644</v>
      </c>
      <c r="H11674" s="121" t="s">
        <v>7453</v>
      </c>
    </row>
    <row r="11675" spans="1:8" ht="15" x14ac:dyDescent="0.2">
      <c r="A11675" s="619">
        <v>44527</v>
      </c>
      <c r="B11675" s="63" t="s">
        <v>4553</v>
      </c>
      <c r="C11675" s="63" t="s">
        <v>3145</v>
      </c>
      <c r="D11675" s="183" t="s">
        <v>7476</v>
      </c>
      <c r="E11675" s="126">
        <v>350</v>
      </c>
      <c r="F11675" s="126"/>
      <c r="G11675" s="126">
        <f t="shared" si="188"/>
        <v>-350</v>
      </c>
      <c r="H11675" s="121" t="s">
        <v>7453</v>
      </c>
    </row>
    <row r="11676" spans="1:8" ht="15" x14ac:dyDescent="0.2">
      <c r="A11676" s="619">
        <v>44527</v>
      </c>
      <c r="B11676" s="63" t="s">
        <v>7555</v>
      </c>
      <c r="C11676" s="63" t="s">
        <v>3145</v>
      </c>
      <c r="D11676" s="183" t="s">
        <v>6386</v>
      </c>
      <c r="E11676" s="126">
        <v>1380</v>
      </c>
      <c r="F11676" s="126"/>
      <c r="G11676" s="126">
        <f t="shared" si="188"/>
        <v>-1380</v>
      </c>
      <c r="H11676" s="121" t="s">
        <v>7453</v>
      </c>
    </row>
    <row r="11677" spans="1:8" ht="15" x14ac:dyDescent="0.2">
      <c r="A11677" s="619">
        <v>44527</v>
      </c>
      <c r="B11677" s="63" t="s">
        <v>25</v>
      </c>
      <c r="C11677" s="63" t="s">
        <v>2428</v>
      </c>
      <c r="D11677" s="183" t="s">
        <v>7541</v>
      </c>
      <c r="E11677" s="126">
        <v>35000</v>
      </c>
      <c r="F11677" s="126"/>
      <c r="G11677" s="126">
        <f t="shared" si="188"/>
        <v>-35000</v>
      </c>
      <c r="H11677" s="121" t="s">
        <v>7453</v>
      </c>
    </row>
    <row r="11678" spans="1:8" ht="15" x14ac:dyDescent="0.2">
      <c r="A11678" s="619">
        <v>44527</v>
      </c>
      <c r="B11678" s="63" t="s">
        <v>7067</v>
      </c>
      <c r="C11678" s="63" t="s">
        <v>3145</v>
      </c>
      <c r="D11678" s="183" t="s">
        <v>3787</v>
      </c>
      <c r="E11678" s="126">
        <v>15960</v>
      </c>
      <c r="F11678" s="126"/>
      <c r="G11678" s="126">
        <f t="shared" si="188"/>
        <v>-15960</v>
      </c>
      <c r="H11678" s="121" t="s">
        <v>7453</v>
      </c>
    </row>
    <row r="11679" spans="1:8" ht="15" x14ac:dyDescent="0.2">
      <c r="A11679" s="619">
        <v>44527</v>
      </c>
      <c r="B11679" s="63" t="s">
        <v>1400</v>
      </c>
      <c r="C11679" s="63" t="s">
        <v>7477</v>
      </c>
      <c r="D11679" s="183" t="s">
        <v>7542</v>
      </c>
      <c r="E11679" s="126">
        <v>8000</v>
      </c>
      <c r="F11679" s="126"/>
      <c r="G11679" s="126">
        <f t="shared" si="188"/>
        <v>-8000</v>
      </c>
      <c r="H11679" s="121" t="s">
        <v>7453</v>
      </c>
    </row>
    <row r="11680" spans="1:8" ht="15" x14ac:dyDescent="0.2">
      <c r="A11680" s="619">
        <v>44527</v>
      </c>
      <c r="B11680" s="63" t="s">
        <v>16</v>
      </c>
      <c r="C11680" s="63" t="s">
        <v>2996</v>
      </c>
      <c r="D11680" s="183"/>
      <c r="E11680" s="126">
        <v>2500</v>
      </c>
      <c r="F11680" s="126"/>
      <c r="G11680" s="126">
        <f t="shared" si="188"/>
        <v>-2500</v>
      </c>
      <c r="H11680" s="121" t="s">
        <v>7453</v>
      </c>
    </row>
    <row r="11681" spans="1:8" ht="15" customHeight="1" x14ac:dyDescent="0.2">
      <c r="A11681" s="619">
        <v>44529</v>
      </c>
      <c r="B11681" s="63" t="s">
        <v>7067</v>
      </c>
      <c r="C11681" s="63" t="s">
        <v>3145</v>
      </c>
      <c r="D11681" s="183" t="s">
        <v>7476</v>
      </c>
      <c r="E11681" s="126">
        <v>37900</v>
      </c>
      <c r="F11681" s="126"/>
      <c r="G11681" s="126">
        <f t="shared" si="188"/>
        <v>-37900</v>
      </c>
      <c r="H11681" s="121" t="s">
        <v>7453</v>
      </c>
    </row>
    <row r="11682" spans="1:8" ht="15" x14ac:dyDescent="0.2">
      <c r="A11682" s="619">
        <v>44529</v>
      </c>
      <c r="B11682" s="63" t="s">
        <v>3946</v>
      </c>
      <c r="C11682" s="63" t="s">
        <v>6476</v>
      </c>
      <c r="D11682" s="183" t="s">
        <v>7543</v>
      </c>
      <c r="E11682" s="126">
        <v>10000</v>
      </c>
      <c r="F11682" s="126"/>
      <c r="G11682" s="126">
        <f t="shared" si="188"/>
        <v>-10000</v>
      </c>
      <c r="H11682" s="121" t="s">
        <v>7453</v>
      </c>
    </row>
    <row r="11683" spans="1:8" ht="15" x14ac:dyDescent="0.2">
      <c r="A11683" s="619">
        <v>44529</v>
      </c>
      <c r="B11683" s="63" t="s">
        <v>11</v>
      </c>
      <c r="C11683" s="63" t="s">
        <v>3145</v>
      </c>
      <c r="D11683" s="183" t="s">
        <v>7395</v>
      </c>
      <c r="E11683" s="126">
        <v>850</v>
      </c>
      <c r="F11683" s="126"/>
      <c r="G11683" s="126">
        <f t="shared" si="188"/>
        <v>-850</v>
      </c>
      <c r="H11683" s="121" t="s">
        <v>7453</v>
      </c>
    </row>
    <row r="11684" spans="1:8" ht="15" x14ac:dyDescent="0.2">
      <c r="A11684" s="619">
        <v>44529</v>
      </c>
      <c r="B11684" s="63" t="s">
        <v>7067</v>
      </c>
      <c r="C11684" s="63" t="s">
        <v>3145</v>
      </c>
      <c r="D11684" s="183" t="s">
        <v>7544</v>
      </c>
      <c r="E11684" s="126">
        <v>12080</v>
      </c>
      <c r="F11684" s="126"/>
      <c r="G11684" s="126">
        <f t="shared" si="188"/>
        <v>-12080</v>
      </c>
      <c r="H11684" s="121" t="s">
        <v>7453</v>
      </c>
    </row>
    <row r="11685" spans="1:8" ht="15" x14ac:dyDescent="0.2">
      <c r="A11685" s="619">
        <v>44529</v>
      </c>
      <c r="B11685" s="63" t="s">
        <v>7067</v>
      </c>
      <c r="C11685" s="63" t="s">
        <v>3145</v>
      </c>
      <c r="D11685" s="183" t="s">
        <v>7545</v>
      </c>
      <c r="E11685" s="126">
        <v>4320</v>
      </c>
      <c r="F11685" s="126"/>
      <c r="G11685" s="126">
        <f t="shared" si="188"/>
        <v>-4320</v>
      </c>
      <c r="H11685" s="121" t="s">
        <v>7453</v>
      </c>
    </row>
    <row r="11686" spans="1:8" ht="15" x14ac:dyDescent="0.2">
      <c r="A11686" s="619">
        <v>44530</v>
      </c>
      <c r="B11686" s="63" t="s">
        <v>7067</v>
      </c>
      <c r="C11686" s="63" t="s">
        <v>3145</v>
      </c>
      <c r="D11686" s="183" t="s">
        <v>7545</v>
      </c>
      <c r="E11686" s="126">
        <v>860</v>
      </c>
      <c r="F11686" s="126"/>
      <c r="G11686" s="126">
        <f t="shared" si="188"/>
        <v>-860</v>
      </c>
      <c r="H11686" s="121" t="s">
        <v>7453</v>
      </c>
    </row>
    <row r="11687" spans="1:8" ht="15" x14ac:dyDescent="0.2">
      <c r="A11687" s="619">
        <v>44530</v>
      </c>
      <c r="B11687" s="63" t="s">
        <v>16</v>
      </c>
      <c r="C11687" s="63" t="s">
        <v>463</v>
      </c>
      <c r="D11687" s="183" t="s">
        <v>7554</v>
      </c>
      <c r="E11687" s="126">
        <v>18750</v>
      </c>
      <c r="F11687" s="126"/>
      <c r="G11687" s="126">
        <f t="shared" si="188"/>
        <v>-18750</v>
      </c>
      <c r="H11687" s="121" t="s">
        <v>7453</v>
      </c>
    </row>
    <row r="11688" spans="1:8" ht="15" x14ac:dyDescent="0.2">
      <c r="A11688" s="619">
        <v>44530</v>
      </c>
      <c r="B11688" s="63" t="s">
        <v>1400</v>
      </c>
      <c r="C11688" s="63" t="s">
        <v>2503</v>
      </c>
      <c r="D11688" s="183" t="s">
        <v>7097</v>
      </c>
      <c r="E11688" s="126">
        <v>25000</v>
      </c>
      <c r="F11688" s="126"/>
      <c r="G11688" s="126">
        <f t="shared" si="188"/>
        <v>-25000</v>
      </c>
      <c r="H11688" s="121" t="s">
        <v>7453</v>
      </c>
    </row>
    <row r="11689" spans="1:8" ht="15" customHeight="1" x14ac:dyDescent="0.2">
      <c r="A11689" s="619">
        <v>44530</v>
      </c>
      <c r="B11689" s="63" t="s">
        <v>7555</v>
      </c>
      <c r="C11689" s="63" t="s">
        <v>2503</v>
      </c>
      <c r="D11689" s="183" t="s">
        <v>7097</v>
      </c>
      <c r="E11689" s="126">
        <v>25000</v>
      </c>
      <c r="F11689" s="126"/>
      <c r="G11689" s="126">
        <f t="shared" si="188"/>
        <v>-25000</v>
      </c>
      <c r="H11689" s="121" t="s">
        <v>7453</v>
      </c>
    </row>
    <row r="11690" spans="1:8" ht="15" customHeight="1" x14ac:dyDescent="0.2">
      <c r="A11690" s="619">
        <v>44530</v>
      </c>
      <c r="B11690" s="63" t="s">
        <v>7067</v>
      </c>
      <c r="C11690" s="63" t="s">
        <v>2503</v>
      </c>
      <c r="D11690" s="183" t="s">
        <v>141</v>
      </c>
      <c r="E11690" s="126">
        <v>25000</v>
      </c>
      <c r="F11690" s="126"/>
      <c r="G11690" s="126">
        <f t="shared" si="188"/>
        <v>-25000</v>
      </c>
      <c r="H11690" s="121" t="s">
        <v>7453</v>
      </c>
    </row>
    <row r="11691" spans="1:8" ht="15" customHeight="1" x14ac:dyDescent="0.2">
      <c r="A11691" s="619">
        <v>44530</v>
      </c>
      <c r="B11691" s="63" t="s">
        <v>1400</v>
      </c>
      <c r="C11691" s="63" t="s">
        <v>2503</v>
      </c>
      <c r="D11691" s="183" t="s">
        <v>141</v>
      </c>
      <c r="E11691" s="126">
        <v>25000</v>
      </c>
      <c r="F11691" s="126"/>
      <c r="G11691" s="126">
        <f t="shared" si="188"/>
        <v>-25000</v>
      </c>
      <c r="H11691" s="121" t="s">
        <v>7453</v>
      </c>
    </row>
    <row r="11692" spans="1:8" ht="15" customHeight="1" x14ac:dyDescent="0.2">
      <c r="A11692" s="619">
        <v>44530</v>
      </c>
      <c r="B11692" s="63" t="s">
        <v>25</v>
      </c>
      <c r="C11692" s="63" t="s">
        <v>2503</v>
      </c>
      <c r="D11692" s="183"/>
      <c r="E11692" s="126">
        <v>60000</v>
      </c>
      <c r="F11692" s="126"/>
      <c r="G11692" s="126">
        <f t="shared" si="188"/>
        <v>-60000</v>
      </c>
      <c r="H11692" s="121" t="s">
        <v>7453</v>
      </c>
    </row>
    <row r="11693" spans="1:8" ht="15" customHeight="1" x14ac:dyDescent="0.2">
      <c r="A11693" s="619">
        <v>44530</v>
      </c>
      <c r="B11693" s="63" t="s">
        <v>16</v>
      </c>
      <c r="C11693" s="63" t="s">
        <v>2503</v>
      </c>
      <c r="D11693" s="183"/>
      <c r="E11693" s="126">
        <v>96000</v>
      </c>
      <c r="F11693" s="126"/>
      <c r="G11693" s="126">
        <f t="shared" si="188"/>
        <v>-96000</v>
      </c>
      <c r="H11693" s="121" t="s">
        <v>7453</v>
      </c>
    </row>
    <row r="11694" spans="1:8" ht="15" customHeight="1" x14ac:dyDescent="0.2">
      <c r="A11694" s="619">
        <v>44530</v>
      </c>
      <c r="B11694" s="63" t="s">
        <v>3945</v>
      </c>
      <c r="C11694" s="63" t="s">
        <v>2503</v>
      </c>
      <c r="D11694" s="183"/>
      <c r="E11694" s="126">
        <v>71000</v>
      </c>
      <c r="F11694" s="126"/>
      <c r="G11694" s="126">
        <f t="shared" si="188"/>
        <v>-71000</v>
      </c>
      <c r="H11694" s="121" t="s">
        <v>7453</v>
      </c>
    </row>
    <row r="11695" spans="1:8" ht="15" customHeight="1" x14ac:dyDescent="0.2">
      <c r="A11695" s="619">
        <v>44530</v>
      </c>
      <c r="B11695" s="63" t="s">
        <v>3946</v>
      </c>
      <c r="C11695" s="63" t="s">
        <v>2503</v>
      </c>
      <c r="D11695" s="183"/>
      <c r="E11695" s="126">
        <v>109970.50000000001</v>
      </c>
      <c r="F11695" s="126"/>
      <c r="G11695" s="126">
        <f t="shared" si="188"/>
        <v>-109970.50000000001</v>
      </c>
      <c r="H11695" s="121" t="s">
        <v>7453</v>
      </c>
    </row>
    <row r="11696" spans="1:8" ht="15" customHeight="1" x14ac:dyDescent="0.2">
      <c r="A11696" s="619">
        <v>44530</v>
      </c>
      <c r="B11696" s="63" t="s">
        <v>1400</v>
      </c>
      <c r="C11696" s="63" t="s">
        <v>2503</v>
      </c>
      <c r="D11696" s="183"/>
      <c r="E11696" s="126">
        <v>133000</v>
      </c>
      <c r="F11696" s="126"/>
      <c r="G11696" s="126">
        <f t="shared" si="188"/>
        <v>-133000</v>
      </c>
      <c r="H11696" s="121" t="s">
        <v>7453</v>
      </c>
    </row>
    <row r="11697" spans="1:8" ht="15" customHeight="1" x14ac:dyDescent="0.2">
      <c r="A11697" s="619">
        <v>44530</v>
      </c>
      <c r="B11697" s="63" t="s">
        <v>37</v>
      </c>
      <c r="C11697" s="63" t="s">
        <v>2503</v>
      </c>
      <c r="D11697" s="183"/>
      <c r="E11697" s="126">
        <v>100304.16666666666</v>
      </c>
      <c r="F11697" s="126"/>
      <c r="G11697" s="126">
        <f t="shared" si="188"/>
        <v>-100304.16666666666</v>
      </c>
      <c r="H11697" s="121" t="s">
        <v>7453</v>
      </c>
    </row>
    <row r="11698" spans="1:8" ht="15" x14ac:dyDescent="0.2">
      <c r="A11698" s="619">
        <v>44530</v>
      </c>
      <c r="B11698" s="63" t="s">
        <v>2933</v>
      </c>
      <c r="C11698" s="63" t="s">
        <v>2503</v>
      </c>
      <c r="D11698" s="183"/>
      <c r="E11698" s="126">
        <v>111283.33333333334</v>
      </c>
      <c r="F11698" s="126"/>
      <c r="G11698" s="126">
        <f t="shared" si="188"/>
        <v>-111283.33333333334</v>
      </c>
      <c r="H11698" s="121" t="s">
        <v>7453</v>
      </c>
    </row>
    <row r="11699" spans="1:8" ht="15" x14ac:dyDescent="0.2">
      <c r="A11699" s="619">
        <v>44530</v>
      </c>
      <c r="B11699" s="63" t="s">
        <v>7067</v>
      </c>
      <c r="C11699" s="63" t="s">
        <v>2503</v>
      </c>
      <c r="D11699" s="183"/>
      <c r="E11699" s="126">
        <v>202132</v>
      </c>
      <c r="F11699" s="126"/>
      <c r="G11699" s="126">
        <f t="shared" si="188"/>
        <v>-202132</v>
      </c>
      <c r="H11699" s="121" t="s">
        <v>7453</v>
      </c>
    </row>
    <row r="11700" spans="1:8" ht="15" customHeight="1" x14ac:dyDescent="0.2">
      <c r="A11700" s="619">
        <v>44530</v>
      </c>
      <c r="B11700" s="63" t="s">
        <v>6518</v>
      </c>
      <c r="C11700" s="63" t="s">
        <v>2503</v>
      </c>
      <c r="D11700" s="183"/>
      <c r="E11700" s="126">
        <v>48229.166666666672</v>
      </c>
      <c r="F11700" s="126"/>
      <c r="G11700" s="126">
        <f t="shared" si="188"/>
        <v>-48229.166666666672</v>
      </c>
      <c r="H11700" s="121" t="s">
        <v>7453</v>
      </c>
    </row>
    <row r="11701" spans="1:8" ht="15" customHeight="1" x14ac:dyDescent="0.2">
      <c r="A11701" s="619">
        <v>44530</v>
      </c>
      <c r="B11701" s="63" t="s">
        <v>6408</v>
      </c>
      <c r="C11701" s="63" t="s">
        <v>2503</v>
      </c>
      <c r="D11701" s="183"/>
      <c r="E11701" s="126">
        <v>13567</v>
      </c>
      <c r="F11701" s="126"/>
      <c r="G11701" s="126">
        <f t="shared" si="188"/>
        <v>-13567</v>
      </c>
      <c r="H11701" s="121" t="s">
        <v>7453</v>
      </c>
    </row>
    <row r="11702" spans="1:8" ht="15" customHeight="1" x14ac:dyDescent="0.2">
      <c r="A11702" s="619">
        <v>44530</v>
      </c>
      <c r="B11702" s="63" t="s">
        <v>7112</v>
      </c>
      <c r="C11702" s="63" t="s">
        <v>2503</v>
      </c>
      <c r="D11702" s="183"/>
      <c r="E11702" s="126">
        <v>34750</v>
      </c>
      <c r="F11702" s="126"/>
      <c r="G11702" s="126">
        <f t="shared" si="188"/>
        <v>-34750</v>
      </c>
      <c r="H11702" s="121" t="s">
        <v>7453</v>
      </c>
    </row>
    <row r="11703" spans="1:8" ht="15" customHeight="1" x14ac:dyDescent="0.2">
      <c r="A11703" s="619">
        <v>44530</v>
      </c>
      <c r="B11703" s="63" t="s">
        <v>5811</v>
      </c>
      <c r="C11703" s="63" t="s">
        <v>2503</v>
      </c>
      <c r="D11703" s="183"/>
      <c r="E11703" s="126">
        <v>34067</v>
      </c>
      <c r="F11703" s="126"/>
      <c r="G11703" s="126">
        <f t="shared" si="188"/>
        <v>-34067</v>
      </c>
      <c r="H11703" s="121" t="s">
        <v>7453</v>
      </c>
    </row>
    <row r="11704" spans="1:8" ht="15" customHeight="1" x14ac:dyDescent="0.2">
      <c r="A11704" s="619">
        <v>44530</v>
      </c>
      <c r="B11704" s="63" t="s">
        <v>7555</v>
      </c>
      <c r="C11704" s="63" t="s">
        <v>2503</v>
      </c>
      <c r="D11704" s="183"/>
      <c r="E11704" s="126">
        <v>14750</v>
      </c>
      <c r="F11704" s="126"/>
      <c r="G11704" s="126">
        <f t="shared" si="188"/>
        <v>-14750</v>
      </c>
      <c r="H11704" s="121" t="s">
        <v>7453</v>
      </c>
    </row>
    <row r="11705" spans="1:8" ht="15" customHeight="1" x14ac:dyDescent="0.2">
      <c r="A11705" s="620">
        <v>44502</v>
      </c>
      <c r="B11705" s="174" t="s">
        <v>7067</v>
      </c>
      <c r="C11705" s="174" t="s">
        <v>7223</v>
      </c>
      <c r="D11705" s="228" t="s">
        <v>7633</v>
      </c>
      <c r="E11705" s="236">
        <v>250000</v>
      </c>
      <c r="F11705" s="236"/>
      <c r="G11705" s="236">
        <f t="shared" si="188"/>
        <v>-250000</v>
      </c>
      <c r="H11705" s="244" t="s">
        <v>7453</v>
      </c>
    </row>
    <row r="11706" spans="1:8" ht="15" customHeight="1" x14ac:dyDescent="0.2">
      <c r="A11706" s="620">
        <v>44503</v>
      </c>
      <c r="B11706" s="174" t="s">
        <v>7067</v>
      </c>
      <c r="C11706" s="174" t="s">
        <v>7181</v>
      </c>
      <c r="D11706" s="228" t="s">
        <v>7444</v>
      </c>
      <c r="E11706" s="236">
        <v>150000</v>
      </c>
      <c r="F11706" s="236"/>
      <c r="G11706" s="236">
        <f t="shared" si="188"/>
        <v>-150000</v>
      </c>
      <c r="H11706" s="244" t="s">
        <v>7453</v>
      </c>
    </row>
    <row r="11707" spans="1:8" ht="15" customHeight="1" x14ac:dyDescent="0.2">
      <c r="A11707" s="620">
        <v>44503</v>
      </c>
      <c r="B11707" s="174" t="s">
        <v>7067</v>
      </c>
      <c r="C11707" s="174" t="s">
        <v>6835</v>
      </c>
      <c r="D11707" s="228" t="s">
        <v>7445</v>
      </c>
      <c r="E11707" s="236">
        <v>400000</v>
      </c>
      <c r="F11707" s="236"/>
      <c r="G11707" s="236">
        <f t="shared" si="188"/>
        <v>-400000</v>
      </c>
      <c r="H11707" s="244" t="s">
        <v>7453</v>
      </c>
    </row>
    <row r="11708" spans="1:8" ht="15" customHeight="1" x14ac:dyDescent="0.2">
      <c r="A11708" s="620">
        <v>44505</v>
      </c>
      <c r="B11708" s="174" t="s">
        <v>7067</v>
      </c>
      <c r="C11708" s="174" t="s">
        <v>1063</v>
      </c>
      <c r="D11708" s="228" t="s">
        <v>7462</v>
      </c>
      <c r="E11708" s="236">
        <v>134784</v>
      </c>
      <c r="F11708" s="236"/>
      <c r="G11708" s="236">
        <f t="shared" si="188"/>
        <v>-134784</v>
      </c>
      <c r="H11708" s="244" t="s">
        <v>7453</v>
      </c>
    </row>
    <row r="11709" spans="1:8" ht="15" customHeight="1" x14ac:dyDescent="0.2">
      <c r="A11709" s="620">
        <v>44510</v>
      </c>
      <c r="B11709" s="174" t="s">
        <v>6511</v>
      </c>
      <c r="C11709" s="551" t="s">
        <v>7467</v>
      </c>
      <c r="D11709" s="740" t="s">
        <v>7469</v>
      </c>
      <c r="E11709" s="552">
        <v>47013</v>
      </c>
      <c r="F11709" s="236"/>
      <c r="G11709" s="236">
        <f t="shared" si="188"/>
        <v>-47013</v>
      </c>
      <c r="H11709" s="244" t="s">
        <v>7453</v>
      </c>
    </row>
    <row r="11710" spans="1:8" ht="15" customHeight="1" x14ac:dyDescent="0.2">
      <c r="A11710" s="620">
        <v>44510</v>
      </c>
      <c r="B11710" s="174" t="s">
        <v>7112</v>
      </c>
      <c r="C11710" s="551" t="s">
        <v>7467</v>
      </c>
      <c r="D11710" s="740" t="s">
        <v>6789</v>
      </c>
      <c r="E11710" s="552">
        <v>30988</v>
      </c>
      <c r="F11710" s="236"/>
      <c r="G11710" s="236">
        <f t="shared" si="188"/>
        <v>-30988</v>
      </c>
      <c r="H11710" s="244" t="s">
        <v>7453</v>
      </c>
    </row>
    <row r="11711" spans="1:8" ht="15" x14ac:dyDescent="0.2">
      <c r="A11711" s="620">
        <v>44510</v>
      </c>
      <c r="B11711" s="174" t="s">
        <v>6953</v>
      </c>
      <c r="C11711" s="551" t="s">
        <v>7467</v>
      </c>
      <c r="D11711" s="740" t="s">
        <v>6789</v>
      </c>
      <c r="E11711" s="552">
        <v>21999</v>
      </c>
      <c r="F11711" s="236"/>
      <c r="G11711" s="236">
        <f t="shared" si="188"/>
        <v>-21999</v>
      </c>
      <c r="H11711" s="244" t="s">
        <v>7453</v>
      </c>
    </row>
    <row r="11712" spans="1:8" ht="15" x14ac:dyDescent="0.2">
      <c r="A11712" s="620">
        <v>44512</v>
      </c>
      <c r="B11712" s="174" t="s">
        <v>7067</v>
      </c>
      <c r="C11712" s="174" t="s">
        <v>7223</v>
      </c>
      <c r="D11712" s="228" t="s">
        <v>7470</v>
      </c>
      <c r="E11712" s="236">
        <v>150000</v>
      </c>
      <c r="F11712" s="236"/>
      <c r="G11712" s="236">
        <f t="shared" si="188"/>
        <v>-150000</v>
      </c>
      <c r="H11712" s="244" t="s">
        <v>7453</v>
      </c>
    </row>
    <row r="11713" spans="1:8" ht="15" x14ac:dyDescent="0.2">
      <c r="A11713" s="620">
        <v>44515</v>
      </c>
      <c r="B11713" s="174" t="s">
        <v>7067</v>
      </c>
      <c r="C11713" s="174" t="s">
        <v>6784</v>
      </c>
      <c r="D11713" s="228" t="s">
        <v>7484</v>
      </c>
      <c r="E11713" s="236">
        <v>84000</v>
      </c>
      <c r="F11713" s="236"/>
      <c r="G11713" s="236">
        <f t="shared" si="188"/>
        <v>-84000</v>
      </c>
      <c r="H11713" s="244" t="s">
        <v>7453</v>
      </c>
    </row>
    <row r="11714" spans="1:8" ht="15" x14ac:dyDescent="0.2">
      <c r="A11714" s="620">
        <v>44515</v>
      </c>
      <c r="B11714" s="174" t="s">
        <v>7067</v>
      </c>
      <c r="C11714" s="174" t="s">
        <v>7412</v>
      </c>
      <c r="D11714" s="228" t="s">
        <v>7485</v>
      </c>
      <c r="E11714" s="236">
        <v>105260</v>
      </c>
      <c r="F11714" s="236"/>
      <c r="G11714" s="236">
        <f t="shared" si="188"/>
        <v>-105260</v>
      </c>
      <c r="H11714" s="244" t="s">
        <v>7453</v>
      </c>
    </row>
    <row r="11715" spans="1:8" ht="15" x14ac:dyDescent="0.2">
      <c r="A11715" s="620">
        <v>44516</v>
      </c>
      <c r="B11715" s="174" t="s">
        <v>7067</v>
      </c>
      <c r="C11715" s="174" t="s">
        <v>6653</v>
      </c>
      <c r="D11715" s="228" t="s">
        <v>7486</v>
      </c>
      <c r="E11715" s="236">
        <v>119000</v>
      </c>
      <c r="F11715" s="236"/>
      <c r="G11715" s="236">
        <f t="shared" si="188"/>
        <v>-119000</v>
      </c>
      <c r="H11715" s="244" t="s">
        <v>7453</v>
      </c>
    </row>
    <row r="11716" spans="1:8" ht="15" x14ac:dyDescent="0.2">
      <c r="A11716" s="620">
        <v>44516</v>
      </c>
      <c r="B11716" s="174" t="s">
        <v>3946</v>
      </c>
      <c r="C11716" s="174" t="s">
        <v>7271</v>
      </c>
      <c r="D11716" s="228" t="s">
        <v>7494</v>
      </c>
      <c r="E11716" s="236">
        <v>200000</v>
      </c>
      <c r="F11716" s="236"/>
      <c r="G11716" s="236">
        <f t="shared" si="188"/>
        <v>-200000</v>
      </c>
      <c r="H11716" s="244" t="s">
        <v>7453</v>
      </c>
    </row>
    <row r="11717" spans="1:8" ht="15" x14ac:dyDescent="0.2">
      <c r="A11717" s="620">
        <v>44529</v>
      </c>
      <c r="B11717" s="174" t="s">
        <v>7067</v>
      </c>
      <c r="C11717" s="174" t="s">
        <v>166</v>
      </c>
      <c r="D11717" s="228" t="s">
        <v>7523</v>
      </c>
      <c r="E11717" s="236">
        <v>150000</v>
      </c>
      <c r="F11717" s="236"/>
      <c r="G11717" s="236">
        <f t="shared" ref="G11717:G11780" si="189">F11717-E11717</f>
        <v>-150000</v>
      </c>
      <c r="H11717" s="244" t="s">
        <v>7453</v>
      </c>
    </row>
    <row r="11718" spans="1:8" ht="15" x14ac:dyDescent="0.2">
      <c r="A11718" s="620">
        <v>44529</v>
      </c>
      <c r="B11718" s="174" t="s">
        <v>7067</v>
      </c>
      <c r="C11718" s="174" t="s">
        <v>256</v>
      </c>
      <c r="D11718" s="228" t="s">
        <v>7523</v>
      </c>
      <c r="E11718" s="236">
        <v>309316</v>
      </c>
      <c r="F11718" s="236"/>
      <c r="G11718" s="236">
        <f t="shared" si="189"/>
        <v>-309316</v>
      </c>
      <c r="H11718" s="244" t="s">
        <v>7453</v>
      </c>
    </row>
    <row r="11719" spans="1:8" ht="15" x14ac:dyDescent="0.2">
      <c r="A11719" s="620">
        <v>44529</v>
      </c>
      <c r="B11719" s="174" t="s">
        <v>6508</v>
      </c>
      <c r="C11719" s="174" t="s">
        <v>256</v>
      </c>
      <c r="D11719" s="228" t="s">
        <v>6789</v>
      </c>
      <c r="E11719" s="236">
        <v>27915</v>
      </c>
      <c r="F11719" s="236"/>
      <c r="G11719" s="236">
        <f t="shared" si="189"/>
        <v>-27915</v>
      </c>
      <c r="H11719" s="244" t="s">
        <v>7453</v>
      </c>
    </row>
    <row r="11720" spans="1:8" s="682" customFormat="1" ht="24" customHeight="1" x14ac:dyDescent="0.25">
      <c r="A11720" s="618">
        <v>44503</v>
      </c>
      <c r="B11720" s="94" t="s">
        <v>6508</v>
      </c>
      <c r="C11720" s="94" t="s">
        <v>559</v>
      </c>
      <c r="D11720" s="802" t="s">
        <v>7442</v>
      </c>
      <c r="E11720" s="176"/>
      <c r="F11720" s="176">
        <v>400000</v>
      </c>
      <c r="G11720" s="176">
        <f t="shared" si="189"/>
        <v>400000</v>
      </c>
      <c r="H11720" s="261" t="s">
        <v>7453</v>
      </c>
    </row>
    <row r="11721" spans="1:8" s="682" customFormat="1" ht="15" customHeight="1" x14ac:dyDescent="0.25">
      <c r="A11721" s="618">
        <v>44505</v>
      </c>
      <c r="B11721" s="94" t="s">
        <v>3946</v>
      </c>
      <c r="C11721" s="94" t="s">
        <v>559</v>
      </c>
      <c r="D11721" s="892" t="s">
        <v>7390</v>
      </c>
      <c r="E11721" s="176"/>
      <c r="F11721" s="176">
        <v>139113</v>
      </c>
      <c r="G11721" s="176">
        <f t="shared" si="189"/>
        <v>139113</v>
      </c>
      <c r="H11721" s="261" t="s">
        <v>7453</v>
      </c>
    </row>
    <row r="11722" spans="1:8" ht="15" x14ac:dyDescent="0.2">
      <c r="A11722" s="618">
        <v>44509</v>
      </c>
      <c r="B11722" s="94" t="s">
        <v>7555</v>
      </c>
      <c r="C11722" s="94" t="s">
        <v>559</v>
      </c>
      <c r="D11722" s="1110" t="s">
        <v>7533</v>
      </c>
      <c r="E11722" s="176"/>
      <c r="F11722" s="176">
        <v>358715</v>
      </c>
      <c r="G11722" s="176">
        <f t="shared" si="189"/>
        <v>358715</v>
      </c>
      <c r="H11722" s="261" t="s">
        <v>7453</v>
      </c>
    </row>
    <row r="11723" spans="1:8" ht="24" x14ac:dyDescent="0.2">
      <c r="A11723" s="618">
        <v>44510</v>
      </c>
      <c r="B11723" s="94" t="s">
        <v>6508</v>
      </c>
      <c r="C11723" s="94" t="s">
        <v>559</v>
      </c>
      <c r="D11723" s="802" t="s">
        <v>7466</v>
      </c>
      <c r="E11723" s="176"/>
      <c r="F11723" s="176">
        <v>220000</v>
      </c>
      <c r="G11723" s="176">
        <f t="shared" si="189"/>
        <v>220000</v>
      </c>
      <c r="H11723" s="261" t="s">
        <v>7453</v>
      </c>
    </row>
    <row r="11724" spans="1:8" ht="15" x14ac:dyDescent="0.2">
      <c r="A11724" s="618">
        <v>44517</v>
      </c>
      <c r="B11724" s="94" t="s">
        <v>3946</v>
      </c>
      <c r="C11724" s="94" t="s">
        <v>559</v>
      </c>
      <c r="D11724" s="892" t="s">
        <v>7520</v>
      </c>
      <c r="E11724" s="176"/>
      <c r="F11724" s="176">
        <v>1000000</v>
      </c>
      <c r="G11724" s="176">
        <f t="shared" si="189"/>
        <v>1000000</v>
      </c>
      <c r="H11724" s="261" t="s">
        <v>7453</v>
      </c>
    </row>
    <row r="11725" spans="1:8" ht="15" x14ac:dyDescent="0.2">
      <c r="A11725" s="618">
        <v>44517</v>
      </c>
      <c r="B11725" s="91" t="s">
        <v>7067</v>
      </c>
      <c r="C11725" s="94" t="s">
        <v>559</v>
      </c>
      <c r="D11725" s="892" t="s">
        <v>7490</v>
      </c>
      <c r="E11725" s="176"/>
      <c r="F11725" s="92">
        <v>500000</v>
      </c>
      <c r="G11725" s="92">
        <f t="shared" si="189"/>
        <v>500000</v>
      </c>
      <c r="H11725" s="261" t="s">
        <v>7453</v>
      </c>
    </row>
    <row r="11726" spans="1:8" ht="15" x14ac:dyDescent="0.2">
      <c r="A11726" s="618">
        <v>44517</v>
      </c>
      <c r="B11726" s="91" t="s">
        <v>7067</v>
      </c>
      <c r="C11726" s="94" t="s">
        <v>559</v>
      </c>
      <c r="D11726" s="892" t="s">
        <v>7490</v>
      </c>
      <c r="E11726" s="176"/>
      <c r="F11726" s="92">
        <v>476108</v>
      </c>
      <c r="G11726" s="92">
        <f t="shared" si="189"/>
        <v>476108</v>
      </c>
      <c r="H11726" s="261" t="s">
        <v>7453</v>
      </c>
    </row>
    <row r="11727" spans="1:8" ht="15" x14ac:dyDescent="0.2">
      <c r="A11727" s="618">
        <v>44527</v>
      </c>
      <c r="B11727" s="91" t="s">
        <v>6518</v>
      </c>
      <c r="C11727" s="94" t="s">
        <v>559</v>
      </c>
      <c r="D11727" s="801" t="s">
        <v>7099</v>
      </c>
      <c r="E11727" s="176"/>
      <c r="F11727" s="92">
        <v>925000</v>
      </c>
      <c r="G11727" s="92">
        <f t="shared" si="189"/>
        <v>925000</v>
      </c>
      <c r="H11727" s="261" t="s">
        <v>7453</v>
      </c>
    </row>
    <row r="11728" spans="1:8" ht="15" x14ac:dyDescent="0.2">
      <c r="A11728" s="618">
        <v>44529</v>
      </c>
      <c r="B11728" s="91" t="s">
        <v>7126</v>
      </c>
      <c r="C11728" s="94" t="s">
        <v>559</v>
      </c>
      <c r="D11728" s="801" t="s">
        <v>7521</v>
      </c>
      <c r="E11728" s="176"/>
      <c r="F11728" s="92">
        <v>150000</v>
      </c>
      <c r="G11728" s="92">
        <f t="shared" si="189"/>
        <v>150000</v>
      </c>
      <c r="H11728" s="261" t="s">
        <v>7453</v>
      </c>
    </row>
    <row r="11729" spans="1:8" ht="15" x14ac:dyDescent="0.2">
      <c r="A11729" s="618">
        <v>44529</v>
      </c>
      <c r="B11729" s="91" t="s">
        <v>7126</v>
      </c>
      <c r="C11729" s="94" t="s">
        <v>559</v>
      </c>
      <c r="D11729" s="801" t="s">
        <v>7522</v>
      </c>
      <c r="E11729" s="176"/>
      <c r="F11729" s="92">
        <v>337231</v>
      </c>
      <c r="G11729" s="92">
        <f t="shared" si="189"/>
        <v>337231</v>
      </c>
      <c r="H11729" s="261" t="s">
        <v>7453</v>
      </c>
    </row>
    <row r="11730" spans="1:8" ht="15" x14ac:dyDescent="0.2">
      <c r="A11730" s="618">
        <v>44530</v>
      </c>
      <c r="B11730" s="91" t="s">
        <v>3945</v>
      </c>
      <c r="C11730" s="94" t="s">
        <v>559</v>
      </c>
      <c r="D11730" s="801" t="s">
        <v>7527</v>
      </c>
      <c r="E11730" s="92"/>
      <c r="F11730" s="92">
        <v>90958</v>
      </c>
      <c r="G11730" s="92">
        <f t="shared" si="189"/>
        <v>90958</v>
      </c>
      <c r="H11730" s="261" t="s">
        <v>7453</v>
      </c>
    </row>
    <row r="11731" spans="1:8" ht="15" x14ac:dyDescent="0.2">
      <c r="A11731" s="619">
        <v>44531</v>
      </c>
      <c r="B11731" s="41" t="s">
        <v>7067</v>
      </c>
      <c r="C11731" s="63" t="s">
        <v>392</v>
      </c>
      <c r="D11731" s="108" t="s">
        <v>6698</v>
      </c>
      <c r="E11731" s="58">
        <v>2000</v>
      </c>
      <c r="F11731" s="58"/>
      <c r="G11731" s="58">
        <f t="shared" si="189"/>
        <v>-2000</v>
      </c>
      <c r="H11731" s="121" t="s">
        <v>7529</v>
      </c>
    </row>
    <row r="11732" spans="1:8" ht="15" x14ac:dyDescent="0.2">
      <c r="A11732" s="619">
        <v>44531</v>
      </c>
      <c r="B11732" s="41" t="s">
        <v>6953</v>
      </c>
      <c r="C11732" s="63" t="s">
        <v>3145</v>
      </c>
      <c r="D11732" s="108" t="s">
        <v>5384</v>
      </c>
      <c r="E11732" s="58">
        <v>6750</v>
      </c>
      <c r="F11732" s="58"/>
      <c r="G11732" s="58">
        <f t="shared" si="189"/>
        <v>-6750</v>
      </c>
      <c r="H11732" s="121" t="s">
        <v>7529</v>
      </c>
    </row>
    <row r="11733" spans="1:8" ht="15" x14ac:dyDescent="0.2">
      <c r="A11733" s="619">
        <v>44531</v>
      </c>
      <c r="B11733" s="41" t="s">
        <v>7112</v>
      </c>
      <c r="C11733" s="63" t="s">
        <v>3145</v>
      </c>
      <c r="D11733" s="108" t="s">
        <v>5384</v>
      </c>
      <c r="E11733" s="58">
        <v>3500</v>
      </c>
      <c r="F11733" s="58"/>
      <c r="G11733" s="58">
        <f t="shared" si="189"/>
        <v>-3500</v>
      </c>
      <c r="H11733" s="121" t="s">
        <v>7529</v>
      </c>
    </row>
    <row r="11734" spans="1:8" ht="15" x14ac:dyDescent="0.2">
      <c r="A11734" s="619">
        <v>44531</v>
      </c>
      <c r="B11734" s="41" t="s">
        <v>2933</v>
      </c>
      <c r="C11734" s="63" t="s">
        <v>3145</v>
      </c>
      <c r="D11734" s="108" t="s">
        <v>6486</v>
      </c>
      <c r="E11734" s="58">
        <v>1200</v>
      </c>
      <c r="F11734" s="58"/>
      <c r="G11734" s="58">
        <f t="shared" si="189"/>
        <v>-1200</v>
      </c>
      <c r="H11734" s="121" t="s">
        <v>7529</v>
      </c>
    </row>
    <row r="11735" spans="1:8" ht="15" x14ac:dyDescent="0.2">
      <c r="A11735" s="619">
        <v>44531</v>
      </c>
      <c r="B11735" s="41" t="s">
        <v>1400</v>
      </c>
      <c r="C11735" s="63" t="s">
        <v>2190</v>
      </c>
      <c r="E11735" s="58">
        <v>2480</v>
      </c>
      <c r="F11735" s="58"/>
      <c r="G11735" s="58">
        <f t="shared" si="189"/>
        <v>-2480</v>
      </c>
      <c r="H11735" s="121" t="s">
        <v>7529</v>
      </c>
    </row>
    <row r="11736" spans="1:8" ht="15" x14ac:dyDescent="0.2">
      <c r="A11736" s="619">
        <v>44531</v>
      </c>
      <c r="B11736" s="41" t="s">
        <v>7067</v>
      </c>
      <c r="C11736" s="63" t="s">
        <v>3145</v>
      </c>
      <c r="D11736" s="108" t="s">
        <v>7062</v>
      </c>
      <c r="E11736" s="58">
        <v>3200</v>
      </c>
      <c r="F11736" s="58"/>
      <c r="G11736" s="58">
        <f t="shared" si="189"/>
        <v>-3200</v>
      </c>
      <c r="H11736" s="121" t="s">
        <v>7529</v>
      </c>
    </row>
    <row r="11737" spans="1:8" ht="15" x14ac:dyDescent="0.2">
      <c r="A11737" s="619">
        <v>44531</v>
      </c>
      <c r="B11737" s="41" t="s">
        <v>7067</v>
      </c>
      <c r="C11737" s="63" t="s">
        <v>3145</v>
      </c>
      <c r="D11737" s="108" t="s">
        <v>7062</v>
      </c>
      <c r="E11737" s="58">
        <v>17350</v>
      </c>
      <c r="F11737" s="58"/>
      <c r="G11737" s="58">
        <f t="shared" si="189"/>
        <v>-17350</v>
      </c>
      <c r="H11737" s="121" t="s">
        <v>7529</v>
      </c>
    </row>
    <row r="11738" spans="1:8" ht="15" x14ac:dyDescent="0.2">
      <c r="A11738" s="619">
        <v>44532</v>
      </c>
      <c r="B11738" s="41" t="s">
        <v>7112</v>
      </c>
      <c r="C11738" s="63" t="s">
        <v>3145</v>
      </c>
      <c r="D11738" s="108" t="s">
        <v>7062</v>
      </c>
      <c r="E11738" s="58">
        <v>1250</v>
      </c>
      <c r="F11738" s="58"/>
      <c r="G11738" s="58">
        <f t="shared" si="189"/>
        <v>-1250</v>
      </c>
      <c r="H11738" s="121" t="s">
        <v>7529</v>
      </c>
    </row>
    <row r="11739" spans="1:8" ht="15" x14ac:dyDescent="0.2">
      <c r="A11739" s="619">
        <v>44532</v>
      </c>
      <c r="B11739" s="41" t="s">
        <v>6950</v>
      </c>
      <c r="C11739" s="63" t="s">
        <v>7546</v>
      </c>
      <c r="D11739" s="108" t="s">
        <v>7547</v>
      </c>
      <c r="E11739" s="58">
        <v>19450</v>
      </c>
      <c r="F11739" s="58"/>
      <c r="G11739" s="58">
        <f t="shared" si="189"/>
        <v>-19450</v>
      </c>
      <c r="H11739" s="121" t="s">
        <v>7529</v>
      </c>
    </row>
    <row r="11740" spans="1:8" ht="15" x14ac:dyDescent="0.2">
      <c r="A11740" s="619">
        <v>44532</v>
      </c>
      <c r="B11740" s="41" t="s">
        <v>1400</v>
      </c>
      <c r="C11740" s="63" t="s">
        <v>3145</v>
      </c>
      <c r="D11740" s="108" t="s">
        <v>5257</v>
      </c>
      <c r="E11740" s="58">
        <v>3000</v>
      </c>
      <c r="F11740" s="58"/>
      <c r="G11740" s="58">
        <f t="shared" si="189"/>
        <v>-3000</v>
      </c>
      <c r="H11740" s="121" t="s">
        <v>7529</v>
      </c>
    </row>
    <row r="11741" spans="1:8" ht="15" x14ac:dyDescent="0.2">
      <c r="A11741" s="619">
        <v>44532</v>
      </c>
      <c r="B11741" s="63" t="s">
        <v>7555</v>
      </c>
      <c r="C11741" s="63" t="s">
        <v>3145</v>
      </c>
      <c r="D11741" s="108" t="s">
        <v>5257</v>
      </c>
      <c r="E11741" s="58">
        <v>5000</v>
      </c>
      <c r="F11741" s="58"/>
      <c r="G11741" s="58">
        <f t="shared" si="189"/>
        <v>-5000</v>
      </c>
      <c r="H11741" s="121" t="s">
        <v>7529</v>
      </c>
    </row>
    <row r="11742" spans="1:8" ht="15" x14ac:dyDescent="0.2">
      <c r="A11742" s="619">
        <v>44532</v>
      </c>
      <c r="B11742" s="41" t="s">
        <v>25</v>
      </c>
      <c r="C11742" s="63" t="s">
        <v>1005</v>
      </c>
      <c r="E11742" s="58">
        <v>650</v>
      </c>
      <c r="F11742" s="58"/>
      <c r="G11742" s="58">
        <f t="shared" si="189"/>
        <v>-650</v>
      </c>
      <c r="H11742" s="121" t="s">
        <v>7529</v>
      </c>
    </row>
    <row r="11743" spans="1:8" ht="15" x14ac:dyDescent="0.2">
      <c r="A11743" s="619">
        <v>44532</v>
      </c>
      <c r="B11743" s="41" t="s">
        <v>7067</v>
      </c>
      <c r="C11743" s="63" t="s">
        <v>5741</v>
      </c>
      <c r="E11743" s="58">
        <v>2500</v>
      </c>
      <c r="F11743" s="58"/>
      <c r="G11743" s="58">
        <f t="shared" si="189"/>
        <v>-2500</v>
      </c>
      <c r="H11743" s="121" t="s">
        <v>7529</v>
      </c>
    </row>
    <row r="11744" spans="1:8" ht="15" x14ac:dyDescent="0.2">
      <c r="A11744" s="619">
        <v>44532</v>
      </c>
      <c r="B11744" s="41" t="s">
        <v>14</v>
      </c>
      <c r="C11744" s="63" t="s">
        <v>5410</v>
      </c>
      <c r="D11744" s="108" t="s">
        <v>7548</v>
      </c>
      <c r="E11744" s="58">
        <v>5000</v>
      </c>
      <c r="F11744" s="58"/>
      <c r="G11744" s="58">
        <f t="shared" si="189"/>
        <v>-5000</v>
      </c>
      <c r="H11744" s="121" t="s">
        <v>7529</v>
      </c>
    </row>
    <row r="11745" spans="1:8" ht="15" x14ac:dyDescent="0.2">
      <c r="A11745" s="619">
        <v>44533</v>
      </c>
      <c r="B11745" s="41" t="s">
        <v>7067</v>
      </c>
      <c r="C11745" s="63" t="s">
        <v>3145</v>
      </c>
      <c r="D11745" s="108" t="s">
        <v>4966</v>
      </c>
      <c r="E11745" s="58">
        <v>26072</v>
      </c>
      <c r="F11745" s="58"/>
      <c r="G11745" s="58">
        <f t="shared" si="189"/>
        <v>-26072</v>
      </c>
      <c r="H11745" s="121" t="s">
        <v>7529</v>
      </c>
    </row>
    <row r="11746" spans="1:8" ht="15" x14ac:dyDescent="0.2">
      <c r="A11746" s="619">
        <v>44534</v>
      </c>
      <c r="B11746" s="63" t="s">
        <v>7555</v>
      </c>
      <c r="C11746" s="63" t="s">
        <v>3145</v>
      </c>
      <c r="D11746" s="108" t="s">
        <v>4966</v>
      </c>
      <c r="E11746" s="58">
        <v>24815</v>
      </c>
      <c r="F11746" s="58"/>
      <c r="G11746" s="58">
        <f t="shared" si="189"/>
        <v>-24815</v>
      </c>
      <c r="H11746" s="121" t="s">
        <v>7529</v>
      </c>
    </row>
    <row r="11747" spans="1:8" ht="15" x14ac:dyDescent="0.2">
      <c r="A11747" s="619">
        <v>44534</v>
      </c>
      <c r="B11747" s="41" t="s">
        <v>11</v>
      </c>
      <c r="C11747" s="63" t="s">
        <v>3145</v>
      </c>
      <c r="D11747" s="108" t="s">
        <v>4966</v>
      </c>
      <c r="E11747" s="58">
        <v>2000</v>
      </c>
      <c r="F11747" s="58"/>
      <c r="G11747" s="58">
        <f t="shared" si="189"/>
        <v>-2000</v>
      </c>
      <c r="H11747" s="121" t="s">
        <v>7529</v>
      </c>
    </row>
    <row r="11748" spans="1:8" ht="15" x14ac:dyDescent="0.2">
      <c r="A11748" s="619">
        <v>44534</v>
      </c>
      <c r="B11748" s="41" t="s">
        <v>7112</v>
      </c>
      <c r="C11748" s="63" t="s">
        <v>3145</v>
      </c>
      <c r="D11748" s="108" t="s">
        <v>4966</v>
      </c>
      <c r="E11748" s="58">
        <v>1400</v>
      </c>
      <c r="F11748" s="58"/>
      <c r="G11748" s="58">
        <f t="shared" si="189"/>
        <v>-1400</v>
      </c>
      <c r="H11748" s="121" t="s">
        <v>7529</v>
      </c>
    </row>
    <row r="11749" spans="1:8" ht="15" x14ac:dyDescent="0.2">
      <c r="A11749" s="619">
        <v>44534</v>
      </c>
      <c r="B11749" s="41" t="s">
        <v>4553</v>
      </c>
      <c r="C11749" s="63" t="s">
        <v>3145</v>
      </c>
      <c r="D11749" s="108" t="s">
        <v>4966</v>
      </c>
      <c r="E11749" s="58">
        <v>860</v>
      </c>
      <c r="F11749" s="58"/>
      <c r="G11749" s="58">
        <f t="shared" si="189"/>
        <v>-860</v>
      </c>
      <c r="H11749" s="121" t="s">
        <v>7529</v>
      </c>
    </row>
    <row r="11750" spans="1:8" ht="15" x14ac:dyDescent="0.2">
      <c r="A11750" s="619">
        <v>44534</v>
      </c>
      <c r="B11750" s="41" t="s">
        <v>7067</v>
      </c>
      <c r="C11750" s="63" t="s">
        <v>2190</v>
      </c>
      <c r="E11750" s="58">
        <v>340</v>
      </c>
      <c r="F11750" s="58"/>
      <c r="G11750" s="58">
        <f t="shared" si="189"/>
        <v>-340</v>
      </c>
      <c r="H11750" s="121" t="s">
        <v>7529</v>
      </c>
    </row>
    <row r="11751" spans="1:8" ht="15" x14ac:dyDescent="0.2">
      <c r="A11751" s="619">
        <v>44534</v>
      </c>
      <c r="B11751" s="41" t="s">
        <v>16</v>
      </c>
      <c r="C11751" s="63" t="s">
        <v>1495</v>
      </c>
      <c r="E11751" s="58">
        <v>1200</v>
      </c>
      <c r="F11751" s="58"/>
      <c r="G11751" s="58">
        <f t="shared" si="189"/>
        <v>-1200</v>
      </c>
      <c r="H11751" s="121" t="s">
        <v>7529</v>
      </c>
    </row>
    <row r="11752" spans="1:8" ht="15" customHeight="1" x14ac:dyDescent="0.2">
      <c r="A11752" s="619">
        <v>44536</v>
      </c>
      <c r="B11752" s="41" t="s">
        <v>3946</v>
      </c>
      <c r="C11752" s="63" t="s">
        <v>3145</v>
      </c>
      <c r="D11752" s="108" t="s">
        <v>7549</v>
      </c>
      <c r="E11752" s="58">
        <v>1800</v>
      </c>
      <c r="F11752" s="58"/>
      <c r="G11752" s="58">
        <f t="shared" si="189"/>
        <v>-1800</v>
      </c>
      <c r="H11752" s="121" t="s">
        <v>7529</v>
      </c>
    </row>
    <row r="11753" spans="1:8" ht="15" x14ac:dyDescent="0.2">
      <c r="A11753" s="619">
        <v>44536</v>
      </c>
      <c r="B11753" s="41" t="s">
        <v>7112</v>
      </c>
      <c r="C11753" s="63" t="s">
        <v>3145</v>
      </c>
      <c r="D11753" s="108" t="s">
        <v>4966</v>
      </c>
      <c r="E11753" s="58">
        <v>6150</v>
      </c>
      <c r="F11753" s="58"/>
      <c r="G11753" s="58">
        <f t="shared" si="189"/>
        <v>-6150</v>
      </c>
      <c r="H11753" s="121" t="s">
        <v>7529</v>
      </c>
    </row>
    <row r="11754" spans="1:8" ht="15" x14ac:dyDescent="0.2">
      <c r="A11754" s="619">
        <v>44536</v>
      </c>
      <c r="B11754" s="41" t="s">
        <v>7067</v>
      </c>
      <c r="C11754" s="63" t="s">
        <v>3145</v>
      </c>
      <c r="D11754" s="108" t="s">
        <v>7550</v>
      </c>
      <c r="E11754" s="58">
        <v>50735</v>
      </c>
      <c r="F11754" s="58"/>
      <c r="G11754" s="58">
        <f t="shared" si="189"/>
        <v>-50735</v>
      </c>
      <c r="H11754" s="121" t="s">
        <v>7529</v>
      </c>
    </row>
    <row r="11755" spans="1:8" ht="15" x14ac:dyDescent="0.2">
      <c r="A11755" s="619">
        <v>44536</v>
      </c>
      <c r="B11755" s="41" t="s">
        <v>16</v>
      </c>
      <c r="C11755" s="63" t="s">
        <v>3364</v>
      </c>
      <c r="E11755" s="58">
        <v>4089</v>
      </c>
      <c r="F11755" s="58"/>
      <c r="G11755" s="58">
        <f t="shared" si="189"/>
        <v>-4089</v>
      </c>
      <c r="H11755" s="121" t="s">
        <v>7529</v>
      </c>
    </row>
    <row r="11756" spans="1:8" ht="15" x14ac:dyDescent="0.2">
      <c r="A11756" s="619">
        <v>44537</v>
      </c>
      <c r="B11756" s="41" t="s">
        <v>3946</v>
      </c>
      <c r="C11756" s="63" t="s">
        <v>3145</v>
      </c>
      <c r="D11756" s="108" t="s">
        <v>7551</v>
      </c>
      <c r="E11756" s="58">
        <v>116000</v>
      </c>
      <c r="F11756" s="58"/>
      <c r="G11756" s="58">
        <f t="shared" si="189"/>
        <v>-116000</v>
      </c>
      <c r="H11756" s="121" t="s">
        <v>7529</v>
      </c>
    </row>
    <row r="11757" spans="1:8" ht="15" x14ac:dyDescent="0.2">
      <c r="A11757" s="619">
        <v>44537</v>
      </c>
      <c r="B11757" s="41" t="s">
        <v>6408</v>
      </c>
      <c r="C11757" s="63" t="s">
        <v>3145</v>
      </c>
      <c r="D11757" s="108" t="s">
        <v>7552</v>
      </c>
      <c r="E11757" s="58">
        <v>350</v>
      </c>
      <c r="F11757" s="58"/>
      <c r="G11757" s="58">
        <f t="shared" si="189"/>
        <v>-350</v>
      </c>
      <c r="H11757" s="121" t="s">
        <v>7529</v>
      </c>
    </row>
    <row r="11758" spans="1:8" ht="15" x14ac:dyDescent="0.2">
      <c r="A11758" s="619">
        <v>44537</v>
      </c>
      <c r="B11758" s="41" t="s">
        <v>37</v>
      </c>
      <c r="C11758" s="63" t="s">
        <v>392</v>
      </c>
      <c r="D11758" s="108" t="s">
        <v>7553</v>
      </c>
      <c r="E11758" s="58">
        <v>2000</v>
      </c>
      <c r="F11758" s="58"/>
      <c r="G11758" s="58">
        <f t="shared" si="189"/>
        <v>-2000</v>
      </c>
      <c r="H11758" s="121" t="s">
        <v>7529</v>
      </c>
    </row>
    <row r="11759" spans="1:8" ht="15" x14ac:dyDescent="0.2">
      <c r="A11759" s="619">
        <v>44537</v>
      </c>
      <c r="B11759" s="41" t="s">
        <v>7067</v>
      </c>
      <c r="C11759" s="63" t="s">
        <v>3145</v>
      </c>
      <c r="D11759" s="108" t="s">
        <v>7395</v>
      </c>
      <c r="E11759" s="58">
        <v>920</v>
      </c>
      <c r="F11759" s="58"/>
      <c r="G11759" s="58">
        <f t="shared" si="189"/>
        <v>-920</v>
      </c>
      <c r="H11759" s="121" t="s">
        <v>7529</v>
      </c>
    </row>
    <row r="11760" spans="1:8" ht="15" x14ac:dyDescent="0.2">
      <c r="A11760" s="619">
        <v>44537</v>
      </c>
      <c r="B11760" s="63" t="s">
        <v>7555</v>
      </c>
      <c r="C11760" s="63" t="s">
        <v>3145</v>
      </c>
      <c r="D11760" s="108" t="s">
        <v>7395</v>
      </c>
      <c r="E11760" s="58">
        <v>4450</v>
      </c>
      <c r="F11760" s="58"/>
      <c r="G11760" s="58">
        <f t="shared" si="189"/>
        <v>-4450</v>
      </c>
      <c r="H11760" s="121" t="s">
        <v>7529</v>
      </c>
    </row>
    <row r="11761" spans="1:8" ht="15" x14ac:dyDescent="0.2">
      <c r="A11761" s="619">
        <v>44537</v>
      </c>
      <c r="B11761" s="41" t="s">
        <v>25</v>
      </c>
      <c r="C11761" s="63" t="s">
        <v>4065</v>
      </c>
      <c r="D11761" s="108" t="s">
        <v>2108</v>
      </c>
      <c r="E11761" s="58">
        <v>1500</v>
      </c>
      <c r="F11761" s="58"/>
      <c r="G11761" s="58">
        <f t="shared" si="189"/>
        <v>-1500</v>
      </c>
      <c r="H11761" s="121" t="s">
        <v>7529</v>
      </c>
    </row>
    <row r="11762" spans="1:8" ht="15" x14ac:dyDescent="0.2">
      <c r="A11762" s="619">
        <v>44537</v>
      </c>
      <c r="B11762" s="41" t="s">
        <v>25</v>
      </c>
      <c r="C11762" s="63" t="s">
        <v>2428</v>
      </c>
      <c r="D11762" s="108" t="s">
        <v>7564</v>
      </c>
      <c r="E11762" s="58">
        <v>31090</v>
      </c>
      <c r="F11762" s="58"/>
      <c r="G11762" s="58">
        <f t="shared" si="189"/>
        <v>-31090</v>
      </c>
      <c r="H11762" s="121" t="s">
        <v>7529</v>
      </c>
    </row>
    <row r="11763" spans="1:8" ht="15" x14ac:dyDescent="0.2">
      <c r="A11763" s="619">
        <v>44538</v>
      </c>
      <c r="B11763" s="41" t="s">
        <v>7067</v>
      </c>
      <c r="C11763" s="63" t="s">
        <v>3145</v>
      </c>
      <c r="D11763" s="108" t="s">
        <v>3974</v>
      </c>
      <c r="E11763" s="58">
        <v>19390</v>
      </c>
      <c r="F11763" s="58"/>
      <c r="G11763" s="58">
        <f t="shared" si="189"/>
        <v>-19390</v>
      </c>
      <c r="H11763" s="121" t="s">
        <v>7529</v>
      </c>
    </row>
    <row r="11764" spans="1:8" ht="15" x14ac:dyDescent="0.2">
      <c r="A11764" s="619">
        <v>44538</v>
      </c>
      <c r="B11764" s="41" t="s">
        <v>7067</v>
      </c>
      <c r="C11764" s="63" t="s">
        <v>3145</v>
      </c>
      <c r="D11764" s="108" t="s">
        <v>3974</v>
      </c>
      <c r="E11764" s="58">
        <v>6340</v>
      </c>
      <c r="F11764" s="58"/>
      <c r="G11764" s="58">
        <f t="shared" si="189"/>
        <v>-6340</v>
      </c>
      <c r="H11764" s="121" t="s">
        <v>7529</v>
      </c>
    </row>
    <row r="11765" spans="1:8" ht="15" x14ac:dyDescent="0.2">
      <c r="A11765" s="619">
        <v>44538</v>
      </c>
      <c r="B11765" s="41" t="s">
        <v>6511</v>
      </c>
      <c r="C11765" s="551" t="s">
        <v>6763</v>
      </c>
      <c r="D11765" s="893" t="s">
        <v>1157</v>
      </c>
      <c r="E11765" s="583">
        <v>12500</v>
      </c>
      <c r="F11765" s="58"/>
      <c r="G11765" s="58">
        <f t="shared" si="189"/>
        <v>-12500</v>
      </c>
      <c r="H11765" s="121" t="s">
        <v>7529</v>
      </c>
    </row>
    <row r="11766" spans="1:8" ht="15" x14ac:dyDescent="0.2">
      <c r="A11766" s="619">
        <v>44538</v>
      </c>
      <c r="B11766" s="41" t="s">
        <v>6408</v>
      </c>
      <c r="C11766" s="551" t="s">
        <v>6763</v>
      </c>
      <c r="D11766" s="893" t="s">
        <v>1157</v>
      </c>
      <c r="E11766" s="583">
        <v>2500</v>
      </c>
      <c r="F11766" s="58"/>
      <c r="G11766" s="58">
        <f t="shared" si="189"/>
        <v>-2500</v>
      </c>
      <c r="H11766" s="121" t="s">
        <v>7529</v>
      </c>
    </row>
    <row r="11767" spans="1:8" ht="15" x14ac:dyDescent="0.2">
      <c r="A11767" s="619">
        <v>44540</v>
      </c>
      <c r="B11767" s="41" t="s">
        <v>4553</v>
      </c>
      <c r="C11767" s="63" t="s">
        <v>3145</v>
      </c>
      <c r="D11767" s="108" t="s">
        <v>6641</v>
      </c>
      <c r="E11767" s="58">
        <v>200</v>
      </c>
      <c r="F11767" s="58"/>
      <c r="G11767" s="58">
        <f t="shared" si="189"/>
        <v>-200</v>
      </c>
      <c r="H11767" s="121" t="s">
        <v>7529</v>
      </c>
    </row>
    <row r="11768" spans="1:8" ht="15" x14ac:dyDescent="0.2">
      <c r="A11768" s="619">
        <v>44543</v>
      </c>
      <c r="B11768" s="41" t="s">
        <v>3946</v>
      </c>
      <c r="C11768" s="63" t="s">
        <v>6476</v>
      </c>
      <c r="D11768" s="108" t="s">
        <v>7566</v>
      </c>
      <c r="E11768" s="58">
        <v>10000</v>
      </c>
      <c r="F11768" s="58"/>
      <c r="G11768" s="58">
        <f t="shared" si="189"/>
        <v>-10000</v>
      </c>
      <c r="H11768" s="121" t="s">
        <v>7529</v>
      </c>
    </row>
    <row r="11769" spans="1:8" ht="15" x14ac:dyDescent="0.2">
      <c r="A11769" s="619">
        <v>44543</v>
      </c>
      <c r="B11769" s="41" t="s">
        <v>3946</v>
      </c>
      <c r="C11769" s="63" t="s">
        <v>6476</v>
      </c>
      <c r="D11769" s="108" t="s">
        <v>7565</v>
      </c>
      <c r="E11769" s="58">
        <v>20000</v>
      </c>
      <c r="F11769" s="58"/>
      <c r="G11769" s="58">
        <f t="shared" si="189"/>
        <v>-20000</v>
      </c>
      <c r="H11769" s="121" t="s">
        <v>7529</v>
      </c>
    </row>
    <row r="11770" spans="1:8" ht="15" x14ac:dyDescent="0.2">
      <c r="A11770" s="619">
        <v>44544</v>
      </c>
      <c r="B11770" s="41" t="s">
        <v>7067</v>
      </c>
      <c r="C11770" s="551" t="s">
        <v>3003</v>
      </c>
      <c r="D11770" s="893" t="s">
        <v>7567</v>
      </c>
      <c r="E11770" s="583">
        <v>136814</v>
      </c>
      <c r="F11770" s="58"/>
      <c r="G11770" s="58">
        <f t="shared" si="189"/>
        <v>-136814</v>
      </c>
      <c r="H11770" s="121" t="s">
        <v>7529</v>
      </c>
    </row>
    <row r="11771" spans="1:8" ht="15" x14ac:dyDescent="0.2">
      <c r="A11771" s="619">
        <v>44544</v>
      </c>
      <c r="B11771" s="41" t="s">
        <v>3945</v>
      </c>
      <c r="C11771" s="551" t="s">
        <v>3003</v>
      </c>
      <c r="D11771" s="893" t="s">
        <v>6789</v>
      </c>
      <c r="E11771" s="583">
        <v>8840</v>
      </c>
      <c r="F11771" s="58"/>
      <c r="G11771" s="58">
        <f t="shared" si="189"/>
        <v>-8840</v>
      </c>
      <c r="H11771" s="121" t="s">
        <v>7529</v>
      </c>
    </row>
    <row r="11772" spans="1:8" ht="15" x14ac:dyDescent="0.2">
      <c r="A11772" s="619">
        <v>44544</v>
      </c>
      <c r="B11772" s="41" t="s">
        <v>3946</v>
      </c>
      <c r="C11772" s="551" t="s">
        <v>3003</v>
      </c>
      <c r="D11772" s="893" t="s">
        <v>6789</v>
      </c>
      <c r="E11772" s="583">
        <v>13520</v>
      </c>
      <c r="F11772" s="58"/>
      <c r="G11772" s="58">
        <f t="shared" si="189"/>
        <v>-13520</v>
      </c>
      <c r="H11772" s="121" t="s">
        <v>7529</v>
      </c>
    </row>
    <row r="11773" spans="1:8" ht="15" x14ac:dyDescent="0.2">
      <c r="A11773" s="619">
        <v>44544</v>
      </c>
      <c r="B11773" s="41" t="s">
        <v>1400</v>
      </c>
      <c r="C11773" s="63" t="s">
        <v>3145</v>
      </c>
      <c r="D11773" s="108" t="s">
        <v>7586</v>
      </c>
      <c r="E11773" s="58">
        <v>19000</v>
      </c>
      <c r="F11773" s="58"/>
      <c r="G11773" s="58">
        <f t="shared" si="189"/>
        <v>-19000</v>
      </c>
      <c r="H11773" s="121" t="s">
        <v>7529</v>
      </c>
    </row>
    <row r="11774" spans="1:8" ht="15" x14ac:dyDescent="0.2">
      <c r="A11774" s="619">
        <v>44544</v>
      </c>
      <c r="B11774" s="41" t="s">
        <v>7067</v>
      </c>
      <c r="C11774" s="63" t="s">
        <v>3145</v>
      </c>
      <c r="D11774" s="108" t="s">
        <v>7587</v>
      </c>
      <c r="E11774" s="58">
        <v>600</v>
      </c>
      <c r="F11774" s="58"/>
      <c r="G11774" s="58">
        <f t="shared" si="189"/>
        <v>-600</v>
      </c>
      <c r="H11774" s="121" t="s">
        <v>7529</v>
      </c>
    </row>
    <row r="11775" spans="1:8" ht="15" x14ac:dyDescent="0.2">
      <c r="A11775" s="619">
        <v>44544</v>
      </c>
      <c r="B11775" s="41" t="s">
        <v>7067</v>
      </c>
      <c r="C11775" s="63" t="s">
        <v>3145</v>
      </c>
      <c r="D11775" s="108" t="s">
        <v>7588</v>
      </c>
      <c r="E11775" s="58">
        <v>34320</v>
      </c>
      <c r="F11775" s="58"/>
      <c r="G11775" s="58">
        <f t="shared" si="189"/>
        <v>-34320</v>
      </c>
      <c r="H11775" s="121" t="s">
        <v>7529</v>
      </c>
    </row>
    <row r="11776" spans="1:8" ht="15" x14ac:dyDescent="0.2">
      <c r="A11776" s="619">
        <v>44544</v>
      </c>
      <c r="B11776" s="41" t="s">
        <v>7067</v>
      </c>
      <c r="C11776" s="63" t="s">
        <v>3145</v>
      </c>
      <c r="D11776" s="108" t="s">
        <v>7588</v>
      </c>
      <c r="E11776" s="58">
        <v>32000</v>
      </c>
      <c r="F11776" s="58"/>
      <c r="G11776" s="58">
        <f t="shared" si="189"/>
        <v>-32000</v>
      </c>
      <c r="H11776" s="121" t="s">
        <v>7529</v>
      </c>
    </row>
    <row r="11777" spans="1:8" ht="15" x14ac:dyDescent="0.2">
      <c r="A11777" s="619">
        <v>44544</v>
      </c>
      <c r="B11777" s="41" t="s">
        <v>5811</v>
      </c>
      <c r="C11777" s="63" t="s">
        <v>3145</v>
      </c>
      <c r="D11777" s="108" t="s">
        <v>7589</v>
      </c>
      <c r="E11777" s="58">
        <v>1125</v>
      </c>
      <c r="F11777" s="58"/>
      <c r="G11777" s="58">
        <f t="shared" si="189"/>
        <v>-1125</v>
      </c>
      <c r="H11777" s="121" t="s">
        <v>7529</v>
      </c>
    </row>
    <row r="11778" spans="1:8" ht="15" x14ac:dyDescent="0.2">
      <c r="A11778" s="619">
        <v>44544</v>
      </c>
      <c r="B11778" s="41" t="s">
        <v>7067</v>
      </c>
      <c r="C11778" s="63" t="s">
        <v>5741</v>
      </c>
      <c r="E11778" s="58">
        <v>400</v>
      </c>
      <c r="F11778" s="58"/>
      <c r="G11778" s="58">
        <f t="shared" si="189"/>
        <v>-400</v>
      </c>
      <c r="H11778" s="121" t="s">
        <v>7529</v>
      </c>
    </row>
    <row r="11779" spans="1:8" ht="15" x14ac:dyDescent="0.2">
      <c r="A11779" s="619">
        <v>44546</v>
      </c>
      <c r="B11779" s="41" t="s">
        <v>25</v>
      </c>
      <c r="C11779" s="63" t="s">
        <v>1689</v>
      </c>
      <c r="D11779" s="108" t="s">
        <v>7590</v>
      </c>
      <c r="E11779" s="58">
        <v>5950</v>
      </c>
      <c r="F11779" s="58"/>
      <c r="G11779" s="58">
        <f t="shared" si="189"/>
        <v>-5950</v>
      </c>
      <c r="H11779" s="121" t="s">
        <v>7529</v>
      </c>
    </row>
    <row r="11780" spans="1:8" ht="15" x14ac:dyDescent="0.2">
      <c r="A11780" s="619">
        <v>44546</v>
      </c>
      <c r="B11780" s="41" t="s">
        <v>16</v>
      </c>
      <c r="C11780" s="63" t="s">
        <v>1689</v>
      </c>
      <c r="D11780" s="108" t="s">
        <v>7590</v>
      </c>
      <c r="E11780" s="58">
        <v>2590</v>
      </c>
      <c r="F11780" s="58"/>
      <c r="G11780" s="58">
        <f t="shared" si="189"/>
        <v>-2590</v>
      </c>
      <c r="H11780" s="121" t="s">
        <v>7529</v>
      </c>
    </row>
    <row r="11781" spans="1:8" ht="15" x14ac:dyDescent="0.2">
      <c r="A11781" s="619">
        <v>44546</v>
      </c>
      <c r="B11781" s="41" t="s">
        <v>7067</v>
      </c>
      <c r="C11781" s="63" t="s">
        <v>2190</v>
      </c>
      <c r="E11781" s="58">
        <v>200</v>
      </c>
      <c r="F11781" s="58"/>
      <c r="G11781" s="58">
        <f t="shared" ref="G11781:G11844" si="190">F11781-E11781</f>
        <v>-200</v>
      </c>
      <c r="H11781" s="121" t="s">
        <v>7529</v>
      </c>
    </row>
    <row r="11782" spans="1:8" ht="15" x14ac:dyDescent="0.2">
      <c r="A11782" s="619">
        <v>44546</v>
      </c>
      <c r="B11782" s="41" t="s">
        <v>7067</v>
      </c>
      <c r="C11782" s="63" t="s">
        <v>3145</v>
      </c>
      <c r="D11782" s="108" t="s">
        <v>7591</v>
      </c>
      <c r="E11782" s="58">
        <v>244000</v>
      </c>
      <c r="F11782" s="58"/>
      <c r="G11782" s="58">
        <f t="shared" si="190"/>
        <v>-244000</v>
      </c>
      <c r="H11782" s="121" t="s">
        <v>7529</v>
      </c>
    </row>
    <row r="11783" spans="1:8" ht="15" x14ac:dyDescent="0.2">
      <c r="A11783" s="619">
        <v>44546</v>
      </c>
      <c r="B11783" s="41" t="s">
        <v>6950</v>
      </c>
      <c r="C11783" s="63" t="s">
        <v>7546</v>
      </c>
      <c r="E11783" s="58">
        <v>5200</v>
      </c>
      <c r="F11783" s="58"/>
      <c r="G11783" s="58">
        <f t="shared" si="190"/>
        <v>-5200</v>
      </c>
      <c r="H11783" s="121" t="s">
        <v>7529</v>
      </c>
    </row>
    <row r="11784" spans="1:8" ht="15" x14ac:dyDescent="0.2">
      <c r="A11784" s="619">
        <v>44550</v>
      </c>
      <c r="B11784" s="41" t="s">
        <v>1400</v>
      </c>
      <c r="C11784" s="63" t="s">
        <v>2796</v>
      </c>
      <c r="D11784" s="108" t="s">
        <v>7592</v>
      </c>
      <c r="E11784" s="58">
        <v>600</v>
      </c>
      <c r="F11784" s="58"/>
      <c r="G11784" s="58">
        <f t="shared" si="190"/>
        <v>-600</v>
      </c>
      <c r="H11784" s="121" t="s">
        <v>7529</v>
      </c>
    </row>
    <row r="11785" spans="1:8" ht="15" x14ac:dyDescent="0.2">
      <c r="A11785" s="619">
        <v>44550</v>
      </c>
      <c r="B11785" s="41" t="s">
        <v>7067</v>
      </c>
      <c r="C11785" s="63" t="s">
        <v>2190</v>
      </c>
      <c r="E11785" s="58">
        <v>1920</v>
      </c>
      <c r="F11785" s="58"/>
      <c r="G11785" s="58">
        <f t="shared" si="190"/>
        <v>-1920</v>
      </c>
      <c r="H11785" s="121" t="s">
        <v>7529</v>
      </c>
    </row>
    <row r="11786" spans="1:8" ht="15" x14ac:dyDescent="0.2">
      <c r="A11786" s="619">
        <v>44550</v>
      </c>
      <c r="B11786" s="41" t="s">
        <v>7067</v>
      </c>
      <c r="C11786" s="63" t="s">
        <v>392</v>
      </c>
      <c r="E11786" s="58">
        <v>600</v>
      </c>
      <c r="F11786" s="58"/>
      <c r="G11786" s="58">
        <f t="shared" si="190"/>
        <v>-600</v>
      </c>
      <c r="H11786" s="121" t="s">
        <v>7529</v>
      </c>
    </row>
    <row r="11787" spans="1:8" ht="15" x14ac:dyDescent="0.2">
      <c r="A11787" s="619">
        <v>44551</v>
      </c>
      <c r="B11787" s="41" t="s">
        <v>1691</v>
      </c>
      <c r="C11787" s="63" t="s">
        <v>3145</v>
      </c>
      <c r="D11787" s="108" t="s">
        <v>7593</v>
      </c>
      <c r="E11787" s="58">
        <v>5000</v>
      </c>
      <c r="F11787" s="58"/>
      <c r="G11787" s="58">
        <f t="shared" si="190"/>
        <v>-5000</v>
      </c>
      <c r="H11787" s="121" t="s">
        <v>7529</v>
      </c>
    </row>
    <row r="11788" spans="1:8" ht="15" x14ac:dyDescent="0.2">
      <c r="A11788" s="619">
        <v>44551</v>
      </c>
      <c r="B11788" s="41" t="s">
        <v>1691</v>
      </c>
      <c r="C11788" s="63" t="s">
        <v>3145</v>
      </c>
      <c r="D11788" s="108" t="s">
        <v>7593</v>
      </c>
      <c r="E11788" s="58">
        <v>30000</v>
      </c>
      <c r="F11788" s="58"/>
      <c r="G11788" s="58">
        <f t="shared" si="190"/>
        <v>-30000</v>
      </c>
      <c r="H11788" s="121" t="s">
        <v>7529</v>
      </c>
    </row>
    <row r="11789" spans="1:8" ht="15" x14ac:dyDescent="0.2">
      <c r="A11789" s="619">
        <v>44551</v>
      </c>
      <c r="B11789" s="41" t="s">
        <v>2933</v>
      </c>
      <c r="C11789" s="63" t="s">
        <v>392</v>
      </c>
      <c r="D11789" s="108" t="s">
        <v>6386</v>
      </c>
      <c r="E11789" s="58">
        <v>1700</v>
      </c>
      <c r="F11789" s="58"/>
      <c r="G11789" s="58">
        <f t="shared" si="190"/>
        <v>-1700</v>
      </c>
      <c r="H11789" s="121" t="s">
        <v>7529</v>
      </c>
    </row>
    <row r="11790" spans="1:8" ht="15" x14ac:dyDescent="0.2">
      <c r="A11790" s="619">
        <v>44551</v>
      </c>
      <c r="B11790" s="41" t="s">
        <v>7067</v>
      </c>
      <c r="C11790" s="63" t="s">
        <v>2190</v>
      </c>
      <c r="E11790" s="58">
        <v>600</v>
      </c>
      <c r="F11790" s="58"/>
      <c r="G11790" s="58">
        <f t="shared" si="190"/>
        <v>-600</v>
      </c>
      <c r="H11790" s="121" t="s">
        <v>7529</v>
      </c>
    </row>
    <row r="11791" spans="1:8" ht="15" x14ac:dyDescent="0.2">
      <c r="A11791" s="619">
        <v>44551</v>
      </c>
      <c r="B11791" s="41" t="s">
        <v>7067</v>
      </c>
      <c r="C11791" s="63" t="s">
        <v>3145</v>
      </c>
      <c r="D11791" s="108" t="s">
        <v>7594</v>
      </c>
      <c r="E11791" s="58">
        <v>900</v>
      </c>
      <c r="F11791" s="58"/>
      <c r="G11791" s="58">
        <f t="shared" si="190"/>
        <v>-900</v>
      </c>
      <c r="H11791" s="121" t="s">
        <v>7529</v>
      </c>
    </row>
    <row r="11792" spans="1:8" ht="15" x14ac:dyDescent="0.2">
      <c r="A11792" s="619">
        <v>44551</v>
      </c>
      <c r="B11792" s="41" t="s">
        <v>1400</v>
      </c>
      <c r="C11792" s="63" t="s">
        <v>3145</v>
      </c>
      <c r="D11792" s="108" t="s">
        <v>4450</v>
      </c>
      <c r="E11792" s="58">
        <v>4730</v>
      </c>
      <c r="F11792" s="58"/>
      <c r="G11792" s="58">
        <f t="shared" si="190"/>
        <v>-4730</v>
      </c>
      <c r="H11792" s="121" t="s">
        <v>7529</v>
      </c>
    </row>
    <row r="11793" spans="1:8" ht="15" x14ac:dyDescent="0.2">
      <c r="A11793" s="619">
        <v>44554</v>
      </c>
      <c r="B11793" s="41" t="s">
        <v>25</v>
      </c>
      <c r="C11793" s="63" t="s">
        <v>7595</v>
      </c>
      <c r="D11793" s="108" t="s">
        <v>7596</v>
      </c>
      <c r="E11793" s="58">
        <v>100000</v>
      </c>
      <c r="F11793" s="58"/>
      <c r="G11793" s="58">
        <f t="shared" si="190"/>
        <v>-100000</v>
      </c>
      <c r="H11793" s="121" t="s">
        <v>7529</v>
      </c>
    </row>
    <row r="11794" spans="1:8" ht="15" x14ac:dyDescent="0.2">
      <c r="A11794" s="619">
        <v>44554</v>
      </c>
      <c r="B11794" s="41" t="s">
        <v>16</v>
      </c>
      <c r="C11794" s="63" t="s">
        <v>392</v>
      </c>
      <c r="D11794" s="108" t="s">
        <v>7597</v>
      </c>
      <c r="E11794" s="58">
        <v>3000</v>
      </c>
      <c r="F11794" s="58"/>
      <c r="G11794" s="58">
        <f t="shared" si="190"/>
        <v>-3000</v>
      </c>
      <c r="H11794" s="121" t="s">
        <v>7529</v>
      </c>
    </row>
    <row r="11795" spans="1:8" ht="15" x14ac:dyDescent="0.2">
      <c r="A11795" s="619">
        <v>44554</v>
      </c>
      <c r="B11795" s="41" t="s">
        <v>25</v>
      </c>
      <c r="C11795" s="63" t="s">
        <v>392</v>
      </c>
      <c r="D11795" s="108" t="s">
        <v>7598</v>
      </c>
      <c r="E11795" s="58">
        <v>100000</v>
      </c>
      <c r="F11795" s="58"/>
      <c r="G11795" s="58">
        <f t="shared" si="190"/>
        <v>-100000</v>
      </c>
      <c r="H11795" s="121" t="s">
        <v>7529</v>
      </c>
    </row>
    <row r="11796" spans="1:8" ht="15" x14ac:dyDescent="0.2">
      <c r="A11796" s="619">
        <v>44554</v>
      </c>
      <c r="B11796" s="41" t="s">
        <v>7067</v>
      </c>
      <c r="C11796" s="63" t="s">
        <v>392</v>
      </c>
      <c r="D11796" s="108" t="s">
        <v>7599</v>
      </c>
      <c r="E11796" s="58">
        <v>50000</v>
      </c>
      <c r="F11796" s="58"/>
      <c r="G11796" s="58">
        <f t="shared" si="190"/>
        <v>-50000</v>
      </c>
      <c r="H11796" s="121" t="s">
        <v>7529</v>
      </c>
    </row>
    <row r="11797" spans="1:8" ht="15" x14ac:dyDescent="0.2">
      <c r="A11797" s="619">
        <v>44554</v>
      </c>
      <c r="B11797" s="41" t="s">
        <v>7067</v>
      </c>
      <c r="C11797" s="63" t="s">
        <v>392</v>
      </c>
      <c r="E11797" s="58">
        <v>40</v>
      </c>
      <c r="F11797" s="58"/>
      <c r="G11797" s="58">
        <f t="shared" si="190"/>
        <v>-40</v>
      </c>
      <c r="H11797" s="121" t="s">
        <v>7529</v>
      </c>
    </row>
    <row r="11798" spans="1:8" ht="15" x14ac:dyDescent="0.2">
      <c r="A11798" s="619">
        <v>44558</v>
      </c>
      <c r="B11798" s="41" t="s">
        <v>7126</v>
      </c>
      <c r="C11798" s="63" t="s">
        <v>3145</v>
      </c>
      <c r="D11798" s="108" t="s">
        <v>7600</v>
      </c>
      <c r="E11798" s="58">
        <v>51910</v>
      </c>
      <c r="F11798" s="58"/>
      <c r="G11798" s="58">
        <f t="shared" si="190"/>
        <v>-51910</v>
      </c>
      <c r="H11798" s="121" t="s">
        <v>7529</v>
      </c>
    </row>
    <row r="11799" spans="1:8" ht="15" x14ac:dyDescent="0.2">
      <c r="A11799" s="619">
        <v>44558</v>
      </c>
      <c r="B11799" s="41" t="s">
        <v>7126</v>
      </c>
      <c r="C11799" s="63" t="s">
        <v>3145</v>
      </c>
      <c r="D11799" s="108" t="s">
        <v>7601</v>
      </c>
      <c r="E11799" s="58">
        <v>89550</v>
      </c>
      <c r="F11799" s="58"/>
      <c r="G11799" s="58">
        <f t="shared" si="190"/>
        <v>-89550</v>
      </c>
      <c r="H11799" s="121" t="s">
        <v>7529</v>
      </c>
    </row>
    <row r="11800" spans="1:8" ht="15" x14ac:dyDescent="0.2">
      <c r="A11800" s="619">
        <v>44559</v>
      </c>
      <c r="B11800" s="41" t="s">
        <v>7067</v>
      </c>
      <c r="C11800" s="63" t="s">
        <v>392</v>
      </c>
      <c r="D11800" s="108" t="s">
        <v>7602</v>
      </c>
      <c r="E11800" s="58">
        <v>5000</v>
      </c>
      <c r="F11800" s="58"/>
      <c r="G11800" s="58">
        <f t="shared" si="190"/>
        <v>-5000</v>
      </c>
      <c r="H11800" s="121" t="s">
        <v>7529</v>
      </c>
    </row>
    <row r="11801" spans="1:8" ht="15" x14ac:dyDescent="0.2">
      <c r="A11801" s="619">
        <v>44559</v>
      </c>
      <c r="B11801" s="41" t="s">
        <v>7067</v>
      </c>
      <c r="C11801" s="63" t="s">
        <v>392</v>
      </c>
      <c r="D11801" s="108" t="s">
        <v>7603</v>
      </c>
      <c r="E11801" s="58">
        <v>3000</v>
      </c>
      <c r="F11801" s="58"/>
      <c r="G11801" s="58">
        <f t="shared" si="190"/>
        <v>-3000</v>
      </c>
      <c r="H11801" s="121" t="s">
        <v>7529</v>
      </c>
    </row>
    <row r="11802" spans="1:8" ht="15" x14ac:dyDescent="0.2">
      <c r="A11802" s="619">
        <v>44559</v>
      </c>
      <c r="B11802" s="41" t="s">
        <v>3946</v>
      </c>
      <c r="C11802" s="63" t="s">
        <v>3145</v>
      </c>
      <c r="D11802" s="108" t="s">
        <v>7604</v>
      </c>
      <c r="E11802" s="58">
        <v>40000</v>
      </c>
      <c r="F11802" s="58"/>
      <c r="G11802" s="58">
        <f t="shared" si="190"/>
        <v>-40000</v>
      </c>
      <c r="H11802" s="121" t="s">
        <v>7529</v>
      </c>
    </row>
    <row r="11803" spans="1:8" ht="15" x14ac:dyDescent="0.2">
      <c r="A11803" s="619">
        <v>44559</v>
      </c>
      <c r="B11803" s="41" t="s">
        <v>7126</v>
      </c>
      <c r="C11803" s="63" t="s">
        <v>3145</v>
      </c>
      <c r="D11803" s="108" t="s">
        <v>7605</v>
      </c>
      <c r="E11803" s="58">
        <v>14360</v>
      </c>
      <c r="F11803" s="58"/>
      <c r="G11803" s="58">
        <f t="shared" si="190"/>
        <v>-14360</v>
      </c>
      <c r="H11803" s="121" t="s">
        <v>7529</v>
      </c>
    </row>
    <row r="11804" spans="1:8" ht="15" x14ac:dyDescent="0.2">
      <c r="A11804" s="619">
        <v>44559</v>
      </c>
      <c r="B11804" s="41" t="s">
        <v>7067</v>
      </c>
      <c r="C11804" s="63" t="s">
        <v>3145</v>
      </c>
      <c r="D11804" s="108" t="s">
        <v>6057</v>
      </c>
      <c r="E11804" s="58">
        <v>8910</v>
      </c>
      <c r="F11804" s="58"/>
      <c r="G11804" s="58">
        <f t="shared" si="190"/>
        <v>-8910</v>
      </c>
      <c r="H11804" s="121" t="s">
        <v>7529</v>
      </c>
    </row>
    <row r="11805" spans="1:8" ht="15" x14ac:dyDescent="0.2">
      <c r="A11805" s="619">
        <v>44559</v>
      </c>
      <c r="B11805" s="41" t="s">
        <v>6518</v>
      </c>
      <c r="C11805" s="63" t="s">
        <v>5741</v>
      </c>
      <c r="E11805" s="58">
        <v>1000</v>
      </c>
      <c r="F11805" s="58"/>
      <c r="G11805" s="58">
        <f t="shared" si="190"/>
        <v>-1000</v>
      </c>
      <c r="H11805" s="121" t="s">
        <v>7529</v>
      </c>
    </row>
    <row r="11806" spans="1:8" ht="15" x14ac:dyDescent="0.2">
      <c r="A11806" s="619">
        <v>44559</v>
      </c>
      <c r="B11806" s="41" t="s">
        <v>82</v>
      </c>
      <c r="C11806" s="63" t="s">
        <v>3145</v>
      </c>
      <c r="D11806" s="108" t="s">
        <v>6057</v>
      </c>
      <c r="E11806" s="58">
        <v>4780</v>
      </c>
      <c r="F11806" s="58"/>
      <c r="G11806" s="58">
        <f t="shared" si="190"/>
        <v>-4780</v>
      </c>
      <c r="H11806" s="121" t="s">
        <v>7529</v>
      </c>
    </row>
    <row r="11807" spans="1:8" ht="15" x14ac:dyDescent="0.2">
      <c r="A11807" s="619">
        <v>44559</v>
      </c>
      <c r="B11807" s="41" t="s">
        <v>7112</v>
      </c>
      <c r="C11807" s="63" t="s">
        <v>3145</v>
      </c>
      <c r="D11807" s="108" t="s">
        <v>6057</v>
      </c>
      <c r="E11807" s="58">
        <v>1700</v>
      </c>
      <c r="F11807" s="58"/>
      <c r="G11807" s="58">
        <f t="shared" si="190"/>
        <v>-1700</v>
      </c>
      <c r="H11807" s="121" t="s">
        <v>7529</v>
      </c>
    </row>
    <row r="11808" spans="1:8" ht="15" x14ac:dyDescent="0.2">
      <c r="A11808" s="619">
        <v>44560</v>
      </c>
      <c r="B11808" s="41" t="s">
        <v>16</v>
      </c>
      <c r="C11808" s="63" t="s">
        <v>463</v>
      </c>
      <c r="D11808" s="108" t="s">
        <v>7606</v>
      </c>
      <c r="E11808" s="58">
        <v>25549</v>
      </c>
      <c r="F11808" s="58"/>
      <c r="G11808" s="58">
        <f t="shared" si="190"/>
        <v>-25549</v>
      </c>
      <c r="H11808" s="121" t="s">
        <v>7529</v>
      </c>
    </row>
    <row r="11809" spans="1:8" ht="15" x14ac:dyDescent="0.2">
      <c r="A11809" s="619">
        <v>44561</v>
      </c>
      <c r="B11809" s="41" t="s">
        <v>6511</v>
      </c>
      <c r="C11809" s="63" t="s">
        <v>2586</v>
      </c>
      <c r="D11809" s="108" t="s">
        <v>7609</v>
      </c>
      <c r="E11809" s="58">
        <v>15000</v>
      </c>
      <c r="F11809" s="58"/>
      <c r="G11809" s="58">
        <f t="shared" si="190"/>
        <v>-15000</v>
      </c>
      <c r="H11809" s="121" t="s">
        <v>7529</v>
      </c>
    </row>
    <row r="11810" spans="1:8" ht="15" x14ac:dyDescent="0.2">
      <c r="A11810" s="619">
        <v>44561</v>
      </c>
      <c r="B11810" s="41" t="s">
        <v>25</v>
      </c>
      <c r="C11810" s="63" t="s">
        <v>2428</v>
      </c>
      <c r="D11810" s="108" t="s">
        <v>7610</v>
      </c>
      <c r="E11810" s="58">
        <v>3000</v>
      </c>
      <c r="F11810" s="58"/>
      <c r="G11810" s="58">
        <f t="shared" si="190"/>
        <v>-3000</v>
      </c>
      <c r="H11810" s="121" t="s">
        <v>7529</v>
      </c>
    </row>
    <row r="11811" spans="1:8" ht="15" x14ac:dyDescent="0.2">
      <c r="A11811" s="619">
        <v>44561</v>
      </c>
      <c r="B11811" s="41" t="s">
        <v>82</v>
      </c>
      <c r="C11811" s="63" t="s">
        <v>392</v>
      </c>
      <c r="D11811" s="108" t="s">
        <v>7611</v>
      </c>
      <c r="E11811" s="58">
        <v>2000</v>
      </c>
      <c r="F11811" s="58"/>
      <c r="G11811" s="58">
        <f t="shared" si="190"/>
        <v>-2000</v>
      </c>
      <c r="H11811" s="121" t="s">
        <v>7529</v>
      </c>
    </row>
    <row r="11812" spans="1:8" ht="15" x14ac:dyDescent="0.2">
      <c r="A11812" s="619">
        <v>44561</v>
      </c>
      <c r="B11812" s="41" t="s">
        <v>7112</v>
      </c>
      <c r="C11812" s="63" t="s">
        <v>392</v>
      </c>
      <c r="D11812" s="108" t="s">
        <v>7612</v>
      </c>
      <c r="E11812" s="58">
        <v>1500</v>
      </c>
      <c r="F11812" s="58"/>
      <c r="G11812" s="58">
        <f t="shared" si="190"/>
        <v>-1500</v>
      </c>
      <c r="H11812" s="121" t="s">
        <v>7529</v>
      </c>
    </row>
    <row r="11813" spans="1:8" ht="15" x14ac:dyDescent="0.2">
      <c r="A11813" s="619">
        <v>44561</v>
      </c>
      <c r="B11813" s="63" t="s">
        <v>1400</v>
      </c>
      <c r="C11813" s="63" t="s">
        <v>2503</v>
      </c>
      <c r="D11813" s="183" t="s">
        <v>7097</v>
      </c>
      <c r="E11813" s="126">
        <v>25000</v>
      </c>
      <c r="F11813" s="58"/>
      <c r="G11813" s="58">
        <f t="shared" si="190"/>
        <v>-25000</v>
      </c>
      <c r="H11813" s="121" t="s">
        <v>7529</v>
      </c>
    </row>
    <row r="11814" spans="1:8" ht="15" x14ac:dyDescent="0.2">
      <c r="A11814" s="619">
        <v>44561</v>
      </c>
      <c r="B11814" s="63" t="s">
        <v>7555</v>
      </c>
      <c r="C11814" s="63" t="s">
        <v>2503</v>
      </c>
      <c r="D11814" s="183" t="s">
        <v>7097</v>
      </c>
      <c r="E11814" s="126">
        <v>25000</v>
      </c>
      <c r="F11814" s="58"/>
      <c r="G11814" s="58">
        <f t="shared" si="190"/>
        <v>-25000</v>
      </c>
      <c r="H11814" s="121" t="s">
        <v>7529</v>
      </c>
    </row>
    <row r="11815" spans="1:8" ht="15" x14ac:dyDescent="0.2">
      <c r="A11815" s="619">
        <v>44561</v>
      </c>
      <c r="B11815" s="63" t="s">
        <v>7067</v>
      </c>
      <c r="C11815" s="63" t="s">
        <v>2503</v>
      </c>
      <c r="D11815" s="183" t="s">
        <v>141</v>
      </c>
      <c r="E11815" s="126">
        <v>25000</v>
      </c>
      <c r="F11815" s="58"/>
      <c r="G11815" s="58">
        <f t="shared" si="190"/>
        <v>-25000</v>
      </c>
      <c r="H11815" s="121" t="s">
        <v>7529</v>
      </c>
    </row>
    <row r="11816" spans="1:8" ht="15" x14ac:dyDescent="0.2">
      <c r="A11816" s="619">
        <v>44561</v>
      </c>
      <c r="B11816" s="63" t="s">
        <v>1400</v>
      </c>
      <c r="C11816" s="63" t="s">
        <v>2503</v>
      </c>
      <c r="D11816" s="183" t="s">
        <v>141</v>
      </c>
      <c r="E11816" s="126">
        <v>25000</v>
      </c>
      <c r="F11816" s="58"/>
      <c r="G11816" s="58">
        <f t="shared" si="190"/>
        <v>-25000</v>
      </c>
      <c r="H11816" s="121" t="s">
        <v>7529</v>
      </c>
    </row>
    <row r="11817" spans="1:8" ht="15" x14ac:dyDescent="0.2">
      <c r="A11817" s="619">
        <v>44561</v>
      </c>
      <c r="B11817" s="63" t="s">
        <v>25</v>
      </c>
      <c r="C11817" s="63" t="s">
        <v>2503</v>
      </c>
      <c r="D11817" s="183"/>
      <c r="E11817" s="126">
        <v>60000</v>
      </c>
      <c r="F11817" s="58"/>
      <c r="G11817" s="58">
        <f t="shared" si="190"/>
        <v>-60000</v>
      </c>
      <c r="H11817" s="121" t="s">
        <v>7529</v>
      </c>
    </row>
    <row r="11818" spans="1:8" ht="15" x14ac:dyDescent="0.2">
      <c r="A11818" s="619">
        <v>44561</v>
      </c>
      <c r="B11818" s="63" t="s">
        <v>16</v>
      </c>
      <c r="C11818" s="63" t="s">
        <v>2503</v>
      </c>
      <c r="D11818" s="183"/>
      <c r="E11818" s="126">
        <v>92000</v>
      </c>
      <c r="F11818" s="58"/>
      <c r="G11818" s="58">
        <f t="shared" si="190"/>
        <v>-92000</v>
      </c>
      <c r="H11818" s="121" t="s">
        <v>7529</v>
      </c>
    </row>
    <row r="11819" spans="1:8" ht="15" x14ac:dyDescent="0.2">
      <c r="A11819" s="619">
        <v>44561</v>
      </c>
      <c r="B11819" s="63" t="s">
        <v>3945</v>
      </c>
      <c r="C11819" s="63" t="s">
        <v>2503</v>
      </c>
      <c r="D11819" s="183"/>
      <c r="E11819" s="126">
        <v>87318.548387096773</v>
      </c>
      <c r="F11819" s="58"/>
      <c r="G11819" s="58">
        <f t="shared" si="190"/>
        <v>-87318.548387096773</v>
      </c>
      <c r="H11819" s="121" t="s">
        <v>7529</v>
      </c>
    </row>
    <row r="11820" spans="1:8" ht="15" x14ac:dyDescent="0.2">
      <c r="A11820" s="619">
        <v>44561</v>
      </c>
      <c r="B11820" s="63" t="s">
        <v>3946</v>
      </c>
      <c r="C11820" s="63" t="s">
        <v>2503</v>
      </c>
      <c r="D11820" s="183"/>
      <c r="E11820" s="126">
        <v>114354.03225806452</v>
      </c>
      <c r="F11820" s="58"/>
      <c r="G11820" s="58">
        <f t="shared" si="190"/>
        <v>-114354.03225806452</v>
      </c>
      <c r="H11820" s="121" t="s">
        <v>7529</v>
      </c>
    </row>
    <row r="11821" spans="1:8" ht="15" x14ac:dyDescent="0.2">
      <c r="A11821" s="619">
        <v>44561</v>
      </c>
      <c r="B11821" s="63" t="s">
        <v>1400</v>
      </c>
      <c r="C11821" s="63" t="s">
        <v>2503</v>
      </c>
      <c r="D11821" s="183"/>
      <c r="E11821" s="126">
        <v>201999.99999999997</v>
      </c>
      <c r="F11821" s="58"/>
      <c r="G11821" s="58">
        <f t="shared" si="190"/>
        <v>-201999.99999999997</v>
      </c>
      <c r="H11821" s="121" t="s">
        <v>7529</v>
      </c>
    </row>
    <row r="11822" spans="1:8" ht="15" x14ac:dyDescent="0.2">
      <c r="A11822" s="619">
        <v>44561</v>
      </c>
      <c r="B11822" s="63" t="s">
        <v>37</v>
      </c>
      <c r="C11822" s="63" t="s">
        <v>2503</v>
      </c>
      <c r="D11822" s="183"/>
      <c r="E11822" s="126">
        <v>106770.16129032258</v>
      </c>
      <c r="F11822" s="58"/>
      <c r="G11822" s="58">
        <f t="shared" si="190"/>
        <v>-106770.16129032258</v>
      </c>
      <c r="H11822" s="121" t="s">
        <v>7529</v>
      </c>
    </row>
    <row r="11823" spans="1:8" ht="15" x14ac:dyDescent="0.2">
      <c r="A11823" s="619">
        <v>44561</v>
      </c>
      <c r="B11823" s="63" t="s">
        <v>2933</v>
      </c>
      <c r="C11823" s="63" t="s">
        <v>2503</v>
      </c>
      <c r="D11823" s="183"/>
      <c r="E11823" s="126">
        <v>61475.806451612909</v>
      </c>
      <c r="F11823" s="58"/>
      <c r="G11823" s="58">
        <f t="shared" si="190"/>
        <v>-61475.806451612909</v>
      </c>
      <c r="H11823" s="121" t="s">
        <v>7529</v>
      </c>
    </row>
    <row r="11824" spans="1:8" ht="15" x14ac:dyDescent="0.2">
      <c r="A11824" s="619">
        <v>44561</v>
      </c>
      <c r="B11824" s="63" t="s">
        <v>7067</v>
      </c>
      <c r="C11824" s="63" t="s">
        <v>2503</v>
      </c>
      <c r="D11824" s="183"/>
      <c r="E11824" s="126">
        <v>108000</v>
      </c>
      <c r="F11824" s="58"/>
      <c r="G11824" s="58">
        <f t="shared" si="190"/>
        <v>-108000</v>
      </c>
      <c r="H11824" s="121" t="s">
        <v>7529</v>
      </c>
    </row>
    <row r="11825" spans="1:8" ht="15" x14ac:dyDescent="0.2">
      <c r="A11825" s="619">
        <v>44561</v>
      </c>
      <c r="B11825" s="63" t="s">
        <v>6518</v>
      </c>
      <c r="C11825" s="63" t="s">
        <v>2503</v>
      </c>
      <c r="D11825" s="183"/>
      <c r="E11825" s="126">
        <v>50987.903225806454</v>
      </c>
      <c r="F11825" s="58"/>
      <c r="G11825" s="58">
        <f t="shared" si="190"/>
        <v>-50987.903225806454</v>
      </c>
      <c r="H11825" s="121" t="s">
        <v>7529</v>
      </c>
    </row>
    <row r="11826" spans="1:8" ht="15" x14ac:dyDescent="0.2">
      <c r="A11826" s="619">
        <v>44561</v>
      </c>
      <c r="B11826" s="63" t="s">
        <v>6408</v>
      </c>
      <c r="C11826" s="63" t="s">
        <v>2503</v>
      </c>
      <c r="D11826" s="183"/>
      <c r="E11826" s="126">
        <v>20000</v>
      </c>
      <c r="F11826" s="58"/>
      <c r="G11826" s="58">
        <f t="shared" si="190"/>
        <v>-20000</v>
      </c>
      <c r="H11826" s="121" t="s">
        <v>7529</v>
      </c>
    </row>
    <row r="11827" spans="1:8" ht="15" x14ac:dyDescent="0.2">
      <c r="A11827" s="619">
        <v>44561</v>
      </c>
      <c r="B11827" s="63" t="s">
        <v>7112</v>
      </c>
      <c r="C11827" s="63" t="s">
        <v>2503</v>
      </c>
      <c r="D11827" s="183"/>
      <c r="E11827" s="126">
        <v>65000</v>
      </c>
      <c r="F11827" s="58"/>
      <c r="G11827" s="58">
        <f t="shared" si="190"/>
        <v>-65000</v>
      </c>
      <c r="H11827" s="121" t="s">
        <v>7529</v>
      </c>
    </row>
    <row r="11828" spans="1:8" ht="15" x14ac:dyDescent="0.2">
      <c r="A11828" s="619">
        <v>44561</v>
      </c>
      <c r="B11828" s="63" t="s">
        <v>5811</v>
      </c>
      <c r="C11828" s="63" t="s">
        <v>2503</v>
      </c>
      <c r="D11828" s="183"/>
      <c r="E11828" s="126">
        <v>27976</v>
      </c>
      <c r="F11828" s="58"/>
      <c r="G11828" s="58">
        <f t="shared" si="190"/>
        <v>-27976</v>
      </c>
      <c r="H11828" s="121" t="s">
        <v>7529</v>
      </c>
    </row>
    <row r="11829" spans="1:8" ht="15" x14ac:dyDescent="0.2">
      <c r="A11829" s="619">
        <v>44561</v>
      </c>
      <c r="B11829" s="41" t="s">
        <v>6953</v>
      </c>
      <c r="C11829" s="63" t="s">
        <v>2503</v>
      </c>
      <c r="E11829" s="58">
        <v>17700</v>
      </c>
      <c r="F11829" s="58"/>
      <c r="G11829" s="58">
        <f t="shared" si="190"/>
        <v>-17700</v>
      </c>
      <c r="H11829" s="121" t="s">
        <v>7529</v>
      </c>
    </row>
    <row r="11830" spans="1:8" ht="15" x14ac:dyDescent="0.2">
      <c r="A11830" s="619">
        <v>44561</v>
      </c>
      <c r="B11830" s="41" t="s">
        <v>7112</v>
      </c>
      <c r="C11830" s="63" t="s">
        <v>3145</v>
      </c>
      <c r="D11830" s="108" t="s">
        <v>7613</v>
      </c>
      <c r="E11830" s="58">
        <v>3670</v>
      </c>
      <c r="F11830" s="58"/>
      <c r="G11830" s="58">
        <f t="shared" si="190"/>
        <v>-3670</v>
      </c>
      <c r="H11830" s="121" t="s">
        <v>7529</v>
      </c>
    </row>
    <row r="11831" spans="1:8" ht="15" x14ac:dyDescent="0.2">
      <c r="A11831" s="619">
        <v>44561</v>
      </c>
      <c r="B11831" s="41" t="s">
        <v>4553</v>
      </c>
      <c r="C11831" s="63" t="s">
        <v>3145</v>
      </c>
      <c r="D11831" s="108" t="s">
        <v>7613</v>
      </c>
      <c r="E11831" s="58">
        <v>500</v>
      </c>
      <c r="F11831" s="58"/>
      <c r="G11831" s="58">
        <f t="shared" si="190"/>
        <v>-500</v>
      </c>
      <c r="H11831" s="121" t="s">
        <v>7529</v>
      </c>
    </row>
    <row r="11832" spans="1:8" ht="15" x14ac:dyDescent="0.2">
      <c r="A11832" s="620">
        <v>44531</v>
      </c>
      <c r="B11832" s="174" t="s">
        <v>7067</v>
      </c>
      <c r="C11832" s="174" t="s">
        <v>7181</v>
      </c>
      <c r="D11832" s="228" t="s">
        <v>7530</v>
      </c>
      <c r="E11832" s="236">
        <v>200000</v>
      </c>
      <c r="F11832" s="236"/>
      <c r="G11832" s="236">
        <f t="shared" si="190"/>
        <v>-200000</v>
      </c>
      <c r="H11832" s="244" t="s">
        <v>7529</v>
      </c>
    </row>
    <row r="11833" spans="1:8" ht="15" x14ac:dyDescent="0.2">
      <c r="A11833" s="620">
        <v>44532</v>
      </c>
      <c r="B11833" s="174" t="s">
        <v>6408</v>
      </c>
      <c r="C11833" s="551" t="s">
        <v>1803</v>
      </c>
      <c r="D11833" s="740" t="s">
        <v>7531</v>
      </c>
      <c r="E11833" s="552">
        <v>110233</v>
      </c>
      <c r="F11833" s="236"/>
      <c r="G11833" s="236">
        <f t="shared" si="190"/>
        <v>-110233</v>
      </c>
      <c r="H11833" s="244" t="s">
        <v>7529</v>
      </c>
    </row>
    <row r="11834" spans="1:8" ht="15" x14ac:dyDescent="0.2">
      <c r="A11834" s="620">
        <v>44532</v>
      </c>
      <c r="B11834" s="174" t="s">
        <v>6508</v>
      </c>
      <c r="C11834" s="551" t="s">
        <v>1803</v>
      </c>
      <c r="D11834" s="740" t="s">
        <v>6789</v>
      </c>
      <c r="E11834" s="552">
        <v>230169</v>
      </c>
      <c r="F11834" s="236"/>
      <c r="G11834" s="236">
        <f t="shared" si="190"/>
        <v>-230169</v>
      </c>
      <c r="H11834" s="244" t="s">
        <v>7529</v>
      </c>
    </row>
    <row r="11835" spans="1:8" ht="15" x14ac:dyDescent="0.2">
      <c r="A11835" s="620">
        <v>44532</v>
      </c>
      <c r="B11835" s="174" t="s">
        <v>6511</v>
      </c>
      <c r="C11835" s="551" t="s">
        <v>1803</v>
      </c>
      <c r="D11835" s="740" t="s">
        <v>6789</v>
      </c>
      <c r="E11835" s="552">
        <v>136986</v>
      </c>
      <c r="F11835" s="236"/>
      <c r="G11835" s="236">
        <f t="shared" si="190"/>
        <v>-136986</v>
      </c>
      <c r="H11835" s="244" t="s">
        <v>7529</v>
      </c>
    </row>
    <row r="11836" spans="1:8" ht="15" x14ac:dyDescent="0.2">
      <c r="A11836" s="620">
        <v>44532</v>
      </c>
      <c r="B11836" s="174" t="s">
        <v>6758</v>
      </c>
      <c r="C11836" s="551" t="s">
        <v>1803</v>
      </c>
      <c r="D11836" s="740" t="s">
        <v>6789</v>
      </c>
      <c r="E11836" s="552">
        <v>10112</v>
      </c>
      <c r="F11836" s="236"/>
      <c r="G11836" s="236">
        <f t="shared" si="190"/>
        <v>-10112</v>
      </c>
      <c r="H11836" s="244" t="s">
        <v>7529</v>
      </c>
    </row>
    <row r="11837" spans="1:8" ht="24" x14ac:dyDescent="0.2">
      <c r="A11837" s="620">
        <v>44532</v>
      </c>
      <c r="B11837" s="174" t="s">
        <v>1400</v>
      </c>
      <c r="C11837" s="174" t="s">
        <v>5593</v>
      </c>
      <c r="D11837" s="228" t="s">
        <v>7560</v>
      </c>
      <c r="E11837" s="236">
        <v>50000</v>
      </c>
      <c r="F11837" s="236"/>
      <c r="G11837" s="236">
        <f t="shared" si="190"/>
        <v>-50000</v>
      </c>
      <c r="H11837" s="244" t="s">
        <v>7529</v>
      </c>
    </row>
    <row r="11838" spans="1:8" ht="24" x14ac:dyDescent="0.2">
      <c r="A11838" s="620">
        <v>44534</v>
      </c>
      <c r="B11838" s="174" t="s">
        <v>7067</v>
      </c>
      <c r="C11838" s="174" t="s">
        <v>166</v>
      </c>
      <c r="D11838" s="228" t="s">
        <v>7536</v>
      </c>
      <c r="E11838" s="236">
        <v>250000</v>
      </c>
      <c r="F11838" s="236"/>
      <c r="G11838" s="236">
        <f t="shared" si="190"/>
        <v>-250000</v>
      </c>
      <c r="H11838" s="244" t="s">
        <v>7529</v>
      </c>
    </row>
    <row r="11839" spans="1:8" ht="36" x14ac:dyDescent="0.2">
      <c r="A11839" s="620">
        <v>44534</v>
      </c>
      <c r="B11839" s="174" t="s">
        <v>7067</v>
      </c>
      <c r="C11839" s="551" t="s">
        <v>2310</v>
      </c>
      <c r="D11839" s="740" t="s">
        <v>7559</v>
      </c>
      <c r="E11839" s="552">
        <v>273470</v>
      </c>
      <c r="F11839" s="236"/>
      <c r="G11839" s="236">
        <f t="shared" si="190"/>
        <v>-273470</v>
      </c>
      <c r="H11839" s="244" t="s">
        <v>7529</v>
      </c>
    </row>
    <row r="11840" spans="1:8" ht="15" x14ac:dyDescent="0.2">
      <c r="A11840" s="620">
        <v>44534</v>
      </c>
      <c r="B11840" s="174" t="s">
        <v>2933</v>
      </c>
      <c r="C11840" s="551" t="s">
        <v>2310</v>
      </c>
      <c r="D11840" s="740" t="s">
        <v>6789</v>
      </c>
      <c r="E11840" s="552">
        <v>8500</v>
      </c>
      <c r="F11840" s="236"/>
      <c r="G11840" s="236">
        <f t="shared" si="190"/>
        <v>-8500</v>
      </c>
      <c r="H11840" s="244" t="s">
        <v>7529</v>
      </c>
    </row>
    <row r="11841" spans="1:8" ht="15" x14ac:dyDescent="0.2">
      <c r="A11841" s="620">
        <v>44534</v>
      </c>
      <c r="B11841" s="174" t="s">
        <v>7112</v>
      </c>
      <c r="C11841" s="551" t="s">
        <v>2310</v>
      </c>
      <c r="D11841" s="740" t="s">
        <v>6789</v>
      </c>
      <c r="E11841" s="552">
        <v>49700</v>
      </c>
      <c r="F11841" s="236"/>
      <c r="G11841" s="236">
        <f t="shared" si="190"/>
        <v>-49700</v>
      </c>
      <c r="H11841" s="244" t="s">
        <v>7529</v>
      </c>
    </row>
    <row r="11842" spans="1:8" ht="15" x14ac:dyDescent="0.2">
      <c r="A11842" s="620">
        <v>44537</v>
      </c>
      <c r="B11842" s="174" t="s">
        <v>1400</v>
      </c>
      <c r="C11842" s="174" t="s">
        <v>5593</v>
      </c>
      <c r="D11842" s="228" t="s">
        <v>7561</v>
      </c>
      <c r="E11842" s="236">
        <v>50000</v>
      </c>
      <c r="F11842" s="236"/>
      <c r="G11842" s="236">
        <f t="shared" si="190"/>
        <v>-50000</v>
      </c>
      <c r="H11842" s="244" t="s">
        <v>7529</v>
      </c>
    </row>
    <row r="11843" spans="1:8" ht="15" x14ac:dyDescent="0.2">
      <c r="A11843" s="620">
        <v>44537</v>
      </c>
      <c r="B11843" s="174" t="s">
        <v>1400</v>
      </c>
      <c r="C11843" s="551" t="s">
        <v>5681</v>
      </c>
      <c r="D11843" s="740" t="s">
        <v>7556</v>
      </c>
      <c r="E11843" s="552">
        <v>9100</v>
      </c>
      <c r="F11843" s="236"/>
      <c r="G11843" s="236">
        <f t="shared" si="190"/>
        <v>-9100</v>
      </c>
      <c r="H11843" s="244" t="s">
        <v>7529</v>
      </c>
    </row>
    <row r="11844" spans="1:8" ht="15" x14ac:dyDescent="0.2">
      <c r="A11844" s="620">
        <v>44537</v>
      </c>
      <c r="B11844" s="174" t="s">
        <v>2652</v>
      </c>
      <c r="C11844" s="551" t="s">
        <v>5681</v>
      </c>
      <c r="D11844" s="740" t="s">
        <v>6789</v>
      </c>
      <c r="E11844" s="552">
        <v>72300</v>
      </c>
      <c r="F11844" s="236"/>
      <c r="G11844" s="236">
        <f t="shared" si="190"/>
        <v>-72300</v>
      </c>
      <c r="H11844" s="244" t="s">
        <v>7529</v>
      </c>
    </row>
    <row r="11845" spans="1:8" ht="15" x14ac:dyDescent="0.2">
      <c r="A11845" s="620">
        <v>44537</v>
      </c>
      <c r="B11845" s="174" t="s">
        <v>6408</v>
      </c>
      <c r="C11845" s="551" t="s">
        <v>5681</v>
      </c>
      <c r="D11845" s="740" t="s">
        <v>6789</v>
      </c>
      <c r="E11845" s="552">
        <v>9500</v>
      </c>
      <c r="F11845" s="236"/>
      <c r="G11845" s="236">
        <f t="shared" ref="G11845:G11908" si="191">F11845-E11845</f>
        <v>-9500</v>
      </c>
      <c r="H11845" s="244" t="s">
        <v>7529</v>
      </c>
    </row>
    <row r="11846" spans="1:8" ht="15" x14ac:dyDescent="0.2">
      <c r="A11846" s="620">
        <v>44537</v>
      </c>
      <c r="B11846" s="174" t="s">
        <v>6511</v>
      </c>
      <c r="C11846" s="551" t="s">
        <v>5681</v>
      </c>
      <c r="D11846" s="740" t="s">
        <v>6789</v>
      </c>
      <c r="E11846" s="552">
        <v>59100</v>
      </c>
      <c r="F11846" s="236"/>
      <c r="G11846" s="236">
        <f t="shared" si="191"/>
        <v>-59100</v>
      </c>
      <c r="H11846" s="244" t="s">
        <v>7529</v>
      </c>
    </row>
    <row r="11847" spans="1:8" ht="15" x14ac:dyDescent="0.2">
      <c r="A11847" s="620">
        <v>44537</v>
      </c>
      <c r="B11847" s="174" t="s">
        <v>7067</v>
      </c>
      <c r="C11847" s="174" t="s">
        <v>6822</v>
      </c>
      <c r="D11847" s="228" t="s">
        <v>7557</v>
      </c>
      <c r="E11847" s="236">
        <v>150000</v>
      </c>
      <c r="F11847" s="236"/>
      <c r="G11847" s="236">
        <f t="shared" si="191"/>
        <v>-150000</v>
      </c>
      <c r="H11847" s="244" t="s">
        <v>7529</v>
      </c>
    </row>
    <row r="11848" spans="1:8" ht="15" x14ac:dyDescent="0.2">
      <c r="A11848" s="620">
        <v>44537</v>
      </c>
      <c r="B11848" s="174" t="s">
        <v>7067</v>
      </c>
      <c r="C11848" s="174" t="s">
        <v>6822</v>
      </c>
      <c r="D11848" s="228" t="s">
        <v>7558</v>
      </c>
      <c r="E11848" s="236">
        <v>150000</v>
      </c>
      <c r="F11848" s="236"/>
      <c r="G11848" s="236">
        <f t="shared" si="191"/>
        <v>-150000</v>
      </c>
      <c r="H11848" s="244" t="s">
        <v>7529</v>
      </c>
    </row>
    <row r="11849" spans="1:8" ht="15" x14ac:dyDescent="0.2">
      <c r="A11849" s="620">
        <v>44539</v>
      </c>
      <c r="B11849" s="174" t="s">
        <v>7067</v>
      </c>
      <c r="C11849" s="174" t="s">
        <v>6761</v>
      </c>
      <c r="D11849" s="228" t="s">
        <v>7563</v>
      </c>
      <c r="E11849" s="236">
        <v>50000</v>
      </c>
      <c r="F11849" s="236"/>
      <c r="G11849" s="236">
        <f t="shared" si="191"/>
        <v>-50000</v>
      </c>
      <c r="H11849" s="244" t="s">
        <v>7529</v>
      </c>
    </row>
    <row r="11850" spans="1:8" ht="15" x14ac:dyDescent="0.2">
      <c r="A11850" s="620">
        <v>44551</v>
      </c>
      <c r="B11850" s="174" t="s">
        <v>7555</v>
      </c>
      <c r="C11850" s="174" t="s">
        <v>1391</v>
      </c>
      <c r="D11850" s="228" t="s">
        <v>7575</v>
      </c>
      <c r="E11850" s="236">
        <v>250000</v>
      </c>
      <c r="F11850" s="236"/>
      <c r="G11850" s="236">
        <f t="shared" si="191"/>
        <v>-250000</v>
      </c>
      <c r="H11850" s="244" t="s">
        <v>7529</v>
      </c>
    </row>
    <row r="11851" spans="1:8" ht="15" customHeight="1" x14ac:dyDescent="0.2">
      <c r="A11851" s="620">
        <v>44551</v>
      </c>
      <c r="B11851" s="174" t="s">
        <v>7067</v>
      </c>
      <c r="C11851" s="174" t="s">
        <v>6761</v>
      </c>
      <c r="D11851" s="228" t="s">
        <v>7576</v>
      </c>
      <c r="E11851" s="236">
        <v>50000</v>
      </c>
      <c r="F11851" s="236"/>
      <c r="G11851" s="236">
        <f t="shared" si="191"/>
        <v>-50000</v>
      </c>
      <c r="H11851" s="244" t="s">
        <v>7529</v>
      </c>
    </row>
    <row r="11852" spans="1:8" ht="15" x14ac:dyDescent="0.2">
      <c r="A11852" s="620">
        <v>44551</v>
      </c>
      <c r="B11852" s="174" t="s">
        <v>6953</v>
      </c>
      <c r="C11852" s="174" t="s">
        <v>6378</v>
      </c>
      <c r="D11852" s="228" t="s">
        <v>7577</v>
      </c>
      <c r="E11852" s="236">
        <v>50000</v>
      </c>
      <c r="F11852" s="236"/>
      <c r="G11852" s="236">
        <f t="shared" si="191"/>
        <v>-50000</v>
      </c>
      <c r="H11852" s="244" t="s">
        <v>7529</v>
      </c>
    </row>
    <row r="11853" spans="1:8" ht="15" x14ac:dyDescent="0.2">
      <c r="A11853" s="620">
        <v>44554</v>
      </c>
      <c r="B11853" s="174" t="s">
        <v>7067</v>
      </c>
      <c r="C11853" s="174" t="s">
        <v>6822</v>
      </c>
      <c r="D11853" s="228" t="s">
        <v>7579</v>
      </c>
      <c r="E11853" s="236">
        <v>150000</v>
      </c>
      <c r="F11853" s="236"/>
      <c r="G11853" s="236">
        <f t="shared" si="191"/>
        <v>-150000</v>
      </c>
      <c r="H11853" s="244" t="s">
        <v>7529</v>
      </c>
    </row>
    <row r="11854" spans="1:8" ht="15" x14ac:dyDescent="0.2">
      <c r="A11854" s="620">
        <v>44554</v>
      </c>
      <c r="B11854" s="174" t="s">
        <v>7112</v>
      </c>
      <c r="C11854" s="551" t="s">
        <v>2310</v>
      </c>
      <c r="D11854" s="740" t="s">
        <v>7580</v>
      </c>
      <c r="E11854" s="552">
        <v>4400</v>
      </c>
      <c r="F11854" s="236"/>
      <c r="G11854" s="236">
        <f t="shared" si="191"/>
        <v>-4400</v>
      </c>
      <c r="H11854" s="244" t="s">
        <v>7529</v>
      </c>
    </row>
    <row r="11855" spans="1:8" ht="15" x14ac:dyDescent="0.2">
      <c r="A11855" s="620">
        <v>44554</v>
      </c>
      <c r="B11855" s="174" t="s">
        <v>7067</v>
      </c>
      <c r="C11855" s="551" t="s">
        <v>2310</v>
      </c>
      <c r="D11855" s="740" t="s">
        <v>6789</v>
      </c>
      <c r="E11855" s="552">
        <f>100000-E11854</f>
        <v>95600</v>
      </c>
      <c r="F11855" s="236"/>
      <c r="G11855" s="236">
        <f t="shared" si="191"/>
        <v>-95600</v>
      </c>
      <c r="H11855" s="244" t="s">
        <v>7529</v>
      </c>
    </row>
    <row r="11856" spans="1:8" ht="15" x14ac:dyDescent="0.2">
      <c r="A11856" s="620">
        <v>44554</v>
      </c>
      <c r="B11856" s="174" t="s">
        <v>7067</v>
      </c>
      <c r="C11856" s="174" t="s">
        <v>6761</v>
      </c>
      <c r="D11856" s="228" t="s">
        <v>7581</v>
      </c>
      <c r="E11856" s="236">
        <v>100000</v>
      </c>
      <c r="F11856" s="236"/>
      <c r="G11856" s="236">
        <f t="shared" si="191"/>
        <v>-100000</v>
      </c>
      <c r="H11856" s="244" t="s">
        <v>7529</v>
      </c>
    </row>
    <row r="11857" spans="1:8" ht="15" x14ac:dyDescent="0.2">
      <c r="A11857" s="620">
        <v>44554</v>
      </c>
      <c r="B11857" s="174" t="s">
        <v>25</v>
      </c>
      <c r="C11857" s="551" t="s">
        <v>1689</v>
      </c>
      <c r="D11857" s="740" t="s">
        <v>7582</v>
      </c>
      <c r="E11857" s="552">
        <v>20664</v>
      </c>
      <c r="F11857" s="236"/>
      <c r="G11857" s="236">
        <f t="shared" si="191"/>
        <v>-20664</v>
      </c>
      <c r="H11857" s="244" t="s">
        <v>7529</v>
      </c>
    </row>
    <row r="11858" spans="1:8" ht="15" x14ac:dyDescent="0.2">
      <c r="A11858" s="620">
        <v>44554</v>
      </c>
      <c r="B11858" s="174" t="s">
        <v>16</v>
      </c>
      <c r="C11858" s="551" t="s">
        <v>1689</v>
      </c>
      <c r="D11858" s="740" t="s">
        <v>7583</v>
      </c>
      <c r="E11858" s="552">
        <v>27036</v>
      </c>
      <c r="F11858" s="236"/>
      <c r="G11858" s="236">
        <f t="shared" si="191"/>
        <v>-27036</v>
      </c>
      <c r="H11858" s="244" t="s">
        <v>7529</v>
      </c>
    </row>
    <row r="11859" spans="1:8" ht="15" x14ac:dyDescent="0.2">
      <c r="A11859" s="620">
        <v>44558</v>
      </c>
      <c r="B11859" s="174" t="s">
        <v>7067</v>
      </c>
      <c r="C11859" s="174" t="s">
        <v>166</v>
      </c>
      <c r="D11859" s="228" t="s">
        <v>7523</v>
      </c>
      <c r="E11859" s="236">
        <v>163897</v>
      </c>
      <c r="F11859" s="236"/>
      <c r="G11859" s="236">
        <f t="shared" si="191"/>
        <v>-163897</v>
      </c>
      <c r="H11859" s="244" t="s">
        <v>7529</v>
      </c>
    </row>
    <row r="11860" spans="1:8" ht="15" x14ac:dyDescent="0.2">
      <c r="A11860" s="620">
        <v>44560</v>
      </c>
      <c r="B11860" s="174" t="s">
        <v>1400</v>
      </c>
      <c r="C11860" s="551" t="s">
        <v>1063</v>
      </c>
      <c r="D11860" s="740" t="s">
        <v>7608</v>
      </c>
      <c r="E11860" s="552">
        <v>54950</v>
      </c>
      <c r="F11860" s="236"/>
      <c r="G11860" s="236">
        <f t="shared" si="191"/>
        <v>-54950</v>
      </c>
      <c r="H11860" s="244" t="s">
        <v>7529</v>
      </c>
    </row>
    <row r="11861" spans="1:8" ht="15" x14ac:dyDescent="0.2">
      <c r="A11861" s="620">
        <v>44560</v>
      </c>
      <c r="B11861" s="174" t="s">
        <v>7067</v>
      </c>
      <c r="C11861" s="551" t="s">
        <v>1063</v>
      </c>
      <c r="D11861" s="740" t="s">
        <v>6789</v>
      </c>
      <c r="E11861" s="552">
        <v>162000</v>
      </c>
      <c r="F11861" s="236"/>
      <c r="G11861" s="236">
        <f t="shared" si="191"/>
        <v>-162000</v>
      </c>
      <c r="H11861" s="244" t="s">
        <v>7529</v>
      </c>
    </row>
    <row r="11862" spans="1:8" ht="15" x14ac:dyDescent="0.2">
      <c r="A11862" s="620">
        <v>44560</v>
      </c>
      <c r="B11862" s="174" t="s">
        <v>2652</v>
      </c>
      <c r="C11862" s="551" t="s">
        <v>1063</v>
      </c>
      <c r="D11862" s="740" t="s">
        <v>6789</v>
      </c>
      <c r="E11862" s="552">
        <v>25850</v>
      </c>
      <c r="F11862" s="236"/>
      <c r="G11862" s="236">
        <f t="shared" si="191"/>
        <v>-25850</v>
      </c>
      <c r="H11862" s="244" t="s">
        <v>7529</v>
      </c>
    </row>
    <row r="11863" spans="1:8" ht="15" x14ac:dyDescent="0.2">
      <c r="A11863" s="620">
        <v>44560</v>
      </c>
      <c r="B11863" s="174" t="s">
        <v>2933</v>
      </c>
      <c r="C11863" s="551" t="s">
        <v>1063</v>
      </c>
      <c r="D11863" s="740" t="s">
        <v>6789</v>
      </c>
      <c r="E11863" s="552">
        <v>7200</v>
      </c>
      <c r="F11863" s="236"/>
      <c r="G11863" s="236">
        <f t="shared" si="191"/>
        <v>-7200</v>
      </c>
      <c r="H11863" s="244" t="s">
        <v>7529</v>
      </c>
    </row>
    <row r="11864" spans="1:8" ht="15" x14ac:dyDescent="0.2">
      <c r="A11864" s="620">
        <v>44561</v>
      </c>
      <c r="B11864" s="174" t="s">
        <v>1400</v>
      </c>
      <c r="C11864" s="646" t="s">
        <v>2386</v>
      </c>
      <c r="D11864" s="902" t="s">
        <v>7607</v>
      </c>
      <c r="E11864" s="647">
        <v>20186</v>
      </c>
      <c r="F11864" s="236"/>
      <c r="G11864" s="236">
        <f t="shared" si="191"/>
        <v>-20186</v>
      </c>
      <c r="H11864" s="244" t="s">
        <v>7529</v>
      </c>
    </row>
    <row r="11865" spans="1:8" ht="15" x14ac:dyDescent="0.2">
      <c r="A11865" s="620">
        <v>44561</v>
      </c>
      <c r="B11865" s="174" t="s">
        <v>6508</v>
      </c>
      <c r="C11865" s="646" t="s">
        <v>2386</v>
      </c>
      <c r="D11865" s="902" t="s">
        <v>6789</v>
      </c>
      <c r="E11865" s="647">
        <v>29814</v>
      </c>
      <c r="F11865" s="236"/>
      <c r="G11865" s="236">
        <f t="shared" si="191"/>
        <v>-29814</v>
      </c>
      <c r="H11865" s="244" t="s">
        <v>7529</v>
      </c>
    </row>
    <row r="11866" spans="1:8" ht="15" x14ac:dyDescent="0.2">
      <c r="A11866" s="618">
        <v>44531</v>
      </c>
      <c r="B11866" s="94" t="s">
        <v>7067</v>
      </c>
      <c r="C11866" s="94" t="s">
        <v>559</v>
      </c>
      <c r="D11866" s="892" t="s">
        <v>7528</v>
      </c>
      <c r="E11866" s="176"/>
      <c r="F11866" s="176">
        <v>1500000</v>
      </c>
      <c r="G11866" s="176">
        <f t="shared" si="191"/>
        <v>1500000</v>
      </c>
      <c r="H11866" s="261" t="s">
        <v>7529</v>
      </c>
    </row>
    <row r="11867" spans="1:8" ht="15" x14ac:dyDescent="0.2">
      <c r="A11867" s="618">
        <v>44531</v>
      </c>
      <c r="B11867" s="94" t="s">
        <v>7067</v>
      </c>
      <c r="C11867" s="94" t="s">
        <v>559</v>
      </c>
      <c r="D11867" s="892" t="s">
        <v>7528</v>
      </c>
      <c r="E11867" s="176"/>
      <c r="F11867" s="176">
        <v>1500000</v>
      </c>
      <c r="G11867" s="176">
        <f t="shared" si="191"/>
        <v>1500000</v>
      </c>
      <c r="H11867" s="261" t="s">
        <v>7529</v>
      </c>
    </row>
    <row r="11868" spans="1:8" ht="15" x14ac:dyDescent="0.2">
      <c r="A11868" s="618">
        <v>44531</v>
      </c>
      <c r="B11868" s="94" t="s">
        <v>7067</v>
      </c>
      <c r="C11868" s="94" t="s">
        <v>559</v>
      </c>
      <c r="D11868" s="892" t="s">
        <v>7528</v>
      </c>
      <c r="E11868" s="176"/>
      <c r="F11868" s="176">
        <v>1500000</v>
      </c>
      <c r="G11868" s="176">
        <f t="shared" si="191"/>
        <v>1500000</v>
      </c>
      <c r="H11868" s="261" t="s">
        <v>7529</v>
      </c>
    </row>
    <row r="11869" spans="1:8" ht="15" x14ac:dyDescent="0.2">
      <c r="A11869" s="618">
        <v>44531</v>
      </c>
      <c r="B11869" s="94" t="s">
        <v>7067</v>
      </c>
      <c r="C11869" s="94" t="s">
        <v>559</v>
      </c>
      <c r="D11869" s="892" t="s">
        <v>7528</v>
      </c>
      <c r="E11869" s="176"/>
      <c r="F11869" s="176">
        <v>1080000</v>
      </c>
      <c r="G11869" s="176">
        <f t="shared" si="191"/>
        <v>1080000</v>
      </c>
      <c r="H11869" s="261" t="s">
        <v>7529</v>
      </c>
    </row>
    <row r="11870" spans="1:8" ht="24.75" customHeight="1" x14ac:dyDescent="0.2">
      <c r="A11870" s="618">
        <v>44532</v>
      </c>
      <c r="B11870" s="94" t="s">
        <v>7126</v>
      </c>
      <c r="C11870" s="94" t="s">
        <v>559</v>
      </c>
      <c r="D11870" s="802" t="s">
        <v>7532</v>
      </c>
      <c r="E11870" s="176"/>
      <c r="F11870" s="176">
        <v>500000</v>
      </c>
      <c r="G11870" s="176">
        <f t="shared" si="191"/>
        <v>500000</v>
      </c>
      <c r="H11870" s="261" t="s">
        <v>7529</v>
      </c>
    </row>
    <row r="11871" spans="1:8" ht="27.75" customHeight="1" x14ac:dyDescent="0.2">
      <c r="A11871" s="618">
        <v>44534</v>
      </c>
      <c r="B11871" s="94" t="s">
        <v>6508</v>
      </c>
      <c r="C11871" s="94" t="s">
        <v>559</v>
      </c>
      <c r="D11871" s="802" t="s">
        <v>7534</v>
      </c>
      <c r="E11871" s="176"/>
      <c r="F11871" s="176">
        <v>331670</v>
      </c>
      <c r="G11871" s="176">
        <f t="shared" si="191"/>
        <v>331670</v>
      </c>
      <c r="H11871" s="261" t="s">
        <v>7529</v>
      </c>
    </row>
    <row r="11872" spans="1:8" ht="24" x14ac:dyDescent="0.2">
      <c r="A11872" s="618">
        <v>44534</v>
      </c>
      <c r="B11872" s="94" t="s">
        <v>6508</v>
      </c>
      <c r="C11872" s="94" t="s">
        <v>559</v>
      </c>
      <c r="D11872" s="802" t="s">
        <v>7535</v>
      </c>
      <c r="E11872" s="176"/>
      <c r="F11872" s="176">
        <v>250000</v>
      </c>
      <c r="G11872" s="176">
        <f t="shared" si="191"/>
        <v>250000</v>
      </c>
      <c r="H11872" s="261" t="s">
        <v>7529</v>
      </c>
    </row>
    <row r="11873" spans="1:8" ht="24" x14ac:dyDescent="0.2">
      <c r="A11873" s="618">
        <v>44535</v>
      </c>
      <c r="B11873" s="94" t="s">
        <v>6508</v>
      </c>
      <c r="C11873" s="94" t="s">
        <v>559</v>
      </c>
      <c r="D11873" s="802" t="s">
        <v>7539</v>
      </c>
      <c r="E11873" s="176"/>
      <c r="F11873" s="176">
        <v>50000</v>
      </c>
      <c r="G11873" s="176">
        <f t="shared" si="191"/>
        <v>50000</v>
      </c>
      <c r="H11873" s="261" t="s">
        <v>7529</v>
      </c>
    </row>
    <row r="11874" spans="1:8" ht="24" x14ac:dyDescent="0.2">
      <c r="A11874" s="618">
        <v>44546</v>
      </c>
      <c r="B11874" s="94" t="s">
        <v>1400</v>
      </c>
      <c r="C11874" s="94" t="s">
        <v>559</v>
      </c>
      <c r="D11874" s="925" t="s">
        <v>7570</v>
      </c>
      <c r="E11874" s="176"/>
      <c r="F11874" s="176">
        <v>1000000</v>
      </c>
      <c r="G11874" s="176">
        <f t="shared" si="191"/>
        <v>1000000</v>
      </c>
      <c r="H11874" s="261" t="s">
        <v>7529</v>
      </c>
    </row>
    <row r="11875" spans="1:8" ht="24" x14ac:dyDescent="0.2">
      <c r="A11875" s="618">
        <v>44546</v>
      </c>
      <c r="B11875" s="94" t="s">
        <v>1400</v>
      </c>
      <c r="C11875" s="94" t="s">
        <v>559</v>
      </c>
      <c r="D11875" s="925" t="s">
        <v>7570</v>
      </c>
      <c r="E11875" s="176"/>
      <c r="F11875" s="176">
        <v>1000000</v>
      </c>
      <c r="G11875" s="176">
        <f t="shared" si="191"/>
        <v>1000000</v>
      </c>
      <c r="H11875" s="261" t="s">
        <v>7529</v>
      </c>
    </row>
    <row r="11876" spans="1:8" s="682" customFormat="1" ht="15" customHeight="1" x14ac:dyDescent="0.25">
      <c r="A11876" s="618">
        <v>44547</v>
      </c>
      <c r="B11876" s="94" t="s">
        <v>2933</v>
      </c>
      <c r="C11876" s="94" t="s">
        <v>559</v>
      </c>
      <c r="D11876" s="892" t="s">
        <v>7571</v>
      </c>
      <c r="E11876" s="176"/>
      <c r="F11876" s="176">
        <v>3382469</v>
      </c>
      <c r="G11876" s="176">
        <f t="shared" si="191"/>
        <v>3382469</v>
      </c>
      <c r="H11876" s="261" t="s">
        <v>7529</v>
      </c>
    </row>
    <row r="11877" spans="1:8" s="682" customFormat="1" ht="15" customHeight="1" x14ac:dyDescent="0.25">
      <c r="A11877" s="618">
        <v>44551</v>
      </c>
      <c r="B11877" s="94" t="s">
        <v>3946</v>
      </c>
      <c r="C11877" s="94" t="s">
        <v>559</v>
      </c>
      <c r="D11877" s="892" t="s">
        <v>7527</v>
      </c>
      <c r="E11877" s="176"/>
      <c r="F11877" s="176">
        <v>139113</v>
      </c>
      <c r="G11877" s="176">
        <f t="shared" si="191"/>
        <v>139113</v>
      </c>
      <c r="H11877" s="261" t="s">
        <v>7529</v>
      </c>
    </row>
    <row r="11878" spans="1:8" ht="15" x14ac:dyDescent="0.2">
      <c r="A11878" s="618">
        <v>44551</v>
      </c>
      <c r="B11878" s="91" t="s">
        <v>37</v>
      </c>
      <c r="C11878" s="94" t="s">
        <v>559</v>
      </c>
      <c r="D11878" s="801" t="s">
        <v>7572</v>
      </c>
      <c r="E11878" s="176"/>
      <c r="F11878" s="92">
        <v>188568</v>
      </c>
      <c r="G11878" s="92">
        <f t="shared" si="191"/>
        <v>188568</v>
      </c>
      <c r="H11878" s="261" t="s">
        <v>7529</v>
      </c>
    </row>
    <row r="11879" spans="1:8" ht="15" x14ac:dyDescent="0.2">
      <c r="A11879" s="618">
        <v>44551</v>
      </c>
      <c r="B11879" s="91" t="s">
        <v>37</v>
      </c>
      <c r="C11879" s="94" t="s">
        <v>559</v>
      </c>
      <c r="D11879" s="801" t="s">
        <v>7573</v>
      </c>
      <c r="E11879" s="176"/>
      <c r="F11879" s="92">
        <v>188568</v>
      </c>
      <c r="G11879" s="92">
        <f t="shared" si="191"/>
        <v>188568</v>
      </c>
      <c r="H11879" s="261" t="s">
        <v>7529</v>
      </c>
    </row>
    <row r="11880" spans="1:8" ht="15" x14ac:dyDescent="0.2">
      <c r="A11880" s="618">
        <v>44551</v>
      </c>
      <c r="B11880" s="91" t="s">
        <v>37</v>
      </c>
      <c r="C11880" s="94" t="s">
        <v>559</v>
      </c>
      <c r="D11880" s="801" t="s">
        <v>7574</v>
      </c>
      <c r="E11880" s="176"/>
      <c r="F11880" s="92">
        <v>188568</v>
      </c>
      <c r="G11880" s="92">
        <f t="shared" si="191"/>
        <v>188568</v>
      </c>
      <c r="H11880" s="261" t="s">
        <v>7529</v>
      </c>
    </row>
    <row r="11881" spans="1:8" ht="15" x14ac:dyDescent="0.2">
      <c r="A11881" s="618">
        <v>44552</v>
      </c>
      <c r="B11881" s="91" t="s">
        <v>6950</v>
      </c>
      <c r="C11881" s="94" t="s">
        <v>559</v>
      </c>
      <c r="D11881" s="911" t="s">
        <v>7578</v>
      </c>
      <c r="E11881" s="176"/>
      <c r="F11881" s="92">
        <v>371770</v>
      </c>
      <c r="G11881" s="92">
        <f t="shared" si="191"/>
        <v>371770</v>
      </c>
      <c r="H11881" s="261" t="s">
        <v>7529</v>
      </c>
    </row>
    <row r="11882" spans="1:8" ht="15" x14ac:dyDescent="0.2">
      <c r="A11882" s="618">
        <v>44557</v>
      </c>
      <c r="B11882" s="91" t="s">
        <v>3945</v>
      </c>
      <c r="C11882" s="94" t="s">
        <v>559</v>
      </c>
      <c r="D11882" s="801" t="s">
        <v>7584</v>
      </c>
      <c r="E11882" s="92"/>
      <c r="F11882" s="92">
        <v>90958</v>
      </c>
      <c r="G11882" s="92">
        <f t="shared" si="191"/>
        <v>90958</v>
      </c>
      <c r="H11882" s="261" t="s">
        <v>7529</v>
      </c>
    </row>
    <row r="11883" spans="1:8" ht="15" x14ac:dyDescent="0.2">
      <c r="A11883" s="618">
        <v>44558</v>
      </c>
      <c r="B11883" s="91" t="s">
        <v>5746</v>
      </c>
      <c r="C11883" s="94" t="s">
        <v>559</v>
      </c>
      <c r="D11883" s="801" t="s">
        <v>7656</v>
      </c>
      <c r="E11883" s="92"/>
      <c r="F11883" s="92">
        <v>57356</v>
      </c>
      <c r="G11883" s="92">
        <f t="shared" si="191"/>
        <v>57356</v>
      </c>
      <c r="H11883" s="261" t="s">
        <v>7529</v>
      </c>
    </row>
    <row r="11884" spans="1:8" ht="24.75" customHeight="1" x14ac:dyDescent="0.2">
      <c r="A11884" s="618">
        <v>44558</v>
      </c>
      <c r="B11884" s="94" t="s">
        <v>7126</v>
      </c>
      <c r="C11884" s="94" t="s">
        <v>559</v>
      </c>
      <c r="D11884" s="802" t="s">
        <v>7585</v>
      </c>
      <c r="E11884" s="176"/>
      <c r="F11884" s="176">
        <v>163897</v>
      </c>
      <c r="G11884" s="176">
        <f t="shared" si="191"/>
        <v>163897</v>
      </c>
      <c r="H11884" s="261" t="s">
        <v>7529</v>
      </c>
    </row>
    <row r="11885" spans="1:8" ht="15" x14ac:dyDescent="0.2">
      <c r="A11885" s="619">
        <v>44562</v>
      </c>
      <c r="B11885" s="41" t="s">
        <v>25</v>
      </c>
      <c r="C11885" s="41" t="s">
        <v>2428</v>
      </c>
      <c r="D11885" s="108" t="s">
        <v>7615</v>
      </c>
      <c r="E11885" s="58">
        <v>24700</v>
      </c>
      <c r="F11885" s="58"/>
      <c r="G11885" s="126">
        <f t="shared" si="191"/>
        <v>-24700</v>
      </c>
      <c r="H11885" s="685" t="s">
        <v>7614</v>
      </c>
    </row>
    <row r="11886" spans="1:8" ht="15" x14ac:dyDescent="0.2">
      <c r="A11886" s="619">
        <v>44565</v>
      </c>
      <c r="B11886" s="41" t="s">
        <v>7067</v>
      </c>
      <c r="C11886" s="41" t="s">
        <v>3145</v>
      </c>
      <c r="D11886" s="108" t="s">
        <v>7616</v>
      </c>
      <c r="E11886" s="42">
        <v>29000</v>
      </c>
      <c r="G11886" s="126">
        <f t="shared" si="191"/>
        <v>-29000</v>
      </c>
      <c r="H11886" s="685" t="s">
        <v>7614</v>
      </c>
    </row>
    <row r="11887" spans="1:8" ht="15" x14ac:dyDescent="0.2">
      <c r="A11887" s="619">
        <v>44565</v>
      </c>
      <c r="B11887" s="41" t="s">
        <v>7067</v>
      </c>
      <c r="C11887" s="41" t="s">
        <v>6624</v>
      </c>
      <c r="D11887" s="108" t="s">
        <v>7617</v>
      </c>
      <c r="E11887" s="42">
        <v>50000</v>
      </c>
      <c r="G11887" s="126">
        <f t="shared" si="191"/>
        <v>-50000</v>
      </c>
      <c r="H11887" s="685" t="s">
        <v>7614</v>
      </c>
    </row>
    <row r="11888" spans="1:8" ht="15" x14ac:dyDescent="0.2">
      <c r="A11888" s="619">
        <v>44565</v>
      </c>
      <c r="B11888" s="41" t="s">
        <v>16</v>
      </c>
      <c r="C11888" s="41" t="s">
        <v>1495</v>
      </c>
      <c r="E11888" s="42">
        <v>700</v>
      </c>
      <c r="G11888" s="126">
        <f t="shared" si="191"/>
        <v>-700</v>
      </c>
      <c r="H11888" s="685" t="s">
        <v>7614</v>
      </c>
    </row>
    <row r="11889" spans="1:8" ht="15" x14ac:dyDescent="0.2">
      <c r="A11889" s="619">
        <v>44566</v>
      </c>
      <c r="B11889" s="41" t="s">
        <v>7112</v>
      </c>
      <c r="C11889" s="41" t="s">
        <v>392</v>
      </c>
      <c r="D11889" s="108" t="s">
        <v>7062</v>
      </c>
      <c r="E11889" s="42">
        <v>200</v>
      </c>
      <c r="G11889" s="126">
        <f t="shared" si="191"/>
        <v>-200</v>
      </c>
      <c r="H11889" s="685" t="s">
        <v>7614</v>
      </c>
    </row>
    <row r="11890" spans="1:8" ht="15" x14ac:dyDescent="0.2">
      <c r="A11890" s="619">
        <v>44566</v>
      </c>
      <c r="B11890" s="41" t="s">
        <v>7067</v>
      </c>
      <c r="C11890" s="41" t="s">
        <v>392</v>
      </c>
      <c r="D11890" s="108" t="s">
        <v>7618</v>
      </c>
      <c r="E11890" s="42">
        <v>3420</v>
      </c>
      <c r="G11890" s="42">
        <f t="shared" si="191"/>
        <v>-3420</v>
      </c>
      <c r="H11890" s="685" t="s">
        <v>7614</v>
      </c>
    </row>
    <row r="11891" spans="1:8" ht="15" x14ac:dyDescent="0.2">
      <c r="A11891" s="619">
        <v>44566</v>
      </c>
      <c r="B11891" s="41" t="s">
        <v>2933</v>
      </c>
      <c r="C11891" s="41" t="s">
        <v>392</v>
      </c>
      <c r="E11891" s="42">
        <v>1320</v>
      </c>
      <c r="G11891" s="42">
        <f t="shared" si="191"/>
        <v>-1320</v>
      </c>
      <c r="H11891" s="685" t="s">
        <v>7614</v>
      </c>
    </row>
    <row r="11892" spans="1:8" ht="15" x14ac:dyDescent="0.2">
      <c r="A11892" s="619">
        <v>44566</v>
      </c>
      <c r="B11892" s="41" t="s">
        <v>3945</v>
      </c>
      <c r="C11892" s="41" t="s">
        <v>392</v>
      </c>
      <c r="E11892" s="42">
        <v>2800</v>
      </c>
      <c r="G11892" s="42">
        <f t="shared" si="191"/>
        <v>-2800</v>
      </c>
      <c r="H11892" s="685" t="s">
        <v>7614</v>
      </c>
    </row>
    <row r="11893" spans="1:8" ht="15" x14ac:dyDescent="0.2">
      <c r="A11893" s="619">
        <v>44571</v>
      </c>
      <c r="B11893" s="41" t="s">
        <v>7067</v>
      </c>
      <c r="C11893" s="41" t="s">
        <v>2190</v>
      </c>
      <c r="E11893" s="42">
        <v>950</v>
      </c>
      <c r="G11893" s="42">
        <f t="shared" si="191"/>
        <v>-950</v>
      </c>
      <c r="H11893" s="685" t="s">
        <v>7614</v>
      </c>
    </row>
    <row r="11894" spans="1:8" ht="15" x14ac:dyDescent="0.2">
      <c r="A11894" s="619">
        <v>44571</v>
      </c>
      <c r="B11894" s="41" t="s">
        <v>16</v>
      </c>
      <c r="C11894" s="41" t="s">
        <v>392</v>
      </c>
      <c r="D11894" s="108" t="s">
        <v>600</v>
      </c>
      <c r="E11894" s="42">
        <v>570</v>
      </c>
      <c r="G11894" s="42">
        <f t="shared" si="191"/>
        <v>-570</v>
      </c>
      <c r="H11894" s="685" t="s">
        <v>7614</v>
      </c>
    </row>
    <row r="11895" spans="1:8" ht="15" x14ac:dyDescent="0.2">
      <c r="A11895" s="619">
        <v>44571</v>
      </c>
      <c r="B11895" s="41" t="s">
        <v>6950</v>
      </c>
      <c r="C11895" s="41" t="s">
        <v>200</v>
      </c>
      <c r="D11895" s="108" t="s">
        <v>7634</v>
      </c>
      <c r="E11895" s="42">
        <v>60000</v>
      </c>
      <c r="G11895" s="42">
        <f t="shared" si="191"/>
        <v>-60000</v>
      </c>
      <c r="H11895" s="685" t="s">
        <v>7614</v>
      </c>
    </row>
    <row r="11896" spans="1:8" ht="15" x14ac:dyDescent="0.2">
      <c r="A11896" s="619">
        <v>44573</v>
      </c>
      <c r="B11896" s="41" t="s">
        <v>16</v>
      </c>
      <c r="C11896" s="41" t="s">
        <v>5341</v>
      </c>
      <c r="D11896" s="108" t="s">
        <v>7635</v>
      </c>
      <c r="E11896" s="42">
        <v>10000</v>
      </c>
      <c r="G11896" s="42">
        <f t="shared" si="191"/>
        <v>-10000</v>
      </c>
      <c r="H11896" s="685" t="s">
        <v>7614</v>
      </c>
    </row>
    <row r="11897" spans="1:8" ht="15" x14ac:dyDescent="0.2">
      <c r="A11897" s="619">
        <v>44573</v>
      </c>
      <c r="B11897" s="41" t="s">
        <v>7555</v>
      </c>
      <c r="C11897" s="41" t="s">
        <v>3145</v>
      </c>
      <c r="D11897" s="108" t="s">
        <v>7636</v>
      </c>
      <c r="E11897" s="42">
        <v>23065</v>
      </c>
      <c r="G11897" s="42">
        <f t="shared" si="191"/>
        <v>-23065</v>
      </c>
      <c r="H11897" s="685" t="s">
        <v>7614</v>
      </c>
    </row>
    <row r="11898" spans="1:8" ht="15" x14ac:dyDescent="0.2">
      <c r="A11898" s="619">
        <v>44573</v>
      </c>
      <c r="B11898" s="41" t="s">
        <v>7555</v>
      </c>
      <c r="C11898" s="41" t="s">
        <v>392</v>
      </c>
      <c r="D11898" s="108" t="s">
        <v>7637</v>
      </c>
      <c r="E11898" s="42">
        <v>2480</v>
      </c>
      <c r="G11898" s="42">
        <f t="shared" si="191"/>
        <v>-2480</v>
      </c>
      <c r="H11898" s="685" t="s">
        <v>7614</v>
      </c>
    </row>
    <row r="11899" spans="1:8" ht="15" x14ac:dyDescent="0.2">
      <c r="A11899" s="619">
        <v>44573</v>
      </c>
      <c r="B11899" s="41" t="s">
        <v>7067</v>
      </c>
      <c r="C11899" s="41" t="s">
        <v>5741</v>
      </c>
      <c r="E11899" s="42">
        <v>1200</v>
      </c>
      <c r="G11899" s="42">
        <f t="shared" si="191"/>
        <v>-1200</v>
      </c>
      <c r="H11899" s="685" t="s">
        <v>7614</v>
      </c>
    </row>
    <row r="11900" spans="1:8" ht="15" x14ac:dyDescent="0.2">
      <c r="A11900" s="619">
        <v>44575</v>
      </c>
      <c r="B11900" s="41" t="s">
        <v>7067</v>
      </c>
      <c r="C11900" s="41" t="s">
        <v>3145</v>
      </c>
      <c r="D11900" s="108" t="s">
        <v>7638</v>
      </c>
      <c r="E11900" s="42">
        <v>50000</v>
      </c>
      <c r="G11900" s="42">
        <f t="shared" si="191"/>
        <v>-50000</v>
      </c>
      <c r="H11900" s="685" t="s">
        <v>7614</v>
      </c>
    </row>
    <row r="11901" spans="1:8" ht="15" x14ac:dyDescent="0.2">
      <c r="A11901" s="619">
        <v>44575</v>
      </c>
      <c r="B11901" s="41" t="s">
        <v>6950</v>
      </c>
      <c r="C11901" s="41" t="s">
        <v>6350</v>
      </c>
      <c r="D11901" s="108" t="s">
        <v>2711</v>
      </c>
      <c r="E11901" s="42">
        <v>25000</v>
      </c>
      <c r="G11901" s="42">
        <f t="shared" si="191"/>
        <v>-25000</v>
      </c>
      <c r="H11901" s="685" t="s">
        <v>7614</v>
      </c>
    </row>
    <row r="11902" spans="1:8" ht="15" x14ac:dyDescent="0.2">
      <c r="A11902" s="619">
        <v>44575</v>
      </c>
      <c r="B11902" s="41" t="s">
        <v>1400</v>
      </c>
      <c r="C11902" s="41" t="s">
        <v>2503</v>
      </c>
      <c r="D11902" s="108" t="s">
        <v>7639</v>
      </c>
      <c r="E11902" s="42">
        <v>9162</v>
      </c>
      <c r="G11902" s="42">
        <f t="shared" si="191"/>
        <v>-9162</v>
      </c>
      <c r="H11902" s="685" t="s">
        <v>7614</v>
      </c>
    </row>
    <row r="11903" spans="1:8" ht="15" x14ac:dyDescent="0.2">
      <c r="A11903" s="619">
        <v>44575</v>
      </c>
      <c r="B11903" s="41" t="s">
        <v>1400</v>
      </c>
      <c r="C11903" s="41" t="s">
        <v>3145</v>
      </c>
      <c r="D11903" s="108" t="s">
        <v>4694</v>
      </c>
      <c r="E11903" s="42">
        <v>7050</v>
      </c>
      <c r="G11903" s="42">
        <f t="shared" si="191"/>
        <v>-7050</v>
      </c>
      <c r="H11903" s="685" t="s">
        <v>7614</v>
      </c>
    </row>
    <row r="11904" spans="1:8" ht="15" x14ac:dyDescent="0.2">
      <c r="A11904" s="619">
        <v>44575</v>
      </c>
      <c r="B11904" s="41" t="s">
        <v>82</v>
      </c>
      <c r="C11904" s="41" t="s">
        <v>3145</v>
      </c>
      <c r="D11904" s="108" t="s">
        <v>4694</v>
      </c>
      <c r="E11904" s="42">
        <v>6000</v>
      </c>
      <c r="G11904" s="42">
        <f t="shared" si="191"/>
        <v>-6000</v>
      </c>
      <c r="H11904" s="685" t="s">
        <v>7614</v>
      </c>
    </row>
    <row r="11905" spans="1:8" ht="15" customHeight="1" x14ac:dyDescent="0.2">
      <c r="A11905" s="619">
        <v>44575</v>
      </c>
      <c r="B11905" s="41" t="s">
        <v>7112</v>
      </c>
      <c r="C11905" s="41" t="s">
        <v>3145</v>
      </c>
      <c r="D11905" s="108" t="s">
        <v>4694</v>
      </c>
      <c r="E11905" s="42">
        <v>4200</v>
      </c>
      <c r="G11905" s="42">
        <f t="shared" si="191"/>
        <v>-4200</v>
      </c>
      <c r="H11905" s="685" t="s">
        <v>7614</v>
      </c>
    </row>
    <row r="11906" spans="1:8" ht="15" customHeight="1" x14ac:dyDescent="0.2">
      <c r="A11906" s="619">
        <v>44579</v>
      </c>
      <c r="B11906" s="41" t="s">
        <v>1400</v>
      </c>
      <c r="C11906" s="41" t="s">
        <v>11539</v>
      </c>
      <c r="D11906" s="108" t="s">
        <v>7640</v>
      </c>
      <c r="E11906" s="42">
        <v>25000</v>
      </c>
      <c r="G11906" s="42">
        <f t="shared" si="191"/>
        <v>-25000</v>
      </c>
      <c r="H11906" s="685" t="s">
        <v>7614</v>
      </c>
    </row>
    <row r="11907" spans="1:8" ht="15" customHeight="1" x14ac:dyDescent="0.2">
      <c r="A11907" s="619">
        <v>44579</v>
      </c>
      <c r="B11907" s="41" t="s">
        <v>3946</v>
      </c>
      <c r="C11907" s="41" t="s">
        <v>6476</v>
      </c>
      <c r="D11907" s="108" t="s">
        <v>7641</v>
      </c>
      <c r="E11907" s="42">
        <v>30000</v>
      </c>
      <c r="G11907" s="42">
        <f t="shared" si="191"/>
        <v>-30000</v>
      </c>
      <c r="H11907" s="685" t="s">
        <v>7614</v>
      </c>
    </row>
    <row r="11908" spans="1:8" ht="15" customHeight="1" x14ac:dyDescent="0.2">
      <c r="A11908" s="619">
        <v>44579</v>
      </c>
      <c r="B11908" s="41" t="s">
        <v>16</v>
      </c>
      <c r="C11908" s="41" t="s">
        <v>3364</v>
      </c>
      <c r="E11908" s="42">
        <v>4090</v>
      </c>
      <c r="G11908" s="42">
        <f t="shared" si="191"/>
        <v>-4090</v>
      </c>
      <c r="H11908" s="685" t="s">
        <v>7614</v>
      </c>
    </row>
    <row r="11909" spans="1:8" ht="15" customHeight="1" x14ac:dyDescent="0.2">
      <c r="A11909" s="619">
        <v>44585</v>
      </c>
      <c r="B11909" s="41" t="s">
        <v>4553</v>
      </c>
      <c r="C11909" s="41" t="s">
        <v>3145</v>
      </c>
      <c r="D11909" s="108" t="s">
        <v>6641</v>
      </c>
      <c r="E11909" s="42">
        <v>1870</v>
      </c>
      <c r="G11909" s="42">
        <f t="shared" ref="G11909:G11972" si="192">F11909-E11909</f>
        <v>-1870</v>
      </c>
      <c r="H11909" s="685" t="s">
        <v>7614</v>
      </c>
    </row>
    <row r="11910" spans="1:8" ht="15" x14ac:dyDescent="0.2">
      <c r="A11910" s="619">
        <v>44585</v>
      </c>
      <c r="B11910" s="41" t="s">
        <v>7112</v>
      </c>
      <c r="C11910" s="41" t="s">
        <v>3145</v>
      </c>
      <c r="D11910" s="108" t="s">
        <v>6641</v>
      </c>
      <c r="E11910" s="42">
        <v>1870</v>
      </c>
      <c r="G11910" s="42">
        <f t="shared" si="192"/>
        <v>-1870</v>
      </c>
      <c r="H11910" s="685" t="s">
        <v>7614</v>
      </c>
    </row>
    <row r="11911" spans="1:8" ht="15" x14ac:dyDescent="0.2">
      <c r="A11911" s="619">
        <v>44585</v>
      </c>
      <c r="B11911" s="41" t="s">
        <v>1400</v>
      </c>
      <c r="C11911" s="41" t="s">
        <v>3145</v>
      </c>
      <c r="D11911" s="108" t="s">
        <v>6641</v>
      </c>
      <c r="E11911" s="42">
        <v>1870</v>
      </c>
      <c r="G11911" s="42">
        <f t="shared" si="192"/>
        <v>-1870</v>
      </c>
      <c r="H11911" s="685" t="s">
        <v>7614</v>
      </c>
    </row>
    <row r="11912" spans="1:8" ht="15" x14ac:dyDescent="0.2">
      <c r="A11912" s="619">
        <v>44585</v>
      </c>
      <c r="B11912" s="41" t="s">
        <v>16</v>
      </c>
      <c r="E11912" s="42">
        <v>54</v>
      </c>
      <c r="G11912" s="42">
        <f t="shared" si="192"/>
        <v>-54</v>
      </c>
      <c r="H11912" s="685" t="s">
        <v>7614</v>
      </c>
    </row>
    <row r="11913" spans="1:8" ht="15" x14ac:dyDescent="0.2">
      <c r="A11913" s="619">
        <v>44585</v>
      </c>
      <c r="B11913" s="41" t="s">
        <v>2933</v>
      </c>
      <c r="C11913" s="41" t="s">
        <v>392</v>
      </c>
      <c r="E11913" s="42">
        <v>1300</v>
      </c>
      <c r="G11913" s="42">
        <f t="shared" si="192"/>
        <v>-1300</v>
      </c>
      <c r="H11913" s="685" t="s">
        <v>7614</v>
      </c>
    </row>
    <row r="11914" spans="1:8" ht="15" x14ac:dyDescent="0.2">
      <c r="A11914" s="619">
        <v>44585</v>
      </c>
      <c r="B11914" s="41" t="s">
        <v>16</v>
      </c>
      <c r="C11914" s="41" t="s">
        <v>392</v>
      </c>
      <c r="D11914" s="108" t="s">
        <v>4225</v>
      </c>
      <c r="E11914" s="42">
        <v>6000</v>
      </c>
      <c r="G11914" s="42">
        <f t="shared" si="192"/>
        <v>-6000</v>
      </c>
      <c r="H11914" s="685" t="s">
        <v>7614</v>
      </c>
    </row>
    <row r="11915" spans="1:8" ht="15" x14ac:dyDescent="0.2">
      <c r="A11915" s="619">
        <v>44586</v>
      </c>
      <c r="B11915" s="41" t="s">
        <v>7067</v>
      </c>
      <c r="C11915" s="41" t="s">
        <v>3145</v>
      </c>
      <c r="D11915" s="108" t="s">
        <v>7642</v>
      </c>
      <c r="E11915" s="42">
        <v>7000</v>
      </c>
      <c r="G11915" s="42">
        <f t="shared" si="192"/>
        <v>-7000</v>
      </c>
      <c r="H11915" s="685" t="s">
        <v>7614</v>
      </c>
    </row>
    <row r="11916" spans="1:8" ht="15" x14ac:dyDescent="0.2">
      <c r="A11916" s="619">
        <v>44586</v>
      </c>
      <c r="B11916" s="41" t="s">
        <v>25</v>
      </c>
      <c r="C11916" s="41" t="s">
        <v>1689</v>
      </c>
      <c r="E11916" s="42">
        <v>22869</v>
      </c>
      <c r="G11916" s="42">
        <f t="shared" si="192"/>
        <v>-22869</v>
      </c>
      <c r="H11916" s="685" t="s">
        <v>7614</v>
      </c>
    </row>
    <row r="11917" spans="1:8" ht="15" x14ac:dyDescent="0.2">
      <c r="A11917" s="619">
        <v>44586</v>
      </c>
      <c r="B11917" s="41" t="s">
        <v>16</v>
      </c>
      <c r="C11917" s="41" t="s">
        <v>1689</v>
      </c>
      <c r="E11917" s="42">
        <v>5868</v>
      </c>
      <c r="G11917" s="42">
        <f t="shared" si="192"/>
        <v>-5868</v>
      </c>
      <c r="H11917" s="685" t="s">
        <v>7614</v>
      </c>
    </row>
    <row r="11918" spans="1:8" ht="15" x14ac:dyDescent="0.2">
      <c r="A11918" s="619">
        <v>44586</v>
      </c>
      <c r="B11918" s="41" t="s">
        <v>1400</v>
      </c>
      <c r="C11918" s="41" t="s">
        <v>3145</v>
      </c>
      <c r="D11918" s="108" t="s">
        <v>4450</v>
      </c>
      <c r="E11918" s="42">
        <v>17775</v>
      </c>
      <c r="G11918" s="42">
        <f t="shared" si="192"/>
        <v>-17775</v>
      </c>
      <c r="H11918" s="685" t="s">
        <v>7614</v>
      </c>
    </row>
    <row r="11919" spans="1:8" ht="15" x14ac:dyDescent="0.2">
      <c r="A11919" s="619">
        <v>44586</v>
      </c>
      <c r="B11919" s="41" t="s">
        <v>6505</v>
      </c>
      <c r="C11919" s="41" t="s">
        <v>3145</v>
      </c>
      <c r="D11919" s="108" t="s">
        <v>4450</v>
      </c>
      <c r="E11919" s="42">
        <v>125000</v>
      </c>
      <c r="G11919" s="42">
        <f t="shared" si="192"/>
        <v>-125000</v>
      </c>
      <c r="H11919" s="685" t="s">
        <v>7614</v>
      </c>
    </row>
    <row r="11920" spans="1:8" ht="15" x14ac:dyDescent="0.2">
      <c r="A11920" s="619">
        <v>44586</v>
      </c>
      <c r="B11920" s="41" t="s">
        <v>25</v>
      </c>
      <c r="C11920" s="41" t="s">
        <v>4065</v>
      </c>
      <c r="D11920" s="108" t="s">
        <v>7643</v>
      </c>
      <c r="E11920" s="42">
        <v>3000</v>
      </c>
      <c r="G11920" s="42">
        <f t="shared" si="192"/>
        <v>-3000</v>
      </c>
      <c r="H11920" s="685" t="s">
        <v>7614</v>
      </c>
    </row>
    <row r="11921" spans="1:8" ht="15" x14ac:dyDescent="0.2">
      <c r="A11921" s="619">
        <v>44586</v>
      </c>
      <c r="B11921" s="41" t="s">
        <v>16</v>
      </c>
      <c r="C11921" s="41" t="s">
        <v>5341</v>
      </c>
      <c r="D11921" s="108" t="s">
        <v>7644</v>
      </c>
      <c r="E11921" s="42">
        <v>4000</v>
      </c>
      <c r="G11921" s="42">
        <f t="shared" si="192"/>
        <v>-4000</v>
      </c>
      <c r="H11921" s="685" t="s">
        <v>7614</v>
      </c>
    </row>
    <row r="11922" spans="1:8" ht="15" x14ac:dyDescent="0.2">
      <c r="A11922" s="619">
        <v>44586</v>
      </c>
      <c r="B11922" s="41" t="s">
        <v>3946</v>
      </c>
      <c r="C11922" s="41" t="s">
        <v>3033</v>
      </c>
      <c r="D11922" s="108" t="s">
        <v>7672</v>
      </c>
      <c r="E11922" s="42">
        <v>8000</v>
      </c>
      <c r="G11922" s="42">
        <f t="shared" si="192"/>
        <v>-8000</v>
      </c>
      <c r="H11922" s="685" t="s">
        <v>7614</v>
      </c>
    </row>
    <row r="11923" spans="1:8" ht="15" x14ac:dyDescent="0.2">
      <c r="A11923" s="619">
        <v>44589</v>
      </c>
      <c r="B11923" s="41" t="s">
        <v>1691</v>
      </c>
      <c r="C11923" s="41" t="s">
        <v>3145</v>
      </c>
      <c r="D11923" s="108" t="s">
        <v>7376</v>
      </c>
      <c r="E11923" s="42">
        <v>580</v>
      </c>
      <c r="G11923" s="42">
        <f t="shared" si="192"/>
        <v>-580</v>
      </c>
      <c r="H11923" s="685" t="s">
        <v>7614</v>
      </c>
    </row>
    <row r="11924" spans="1:8" ht="15" x14ac:dyDescent="0.2">
      <c r="A11924" s="619">
        <v>44589</v>
      </c>
      <c r="B11924" s="41" t="s">
        <v>16</v>
      </c>
      <c r="C11924" s="41" t="s">
        <v>463</v>
      </c>
      <c r="D11924" s="108" t="s">
        <v>7699</v>
      </c>
      <c r="E11924" s="42">
        <v>24260</v>
      </c>
      <c r="G11924" s="42">
        <f t="shared" si="192"/>
        <v>-24260</v>
      </c>
      <c r="H11924" s="685" t="s">
        <v>7614</v>
      </c>
    </row>
    <row r="11925" spans="1:8" ht="15" x14ac:dyDescent="0.2">
      <c r="A11925" s="619">
        <v>44589</v>
      </c>
      <c r="B11925" s="41" t="s">
        <v>25</v>
      </c>
      <c r="C11925" s="41" t="s">
        <v>1005</v>
      </c>
      <c r="E11925" s="42">
        <v>650</v>
      </c>
      <c r="G11925" s="42">
        <f t="shared" si="192"/>
        <v>-650</v>
      </c>
      <c r="H11925" s="685" t="s">
        <v>7614</v>
      </c>
    </row>
    <row r="11926" spans="1:8" ht="15" x14ac:dyDescent="0.2">
      <c r="A11926" s="619">
        <v>44589</v>
      </c>
      <c r="B11926" s="63" t="s">
        <v>6505</v>
      </c>
      <c r="C11926" s="63" t="s">
        <v>2503</v>
      </c>
      <c r="D11926" s="183" t="s">
        <v>7097</v>
      </c>
      <c r="E11926" s="126">
        <v>25000</v>
      </c>
      <c r="G11926" s="42">
        <f t="shared" si="192"/>
        <v>-25000</v>
      </c>
      <c r="H11926" s="685" t="s">
        <v>7614</v>
      </c>
    </row>
    <row r="11927" spans="1:8" ht="15" x14ac:dyDescent="0.2">
      <c r="A11927" s="619">
        <v>44589</v>
      </c>
      <c r="B11927" s="63" t="s">
        <v>7112</v>
      </c>
      <c r="C11927" s="63" t="s">
        <v>2503</v>
      </c>
      <c r="D11927" s="183" t="s">
        <v>7097</v>
      </c>
      <c r="E11927" s="126">
        <v>25000</v>
      </c>
      <c r="G11927" s="42">
        <f t="shared" si="192"/>
        <v>-25000</v>
      </c>
      <c r="H11927" s="685" t="s">
        <v>7614</v>
      </c>
    </row>
    <row r="11928" spans="1:8" ht="15" x14ac:dyDescent="0.2">
      <c r="A11928" s="619">
        <v>44589</v>
      </c>
      <c r="B11928" s="63" t="s">
        <v>7067</v>
      </c>
      <c r="C11928" s="63" t="s">
        <v>2503</v>
      </c>
      <c r="D11928" s="183" t="s">
        <v>141</v>
      </c>
      <c r="E11928" s="126">
        <v>25000</v>
      </c>
      <c r="G11928" s="42">
        <f t="shared" si="192"/>
        <v>-25000</v>
      </c>
      <c r="H11928" s="685" t="s">
        <v>7614</v>
      </c>
    </row>
    <row r="11929" spans="1:8" ht="15" x14ac:dyDescent="0.2">
      <c r="A11929" s="619">
        <v>44589</v>
      </c>
      <c r="B11929" s="63" t="s">
        <v>1400</v>
      </c>
      <c r="C11929" s="63" t="s">
        <v>2503</v>
      </c>
      <c r="D11929" s="183" t="s">
        <v>141</v>
      </c>
      <c r="E11929" s="126">
        <v>25000</v>
      </c>
      <c r="G11929" s="42">
        <f t="shared" si="192"/>
        <v>-25000</v>
      </c>
      <c r="H11929" s="685" t="s">
        <v>7614</v>
      </c>
    </row>
    <row r="11930" spans="1:8" ht="15" x14ac:dyDescent="0.2">
      <c r="A11930" s="619">
        <v>44589</v>
      </c>
      <c r="B11930" s="63" t="s">
        <v>25</v>
      </c>
      <c r="C11930" s="63" t="s">
        <v>2503</v>
      </c>
      <c r="D11930" s="183"/>
      <c r="E11930" s="126">
        <v>60000</v>
      </c>
      <c r="G11930" s="42">
        <f t="shared" si="192"/>
        <v>-60000</v>
      </c>
      <c r="H11930" s="685" t="s">
        <v>7614</v>
      </c>
    </row>
    <row r="11931" spans="1:8" ht="15" x14ac:dyDescent="0.2">
      <c r="A11931" s="619">
        <v>44589</v>
      </c>
      <c r="B11931" s="63" t="s">
        <v>16</v>
      </c>
      <c r="C11931" s="63" t="s">
        <v>2503</v>
      </c>
      <c r="D11931" s="183"/>
      <c r="E11931" s="126">
        <v>96000</v>
      </c>
      <c r="G11931" s="42">
        <f t="shared" si="192"/>
        <v>-96000</v>
      </c>
      <c r="H11931" s="685" t="s">
        <v>7614</v>
      </c>
    </row>
    <row r="11932" spans="1:8" ht="15" customHeight="1" x14ac:dyDescent="0.2">
      <c r="A11932" s="619">
        <v>44589</v>
      </c>
      <c r="B11932" s="63" t="s">
        <v>3945</v>
      </c>
      <c r="C11932" s="63" t="s">
        <v>2503</v>
      </c>
      <c r="D11932" s="183"/>
      <c r="E11932" s="126">
        <v>79939.516129032258</v>
      </c>
      <c r="G11932" s="42">
        <f t="shared" si="192"/>
        <v>-79939.516129032258</v>
      </c>
      <c r="H11932" s="685" t="s">
        <v>7614</v>
      </c>
    </row>
    <row r="11933" spans="1:8" ht="15" x14ac:dyDescent="0.2">
      <c r="A11933" s="619">
        <v>44589</v>
      </c>
      <c r="B11933" s="63" t="s">
        <v>3946</v>
      </c>
      <c r="C11933" s="63" t="s">
        <v>2503</v>
      </c>
      <c r="D11933" s="183"/>
      <c r="E11933" s="126">
        <v>111752.01612903224</v>
      </c>
      <c r="G11933" s="42">
        <f t="shared" si="192"/>
        <v>-111752.01612903224</v>
      </c>
      <c r="H11933" s="685" t="s">
        <v>7614</v>
      </c>
    </row>
    <row r="11934" spans="1:8" ht="15" x14ac:dyDescent="0.2">
      <c r="A11934" s="619">
        <v>44589</v>
      </c>
      <c r="B11934" s="63" t="s">
        <v>1400</v>
      </c>
      <c r="C11934" s="63" t="s">
        <v>2503</v>
      </c>
      <c r="D11934" s="183"/>
      <c r="E11934" s="126">
        <v>206657.25806451612</v>
      </c>
      <c r="G11934" s="42">
        <f t="shared" si="192"/>
        <v>-206657.25806451612</v>
      </c>
      <c r="H11934" s="685" t="s">
        <v>7614</v>
      </c>
    </row>
    <row r="11935" spans="1:8" ht="15" x14ac:dyDescent="0.2">
      <c r="A11935" s="619">
        <v>44589</v>
      </c>
      <c r="B11935" s="63" t="s">
        <v>37</v>
      </c>
      <c r="C11935" s="63" t="s">
        <v>2503</v>
      </c>
      <c r="D11935" s="183"/>
      <c r="E11935" s="126">
        <v>113407.25806451612</v>
      </c>
      <c r="G11935" s="42">
        <f t="shared" si="192"/>
        <v>-113407.25806451612</v>
      </c>
      <c r="H11935" s="685" t="s">
        <v>7614</v>
      </c>
    </row>
    <row r="11936" spans="1:8" ht="15" x14ac:dyDescent="0.2">
      <c r="A11936" s="619">
        <v>44589</v>
      </c>
      <c r="B11936" s="63" t="s">
        <v>2933</v>
      </c>
      <c r="C11936" s="63" t="s">
        <v>2503</v>
      </c>
      <c r="D11936" s="183"/>
      <c r="E11936" s="126">
        <v>71629.032258064515</v>
      </c>
      <c r="G11936" s="42">
        <f t="shared" si="192"/>
        <v>-71629.032258064515</v>
      </c>
      <c r="H11936" s="685" t="s">
        <v>7614</v>
      </c>
    </row>
    <row r="11937" spans="1:8" ht="15" x14ac:dyDescent="0.2">
      <c r="A11937" s="619">
        <v>44589</v>
      </c>
      <c r="B11937" s="63" t="s">
        <v>7067</v>
      </c>
      <c r="C11937" s="63" t="s">
        <v>2503</v>
      </c>
      <c r="D11937" s="183"/>
      <c r="E11937" s="126">
        <v>95300</v>
      </c>
      <c r="G11937" s="42">
        <f t="shared" si="192"/>
        <v>-95300</v>
      </c>
      <c r="H11937" s="685" t="s">
        <v>7614</v>
      </c>
    </row>
    <row r="11938" spans="1:8" ht="15" x14ac:dyDescent="0.2">
      <c r="A11938" s="619">
        <v>44589</v>
      </c>
      <c r="B11938" s="63" t="s">
        <v>6518</v>
      </c>
      <c r="C11938" s="63" t="s">
        <v>2503</v>
      </c>
      <c r="D11938" s="183"/>
      <c r="E11938" s="126">
        <v>27983.870967741936</v>
      </c>
      <c r="G11938" s="42">
        <f t="shared" si="192"/>
        <v>-27983.870967741936</v>
      </c>
      <c r="H11938" s="685" t="s">
        <v>7614</v>
      </c>
    </row>
    <row r="11939" spans="1:8" ht="15" x14ac:dyDescent="0.2">
      <c r="A11939" s="619">
        <v>44589</v>
      </c>
      <c r="B11939" s="63" t="s">
        <v>6408</v>
      </c>
      <c r="C11939" s="63" t="s">
        <v>2503</v>
      </c>
      <c r="D11939" s="183"/>
      <c r="E11939" s="126">
        <v>20000</v>
      </c>
      <c r="G11939" s="42">
        <f t="shared" si="192"/>
        <v>-20000</v>
      </c>
      <c r="H11939" s="685" t="s">
        <v>7614</v>
      </c>
    </row>
    <row r="11940" spans="1:8" ht="15" x14ac:dyDescent="0.2">
      <c r="A11940" s="619">
        <v>44589</v>
      </c>
      <c r="B11940" s="63" t="s">
        <v>7112</v>
      </c>
      <c r="C11940" s="63" t="s">
        <v>2503</v>
      </c>
      <c r="D11940" s="183"/>
      <c r="E11940" s="126">
        <v>41000</v>
      </c>
      <c r="G11940" s="42">
        <f t="shared" si="192"/>
        <v>-41000</v>
      </c>
      <c r="H11940" s="685" t="s">
        <v>7614</v>
      </c>
    </row>
    <row r="11941" spans="1:8" ht="15" x14ac:dyDescent="0.2">
      <c r="A11941" s="619">
        <v>44589</v>
      </c>
      <c r="B11941" s="63" t="s">
        <v>5811</v>
      </c>
      <c r="C11941" s="63" t="s">
        <v>2503</v>
      </c>
      <c r="D11941" s="183"/>
      <c r="E11941" s="126">
        <v>27976</v>
      </c>
      <c r="G11941" s="42">
        <f t="shared" si="192"/>
        <v>-27976</v>
      </c>
      <c r="H11941" s="685" t="s">
        <v>7614</v>
      </c>
    </row>
    <row r="11942" spans="1:8" ht="15" x14ac:dyDescent="0.2">
      <c r="A11942" s="619">
        <v>44589</v>
      </c>
      <c r="B11942" s="41" t="s">
        <v>7555</v>
      </c>
      <c r="C11942" s="63" t="s">
        <v>2503</v>
      </c>
      <c r="E11942" s="58">
        <v>15000</v>
      </c>
      <c r="G11942" s="42">
        <f t="shared" si="192"/>
        <v>-15000</v>
      </c>
      <c r="H11942" s="685" t="s">
        <v>7614</v>
      </c>
    </row>
    <row r="11943" spans="1:8" ht="15" x14ac:dyDescent="0.2">
      <c r="A11943" s="619">
        <v>44592</v>
      </c>
      <c r="B11943" s="41" t="s">
        <v>16</v>
      </c>
      <c r="C11943" s="41" t="s">
        <v>1495</v>
      </c>
      <c r="E11943" s="42">
        <v>900</v>
      </c>
      <c r="G11943" s="42">
        <f t="shared" si="192"/>
        <v>-900</v>
      </c>
      <c r="H11943" s="685" t="s">
        <v>7614</v>
      </c>
    </row>
    <row r="11944" spans="1:8" ht="15" x14ac:dyDescent="0.2">
      <c r="A11944" s="620">
        <v>44572</v>
      </c>
      <c r="B11944" s="122" t="s">
        <v>3946</v>
      </c>
      <c r="C11944" s="551" t="s">
        <v>3003</v>
      </c>
      <c r="D11944" s="893" t="s">
        <v>7626</v>
      </c>
      <c r="E11944" s="583">
        <v>21320</v>
      </c>
      <c r="F11944" s="123"/>
      <c r="G11944" s="123">
        <f t="shared" si="192"/>
        <v>-21320</v>
      </c>
      <c r="H11944" s="690" t="s">
        <v>7614</v>
      </c>
    </row>
    <row r="11945" spans="1:8" ht="15" x14ac:dyDescent="0.2">
      <c r="A11945" s="620">
        <v>44572</v>
      </c>
      <c r="B11945" s="122" t="s">
        <v>3945</v>
      </c>
      <c r="C11945" s="551" t="s">
        <v>3003</v>
      </c>
      <c r="D11945" s="893" t="s">
        <v>6789</v>
      </c>
      <c r="E11945" s="583">
        <v>16640</v>
      </c>
      <c r="F11945" s="123"/>
      <c r="G11945" s="123">
        <f t="shared" si="192"/>
        <v>-16640</v>
      </c>
      <c r="H11945" s="690" t="s">
        <v>7614</v>
      </c>
    </row>
    <row r="11946" spans="1:8" ht="15" customHeight="1" x14ac:dyDescent="0.2">
      <c r="A11946" s="620">
        <v>44572</v>
      </c>
      <c r="B11946" s="122" t="s">
        <v>37</v>
      </c>
      <c r="C11946" s="551" t="s">
        <v>3003</v>
      </c>
      <c r="D11946" s="893" t="s">
        <v>6789</v>
      </c>
      <c r="E11946" s="583">
        <v>46656</v>
      </c>
      <c r="F11946" s="123"/>
      <c r="G11946" s="123">
        <f t="shared" si="192"/>
        <v>-46656</v>
      </c>
      <c r="H11946" s="690" t="s">
        <v>7614</v>
      </c>
    </row>
    <row r="11947" spans="1:8" ht="15" customHeight="1" x14ac:dyDescent="0.2">
      <c r="A11947" s="620">
        <v>44572</v>
      </c>
      <c r="B11947" s="122" t="s">
        <v>6950</v>
      </c>
      <c r="C11947" s="551" t="s">
        <v>3003</v>
      </c>
      <c r="D11947" s="893" t="s">
        <v>6789</v>
      </c>
      <c r="E11947" s="583">
        <v>42770</v>
      </c>
      <c r="F11947" s="123"/>
      <c r="G11947" s="123">
        <f t="shared" si="192"/>
        <v>-42770</v>
      </c>
      <c r="H11947" s="690" t="s">
        <v>7614</v>
      </c>
    </row>
    <row r="11948" spans="1:8" ht="15" customHeight="1" x14ac:dyDescent="0.2">
      <c r="A11948" s="620">
        <v>44574</v>
      </c>
      <c r="B11948" s="122" t="s">
        <v>7067</v>
      </c>
      <c r="C11948" s="122" t="s">
        <v>7181</v>
      </c>
      <c r="D11948" s="812" t="s">
        <v>7627</v>
      </c>
      <c r="E11948" s="123">
        <v>150000</v>
      </c>
      <c r="F11948" s="123"/>
      <c r="G11948" s="123">
        <f t="shared" si="192"/>
        <v>-150000</v>
      </c>
      <c r="H11948" s="690" t="s">
        <v>7614</v>
      </c>
    </row>
    <row r="11949" spans="1:8" ht="15" x14ac:dyDescent="0.2">
      <c r="A11949" s="620">
        <v>44581</v>
      </c>
      <c r="B11949" s="122" t="s">
        <v>2933</v>
      </c>
      <c r="C11949" s="582" t="s">
        <v>6527</v>
      </c>
      <c r="D11949" s="893" t="s">
        <v>7628</v>
      </c>
      <c r="E11949" s="583">
        <v>108570</v>
      </c>
      <c r="F11949" s="123"/>
      <c r="G11949" s="123">
        <f t="shared" si="192"/>
        <v>-108570</v>
      </c>
      <c r="H11949" s="690" t="s">
        <v>7614</v>
      </c>
    </row>
    <row r="11950" spans="1:8" ht="15" x14ac:dyDescent="0.2">
      <c r="A11950" s="620">
        <v>44581</v>
      </c>
      <c r="B11950" s="122" t="s">
        <v>6408</v>
      </c>
      <c r="C11950" s="582" t="s">
        <v>6527</v>
      </c>
      <c r="D11950" s="893" t="s">
        <v>6789</v>
      </c>
      <c r="E11950" s="583">
        <v>11430</v>
      </c>
      <c r="F11950" s="123"/>
      <c r="G11950" s="123">
        <f t="shared" si="192"/>
        <v>-11430</v>
      </c>
      <c r="H11950" s="690" t="s">
        <v>7614</v>
      </c>
    </row>
    <row r="11951" spans="1:8" ht="15" x14ac:dyDescent="0.2">
      <c r="A11951" s="620">
        <v>44581</v>
      </c>
      <c r="B11951" s="122" t="s">
        <v>6518</v>
      </c>
      <c r="C11951" s="582" t="s">
        <v>6527</v>
      </c>
      <c r="D11951" s="893" t="s">
        <v>6789</v>
      </c>
      <c r="E11951" s="583">
        <v>50000</v>
      </c>
      <c r="F11951" s="123"/>
      <c r="G11951" s="123">
        <f t="shared" si="192"/>
        <v>-50000</v>
      </c>
      <c r="H11951" s="690" t="s">
        <v>7614</v>
      </c>
    </row>
    <row r="11952" spans="1:8" ht="15" x14ac:dyDescent="0.2">
      <c r="A11952" s="620">
        <v>44586</v>
      </c>
      <c r="B11952" s="122" t="s">
        <v>7555</v>
      </c>
      <c r="C11952" s="122" t="s">
        <v>1391</v>
      </c>
      <c r="D11952" s="812" t="s">
        <v>7629</v>
      </c>
      <c r="E11952" s="123">
        <v>220000</v>
      </c>
      <c r="F11952" s="123"/>
      <c r="G11952" s="123">
        <f t="shared" si="192"/>
        <v>-220000</v>
      </c>
      <c r="H11952" s="690" t="s">
        <v>7614</v>
      </c>
    </row>
    <row r="11953" spans="1:8" ht="15" x14ac:dyDescent="0.2">
      <c r="A11953" s="620">
        <v>44586</v>
      </c>
      <c r="B11953" s="122" t="s">
        <v>7067</v>
      </c>
      <c r="C11953" s="122" t="s">
        <v>3446</v>
      </c>
      <c r="D11953" s="812" t="s">
        <v>7630</v>
      </c>
      <c r="E11953" s="123">
        <v>100000</v>
      </c>
      <c r="F11953" s="123"/>
      <c r="G11953" s="123">
        <f t="shared" si="192"/>
        <v>-100000</v>
      </c>
      <c r="H11953" s="690" t="s">
        <v>7614</v>
      </c>
    </row>
    <row r="11954" spans="1:8" s="682" customFormat="1" ht="15" customHeight="1" x14ac:dyDescent="0.25">
      <c r="A11954" s="618">
        <v>44569</v>
      </c>
      <c r="B11954" s="94" t="s">
        <v>3946</v>
      </c>
      <c r="C11954" s="94" t="s">
        <v>559</v>
      </c>
      <c r="D11954" s="892" t="s">
        <v>7620</v>
      </c>
      <c r="E11954" s="176"/>
      <c r="F11954" s="176">
        <v>278226</v>
      </c>
      <c r="G11954" s="176">
        <f t="shared" si="192"/>
        <v>278226</v>
      </c>
      <c r="H11954" s="686" t="s">
        <v>7614</v>
      </c>
    </row>
    <row r="11955" spans="1:8" ht="15" x14ac:dyDescent="0.2">
      <c r="A11955" s="618">
        <v>44569</v>
      </c>
      <c r="B11955" s="91" t="s">
        <v>40</v>
      </c>
      <c r="C11955" s="94" t="s">
        <v>559</v>
      </c>
      <c r="D11955" s="801" t="s">
        <v>7622</v>
      </c>
      <c r="E11955" s="92"/>
      <c r="F11955" s="92">
        <v>423463</v>
      </c>
      <c r="G11955" s="176">
        <f t="shared" si="192"/>
        <v>423463</v>
      </c>
      <c r="H11955" s="686" t="s">
        <v>7614</v>
      </c>
    </row>
    <row r="11956" spans="1:8" ht="15" x14ac:dyDescent="0.2">
      <c r="A11956" s="618">
        <v>44581</v>
      </c>
      <c r="B11956" s="91" t="s">
        <v>3945</v>
      </c>
      <c r="C11956" s="94" t="s">
        <v>559</v>
      </c>
      <c r="D11956" s="801" t="s">
        <v>7623</v>
      </c>
      <c r="E11956" s="92"/>
      <c r="F11956" s="92">
        <v>171216</v>
      </c>
      <c r="G11956" s="92">
        <f t="shared" si="192"/>
        <v>171216</v>
      </c>
      <c r="H11956" s="686" t="s">
        <v>7614</v>
      </c>
    </row>
    <row r="11957" spans="1:8" ht="15" x14ac:dyDescent="0.2">
      <c r="A11957" s="618">
        <v>44581</v>
      </c>
      <c r="B11957" s="91" t="s">
        <v>3945</v>
      </c>
      <c r="C11957" s="94" t="s">
        <v>559</v>
      </c>
      <c r="D11957" s="801" t="s">
        <v>7624</v>
      </c>
      <c r="E11957" s="92"/>
      <c r="F11957" s="92">
        <v>171216</v>
      </c>
      <c r="G11957" s="92">
        <f t="shared" si="192"/>
        <v>171216</v>
      </c>
      <c r="H11957" s="686" t="s">
        <v>7614</v>
      </c>
    </row>
    <row r="11958" spans="1:8" ht="15" x14ac:dyDescent="0.2">
      <c r="A11958" s="618">
        <v>44581</v>
      </c>
      <c r="B11958" s="94" t="s">
        <v>7067</v>
      </c>
      <c r="C11958" s="94" t="s">
        <v>559</v>
      </c>
      <c r="D11958" s="892" t="s">
        <v>7625</v>
      </c>
      <c r="E11958" s="176"/>
      <c r="F11958" s="176">
        <v>1500000</v>
      </c>
      <c r="G11958" s="176">
        <f t="shared" si="192"/>
        <v>1500000</v>
      </c>
      <c r="H11958" s="686" t="s">
        <v>7614</v>
      </c>
    </row>
    <row r="11959" spans="1:8" ht="15" x14ac:dyDescent="0.2">
      <c r="A11959" s="618">
        <v>44581</v>
      </c>
      <c r="B11959" s="94" t="s">
        <v>7067</v>
      </c>
      <c r="C11959" s="94" t="s">
        <v>559</v>
      </c>
      <c r="D11959" s="892" t="s">
        <v>7625</v>
      </c>
      <c r="E11959" s="176"/>
      <c r="F11959" s="176">
        <v>1500000</v>
      </c>
      <c r="G11959" s="176">
        <f t="shared" si="192"/>
        <v>1500000</v>
      </c>
      <c r="H11959" s="686" t="s">
        <v>7614</v>
      </c>
    </row>
    <row r="11960" spans="1:8" ht="15" x14ac:dyDescent="0.2">
      <c r="A11960" s="618">
        <v>44581</v>
      </c>
      <c r="B11960" s="94" t="s">
        <v>7067</v>
      </c>
      <c r="C11960" s="94" t="s">
        <v>559</v>
      </c>
      <c r="D11960" s="892" t="s">
        <v>7625</v>
      </c>
      <c r="E11960" s="176"/>
      <c r="F11960" s="176">
        <v>1000000</v>
      </c>
      <c r="G11960" s="176">
        <f t="shared" si="192"/>
        <v>1000000</v>
      </c>
      <c r="H11960" s="686" t="s">
        <v>7614</v>
      </c>
    </row>
    <row r="11961" spans="1:8" ht="15" x14ac:dyDescent="0.2">
      <c r="A11961" s="618">
        <v>44581</v>
      </c>
      <c r="B11961" s="94" t="s">
        <v>7067</v>
      </c>
      <c r="C11961" s="94" t="s">
        <v>559</v>
      </c>
      <c r="D11961" s="892" t="s">
        <v>7625</v>
      </c>
      <c r="E11961" s="176"/>
      <c r="F11961" s="176">
        <v>1158905</v>
      </c>
      <c r="G11961" s="176">
        <f t="shared" si="192"/>
        <v>1158905</v>
      </c>
      <c r="H11961" s="686" t="s">
        <v>7614</v>
      </c>
    </row>
    <row r="11962" spans="1:8" ht="15" x14ac:dyDescent="0.2">
      <c r="A11962" s="618">
        <v>44588</v>
      </c>
      <c r="B11962" s="94" t="s">
        <v>37</v>
      </c>
      <c r="C11962" s="94" t="s">
        <v>559</v>
      </c>
      <c r="D11962" s="892" t="s">
        <v>7631</v>
      </c>
      <c r="E11962" s="176"/>
      <c r="F11962" s="176">
        <v>188568</v>
      </c>
      <c r="G11962" s="176">
        <f t="shared" si="192"/>
        <v>188568</v>
      </c>
      <c r="H11962" s="686" t="s">
        <v>7614</v>
      </c>
    </row>
    <row r="11963" spans="1:8" ht="15" x14ac:dyDescent="0.2">
      <c r="A11963" s="619">
        <v>44593</v>
      </c>
      <c r="B11963" s="63" t="s">
        <v>25</v>
      </c>
      <c r="C11963" s="63" t="s">
        <v>2428</v>
      </c>
      <c r="D11963" s="791" t="s">
        <v>7646</v>
      </c>
      <c r="E11963" s="126">
        <v>43420</v>
      </c>
      <c r="F11963" s="126"/>
      <c r="G11963" s="126">
        <f t="shared" si="192"/>
        <v>-43420</v>
      </c>
      <c r="H11963" s="685" t="s">
        <v>7645</v>
      </c>
    </row>
    <row r="11964" spans="1:8" ht="15" x14ac:dyDescent="0.2">
      <c r="A11964" s="619">
        <v>44593</v>
      </c>
      <c r="B11964" s="63" t="s">
        <v>7067</v>
      </c>
      <c r="C11964" s="63" t="s">
        <v>286</v>
      </c>
      <c r="D11964" s="791" t="s">
        <v>2431</v>
      </c>
      <c r="E11964" s="126">
        <v>1000</v>
      </c>
      <c r="F11964" s="126"/>
      <c r="G11964" s="126">
        <f t="shared" si="192"/>
        <v>-1000</v>
      </c>
      <c r="H11964" s="685" t="s">
        <v>7645</v>
      </c>
    </row>
    <row r="11965" spans="1:8" ht="15" x14ac:dyDescent="0.2">
      <c r="A11965" s="619">
        <v>44593</v>
      </c>
      <c r="B11965" s="63" t="s">
        <v>7657</v>
      </c>
      <c r="C11965" s="63" t="s">
        <v>392</v>
      </c>
      <c r="D11965" s="791" t="s">
        <v>6641</v>
      </c>
      <c r="E11965" s="126">
        <v>5050</v>
      </c>
      <c r="F11965" s="126"/>
      <c r="G11965" s="126">
        <f t="shared" si="192"/>
        <v>-5050</v>
      </c>
      <c r="H11965" s="685" t="s">
        <v>7645</v>
      </c>
    </row>
    <row r="11966" spans="1:8" ht="15" x14ac:dyDescent="0.2">
      <c r="A11966" s="619">
        <v>44596</v>
      </c>
      <c r="B11966" s="63" t="s">
        <v>7067</v>
      </c>
      <c r="C11966" s="63" t="s">
        <v>286</v>
      </c>
      <c r="D11966" s="791" t="s">
        <v>2431</v>
      </c>
      <c r="E11966" s="126">
        <v>500</v>
      </c>
      <c r="F11966" s="126"/>
      <c r="G11966" s="126">
        <f t="shared" si="192"/>
        <v>-500</v>
      </c>
      <c r="H11966" s="685" t="s">
        <v>7645</v>
      </c>
    </row>
    <row r="11967" spans="1:8" ht="15" x14ac:dyDescent="0.2">
      <c r="A11967" s="619">
        <v>44596</v>
      </c>
      <c r="B11967" s="63" t="s">
        <v>2933</v>
      </c>
      <c r="C11967" s="63" t="s">
        <v>392</v>
      </c>
      <c r="D11967" s="791" t="s">
        <v>6386</v>
      </c>
      <c r="E11967" s="126">
        <v>1470</v>
      </c>
      <c r="F11967" s="126"/>
      <c r="G11967" s="126">
        <f t="shared" si="192"/>
        <v>-1470</v>
      </c>
      <c r="H11967" s="685" t="s">
        <v>7645</v>
      </c>
    </row>
    <row r="11968" spans="1:8" ht="15" x14ac:dyDescent="0.2">
      <c r="A11968" s="619">
        <v>44599</v>
      </c>
      <c r="B11968" s="63" t="s">
        <v>7067</v>
      </c>
      <c r="C11968" s="63" t="s">
        <v>3145</v>
      </c>
      <c r="D11968" s="791" t="s">
        <v>7647</v>
      </c>
      <c r="E11968" s="126">
        <v>34000</v>
      </c>
      <c r="F11968" s="126"/>
      <c r="G11968" s="126">
        <f t="shared" si="192"/>
        <v>-34000</v>
      </c>
      <c r="H11968" s="685" t="s">
        <v>7645</v>
      </c>
    </row>
    <row r="11969" spans="1:8" ht="15" x14ac:dyDescent="0.2">
      <c r="A11969" s="619">
        <v>44599</v>
      </c>
      <c r="B11969" s="63" t="s">
        <v>7067</v>
      </c>
      <c r="C11969" s="63" t="s">
        <v>392</v>
      </c>
      <c r="D11969" s="791" t="s">
        <v>7648</v>
      </c>
      <c r="E11969" s="126">
        <v>710</v>
      </c>
      <c r="F11969" s="126"/>
      <c r="G11969" s="126">
        <f t="shared" si="192"/>
        <v>-710</v>
      </c>
      <c r="H11969" s="685" t="s">
        <v>7645</v>
      </c>
    </row>
    <row r="11970" spans="1:8" ht="15" x14ac:dyDescent="0.2">
      <c r="A11970" s="619">
        <v>44599</v>
      </c>
      <c r="B11970" s="63" t="s">
        <v>7555</v>
      </c>
      <c r="C11970" s="551" t="s">
        <v>3145</v>
      </c>
      <c r="D11970" s="904" t="s">
        <v>4966</v>
      </c>
      <c r="E11970" s="552">
        <v>1740</v>
      </c>
      <c r="F11970" s="126"/>
      <c r="G11970" s="126">
        <f t="shared" si="192"/>
        <v>-1740</v>
      </c>
      <c r="H11970" s="685" t="s">
        <v>7645</v>
      </c>
    </row>
    <row r="11971" spans="1:8" ht="15" x14ac:dyDescent="0.2">
      <c r="A11971" s="619">
        <v>44599</v>
      </c>
      <c r="B11971" s="63" t="s">
        <v>7657</v>
      </c>
      <c r="C11971" s="551" t="s">
        <v>3145</v>
      </c>
      <c r="D11971" s="904" t="s">
        <v>4966</v>
      </c>
      <c r="E11971" s="552">
        <v>1740</v>
      </c>
      <c r="F11971" s="126"/>
      <c r="G11971" s="126">
        <f t="shared" si="192"/>
        <v>-1740</v>
      </c>
      <c r="H11971" s="685" t="s">
        <v>7645</v>
      </c>
    </row>
    <row r="11972" spans="1:8" ht="15" x14ac:dyDescent="0.2">
      <c r="A11972" s="619">
        <v>44599</v>
      </c>
      <c r="B11972" s="63" t="s">
        <v>1691</v>
      </c>
      <c r="C11972" s="63" t="s">
        <v>392</v>
      </c>
      <c r="D11972" s="791" t="s">
        <v>7395</v>
      </c>
      <c r="E11972" s="126">
        <v>18760</v>
      </c>
      <c r="F11972" s="126"/>
      <c r="G11972" s="126">
        <f t="shared" si="192"/>
        <v>-18760</v>
      </c>
      <c r="H11972" s="685" t="s">
        <v>7645</v>
      </c>
    </row>
    <row r="11973" spans="1:8" ht="15" x14ac:dyDescent="0.2">
      <c r="A11973" s="619">
        <v>44599</v>
      </c>
      <c r="B11973" s="63" t="s">
        <v>6505</v>
      </c>
      <c r="C11973" s="63" t="s">
        <v>2190</v>
      </c>
      <c r="D11973" s="791" t="s">
        <v>7649</v>
      </c>
      <c r="E11973" s="126">
        <v>3680</v>
      </c>
      <c r="F11973" s="126"/>
      <c r="G11973" s="126">
        <f t="shared" ref="G11973:G12036" si="193">F11973-E11973</f>
        <v>-3680</v>
      </c>
      <c r="H11973" s="685" t="s">
        <v>7645</v>
      </c>
    </row>
    <row r="11974" spans="1:8" ht="24" x14ac:dyDescent="0.2">
      <c r="A11974" s="619">
        <v>44599</v>
      </c>
      <c r="B11974" s="63" t="s">
        <v>7067</v>
      </c>
      <c r="C11974" s="63" t="s">
        <v>3145</v>
      </c>
      <c r="D11974" s="183" t="s">
        <v>7650</v>
      </c>
      <c r="E11974" s="126">
        <v>56500</v>
      </c>
      <c r="F11974" s="126"/>
      <c r="G11974" s="126">
        <f t="shared" si="193"/>
        <v>-56500</v>
      </c>
      <c r="H11974" s="685" t="s">
        <v>7645</v>
      </c>
    </row>
    <row r="11975" spans="1:8" ht="15" x14ac:dyDescent="0.2">
      <c r="A11975" s="619">
        <v>44599</v>
      </c>
      <c r="B11975" s="63" t="s">
        <v>7067</v>
      </c>
      <c r="C11975" s="63" t="s">
        <v>3145</v>
      </c>
      <c r="D11975" s="791" t="s">
        <v>7651</v>
      </c>
      <c r="E11975" s="126">
        <v>13150</v>
      </c>
      <c r="F11975" s="126"/>
      <c r="G11975" s="126">
        <f t="shared" si="193"/>
        <v>-13150</v>
      </c>
      <c r="H11975" s="685" t="s">
        <v>7645</v>
      </c>
    </row>
    <row r="11976" spans="1:8" ht="15" x14ac:dyDescent="0.2">
      <c r="A11976" s="619">
        <v>44599</v>
      </c>
      <c r="B11976" s="63" t="s">
        <v>7657</v>
      </c>
      <c r="C11976" s="63" t="s">
        <v>5741</v>
      </c>
      <c r="D11976" s="791" t="s">
        <v>7652</v>
      </c>
      <c r="E11976" s="126">
        <v>500</v>
      </c>
      <c r="F11976" s="126"/>
      <c r="G11976" s="126">
        <f t="shared" si="193"/>
        <v>-500</v>
      </c>
      <c r="H11976" s="685" t="s">
        <v>7645</v>
      </c>
    </row>
    <row r="11977" spans="1:8" ht="15" x14ac:dyDescent="0.2">
      <c r="A11977" s="619">
        <v>44599</v>
      </c>
      <c r="B11977" s="63" t="s">
        <v>16</v>
      </c>
      <c r="C11977" s="63" t="s">
        <v>2996</v>
      </c>
      <c r="D11977" s="791"/>
      <c r="E11977" s="126">
        <v>25000</v>
      </c>
      <c r="F11977" s="126"/>
      <c r="G11977" s="126">
        <f t="shared" si="193"/>
        <v>-25000</v>
      </c>
      <c r="H11977" s="685" t="s">
        <v>7645</v>
      </c>
    </row>
    <row r="11978" spans="1:8" ht="15" customHeight="1" x14ac:dyDescent="0.2">
      <c r="A11978" s="619">
        <v>44599</v>
      </c>
      <c r="B11978" s="63" t="s">
        <v>6505</v>
      </c>
      <c r="C11978" s="63" t="s">
        <v>1063</v>
      </c>
      <c r="D11978" s="791" t="s">
        <v>7661</v>
      </c>
      <c r="E11978" s="126">
        <v>18500</v>
      </c>
      <c r="F11978" s="126"/>
      <c r="G11978" s="126">
        <f t="shared" si="193"/>
        <v>-18500</v>
      </c>
      <c r="H11978" s="685" t="s">
        <v>7645</v>
      </c>
    </row>
    <row r="11979" spans="1:8" ht="15" x14ac:dyDescent="0.2">
      <c r="A11979" s="619">
        <v>44600</v>
      </c>
      <c r="B11979" s="63" t="s">
        <v>7067</v>
      </c>
      <c r="C11979" s="551" t="s">
        <v>3145</v>
      </c>
      <c r="D11979" s="904" t="s">
        <v>7662</v>
      </c>
      <c r="E11979" s="552">
        <v>2700</v>
      </c>
      <c r="F11979" s="126"/>
      <c r="G11979" s="126">
        <f t="shared" si="193"/>
        <v>-2700</v>
      </c>
      <c r="H11979" s="685" t="s">
        <v>7645</v>
      </c>
    </row>
    <row r="11980" spans="1:8" ht="15" x14ac:dyDescent="0.2">
      <c r="A11980" s="619">
        <v>44600</v>
      </c>
      <c r="B11980" s="63" t="s">
        <v>6408</v>
      </c>
      <c r="C11980" s="551" t="s">
        <v>3145</v>
      </c>
      <c r="D11980" s="904" t="s">
        <v>7662</v>
      </c>
      <c r="E11980" s="552">
        <v>17534</v>
      </c>
      <c r="F11980" s="126"/>
      <c r="G11980" s="126">
        <f t="shared" si="193"/>
        <v>-17534</v>
      </c>
      <c r="H11980" s="685" t="s">
        <v>7645</v>
      </c>
    </row>
    <row r="11981" spans="1:8" ht="15" x14ac:dyDescent="0.2">
      <c r="A11981" s="619">
        <v>44600</v>
      </c>
      <c r="B11981" s="63" t="s">
        <v>7657</v>
      </c>
      <c r="C11981" s="63" t="s">
        <v>392</v>
      </c>
      <c r="D11981" s="791" t="s">
        <v>600</v>
      </c>
      <c r="E11981" s="126">
        <v>150</v>
      </c>
      <c r="F11981" s="126"/>
      <c r="G11981" s="126">
        <f t="shared" si="193"/>
        <v>-150</v>
      </c>
      <c r="H11981" s="685" t="s">
        <v>7645</v>
      </c>
    </row>
    <row r="11982" spans="1:8" ht="15" x14ac:dyDescent="0.2">
      <c r="A11982" s="619">
        <v>44600</v>
      </c>
      <c r="B11982" s="63" t="s">
        <v>6408</v>
      </c>
      <c r="C11982" s="63" t="s">
        <v>6832</v>
      </c>
      <c r="D11982" s="791" t="s">
        <v>7663</v>
      </c>
      <c r="E11982" s="126">
        <v>40000</v>
      </c>
      <c r="F11982" s="126"/>
      <c r="G11982" s="126">
        <f t="shared" si="193"/>
        <v>-40000</v>
      </c>
      <c r="H11982" s="685" t="s">
        <v>7645</v>
      </c>
    </row>
    <row r="11983" spans="1:8" ht="15" x14ac:dyDescent="0.2">
      <c r="A11983" s="619">
        <v>44602</v>
      </c>
      <c r="B11983" s="63" t="s">
        <v>7112</v>
      </c>
      <c r="C11983" s="63" t="s">
        <v>6476</v>
      </c>
      <c r="D11983" s="791" t="s">
        <v>7664</v>
      </c>
      <c r="E11983" s="126">
        <v>5000</v>
      </c>
      <c r="F11983" s="126"/>
      <c r="G11983" s="126">
        <f t="shared" si="193"/>
        <v>-5000</v>
      </c>
      <c r="H11983" s="685" t="s">
        <v>7645</v>
      </c>
    </row>
    <row r="11984" spans="1:8" ht="15" x14ac:dyDescent="0.2">
      <c r="A11984" s="619">
        <v>44602</v>
      </c>
      <c r="B11984" s="63" t="s">
        <v>6408</v>
      </c>
      <c r="C11984" s="63" t="s">
        <v>6763</v>
      </c>
      <c r="D11984" s="791" t="s">
        <v>7665</v>
      </c>
      <c r="E11984" s="126">
        <v>36000</v>
      </c>
      <c r="F11984" s="126"/>
      <c r="G11984" s="126">
        <f t="shared" si="193"/>
        <v>-36000</v>
      </c>
      <c r="H11984" s="685" t="s">
        <v>7645</v>
      </c>
    </row>
    <row r="11985" spans="1:8" ht="15" customHeight="1" x14ac:dyDescent="0.2">
      <c r="A11985" s="619">
        <v>44602</v>
      </c>
      <c r="B11985" s="63" t="s">
        <v>1691</v>
      </c>
      <c r="C11985" s="63" t="s">
        <v>7666</v>
      </c>
      <c r="D11985" s="791" t="s">
        <v>7667</v>
      </c>
      <c r="E11985" s="126">
        <v>4500</v>
      </c>
      <c r="F11985" s="126"/>
      <c r="G11985" s="126">
        <f t="shared" si="193"/>
        <v>-4500</v>
      </c>
      <c r="H11985" s="685" t="s">
        <v>7645</v>
      </c>
    </row>
    <row r="11986" spans="1:8" ht="15" customHeight="1" x14ac:dyDescent="0.2">
      <c r="A11986" s="619">
        <v>44602</v>
      </c>
      <c r="B11986" s="63" t="s">
        <v>1400</v>
      </c>
      <c r="C11986" s="63" t="s">
        <v>3145</v>
      </c>
      <c r="D11986" s="791" t="s">
        <v>5257</v>
      </c>
      <c r="E11986" s="126">
        <v>4000</v>
      </c>
      <c r="F11986" s="126"/>
      <c r="G11986" s="126">
        <f t="shared" si="193"/>
        <v>-4000</v>
      </c>
      <c r="H11986" s="685" t="s">
        <v>7645</v>
      </c>
    </row>
    <row r="11987" spans="1:8" ht="15" customHeight="1" x14ac:dyDescent="0.2">
      <c r="A11987" s="619">
        <v>44602</v>
      </c>
      <c r="B11987" s="63" t="s">
        <v>37</v>
      </c>
      <c r="C11987" s="63" t="s">
        <v>3145</v>
      </c>
      <c r="D11987" s="791" t="s">
        <v>5257</v>
      </c>
      <c r="E11987" s="126">
        <v>3000</v>
      </c>
      <c r="F11987" s="126"/>
      <c r="G11987" s="126">
        <f t="shared" si="193"/>
        <v>-3000</v>
      </c>
      <c r="H11987" s="685" t="s">
        <v>7645</v>
      </c>
    </row>
    <row r="11988" spans="1:8" ht="15" customHeight="1" x14ac:dyDescent="0.2">
      <c r="A11988" s="619">
        <v>44602</v>
      </c>
      <c r="B11988" s="63" t="s">
        <v>7657</v>
      </c>
      <c r="C11988" s="63" t="s">
        <v>3145</v>
      </c>
      <c r="D11988" s="791" t="s">
        <v>5257</v>
      </c>
      <c r="E11988" s="126">
        <v>3000</v>
      </c>
      <c r="F11988" s="126"/>
      <c r="G11988" s="126">
        <f t="shared" si="193"/>
        <v>-3000</v>
      </c>
      <c r="H11988" s="685" t="s">
        <v>7645</v>
      </c>
    </row>
    <row r="11989" spans="1:8" ht="15" x14ac:dyDescent="0.2">
      <c r="A11989" s="619">
        <v>44604</v>
      </c>
      <c r="B11989" s="63" t="s">
        <v>7067</v>
      </c>
      <c r="C11989" s="63" t="s">
        <v>2190</v>
      </c>
      <c r="D11989" s="791"/>
      <c r="E11989" s="126">
        <v>4080</v>
      </c>
      <c r="F11989" s="126"/>
      <c r="G11989" s="126">
        <f t="shared" si="193"/>
        <v>-4080</v>
      </c>
      <c r="H11989" s="685" t="s">
        <v>7645</v>
      </c>
    </row>
    <row r="11990" spans="1:8" ht="15" x14ac:dyDescent="0.2">
      <c r="A11990" s="619">
        <v>44604</v>
      </c>
      <c r="B11990" s="63" t="s">
        <v>6505</v>
      </c>
      <c r="C11990" s="63" t="s">
        <v>6445</v>
      </c>
      <c r="D11990" s="791" t="s">
        <v>7397</v>
      </c>
      <c r="E11990" s="126">
        <v>1000</v>
      </c>
      <c r="F11990" s="126"/>
      <c r="G11990" s="126">
        <f t="shared" si="193"/>
        <v>-1000</v>
      </c>
      <c r="H11990" s="685" t="s">
        <v>7645</v>
      </c>
    </row>
    <row r="11991" spans="1:8" ht="15" x14ac:dyDescent="0.2">
      <c r="A11991" s="619">
        <v>44604</v>
      </c>
      <c r="B11991" s="63" t="s">
        <v>6408</v>
      </c>
      <c r="C11991" s="63" t="s">
        <v>6832</v>
      </c>
      <c r="D11991" s="791" t="s">
        <v>7668</v>
      </c>
      <c r="E11991" s="126">
        <v>9800</v>
      </c>
      <c r="F11991" s="126"/>
      <c r="G11991" s="126">
        <f t="shared" si="193"/>
        <v>-9800</v>
      </c>
      <c r="H11991" s="685" t="s">
        <v>7645</v>
      </c>
    </row>
    <row r="11992" spans="1:8" ht="15" customHeight="1" x14ac:dyDescent="0.2">
      <c r="A11992" s="619">
        <v>44606</v>
      </c>
      <c r="B11992" s="63" t="s">
        <v>3946</v>
      </c>
      <c r="C11992" s="63" t="s">
        <v>6476</v>
      </c>
      <c r="D11992" s="791" t="s">
        <v>7669</v>
      </c>
      <c r="E11992" s="126">
        <v>10000</v>
      </c>
      <c r="F11992" s="126"/>
      <c r="G11992" s="126">
        <f t="shared" si="193"/>
        <v>-10000</v>
      </c>
      <c r="H11992" s="685" t="s">
        <v>7645</v>
      </c>
    </row>
    <row r="11993" spans="1:8" ht="15" customHeight="1" x14ac:dyDescent="0.2">
      <c r="A11993" s="619">
        <v>44608</v>
      </c>
      <c r="B11993" s="63" t="s">
        <v>25</v>
      </c>
      <c r="C11993" s="551" t="s">
        <v>1689</v>
      </c>
      <c r="D11993" s="904" t="s">
        <v>7590</v>
      </c>
      <c r="E11993" s="552">
        <v>5900</v>
      </c>
      <c r="F11993" s="126"/>
      <c r="G11993" s="126">
        <f t="shared" si="193"/>
        <v>-5900</v>
      </c>
      <c r="H11993" s="685" t="s">
        <v>7645</v>
      </c>
    </row>
    <row r="11994" spans="1:8" ht="15" x14ac:dyDescent="0.2">
      <c r="A11994" s="619">
        <v>44608</v>
      </c>
      <c r="B11994" s="63" t="s">
        <v>16</v>
      </c>
      <c r="C11994" s="551" t="s">
        <v>1689</v>
      </c>
      <c r="D11994" s="904" t="s">
        <v>7590</v>
      </c>
      <c r="E11994" s="552">
        <v>2260</v>
      </c>
      <c r="F11994" s="126"/>
      <c r="G11994" s="126">
        <f t="shared" si="193"/>
        <v>-2260</v>
      </c>
      <c r="H11994" s="685" t="s">
        <v>7645</v>
      </c>
    </row>
    <row r="11995" spans="1:8" ht="15" x14ac:dyDescent="0.2">
      <c r="A11995" s="619">
        <v>44608</v>
      </c>
      <c r="B11995" s="63" t="s">
        <v>37</v>
      </c>
      <c r="C11995" s="63" t="s">
        <v>392</v>
      </c>
      <c r="D11995" s="791" t="s">
        <v>7670</v>
      </c>
      <c r="E11995" s="126">
        <v>150</v>
      </c>
      <c r="F11995" s="126"/>
      <c r="G11995" s="126">
        <f t="shared" si="193"/>
        <v>-150</v>
      </c>
      <c r="H11995" s="685" t="s">
        <v>7645</v>
      </c>
    </row>
    <row r="11996" spans="1:8" ht="15" x14ac:dyDescent="0.2">
      <c r="A11996" s="619">
        <v>44610</v>
      </c>
      <c r="B11996" s="63" t="s">
        <v>6408</v>
      </c>
      <c r="C11996" s="63" t="s">
        <v>6832</v>
      </c>
      <c r="D11996" s="791" t="s">
        <v>7685</v>
      </c>
      <c r="E11996" s="126">
        <v>43900</v>
      </c>
      <c r="F11996" s="126"/>
      <c r="G11996" s="126">
        <f t="shared" si="193"/>
        <v>-43900</v>
      </c>
      <c r="H11996" s="685" t="s">
        <v>7645</v>
      </c>
    </row>
    <row r="11997" spans="1:8" ht="15" x14ac:dyDescent="0.2">
      <c r="A11997" s="619">
        <v>44610</v>
      </c>
      <c r="B11997" s="63" t="s">
        <v>2933</v>
      </c>
      <c r="C11997" s="63" t="s">
        <v>392</v>
      </c>
      <c r="D11997" s="791" t="s">
        <v>5755</v>
      </c>
      <c r="E11997" s="126">
        <v>2080</v>
      </c>
      <c r="F11997" s="126"/>
      <c r="G11997" s="126">
        <f t="shared" si="193"/>
        <v>-2080</v>
      </c>
      <c r="H11997" s="685" t="s">
        <v>7645</v>
      </c>
    </row>
    <row r="11998" spans="1:8" ht="15" x14ac:dyDescent="0.2">
      <c r="A11998" s="619">
        <v>44613</v>
      </c>
      <c r="B11998" s="63" t="s">
        <v>7112</v>
      </c>
      <c r="C11998" s="63" t="s">
        <v>1896</v>
      </c>
      <c r="D11998" s="791" t="s">
        <v>7686</v>
      </c>
      <c r="E11998" s="126">
        <v>3000</v>
      </c>
      <c r="F11998" s="126"/>
      <c r="G11998" s="126">
        <f t="shared" si="193"/>
        <v>-3000</v>
      </c>
      <c r="H11998" s="685" t="s">
        <v>7645</v>
      </c>
    </row>
    <row r="11999" spans="1:8" ht="15" x14ac:dyDescent="0.2">
      <c r="A11999" s="619">
        <v>44614</v>
      </c>
      <c r="B11999" s="63" t="s">
        <v>7112</v>
      </c>
      <c r="C11999" s="63" t="s">
        <v>6476</v>
      </c>
      <c r="D11999" s="791" t="s">
        <v>7687</v>
      </c>
      <c r="E11999" s="126">
        <v>5000</v>
      </c>
      <c r="F11999" s="126"/>
      <c r="G11999" s="126">
        <f t="shared" si="193"/>
        <v>-5000</v>
      </c>
      <c r="H11999" s="685" t="s">
        <v>7645</v>
      </c>
    </row>
    <row r="12000" spans="1:8" ht="15" x14ac:dyDescent="0.2">
      <c r="A12000" s="619">
        <v>44614</v>
      </c>
      <c r="B12000" s="63" t="s">
        <v>7657</v>
      </c>
      <c r="C12000" s="63" t="s">
        <v>3292</v>
      </c>
      <c r="D12000" s="791" t="s">
        <v>7686</v>
      </c>
      <c r="E12000" s="126">
        <v>5000</v>
      </c>
      <c r="F12000" s="126"/>
      <c r="G12000" s="126">
        <f t="shared" si="193"/>
        <v>-5000</v>
      </c>
      <c r="H12000" s="685" t="s">
        <v>7645</v>
      </c>
    </row>
    <row r="12001" spans="1:8" ht="15" x14ac:dyDescent="0.2">
      <c r="A12001" s="619">
        <v>44614</v>
      </c>
      <c r="B12001" s="63" t="s">
        <v>7067</v>
      </c>
      <c r="C12001" s="63" t="s">
        <v>3145</v>
      </c>
      <c r="D12001" s="791" t="s">
        <v>4291</v>
      </c>
      <c r="E12001" s="126">
        <v>2300</v>
      </c>
      <c r="F12001" s="126"/>
      <c r="G12001" s="126">
        <f t="shared" si="193"/>
        <v>-2300</v>
      </c>
      <c r="H12001" s="685" t="s">
        <v>7645</v>
      </c>
    </row>
    <row r="12002" spans="1:8" ht="15" x14ac:dyDescent="0.2">
      <c r="A12002" s="619">
        <v>44614</v>
      </c>
      <c r="B12002" s="63" t="s">
        <v>7657</v>
      </c>
      <c r="C12002" s="63" t="s">
        <v>3145</v>
      </c>
      <c r="D12002" s="791" t="s">
        <v>4291</v>
      </c>
      <c r="E12002" s="126">
        <v>17840</v>
      </c>
      <c r="F12002" s="126"/>
      <c r="G12002" s="126">
        <f t="shared" si="193"/>
        <v>-17840</v>
      </c>
      <c r="H12002" s="685" t="s">
        <v>7645</v>
      </c>
    </row>
    <row r="12003" spans="1:8" ht="15" x14ac:dyDescent="0.2">
      <c r="A12003" s="619">
        <v>44615</v>
      </c>
      <c r="B12003" s="63" t="s">
        <v>16</v>
      </c>
      <c r="C12003" s="63" t="s">
        <v>3364</v>
      </c>
      <c r="D12003" s="791"/>
      <c r="E12003" s="126">
        <v>4660</v>
      </c>
      <c r="F12003" s="126"/>
      <c r="G12003" s="126">
        <f t="shared" si="193"/>
        <v>-4660</v>
      </c>
      <c r="H12003" s="685" t="s">
        <v>7645</v>
      </c>
    </row>
    <row r="12004" spans="1:8" ht="15" x14ac:dyDescent="0.2">
      <c r="A12004" s="619">
        <v>44615</v>
      </c>
      <c r="B12004" s="63" t="s">
        <v>16</v>
      </c>
      <c r="C12004" s="63" t="s">
        <v>5410</v>
      </c>
      <c r="D12004" s="791" t="s">
        <v>7688</v>
      </c>
      <c r="E12004" s="126">
        <v>5000</v>
      </c>
      <c r="F12004" s="126"/>
      <c r="G12004" s="126">
        <f t="shared" si="193"/>
        <v>-5000</v>
      </c>
      <c r="H12004" s="685" t="s">
        <v>7645</v>
      </c>
    </row>
    <row r="12005" spans="1:8" ht="15" x14ac:dyDescent="0.2">
      <c r="A12005" s="619">
        <v>44615</v>
      </c>
      <c r="B12005" s="63" t="s">
        <v>16</v>
      </c>
      <c r="C12005" s="63" t="s">
        <v>5410</v>
      </c>
      <c r="D12005" s="791" t="s">
        <v>7688</v>
      </c>
      <c r="E12005" s="126">
        <v>5000</v>
      </c>
      <c r="F12005" s="126"/>
      <c r="G12005" s="126">
        <f t="shared" si="193"/>
        <v>-5000</v>
      </c>
      <c r="H12005" s="685" t="s">
        <v>7645</v>
      </c>
    </row>
    <row r="12006" spans="1:8" ht="15" x14ac:dyDescent="0.2">
      <c r="A12006" s="619">
        <v>44615</v>
      </c>
      <c r="B12006" s="63" t="s">
        <v>7112</v>
      </c>
      <c r="C12006" s="63" t="s">
        <v>1896</v>
      </c>
      <c r="D12006" s="791" t="s">
        <v>7689</v>
      </c>
      <c r="E12006" s="126">
        <v>20000</v>
      </c>
      <c r="F12006" s="126"/>
      <c r="G12006" s="126">
        <f t="shared" si="193"/>
        <v>-20000</v>
      </c>
      <c r="H12006" s="685" t="s">
        <v>7645</v>
      </c>
    </row>
    <row r="12007" spans="1:8" ht="15" x14ac:dyDescent="0.2">
      <c r="A12007" s="619">
        <v>44615</v>
      </c>
      <c r="B12007" s="63" t="s">
        <v>11</v>
      </c>
      <c r="C12007" s="63" t="s">
        <v>6350</v>
      </c>
      <c r="D12007" s="791" t="s">
        <v>7690</v>
      </c>
      <c r="E12007" s="126">
        <v>20000</v>
      </c>
      <c r="F12007" s="126"/>
      <c r="G12007" s="126">
        <f t="shared" si="193"/>
        <v>-20000</v>
      </c>
      <c r="H12007" s="685" t="s">
        <v>7645</v>
      </c>
    </row>
    <row r="12008" spans="1:8" ht="15" x14ac:dyDescent="0.2">
      <c r="A12008" s="619">
        <v>44615</v>
      </c>
      <c r="B12008" s="63" t="s">
        <v>6505</v>
      </c>
      <c r="C12008" s="63" t="s">
        <v>6852</v>
      </c>
      <c r="D12008" s="791" t="s">
        <v>3361</v>
      </c>
      <c r="E12008" s="126">
        <v>25000</v>
      </c>
      <c r="F12008" s="126"/>
      <c r="G12008" s="126">
        <f t="shared" si="193"/>
        <v>-25000</v>
      </c>
      <c r="H12008" s="685" t="s">
        <v>7645</v>
      </c>
    </row>
    <row r="12009" spans="1:8" ht="15" x14ac:dyDescent="0.2">
      <c r="A12009" s="619">
        <v>44616</v>
      </c>
      <c r="B12009" s="63" t="s">
        <v>7112</v>
      </c>
      <c r="C12009" s="63" t="s">
        <v>3145</v>
      </c>
      <c r="D12009" s="791" t="s">
        <v>7691</v>
      </c>
      <c r="E12009" s="126">
        <v>49780</v>
      </c>
      <c r="F12009" s="126"/>
      <c r="G12009" s="126">
        <f t="shared" si="193"/>
        <v>-49780</v>
      </c>
      <c r="H12009" s="685" t="s">
        <v>7645</v>
      </c>
    </row>
    <row r="12010" spans="1:8" ht="15" x14ac:dyDescent="0.2">
      <c r="A12010" s="619">
        <v>44616</v>
      </c>
      <c r="B12010" s="63" t="s">
        <v>37</v>
      </c>
      <c r="C12010" s="63" t="s">
        <v>3145</v>
      </c>
      <c r="D12010" s="791" t="s">
        <v>7238</v>
      </c>
      <c r="E12010" s="126">
        <v>46680</v>
      </c>
      <c r="F12010" s="126"/>
      <c r="G12010" s="126">
        <f t="shared" si="193"/>
        <v>-46680</v>
      </c>
      <c r="H12010" s="685" t="s">
        <v>7645</v>
      </c>
    </row>
    <row r="12011" spans="1:8" ht="15" x14ac:dyDescent="0.2">
      <c r="A12011" s="619">
        <v>44616</v>
      </c>
      <c r="B12011" s="63" t="s">
        <v>7657</v>
      </c>
      <c r="C12011" s="63" t="s">
        <v>392</v>
      </c>
      <c r="D12011" s="791" t="s">
        <v>6702</v>
      </c>
      <c r="E12011" s="126">
        <v>1405</v>
      </c>
      <c r="F12011" s="126"/>
      <c r="G12011" s="126">
        <f t="shared" si="193"/>
        <v>-1405</v>
      </c>
      <c r="H12011" s="685" t="s">
        <v>7645</v>
      </c>
    </row>
    <row r="12012" spans="1:8" ht="15" x14ac:dyDescent="0.2">
      <c r="A12012" s="619">
        <v>44620</v>
      </c>
      <c r="B12012" s="63" t="s">
        <v>6408</v>
      </c>
      <c r="C12012" s="63" t="s">
        <v>3145</v>
      </c>
      <c r="D12012" s="791" t="s">
        <v>7692</v>
      </c>
      <c r="E12012" s="126">
        <v>16440</v>
      </c>
      <c r="F12012" s="126"/>
      <c r="G12012" s="126">
        <f t="shared" si="193"/>
        <v>-16440</v>
      </c>
      <c r="H12012" s="685" t="s">
        <v>7645</v>
      </c>
    </row>
    <row r="12013" spans="1:8" ht="15" x14ac:dyDescent="0.2">
      <c r="A12013" s="619">
        <v>44620</v>
      </c>
      <c r="B12013" s="63" t="s">
        <v>7657</v>
      </c>
      <c r="C12013" s="63" t="s">
        <v>3145</v>
      </c>
      <c r="D12013" s="791" t="s">
        <v>7238</v>
      </c>
      <c r="E12013" s="126">
        <v>14720</v>
      </c>
      <c r="F12013" s="126"/>
      <c r="G12013" s="126">
        <f t="shared" si="193"/>
        <v>-14720</v>
      </c>
      <c r="H12013" s="685" t="s">
        <v>7645</v>
      </c>
    </row>
    <row r="12014" spans="1:8" ht="15" x14ac:dyDescent="0.2">
      <c r="A12014" s="619">
        <v>44620</v>
      </c>
      <c r="B12014" s="63" t="s">
        <v>2933</v>
      </c>
      <c r="C12014" s="63" t="s">
        <v>2503</v>
      </c>
      <c r="D12014" s="791" t="s">
        <v>7693</v>
      </c>
      <c r="E12014" s="126">
        <v>8400</v>
      </c>
      <c r="F12014" s="126"/>
      <c r="G12014" s="126">
        <f t="shared" si="193"/>
        <v>-8400</v>
      </c>
      <c r="H12014" s="685" t="s">
        <v>7645</v>
      </c>
    </row>
    <row r="12015" spans="1:8" ht="15" x14ac:dyDescent="0.2">
      <c r="A12015" s="619">
        <v>44620</v>
      </c>
      <c r="B12015" s="63" t="s">
        <v>7112</v>
      </c>
      <c r="C12015" s="63" t="s">
        <v>6476</v>
      </c>
      <c r="D12015" s="791" t="s">
        <v>7694</v>
      </c>
      <c r="E12015" s="126">
        <v>10000</v>
      </c>
      <c r="F12015" s="126"/>
      <c r="G12015" s="126">
        <f t="shared" si="193"/>
        <v>-10000</v>
      </c>
      <c r="H12015" s="685" t="s">
        <v>7645</v>
      </c>
    </row>
    <row r="12016" spans="1:8" ht="15" x14ac:dyDescent="0.2">
      <c r="A12016" s="619">
        <v>44620</v>
      </c>
      <c r="B12016" s="63" t="s">
        <v>16</v>
      </c>
      <c r="C12016" s="63" t="s">
        <v>463</v>
      </c>
      <c r="D12016" s="791" t="s">
        <v>7700</v>
      </c>
      <c r="E12016" s="126">
        <v>20376</v>
      </c>
      <c r="F12016" s="126"/>
      <c r="G12016" s="126">
        <f t="shared" si="193"/>
        <v>-20376</v>
      </c>
      <c r="H12016" s="685" t="s">
        <v>7645</v>
      </c>
    </row>
    <row r="12017" spans="1:8" ht="15" x14ac:dyDescent="0.2">
      <c r="A12017" s="619">
        <v>44620</v>
      </c>
      <c r="B12017" s="63" t="s">
        <v>6505</v>
      </c>
      <c r="C12017" s="63" t="s">
        <v>2503</v>
      </c>
      <c r="D12017" s="183" t="s">
        <v>7097</v>
      </c>
      <c r="E12017" s="126">
        <v>25000</v>
      </c>
      <c r="G12017" s="42">
        <f t="shared" si="193"/>
        <v>-25000</v>
      </c>
      <c r="H12017" s="685" t="s">
        <v>7645</v>
      </c>
    </row>
    <row r="12018" spans="1:8" ht="15" x14ac:dyDescent="0.2">
      <c r="A12018" s="619">
        <v>44620</v>
      </c>
      <c r="B12018" s="63" t="s">
        <v>7112</v>
      </c>
      <c r="C12018" s="63" t="s">
        <v>2503</v>
      </c>
      <c r="D12018" s="183" t="s">
        <v>7097</v>
      </c>
      <c r="E12018" s="126">
        <v>25000</v>
      </c>
      <c r="G12018" s="42">
        <f t="shared" si="193"/>
        <v>-25000</v>
      </c>
      <c r="H12018" s="685" t="s">
        <v>7645</v>
      </c>
    </row>
    <row r="12019" spans="1:8" ht="15" x14ac:dyDescent="0.2">
      <c r="A12019" s="619">
        <v>44620</v>
      </c>
      <c r="B12019" s="63" t="s">
        <v>7555</v>
      </c>
      <c r="C12019" s="63" t="s">
        <v>2503</v>
      </c>
      <c r="D12019" s="183" t="s">
        <v>141</v>
      </c>
      <c r="E12019" s="126">
        <v>25000</v>
      </c>
      <c r="G12019" s="42">
        <f t="shared" si="193"/>
        <v>-25000</v>
      </c>
      <c r="H12019" s="685" t="s">
        <v>7645</v>
      </c>
    </row>
    <row r="12020" spans="1:8" ht="15" x14ac:dyDescent="0.2">
      <c r="A12020" s="619">
        <v>44620</v>
      </c>
      <c r="B12020" s="63" t="s">
        <v>1400</v>
      </c>
      <c r="C12020" s="63" t="s">
        <v>2503</v>
      </c>
      <c r="D12020" s="183" t="s">
        <v>141</v>
      </c>
      <c r="E12020" s="126">
        <v>25000</v>
      </c>
      <c r="G12020" s="42">
        <f t="shared" si="193"/>
        <v>-25000</v>
      </c>
      <c r="H12020" s="685" t="s">
        <v>7645</v>
      </c>
    </row>
    <row r="12021" spans="1:8" ht="15" x14ac:dyDescent="0.2">
      <c r="A12021" s="619">
        <v>44620</v>
      </c>
      <c r="B12021" s="63" t="s">
        <v>25</v>
      </c>
      <c r="C12021" s="63" t="s">
        <v>2503</v>
      </c>
      <c r="D12021" s="183"/>
      <c r="E12021" s="126">
        <v>70000</v>
      </c>
      <c r="G12021" s="42">
        <f t="shared" si="193"/>
        <v>-70000</v>
      </c>
      <c r="H12021" s="685" t="s">
        <v>7645</v>
      </c>
    </row>
    <row r="12022" spans="1:8" ht="15" x14ac:dyDescent="0.2">
      <c r="A12022" s="619">
        <v>44620</v>
      </c>
      <c r="B12022" s="63" t="s">
        <v>16</v>
      </c>
      <c r="C12022" s="63" t="s">
        <v>2503</v>
      </c>
      <c r="D12022" s="183"/>
      <c r="E12022" s="126">
        <v>96000</v>
      </c>
      <c r="G12022" s="42">
        <f t="shared" si="193"/>
        <v>-96000</v>
      </c>
      <c r="H12022" s="685" t="s">
        <v>7645</v>
      </c>
    </row>
    <row r="12023" spans="1:8" ht="15" x14ac:dyDescent="0.2">
      <c r="A12023" s="619">
        <v>44620</v>
      </c>
      <c r="B12023" s="63" t="s">
        <v>3945</v>
      </c>
      <c r="C12023" s="63" t="s">
        <v>2503</v>
      </c>
      <c r="D12023" s="183"/>
      <c r="E12023" s="126">
        <v>78973</v>
      </c>
      <c r="G12023" s="42">
        <f t="shared" si="193"/>
        <v>-78973</v>
      </c>
      <c r="H12023" s="685" t="s">
        <v>7645</v>
      </c>
    </row>
    <row r="12024" spans="1:8" ht="15" x14ac:dyDescent="0.2">
      <c r="A12024" s="619">
        <v>44620</v>
      </c>
      <c r="B12024" s="63" t="s">
        <v>3946</v>
      </c>
      <c r="C12024" s="63" t="s">
        <v>2503</v>
      </c>
      <c r="D12024" s="183"/>
      <c r="E12024" s="126">
        <v>103830</v>
      </c>
      <c r="G12024" s="42">
        <f t="shared" si="193"/>
        <v>-103830</v>
      </c>
      <c r="H12024" s="685" t="s">
        <v>7645</v>
      </c>
    </row>
    <row r="12025" spans="1:8" ht="15" x14ac:dyDescent="0.2">
      <c r="A12025" s="619">
        <v>44620</v>
      </c>
      <c r="B12025" s="63" t="s">
        <v>1400</v>
      </c>
      <c r="C12025" s="63" t="s">
        <v>2503</v>
      </c>
      <c r="D12025" s="183"/>
      <c r="E12025" s="126">
        <v>204339</v>
      </c>
      <c r="G12025" s="42">
        <f t="shared" si="193"/>
        <v>-204339</v>
      </c>
      <c r="H12025" s="685" t="s">
        <v>7645</v>
      </c>
    </row>
    <row r="12026" spans="1:8" ht="15" x14ac:dyDescent="0.2">
      <c r="A12026" s="619">
        <v>44620</v>
      </c>
      <c r="B12026" s="63" t="s">
        <v>37</v>
      </c>
      <c r="C12026" s="63" t="s">
        <v>2503</v>
      </c>
      <c r="D12026" s="183"/>
      <c r="E12026" s="126">
        <v>124036</v>
      </c>
      <c r="G12026" s="42">
        <f t="shared" si="193"/>
        <v>-124036</v>
      </c>
      <c r="H12026" s="685" t="s">
        <v>7645</v>
      </c>
    </row>
    <row r="12027" spans="1:8" ht="15" x14ac:dyDescent="0.2">
      <c r="A12027" s="619">
        <v>44620</v>
      </c>
      <c r="B12027" s="63" t="s">
        <v>2933</v>
      </c>
      <c r="C12027" s="63" t="s">
        <v>2503</v>
      </c>
      <c r="D12027" s="183"/>
      <c r="E12027" s="126">
        <v>75443</v>
      </c>
      <c r="G12027" s="42">
        <f t="shared" si="193"/>
        <v>-75443</v>
      </c>
      <c r="H12027" s="685" t="s">
        <v>7645</v>
      </c>
    </row>
    <row r="12028" spans="1:8" ht="15" x14ac:dyDescent="0.2">
      <c r="A12028" s="619">
        <v>44620</v>
      </c>
      <c r="B12028" s="63" t="s">
        <v>7657</v>
      </c>
      <c r="C12028" s="63" t="s">
        <v>2503</v>
      </c>
      <c r="D12028" s="183"/>
      <c r="E12028" s="126">
        <v>96700</v>
      </c>
      <c r="G12028" s="42">
        <f t="shared" si="193"/>
        <v>-96700</v>
      </c>
      <c r="H12028" s="685" t="s">
        <v>7645</v>
      </c>
    </row>
    <row r="12029" spans="1:8" ht="15" x14ac:dyDescent="0.2">
      <c r="A12029" s="619">
        <v>44620</v>
      </c>
      <c r="B12029" s="63" t="s">
        <v>6518</v>
      </c>
      <c r="C12029" s="63" t="s">
        <v>2503</v>
      </c>
      <c r="D12029" s="183"/>
      <c r="E12029" s="126">
        <v>25000</v>
      </c>
      <c r="G12029" s="42">
        <f t="shared" si="193"/>
        <v>-25000</v>
      </c>
      <c r="H12029" s="685" t="s">
        <v>7645</v>
      </c>
    </row>
    <row r="12030" spans="1:8" ht="15" x14ac:dyDescent="0.2">
      <c r="A12030" s="619">
        <v>44620</v>
      </c>
      <c r="B12030" s="63" t="s">
        <v>6408</v>
      </c>
      <c r="C12030" s="63" t="s">
        <v>2503</v>
      </c>
      <c r="D12030" s="183"/>
      <c r="E12030" s="126">
        <v>31391</v>
      </c>
      <c r="G12030" s="42">
        <f t="shared" si="193"/>
        <v>-31391</v>
      </c>
      <c r="H12030" s="685" t="s">
        <v>7645</v>
      </c>
    </row>
    <row r="12031" spans="1:8" ht="15" x14ac:dyDescent="0.2">
      <c r="A12031" s="619">
        <v>44620</v>
      </c>
      <c r="B12031" s="63" t="s">
        <v>7112</v>
      </c>
      <c r="C12031" s="63" t="s">
        <v>2503</v>
      </c>
      <c r="D12031" s="183"/>
      <c r="E12031" s="126">
        <v>54000</v>
      </c>
      <c r="G12031" s="42">
        <f t="shared" si="193"/>
        <v>-54000</v>
      </c>
      <c r="H12031" s="685" t="s">
        <v>7645</v>
      </c>
    </row>
    <row r="12032" spans="1:8" ht="15" x14ac:dyDescent="0.2">
      <c r="A12032" s="619">
        <v>44620</v>
      </c>
      <c r="B12032" s="63" t="s">
        <v>5811</v>
      </c>
      <c r="C12032" s="63" t="s">
        <v>2503</v>
      </c>
      <c r="D12032" s="183"/>
      <c r="E12032" s="126">
        <v>26125</v>
      </c>
      <c r="G12032" s="42">
        <f t="shared" si="193"/>
        <v>-26125</v>
      </c>
      <c r="H12032" s="685" t="s">
        <v>7645</v>
      </c>
    </row>
    <row r="12033" spans="1:8" ht="15" x14ac:dyDescent="0.2">
      <c r="A12033" s="619">
        <v>44620</v>
      </c>
      <c r="B12033" s="41" t="s">
        <v>4553</v>
      </c>
      <c r="C12033" s="63" t="s">
        <v>2503</v>
      </c>
      <c r="E12033" s="58">
        <v>22000</v>
      </c>
      <c r="G12033" s="42">
        <f t="shared" si="193"/>
        <v>-22000</v>
      </c>
      <c r="H12033" s="685" t="s">
        <v>7645</v>
      </c>
    </row>
    <row r="12034" spans="1:8" ht="15" x14ac:dyDescent="0.2">
      <c r="A12034" s="620">
        <v>44595</v>
      </c>
      <c r="B12034" s="122" t="s">
        <v>7067</v>
      </c>
      <c r="C12034" s="122" t="s">
        <v>7223</v>
      </c>
      <c r="D12034" s="812" t="s">
        <v>7632</v>
      </c>
      <c r="E12034" s="123">
        <v>150000</v>
      </c>
      <c r="F12034" s="123"/>
      <c r="G12034" s="123">
        <f t="shared" si="193"/>
        <v>-150000</v>
      </c>
      <c r="H12034" s="690" t="s">
        <v>7645</v>
      </c>
    </row>
    <row r="12035" spans="1:8" ht="15" x14ac:dyDescent="0.2">
      <c r="A12035" s="620">
        <v>44602</v>
      </c>
      <c r="B12035" s="122" t="s">
        <v>7067</v>
      </c>
      <c r="C12035" s="122" t="s">
        <v>6822</v>
      </c>
      <c r="D12035" s="812" t="s">
        <v>7653</v>
      </c>
      <c r="E12035" s="123">
        <v>100000</v>
      </c>
      <c r="F12035" s="123"/>
      <c r="G12035" s="123">
        <f t="shared" si="193"/>
        <v>-100000</v>
      </c>
      <c r="H12035" s="690" t="s">
        <v>7645</v>
      </c>
    </row>
    <row r="12036" spans="1:8" s="682" customFormat="1" ht="15" customHeight="1" x14ac:dyDescent="0.25">
      <c r="A12036" s="620">
        <v>44602</v>
      </c>
      <c r="B12036" s="174" t="s">
        <v>3946</v>
      </c>
      <c r="C12036" s="174" t="s">
        <v>7271</v>
      </c>
      <c r="D12036" s="228" t="s">
        <v>7654</v>
      </c>
      <c r="E12036" s="236">
        <v>50000</v>
      </c>
      <c r="F12036" s="236"/>
      <c r="G12036" s="236">
        <f t="shared" si="193"/>
        <v>-50000</v>
      </c>
      <c r="H12036" s="690" t="s">
        <v>7645</v>
      </c>
    </row>
    <row r="12037" spans="1:8" s="682" customFormat="1" ht="15" x14ac:dyDescent="0.2">
      <c r="A12037" s="620">
        <v>44607</v>
      </c>
      <c r="B12037" s="174" t="s">
        <v>7067</v>
      </c>
      <c r="C12037" s="551" t="s">
        <v>3003</v>
      </c>
      <c r="D12037" s="893" t="s">
        <v>7660</v>
      </c>
      <c r="E12037" s="583">
        <v>375687</v>
      </c>
      <c r="F12037" s="236"/>
      <c r="G12037" s="236">
        <f t="shared" ref="G12037:G12100" si="194">F12037-E12037</f>
        <v>-375687</v>
      </c>
      <c r="H12037" s="690" t="s">
        <v>7645</v>
      </c>
    </row>
    <row r="12038" spans="1:8" s="682" customFormat="1" ht="15" x14ac:dyDescent="0.2">
      <c r="A12038" s="620">
        <v>44607</v>
      </c>
      <c r="B12038" s="174" t="s">
        <v>3945</v>
      </c>
      <c r="C12038" s="551" t="s">
        <v>3003</v>
      </c>
      <c r="D12038" s="893" t="s">
        <v>6789</v>
      </c>
      <c r="E12038" s="583">
        <v>16640</v>
      </c>
      <c r="F12038" s="236"/>
      <c r="G12038" s="236">
        <f t="shared" si="194"/>
        <v>-16640</v>
      </c>
      <c r="H12038" s="690" t="s">
        <v>7645</v>
      </c>
    </row>
    <row r="12039" spans="1:8" s="682" customFormat="1" ht="15" x14ac:dyDescent="0.2">
      <c r="A12039" s="620">
        <v>44607</v>
      </c>
      <c r="B12039" s="174" t="s">
        <v>37</v>
      </c>
      <c r="C12039" s="551" t="s">
        <v>3003</v>
      </c>
      <c r="D12039" s="893" t="s">
        <v>6789</v>
      </c>
      <c r="E12039" s="583">
        <v>15552</v>
      </c>
      <c r="F12039" s="236"/>
      <c r="G12039" s="236">
        <f t="shared" si="194"/>
        <v>-15552</v>
      </c>
      <c r="H12039" s="690" t="s">
        <v>7645</v>
      </c>
    </row>
    <row r="12040" spans="1:8" s="682" customFormat="1" ht="15" x14ac:dyDescent="0.2">
      <c r="A12040" s="620">
        <v>44607</v>
      </c>
      <c r="B12040" s="174" t="s">
        <v>3946</v>
      </c>
      <c r="C12040" s="551" t="s">
        <v>3003</v>
      </c>
      <c r="D12040" s="893" t="s">
        <v>6789</v>
      </c>
      <c r="E12040" s="583">
        <v>11570</v>
      </c>
      <c r="F12040" s="236"/>
      <c r="G12040" s="236">
        <f t="shared" si="194"/>
        <v>-11570</v>
      </c>
      <c r="H12040" s="690" t="s">
        <v>7645</v>
      </c>
    </row>
    <row r="12041" spans="1:8" s="682" customFormat="1" ht="15" customHeight="1" x14ac:dyDescent="0.2">
      <c r="A12041" s="620">
        <v>44610</v>
      </c>
      <c r="B12041" s="174" t="s">
        <v>3946</v>
      </c>
      <c r="C12041" s="174" t="s">
        <v>3033</v>
      </c>
      <c r="D12041" s="812" t="s">
        <v>7674</v>
      </c>
      <c r="E12041" s="123">
        <v>15000</v>
      </c>
      <c r="F12041" s="236"/>
      <c r="G12041" s="236">
        <f t="shared" si="194"/>
        <v>-15000</v>
      </c>
      <c r="H12041" s="690" t="s">
        <v>7645</v>
      </c>
    </row>
    <row r="12042" spans="1:8" s="682" customFormat="1" ht="15" x14ac:dyDescent="0.2">
      <c r="A12042" s="620">
        <v>44610</v>
      </c>
      <c r="B12042" s="174" t="s">
        <v>7067</v>
      </c>
      <c r="C12042" s="174" t="s">
        <v>2310</v>
      </c>
      <c r="D12042" s="812" t="s">
        <v>7675</v>
      </c>
      <c r="E12042" s="123">
        <v>37000</v>
      </c>
      <c r="F12042" s="236"/>
      <c r="G12042" s="236">
        <f t="shared" si="194"/>
        <v>-37000</v>
      </c>
      <c r="H12042" s="690" t="s">
        <v>7645</v>
      </c>
    </row>
    <row r="12043" spans="1:8" s="682" customFormat="1" ht="15" x14ac:dyDescent="0.2">
      <c r="A12043" s="620">
        <v>44610</v>
      </c>
      <c r="B12043" s="174" t="s">
        <v>1400</v>
      </c>
      <c r="C12043" s="551" t="s">
        <v>7467</v>
      </c>
      <c r="D12043" s="893" t="s">
        <v>7676</v>
      </c>
      <c r="E12043" s="583">
        <v>79000</v>
      </c>
      <c r="F12043" s="236"/>
      <c r="G12043" s="236">
        <f t="shared" si="194"/>
        <v>-79000</v>
      </c>
      <c r="H12043" s="690" t="s">
        <v>7645</v>
      </c>
    </row>
    <row r="12044" spans="1:8" s="682" customFormat="1" ht="15" x14ac:dyDescent="0.2">
      <c r="A12044" s="620">
        <v>44610</v>
      </c>
      <c r="B12044" s="174" t="s">
        <v>6953</v>
      </c>
      <c r="C12044" s="551" t="s">
        <v>7467</v>
      </c>
      <c r="D12044" s="893" t="s">
        <v>6789</v>
      </c>
      <c r="E12044" s="583">
        <v>50900</v>
      </c>
      <c r="F12044" s="236"/>
      <c r="G12044" s="236">
        <f t="shared" si="194"/>
        <v>-50900</v>
      </c>
      <c r="H12044" s="690" t="s">
        <v>7645</v>
      </c>
    </row>
    <row r="12045" spans="1:8" s="682" customFormat="1" ht="15" customHeight="1" x14ac:dyDescent="0.2">
      <c r="A12045" s="620">
        <v>44610</v>
      </c>
      <c r="B12045" s="174" t="s">
        <v>7067</v>
      </c>
      <c r="C12045" s="551" t="s">
        <v>7467</v>
      </c>
      <c r="D12045" s="893" t="s">
        <v>6789</v>
      </c>
      <c r="E12045" s="583">
        <v>30100</v>
      </c>
      <c r="F12045" s="236"/>
      <c r="G12045" s="236">
        <f t="shared" si="194"/>
        <v>-30100</v>
      </c>
      <c r="H12045" s="690" t="s">
        <v>7645</v>
      </c>
    </row>
    <row r="12046" spans="1:8" s="682" customFormat="1" ht="15" x14ac:dyDescent="0.2">
      <c r="A12046" s="620">
        <v>44610</v>
      </c>
      <c r="B12046" s="174" t="s">
        <v>7112</v>
      </c>
      <c r="C12046" s="174" t="s">
        <v>1509</v>
      </c>
      <c r="D12046" s="812" t="s">
        <v>7677</v>
      </c>
      <c r="E12046" s="123">
        <v>50000</v>
      </c>
      <c r="F12046" s="236"/>
      <c r="G12046" s="236">
        <f t="shared" si="194"/>
        <v>-50000</v>
      </c>
      <c r="H12046" s="690" t="s">
        <v>7645</v>
      </c>
    </row>
    <row r="12047" spans="1:8" s="682" customFormat="1" ht="15" x14ac:dyDescent="0.2">
      <c r="A12047" s="620">
        <v>44610</v>
      </c>
      <c r="B12047" s="174" t="s">
        <v>7657</v>
      </c>
      <c r="C12047" s="174" t="s">
        <v>6706</v>
      </c>
      <c r="D12047" s="812" t="s">
        <v>7678</v>
      </c>
      <c r="E12047" s="123">
        <v>400000</v>
      </c>
      <c r="F12047" s="236"/>
      <c r="G12047" s="236">
        <f t="shared" si="194"/>
        <v>-400000</v>
      </c>
      <c r="H12047" s="690" t="s">
        <v>7645</v>
      </c>
    </row>
    <row r="12048" spans="1:8" s="682" customFormat="1" ht="15" x14ac:dyDescent="0.2">
      <c r="A12048" s="620">
        <v>44610</v>
      </c>
      <c r="B12048" s="174" t="s">
        <v>6953</v>
      </c>
      <c r="C12048" s="174" t="s">
        <v>6378</v>
      </c>
      <c r="D12048" s="812" t="s">
        <v>7680</v>
      </c>
      <c r="E12048" s="123">
        <v>75000</v>
      </c>
      <c r="F12048" s="236"/>
      <c r="G12048" s="236">
        <f t="shared" si="194"/>
        <v>-75000</v>
      </c>
      <c r="H12048" s="690" t="s">
        <v>7645</v>
      </c>
    </row>
    <row r="12049" spans="1:8" s="682" customFormat="1" ht="15" x14ac:dyDescent="0.2">
      <c r="A12049" s="620">
        <v>44610</v>
      </c>
      <c r="B12049" s="174" t="s">
        <v>6505</v>
      </c>
      <c r="C12049" s="174" t="s">
        <v>1063</v>
      </c>
      <c r="D12049" s="812" t="s">
        <v>7681</v>
      </c>
      <c r="E12049" s="123">
        <v>166000</v>
      </c>
      <c r="F12049" s="236"/>
      <c r="G12049" s="236">
        <f t="shared" si="194"/>
        <v>-166000</v>
      </c>
      <c r="H12049" s="690" t="s">
        <v>7645</v>
      </c>
    </row>
    <row r="12050" spans="1:8" ht="15" x14ac:dyDescent="0.2">
      <c r="A12050" s="618">
        <v>44607</v>
      </c>
      <c r="B12050" s="94" t="s">
        <v>3946</v>
      </c>
      <c r="C12050" s="94" t="s">
        <v>559</v>
      </c>
      <c r="D12050" s="892" t="s">
        <v>7659</v>
      </c>
      <c r="E12050" s="176"/>
      <c r="F12050" s="176">
        <v>139113</v>
      </c>
      <c r="G12050" s="176">
        <f t="shared" si="194"/>
        <v>139113</v>
      </c>
      <c r="H12050" s="686" t="s">
        <v>7645</v>
      </c>
    </row>
    <row r="12051" spans="1:8" ht="15" x14ac:dyDescent="0.2">
      <c r="A12051" s="618">
        <v>44608</v>
      </c>
      <c r="B12051" s="91" t="s">
        <v>7555</v>
      </c>
      <c r="C12051" s="94" t="s">
        <v>559</v>
      </c>
      <c r="D12051" s="892" t="s">
        <v>7658</v>
      </c>
      <c r="E12051" s="176"/>
      <c r="F12051" s="92">
        <v>1268006</v>
      </c>
      <c r="G12051" s="176">
        <f t="shared" si="194"/>
        <v>1268006</v>
      </c>
      <c r="H12051" s="686" t="s">
        <v>7645</v>
      </c>
    </row>
    <row r="12052" spans="1:8" ht="29.25" customHeight="1" x14ac:dyDescent="0.2">
      <c r="A12052" s="618">
        <v>44610</v>
      </c>
      <c r="B12052" s="94" t="s">
        <v>6505</v>
      </c>
      <c r="C12052" s="94" t="s">
        <v>559</v>
      </c>
      <c r="D12052" s="802" t="s">
        <v>7783</v>
      </c>
      <c r="E12052" s="176"/>
      <c r="F12052" s="176">
        <v>750000</v>
      </c>
      <c r="G12052" s="176">
        <f t="shared" si="194"/>
        <v>750000</v>
      </c>
      <c r="H12052" s="686" t="s">
        <v>7645</v>
      </c>
    </row>
    <row r="12053" spans="1:8" ht="27.75" customHeight="1" x14ac:dyDescent="0.2">
      <c r="A12053" s="618">
        <v>44610</v>
      </c>
      <c r="B12053" s="94" t="s">
        <v>6505</v>
      </c>
      <c r="C12053" s="94" t="s">
        <v>559</v>
      </c>
      <c r="D12053" s="802" t="s">
        <v>7783</v>
      </c>
      <c r="E12053" s="176"/>
      <c r="F12053" s="176">
        <v>750000</v>
      </c>
      <c r="G12053" s="176">
        <f t="shared" si="194"/>
        <v>750000</v>
      </c>
      <c r="H12053" s="686" t="s">
        <v>7645</v>
      </c>
    </row>
    <row r="12054" spans="1:8" ht="27.75" customHeight="1" x14ac:dyDescent="0.2">
      <c r="A12054" s="618">
        <v>44610</v>
      </c>
      <c r="B12054" s="94" t="s">
        <v>37</v>
      </c>
      <c r="C12054" s="94" t="s">
        <v>559</v>
      </c>
      <c r="D12054" s="802" t="s">
        <v>8178</v>
      </c>
      <c r="E12054" s="176"/>
      <c r="F12054" s="176">
        <v>188568</v>
      </c>
      <c r="G12054" s="176">
        <f t="shared" si="194"/>
        <v>188568</v>
      </c>
      <c r="H12054" s="686" t="s">
        <v>7645</v>
      </c>
    </row>
    <row r="12055" spans="1:8" ht="15" x14ac:dyDescent="0.2">
      <c r="A12055" s="618">
        <v>44610</v>
      </c>
      <c r="B12055" s="94" t="s">
        <v>3945</v>
      </c>
      <c r="C12055" s="94" t="s">
        <v>559</v>
      </c>
      <c r="D12055" s="892" t="s">
        <v>7673</v>
      </c>
      <c r="E12055" s="176"/>
      <c r="F12055" s="176">
        <v>171216</v>
      </c>
      <c r="G12055" s="176">
        <f t="shared" si="194"/>
        <v>171216</v>
      </c>
      <c r="H12055" s="686" t="s">
        <v>7645</v>
      </c>
    </row>
    <row r="12056" spans="1:8" ht="15" x14ac:dyDescent="0.2">
      <c r="A12056" s="619">
        <v>44621</v>
      </c>
      <c r="B12056" s="63" t="s">
        <v>16</v>
      </c>
      <c r="C12056" s="63" t="s">
        <v>2996</v>
      </c>
      <c r="D12056" s="791" t="s">
        <v>370</v>
      </c>
      <c r="E12056" s="126">
        <v>2500</v>
      </c>
      <c r="F12056" s="126"/>
      <c r="G12056" s="126">
        <f t="shared" si="194"/>
        <v>-2500</v>
      </c>
      <c r="H12056" s="685" t="s">
        <v>7695</v>
      </c>
    </row>
    <row r="12057" spans="1:8" ht="15" x14ac:dyDescent="0.2">
      <c r="A12057" s="619">
        <v>44621</v>
      </c>
      <c r="B12057" s="63" t="s">
        <v>7657</v>
      </c>
      <c r="C12057" s="63" t="s">
        <v>5652</v>
      </c>
      <c r="D12057" s="791" t="s">
        <v>2711</v>
      </c>
      <c r="E12057" s="126">
        <v>25000</v>
      </c>
      <c r="F12057" s="126"/>
      <c r="G12057" s="126">
        <f t="shared" si="194"/>
        <v>-25000</v>
      </c>
      <c r="H12057" s="685" t="s">
        <v>7695</v>
      </c>
    </row>
    <row r="12058" spans="1:8" ht="15" x14ac:dyDescent="0.2">
      <c r="A12058" s="619">
        <v>44621</v>
      </c>
      <c r="B12058" s="63" t="s">
        <v>25</v>
      </c>
      <c r="C12058" s="63" t="s">
        <v>1005</v>
      </c>
      <c r="D12058" s="791"/>
      <c r="E12058" s="126">
        <v>670</v>
      </c>
      <c r="F12058" s="126"/>
      <c r="G12058" s="126">
        <f t="shared" si="194"/>
        <v>-670</v>
      </c>
      <c r="H12058" s="685" t="s">
        <v>7695</v>
      </c>
    </row>
    <row r="12059" spans="1:8" ht="15" x14ac:dyDescent="0.2">
      <c r="A12059" s="619">
        <v>44621</v>
      </c>
      <c r="B12059" s="63" t="s">
        <v>82</v>
      </c>
      <c r="C12059" s="63" t="s">
        <v>6476</v>
      </c>
      <c r="D12059" s="791" t="s">
        <v>7709</v>
      </c>
      <c r="E12059" s="126">
        <v>5000</v>
      </c>
      <c r="F12059" s="126"/>
      <c r="G12059" s="126">
        <f t="shared" si="194"/>
        <v>-5000</v>
      </c>
      <c r="H12059" s="685" t="s">
        <v>7695</v>
      </c>
    </row>
    <row r="12060" spans="1:8" ht="15" x14ac:dyDescent="0.2">
      <c r="A12060" s="619">
        <v>44622</v>
      </c>
      <c r="B12060" s="63" t="s">
        <v>82</v>
      </c>
      <c r="C12060" s="63" t="s">
        <v>3145</v>
      </c>
      <c r="D12060" s="791" t="s">
        <v>5384</v>
      </c>
      <c r="E12060" s="126">
        <v>7865</v>
      </c>
      <c r="F12060" s="126"/>
      <c r="G12060" s="126">
        <f t="shared" si="194"/>
        <v>-7865</v>
      </c>
      <c r="H12060" s="685" t="s">
        <v>7695</v>
      </c>
    </row>
    <row r="12061" spans="1:8" ht="15" x14ac:dyDescent="0.2">
      <c r="A12061" s="619">
        <v>44622</v>
      </c>
      <c r="B12061" s="63" t="s">
        <v>7112</v>
      </c>
      <c r="C12061" s="63" t="s">
        <v>1896</v>
      </c>
      <c r="D12061" s="791" t="s">
        <v>7710</v>
      </c>
      <c r="E12061" s="126">
        <v>10000</v>
      </c>
      <c r="F12061" s="126"/>
      <c r="G12061" s="126">
        <f t="shared" si="194"/>
        <v>-10000</v>
      </c>
      <c r="H12061" s="685" t="s">
        <v>7695</v>
      </c>
    </row>
    <row r="12062" spans="1:8" ht="15" x14ac:dyDescent="0.2">
      <c r="A12062" s="619">
        <v>44623</v>
      </c>
      <c r="B12062" s="63" t="s">
        <v>82</v>
      </c>
      <c r="C12062" s="63" t="s">
        <v>7711</v>
      </c>
      <c r="D12062" s="791" t="s">
        <v>1157</v>
      </c>
      <c r="E12062" s="126">
        <v>4000</v>
      </c>
      <c r="F12062" s="126"/>
      <c r="G12062" s="126">
        <f t="shared" si="194"/>
        <v>-4000</v>
      </c>
      <c r="H12062" s="685" t="s">
        <v>7695</v>
      </c>
    </row>
    <row r="12063" spans="1:8" ht="15" x14ac:dyDescent="0.2">
      <c r="A12063" s="619">
        <v>44623</v>
      </c>
      <c r="B12063" s="63" t="s">
        <v>6505</v>
      </c>
      <c r="C12063" s="551" t="s">
        <v>3145</v>
      </c>
      <c r="D12063" s="904" t="s">
        <v>3807</v>
      </c>
      <c r="E12063" s="552">
        <v>21500</v>
      </c>
      <c r="F12063" s="126"/>
      <c r="G12063" s="126">
        <f t="shared" si="194"/>
        <v>-21500</v>
      </c>
      <c r="H12063" s="685" t="s">
        <v>7695</v>
      </c>
    </row>
    <row r="12064" spans="1:8" ht="15" x14ac:dyDescent="0.2">
      <c r="A12064" s="619">
        <v>44623</v>
      </c>
      <c r="B12064" s="63" t="s">
        <v>1400</v>
      </c>
      <c r="C12064" s="551" t="s">
        <v>3145</v>
      </c>
      <c r="D12064" s="904" t="s">
        <v>3807</v>
      </c>
      <c r="E12064" s="552">
        <v>5000</v>
      </c>
      <c r="F12064" s="126"/>
      <c r="G12064" s="126">
        <f t="shared" si="194"/>
        <v>-5000</v>
      </c>
      <c r="H12064" s="685" t="s">
        <v>7695</v>
      </c>
    </row>
    <row r="12065" spans="1:8" ht="15" x14ac:dyDescent="0.2">
      <c r="A12065" s="619">
        <v>44623</v>
      </c>
      <c r="B12065" s="63" t="s">
        <v>7657</v>
      </c>
      <c r="C12065" s="63" t="s">
        <v>6249</v>
      </c>
      <c r="D12065" s="791" t="s">
        <v>7712</v>
      </c>
      <c r="E12065" s="126">
        <v>7000</v>
      </c>
      <c r="F12065" s="126"/>
      <c r="G12065" s="126">
        <f t="shared" si="194"/>
        <v>-7000</v>
      </c>
      <c r="H12065" s="685" t="s">
        <v>7695</v>
      </c>
    </row>
    <row r="12066" spans="1:8" ht="15" x14ac:dyDescent="0.2">
      <c r="A12066" s="619">
        <v>44623</v>
      </c>
      <c r="B12066" s="63" t="s">
        <v>7112</v>
      </c>
      <c r="C12066" s="63" t="s">
        <v>2555</v>
      </c>
      <c r="D12066" s="791" t="s">
        <v>1157</v>
      </c>
      <c r="E12066" s="126">
        <v>43200</v>
      </c>
      <c r="F12066" s="126"/>
      <c r="G12066" s="126">
        <f t="shared" si="194"/>
        <v>-43200</v>
      </c>
      <c r="H12066" s="685" t="s">
        <v>7695</v>
      </c>
    </row>
    <row r="12067" spans="1:8" ht="15" x14ac:dyDescent="0.2">
      <c r="A12067" s="619">
        <v>44624</v>
      </c>
      <c r="B12067" s="63" t="s">
        <v>82</v>
      </c>
      <c r="C12067" s="63" t="s">
        <v>7713</v>
      </c>
      <c r="D12067" s="791" t="s">
        <v>7714</v>
      </c>
      <c r="E12067" s="126">
        <v>25000</v>
      </c>
      <c r="F12067" s="126"/>
      <c r="G12067" s="126">
        <f t="shared" si="194"/>
        <v>-25000</v>
      </c>
      <c r="H12067" s="685" t="s">
        <v>7695</v>
      </c>
    </row>
    <row r="12068" spans="1:8" ht="15" x14ac:dyDescent="0.2">
      <c r="A12068" s="619">
        <v>44624</v>
      </c>
      <c r="B12068" s="63" t="s">
        <v>7657</v>
      </c>
      <c r="C12068" s="63" t="s">
        <v>3145</v>
      </c>
      <c r="D12068" s="791" t="s">
        <v>392</v>
      </c>
      <c r="E12068" s="126">
        <v>1830</v>
      </c>
      <c r="F12068" s="126"/>
      <c r="G12068" s="126">
        <f t="shared" si="194"/>
        <v>-1830</v>
      </c>
      <c r="H12068" s="685" t="s">
        <v>7695</v>
      </c>
    </row>
    <row r="12069" spans="1:8" ht="15" x14ac:dyDescent="0.2">
      <c r="A12069" s="619">
        <v>44625</v>
      </c>
      <c r="B12069" s="63" t="s">
        <v>7112</v>
      </c>
      <c r="C12069" s="63" t="s">
        <v>1896</v>
      </c>
      <c r="D12069" s="791" t="s">
        <v>7715</v>
      </c>
      <c r="E12069" s="126">
        <v>10000</v>
      </c>
      <c r="F12069" s="126"/>
      <c r="G12069" s="126">
        <f t="shared" si="194"/>
        <v>-10000</v>
      </c>
      <c r="H12069" s="685" t="s">
        <v>7695</v>
      </c>
    </row>
    <row r="12070" spans="1:8" ht="15" x14ac:dyDescent="0.2">
      <c r="A12070" s="619">
        <v>44625</v>
      </c>
      <c r="B12070" s="63" t="s">
        <v>16</v>
      </c>
      <c r="C12070" s="63" t="s">
        <v>1495</v>
      </c>
      <c r="D12070" s="791" t="s">
        <v>370</v>
      </c>
      <c r="E12070" s="126">
        <v>900</v>
      </c>
      <c r="F12070" s="126"/>
      <c r="G12070" s="126">
        <f t="shared" si="194"/>
        <v>-900</v>
      </c>
      <c r="H12070" s="685" t="s">
        <v>7695</v>
      </c>
    </row>
    <row r="12071" spans="1:8" ht="15" x14ac:dyDescent="0.2">
      <c r="A12071" s="619">
        <v>44625</v>
      </c>
      <c r="B12071" s="63" t="s">
        <v>37</v>
      </c>
      <c r="C12071" s="63" t="s">
        <v>3145</v>
      </c>
      <c r="D12071" s="791" t="s">
        <v>7716</v>
      </c>
      <c r="E12071" s="126">
        <v>13600</v>
      </c>
      <c r="F12071" s="126"/>
      <c r="G12071" s="126">
        <f t="shared" si="194"/>
        <v>-13600</v>
      </c>
      <c r="H12071" s="685" t="s">
        <v>7695</v>
      </c>
    </row>
    <row r="12072" spans="1:8" ht="15" x14ac:dyDescent="0.2">
      <c r="A12072" s="619">
        <v>44625</v>
      </c>
      <c r="B12072" s="63" t="s">
        <v>82</v>
      </c>
      <c r="C12072" s="63" t="s">
        <v>3145</v>
      </c>
      <c r="D12072" s="791" t="s">
        <v>6884</v>
      </c>
      <c r="E12072" s="126">
        <v>2680</v>
      </c>
      <c r="F12072" s="126"/>
      <c r="G12072" s="126">
        <f t="shared" si="194"/>
        <v>-2680</v>
      </c>
      <c r="H12072" s="685" t="s">
        <v>7695</v>
      </c>
    </row>
    <row r="12073" spans="1:8" ht="15" x14ac:dyDescent="0.2">
      <c r="A12073" s="619">
        <v>44625</v>
      </c>
      <c r="B12073" s="63" t="s">
        <v>7555</v>
      </c>
      <c r="C12073" s="63" t="s">
        <v>3145</v>
      </c>
      <c r="D12073" s="791" t="s">
        <v>7717</v>
      </c>
      <c r="E12073" s="126">
        <v>14500</v>
      </c>
      <c r="F12073" s="126"/>
      <c r="G12073" s="126">
        <f t="shared" si="194"/>
        <v>-14500</v>
      </c>
      <c r="H12073" s="685" t="s">
        <v>7695</v>
      </c>
    </row>
    <row r="12074" spans="1:8" ht="15" x14ac:dyDescent="0.2">
      <c r="A12074" s="619">
        <v>44629</v>
      </c>
      <c r="B12074" s="63" t="s">
        <v>25</v>
      </c>
      <c r="C12074" s="63" t="s">
        <v>4065</v>
      </c>
      <c r="D12074" s="791" t="s">
        <v>3056</v>
      </c>
      <c r="E12074" s="126">
        <v>12000</v>
      </c>
      <c r="F12074" s="126"/>
      <c r="G12074" s="126">
        <f t="shared" si="194"/>
        <v>-12000</v>
      </c>
      <c r="H12074" s="685" t="s">
        <v>7695</v>
      </c>
    </row>
    <row r="12075" spans="1:8" ht="15" customHeight="1" x14ac:dyDescent="0.2">
      <c r="A12075" s="619">
        <v>44629</v>
      </c>
      <c r="B12075" s="63" t="s">
        <v>7657</v>
      </c>
      <c r="C12075" s="63" t="s">
        <v>3292</v>
      </c>
      <c r="D12075" s="791" t="s">
        <v>2711</v>
      </c>
      <c r="E12075" s="126">
        <v>19000</v>
      </c>
      <c r="F12075" s="126"/>
      <c r="G12075" s="126">
        <f t="shared" si="194"/>
        <v>-19000</v>
      </c>
      <c r="H12075" s="685" t="s">
        <v>7695</v>
      </c>
    </row>
    <row r="12076" spans="1:8" ht="15" x14ac:dyDescent="0.2">
      <c r="A12076" s="619">
        <v>44630</v>
      </c>
      <c r="B12076" s="63" t="s">
        <v>7657</v>
      </c>
      <c r="C12076" s="63" t="s">
        <v>3145</v>
      </c>
      <c r="D12076" s="791" t="s">
        <v>7718</v>
      </c>
      <c r="E12076" s="126">
        <v>6800</v>
      </c>
      <c r="F12076" s="126"/>
      <c r="G12076" s="126">
        <f t="shared" si="194"/>
        <v>-6800</v>
      </c>
      <c r="H12076" s="685" t="s">
        <v>7695</v>
      </c>
    </row>
    <row r="12077" spans="1:8" ht="15" x14ac:dyDescent="0.2">
      <c r="A12077" s="619">
        <v>44630</v>
      </c>
      <c r="B12077" s="63" t="s">
        <v>7657</v>
      </c>
      <c r="C12077" s="63" t="s">
        <v>3145</v>
      </c>
      <c r="D12077" s="791" t="s">
        <v>7719</v>
      </c>
      <c r="E12077" s="126">
        <v>3200</v>
      </c>
      <c r="F12077" s="126"/>
      <c r="G12077" s="126">
        <f t="shared" si="194"/>
        <v>-3200</v>
      </c>
      <c r="H12077" s="685" t="s">
        <v>7695</v>
      </c>
    </row>
    <row r="12078" spans="1:8" ht="15" x14ac:dyDescent="0.2">
      <c r="A12078" s="619">
        <v>44630</v>
      </c>
      <c r="B12078" s="63" t="s">
        <v>7555</v>
      </c>
      <c r="C12078" s="63" t="s">
        <v>6350</v>
      </c>
      <c r="D12078" s="791" t="s">
        <v>7720</v>
      </c>
      <c r="E12078" s="126">
        <v>55000</v>
      </c>
      <c r="F12078" s="126"/>
      <c r="G12078" s="126">
        <f t="shared" si="194"/>
        <v>-55000</v>
      </c>
      <c r="H12078" s="685" t="s">
        <v>7695</v>
      </c>
    </row>
    <row r="12079" spans="1:8" ht="15" x14ac:dyDescent="0.2">
      <c r="A12079" s="619">
        <v>44630</v>
      </c>
      <c r="B12079" s="63" t="s">
        <v>16</v>
      </c>
      <c r="C12079" s="63" t="s">
        <v>3364</v>
      </c>
      <c r="D12079" s="791"/>
      <c r="E12079" s="126">
        <v>4235</v>
      </c>
      <c r="F12079" s="126"/>
      <c r="G12079" s="126">
        <f t="shared" si="194"/>
        <v>-4235</v>
      </c>
      <c r="H12079" s="685" t="s">
        <v>7695</v>
      </c>
    </row>
    <row r="12080" spans="1:8" ht="15" x14ac:dyDescent="0.2">
      <c r="A12080" s="619">
        <v>44630</v>
      </c>
      <c r="B12080" s="63" t="s">
        <v>82</v>
      </c>
      <c r="C12080" s="63" t="s">
        <v>6476</v>
      </c>
      <c r="D12080" s="791" t="s">
        <v>7721</v>
      </c>
      <c r="E12080" s="126">
        <v>30000</v>
      </c>
      <c r="F12080" s="126"/>
      <c r="G12080" s="126">
        <f t="shared" si="194"/>
        <v>-30000</v>
      </c>
      <c r="H12080" s="685" t="s">
        <v>7695</v>
      </c>
    </row>
    <row r="12081" spans="1:8" ht="15" x14ac:dyDescent="0.2">
      <c r="A12081" s="619">
        <v>44630</v>
      </c>
      <c r="B12081" s="63" t="s">
        <v>2933</v>
      </c>
      <c r="C12081" s="63" t="s">
        <v>392</v>
      </c>
      <c r="D12081" s="791" t="s">
        <v>7722</v>
      </c>
      <c r="E12081" s="126">
        <v>1600</v>
      </c>
      <c r="F12081" s="126"/>
      <c r="G12081" s="126">
        <f t="shared" si="194"/>
        <v>-1600</v>
      </c>
      <c r="H12081" s="685" t="s">
        <v>7695</v>
      </c>
    </row>
    <row r="12082" spans="1:8" ht="15" x14ac:dyDescent="0.2">
      <c r="A12082" s="619">
        <v>44631</v>
      </c>
      <c r="B12082" s="63" t="s">
        <v>7657</v>
      </c>
      <c r="C12082" s="63" t="s">
        <v>5652</v>
      </c>
      <c r="D12082" s="791" t="s">
        <v>7723</v>
      </c>
      <c r="E12082" s="126">
        <v>9450</v>
      </c>
      <c r="F12082" s="126"/>
      <c r="G12082" s="126">
        <f t="shared" si="194"/>
        <v>-9450</v>
      </c>
      <c r="H12082" s="685" t="s">
        <v>7695</v>
      </c>
    </row>
    <row r="12083" spans="1:8" ht="15" x14ac:dyDescent="0.2">
      <c r="A12083" s="619">
        <v>44631</v>
      </c>
      <c r="B12083" s="63" t="s">
        <v>16</v>
      </c>
      <c r="C12083" s="63" t="s">
        <v>5341</v>
      </c>
      <c r="D12083" s="791" t="s">
        <v>7724</v>
      </c>
      <c r="E12083" s="126">
        <v>50000</v>
      </c>
      <c r="F12083" s="126"/>
      <c r="G12083" s="126">
        <f t="shared" si="194"/>
        <v>-50000</v>
      </c>
      <c r="H12083" s="685" t="s">
        <v>7695</v>
      </c>
    </row>
    <row r="12084" spans="1:8" ht="15" x14ac:dyDescent="0.2">
      <c r="A12084" s="619">
        <v>44631</v>
      </c>
      <c r="B12084" s="63" t="s">
        <v>7657</v>
      </c>
      <c r="C12084" s="63" t="s">
        <v>3145</v>
      </c>
      <c r="D12084" s="791" t="s">
        <v>7734</v>
      </c>
      <c r="E12084" s="126">
        <v>5000</v>
      </c>
      <c r="F12084" s="126"/>
      <c r="G12084" s="126">
        <f t="shared" si="194"/>
        <v>-5000</v>
      </c>
      <c r="H12084" s="685" t="s">
        <v>7695</v>
      </c>
    </row>
    <row r="12085" spans="1:8" ht="15" x14ac:dyDescent="0.2">
      <c r="A12085" s="619">
        <v>44631</v>
      </c>
      <c r="B12085" s="63" t="s">
        <v>7112</v>
      </c>
      <c r="C12085" s="63" t="s">
        <v>1896</v>
      </c>
      <c r="D12085" s="791" t="s">
        <v>7735</v>
      </c>
      <c r="E12085" s="126">
        <v>1000</v>
      </c>
      <c r="F12085" s="126"/>
      <c r="G12085" s="126">
        <f t="shared" si="194"/>
        <v>-1000</v>
      </c>
      <c r="H12085" s="685" t="s">
        <v>7695</v>
      </c>
    </row>
    <row r="12086" spans="1:8" ht="15" x14ac:dyDescent="0.2">
      <c r="A12086" s="619">
        <v>44634</v>
      </c>
      <c r="B12086" s="63" t="s">
        <v>7112</v>
      </c>
      <c r="C12086" s="63" t="s">
        <v>3145</v>
      </c>
      <c r="D12086" s="791" t="s">
        <v>4452</v>
      </c>
      <c r="E12086" s="126">
        <v>11300</v>
      </c>
      <c r="F12086" s="126"/>
      <c r="G12086" s="126">
        <f t="shared" si="194"/>
        <v>-11300</v>
      </c>
      <c r="H12086" s="685" t="s">
        <v>7695</v>
      </c>
    </row>
    <row r="12087" spans="1:8" ht="15" x14ac:dyDescent="0.2">
      <c r="A12087" s="619">
        <v>44635</v>
      </c>
      <c r="B12087" s="63" t="s">
        <v>7112</v>
      </c>
      <c r="C12087" s="63" t="s">
        <v>2002</v>
      </c>
      <c r="D12087" s="791" t="s">
        <v>7736</v>
      </c>
      <c r="E12087" s="126">
        <v>1500</v>
      </c>
      <c r="F12087" s="126"/>
      <c r="G12087" s="126">
        <f t="shared" si="194"/>
        <v>-1500</v>
      </c>
      <c r="H12087" s="685" t="s">
        <v>7695</v>
      </c>
    </row>
    <row r="12088" spans="1:8" ht="15" x14ac:dyDescent="0.2">
      <c r="A12088" s="619">
        <v>44635</v>
      </c>
      <c r="B12088" s="63" t="s">
        <v>7657</v>
      </c>
      <c r="C12088" s="63" t="s">
        <v>3145</v>
      </c>
      <c r="D12088" s="791" t="s">
        <v>7461</v>
      </c>
      <c r="E12088" s="126">
        <v>5345</v>
      </c>
      <c r="F12088" s="126"/>
      <c r="G12088" s="126">
        <f t="shared" si="194"/>
        <v>-5345</v>
      </c>
      <c r="H12088" s="685" t="s">
        <v>7695</v>
      </c>
    </row>
    <row r="12089" spans="1:8" ht="15" x14ac:dyDescent="0.2">
      <c r="A12089" s="619">
        <v>44638</v>
      </c>
      <c r="B12089" s="63" t="s">
        <v>7657</v>
      </c>
      <c r="C12089" s="63" t="s">
        <v>6249</v>
      </c>
      <c r="D12089" s="791" t="s">
        <v>7737</v>
      </c>
      <c r="E12089" s="126">
        <v>7000</v>
      </c>
      <c r="F12089" s="126"/>
      <c r="G12089" s="126">
        <f t="shared" si="194"/>
        <v>-7000</v>
      </c>
      <c r="H12089" s="685" t="s">
        <v>7695</v>
      </c>
    </row>
    <row r="12090" spans="1:8" ht="15" x14ac:dyDescent="0.2">
      <c r="A12090" s="619">
        <v>44638</v>
      </c>
      <c r="B12090" s="63" t="s">
        <v>37</v>
      </c>
      <c r="C12090" s="63" t="s">
        <v>6249</v>
      </c>
      <c r="D12090" s="791" t="s">
        <v>7737</v>
      </c>
      <c r="E12090" s="126">
        <v>7000</v>
      </c>
      <c r="F12090" s="126"/>
      <c r="G12090" s="126">
        <f t="shared" si="194"/>
        <v>-7000</v>
      </c>
      <c r="H12090" s="685" t="s">
        <v>7695</v>
      </c>
    </row>
    <row r="12091" spans="1:8" ht="15" x14ac:dyDescent="0.2">
      <c r="A12091" s="619">
        <v>44638</v>
      </c>
      <c r="B12091" s="63" t="s">
        <v>7732</v>
      </c>
      <c r="C12091" s="63" t="s">
        <v>2002</v>
      </c>
      <c r="D12091" s="791"/>
      <c r="E12091" s="126">
        <v>1500</v>
      </c>
      <c r="F12091" s="126"/>
      <c r="G12091" s="126">
        <f t="shared" si="194"/>
        <v>-1500</v>
      </c>
      <c r="H12091" s="685" t="s">
        <v>7695</v>
      </c>
    </row>
    <row r="12092" spans="1:8" ht="15" x14ac:dyDescent="0.2">
      <c r="A12092" s="619">
        <v>44639</v>
      </c>
      <c r="B12092" s="63" t="s">
        <v>4553</v>
      </c>
      <c r="C12092" s="63" t="s">
        <v>6476</v>
      </c>
      <c r="D12092" s="791" t="s">
        <v>1157</v>
      </c>
      <c r="E12092" s="126">
        <v>10000</v>
      </c>
      <c r="F12092" s="126"/>
      <c r="G12092" s="126">
        <f t="shared" si="194"/>
        <v>-10000</v>
      </c>
      <c r="H12092" s="685" t="s">
        <v>7695</v>
      </c>
    </row>
    <row r="12093" spans="1:8" ht="15" x14ac:dyDescent="0.2">
      <c r="A12093" s="619">
        <v>44639</v>
      </c>
      <c r="B12093" s="63" t="s">
        <v>7732</v>
      </c>
      <c r="C12093" s="63" t="s">
        <v>2002</v>
      </c>
      <c r="D12093" s="791"/>
      <c r="E12093" s="126">
        <v>3500</v>
      </c>
      <c r="F12093" s="126"/>
      <c r="G12093" s="126">
        <f t="shared" si="194"/>
        <v>-3500</v>
      </c>
      <c r="H12093" s="685" t="s">
        <v>7695</v>
      </c>
    </row>
    <row r="12094" spans="1:8" ht="15" x14ac:dyDescent="0.2">
      <c r="A12094" s="619">
        <v>44639</v>
      </c>
      <c r="B12094" s="41" t="s">
        <v>3733</v>
      </c>
      <c r="C12094" s="63" t="s">
        <v>2002</v>
      </c>
      <c r="D12094" s="791"/>
      <c r="E12094" s="126">
        <v>3500</v>
      </c>
      <c r="F12094" s="126"/>
      <c r="G12094" s="126">
        <f t="shared" si="194"/>
        <v>-3500</v>
      </c>
      <c r="H12094" s="685" t="s">
        <v>7695</v>
      </c>
    </row>
    <row r="12095" spans="1:8" ht="15" x14ac:dyDescent="0.2">
      <c r="A12095" s="619">
        <v>44641</v>
      </c>
      <c r="B12095" s="63" t="s">
        <v>2933</v>
      </c>
      <c r="C12095" s="63" t="s">
        <v>392</v>
      </c>
      <c r="D12095" s="791" t="s">
        <v>6386</v>
      </c>
      <c r="E12095" s="126">
        <v>1650</v>
      </c>
      <c r="F12095" s="126"/>
      <c r="G12095" s="126">
        <f t="shared" si="194"/>
        <v>-1650</v>
      </c>
      <c r="H12095" s="685" t="s">
        <v>7695</v>
      </c>
    </row>
    <row r="12096" spans="1:8" ht="15" customHeight="1" x14ac:dyDescent="0.2">
      <c r="A12096" s="619">
        <v>44642</v>
      </c>
      <c r="B12096" s="41" t="s">
        <v>3733</v>
      </c>
      <c r="C12096" s="63" t="s">
        <v>7412</v>
      </c>
      <c r="D12096" s="791" t="s">
        <v>7755</v>
      </c>
      <c r="E12096" s="126">
        <v>69600</v>
      </c>
      <c r="F12096" s="126"/>
      <c r="G12096" s="126">
        <f t="shared" si="194"/>
        <v>-69600</v>
      </c>
      <c r="H12096" s="685" t="s">
        <v>7695</v>
      </c>
    </row>
    <row r="12097" spans="1:8" ht="15" x14ac:dyDescent="0.2">
      <c r="A12097" s="619">
        <v>44642</v>
      </c>
      <c r="B12097" s="63" t="s">
        <v>6505</v>
      </c>
      <c r="C12097" s="63" t="s">
        <v>392</v>
      </c>
      <c r="D12097" s="791" t="s">
        <v>7756</v>
      </c>
      <c r="E12097" s="126">
        <v>4500</v>
      </c>
      <c r="F12097" s="126"/>
      <c r="G12097" s="126">
        <f t="shared" si="194"/>
        <v>-4500</v>
      </c>
      <c r="H12097" s="685" t="s">
        <v>7695</v>
      </c>
    </row>
    <row r="12098" spans="1:8" ht="15" x14ac:dyDescent="0.2">
      <c r="A12098" s="619">
        <v>44642</v>
      </c>
      <c r="B12098" s="41" t="s">
        <v>3733</v>
      </c>
      <c r="C12098" s="63" t="s">
        <v>1524</v>
      </c>
      <c r="D12098" s="791" t="s">
        <v>50</v>
      </c>
      <c r="E12098" s="126">
        <v>33200</v>
      </c>
      <c r="F12098" s="126"/>
      <c r="G12098" s="126">
        <f t="shared" si="194"/>
        <v>-33200</v>
      </c>
      <c r="H12098" s="685" t="s">
        <v>7695</v>
      </c>
    </row>
    <row r="12099" spans="1:8" ht="15" x14ac:dyDescent="0.2">
      <c r="A12099" s="619">
        <v>44642</v>
      </c>
      <c r="B12099" s="41" t="s">
        <v>3733</v>
      </c>
      <c r="C12099" s="63" t="s">
        <v>1063</v>
      </c>
      <c r="D12099" s="791" t="s">
        <v>7757</v>
      </c>
      <c r="E12099" s="126">
        <v>8400</v>
      </c>
      <c r="F12099" s="126"/>
      <c r="G12099" s="126">
        <f t="shared" si="194"/>
        <v>-8400</v>
      </c>
      <c r="H12099" s="685" t="s">
        <v>7695</v>
      </c>
    </row>
    <row r="12100" spans="1:8" ht="15" x14ac:dyDescent="0.2">
      <c r="A12100" s="619">
        <v>44642</v>
      </c>
      <c r="B12100" s="63" t="s">
        <v>16</v>
      </c>
      <c r="C12100" s="63" t="s">
        <v>2996</v>
      </c>
      <c r="D12100" s="791"/>
      <c r="E12100" s="126">
        <v>2500</v>
      </c>
      <c r="F12100" s="126"/>
      <c r="G12100" s="126">
        <f t="shared" si="194"/>
        <v>-2500</v>
      </c>
      <c r="H12100" s="685" t="s">
        <v>7695</v>
      </c>
    </row>
    <row r="12101" spans="1:8" ht="15" x14ac:dyDescent="0.2">
      <c r="A12101" s="619">
        <v>44642</v>
      </c>
      <c r="B12101" s="63" t="s">
        <v>16</v>
      </c>
      <c r="C12101" s="63" t="s">
        <v>5341</v>
      </c>
      <c r="D12101" s="791" t="s">
        <v>7758</v>
      </c>
      <c r="E12101" s="126">
        <v>30000</v>
      </c>
      <c r="F12101" s="126"/>
      <c r="G12101" s="126">
        <f t="shared" ref="G12101:G12164" si="195">F12101-E12101</f>
        <v>-30000</v>
      </c>
      <c r="H12101" s="685" t="s">
        <v>7695</v>
      </c>
    </row>
    <row r="12102" spans="1:8" ht="15" x14ac:dyDescent="0.2">
      <c r="A12102" s="619">
        <v>44644</v>
      </c>
      <c r="B12102" s="63" t="s">
        <v>6408</v>
      </c>
      <c r="C12102" s="63" t="s">
        <v>6832</v>
      </c>
      <c r="D12102" s="791" t="s">
        <v>7759</v>
      </c>
      <c r="E12102" s="126">
        <v>54000</v>
      </c>
      <c r="F12102" s="126"/>
      <c r="G12102" s="126">
        <f t="shared" si="195"/>
        <v>-54000</v>
      </c>
      <c r="H12102" s="685" t="s">
        <v>7695</v>
      </c>
    </row>
    <row r="12103" spans="1:8" ht="15" x14ac:dyDescent="0.2">
      <c r="A12103" s="619">
        <v>44644</v>
      </c>
      <c r="B12103" s="41" t="s">
        <v>3733</v>
      </c>
      <c r="C12103" s="63" t="s">
        <v>5741</v>
      </c>
      <c r="D12103" s="791"/>
      <c r="E12103" s="126">
        <v>400</v>
      </c>
      <c r="F12103" s="126"/>
      <c r="G12103" s="126">
        <f t="shared" si="195"/>
        <v>-400</v>
      </c>
      <c r="H12103" s="685" t="s">
        <v>7695</v>
      </c>
    </row>
    <row r="12104" spans="1:8" ht="15" x14ac:dyDescent="0.2">
      <c r="A12104" s="619">
        <v>44644</v>
      </c>
      <c r="B12104" s="41" t="s">
        <v>3733</v>
      </c>
      <c r="C12104" s="63" t="s">
        <v>392</v>
      </c>
      <c r="D12104" s="791" t="s">
        <v>7760</v>
      </c>
      <c r="E12104" s="126">
        <v>5000</v>
      </c>
      <c r="F12104" s="126"/>
      <c r="G12104" s="126">
        <f t="shared" si="195"/>
        <v>-5000</v>
      </c>
      <c r="H12104" s="685" t="s">
        <v>7695</v>
      </c>
    </row>
    <row r="12105" spans="1:8" ht="15" x14ac:dyDescent="0.2">
      <c r="A12105" s="619">
        <v>44644</v>
      </c>
      <c r="B12105" s="41" t="s">
        <v>3733</v>
      </c>
      <c r="C12105" s="63" t="s">
        <v>392</v>
      </c>
      <c r="D12105" s="791" t="s">
        <v>7760</v>
      </c>
      <c r="E12105" s="126">
        <v>1000</v>
      </c>
      <c r="F12105" s="126"/>
      <c r="G12105" s="126">
        <f t="shared" si="195"/>
        <v>-1000</v>
      </c>
      <c r="H12105" s="685" t="s">
        <v>7695</v>
      </c>
    </row>
    <row r="12106" spans="1:8" ht="15" x14ac:dyDescent="0.2">
      <c r="A12106" s="619">
        <v>44644</v>
      </c>
      <c r="B12106" s="63" t="s">
        <v>1400</v>
      </c>
      <c r="C12106" s="63" t="s">
        <v>551</v>
      </c>
      <c r="D12106" s="791" t="s">
        <v>7761</v>
      </c>
      <c r="E12106" s="126">
        <v>6510</v>
      </c>
      <c r="F12106" s="126"/>
      <c r="G12106" s="126">
        <f t="shared" si="195"/>
        <v>-6510</v>
      </c>
      <c r="H12106" s="685" t="s">
        <v>7695</v>
      </c>
    </row>
    <row r="12107" spans="1:8" ht="15" x14ac:dyDescent="0.2">
      <c r="A12107" s="619">
        <v>44644</v>
      </c>
      <c r="B12107" s="63" t="s">
        <v>1400</v>
      </c>
      <c r="C12107" s="63" t="s">
        <v>551</v>
      </c>
      <c r="D12107" s="791" t="s">
        <v>7762</v>
      </c>
      <c r="E12107" s="126">
        <v>4997</v>
      </c>
      <c r="F12107" s="126"/>
      <c r="G12107" s="126">
        <f t="shared" si="195"/>
        <v>-4997</v>
      </c>
      <c r="H12107" s="685" t="s">
        <v>7695</v>
      </c>
    </row>
    <row r="12108" spans="1:8" ht="15" x14ac:dyDescent="0.2">
      <c r="A12108" s="619">
        <v>44645</v>
      </c>
      <c r="B12108" s="63" t="s">
        <v>3946</v>
      </c>
      <c r="C12108" s="63" t="s">
        <v>392</v>
      </c>
      <c r="D12108" s="791" t="s">
        <v>7763</v>
      </c>
      <c r="E12108" s="126">
        <v>10500</v>
      </c>
      <c r="F12108" s="126"/>
      <c r="G12108" s="126">
        <f t="shared" si="195"/>
        <v>-10500</v>
      </c>
      <c r="H12108" s="685" t="s">
        <v>7695</v>
      </c>
    </row>
    <row r="12109" spans="1:8" ht="15" x14ac:dyDescent="0.2">
      <c r="A12109" s="619">
        <v>44645</v>
      </c>
      <c r="B12109" s="63" t="s">
        <v>3946</v>
      </c>
      <c r="C12109" s="63" t="s">
        <v>392</v>
      </c>
      <c r="D12109" s="791" t="s">
        <v>6577</v>
      </c>
      <c r="E12109" s="126">
        <v>4890</v>
      </c>
      <c r="F12109" s="126"/>
      <c r="G12109" s="126">
        <f t="shared" si="195"/>
        <v>-4890</v>
      </c>
      <c r="H12109" s="685" t="s">
        <v>7695</v>
      </c>
    </row>
    <row r="12110" spans="1:8" ht="15" x14ac:dyDescent="0.2">
      <c r="A12110" s="619">
        <v>44645</v>
      </c>
      <c r="B12110" s="63" t="s">
        <v>37</v>
      </c>
      <c r="C12110" s="63" t="s">
        <v>5652</v>
      </c>
      <c r="D12110" s="791"/>
      <c r="E12110" s="126">
        <v>6400</v>
      </c>
      <c r="F12110" s="126"/>
      <c r="G12110" s="126">
        <f t="shared" si="195"/>
        <v>-6400</v>
      </c>
      <c r="H12110" s="685" t="s">
        <v>7695</v>
      </c>
    </row>
    <row r="12111" spans="1:8" ht="15" x14ac:dyDescent="0.2">
      <c r="A12111" s="619">
        <v>44645</v>
      </c>
      <c r="B12111" s="63" t="s">
        <v>7657</v>
      </c>
      <c r="C12111" s="63" t="s">
        <v>5652</v>
      </c>
      <c r="D12111" s="791"/>
      <c r="E12111" s="126">
        <v>6400</v>
      </c>
      <c r="F12111" s="126"/>
      <c r="G12111" s="126">
        <f t="shared" si="195"/>
        <v>-6400</v>
      </c>
      <c r="H12111" s="685" t="s">
        <v>7695</v>
      </c>
    </row>
    <row r="12112" spans="1:8" ht="15" x14ac:dyDescent="0.2">
      <c r="A12112" s="619">
        <v>44645</v>
      </c>
      <c r="B12112" s="63" t="s">
        <v>7732</v>
      </c>
      <c r="C12112" s="63" t="s">
        <v>5652</v>
      </c>
      <c r="D12112" s="791"/>
      <c r="E12112" s="126">
        <v>6400</v>
      </c>
      <c r="F12112" s="126"/>
      <c r="G12112" s="126">
        <f t="shared" si="195"/>
        <v>-6400</v>
      </c>
      <c r="H12112" s="685" t="s">
        <v>7695</v>
      </c>
    </row>
    <row r="12113" spans="1:8" ht="15" x14ac:dyDescent="0.2">
      <c r="A12113" s="619">
        <v>44645</v>
      </c>
      <c r="B12113" s="41" t="s">
        <v>3733</v>
      </c>
      <c r="C12113" s="63" t="s">
        <v>5652</v>
      </c>
      <c r="D12113" s="791"/>
      <c r="E12113" s="126">
        <v>6400</v>
      </c>
      <c r="F12113" s="126"/>
      <c r="G12113" s="126">
        <f t="shared" si="195"/>
        <v>-6400</v>
      </c>
      <c r="H12113" s="685" t="s">
        <v>7695</v>
      </c>
    </row>
    <row r="12114" spans="1:8" ht="15" x14ac:dyDescent="0.2">
      <c r="A12114" s="619">
        <v>44645</v>
      </c>
      <c r="B12114" s="63" t="s">
        <v>1400</v>
      </c>
      <c r="C12114" s="63"/>
      <c r="D12114" s="791"/>
      <c r="E12114" s="126">
        <v>60</v>
      </c>
      <c r="F12114" s="126"/>
      <c r="G12114" s="126">
        <f t="shared" si="195"/>
        <v>-60</v>
      </c>
      <c r="H12114" s="685" t="s">
        <v>7695</v>
      </c>
    </row>
    <row r="12115" spans="1:8" ht="15" x14ac:dyDescent="0.2">
      <c r="A12115" s="619">
        <v>44645</v>
      </c>
      <c r="B12115" s="63" t="s">
        <v>25</v>
      </c>
      <c r="C12115" s="63" t="s">
        <v>1689</v>
      </c>
      <c r="D12115" s="791"/>
      <c r="E12115" s="126">
        <v>16015</v>
      </c>
      <c r="F12115" s="126"/>
      <c r="G12115" s="126">
        <f t="shared" si="195"/>
        <v>-16015</v>
      </c>
      <c r="H12115" s="685" t="s">
        <v>7695</v>
      </c>
    </row>
    <row r="12116" spans="1:8" ht="15" x14ac:dyDescent="0.2">
      <c r="A12116" s="619">
        <v>44645</v>
      </c>
      <c r="B12116" s="63" t="s">
        <v>16</v>
      </c>
      <c r="C12116" s="63" t="s">
        <v>1689</v>
      </c>
      <c r="D12116" s="791"/>
      <c r="E12116" s="126">
        <v>4410</v>
      </c>
      <c r="F12116" s="126"/>
      <c r="G12116" s="126">
        <f t="shared" si="195"/>
        <v>-4410</v>
      </c>
      <c r="H12116" s="685" t="s">
        <v>7695</v>
      </c>
    </row>
    <row r="12117" spans="1:8" ht="15" x14ac:dyDescent="0.2">
      <c r="A12117" s="619">
        <v>44645</v>
      </c>
      <c r="B12117" s="63" t="s">
        <v>7657</v>
      </c>
      <c r="C12117" s="63" t="s">
        <v>7713</v>
      </c>
      <c r="D12117" s="791" t="s">
        <v>5399</v>
      </c>
      <c r="E12117" s="126">
        <v>25000</v>
      </c>
      <c r="F12117" s="126"/>
      <c r="G12117" s="126">
        <f t="shared" si="195"/>
        <v>-25000</v>
      </c>
      <c r="H12117" s="685" t="s">
        <v>7695</v>
      </c>
    </row>
    <row r="12118" spans="1:8" ht="15" x14ac:dyDescent="0.2">
      <c r="A12118" s="619">
        <v>44645</v>
      </c>
      <c r="B12118" s="63" t="s">
        <v>7732</v>
      </c>
      <c r="C12118" s="63" t="s">
        <v>2002</v>
      </c>
      <c r="D12118" s="791"/>
      <c r="E12118" s="126">
        <v>600</v>
      </c>
      <c r="F12118" s="126"/>
      <c r="G12118" s="126">
        <f t="shared" si="195"/>
        <v>-600</v>
      </c>
      <c r="H12118" s="685" t="s">
        <v>7695</v>
      </c>
    </row>
    <row r="12119" spans="1:8" ht="15" x14ac:dyDescent="0.2">
      <c r="A12119" s="619">
        <v>44645</v>
      </c>
      <c r="B12119" s="41" t="s">
        <v>3733</v>
      </c>
      <c r="C12119" s="63" t="s">
        <v>2002</v>
      </c>
      <c r="D12119" s="791"/>
      <c r="E12119" s="126">
        <v>600</v>
      </c>
      <c r="F12119" s="126"/>
      <c r="G12119" s="126">
        <f t="shared" si="195"/>
        <v>-600</v>
      </c>
      <c r="H12119" s="685" t="s">
        <v>7695</v>
      </c>
    </row>
    <row r="12120" spans="1:8" ht="15" x14ac:dyDescent="0.2">
      <c r="A12120" s="619">
        <v>44645</v>
      </c>
      <c r="B12120" s="63" t="s">
        <v>6505</v>
      </c>
      <c r="C12120" s="63" t="s">
        <v>3145</v>
      </c>
      <c r="D12120" s="791" t="s">
        <v>4450</v>
      </c>
      <c r="E12120" s="126">
        <v>20820</v>
      </c>
      <c r="F12120" s="126"/>
      <c r="G12120" s="126">
        <f t="shared" si="195"/>
        <v>-20820</v>
      </c>
      <c r="H12120" s="685" t="s">
        <v>7695</v>
      </c>
    </row>
    <row r="12121" spans="1:8" ht="15" x14ac:dyDescent="0.2">
      <c r="A12121" s="619">
        <v>44645</v>
      </c>
      <c r="B12121" s="63" t="s">
        <v>7657</v>
      </c>
      <c r="C12121" s="63" t="s">
        <v>392</v>
      </c>
      <c r="D12121" s="791" t="s">
        <v>1617</v>
      </c>
      <c r="E12121" s="126">
        <v>300</v>
      </c>
      <c r="F12121" s="126"/>
      <c r="G12121" s="126">
        <f t="shared" si="195"/>
        <v>-300</v>
      </c>
      <c r="H12121" s="685" t="s">
        <v>7695</v>
      </c>
    </row>
    <row r="12122" spans="1:8" ht="15" x14ac:dyDescent="0.2">
      <c r="A12122" s="619">
        <v>44645</v>
      </c>
      <c r="B12122" s="63" t="s">
        <v>3946</v>
      </c>
      <c r="C12122" s="63" t="s">
        <v>3145</v>
      </c>
      <c r="D12122" s="791" t="s">
        <v>7767</v>
      </c>
      <c r="E12122" s="126">
        <v>14000</v>
      </c>
      <c r="F12122" s="126"/>
      <c r="G12122" s="126">
        <f t="shared" si="195"/>
        <v>-14000</v>
      </c>
      <c r="H12122" s="685" t="s">
        <v>7695</v>
      </c>
    </row>
    <row r="12123" spans="1:8" ht="15" x14ac:dyDescent="0.2">
      <c r="A12123" s="619">
        <v>44645</v>
      </c>
      <c r="B12123" s="63" t="s">
        <v>82</v>
      </c>
      <c r="C12123" s="63" t="s">
        <v>3145</v>
      </c>
      <c r="D12123" s="791" t="s">
        <v>6263</v>
      </c>
      <c r="E12123" s="126">
        <v>3350</v>
      </c>
      <c r="F12123" s="126"/>
      <c r="G12123" s="126">
        <f t="shared" si="195"/>
        <v>-3350</v>
      </c>
      <c r="H12123" s="685" t="s">
        <v>7695</v>
      </c>
    </row>
    <row r="12124" spans="1:8" ht="15" x14ac:dyDescent="0.2">
      <c r="A12124" s="619">
        <v>44645</v>
      </c>
      <c r="B12124" s="63" t="s">
        <v>3946</v>
      </c>
      <c r="C12124" s="63" t="s">
        <v>3145</v>
      </c>
      <c r="D12124" s="791" t="s">
        <v>6263</v>
      </c>
      <c r="E12124" s="126">
        <v>1500</v>
      </c>
      <c r="F12124" s="126"/>
      <c r="G12124" s="126">
        <f t="shared" si="195"/>
        <v>-1500</v>
      </c>
      <c r="H12124" s="685" t="s">
        <v>7695</v>
      </c>
    </row>
    <row r="12125" spans="1:8" ht="15" x14ac:dyDescent="0.2">
      <c r="A12125" s="619">
        <v>44645</v>
      </c>
      <c r="B12125" s="63" t="s">
        <v>3946</v>
      </c>
      <c r="C12125" s="63" t="s">
        <v>3446</v>
      </c>
      <c r="D12125" s="791" t="s">
        <v>7374</v>
      </c>
      <c r="E12125" s="126">
        <v>12000</v>
      </c>
      <c r="F12125" s="126"/>
      <c r="G12125" s="126">
        <f t="shared" si="195"/>
        <v>-12000</v>
      </c>
      <c r="H12125" s="685" t="s">
        <v>7695</v>
      </c>
    </row>
    <row r="12126" spans="1:8" ht="15" x14ac:dyDescent="0.2">
      <c r="A12126" s="619">
        <v>44646</v>
      </c>
      <c r="B12126" s="41" t="s">
        <v>3733</v>
      </c>
      <c r="C12126" s="63" t="s">
        <v>3145</v>
      </c>
      <c r="D12126" s="791" t="s">
        <v>7768</v>
      </c>
      <c r="E12126" s="126">
        <v>4940</v>
      </c>
      <c r="F12126" s="126"/>
      <c r="G12126" s="126">
        <f t="shared" si="195"/>
        <v>-4940</v>
      </c>
      <c r="H12126" s="685" t="s">
        <v>7695</v>
      </c>
    </row>
    <row r="12127" spans="1:8" ht="15" x14ac:dyDescent="0.2">
      <c r="A12127" s="619">
        <v>44646</v>
      </c>
      <c r="B12127" s="63" t="s">
        <v>7732</v>
      </c>
      <c r="C12127" s="63" t="s">
        <v>3145</v>
      </c>
      <c r="D12127" s="791" t="s">
        <v>7768</v>
      </c>
      <c r="E12127" s="126">
        <v>4940</v>
      </c>
      <c r="F12127" s="126"/>
      <c r="G12127" s="126">
        <f t="shared" si="195"/>
        <v>-4940</v>
      </c>
      <c r="H12127" s="685" t="s">
        <v>7695</v>
      </c>
    </row>
    <row r="12128" spans="1:8" ht="15" x14ac:dyDescent="0.2">
      <c r="A12128" s="619">
        <v>44646</v>
      </c>
      <c r="B12128" s="63" t="s">
        <v>37</v>
      </c>
      <c r="C12128" s="63" t="s">
        <v>392</v>
      </c>
      <c r="D12128" s="791" t="s">
        <v>7769</v>
      </c>
      <c r="E12128" s="126">
        <v>1500</v>
      </c>
      <c r="F12128" s="126"/>
      <c r="G12128" s="126">
        <f t="shared" si="195"/>
        <v>-1500</v>
      </c>
      <c r="H12128" s="685" t="s">
        <v>7695</v>
      </c>
    </row>
    <row r="12129" spans="1:8" ht="15" x14ac:dyDescent="0.2">
      <c r="A12129" s="619">
        <v>44646</v>
      </c>
      <c r="B12129" s="63" t="s">
        <v>7555</v>
      </c>
      <c r="C12129" s="63" t="s">
        <v>3446</v>
      </c>
      <c r="D12129" s="791" t="s">
        <v>7770</v>
      </c>
      <c r="E12129" s="126">
        <v>10000</v>
      </c>
      <c r="F12129" s="126"/>
      <c r="G12129" s="126">
        <f t="shared" si="195"/>
        <v>-10000</v>
      </c>
      <c r="H12129" s="685" t="s">
        <v>7695</v>
      </c>
    </row>
    <row r="12130" spans="1:8" ht="15" x14ac:dyDescent="0.2">
      <c r="A12130" s="619">
        <v>44646</v>
      </c>
      <c r="B12130" s="63" t="s">
        <v>2933</v>
      </c>
      <c r="C12130" s="63" t="s">
        <v>392</v>
      </c>
      <c r="D12130" s="791" t="s">
        <v>7553</v>
      </c>
      <c r="E12130" s="126">
        <v>1360</v>
      </c>
      <c r="F12130" s="126"/>
      <c r="G12130" s="126">
        <f t="shared" si="195"/>
        <v>-1360</v>
      </c>
      <c r="H12130" s="685" t="s">
        <v>7695</v>
      </c>
    </row>
    <row r="12131" spans="1:8" ht="15" x14ac:dyDescent="0.2">
      <c r="A12131" s="619">
        <v>44646</v>
      </c>
      <c r="B12131" s="63" t="s">
        <v>16</v>
      </c>
      <c r="C12131" s="63" t="s">
        <v>5341</v>
      </c>
      <c r="D12131" s="791" t="s">
        <v>7771</v>
      </c>
      <c r="E12131" s="126">
        <v>30000</v>
      </c>
      <c r="F12131" s="126"/>
      <c r="G12131" s="126">
        <f t="shared" si="195"/>
        <v>-30000</v>
      </c>
      <c r="H12131" s="685" t="s">
        <v>7695</v>
      </c>
    </row>
    <row r="12132" spans="1:8" ht="15" x14ac:dyDescent="0.2">
      <c r="A12132" s="619">
        <v>44646</v>
      </c>
      <c r="B12132" s="63" t="s">
        <v>6508</v>
      </c>
      <c r="C12132" s="63" t="s">
        <v>3145</v>
      </c>
      <c r="D12132" s="791" t="s">
        <v>7772</v>
      </c>
      <c r="E12132" s="126">
        <v>1100</v>
      </c>
      <c r="F12132" s="126"/>
      <c r="G12132" s="126">
        <f t="shared" si="195"/>
        <v>-1100</v>
      </c>
      <c r="H12132" s="685" t="s">
        <v>7695</v>
      </c>
    </row>
    <row r="12133" spans="1:8" ht="15" x14ac:dyDescent="0.2">
      <c r="A12133" s="619">
        <v>44646</v>
      </c>
      <c r="B12133" s="63" t="s">
        <v>25</v>
      </c>
      <c r="C12133" s="63" t="s">
        <v>2428</v>
      </c>
      <c r="D12133" s="791" t="s">
        <v>7773</v>
      </c>
      <c r="E12133" s="126">
        <v>35311</v>
      </c>
      <c r="F12133" s="126"/>
      <c r="G12133" s="126">
        <f t="shared" si="195"/>
        <v>-35311</v>
      </c>
      <c r="H12133" s="685" t="s">
        <v>7695</v>
      </c>
    </row>
    <row r="12134" spans="1:8" ht="15" x14ac:dyDescent="0.2">
      <c r="A12134" s="619">
        <v>44646</v>
      </c>
      <c r="B12134" s="63" t="s">
        <v>25</v>
      </c>
      <c r="C12134" s="63" t="s">
        <v>1005</v>
      </c>
      <c r="D12134" s="791"/>
      <c r="E12134" s="126">
        <v>650</v>
      </c>
      <c r="F12134" s="126"/>
      <c r="G12134" s="126">
        <f t="shared" si="195"/>
        <v>-650</v>
      </c>
      <c r="H12134" s="685" t="s">
        <v>7695</v>
      </c>
    </row>
    <row r="12135" spans="1:8" ht="15" x14ac:dyDescent="0.2">
      <c r="A12135" s="619">
        <v>44646</v>
      </c>
      <c r="B12135" s="63" t="s">
        <v>6505</v>
      </c>
      <c r="C12135" s="670" t="s">
        <v>6852</v>
      </c>
      <c r="D12135" s="912" t="s">
        <v>370</v>
      </c>
      <c r="E12135" s="672">
        <v>12000</v>
      </c>
      <c r="F12135" s="126"/>
      <c r="G12135" s="126">
        <f t="shared" si="195"/>
        <v>-12000</v>
      </c>
      <c r="H12135" s="685" t="s">
        <v>7695</v>
      </c>
    </row>
    <row r="12136" spans="1:8" ht="15" x14ac:dyDescent="0.2">
      <c r="A12136" s="619">
        <v>44646</v>
      </c>
      <c r="B12136" s="63" t="s">
        <v>6508</v>
      </c>
      <c r="C12136" s="670" t="s">
        <v>6852</v>
      </c>
      <c r="D12136" s="912" t="s">
        <v>370</v>
      </c>
      <c r="E12136" s="672">
        <v>6000</v>
      </c>
      <c r="F12136" s="126"/>
      <c r="G12136" s="126">
        <f t="shared" si="195"/>
        <v>-6000</v>
      </c>
      <c r="H12136" s="685" t="s">
        <v>7695</v>
      </c>
    </row>
    <row r="12137" spans="1:8" ht="15" x14ac:dyDescent="0.2">
      <c r="A12137" s="619">
        <v>44651</v>
      </c>
      <c r="B12137" s="63" t="s">
        <v>37</v>
      </c>
      <c r="C12137" s="551" t="s">
        <v>3033</v>
      </c>
      <c r="D12137" s="904" t="s">
        <v>370</v>
      </c>
      <c r="E12137" s="552">
        <v>8000</v>
      </c>
      <c r="F12137" s="126"/>
      <c r="G12137" s="126">
        <f t="shared" si="195"/>
        <v>-8000</v>
      </c>
      <c r="H12137" s="685" t="s">
        <v>7695</v>
      </c>
    </row>
    <row r="12138" spans="1:8" ht="15" x14ac:dyDescent="0.2">
      <c r="A12138" s="619">
        <v>44651</v>
      </c>
      <c r="B12138" s="63" t="s">
        <v>7657</v>
      </c>
      <c r="C12138" s="551" t="s">
        <v>3033</v>
      </c>
      <c r="D12138" s="904" t="s">
        <v>370</v>
      </c>
      <c r="E12138" s="552">
        <v>20000</v>
      </c>
      <c r="F12138" s="126"/>
      <c r="G12138" s="126">
        <f t="shared" si="195"/>
        <v>-20000</v>
      </c>
      <c r="H12138" s="685" t="s">
        <v>7695</v>
      </c>
    </row>
    <row r="12139" spans="1:8" ht="15" x14ac:dyDescent="0.2">
      <c r="A12139" s="619">
        <v>44651</v>
      </c>
      <c r="B12139" s="63" t="s">
        <v>3946</v>
      </c>
      <c r="C12139" s="551" t="s">
        <v>3033</v>
      </c>
      <c r="D12139" s="904" t="s">
        <v>370</v>
      </c>
      <c r="E12139" s="552">
        <v>2000</v>
      </c>
      <c r="F12139" s="126"/>
      <c r="G12139" s="126">
        <f t="shared" si="195"/>
        <v>-2000</v>
      </c>
      <c r="H12139" s="685" t="s">
        <v>7695</v>
      </c>
    </row>
    <row r="12140" spans="1:8" ht="15" x14ac:dyDescent="0.2">
      <c r="A12140" s="619">
        <v>44651</v>
      </c>
      <c r="B12140" s="63" t="s">
        <v>7112</v>
      </c>
      <c r="C12140" s="63" t="s">
        <v>1063</v>
      </c>
      <c r="D12140" s="791" t="s">
        <v>370</v>
      </c>
      <c r="E12140" s="126">
        <v>21600</v>
      </c>
      <c r="F12140" s="126"/>
      <c r="G12140" s="126">
        <f t="shared" si="195"/>
        <v>-21600</v>
      </c>
      <c r="H12140" s="685" t="s">
        <v>7695</v>
      </c>
    </row>
    <row r="12141" spans="1:8" ht="15" x14ac:dyDescent="0.2">
      <c r="A12141" s="619">
        <v>44651</v>
      </c>
      <c r="B12141" s="63" t="s">
        <v>16</v>
      </c>
      <c r="C12141" s="63" t="s">
        <v>463</v>
      </c>
      <c r="D12141" s="791" t="s">
        <v>7820</v>
      </c>
      <c r="E12141" s="126">
        <v>16205</v>
      </c>
      <c r="F12141" s="126"/>
      <c r="G12141" s="126">
        <f t="shared" si="195"/>
        <v>-16205</v>
      </c>
      <c r="H12141" s="685" t="s">
        <v>7695</v>
      </c>
    </row>
    <row r="12142" spans="1:8" ht="15" x14ac:dyDescent="0.2">
      <c r="A12142" s="619">
        <v>44651</v>
      </c>
      <c r="B12142" s="63" t="s">
        <v>2933</v>
      </c>
      <c r="C12142" s="63" t="s">
        <v>392</v>
      </c>
      <c r="D12142" s="791" t="s">
        <v>7774</v>
      </c>
      <c r="E12142" s="126">
        <v>1310</v>
      </c>
      <c r="F12142" s="126"/>
      <c r="G12142" s="126">
        <f t="shared" si="195"/>
        <v>-1310</v>
      </c>
      <c r="H12142" s="685" t="s">
        <v>7695</v>
      </c>
    </row>
    <row r="12143" spans="1:8" ht="15" x14ac:dyDescent="0.2">
      <c r="A12143" s="619">
        <v>44651</v>
      </c>
      <c r="B12143" s="63" t="s">
        <v>7112</v>
      </c>
      <c r="C12143" s="63" t="s">
        <v>2503</v>
      </c>
      <c r="D12143" s="791" t="s">
        <v>7097</v>
      </c>
      <c r="E12143" s="126">
        <v>25000</v>
      </c>
      <c r="F12143" s="126"/>
      <c r="G12143" s="126">
        <f t="shared" si="195"/>
        <v>-25000</v>
      </c>
      <c r="H12143" s="685" t="s">
        <v>7695</v>
      </c>
    </row>
    <row r="12144" spans="1:8" ht="15" x14ac:dyDescent="0.2">
      <c r="A12144" s="619">
        <v>44651</v>
      </c>
      <c r="B12144" s="63" t="s">
        <v>6505</v>
      </c>
      <c r="C12144" s="63" t="s">
        <v>2503</v>
      </c>
      <c r="D12144" s="791" t="s">
        <v>141</v>
      </c>
      <c r="E12144" s="126">
        <v>25000</v>
      </c>
      <c r="F12144" s="126"/>
      <c r="G12144" s="126">
        <f t="shared" si="195"/>
        <v>-25000</v>
      </c>
      <c r="H12144" s="685" t="s">
        <v>7695</v>
      </c>
    </row>
    <row r="12145" spans="1:8" ht="15" x14ac:dyDescent="0.2">
      <c r="A12145" s="619">
        <v>44651</v>
      </c>
      <c r="B12145" s="63" t="s">
        <v>7067</v>
      </c>
      <c r="C12145" s="63" t="s">
        <v>2503</v>
      </c>
      <c r="D12145" s="791" t="s">
        <v>141</v>
      </c>
      <c r="E12145" s="126">
        <v>25000</v>
      </c>
      <c r="F12145" s="126"/>
      <c r="G12145" s="126">
        <f t="shared" si="195"/>
        <v>-25000</v>
      </c>
      <c r="H12145" s="685" t="s">
        <v>7695</v>
      </c>
    </row>
    <row r="12146" spans="1:8" ht="15" x14ac:dyDescent="0.2">
      <c r="A12146" s="619">
        <v>44651</v>
      </c>
      <c r="B12146" s="63" t="s">
        <v>6408</v>
      </c>
      <c r="C12146" s="63" t="s">
        <v>2503</v>
      </c>
      <c r="D12146" s="791" t="s">
        <v>141</v>
      </c>
      <c r="E12146" s="126">
        <v>25000</v>
      </c>
      <c r="F12146" s="126"/>
      <c r="G12146" s="126">
        <f t="shared" si="195"/>
        <v>-25000</v>
      </c>
      <c r="H12146" s="685" t="s">
        <v>7695</v>
      </c>
    </row>
    <row r="12147" spans="1:8" ht="15" x14ac:dyDescent="0.2">
      <c r="A12147" s="619">
        <v>44651</v>
      </c>
      <c r="B12147" s="63" t="s">
        <v>25</v>
      </c>
      <c r="C12147" s="63" t="s">
        <v>2503</v>
      </c>
      <c r="D12147" s="791" t="s">
        <v>7816</v>
      </c>
      <c r="E12147" s="126">
        <v>70000</v>
      </c>
      <c r="F12147" s="126"/>
      <c r="G12147" s="126">
        <f t="shared" si="195"/>
        <v>-70000</v>
      </c>
      <c r="H12147" s="685" t="s">
        <v>7695</v>
      </c>
    </row>
    <row r="12148" spans="1:8" ht="15" x14ac:dyDescent="0.2">
      <c r="A12148" s="619">
        <v>44651</v>
      </c>
      <c r="B12148" s="63" t="s">
        <v>16</v>
      </c>
      <c r="C12148" s="63" t="s">
        <v>2503</v>
      </c>
      <c r="D12148" s="791" t="s">
        <v>103</v>
      </c>
      <c r="E12148" s="126">
        <v>95000</v>
      </c>
      <c r="F12148" s="126"/>
      <c r="G12148" s="126">
        <f t="shared" si="195"/>
        <v>-95000</v>
      </c>
      <c r="H12148" s="685" t="s">
        <v>7695</v>
      </c>
    </row>
    <row r="12149" spans="1:8" ht="15" x14ac:dyDescent="0.2">
      <c r="A12149" s="619">
        <v>44651</v>
      </c>
      <c r="B12149" s="63" t="s">
        <v>3945</v>
      </c>
      <c r="C12149" s="63" t="s">
        <v>2503</v>
      </c>
      <c r="D12149" s="791"/>
      <c r="E12149" s="126">
        <v>84112.903225806454</v>
      </c>
      <c r="F12149" s="126"/>
      <c r="G12149" s="126">
        <f t="shared" si="195"/>
        <v>-84112.903225806454</v>
      </c>
      <c r="H12149" s="685" t="s">
        <v>7695</v>
      </c>
    </row>
    <row r="12150" spans="1:8" ht="15" x14ac:dyDescent="0.2">
      <c r="A12150" s="619">
        <v>44651</v>
      </c>
      <c r="B12150" s="63" t="s">
        <v>3946</v>
      </c>
      <c r="C12150" s="63" t="s">
        <v>2503</v>
      </c>
      <c r="D12150" s="791"/>
      <c r="E12150" s="126">
        <v>117036.29032258064</v>
      </c>
      <c r="F12150" s="126"/>
      <c r="G12150" s="126">
        <f t="shared" si="195"/>
        <v>-117036.29032258064</v>
      </c>
      <c r="H12150" s="685" t="s">
        <v>7695</v>
      </c>
    </row>
    <row r="12151" spans="1:8" ht="15" x14ac:dyDescent="0.2">
      <c r="A12151" s="619">
        <v>44651</v>
      </c>
      <c r="B12151" s="63" t="s">
        <v>6505</v>
      </c>
      <c r="C12151" s="63" t="s">
        <v>2503</v>
      </c>
      <c r="D12151" s="791"/>
      <c r="E12151" s="126">
        <v>227870.96774193546</v>
      </c>
      <c r="F12151" s="126"/>
      <c r="G12151" s="126">
        <f t="shared" si="195"/>
        <v>-227870.96774193546</v>
      </c>
      <c r="H12151" s="685" t="s">
        <v>7695</v>
      </c>
    </row>
    <row r="12152" spans="1:8" ht="15" x14ac:dyDescent="0.2">
      <c r="A12152" s="619">
        <v>44651</v>
      </c>
      <c r="B12152" s="63" t="s">
        <v>37</v>
      </c>
      <c r="C12152" s="63" t="s">
        <v>2503</v>
      </c>
      <c r="D12152" s="791"/>
      <c r="E12152" s="126">
        <v>117750</v>
      </c>
      <c r="F12152" s="126"/>
      <c r="G12152" s="126">
        <f t="shared" si="195"/>
        <v>-117750</v>
      </c>
      <c r="H12152" s="685" t="s">
        <v>7695</v>
      </c>
    </row>
    <row r="12153" spans="1:8" ht="15" x14ac:dyDescent="0.2">
      <c r="A12153" s="619">
        <v>44651</v>
      </c>
      <c r="B12153" s="63" t="s">
        <v>2933</v>
      </c>
      <c r="C12153" s="63" t="s">
        <v>2503</v>
      </c>
      <c r="D12153" s="791"/>
      <c r="E12153" s="126">
        <v>73387.096774193546</v>
      </c>
      <c r="F12153" s="126"/>
      <c r="G12153" s="126">
        <f t="shared" si="195"/>
        <v>-73387.096774193546</v>
      </c>
      <c r="H12153" s="685" t="s">
        <v>7695</v>
      </c>
    </row>
    <row r="12154" spans="1:8" ht="15" x14ac:dyDescent="0.2">
      <c r="A12154" s="619">
        <v>44651</v>
      </c>
      <c r="B12154" s="63" t="s">
        <v>7732</v>
      </c>
      <c r="C12154" s="63" t="s">
        <v>2503</v>
      </c>
      <c r="D12154" s="791"/>
      <c r="E12154" s="126">
        <v>54766.129032258061</v>
      </c>
      <c r="F12154" s="126"/>
      <c r="G12154" s="126">
        <f t="shared" si="195"/>
        <v>-54766.129032258061</v>
      </c>
      <c r="H12154" s="685" t="s">
        <v>7695</v>
      </c>
    </row>
    <row r="12155" spans="1:8" ht="15" x14ac:dyDescent="0.2">
      <c r="A12155" s="619">
        <v>44651</v>
      </c>
      <c r="B12155" s="63" t="s">
        <v>5811</v>
      </c>
      <c r="C12155" s="63" t="s">
        <v>2503</v>
      </c>
      <c r="D12155" s="791"/>
      <c r="E12155" s="126">
        <v>25822.580645161292</v>
      </c>
      <c r="F12155" s="126"/>
      <c r="G12155" s="126">
        <f t="shared" si="195"/>
        <v>-25822.580645161292</v>
      </c>
      <c r="H12155" s="685" t="s">
        <v>7695</v>
      </c>
    </row>
    <row r="12156" spans="1:8" ht="15" x14ac:dyDescent="0.2">
      <c r="A12156" s="619">
        <v>44651</v>
      </c>
      <c r="B12156" s="63" t="s">
        <v>4553</v>
      </c>
      <c r="C12156" s="63" t="s">
        <v>2503</v>
      </c>
      <c r="D12156" s="791"/>
      <c r="E12156" s="126">
        <v>24129.032258064515</v>
      </c>
      <c r="F12156" s="126"/>
      <c r="G12156" s="126">
        <f t="shared" si="195"/>
        <v>-24129.032258064515</v>
      </c>
      <c r="H12156" s="685" t="s">
        <v>7695</v>
      </c>
    </row>
    <row r="12157" spans="1:8" ht="15" x14ac:dyDescent="0.2">
      <c r="A12157" s="619">
        <v>44651</v>
      </c>
      <c r="B12157" s="41" t="s">
        <v>3733</v>
      </c>
      <c r="C12157" s="63" t="s">
        <v>2503</v>
      </c>
      <c r="D12157" s="791"/>
      <c r="E12157" s="126">
        <v>64846.774193548386</v>
      </c>
      <c r="F12157" s="126"/>
      <c r="G12157" s="126">
        <f t="shared" si="195"/>
        <v>-64846.774193548386</v>
      </c>
      <c r="H12157" s="685" t="s">
        <v>7695</v>
      </c>
    </row>
    <row r="12158" spans="1:8" ht="15" x14ac:dyDescent="0.2">
      <c r="A12158" s="619">
        <v>44651</v>
      </c>
      <c r="B12158" s="63" t="s">
        <v>7112</v>
      </c>
      <c r="C12158" s="63" t="s">
        <v>2503</v>
      </c>
      <c r="D12158" s="791"/>
      <c r="E12158" s="126">
        <v>26943.548387096773</v>
      </c>
      <c r="F12158" s="126"/>
      <c r="G12158" s="126">
        <f t="shared" si="195"/>
        <v>-26943.548387096773</v>
      </c>
      <c r="H12158" s="685" t="s">
        <v>7695</v>
      </c>
    </row>
    <row r="12159" spans="1:8" ht="15" x14ac:dyDescent="0.2">
      <c r="A12159" s="619">
        <v>44651</v>
      </c>
      <c r="B12159" s="63" t="s">
        <v>7555</v>
      </c>
      <c r="C12159" s="63" t="s">
        <v>2503</v>
      </c>
      <c r="D12159" s="791"/>
      <c r="E12159" s="126">
        <v>32798.387096774197</v>
      </c>
      <c r="F12159" s="126"/>
      <c r="G12159" s="126">
        <f t="shared" si="195"/>
        <v>-32798.387096774197</v>
      </c>
      <c r="H12159" s="685" t="s">
        <v>7695</v>
      </c>
    </row>
    <row r="12160" spans="1:8" ht="15" x14ac:dyDescent="0.2">
      <c r="A12160" s="620">
        <v>44627</v>
      </c>
      <c r="B12160" s="174" t="s">
        <v>7657</v>
      </c>
      <c r="C12160" s="551" t="s">
        <v>6706</v>
      </c>
      <c r="D12160" s="904" t="s">
        <v>7701</v>
      </c>
      <c r="E12160" s="552">
        <v>233640</v>
      </c>
      <c r="F12160" s="236"/>
      <c r="G12160" s="236">
        <f t="shared" si="195"/>
        <v>-233640</v>
      </c>
      <c r="H12160" s="690" t="s">
        <v>7695</v>
      </c>
    </row>
    <row r="12161" spans="1:8" ht="15" x14ac:dyDescent="0.2">
      <c r="A12161" s="620">
        <v>44627</v>
      </c>
      <c r="B12161" s="174" t="s">
        <v>37</v>
      </c>
      <c r="C12161" s="551" t="s">
        <v>6706</v>
      </c>
      <c r="D12161" s="904" t="s">
        <v>7701</v>
      </c>
      <c r="E12161" s="552">
        <v>66360</v>
      </c>
      <c r="F12161" s="236"/>
      <c r="G12161" s="236">
        <f t="shared" si="195"/>
        <v>-66360</v>
      </c>
      <c r="H12161" s="690" t="s">
        <v>7695</v>
      </c>
    </row>
    <row r="12162" spans="1:8" ht="15" x14ac:dyDescent="0.2">
      <c r="A12162" s="620">
        <v>44627</v>
      </c>
      <c r="B12162" s="174" t="s">
        <v>6505</v>
      </c>
      <c r="C12162" s="174" t="s">
        <v>6852</v>
      </c>
      <c r="D12162" s="903" t="s">
        <v>7702</v>
      </c>
      <c r="E12162" s="236">
        <v>82000</v>
      </c>
      <c r="F12162" s="236"/>
      <c r="G12162" s="236">
        <f t="shared" si="195"/>
        <v>-82000</v>
      </c>
      <c r="H12162" s="690" t="s">
        <v>7695</v>
      </c>
    </row>
    <row r="12163" spans="1:8" ht="15" x14ac:dyDescent="0.2">
      <c r="A12163" s="620">
        <v>44627</v>
      </c>
      <c r="B12163" s="174" t="s">
        <v>1400</v>
      </c>
      <c r="C12163" s="551" t="s">
        <v>166</v>
      </c>
      <c r="D12163" s="904" t="s">
        <v>7786</v>
      </c>
      <c r="E12163" s="552">
        <v>204468</v>
      </c>
      <c r="F12163" s="236"/>
      <c r="G12163" s="236">
        <f t="shared" si="195"/>
        <v>-204468</v>
      </c>
      <c r="H12163" s="690" t="s">
        <v>7695</v>
      </c>
    </row>
    <row r="12164" spans="1:8" ht="15" x14ac:dyDescent="0.2">
      <c r="A12164" s="620">
        <v>44627</v>
      </c>
      <c r="B12164" s="174" t="s">
        <v>7067</v>
      </c>
      <c r="C12164" s="551" t="s">
        <v>166</v>
      </c>
      <c r="D12164" s="904" t="s">
        <v>6789</v>
      </c>
      <c r="E12164" s="552">
        <v>12627</v>
      </c>
      <c r="F12164" s="236"/>
      <c r="G12164" s="236">
        <f t="shared" si="195"/>
        <v>-12627</v>
      </c>
      <c r="H12164" s="690" t="s">
        <v>7695</v>
      </c>
    </row>
    <row r="12165" spans="1:8" ht="15" x14ac:dyDescent="0.2">
      <c r="A12165" s="620">
        <v>44627</v>
      </c>
      <c r="B12165" s="174" t="s">
        <v>7657</v>
      </c>
      <c r="C12165" s="551" t="s">
        <v>166</v>
      </c>
      <c r="D12165" s="904" t="s">
        <v>6789</v>
      </c>
      <c r="E12165" s="552">
        <v>80000</v>
      </c>
      <c r="F12165" s="236"/>
      <c r="G12165" s="236">
        <f t="shared" ref="G12165:G12228" si="196">F12165-E12165</f>
        <v>-80000</v>
      </c>
      <c r="H12165" s="690" t="s">
        <v>7695</v>
      </c>
    </row>
    <row r="12166" spans="1:8" ht="15" x14ac:dyDescent="0.2">
      <c r="A12166" s="620">
        <v>44627</v>
      </c>
      <c r="B12166" s="174" t="s">
        <v>6953</v>
      </c>
      <c r="C12166" s="551" t="s">
        <v>166</v>
      </c>
      <c r="D12166" s="904" t="s">
        <v>6789</v>
      </c>
      <c r="E12166" s="552">
        <f>300000-E12165-E12164-E12163</f>
        <v>2905</v>
      </c>
      <c r="F12166" s="236"/>
      <c r="G12166" s="236">
        <f t="shared" si="196"/>
        <v>-2905</v>
      </c>
      <c r="H12166" s="690" t="s">
        <v>7695</v>
      </c>
    </row>
    <row r="12167" spans="1:8" ht="48" x14ac:dyDescent="0.2">
      <c r="A12167" s="620">
        <v>44628</v>
      </c>
      <c r="B12167" s="174" t="s">
        <v>16</v>
      </c>
      <c r="C12167" s="174" t="s">
        <v>7703</v>
      </c>
      <c r="D12167" s="228" t="s">
        <v>7706</v>
      </c>
      <c r="E12167" s="236">
        <v>183000</v>
      </c>
      <c r="F12167" s="236"/>
      <c r="G12167" s="236">
        <f t="shared" si="196"/>
        <v>-183000</v>
      </c>
      <c r="H12167" s="690" t="s">
        <v>7695</v>
      </c>
    </row>
    <row r="12168" spans="1:8" ht="15" x14ac:dyDescent="0.2">
      <c r="A12168" s="620">
        <v>44634</v>
      </c>
      <c r="B12168" s="174" t="s">
        <v>7657</v>
      </c>
      <c r="C12168" s="174" t="s">
        <v>2555</v>
      </c>
      <c r="D12168" s="903" t="s">
        <v>7738</v>
      </c>
      <c r="E12168" s="236">
        <v>100000</v>
      </c>
      <c r="F12168" s="236"/>
      <c r="G12168" s="236">
        <f t="shared" si="196"/>
        <v>-100000</v>
      </c>
      <c r="H12168" s="690" t="s">
        <v>7695</v>
      </c>
    </row>
    <row r="12169" spans="1:8" ht="15" x14ac:dyDescent="0.2">
      <c r="A12169" s="620">
        <v>44631</v>
      </c>
      <c r="B12169" s="174" t="s">
        <v>3946</v>
      </c>
      <c r="C12169" s="551" t="s">
        <v>3003</v>
      </c>
      <c r="D12169" s="740" t="s">
        <v>7739</v>
      </c>
      <c r="E12169" s="552">
        <v>21320</v>
      </c>
      <c r="F12169" s="236"/>
      <c r="G12169" s="236">
        <f t="shared" si="196"/>
        <v>-21320</v>
      </c>
      <c r="H12169" s="690" t="s">
        <v>7695</v>
      </c>
    </row>
    <row r="12170" spans="1:8" ht="15" x14ac:dyDescent="0.2">
      <c r="A12170" s="620">
        <v>44631</v>
      </c>
      <c r="B12170" s="174" t="s">
        <v>3945</v>
      </c>
      <c r="C12170" s="551" t="s">
        <v>3003</v>
      </c>
      <c r="D12170" s="740" t="s">
        <v>6789</v>
      </c>
      <c r="E12170" s="552">
        <v>16640</v>
      </c>
      <c r="F12170" s="236"/>
      <c r="G12170" s="236">
        <f t="shared" si="196"/>
        <v>-16640</v>
      </c>
      <c r="H12170" s="690" t="s">
        <v>7695</v>
      </c>
    </row>
    <row r="12171" spans="1:8" ht="15" x14ac:dyDescent="0.2">
      <c r="A12171" s="620">
        <v>44631</v>
      </c>
      <c r="B12171" s="174" t="s">
        <v>37</v>
      </c>
      <c r="C12171" s="551" t="s">
        <v>3003</v>
      </c>
      <c r="D12171" s="740" t="s">
        <v>6789</v>
      </c>
      <c r="E12171" s="552">
        <v>15552</v>
      </c>
      <c r="F12171" s="236"/>
      <c r="G12171" s="236">
        <f t="shared" si="196"/>
        <v>-15552</v>
      </c>
      <c r="H12171" s="690" t="s">
        <v>7695</v>
      </c>
    </row>
    <row r="12172" spans="1:8" ht="15" x14ac:dyDescent="0.2">
      <c r="A12172" s="620">
        <v>44631</v>
      </c>
      <c r="B12172" s="174" t="s">
        <v>7555</v>
      </c>
      <c r="C12172" s="551" t="s">
        <v>3003</v>
      </c>
      <c r="D12172" s="740" t="s">
        <v>6789</v>
      </c>
      <c r="E12172" s="552">
        <v>128669</v>
      </c>
      <c r="F12172" s="236"/>
      <c r="G12172" s="236">
        <f t="shared" si="196"/>
        <v>-128669</v>
      </c>
      <c r="H12172" s="690" t="s">
        <v>7695</v>
      </c>
    </row>
    <row r="12173" spans="1:8" ht="15" x14ac:dyDescent="0.2">
      <c r="A12173" s="620">
        <v>44631</v>
      </c>
      <c r="B12173" s="174" t="s">
        <v>6647</v>
      </c>
      <c r="C12173" s="551" t="s">
        <v>3003</v>
      </c>
      <c r="D12173" s="740" t="s">
        <v>7740</v>
      </c>
      <c r="E12173" s="552">
        <v>-22745</v>
      </c>
      <c r="F12173" s="236"/>
      <c r="G12173" s="236">
        <f t="shared" si="196"/>
        <v>22745</v>
      </c>
      <c r="H12173" s="690" t="s">
        <v>7695</v>
      </c>
    </row>
    <row r="12174" spans="1:8" ht="15" x14ac:dyDescent="0.2">
      <c r="A12174" s="620">
        <v>44631</v>
      </c>
      <c r="B12174" s="174" t="s">
        <v>6647</v>
      </c>
      <c r="C12174" s="551" t="s">
        <v>3003</v>
      </c>
      <c r="D12174" s="740" t="s">
        <v>6789</v>
      </c>
      <c r="E12174" s="552">
        <v>14963</v>
      </c>
      <c r="F12174" s="236"/>
      <c r="G12174" s="236">
        <f t="shared" si="196"/>
        <v>-14963</v>
      </c>
      <c r="H12174" s="690" t="s">
        <v>7695</v>
      </c>
    </row>
    <row r="12175" spans="1:8" ht="15" x14ac:dyDescent="0.2">
      <c r="A12175" s="620">
        <v>44641</v>
      </c>
      <c r="B12175" s="174" t="s">
        <v>7657</v>
      </c>
      <c r="C12175" s="174" t="s">
        <v>3292</v>
      </c>
      <c r="D12175" s="903" t="s">
        <v>7741</v>
      </c>
      <c r="E12175" s="236">
        <v>75000</v>
      </c>
      <c r="F12175" s="236"/>
      <c r="G12175" s="236">
        <f t="shared" si="196"/>
        <v>-75000</v>
      </c>
      <c r="H12175" s="690" t="s">
        <v>7695</v>
      </c>
    </row>
    <row r="12176" spans="1:8" ht="15" x14ac:dyDescent="0.2">
      <c r="A12176" s="620">
        <v>44644</v>
      </c>
      <c r="B12176" s="174" t="s">
        <v>7657</v>
      </c>
      <c r="C12176" s="174" t="s">
        <v>6706</v>
      </c>
      <c r="D12176" s="903" t="s">
        <v>7744</v>
      </c>
      <c r="E12176" s="236">
        <v>250000</v>
      </c>
      <c r="F12176" s="236"/>
      <c r="G12176" s="236">
        <f t="shared" si="196"/>
        <v>-250000</v>
      </c>
      <c r="H12176" s="690" t="s">
        <v>7695</v>
      </c>
    </row>
    <row r="12177" spans="1:8" ht="15" x14ac:dyDescent="0.2">
      <c r="A12177" s="620">
        <v>44644</v>
      </c>
      <c r="B12177" s="174" t="s">
        <v>7067</v>
      </c>
      <c r="C12177" s="174" t="s">
        <v>6822</v>
      </c>
      <c r="D12177" s="903" t="s">
        <v>7745</v>
      </c>
      <c r="E12177" s="236">
        <v>100000</v>
      </c>
      <c r="F12177" s="236"/>
      <c r="G12177" s="236">
        <f t="shared" si="196"/>
        <v>-100000</v>
      </c>
      <c r="H12177" s="690" t="s">
        <v>7695</v>
      </c>
    </row>
    <row r="12178" spans="1:8" ht="15" x14ac:dyDescent="0.2">
      <c r="A12178" s="620">
        <v>44645</v>
      </c>
      <c r="B12178" s="174" t="s">
        <v>6953</v>
      </c>
      <c r="C12178" s="551" t="s">
        <v>166</v>
      </c>
      <c r="D12178" s="904" t="s">
        <v>7748</v>
      </c>
      <c r="E12178" s="552">
        <v>2592</v>
      </c>
      <c r="F12178" s="236"/>
      <c r="G12178" s="236">
        <f t="shared" si="196"/>
        <v>-2592</v>
      </c>
      <c r="H12178" s="690" t="s">
        <v>7695</v>
      </c>
    </row>
    <row r="12179" spans="1:8" ht="15" customHeight="1" x14ac:dyDescent="0.2">
      <c r="A12179" s="620">
        <v>44645</v>
      </c>
      <c r="B12179" s="174" t="s">
        <v>6505</v>
      </c>
      <c r="C12179" s="551" t="s">
        <v>166</v>
      </c>
      <c r="D12179" s="904" t="s">
        <v>6789</v>
      </c>
      <c r="E12179" s="552">
        <v>51585</v>
      </c>
      <c r="F12179" s="236"/>
      <c r="G12179" s="236">
        <f t="shared" si="196"/>
        <v>-51585</v>
      </c>
      <c r="H12179" s="690" t="s">
        <v>7695</v>
      </c>
    </row>
    <row r="12180" spans="1:8" ht="15" x14ac:dyDescent="0.2">
      <c r="A12180" s="620">
        <v>44645</v>
      </c>
      <c r="B12180" s="174" t="s">
        <v>7657</v>
      </c>
      <c r="C12180" s="551" t="s">
        <v>166</v>
      </c>
      <c r="D12180" s="904" t="s">
        <v>6789</v>
      </c>
      <c r="E12180" s="552">
        <v>122000</v>
      </c>
      <c r="F12180" s="236"/>
      <c r="G12180" s="236">
        <f t="shared" si="196"/>
        <v>-122000</v>
      </c>
      <c r="H12180" s="690" t="s">
        <v>7695</v>
      </c>
    </row>
    <row r="12181" spans="1:8" ht="15" x14ac:dyDescent="0.2">
      <c r="A12181" s="620">
        <v>44645</v>
      </c>
      <c r="B12181" s="174" t="s">
        <v>37</v>
      </c>
      <c r="C12181" s="551" t="s">
        <v>166</v>
      </c>
      <c r="D12181" s="904" t="s">
        <v>6789</v>
      </c>
      <c r="E12181" s="552">
        <v>8000</v>
      </c>
      <c r="F12181" s="236"/>
      <c r="G12181" s="236">
        <f t="shared" si="196"/>
        <v>-8000</v>
      </c>
      <c r="H12181" s="690" t="s">
        <v>7695</v>
      </c>
    </row>
    <row r="12182" spans="1:8" ht="15" x14ac:dyDescent="0.2">
      <c r="A12182" s="620">
        <v>44645</v>
      </c>
      <c r="B12182" s="174" t="s">
        <v>7555</v>
      </c>
      <c r="C12182" s="551" t="s">
        <v>166</v>
      </c>
      <c r="D12182" s="904" t="s">
        <v>6789</v>
      </c>
      <c r="E12182" s="552">
        <v>7862</v>
      </c>
      <c r="F12182" s="236"/>
      <c r="G12182" s="236">
        <f t="shared" si="196"/>
        <v>-7862</v>
      </c>
      <c r="H12182" s="690" t="s">
        <v>7695</v>
      </c>
    </row>
    <row r="12183" spans="1:8" ht="15" x14ac:dyDescent="0.2">
      <c r="A12183" s="620">
        <v>44651</v>
      </c>
      <c r="B12183" s="174" t="s">
        <v>7067</v>
      </c>
      <c r="C12183" s="650" t="s">
        <v>1391</v>
      </c>
      <c r="D12183" s="905" t="s">
        <v>7750</v>
      </c>
      <c r="E12183" s="651">
        <v>100000</v>
      </c>
      <c r="F12183" s="236"/>
      <c r="G12183" s="236">
        <f t="shared" si="196"/>
        <v>-100000</v>
      </c>
      <c r="H12183" s="690" t="s">
        <v>7695</v>
      </c>
    </row>
    <row r="12184" spans="1:8" ht="15" x14ac:dyDescent="0.2">
      <c r="A12184" s="620">
        <v>44651</v>
      </c>
      <c r="B12184" s="174" t="s">
        <v>7112</v>
      </c>
      <c r="C12184" s="650" t="s">
        <v>1391</v>
      </c>
      <c r="D12184" s="905" t="s">
        <v>6789</v>
      </c>
      <c r="E12184" s="651">
        <v>100000</v>
      </c>
      <c r="F12184" s="236"/>
      <c r="G12184" s="236">
        <f t="shared" si="196"/>
        <v>-100000</v>
      </c>
      <c r="H12184" s="690" t="s">
        <v>7695</v>
      </c>
    </row>
    <row r="12185" spans="1:8" ht="15" x14ac:dyDescent="0.2">
      <c r="A12185" s="620">
        <v>44651</v>
      </c>
      <c r="B12185" s="174" t="s">
        <v>7067</v>
      </c>
      <c r="C12185" s="551" t="s">
        <v>7223</v>
      </c>
      <c r="D12185" s="904" t="s">
        <v>7752</v>
      </c>
      <c r="E12185" s="552">
        <v>75000</v>
      </c>
      <c r="F12185" s="236"/>
      <c r="G12185" s="236">
        <f t="shared" si="196"/>
        <v>-75000</v>
      </c>
      <c r="H12185" s="690" t="s">
        <v>7695</v>
      </c>
    </row>
    <row r="12186" spans="1:8" ht="15" x14ac:dyDescent="0.2">
      <c r="A12186" s="620">
        <v>44651</v>
      </c>
      <c r="B12186" s="174" t="s">
        <v>7112</v>
      </c>
      <c r="C12186" s="551" t="s">
        <v>7223</v>
      </c>
      <c r="D12186" s="904" t="s">
        <v>6789</v>
      </c>
      <c r="E12186" s="552">
        <v>25000</v>
      </c>
      <c r="F12186" s="236"/>
      <c r="G12186" s="236">
        <f t="shared" si="196"/>
        <v>-25000</v>
      </c>
      <c r="H12186" s="690" t="s">
        <v>7695</v>
      </c>
    </row>
    <row r="12187" spans="1:8" ht="15" x14ac:dyDescent="0.2">
      <c r="A12187" s="620">
        <v>44651</v>
      </c>
      <c r="B12187" s="174" t="s">
        <v>7657</v>
      </c>
      <c r="C12187" s="174" t="s">
        <v>6706</v>
      </c>
      <c r="D12187" s="903" t="s">
        <v>7753</v>
      </c>
      <c r="E12187" s="236">
        <v>150000</v>
      </c>
      <c r="F12187" s="236"/>
      <c r="G12187" s="236">
        <f t="shared" si="196"/>
        <v>-150000</v>
      </c>
      <c r="H12187" s="690" t="s">
        <v>7695</v>
      </c>
    </row>
    <row r="12188" spans="1:8" ht="15" x14ac:dyDescent="0.2">
      <c r="A12188" s="620">
        <v>44651</v>
      </c>
      <c r="B12188" s="174" t="s">
        <v>7732</v>
      </c>
      <c r="C12188" s="174" t="s">
        <v>256</v>
      </c>
      <c r="D12188" s="903" t="s">
        <v>7754</v>
      </c>
      <c r="E12188" s="236">
        <v>158000</v>
      </c>
      <c r="F12188" s="236"/>
      <c r="G12188" s="236">
        <f t="shared" si="196"/>
        <v>-158000</v>
      </c>
      <c r="H12188" s="690" t="s">
        <v>7695</v>
      </c>
    </row>
    <row r="12189" spans="1:8" ht="27.75" customHeight="1" x14ac:dyDescent="0.2">
      <c r="A12189" s="618">
        <v>44621</v>
      </c>
      <c r="B12189" s="94" t="s">
        <v>6505</v>
      </c>
      <c r="C12189" s="94" t="s">
        <v>559</v>
      </c>
      <c r="D12189" s="802" t="s">
        <v>7784</v>
      </c>
      <c r="E12189" s="176"/>
      <c r="F12189" s="176">
        <v>500000</v>
      </c>
      <c r="G12189" s="176">
        <f t="shared" si="196"/>
        <v>500000</v>
      </c>
      <c r="H12189" s="686" t="s">
        <v>7695</v>
      </c>
    </row>
    <row r="12190" spans="1:8" ht="27.75" customHeight="1" x14ac:dyDescent="0.2">
      <c r="A12190" s="618">
        <v>44627</v>
      </c>
      <c r="B12190" s="94" t="s">
        <v>6505</v>
      </c>
      <c r="C12190" s="94" t="s">
        <v>559</v>
      </c>
      <c r="D12190" s="802" t="s">
        <v>7785</v>
      </c>
      <c r="E12190" s="176"/>
      <c r="F12190" s="176">
        <v>300000</v>
      </c>
      <c r="G12190" s="176">
        <f t="shared" si="196"/>
        <v>300000</v>
      </c>
      <c r="H12190" s="686" t="s">
        <v>7695</v>
      </c>
    </row>
    <row r="12191" spans="1:8" ht="15" x14ac:dyDescent="0.2">
      <c r="A12191" s="618">
        <v>44639</v>
      </c>
      <c r="B12191" s="91" t="s">
        <v>7732</v>
      </c>
      <c r="C12191" s="94" t="s">
        <v>559</v>
      </c>
      <c r="D12191" s="801" t="s">
        <v>7733</v>
      </c>
      <c r="E12191" s="92"/>
      <c r="F12191" s="92">
        <v>480000</v>
      </c>
      <c r="G12191" s="176">
        <f t="shared" si="196"/>
        <v>480000</v>
      </c>
      <c r="H12191" s="686" t="s">
        <v>7695</v>
      </c>
    </row>
    <row r="12192" spans="1:8" ht="15" x14ac:dyDescent="0.2">
      <c r="A12192" s="618">
        <v>44644</v>
      </c>
      <c r="B12192" s="91" t="s">
        <v>5811</v>
      </c>
      <c r="C12192" s="94" t="s">
        <v>559</v>
      </c>
      <c r="D12192" s="801" t="s">
        <v>7742</v>
      </c>
      <c r="E12192" s="92"/>
      <c r="F12192" s="92">
        <v>500000</v>
      </c>
      <c r="G12192" s="176">
        <f t="shared" si="196"/>
        <v>500000</v>
      </c>
      <c r="H12192" s="686" t="s">
        <v>7695</v>
      </c>
    </row>
    <row r="12193" spans="1:8" ht="24" x14ac:dyDescent="0.2">
      <c r="A12193" s="700">
        <v>44645</v>
      </c>
      <c r="B12193" s="175" t="s">
        <v>6511</v>
      </c>
      <c r="C12193" s="175" t="s">
        <v>559</v>
      </c>
      <c r="D12193" s="802" t="s">
        <v>7743</v>
      </c>
      <c r="E12193" s="701"/>
      <c r="F12193" s="701">
        <v>192039</v>
      </c>
      <c r="G12193" s="701">
        <f t="shared" si="196"/>
        <v>192039</v>
      </c>
      <c r="H12193" s="702" t="s">
        <v>7695</v>
      </c>
    </row>
    <row r="12194" spans="1:8" ht="15" x14ac:dyDescent="0.2">
      <c r="A12194" s="700">
        <v>44649</v>
      </c>
      <c r="B12194" s="91" t="s">
        <v>6953</v>
      </c>
      <c r="C12194" s="175" t="s">
        <v>559</v>
      </c>
      <c r="D12194" s="801" t="s">
        <v>7747</v>
      </c>
      <c r="E12194" s="701"/>
      <c r="F12194" s="92">
        <v>754624</v>
      </c>
      <c r="G12194" s="701">
        <f t="shared" si="196"/>
        <v>754624</v>
      </c>
      <c r="H12194" s="702" t="s">
        <v>7695</v>
      </c>
    </row>
    <row r="12195" spans="1:8" ht="15" x14ac:dyDescent="0.2">
      <c r="A12195" s="700">
        <v>44649</v>
      </c>
      <c r="B12195" s="91" t="s">
        <v>6953</v>
      </c>
      <c r="C12195" s="175" t="s">
        <v>559</v>
      </c>
      <c r="D12195" s="801" t="s">
        <v>7747</v>
      </c>
      <c r="E12195" s="701"/>
      <c r="F12195" s="92">
        <v>145111</v>
      </c>
      <c r="G12195" s="701">
        <f t="shared" si="196"/>
        <v>145111</v>
      </c>
      <c r="H12195" s="702" t="s">
        <v>7695</v>
      </c>
    </row>
    <row r="12196" spans="1:8" s="182" customFormat="1" ht="15" x14ac:dyDescent="0.2">
      <c r="A12196" s="703">
        <v>44653</v>
      </c>
      <c r="B12196" s="41" t="s">
        <v>7555</v>
      </c>
      <c r="C12196" s="76" t="s">
        <v>7775</v>
      </c>
      <c r="D12196" s="108" t="s">
        <v>7776</v>
      </c>
      <c r="E12196" s="704">
        <v>10000</v>
      </c>
      <c r="F12196" s="58"/>
      <c r="G12196" s="704">
        <f t="shared" si="196"/>
        <v>-10000</v>
      </c>
      <c r="H12196" s="705" t="s">
        <v>7766</v>
      </c>
    </row>
    <row r="12197" spans="1:8" s="182" customFormat="1" ht="15" x14ac:dyDescent="0.2">
      <c r="A12197" s="703">
        <v>44653</v>
      </c>
      <c r="B12197" s="41" t="s">
        <v>3733</v>
      </c>
      <c r="C12197" s="76" t="s">
        <v>6967</v>
      </c>
      <c r="D12197" s="108" t="s">
        <v>3361</v>
      </c>
      <c r="E12197" s="704">
        <v>13000</v>
      </c>
      <c r="F12197" s="58"/>
      <c r="G12197" s="704">
        <f t="shared" si="196"/>
        <v>-13000</v>
      </c>
      <c r="H12197" s="705" t="s">
        <v>7766</v>
      </c>
    </row>
    <row r="12198" spans="1:8" s="182" customFormat="1" ht="15" x14ac:dyDescent="0.2">
      <c r="A12198" s="703">
        <v>44656</v>
      </c>
      <c r="B12198" s="41" t="s">
        <v>7732</v>
      </c>
      <c r="C12198" s="550" t="s">
        <v>7777</v>
      </c>
      <c r="D12198" s="893" t="s">
        <v>7778</v>
      </c>
      <c r="E12198" s="706">
        <v>15000</v>
      </c>
      <c r="F12198" s="58"/>
      <c r="G12198" s="704">
        <f t="shared" si="196"/>
        <v>-15000</v>
      </c>
      <c r="H12198" s="705" t="s">
        <v>7766</v>
      </c>
    </row>
    <row r="12199" spans="1:8" s="182" customFormat="1" ht="15" x14ac:dyDescent="0.2">
      <c r="A12199" s="703">
        <v>44656</v>
      </c>
      <c r="B12199" s="41" t="s">
        <v>3733</v>
      </c>
      <c r="C12199" s="550" t="s">
        <v>7777</v>
      </c>
      <c r="D12199" s="893" t="s">
        <v>7778</v>
      </c>
      <c r="E12199" s="706">
        <v>15000</v>
      </c>
      <c r="F12199" s="58"/>
      <c r="G12199" s="704">
        <f t="shared" si="196"/>
        <v>-15000</v>
      </c>
      <c r="H12199" s="705" t="s">
        <v>7766</v>
      </c>
    </row>
    <row r="12200" spans="1:8" s="182" customFormat="1" ht="15" x14ac:dyDescent="0.2">
      <c r="A12200" s="703">
        <v>44656</v>
      </c>
      <c r="B12200" s="41" t="s">
        <v>82</v>
      </c>
      <c r="C12200" s="76" t="s">
        <v>6476</v>
      </c>
      <c r="D12200" s="108" t="s">
        <v>7779</v>
      </c>
      <c r="E12200" s="704">
        <v>5000</v>
      </c>
      <c r="F12200" s="58"/>
      <c r="G12200" s="704">
        <f t="shared" si="196"/>
        <v>-5000</v>
      </c>
      <c r="H12200" s="705" t="s">
        <v>7766</v>
      </c>
    </row>
    <row r="12201" spans="1:8" s="182" customFormat="1" ht="15" x14ac:dyDescent="0.2">
      <c r="A12201" s="703">
        <v>44656</v>
      </c>
      <c r="B12201" s="41" t="s">
        <v>7732</v>
      </c>
      <c r="C12201" s="76" t="s">
        <v>6967</v>
      </c>
      <c r="D12201" s="108" t="s">
        <v>7780</v>
      </c>
      <c r="E12201" s="704">
        <v>13000</v>
      </c>
      <c r="F12201" s="58"/>
      <c r="G12201" s="704">
        <f t="shared" si="196"/>
        <v>-13000</v>
      </c>
      <c r="H12201" s="705" t="s">
        <v>7766</v>
      </c>
    </row>
    <row r="12202" spans="1:8" s="182" customFormat="1" ht="15" x14ac:dyDescent="0.2">
      <c r="A12202" s="703">
        <v>44657</v>
      </c>
      <c r="B12202" s="41" t="s">
        <v>7657</v>
      </c>
      <c r="C12202" s="76" t="s">
        <v>3145</v>
      </c>
      <c r="D12202" s="108" t="s">
        <v>7788</v>
      </c>
      <c r="E12202" s="704">
        <v>7800</v>
      </c>
      <c r="F12202" s="58"/>
      <c r="G12202" s="704">
        <f t="shared" si="196"/>
        <v>-7800</v>
      </c>
      <c r="H12202" s="705" t="s">
        <v>7766</v>
      </c>
    </row>
    <row r="12203" spans="1:8" s="182" customFormat="1" ht="15" x14ac:dyDescent="0.2">
      <c r="A12203" s="703">
        <v>44657</v>
      </c>
      <c r="B12203" s="41" t="s">
        <v>37</v>
      </c>
      <c r="C12203" s="76" t="s">
        <v>3145</v>
      </c>
      <c r="D12203" s="108" t="s">
        <v>1228</v>
      </c>
      <c r="E12203" s="704">
        <v>3800</v>
      </c>
      <c r="F12203" s="58"/>
      <c r="G12203" s="704">
        <f t="shared" si="196"/>
        <v>-3800</v>
      </c>
      <c r="H12203" s="705" t="s">
        <v>7766</v>
      </c>
    </row>
    <row r="12204" spans="1:8" s="182" customFormat="1" ht="15" x14ac:dyDescent="0.2">
      <c r="A12204" s="703">
        <v>44657</v>
      </c>
      <c r="B12204" s="41" t="s">
        <v>3733</v>
      </c>
      <c r="C12204" s="76" t="s">
        <v>3145</v>
      </c>
      <c r="D12204" s="108" t="s">
        <v>7788</v>
      </c>
      <c r="E12204" s="704">
        <v>11250</v>
      </c>
      <c r="F12204" s="58"/>
      <c r="G12204" s="704">
        <f t="shared" si="196"/>
        <v>-11250</v>
      </c>
      <c r="H12204" s="705" t="s">
        <v>7766</v>
      </c>
    </row>
    <row r="12205" spans="1:8" s="182" customFormat="1" ht="15" x14ac:dyDescent="0.2">
      <c r="A12205" s="703">
        <v>44657</v>
      </c>
      <c r="B12205" s="41" t="s">
        <v>7657</v>
      </c>
      <c r="C12205" s="76" t="s">
        <v>3145</v>
      </c>
      <c r="D12205" s="108" t="s">
        <v>7788</v>
      </c>
      <c r="E12205" s="704">
        <v>3000</v>
      </c>
      <c r="F12205" s="58"/>
      <c r="G12205" s="704">
        <f t="shared" si="196"/>
        <v>-3000</v>
      </c>
      <c r="H12205" s="705" t="s">
        <v>7766</v>
      </c>
    </row>
    <row r="12206" spans="1:8" s="182" customFormat="1" ht="15" x14ac:dyDescent="0.2">
      <c r="A12206" s="703">
        <v>44658</v>
      </c>
      <c r="B12206" s="41" t="s">
        <v>37</v>
      </c>
      <c r="C12206" s="76" t="s">
        <v>3145</v>
      </c>
      <c r="D12206" s="108" t="s">
        <v>5755</v>
      </c>
      <c r="E12206" s="704">
        <v>2000</v>
      </c>
      <c r="F12206" s="58"/>
      <c r="G12206" s="704">
        <f t="shared" si="196"/>
        <v>-2000</v>
      </c>
      <c r="H12206" s="705" t="s">
        <v>7766</v>
      </c>
    </row>
    <row r="12207" spans="1:8" s="182" customFormat="1" ht="15" x14ac:dyDescent="0.2">
      <c r="A12207" s="703">
        <v>44658</v>
      </c>
      <c r="B12207" s="41" t="s">
        <v>6950</v>
      </c>
      <c r="C12207" s="76" t="s">
        <v>7789</v>
      </c>
      <c r="D12207" s="108" t="s">
        <v>7790</v>
      </c>
      <c r="E12207" s="704">
        <v>45000</v>
      </c>
      <c r="F12207" s="58"/>
      <c r="G12207" s="704">
        <f t="shared" si="196"/>
        <v>-45000</v>
      </c>
      <c r="H12207" s="705" t="s">
        <v>7766</v>
      </c>
    </row>
    <row r="12208" spans="1:8" s="182" customFormat="1" ht="15" x14ac:dyDescent="0.2">
      <c r="A12208" s="703">
        <v>44658</v>
      </c>
      <c r="B12208" s="41" t="s">
        <v>6505</v>
      </c>
      <c r="C12208" s="76" t="s">
        <v>392</v>
      </c>
      <c r="D12208" s="108" t="s">
        <v>7791</v>
      </c>
      <c r="E12208" s="704">
        <v>1000</v>
      </c>
      <c r="F12208" s="58"/>
      <c r="G12208" s="704">
        <f t="shared" si="196"/>
        <v>-1000</v>
      </c>
      <c r="H12208" s="705" t="s">
        <v>7766</v>
      </c>
    </row>
    <row r="12209" spans="1:8" s="182" customFormat="1" ht="15" x14ac:dyDescent="0.2">
      <c r="A12209" s="703">
        <v>44658</v>
      </c>
      <c r="B12209" s="41" t="s">
        <v>7555</v>
      </c>
      <c r="C12209" s="76" t="s">
        <v>7792</v>
      </c>
      <c r="D12209" s="108" t="s">
        <v>7793</v>
      </c>
      <c r="E12209" s="704">
        <v>12880</v>
      </c>
      <c r="F12209" s="58"/>
      <c r="G12209" s="704">
        <f t="shared" si="196"/>
        <v>-12880</v>
      </c>
      <c r="H12209" s="705" t="s">
        <v>7766</v>
      </c>
    </row>
    <row r="12210" spans="1:8" s="182" customFormat="1" ht="15" x14ac:dyDescent="0.2">
      <c r="A12210" s="703">
        <v>44658</v>
      </c>
      <c r="B12210" s="41" t="s">
        <v>6505</v>
      </c>
      <c r="C12210" s="76" t="s">
        <v>3145</v>
      </c>
      <c r="D12210" s="108" t="s">
        <v>6641</v>
      </c>
      <c r="E12210" s="704">
        <v>1950</v>
      </c>
      <c r="F12210" s="58"/>
      <c r="G12210" s="704">
        <f t="shared" si="196"/>
        <v>-1950</v>
      </c>
      <c r="H12210" s="705" t="s">
        <v>7766</v>
      </c>
    </row>
    <row r="12211" spans="1:8" s="182" customFormat="1" ht="15" x14ac:dyDescent="0.2">
      <c r="A12211" s="703">
        <v>44658</v>
      </c>
      <c r="B12211" s="41" t="s">
        <v>6505</v>
      </c>
      <c r="C12211" s="76" t="s">
        <v>3145</v>
      </c>
      <c r="D12211" s="108" t="s">
        <v>6641</v>
      </c>
      <c r="E12211" s="704">
        <v>400</v>
      </c>
      <c r="F12211" s="58"/>
      <c r="G12211" s="704">
        <f t="shared" si="196"/>
        <v>-400</v>
      </c>
      <c r="H12211" s="705" t="s">
        <v>7766</v>
      </c>
    </row>
    <row r="12212" spans="1:8" s="182" customFormat="1" ht="15" x14ac:dyDescent="0.2">
      <c r="A12212" s="703">
        <v>44658</v>
      </c>
      <c r="B12212" s="41" t="s">
        <v>2933</v>
      </c>
      <c r="C12212" s="76" t="s">
        <v>3145</v>
      </c>
      <c r="D12212" s="108" t="s">
        <v>7795</v>
      </c>
      <c r="E12212" s="704">
        <v>10420</v>
      </c>
      <c r="F12212" s="58"/>
      <c r="G12212" s="704">
        <f t="shared" si="196"/>
        <v>-10420</v>
      </c>
      <c r="H12212" s="705" t="s">
        <v>7766</v>
      </c>
    </row>
    <row r="12213" spans="1:8" s="182" customFormat="1" ht="15" x14ac:dyDescent="0.2">
      <c r="A12213" s="703">
        <v>44658</v>
      </c>
      <c r="B12213" s="41" t="s">
        <v>82</v>
      </c>
      <c r="C12213" s="76" t="s">
        <v>3145</v>
      </c>
      <c r="D12213" s="108" t="s">
        <v>7794</v>
      </c>
      <c r="E12213" s="704">
        <v>124500</v>
      </c>
      <c r="F12213" s="58"/>
      <c r="G12213" s="704">
        <f t="shared" si="196"/>
        <v>-124500</v>
      </c>
      <c r="H12213" s="705" t="s">
        <v>7766</v>
      </c>
    </row>
    <row r="12214" spans="1:8" s="182" customFormat="1" ht="15" x14ac:dyDescent="0.2">
      <c r="A12214" s="703">
        <v>44658</v>
      </c>
      <c r="B12214" s="41" t="s">
        <v>7657</v>
      </c>
      <c r="C12214" s="76" t="s">
        <v>3145</v>
      </c>
      <c r="D12214" s="108" t="s">
        <v>7799</v>
      </c>
      <c r="E12214" s="704">
        <v>19400</v>
      </c>
      <c r="F12214" s="58"/>
      <c r="G12214" s="704">
        <f t="shared" si="196"/>
        <v>-19400</v>
      </c>
      <c r="H12214" s="705" t="s">
        <v>7766</v>
      </c>
    </row>
    <row r="12215" spans="1:8" s="182" customFormat="1" ht="15" x14ac:dyDescent="0.2">
      <c r="A12215" s="703">
        <v>44658</v>
      </c>
      <c r="B12215" s="41" t="s">
        <v>16</v>
      </c>
      <c r="C12215" s="76" t="s">
        <v>3145</v>
      </c>
      <c r="D12215" s="108" t="s">
        <v>7796</v>
      </c>
      <c r="E12215" s="704">
        <v>6500</v>
      </c>
      <c r="F12215" s="58"/>
      <c r="G12215" s="704">
        <f t="shared" si="196"/>
        <v>-6500</v>
      </c>
      <c r="H12215" s="705" t="s">
        <v>7766</v>
      </c>
    </row>
    <row r="12216" spans="1:8" s="182" customFormat="1" ht="15" x14ac:dyDescent="0.2">
      <c r="A12216" s="703">
        <v>44658</v>
      </c>
      <c r="B12216" s="41" t="s">
        <v>6505</v>
      </c>
      <c r="C12216" s="76" t="s">
        <v>3145</v>
      </c>
      <c r="D12216" s="108" t="s">
        <v>7797</v>
      </c>
      <c r="E12216" s="704">
        <v>5000</v>
      </c>
      <c r="F12216" s="58"/>
      <c r="G12216" s="704">
        <f t="shared" si="196"/>
        <v>-5000</v>
      </c>
      <c r="H12216" s="705" t="s">
        <v>7766</v>
      </c>
    </row>
    <row r="12217" spans="1:8" s="182" customFormat="1" ht="15" x14ac:dyDescent="0.2">
      <c r="A12217" s="703">
        <v>44658</v>
      </c>
      <c r="B12217" s="41" t="s">
        <v>4553</v>
      </c>
      <c r="C12217" s="76" t="s">
        <v>3145</v>
      </c>
      <c r="D12217" s="108" t="s">
        <v>7798</v>
      </c>
      <c r="E12217" s="704">
        <v>2500</v>
      </c>
      <c r="F12217" s="58"/>
      <c r="G12217" s="704">
        <f t="shared" si="196"/>
        <v>-2500</v>
      </c>
      <c r="H12217" s="705" t="s">
        <v>7766</v>
      </c>
    </row>
    <row r="12218" spans="1:8" s="182" customFormat="1" ht="15" customHeight="1" x14ac:dyDescent="0.2">
      <c r="A12218" s="703">
        <v>44658</v>
      </c>
      <c r="B12218" s="41" t="s">
        <v>16</v>
      </c>
      <c r="C12218" s="76" t="s">
        <v>3364</v>
      </c>
      <c r="D12218" s="108" t="s">
        <v>370</v>
      </c>
      <c r="E12218" s="704">
        <v>4280</v>
      </c>
      <c r="F12218" s="58"/>
      <c r="G12218" s="704">
        <f t="shared" si="196"/>
        <v>-4280</v>
      </c>
      <c r="H12218" s="705" t="s">
        <v>7766</v>
      </c>
    </row>
    <row r="12219" spans="1:8" s="182" customFormat="1" ht="15" x14ac:dyDescent="0.2">
      <c r="A12219" s="703">
        <v>44658</v>
      </c>
      <c r="B12219" s="41" t="s">
        <v>7555</v>
      </c>
      <c r="C12219" s="76" t="s">
        <v>3145</v>
      </c>
      <c r="D12219" s="108" t="s">
        <v>7198</v>
      </c>
      <c r="E12219" s="704">
        <v>15170</v>
      </c>
      <c r="F12219" s="58"/>
      <c r="G12219" s="704">
        <f t="shared" si="196"/>
        <v>-15170</v>
      </c>
      <c r="H12219" s="705" t="s">
        <v>7766</v>
      </c>
    </row>
    <row r="12220" spans="1:8" s="182" customFormat="1" ht="15" x14ac:dyDescent="0.2">
      <c r="A12220" s="703">
        <v>44658</v>
      </c>
      <c r="B12220" s="41" t="s">
        <v>16</v>
      </c>
      <c r="C12220" s="76" t="s">
        <v>1495</v>
      </c>
      <c r="D12220" s="108" t="s">
        <v>370</v>
      </c>
      <c r="E12220" s="704">
        <v>700</v>
      </c>
      <c r="F12220" s="58"/>
      <c r="G12220" s="704">
        <f t="shared" si="196"/>
        <v>-700</v>
      </c>
      <c r="H12220" s="705" t="s">
        <v>7766</v>
      </c>
    </row>
    <row r="12221" spans="1:8" s="182" customFormat="1" ht="15" x14ac:dyDescent="0.2">
      <c r="A12221" s="703">
        <v>44659</v>
      </c>
      <c r="B12221" s="41" t="s">
        <v>1400</v>
      </c>
      <c r="C12221" s="76" t="s">
        <v>3145</v>
      </c>
      <c r="D12221" s="108" t="s">
        <v>7127</v>
      </c>
      <c r="E12221" s="704">
        <v>18200</v>
      </c>
      <c r="F12221" s="58"/>
      <c r="G12221" s="704">
        <f t="shared" si="196"/>
        <v>-18200</v>
      </c>
      <c r="H12221" s="705" t="s">
        <v>7766</v>
      </c>
    </row>
    <row r="12222" spans="1:8" s="182" customFormat="1" ht="15" x14ac:dyDescent="0.2">
      <c r="A12222" s="703">
        <v>44665</v>
      </c>
      <c r="B12222" s="41" t="s">
        <v>7732</v>
      </c>
      <c r="C12222" s="76" t="s">
        <v>6967</v>
      </c>
      <c r="D12222" s="108" t="s">
        <v>370</v>
      </c>
      <c r="E12222" s="704">
        <v>17000</v>
      </c>
      <c r="F12222" s="58"/>
      <c r="G12222" s="704">
        <f t="shared" si="196"/>
        <v>-17000</v>
      </c>
      <c r="H12222" s="705" t="s">
        <v>7766</v>
      </c>
    </row>
    <row r="12223" spans="1:8" s="182" customFormat="1" ht="15" x14ac:dyDescent="0.2">
      <c r="A12223" s="703">
        <v>44667</v>
      </c>
      <c r="B12223" s="41" t="s">
        <v>7112</v>
      </c>
      <c r="C12223" s="76" t="s">
        <v>6350</v>
      </c>
      <c r="D12223" s="108" t="s">
        <v>7824</v>
      </c>
      <c r="E12223" s="704">
        <v>5000</v>
      </c>
      <c r="F12223" s="58"/>
      <c r="G12223" s="704">
        <f t="shared" si="196"/>
        <v>-5000</v>
      </c>
      <c r="H12223" s="705" t="s">
        <v>7766</v>
      </c>
    </row>
    <row r="12224" spans="1:8" s="182" customFormat="1" ht="15" x14ac:dyDescent="0.2">
      <c r="A12224" s="703">
        <v>44667</v>
      </c>
      <c r="B12224" s="41" t="s">
        <v>7112</v>
      </c>
      <c r="C12224" s="76" t="s">
        <v>2002</v>
      </c>
      <c r="D12224" s="108"/>
      <c r="E12224" s="704">
        <v>1200</v>
      </c>
      <c r="F12224" s="58"/>
      <c r="G12224" s="704">
        <f t="shared" si="196"/>
        <v>-1200</v>
      </c>
      <c r="H12224" s="705" t="s">
        <v>7766</v>
      </c>
    </row>
    <row r="12225" spans="1:8" s="182" customFormat="1" ht="15" x14ac:dyDescent="0.2">
      <c r="A12225" s="703">
        <v>44667</v>
      </c>
      <c r="B12225" s="41" t="s">
        <v>7732</v>
      </c>
      <c r="C12225" s="76" t="s">
        <v>2002</v>
      </c>
      <c r="D12225" s="108"/>
      <c r="E12225" s="704">
        <v>1450</v>
      </c>
      <c r="F12225" s="58"/>
      <c r="G12225" s="704">
        <f t="shared" si="196"/>
        <v>-1450</v>
      </c>
      <c r="H12225" s="705" t="s">
        <v>7766</v>
      </c>
    </row>
    <row r="12226" spans="1:8" s="182" customFormat="1" ht="15" x14ac:dyDescent="0.2">
      <c r="A12226" s="703">
        <v>44667</v>
      </c>
      <c r="B12226" s="41" t="s">
        <v>3733</v>
      </c>
      <c r="C12226" s="76" t="s">
        <v>2002</v>
      </c>
      <c r="D12226" s="108"/>
      <c r="E12226" s="704">
        <v>1300</v>
      </c>
      <c r="F12226" s="58"/>
      <c r="G12226" s="704">
        <f t="shared" si="196"/>
        <v>-1300</v>
      </c>
      <c r="H12226" s="705" t="s">
        <v>7766</v>
      </c>
    </row>
    <row r="12227" spans="1:8" s="182" customFormat="1" ht="15" x14ac:dyDescent="0.2">
      <c r="A12227" s="703">
        <v>44667</v>
      </c>
      <c r="B12227" s="41" t="s">
        <v>7555</v>
      </c>
      <c r="C12227" s="76" t="s">
        <v>3145</v>
      </c>
      <c r="D12227" s="108" t="s">
        <v>7825</v>
      </c>
      <c r="E12227" s="704">
        <v>10760</v>
      </c>
      <c r="F12227" s="58"/>
      <c r="G12227" s="704">
        <f t="shared" si="196"/>
        <v>-10760</v>
      </c>
      <c r="H12227" s="705" t="s">
        <v>7766</v>
      </c>
    </row>
    <row r="12228" spans="1:8" s="182" customFormat="1" ht="15" x14ac:dyDescent="0.2">
      <c r="A12228" s="703">
        <v>44667</v>
      </c>
      <c r="B12228" s="41" t="s">
        <v>82</v>
      </c>
      <c r="C12228" s="76" t="s">
        <v>3145</v>
      </c>
      <c r="D12228" s="108" t="s">
        <v>5139</v>
      </c>
      <c r="E12228" s="704">
        <v>3500</v>
      </c>
      <c r="F12228" s="58"/>
      <c r="G12228" s="704">
        <f t="shared" si="196"/>
        <v>-3500</v>
      </c>
      <c r="H12228" s="705" t="s">
        <v>7766</v>
      </c>
    </row>
    <row r="12229" spans="1:8" s="182" customFormat="1" ht="15" x14ac:dyDescent="0.2">
      <c r="A12229" s="703">
        <v>44667</v>
      </c>
      <c r="B12229" s="41" t="s">
        <v>7732</v>
      </c>
      <c r="C12229" s="76" t="s">
        <v>3145</v>
      </c>
      <c r="D12229" s="108" t="s">
        <v>7826</v>
      </c>
      <c r="E12229" s="704">
        <v>24581</v>
      </c>
      <c r="F12229" s="58"/>
      <c r="G12229" s="704">
        <f t="shared" ref="G12229:G12292" si="197">F12229-E12229</f>
        <v>-24581</v>
      </c>
      <c r="H12229" s="705" t="s">
        <v>7766</v>
      </c>
    </row>
    <row r="12230" spans="1:8" s="182" customFormat="1" ht="15" x14ac:dyDescent="0.2">
      <c r="A12230" s="703">
        <v>44667</v>
      </c>
      <c r="B12230" s="41" t="s">
        <v>6408</v>
      </c>
      <c r="C12230" s="76" t="s">
        <v>3145</v>
      </c>
      <c r="D12230" s="108" t="s">
        <v>7827</v>
      </c>
      <c r="E12230" s="704">
        <v>2400</v>
      </c>
      <c r="F12230" s="58"/>
      <c r="G12230" s="704">
        <f t="shared" si="197"/>
        <v>-2400</v>
      </c>
      <c r="H12230" s="705" t="s">
        <v>7766</v>
      </c>
    </row>
    <row r="12231" spans="1:8" s="182" customFormat="1" ht="15" x14ac:dyDescent="0.2">
      <c r="A12231" s="703">
        <v>44667</v>
      </c>
      <c r="B12231" s="41" t="s">
        <v>6408</v>
      </c>
      <c r="C12231" s="76" t="s">
        <v>286</v>
      </c>
      <c r="D12231" s="108" t="s">
        <v>5139</v>
      </c>
      <c r="E12231" s="704">
        <v>1200</v>
      </c>
      <c r="F12231" s="58"/>
      <c r="G12231" s="704">
        <f t="shared" si="197"/>
        <v>-1200</v>
      </c>
      <c r="H12231" s="705" t="s">
        <v>7766</v>
      </c>
    </row>
    <row r="12232" spans="1:8" s="182" customFormat="1" ht="15" x14ac:dyDescent="0.2">
      <c r="A12232" s="703">
        <v>44668</v>
      </c>
      <c r="B12232" s="41" t="s">
        <v>2933</v>
      </c>
      <c r="C12232" s="76" t="s">
        <v>286</v>
      </c>
      <c r="D12232" s="108" t="s">
        <v>6386</v>
      </c>
      <c r="E12232" s="704">
        <v>300</v>
      </c>
      <c r="F12232" s="58"/>
      <c r="G12232" s="704">
        <f t="shared" si="197"/>
        <v>-300</v>
      </c>
      <c r="H12232" s="705" t="s">
        <v>7766</v>
      </c>
    </row>
    <row r="12233" spans="1:8" s="182" customFormat="1" ht="15" x14ac:dyDescent="0.2">
      <c r="A12233" s="703">
        <v>44669</v>
      </c>
      <c r="B12233" s="41" t="s">
        <v>7555</v>
      </c>
      <c r="C12233" s="76" t="s">
        <v>392</v>
      </c>
      <c r="D12233" s="108" t="s">
        <v>7828</v>
      </c>
      <c r="E12233" s="704">
        <v>9000</v>
      </c>
      <c r="F12233" s="58"/>
      <c r="G12233" s="704">
        <f t="shared" si="197"/>
        <v>-9000</v>
      </c>
      <c r="H12233" s="705" t="s">
        <v>7766</v>
      </c>
    </row>
    <row r="12234" spans="1:8" s="182" customFormat="1" ht="15" x14ac:dyDescent="0.2">
      <c r="A12234" s="703">
        <v>44669</v>
      </c>
      <c r="B12234" s="41" t="s">
        <v>7067</v>
      </c>
      <c r="C12234" s="76" t="s">
        <v>392</v>
      </c>
      <c r="D12234" s="108" t="s">
        <v>7506</v>
      </c>
      <c r="E12234" s="704">
        <v>2000</v>
      </c>
      <c r="F12234" s="58"/>
      <c r="G12234" s="704">
        <f t="shared" si="197"/>
        <v>-2000</v>
      </c>
      <c r="H12234" s="705" t="s">
        <v>7766</v>
      </c>
    </row>
    <row r="12235" spans="1:8" s="182" customFormat="1" ht="15" x14ac:dyDescent="0.2">
      <c r="A12235" s="703">
        <v>44669</v>
      </c>
      <c r="B12235" s="41" t="s">
        <v>16</v>
      </c>
      <c r="C12235" s="76" t="s">
        <v>1689</v>
      </c>
      <c r="D12235" s="108" t="s">
        <v>7829</v>
      </c>
      <c r="E12235" s="704">
        <v>10423</v>
      </c>
      <c r="F12235" s="58"/>
      <c r="G12235" s="704">
        <f t="shared" si="197"/>
        <v>-10423</v>
      </c>
      <c r="H12235" s="705" t="s">
        <v>7766</v>
      </c>
    </row>
    <row r="12236" spans="1:8" s="182" customFormat="1" ht="15" x14ac:dyDescent="0.2">
      <c r="A12236" s="703">
        <v>44669</v>
      </c>
      <c r="B12236" s="41" t="s">
        <v>25</v>
      </c>
      <c r="C12236" s="76" t="s">
        <v>1689</v>
      </c>
      <c r="D12236" s="108" t="s">
        <v>7829</v>
      </c>
      <c r="E12236" s="704">
        <v>34187</v>
      </c>
      <c r="F12236" s="58"/>
      <c r="G12236" s="704">
        <f t="shared" si="197"/>
        <v>-34187</v>
      </c>
      <c r="H12236" s="705" t="s">
        <v>7766</v>
      </c>
    </row>
    <row r="12237" spans="1:8" s="182" customFormat="1" ht="15" x14ac:dyDescent="0.2">
      <c r="A12237" s="703">
        <v>44669</v>
      </c>
      <c r="B12237" s="41" t="s">
        <v>82</v>
      </c>
      <c r="C12237" s="76" t="s">
        <v>3145</v>
      </c>
      <c r="D12237" s="108" t="s">
        <v>7830</v>
      </c>
      <c r="E12237" s="704">
        <v>58750</v>
      </c>
      <c r="F12237" s="58"/>
      <c r="G12237" s="704">
        <f t="shared" si="197"/>
        <v>-58750</v>
      </c>
      <c r="H12237" s="705" t="s">
        <v>7766</v>
      </c>
    </row>
    <row r="12238" spans="1:8" s="182" customFormat="1" ht="15" customHeight="1" x14ac:dyDescent="0.2">
      <c r="A12238" s="703">
        <v>44669</v>
      </c>
      <c r="B12238" s="41" t="s">
        <v>7555</v>
      </c>
      <c r="C12238" s="76" t="s">
        <v>3145</v>
      </c>
      <c r="D12238" s="108" t="s">
        <v>7831</v>
      </c>
      <c r="E12238" s="704">
        <v>2200</v>
      </c>
      <c r="F12238" s="58"/>
      <c r="G12238" s="704">
        <f t="shared" si="197"/>
        <v>-2200</v>
      </c>
      <c r="H12238" s="705" t="s">
        <v>7766</v>
      </c>
    </row>
    <row r="12239" spans="1:8" s="182" customFormat="1" ht="15" customHeight="1" x14ac:dyDescent="0.2">
      <c r="A12239" s="703">
        <v>44669</v>
      </c>
      <c r="B12239" s="41" t="s">
        <v>1400</v>
      </c>
      <c r="C12239" s="76" t="s">
        <v>3145</v>
      </c>
      <c r="D12239" s="108" t="s">
        <v>4426</v>
      </c>
      <c r="E12239" s="704">
        <v>2000</v>
      </c>
      <c r="F12239" s="58"/>
      <c r="G12239" s="704">
        <f t="shared" si="197"/>
        <v>-2000</v>
      </c>
      <c r="H12239" s="705" t="s">
        <v>7766</v>
      </c>
    </row>
    <row r="12240" spans="1:8" s="182" customFormat="1" ht="15" customHeight="1" x14ac:dyDescent="0.2">
      <c r="A12240" s="703">
        <v>44670</v>
      </c>
      <c r="B12240" s="41" t="s">
        <v>7657</v>
      </c>
      <c r="C12240" s="76" t="s">
        <v>3145</v>
      </c>
      <c r="D12240" s="108" t="s">
        <v>7832</v>
      </c>
      <c r="E12240" s="704">
        <v>8790</v>
      </c>
      <c r="F12240" s="58"/>
      <c r="G12240" s="704">
        <f t="shared" si="197"/>
        <v>-8790</v>
      </c>
      <c r="H12240" s="705" t="s">
        <v>7766</v>
      </c>
    </row>
    <row r="12241" spans="1:8" s="182" customFormat="1" ht="15" x14ac:dyDescent="0.2">
      <c r="A12241" s="703">
        <v>44670</v>
      </c>
      <c r="B12241" s="41" t="s">
        <v>7657</v>
      </c>
      <c r="C12241" s="76" t="s">
        <v>3145</v>
      </c>
      <c r="D12241" s="108" t="s">
        <v>392</v>
      </c>
      <c r="E12241" s="704">
        <v>940</v>
      </c>
      <c r="F12241" s="58"/>
      <c r="G12241" s="704">
        <f t="shared" si="197"/>
        <v>-940</v>
      </c>
      <c r="H12241" s="705" t="s">
        <v>7766</v>
      </c>
    </row>
    <row r="12242" spans="1:8" s="182" customFormat="1" ht="15" customHeight="1" x14ac:dyDescent="0.2">
      <c r="A12242" s="703">
        <v>44670</v>
      </c>
      <c r="B12242" s="41" t="s">
        <v>25</v>
      </c>
      <c r="C12242" s="76" t="s">
        <v>7595</v>
      </c>
      <c r="D12242" s="108" t="s">
        <v>7833</v>
      </c>
      <c r="E12242" s="704">
        <v>80000</v>
      </c>
      <c r="F12242" s="58"/>
      <c r="G12242" s="704">
        <f t="shared" si="197"/>
        <v>-80000</v>
      </c>
      <c r="H12242" s="705" t="s">
        <v>7766</v>
      </c>
    </row>
    <row r="12243" spans="1:8" s="182" customFormat="1" ht="15" customHeight="1" x14ac:dyDescent="0.2">
      <c r="A12243" s="703">
        <v>44670</v>
      </c>
      <c r="B12243" s="41" t="s">
        <v>25</v>
      </c>
      <c r="C12243" s="76" t="s">
        <v>2996</v>
      </c>
      <c r="D12243" s="108" t="s">
        <v>7833</v>
      </c>
      <c r="E12243" s="704">
        <v>15000</v>
      </c>
      <c r="F12243" s="58"/>
      <c r="G12243" s="704">
        <f t="shared" si="197"/>
        <v>-15000</v>
      </c>
      <c r="H12243" s="705" t="s">
        <v>7766</v>
      </c>
    </row>
    <row r="12244" spans="1:8" s="182" customFormat="1" ht="15" x14ac:dyDescent="0.2">
      <c r="A12244" s="703">
        <v>44671</v>
      </c>
      <c r="B12244" s="41" t="s">
        <v>7817</v>
      </c>
      <c r="C12244" s="76" t="s">
        <v>3145</v>
      </c>
      <c r="D12244" s="108" t="s">
        <v>7834</v>
      </c>
      <c r="E12244" s="704">
        <v>3800</v>
      </c>
      <c r="F12244" s="58"/>
      <c r="G12244" s="704">
        <f t="shared" si="197"/>
        <v>-3800</v>
      </c>
      <c r="H12244" s="705" t="s">
        <v>7766</v>
      </c>
    </row>
    <row r="12245" spans="1:8" s="182" customFormat="1" ht="15" x14ac:dyDescent="0.2">
      <c r="A12245" s="703">
        <v>44671</v>
      </c>
      <c r="B12245" s="41" t="s">
        <v>7817</v>
      </c>
      <c r="C12245" s="76" t="s">
        <v>3145</v>
      </c>
      <c r="D12245" s="108" t="s">
        <v>7835</v>
      </c>
      <c r="E12245" s="704">
        <v>10800</v>
      </c>
      <c r="F12245" s="58"/>
      <c r="G12245" s="704">
        <f t="shared" si="197"/>
        <v>-10800</v>
      </c>
      <c r="H12245" s="705" t="s">
        <v>7766</v>
      </c>
    </row>
    <row r="12246" spans="1:8" s="182" customFormat="1" ht="15" x14ac:dyDescent="0.2">
      <c r="A12246" s="703">
        <v>44671</v>
      </c>
      <c r="B12246" s="41" t="s">
        <v>7817</v>
      </c>
      <c r="C12246" s="76" t="s">
        <v>286</v>
      </c>
      <c r="D12246" s="108" t="s">
        <v>7836</v>
      </c>
      <c r="E12246" s="704">
        <v>400</v>
      </c>
      <c r="F12246" s="58"/>
      <c r="G12246" s="704">
        <f t="shared" si="197"/>
        <v>-400</v>
      </c>
      <c r="H12246" s="705" t="s">
        <v>7766</v>
      </c>
    </row>
    <row r="12247" spans="1:8" s="182" customFormat="1" ht="15" x14ac:dyDescent="0.2">
      <c r="A12247" s="703">
        <v>44671</v>
      </c>
      <c r="B12247" s="41" t="s">
        <v>82</v>
      </c>
      <c r="C12247" s="550" t="s">
        <v>6378</v>
      </c>
      <c r="D12247" s="893" t="s">
        <v>7779</v>
      </c>
      <c r="E12247" s="706">
        <v>13000</v>
      </c>
      <c r="F12247" s="58"/>
      <c r="G12247" s="704">
        <f t="shared" si="197"/>
        <v>-13000</v>
      </c>
      <c r="H12247" s="705" t="s">
        <v>7766</v>
      </c>
    </row>
    <row r="12248" spans="1:8" s="182" customFormat="1" ht="15" x14ac:dyDescent="0.2">
      <c r="A12248" s="703">
        <v>44671</v>
      </c>
      <c r="B12248" s="41" t="s">
        <v>1400</v>
      </c>
      <c r="C12248" s="550" t="s">
        <v>6378</v>
      </c>
      <c r="D12248" s="893" t="s">
        <v>7837</v>
      </c>
      <c r="E12248" s="706">
        <v>12000</v>
      </c>
      <c r="F12248" s="58"/>
      <c r="G12248" s="704">
        <f t="shared" si="197"/>
        <v>-12000</v>
      </c>
      <c r="H12248" s="705" t="s">
        <v>7766</v>
      </c>
    </row>
    <row r="12249" spans="1:8" s="182" customFormat="1" ht="15" x14ac:dyDescent="0.2">
      <c r="A12249" s="703">
        <v>44671</v>
      </c>
      <c r="B12249" s="41" t="s">
        <v>7555</v>
      </c>
      <c r="C12249" s="76" t="s">
        <v>3145</v>
      </c>
      <c r="D12249" s="108" t="s">
        <v>7395</v>
      </c>
      <c r="E12249" s="704">
        <v>1410</v>
      </c>
      <c r="F12249" s="58"/>
      <c r="G12249" s="704">
        <f t="shared" si="197"/>
        <v>-1410</v>
      </c>
      <c r="H12249" s="705" t="s">
        <v>7766</v>
      </c>
    </row>
    <row r="12250" spans="1:8" s="182" customFormat="1" ht="15" x14ac:dyDescent="0.2">
      <c r="A12250" s="703">
        <v>44671</v>
      </c>
      <c r="B12250" s="41" t="s">
        <v>82</v>
      </c>
      <c r="C12250" s="76" t="s">
        <v>3145</v>
      </c>
      <c r="D12250" s="108" t="s">
        <v>7395</v>
      </c>
      <c r="E12250" s="704">
        <v>800</v>
      </c>
      <c r="F12250" s="58"/>
      <c r="G12250" s="704">
        <f t="shared" si="197"/>
        <v>-800</v>
      </c>
      <c r="H12250" s="705" t="s">
        <v>7766</v>
      </c>
    </row>
    <row r="12251" spans="1:8" s="182" customFormat="1" ht="15" x14ac:dyDescent="0.2">
      <c r="A12251" s="703">
        <v>44671</v>
      </c>
      <c r="B12251" s="41" t="s">
        <v>4553</v>
      </c>
      <c r="C12251" s="76" t="s">
        <v>3145</v>
      </c>
      <c r="D12251" s="108" t="s">
        <v>7395</v>
      </c>
      <c r="E12251" s="704">
        <v>4200</v>
      </c>
      <c r="F12251" s="58"/>
      <c r="G12251" s="704">
        <f t="shared" si="197"/>
        <v>-4200</v>
      </c>
      <c r="H12251" s="705" t="s">
        <v>7766</v>
      </c>
    </row>
    <row r="12252" spans="1:8" s="182" customFormat="1" ht="15" customHeight="1" x14ac:dyDescent="0.2">
      <c r="A12252" s="703">
        <v>44671</v>
      </c>
      <c r="B12252" s="41" t="s">
        <v>7112</v>
      </c>
      <c r="C12252" s="76" t="s">
        <v>3145</v>
      </c>
      <c r="D12252" s="108" t="s">
        <v>7395</v>
      </c>
      <c r="E12252" s="704">
        <v>3600</v>
      </c>
      <c r="F12252" s="58"/>
      <c r="G12252" s="704">
        <f t="shared" si="197"/>
        <v>-3600</v>
      </c>
      <c r="H12252" s="705" t="s">
        <v>7766</v>
      </c>
    </row>
    <row r="12253" spans="1:8" s="182" customFormat="1" ht="15" x14ac:dyDescent="0.2">
      <c r="A12253" s="703">
        <v>44671</v>
      </c>
      <c r="B12253" s="41" t="s">
        <v>4553</v>
      </c>
      <c r="C12253" s="76" t="s">
        <v>3145</v>
      </c>
      <c r="D12253" s="108" t="s">
        <v>7395</v>
      </c>
      <c r="E12253" s="704">
        <v>13665</v>
      </c>
      <c r="F12253" s="58"/>
      <c r="G12253" s="704">
        <f t="shared" si="197"/>
        <v>-13665</v>
      </c>
      <c r="H12253" s="705" t="s">
        <v>7766</v>
      </c>
    </row>
    <row r="12254" spans="1:8" s="182" customFormat="1" ht="15" x14ac:dyDescent="0.2">
      <c r="A12254" s="703">
        <v>44671</v>
      </c>
      <c r="B12254" s="41" t="s">
        <v>4553</v>
      </c>
      <c r="C12254" s="76" t="s">
        <v>3145</v>
      </c>
      <c r="D12254" s="108" t="s">
        <v>7395</v>
      </c>
      <c r="E12254" s="704">
        <v>17250</v>
      </c>
      <c r="F12254" s="58"/>
      <c r="G12254" s="704">
        <f t="shared" si="197"/>
        <v>-17250</v>
      </c>
      <c r="H12254" s="705" t="s">
        <v>7766</v>
      </c>
    </row>
    <row r="12255" spans="1:8" s="182" customFormat="1" ht="15" x14ac:dyDescent="0.2">
      <c r="A12255" s="703">
        <v>44671</v>
      </c>
      <c r="B12255" s="41" t="s">
        <v>7067</v>
      </c>
      <c r="C12255" s="76" t="s">
        <v>7838</v>
      </c>
      <c r="D12255" s="108" t="s">
        <v>370</v>
      </c>
      <c r="E12255" s="704">
        <v>33330</v>
      </c>
      <c r="F12255" s="58"/>
      <c r="G12255" s="704">
        <f t="shared" si="197"/>
        <v>-33330</v>
      </c>
      <c r="H12255" s="705" t="s">
        <v>7766</v>
      </c>
    </row>
    <row r="12256" spans="1:8" s="182" customFormat="1" ht="15" x14ac:dyDescent="0.2">
      <c r="A12256" s="703">
        <v>44672</v>
      </c>
      <c r="B12256" s="41" t="s">
        <v>3946</v>
      </c>
      <c r="C12256" s="76" t="s">
        <v>3145</v>
      </c>
      <c r="D12256" s="108" t="s">
        <v>7839</v>
      </c>
      <c r="E12256" s="704">
        <v>28000</v>
      </c>
      <c r="F12256" s="58"/>
      <c r="G12256" s="704">
        <f t="shared" si="197"/>
        <v>-28000</v>
      </c>
      <c r="H12256" s="705" t="s">
        <v>7766</v>
      </c>
    </row>
    <row r="12257" spans="1:8" s="182" customFormat="1" ht="15" x14ac:dyDescent="0.2">
      <c r="A12257" s="703">
        <v>44672</v>
      </c>
      <c r="B12257" s="41" t="s">
        <v>7067</v>
      </c>
      <c r="C12257" s="76" t="s">
        <v>6967</v>
      </c>
      <c r="D12257" s="108" t="s">
        <v>370</v>
      </c>
      <c r="E12257" s="704">
        <v>4000</v>
      </c>
      <c r="F12257" s="58"/>
      <c r="G12257" s="704">
        <f t="shared" si="197"/>
        <v>-4000</v>
      </c>
      <c r="H12257" s="705" t="s">
        <v>7766</v>
      </c>
    </row>
    <row r="12258" spans="1:8" s="182" customFormat="1" ht="15" x14ac:dyDescent="0.2">
      <c r="A12258" s="703">
        <v>44676</v>
      </c>
      <c r="B12258" s="41" t="s">
        <v>7067</v>
      </c>
      <c r="C12258" s="550" t="s">
        <v>392</v>
      </c>
      <c r="D12258" s="893" t="s">
        <v>7852</v>
      </c>
      <c r="E12258" s="706">
        <v>12500</v>
      </c>
      <c r="F12258" s="58"/>
      <c r="G12258" s="704">
        <f t="shared" si="197"/>
        <v>-12500</v>
      </c>
      <c r="H12258" s="705" t="s">
        <v>7766</v>
      </c>
    </row>
    <row r="12259" spans="1:8" s="182" customFormat="1" ht="15" x14ac:dyDescent="0.2">
      <c r="A12259" s="703">
        <v>44676</v>
      </c>
      <c r="B12259" s="41" t="s">
        <v>1400</v>
      </c>
      <c r="C12259" s="550" t="s">
        <v>392</v>
      </c>
      <c r="D12259" s="893" t="s">
        <v>7852</v>
      </c>
      <c r="E12259" s="706">
        <v>12500</v>
      </c>
      <c r="F12259" s="58"/>
      <c r="G12259" s="704">
        <f t="shared" si="197"/>
        <v>-12500</v>
      </c>
      <c r="H12259" s="705" t="s">
        <v>7766</v>
      </c>
    </row>
    <row r="12260" spans="1:8" s="182" customFormat="1" ht="15" x14ac:dyDescent="0.2">
      <c r="A12260" s="703">
        <v>44676</v>
      </c>
      <c r="B12260" s="41" t="s">
        <v>3946</v>
      </c>
      <c r="C12260" s="550" t="s">
        <v>392</v>
      </c>
      <c r="D12260" s="893" t="s">
        <v>7852</v>
      </c>
      <c r="E12260" s="706">
        <v>12500</v>
      </c>
      <c r="F12260" s="58"/>
      <c r="G12260" s="704">
        <f t="shared" si="197"/>
        <v>-12500</v>
      </c>
      <c r="H12260" s="705" t="s">
        <v>7766</v>
      </c>
    </row>
    <row r="12261" spans="1:8" s="182" customFormat="1" ht="15" x14ac:dyDescent="0.2">
      <c r="A12261" s="703">
        <v>44676</v>
      </c>
      <c r="B12261" s="41" t="s">
        <v>2933</v>
      </c>
      <c r="C12261" s="550" t="s">
        <v>392</v>
      </c>
      <c r="D12261" s="893" t="s">
        <v>7852</v>
      </c>
      <c r="E12261" s="706">
        <v>12500</v>
      </c>
      <c r="F12261" s="58"/>
      <c r="G12261" s="704">
        <f t="shared" si="197"/>
        <v>-12500</v>
      </c>
      <c r="H12261" s="705" t="s">
        <v>7766</v>
      </c>
    </row>
    <row r="12262" spans="1:8" s="182" customFormat="1" ht="15" x14ac:dyDescent="0.2">
      <c r="A12262" s="703">
        <v>44676</v>
      </c>
      <c r="B12262" s="41" t="s">
        <v>25</v>
      </c>
      <c r="C12262" s="76" t="s">
        <v>2428</v>
      </c>
      <c r="D12262" s="108" t="s">
        <v>7853</v>
      </c>
      <c r="E12262" s="704">
        <v>25000</v>
      </c>
      <c r="F12262" s="58"/>
      <c r="G12262" s="704">
        <f t="shared" si="197"/>
        <v>-25000</v>
      </c>
      <c r="H12262" s="705" t="s">
        <v>7766</v>
      </c>
    </row>
    <row r="12263" spans="1:8" s="182" customFormat="1" ht="15" customHeight="1" x14ac:dyDescent="0.2">
      <c r="A12263" s="703">
        <v>44676</v>
      </c>
      <c r="B12263" s="41" t="s">
        <v>7067</v>
      </c>
      <c r="C12263" s="76" t="s">
        <v>392</v>
      </c>
      <c r="D12263" s="108" t="s">
        <v>7854</v>
      </c>
      <c r="E12263" s="704">
        <v>40000</v>
      </c>
      <c r="F12263" s="58"/>
      <c r="G12263" s="704">
        <f t="shared" si="197"/>
        <v>-40000</v>
      </c>
      <c r="H12263" s="705" t="s">
        <v>7766</v>
      </c>
    </row>
    <row r="12264" spans="1:8" s="182" customFormat="1" ht="15" customHeight="1" x14ac:dyDescent="0.2">
      <c r="A12264" s="703">
        <v>44679</v>
      </c>
      <c r="B12264" s="41" t="s">
        <v>3946</v>
      </c>
      <c r="C12264" s="76" t="s">
        <v>3033</v>
      </c>
      <c r="D12264" s="108" t="s">
        <v>370</v>
      </c>
      <c r="E12264" s="704">
        <v>15000</v>
      </c>
      <c r="F12264" s="58"/>
      <c r="G12264" s="704">
        <f t="shared" si="197"/>
        <v>-15000</v>
      </c>
      <c r="H12264" s="705" t="s">
        <v>7766</v>
      </c>
    </row>
    <row r="12265" spans="1:8" s="182" customFormat="1" ht="15" customHeight="1" x14ac:dyDescent="0.2">
      <c r="A12265" s="703">
        <v>44679</v>
      </c>
      <c r="B12265" s="41" t="s">
        <v>7112</v>
      </c>
      <c r="C12265" s="76" t="s">
        <v>7223</v>
      </c>
      <c r="D12265" s="108" t="s">
        <v>7855</v>
      </c>
      <c r="E12265" s="704">
        <v>90000</v>
      </c>
      <c r="F12265" s="58"/>
      <c r="G12265" s="704">
        <f t="shared" si="197"/>
        <v>-90000</v>
      </c>
      <c r="H12265" s="705" t="s">
        <v>7766</v>
      </c>
    </row>
    <row r="12266" spans="1:8" s="182" customFormat="1" ht="15" customHeight="1" x14ac:dyDescent="0.2">
      <c r="A12266" s="703">
        <v>44679</v>
      </c>
      <c r="B12266" s="41" t="s">
        <v>3945</v>
      </c>
      <c r="C12266" s="76" t="s">
        <v>392</v>
      </c>
      <c r="D12266" s="108" t="s">
        <v>7856</v>
      </c>
      <c r="E12266" s="704">
        <v>50000</v>
      </c>
      <c r="F12266" s="58"/>
      <c r="G12266" s="704">
        <f t="shared" si="197"/>
        <v>-50000</v>
      </c>
      <c r="H12266" s="705" t="s">
        <v>7766</v>
      </c>
    </row>
    <row r="12267" spans="1:8" s="182" customFormat="1" ht="15" customHeight="1" x14ac:dyDescent="0.2">
      <c r="A12267" s="703">
        <v>44679</v>
      </c>
      <c r="B12267" s="41" t="s">
        <v>7555</v>
      </c>
      <c r="C12267" s="76" t="s">
        <v>7792</v>
      </c>
      <c r="D12267" s="108" t="s">
        <v>7857</v>
      </c>
      <c r="E12267" s="704">
        <v>77000</v>
      </c>
      <c r="F12267" s="58"/>
      <c r="G12267" s="704">
        <f t="shared" si="197"/>
        <v>-77000</v>
      </c>
      <c r="H12267" s="705" t="s">
        <v>7766</v>
      </c>
    </row>
    <row r="12268" spans="1:8" s="182" customFormat="1" ht="15" x14ac:dyDescent="0.2">
      <c r="A12268" s="703">
        <v>44680</v>
      </c>
      <c r="B12268" s="41" t="s">
        <v>6505</v>
      </c>
      <c r="C12268" s="76" t="s">
        <v>3145</v>
      </c>
      <c r="D12268" s="108" t="s">
        <v>7229</v>
      </c>
      <c r="E12268" s="704">
        <v>13580</v>
      </c>
      <c r="F12268" s="58"/>
      <c r="G12268" s="704">
        <f t="shared" si="197"/>
        <v>-13580</v>
      </c>
      <c r="H12268" s="705" t="s">
        <v>7766</v>
      </c>
    </row>
    <row r="12269" spans="1:8" s="182" customFormat="1" ht="15" x14ac:dyDescent="0.2">
      <c r="A12269" s="703">
        <v>44680</v>
      </c>
      <c r="B12269" s="41" t="s">
        <v>6508</v>
      </c>
      <c r="C12269" s="76" t="s">
        <v>3145</v>
      </c>
      <c r="D12269" s="108" t="s">
        <v>7858</v>
      </c>
      <c r="E12269" s="704">
        <v>47600</v>
      </c>
      <c r="F12269" s="58"/>
      <c r="G12269" s="704">
        <f t="shared" si="197"/>
        <v>-47600</v>
      </c>
      <c r="H12269" s="705" t="s">
        <v>7766</v>
      </c>
    </row>
    <row r="12270" spans="1:8" s="182" customFormat="1" ht="15" x14ac:dyDescent="0.2">
      <c r="A12270" s="703">
        <v>44681</v>
      </c>
      <c r="B12270" s="41" t="s">
        <v>7555</v>
      </c>
      <c r="C12270" s="550" t="s">
        <v>7775</v>
      </c>
      <c r="D12270" s="893" t="s">
        <v>2711</v>
      </c>
      <c r="E12270" s="706">
        <v>10000</v>
      </c>
      <c r="F12270" s="58"/>
      <c r="G12270" s="704">
        <f t="shared" si="197"/>
        <v>-10000</v>
      </c>
      <c r="H12270" s="705" t="s">
        <v>7766</v>
      </c>
    </row>
    <row r="12271" spans="1:8" s="182" customFormat="1" ht="15" customHeight="1" x14ac:dyDescent="0.2">
      <c r="A12271" s="703">
        <v>44681</v>
      </c>
      <c r="B12271" s="41" t="s">
        <v>7067</v>
      </c>
      <c r="C12271" s="550" t="s">
        <v>7775</v>
      </c>
      <c r="D12271" s="893" t="s">
        <v>2711</v>
      </c>
      <c r="E12271" s="706">
        <v>7000</v>
      </c>
      <c r="F12271" s="58"/>
      <c r="G12271" s="704">
        <f t="shared" si="197"/>
        <v>-7000</v>
      </c>
      <c r="H12271" s="705" t="s">
        <v>7766</v>
      </c>
    </row>
    <row r="12272" spans="1:8" s="182" customFormat="1" ht="15" customHeight="1" x14ac:dyDescent="0.2">
      <c r="A12272" s="703">
        <v>44681</v>
      </c>
      <c r="B12272" s="41" t="s">
        <v>1400</v>
      </c>
      <c r="C12272" s="76" t="s">
        <v>7859</v>
      </c>
      <c r="D12272" s="108" t="s">
        <v>6483</v>
      </c>
      <c r="E12272" s="704">
        <v>20000</v>
      </c>
      <c r="F12272" s="58"/>
      <c r="G12272" s="704">
        <f t="shared" si="197"/>
        <v>-20000</v>
      </c>
      <c r="H12272" s="705" t="s">
        <v>7766</v>
      </c>
    </row>
    <row r="12273" spans="1:8" s="182" customFormat="1" ht="15" customHeight="1" x14ac:dyDescent="0.2">
      <c r="A12273" s="703">
        <v>44681</v>
      </c>
      <c r="B12273" s="41" t="s">
        <v>25</v>
      </c>
      <c r="C12273" s="76" t="s">
        <v>1005</v>
      </c>
      <c r="D12273" s="108"/>
      <c r="E12273" s="704">
        <v>650</v>
      </c>
      <c r="F12273" s="58"/>
      <c r="G12273" s="704">
        <f t="shared" si="197"/>
        <v>-650</v>
      </c>
      <c r="H12273" s="705" t="s">
        <v>7766</v>
      </c>
    </row>
    <row r="12274" spans="1:8" s="182" customFormat="1" ht="15" customHeight="1" x14ac:dyDescent="0.2">
      <c r="A12274" s="703">
        <v>44681</v>
      </c>
      <c r="B12274" s="41" t="s">
        <v>7657</v>
      </c>
      <c r="C12274" s="76" t="s">
        <v>2555</v>
      </c>
      <c r="D12274" s="108" t="s">
        <v>7865</v>
      </c>
      <c r="E12274" s="704">
        <v>50000</v>
      </c>
      <c r="F12274" s="58"/>
      <c r="G12274" s="704">
        <f t="shared" si="197"/>
        <v>-50000</v>
      </c>
      <c r="H12274" s="705" t="s">
        <v>7766</v>
      </c>
    </row>
    <row r="12275" spans="1:8" s="182" customFormat="1" ht="15" customHeight="1" x14ac:dyDescent="0.2">
      <c r="A12275" s="703">
        <v>44681</v>
      </c>
      <c r="B12275" s="41" t="s">
        <v>1400</v>
      </c>
      <c r="C12275" s="76" t="s">
        <v>6852</v>
      </c>
      <c r="D12275" s="108" t="s">
        <v>1157</v>
      </c>
      <c r="E12275" s="704">
        <v>40000</v>
      </c>
      <c r="F12275" s="58"/>
      <c r="G12275" s="704">
        <f t="shared" si="197"/>
        <v>-40000</v>
      </c>
      <c r="H12275" s="705" t="s">
        <v>7766</v>
      </c>
    </row>
    <row r="12276" spans="1:8" s="182" customFormat="1" ht="15" customHeight="1" x14ac:dyDescent="0.2">
      <c r="A12276" s="703">
        <v>44681</v>
      </c>
      <c r="B12276" s="41" t="s">
        <v>16</v>
      </c>
      <c r="C12276" s="76" t="s">
        <v>5341</v>
      </c>
      <c r="D12276" s="108" t="s">
        <v>7866</v>
      </c>
      <c r="E12276" s="704">
        <v>10000</v>
      </c>
      <c r="F12276" s="58"/>
      <c r="G12276" s="704">
        <f t="shared" si="197"/>
        <v>-10000</v>
      </c>
      <c r="H12276" s="705" t="s">
        <v>7766</v>
      </c>
    </row>
    <row r="12277" spans="1:8" s="182" customFormat="1" ht="15" customHeight="1" x14ac:dyDescent="0.2">
      <c r="A12277" s="703">
        <v>44681</v>
      </c>
      <c r="B12277" s="41" t="s">
        <v>7817</v>
      </c>
      <c r="C12277" s="76" t="s">
        <v>7777</v>
      </c>
      <c r="D12277" s="108" t="s">
        <v>370</v>
      </c>
      <c r="E12277" s="704">
        <v>10000</v>
      </c>
      <c r="F12277" s="58"/>
      <c r="G12277" s="704">
        <f t="shared" si="197"/>
        <v>-10000</v>
      </c>
      <c r="H12277" s="705" t="s">
        <v>7766</v>
      </c>
    </row>
    <row r="12278" spans="1:8" s="182" customFormat="1" ht="15" x14ac:dyDescent="0.2">
      <c r="A12278" s="703">
        <v>44681</v>
      </c>
      <c r="B12278" s="41" t="s">
        <v>7555</v>
      </c>
      <c r="C12278" s="76" t="s">
        <v>3145</v>
      </c>
      <c r="D12278" s="108" t="s">
        <v>392</v>
      </c>
      <c r="E12278" s="704">
        <v>2800</v>
      </c>
      <c r="F12278" s="58"/>
      <c r="G12278" s="704">
        <f t="shared" si="197"/>
        <v>-2800</v>
      </c>
      <c r="H12278" s="705" t="s">
        <v>7766</v>
      </c>
    </row>
    <row r="12279" spans="1:8" s="182" customFormat="1" ht="15" customHeight="1" x14ac:dyDescent="0.2">
      <c r="A12279" s="703">
        <v>44681</v>
      </c>
      <c r="B12279" s="41" t="s">
        <v>37</v>
      </c>
      <c r="C12279" s="76" t="s">
        <v>392</v>
      </c>
      <c r="D12279" s="108" t="s">
        <v>7395</v>
      </c>
      <c r="E12279" s="704">
        <v>3400</v>
      </c>
      <c r="F12279" s="58"/>
      <c r="G12279" s="704">
        <f t="shared" si="197"/>
        <v>-3400</v>
      </c>
      <c r="H12279" s="705" t="s">
        <v>7766</v>
      </c>
    </row>
    <row r="12280" spans="1:8" s="182" customFormat="1" ht="15" customHeight="1" x14ac:dyDescent="0.2">
      <c r="A12280" s="703">
        <v>44681</v>
      </c>
      <c r="B12280" s="41" t="s">
        <v>2933</v>
      </c>
      <c r="C12280" s="76" t="s">
        <v>392</v>
      </c>
      <c r="D12280" s="108" t="s">
        <v>6386</v>
      </c>
      <c r="E12280" s="704">
        <v>680</v>
      </c>
      <c r="F12280" s="58"/>
      <c r="G12280" s="704">
        <f t="shared" si="197"/>
        <v>-680</v>
      </c>
      <c r="H12280" s="705" t="s">
        <v>7766</v>
      </c>
    </row>
    <row r="12281" spans="1:8" s="182" customFormat="1" ht="15" customHeight="1" x14ac:dyDescent="0.2">
      <c r="A12281" s="703">
        <v>44681</v>
      </c>
      <c r="B12281" s="41" t="s">
        <v>7112</v>
      </c>
      <c r="C12281" s="76" t="s">
        <v>2503</v>
      </c>
      <c r="D12281" s="108" t="s">
        <v>7097</v>
      </c>
      <c r="E12281" s="704">
        <v>25000</v>
      </c>
      <c r="F12281" s="58"/>
      <c r="G12281" s="704">
        <f t="shared" si="197"/>
        <v>-25000</v>
      </c>
      <c r="H12281" s="705" t="s">
        <v>7766</v>
      </c>
    </row>
    <row r="12282" spans="1:8" s="182" customFormat="1" ht="15" x14ac:dyDescent="0.2">
      <c r="A12282" s="703">
        <v>44681</v>
      </c>
      <c r="B12282" s="41" t="s">
        <v>6505</v>
      </c>
      <c r="C12282" s="76" t="s">
        <v>2503</v>
      </c>
      <c r="D12282" s="108" t="s">
        <v>7097</v>
      </c>
      <c r="E12282" s="704">
        <v>25000</v>
      </c>
      <c r="F12282" s="58"/>
      <c r="G12282" s="704">
        <f t="shared" si="197"/>
        <v>-25000</v>
      </c>
      <c r="H12282" s="705" t="s">
        <v>7766</v>
      </c>
    </row>
    <row r="12283" spans="1:8" s="182" customFormat="1" ht="15" x14ac:dyDescent="0.2">
      <c r="A12283" s="703">
        <v>44681</v>
      </c>
      <c r="B12283" s="41" t="s">
        <v>7067</v>
      </c>
      <c r="C12283" s="76" t="s">
        <v>2503</v>
      </c>
      <c r="D12283" s="108" t="s">
        <v>141</v>
      </c>
      <c r="E12283" s="704">
        <v>25000</v>
      </c>
      <c r="F12283" s="58"/>
      <c r="G12283" s="704">
        <f t="shared" si="197"/>
        <v>-25000</v>
      </c>
      <c r="H12283" s="705" t="s">
        <v>7766</v>
      </c>
    </row>
    <row r="12284" spans="1:8" s="182" customFormat="1" ht="15" x14ac:dyDescent="0.2">
      <c r="A12284" s="703">
        <v>44681</v>
      </c>
      <c r="B12284" s="41" t="s">
        <v>7817</v>
      </c>
      <c r="C12284" s="76" t="s">
        <v>2503</v>
      </c>
      <c r="D12284" s="108" t="s">
        <v>141</v>
      </c>
      <c r="E12284" s="704">
        <v>25000</v>
      </c>
      <c r="F12284" s="58"/>
      <c r="G12284" s="704">
        <f t="shared" si="197"/>
        <v>-25000</v>
      </c>
      <c r="H12284" s="705" t="s">
        <v>7766</v>
      </c>
    </row>
    <row r="12285" spans="1:8" s="182" customFormat="1" ht="15" x14ac:dyDescent="0.2">
      <c r="A12285" s="703">
        <v>44681</v>
      </c>
      <c r="B12285" s="41" t="s">
        <v>25</v>
      </c>
      <c r="C12285" s="76" t="s">
        <v>2503</v>
      </c>
      <c r="D12285" s="108"/>
      <c r="E12285" s="704">
        <v>70000</v>
      </c>
      <c r="F12285" s="58"/>
      <c r="G12285" s="704">
        <f t="shared" si="197"/>
        <v>-70000</v>
      </c>
      <c r="H12285" s="705" t="s">
        <v>7766</v>
      </c>
    </row>
    <row r="12286" spans="1:8" s="182" customFormat="1" ht="15" x14ac:dyDescent="0.2">
      <c r="A12286" s="703">
        <v>44681</v>
      </c>
      <c r="B12286" s="41" t="s">
        <v>16</v>
      </c>
      <c r="C12286" s="76" t="s">
        <v>2503</v>
      </c>
      <c r="D12286" s="108"/>
      <c r="E12286" s="704">
        <v>110500</v>
      </c>
      <c r="F12286" s="58"/>
      <c r="G12286" s="704">
        <f t="shared" si="197"/>
        <v>-110500</v>
      </c>
      <c r="H12286" s="705" t="s">
        <v>7766</v>
      </c>
    </row>
    <row r="12287" spans="1:8" s="182" customFormat="1" ht="15" x14ac:dyDescent="0.2">
      <c r="A12287" s="703">
        <v>44681</v>
      </c>
      <c r="B12287" s="41" t="s">
        <v>3945</v>
      </c>
      <c r="C12287" s="76" t="s">
        <v>2503</v>
      </c>
      <c r="D12287" s="108"/>
      <c r="E12287" s="704">
        <v>101343.75</v>
      </c>
      <c r="F12287" s="58"/>
      <c r="G12287" s="704">
        <f t="shared" si="197"/>
        <v>-101343.75</v>
      </c>
      <c r="H12287" s="705" t="s">
        <v>7766</v>
      </c>
    </row>
    <row r="12288" spans="1:8" s="182" customFormat="1" ht="15" x14ac:dyDescent="0.2">
      <c r="A12288" s="703">
        <v>44681</v>
      </c>
      <c r="B12288" s="41" t="s">
        <v>3946</v>
      </c>
      <c r="C12288" s="76" t="s">
        <v>2503</v>
      </c>
      <c r="D12288" s="108"/>
      <c r="E12288" s="704">
        <v>120322.83333333331</v>
      </c>
      <c r="F12288" s="58"/>
      <c r="G12288" s="704">
        <f t="shared" si="197"/>
        <v>-120322.83333333331</v>
      </c>
      <c r="H12288" s="705" t="s">
        <v>7766</v>
      </c>
    </row>
    <row r="12289" spans="1:8" s="182" customFormat="1" ht="15" x14ac:dyDescent="0.2">
      <c r="A12289" s="703">
        <v>44681</v>
      </c>
      <c r="B12289" s="41" t="s">
        <v>6505</v>
      </c>
      <c r="C12289" s="76" t="s">
        <v>2503</v>
      </c>
      <c r="D12289" s="108"/>
      <c r="E12289" s="704">
        <v>280275</v>
      </c>
      <c r="F12289" s="58"/>
      <c r="G12289" s="704">
        <f t="shared" si="197"/>
        <v>-280275</v>
      </c>
      <c r="H12289" s="705" t="s">
        <v>7766</v>
      </c>
    </row>
    <row r="12290" spans="1:8" s="182" customFormat="1" ht="15" x14ac:dyDescent="0.2">
      <c r="A12290" s="703">
        <v>44681</v>
      </c>
      <c r="B12290" s="41" t="s">
        <v>37</v>
      </c>
      <c r="C12290" s="76" t="s">
        <v>2503</v>
      </c>
      <c r="D12290" s="108"/>
      <c r="E12290" s="704">
        <v>125145.83333333334</v>
      </c>
      <c r="F12290" s="58"/>
      <c r="G12290" s="704">
        <f t="shared" si="197"/>
        <v>-125145.83333333334</v>
      </c>
      <c r="H12290" s="705" t="s">
        <v>7766</v>
      </c>
    </row>
    <row r="12291" spans="1:8" s="182" customFormat="1" ht="15" x14ac:dyDescent="0.2">
      <c r="A12291" s="703">
        <v>44681</v>
      </c>
      <c r="B12291" s="41" t="s">
        <v>2933</v>
      </c>
      <c r="C12291" s="76" t="s">
        <v>2503</v>
      </c>
      <c r="D12291" s="108"/>
      <c r="E12291" s="704">
        <v>75000</v>
      </c>
      <c r="F12291" s="58"/>
      <c r="G12291" s="704">
        <f t="shared" si="197"/>
        <v>-75000</v>
      </c>
      <c r="H12291" s="705" t="s">
        <v>7766</v>
      </c>
    </row>
    <row r="12292" spans="1:8" s="182" customFormat="1" ht="15" x14ac:dyDescent="0.2">
      <c r="A12292" s="703">
        <v>44681</v>
      </c>
      <c r="B12292" s="41" t="s">
        <v>7817</v>
      </c>
      <c r="C12292" s="76" t="s">
        <v>2503</v>
      </c>
      <c r="D12292" s="108"/>
      <c r="E12292" s="704">
        <v>93250</v>
      </c>
      <c r="F12292" s="58"/>
      <c r="G12292" s="704">
        <f t="shared" si="197"/>
        <v>-93250</v>
      </c>
      <c r="H12292" s="705" t="s">
        <v>7766</v>
      </c>
    </row>
    <row r="12293" spans="1:8" s="182" customFormat="1" ht="15" x14ac:dyDescent="0.2">
      <c r="A12293" s="703">
        <v>44681</v>
      </c>
      <c r="B12293" s="41" t="s">
        <v>5811</v>
      </c>
      <c r="C12293" s="76" t="s">
        <v>2503</v>
      </c>
      <c r="D12293" s="108"/>
      <c r="E12293" s="704">
        <v>20433.333333333336</v>
      </c>
      <c r="F12293" s="58"/>
      <c r="G12293" s="704">
        <f t="shared" ref="G12293:G12356" si="198">F12293-E12293</f>
        <v>-20433.333333333336</v>
      </c>
      <c r="H12293" s="705" t="s">
        <v>7766</v>
      </c>
    </row>
    <row r="12294" spans="1:8" s="182" customFormat="1" ht="15" x14ac:dyDescent="0.2">
      <c r="A12294" s="703">
        <v>44681</v>
      </c>
      <c r="B12294" s="41" t="s">
        <v>7112</v>
      </c>
      <c r="C12294" s="76" t="s">
        <v>2503</v>
      </c>
      <c r="D12294" s="108"/>
      <c r="E12294" s="704">
        <v>28600</v>
      </c>
      <c r="F12294" s="58"/>
      <c r="G12294" s="704">
        <f t="shared" si="198"/>
        <v>-28600</v>
      </c>
      <c r="H12294" s="705" t="s">
        <v>7766</v>
      </c>
    </row>
    <row r="12295" spans="1:8" s="182" customFormat="1" ht="15" x14ac:dyDescent="0.2">
      <c r="A12295" s="703">
        <v>44681</v>
      </c>
      <c r="B12295" s="41" t="s">
        <v>7555</v>
      </c>
      <c r="C12295" s="76" t="s">
        <v>2503</v>
      </c>
      <c r="D12295" s="108"/>
      <c r="E12295" s="704">
        <v>52000</v>
      </c>
      <c r="F12295" s="58"/>
      <c r="G12295" s="704">
        <f t="shared" si="198"/>
        <v>-52000</v>
      </c>
      <c r="H12295" s="705" t="s">
        <v>7766</v>
      </c>
    </row>
    <row r="12296" spans="1:8" s="182" customFormat="1" ht="15" x14ac:dyDescent="0.2">
      <c r="A12296" s="703">
        <v>44681</v>
      </c>
      <c r="B12296" s="41" t="s">
        <v>7112</v>
      </c>
      <c r="C12296" s="76" t="s">
        <v>2503</v>
      </c>
      <c r="D12296" s="108"/>
      <c r="E12296" s="704">
        <v>29000</v>
      </c>
      <c r="F12296" s="58"/>
      <c r="G12296" s="704">
        <f t="shared" si="198"/>
        <v>-29000</v>
      </c>
      <c r="H12296" s="705" t="s">
        <v>7766</v>
      </c>
    </row>
    <row r="12297" spans="1:8" s="182" customFormat="1" ht="15" x14ac:dyDescent="0.2">
      <c r="A12297" s="703">
        <v>44681</v>
      </c>
      <c r="B12297" s="41" t="s">
        <v>11</v>
      </c>
      <c r="C12297" s="76" t="s">
        <v>2503</v>
      </c>
      <c r="D12297" s="108" t="s">
        <v>7893</v>
      </c>
      <c r="E12297" s="704">
        <v>35000</v>
      </c>
      <c r="F12297" s="58"/>
      <c r="G12297" s="704">
        <f t="shared" si="198"/>
        <v>-35000</v>
      </c>
      <c r="H12297" s="705" t="s">
        <v>7766</v>
      </c>
    </row>
    <row r="12298" spans="1:8" s="182" customFormat="1" ht="15" x14ac:dyDescent="0.2">
      <c r="A12298" s="703">
        <v>44681</v>
      </c>
      <c r="B12298" s="41" t="s">
        <v>16</v>
      </c>
      <c r="C12298" s="76" t="s">
        <v>463</v>
      </c>
      <c r="D12298" s="108" t="s">
        <v>7860</v>
      </c>
      <c r="E12298" s="704">
        <v>23333</v>
      </c>
      <c r="F12298" s="58"/>
      <c r="G12298" s="704">
        <f t="shared" si="198"/>
        <v>-23333</v>
      </c>
      <c r="H12298" s="705" t="s">
        <v>7766</v>
      </c>
    </row>
    <row r="12299" spans="1:8" s="182" customFormat="1" ht="15" x14ac:dyDescent="0.2">
      <c r="A12299" s="703">
        <v>44681</v>
      </c>
      <c r="B12299" s="41" t="s">
        <v>16</v>
      </c>
      <c r="C12299" s="76" t="s">
        <v>7861</v>
      </c>
      <c r="D12299" s="108" t="s">
        <v>7862</v>
      </c>
      <c r="E12299" s="704">
        <v>6700</v>
      </c>
      <c r="F12299" s="58"/>
      <c r="G12299" s="704">
        <f t="shared" si="198"/>
        <v>-6700</v>
      </c>
      <c r="H12299" s="705" t="s">
        <v>7766</v>
      </c>
    </row>
    <row r="12300" spans="1:8" s="182" customFormat="1" ht="15" x14ac:dyDescent="0.2">
      <c r="A12300" s="703">
        <v>44681</v>
      </c>
      <c r="B12300" s="41" t="s">
        <v>37</v>
      </c>
      <c r="C12300" s="76" t="s">
        <v>5741</v>
      </c>
      <c r="D12300" s="108" t="s">
        <v>5743</v>
      </c>
      <c r="E12300" s="704">
        <v>500</v>
      </c>
      <c r="F12300" s="58"/>
      <c r="G12300" s="704">
        <f t="shared" si="198"/>
        <v>-500</v>
      </c>
      <c r="H12300" s="705" t="s">
        <v>7766</v>
      </c>
    </row>
    <row r="12301" spans="1:8" s="182" customFormat="1" ht="15" x14ac:dyDescent="0.2">
      <c r="A12301" s="703">
        <v>44681</v>
      </c>
      <c r="B12301" s="41" t="s">
        <v>1691</v>
      </c>
      <c r="C12301" s="76" t="s">
        <v>1689</v>
      </c>
      <c r="D12301" s="108"/>
      <c r="E12301" s="704">
        <v>939</v>
      </c>
      <c r="F12301" s="58"/>
      <c r="G12301" s="704">
        <f t="shared" si="198"/>
        <v>-939</v>
      </c>
      <c r="H12301" s="705" t="s">
        <v>7766</v>
      </c>
    </row>
    <row r="12302" spans="1:8" s="182" customFormat="1" ht="15" x14ac:dyDescent="0.2">
      <c r="A12302" s="703">
        <v>44681</v>
      </c>
      <c r="B12302" s="41" t="s">
        <v>7112</v>
      </c>
      <c r="C12302" s="76" t="s">
        <v>392</v>
      </c>
      <c r="D12302" s="108" t="s">
        <v>7863</v>
      </c>
      <c r="E12302" s="704">
        <v>1000</v>
      </c>
      <c r="F12302" s="58"/>
      <c r="G12302" s="704">
        <f t="shared" si="198"/>
        <v>-1000</v>
      </c>
      <c r="H12302" s="705" t="s">
        <v>7766</v>
      </c>
    </row>
    <row r="12303" spans="1:8" s="182" customFormat="1" ht="15" x14ac:dyDescent="0.2">
      <c r="A12303" s="703">
        <v>44681</v>
      </c>
      <c r="B12303" s="41" t="s">
        <v>25</v>
      </c>
      <c r="C12303" s="76" t="s">
        <v>4065</v>
      </c>
      <c r="D12303" s="108" t="s">
        <v>2141</v>
      </c>
      <c r="E12303" s="704">
        <v>650</v>
      </c>
      <c r="F12303" s="58"/>
      <c r="G12303" s="704">
        <f t="shared" si="198"/>
        <v>-650</v>
      </c>
      <c r="H12303" s="705" t="s">
        <v>7766</v>
      </c>
    </row>
    <row r="12304" spans="1:8" s="182" customFormat="1" ht="15" x14ac:dyDescent="0.2">
      <c r="A12304" s="703">
        <v>44681</v>
      </c>
      <c r="B12304" s="41" t="s">
        <v>37</v>
      </c>
      <c r="C12304" s="76" t="s">
        <v>286</v>
      </c>
      <c r="D12304" s="108" t="s">
        <v>7836</v>
      </c>
      <c r="E12304" s="704">
        <v>300</v>
      </c>
      <c r="F12304" s="58"/>
      <c r="G12304" s="704">
        <f t="shared" si="198"/>
        <v>-300</v>
      </c>
      <c r="H12304" s="705" t="s">
        <v>7766</v>
      </c>
    </row>
    <row r="12305" spans="1:8" s="182" customFormat="1" ht="15" x14ac:dyDescent="0.2">
      <c r="A12305" s="703">
        <v>44681</v>
      </c>
      <c r="B12305" s="41" t="s">
        <v>7555</v>
      </c>
      <c r="C12305" s="76" t="s">
        <v>5741</v>
      </c>
      <c r="D12305" s="108" t="s">
        <v>2002</v>
      </c>
      <c r="E12305" s="704">
        <v>2000</v>
      </c>
      <c r="F12305" s="58"/>
      <c r="G12305" s="704">
        <f t="shared" si="198"/>
        <v>-2000</v>
      </c>
      <c r="H12305" s="705" t="s">
        <v>7766</v>
      </c>
    </row>
    <row r="12306" spans="1:8" s="182" customFormat="1" ht="15" x14ac:dyDescent="0.2">
      <c r="A12306" s="703">
        <v>44681</v>
      </c>
      <c r="B12306" s="41" t="s">
        <v>2933</v>
      </c>
      <c r="C12306" s="76" t="s">
        <v>286</v>
      </c>
      <c r="D12306" s="108" t="s">
        <v>7836</v>
      </c>
      <c r="E12306" s="704">
        <v>350</v>
      </c>
      <c r="F12306" s="58"/>
      <c r="G12306" s="704">
        <f t="shared" si="198"/>
        <v>-350</v>
      </c>
      <c r="H12306" s="705" t="s">
        <v>7766</v>
      </c>
    </row>
    <row r="12307" spans="1:8" s="182" customFormat="1" ht="15" x14ac:dyDescent="0.2">
      <c r="A12307" s="703">
        <v>44681</v>
      </c>
      <c r="B12307" s="41" t="s">
        <v>2933</v>
      </c>
      <c r="C12307" s="76" t="s">
        <v>286</v>
      </c>
      <c r="D12307" s="108" t="s">
        <v>6386</v>
      </c>
      <c r="E12307" s="704">
        <v>300</v>
      </c>
      <c r="F12307" s="58"/>
      <c r="G12307" s="704">
        <f t="shared" si="198"/>
        <v>-300</v>
      </c>
      <c r="H12307" s="705" t="s">
        <v>7766</v>
      </c>
    </row>
    <row r="12308" spans="1:8" s="182" customFormat="1" ht="15" x14ac:dyDescent="0.2">
      <c r="A12308" s="703">
        <v>44681</v>
      </c>
      <c r="B12308" s="41" t="s">
        <v>7817</v>
      </c>
      <c r="C12308" s="76" t="s">
        <v>286</v>
      </c>
      <c r="D12308" s="108" t="s">
        <v>3991</v>
      </c>
      <c r="E12308" s="704">
        <v>200</v>
      </c>
      <c r="F12308" s="58"/>
      <c r="G12308" s="704">
        <f t="shared" si="198"/>
        <v>-200</v>
      </c>
      <c r="H12308" s="705" t="s">
        <v>7766</v>
      </c>
    </row>
    <row r="12309" spans="1:8" s="182" customFormat="1" ht="15" x14ac:dyDescent="0.2">
      <c r="A12309" s="703">
        <v>44681</v>
      </c>
      <c r="B12309" s="41" t="s">
        <v>7817</v>
      </c>
      <c r="C12309" s="76" t="s">
        <v>5741</v>
      </c>
      <c r="D12309" s="108" t="s">
        <v>2002</v>
      </c>
      <c r="E12309" s="704">
        <v>3000</v>
      </c>
      <c r="F12309" s="58"/>
      <c r="G12309" s="704">
        <f t="shared" si="198"/>
        <v>-3000</v>
      </c>
      <c r="H12309" s="705" t="s">
        <v>7766</v>
      </c>
    </row>
    <row r="12310" spans="1:8" s="182" customFormat="1" ht="15" x14ac:dyDescent="0.2">
      <c r="A12310" s="703">
        <v>44681</v>
      </c>
      <c r="B12310" s="41" t="s">
        <v>25</v>
      </c>
      <c r="C12310" s="76" t="s">
        <v>4065</v>
      </c>
      <c r="D12310" s="108" t="s">
        <v>2141</v>
      </c>
      <c r="E12310" s="704">
        <v>1500</v>
      </c>
      <c r="F12310" s="58"/>
      <c r="G12310" s="704">
        <f t="shared" si="198"/>
        <v>-1500</v>
      </c>
      <c r="H12310" s="705" t="s">
        <v>7766</v>
      </c>
    </row>
    <row r="12311" spans="1:8" s="182" customFormat="1" ht="15" x14ac:dyDescent="0.2">
      <c r="A12311" s="703">
        <v>44681</v>
      </c>
      <c r="B12311" s="41" t="s">
        <v>7555</v>
      </c>
      <c r="C12311" s="76" t="s">
        <v>392</v>
      </c>
      <c r="D12311" s="108" t="s">
        <v>7863</v>
      </c>
      <c r="E12311" s="704">
        <v>1000</v>
      </c>
      <c r="F12311" s="58"/>
      <c r="G12311" s="704">
        <f t="shared" si="198"/>
        <v>-1000</v>
      </c>
      <c r="H12311" s="705" t="s">
        <v>7766</v>
      </c>
    </row>
    <row r="12312" spans="1:8" s="182" customFormat="1" ht="15" x14ac:dyDescent="0.2">
      <c r="A12312" s="703">
        <v>44681</v>
      </c>
      <c r="B12312" s="41" t="s">
        <v>6505</v>
      </c>
      <c r="C12312" s="76" t="s">
        <v>392</v>
      </c>
      <c r="D12312" s="108" t="s">
        <v>6077</v>
      </c>
      <c r="E12312" s="704">
        <v>650</v>
      </c>
      <c r="F12312" s="58"/>
      <c r="G12312" s="704">
        <f t="shared" si="198"/>
        <v>-650</v>
      </c>
      <c r="H12312" s="705" t="s">
        <v>7766</v>
      </c>
    </row>
    <row r="12313" spans="1:8" s="182" customFormat="1" ht="15" x14ac:dyDescent="0.2">
      <c r="A12313" s="707">
        <v>44656</v>
      </c>
      <c r="B12313" s="122" t="s">
        <v>6508</v>
      </c>
      <c r="C12313" s="235" t="s">
        <v>6605</v>
      </c>
      <c r="D12313" s="812" t="s">
        <v>7781</v>
      </c>
      <c r="E12313" s="708">
        <v>30000</v>
      </c>
      <c r="F12313" s="123"/>
      <c r="G12313" s="708">
        <f t="shared" si="198"/>
        <v>-30000</v>
      </c>
      <c r="H12313" s="709" t="s">
        <v>7766</v>
      </c>
    </row>
    <row r="12314" spans="1:8" s="182" customFormat="1" ht="15" x14ac:dyDescent="0.2">
      <c r="A12314" s="707">
        <v>44656</v>
      </c>
      <c r="B12314" s="122" t="s">
        <v>7112</v>
      </c>
      <c r="C12314" s="235" t="s">
        <v>3446</v>
      </c>
      <c r="D12314" s="812" t="s">
        <v>7782</v>
      </c>
      <c r="E12314" s="708">
        <v>25000</v>
      </c>
      <c r="F12314" s="123"/>
      <c r="G12314" s="708">
        <f t="shared" si="198"/>
        <v>-25000</v>
      </c>
      <c r="H12314" s="709" t="s">
        <v>7766</v>
      </c>
    </row>
    <row r="12315" spans="1:8" s="182" customFormat="1" ht="15" x14ac:dyDescent="0.2">
      <c r="A12315" s="707">
        <v>44662</v>
      </c>
      <c r="B12315" s="122" t="s">
        <v>3946</v>
      </c>
      <c r="C12315" s="550" t="s">
        <v>3003</v>
      </c>
      <c r="D12315" s="893" t="s">
        <v>7847</v>
      </c>
      <c r="E12315" s="706">
        <v>30160</v>
      </c>
      <c r="F12315" s="123"/>
      <c r="G12315" s="708">
        <f t="shared" si="198"/>
        <v>-30160</v>
      </c>
      <c r="H12315" s="709" t="s">
        <v>7766</v>
      </c>
    </row>
    <row r="12316" spans="1:8" s="182" customFormat="1" ht="15" x14ac:dyDescent="0.2">
      <c r="A12316" s="707">
        <v>44662</v>
      </c>
      <c r="B12316" s="122" t="s">
        <v>3945</v>
      </c>
      <c r="C12316" s="550" t="s">
        <v>3003</v>
      </c>
      <c r="D12316" s="893" t="s">
        <v>7847</v>
      </c>
      <c r="E12316" s="706">
        <v>32760</v>
      </c>
      <c r="F12316" s="123"/>
      <c r="G12316" s="708">
        <f t="shared" si="198"/>
        <v>-32760</v>
      </c>
      <c r="H12316" s="709" t="s">
        <v>7766</v>
      </c>
    </row>
    <row r="12317" spans="1:8" s="182" customFormat="1" ht="15" x14ac:dyDescent="0.2">
      <c r="A12317" s="707">
        <v>44662</v>
      </c>
      <c r="B12317" s="122" t="s">
        <v>37</v>
      </c>
      <c r="C12317" s="550" t="s">
        <v>3003</v>
      </c>
      <c r="D12317" s="893" t="s">
        <v>7847</v>
      </c>
      <c r="E12317" s="706">
        <v>15552</v>
      </c>
      <c r="F12317" s="123"/>
      <c r="G12317" s="708">
        <f t="shared" si="198"/>
        <v>-15552</v>
      </c>
      <c r="H12317" s="709" t="s">
        <v>7766</v>
      </c>
    </row>
    <row r="12318" spans="1:8" s="182" customFormat="1" ht="15" x14ac:dyDescent="0.2">
      <c r="A12318" s="707">
        <v>44662</v>
      </c>
      <c r="B12318" s="122" t="s">
        <v>82</v>
      </c>
      <c r="C12318" s="550" t="s">
        <v>3003</v>
      </c>
      <c r="D12318" s="893" t="s">
        <v>7847</v>
      </c>
      <c r="E12318" s="706">
        <v>41496</v>
      </c>
      <c r="F12318" s="123"/>
      <c r="G12318" s="708">
        <f t="shared" si="198"/>
        <v>-41496</v>
      </c>
      <c r="H12318" s="709" t="s">
        <v>7766</v>
      </c>
    </row>
    <row r="12319" spans="1:8" s="182" customFormat="1" ht="15" x14ac:dyDescent="0.2">
      <c r="A12319" s="707">
        <v>44662</v>
      </c>
      <c r="B12319" s="122" t="s">
        <v>37</v>
      </c>
      <c r="C12319" s="671" t="s">
        <v>3292</v>
      </c>
      <c r="D12319" s="913" t="s">
        <v>7846</v>
      </c>
      <c r="E12319" s="710">
        <v>25000</v>
      </c>
      <c r="F12319" s="123"/>
      <c r="G12319" s="708">
        <f t="shared" si="198"/>
        <v>-25000</v>
      </c>
      <c r="H12319" s="709" t="s">
        <v>7766</v>
      </c>
    </row>
    <row r="12320" spans="1:8" s="182" customFormat="1" ht="15" x14ac:dyDescent="0.2">
      <c r="A12320" s="707">
        <v>44662</v>
      </c>
      <c r="B12320" s="122" t="s">
        <v>7657</v>
      </c>
      <c r="C12320" s="671" t="s">
        <v>3292</v>
      </c>
      <c r="D12320" s="913" t="s">
        <v>7846</v>
      </c>
      <c r="E12320" s="710">
        <v>25000</v>
      </c>
      <c r="F12320" s="123"/>
      <c r="G12320" s="708">
        <f t="shared" si="198"/>
        <v>-25000</v>
      </c>
      <c r="H12320" s="709" t="s">
        <v>7766</v>
      </c>
    </row>
    <row r="12321" spans="1:8" s="182" customFormat="1" ht="15" x14ac:dyDescent="0.2">
      <c r="A12321" s="707">
        <v>44662</v>
      </c>
      <c r="B12321" s="122" t="s">
        <v>7067</v>
      </c>
      <c r="C12321" s="550" t="s">
        <v>7181</v>
      </c>
      <c r="D12321" s="893" t="s">
        <v>7800</v>
      </c>
      <c r="E12321" s="706">
        <v>100000</v>
      </c>
      <c r="F12321" s="123"/>
      <c r="G12321" s="708">
        <f t="shared" si="198"/>
        <v>-100000</v>
      </c>
      <c r="H12321" s="709" t="s">
        <v>7766</v>
      </c>
    </row>
    <row r="12322" spans="1:8" s="182" customFormat="1" ht="15" x14ac:dyDescent="0.2">
      <c r="A12322" s="707">
        <v>44665</v>
      </c>
      <c r="B12322" s="122" t="s">
        <v>7067</v>
      </c>
      <c r="C12322" s="550" t="s">
        <v>7181</v>
      </c>
      <c r="D12322" s="893" t="s">
        <v>7812</v>
      </c>
      <c r="E12322" s="706">
        <v>150000</v>
      </c>
      <c r="F12322" s="123"/>
      <c r="G12322" s="708">
        <f t="shared" si="198"/>
        <v>-150000</v>
      </c>
      <c r="H12322" s="709" t="s">
        <v>7766</v>
      </c>
    </row>
    <row r="12323" spans="1:8" s="182" customFormat="1" ht="15" x14ac:dyDescent="0.2">
      <c r="A12323" s="707">
        <v>44669</v>
      </c>
      <c r="B12323" s="122" t="s">
        <v>7555</v>
      </c>
      <c r="C12323" s="235" t="s">
        <v>6706</v>
      </c>
      <c r="D12323" s="812" t="s">
        <v>7813</v>
      </c>
      <c r="E12323" s="708">
        <v>150000</v>
      </c>
      <c r="F12323" s="123"/>
      <c r="G12323" s="708">
        <f t="shared" si="198"/>
        <v>-150000</v>
      </c>
      <c r="H12323" s="709" t="s">
        <v>7766</v>
      </c>
    </row>
    <row r="12324" spans="1:8" s="182" customFormat="1" ht="15" x14ac:dyDescent="0.2">
      <c r="A12324" s="707">
        <v>44669</v>
      </c>
      <c r="B12324" s="122" t="s">
        <v>3733</v>
      </c>
      <c r="C12324" s="550" t="s">
        <v>6706</v>
      </c>
      <c r="D12324" s="893" t="s">
        <v>7844</v>
      </c>
      <c r="E12324" s="706">
        <v>109030</v>
      </c>
      <c r="F12324" s="123"/>
      <c r="G12324" s="708">
        <f t="shared" si="198"/>
        <v>-109030</v>
      </c>
      <c r="H12324" s="709" t="s">
        <v>7766</v>
      </c>
    </row>
    <row r="12325" spans="1:8" s="182" customFormat="1" ht="15" x14ac:dyDescent="0.2">
      <c r="A12325" s="707">
        <v>44669</v>
      </c>
      <c r="B12325" s="122" t="s">
        <v>7657</v>
      </c>
      <c r="C12325" s="550" t="s">
        <v>6706</v>
      </c>
      <c r="D12325" s="893" t="s">
        <v>7844</v>
      </c>
      <c r="E12325" s="706">
        <v>14740</v>
      </c>
      <c r="F12325" s="123"/>
      <c r="G12325" s="708">
        <f t="shared" si="198"/>
        <v>-14740</v>
      </c>
      <c r="H12325" s="709" t="s">
        <v>7766</v>
      </c>
    </row>
    <row r="12326" spans="1:8" s="182" customFormat="1" ht="15" x14ac:dyDescent="0.2">
      <c r="A12326" s="707">
        <v>44669</v>
      </c>
      <c r="B12326" s="122" t="s">
        <v>7112</v>
      </c>
      <c r="C12326" s="550" t="s">
        <v>6706</v>
      </c>
      <c r="D12326" s="893" t="s">
        <v>7844</v>
      </c>
      <c r="E12326" s="706">
        <v>12000</v>
      </c>
      <c r="F12326" s="123"/>
      <c r="G12326" s="708">
        <f t="shared" si="198"/>
        <v>-12000</v>
      </c>
      <c r="H12326" s="709" t="s">
        <v>7766</v>
      </c>
    </row>
    <row r="12327" spans="1:8" s="182" customFormat="1" ht="15" x14ac:dyDescent="0.2">
      <c r="A12327" s="707">
        <v>44669</v>
      </c>
      <c r="B12327" s="122" t="s">
        <v>7555</v>
      </c>
      <c r="C12327" s="550" t="s">
        <v>6706</v>
      </c>
      <c r="D12327" s="893" t="s">
        <v>7844</v>
      </c>
      <c r="E12327" s="706">
        <v>14230</v>
      </c>
      <c r="F12327" s="123"/>
      <c r="G12327" s="708">
        <f t="shared" si="198"/>
        <v>-14230</v>
      </c>
      <c r="H12327" s="709" t="s">
        <v>7766</v>
      </c>
    </row>
    <row r="12328" spans="1:8" s="182" customFormat="1" ht="15" x14ac:dyDescent="0.2">
      <c r="A12328" s="707">
        <v>44676</v>
      </c>
      <c r="B12328" s="122" t="s">
        <v>82</v>
      </c>
      <c r="C12328" s="671" t="s">
        <v>1355</v>
      </c>
      <c r="D12328" s="913" t="s">
        <v>7845</v>
      </c>
      <c r="E12328" s="710">
        <v>415290</v>
      </c>
      <c r="F12328" s="123"/>
      <c r="G12328" s="708">
        <f t="shared" si="198"/>
        <v>-415290</v>
      </c>
      <c r="H12328" s="709" t="s">
        <v>7766</v>
      </c>
    </row>
    <row r="12329" spans="1:8" s="182" customFormat="1" ht="15" x14ac:dyDescent="0.2">
      <c r="A12329" s="707">
        <v>44676</v>
      </c>
      <c r="B12329" s="122" t="s">
        <v>3946</v>
      </c>
      <c r="C12329" s="671" t="s">
        <v>1355</v>
      </c>
      <c r="D12329" s="913" t="s">
        <v>7845</v>
      </c>
      <c r="E12329" s="710">
        <v>2600</v>
      </c>
      <c r="F12329" s="123"/>
      <c r="G12329" s="708">
        <f t="shared" si="198"/>
        <v>-2600</v>
      </c>
      <c r="H12329" s="709" t="s">
        <v>7766</v>
      </c>
    </row>
    <row r="12330" spans="1:8" s="182" customFormat="1" ht="15" x14ac:dyDescent="0.2">
      <c r="A12330" s="707">
        <v>44676</v>
      </c>
      <c r="B12330" s="122" t="s">
        <v>7112</v>
      </c>
      <c r="C12330" s="671" t="s">
        <v>1355</v>
      </c>
      <c r="D12330" s="913" t="s">
        <v>7845</v>
      </c>
      <c r="E12330" s="710">
        <v>24420</v>
      </c>
      <c r="F12330" s="123"/>
      <c r="G12330" s="708">
        <f t="shared" si="198"/>
        <v>-24420</v>
      </c>
      <c r="H12330" s="709" t="s">
        <v>7766</v>
      </c>
    </row>
    <row r="12331" spans="1:8" s="182" customFormat="1" ht="15" x14ac:dyDescent="0.2">
      <c r="A12331" s="707">
        <v>44676</v>
      </c>
      <c r="B12331" s="122" t="s">
        <v>1400</v>
      </c>
      <c r="C12331" s="671" t="s">
        <v>1355</v>
      </c>
      <c r="D12331" s="913" t="s">
        <v>7845</v>
      </c>
      <c r="E12331" s="710">
        <f>500000-E12330-E12329-E12328</f>
        <v>57690</v>
      </c>
      <c r="F12331" s="123"/>
      <c r="G12331" s="708">
        <f t="shared" si="198"/>
        <v>-57690</v>
      </c>
      <c r="H12331" s="709" t="s">
        <v>7766</v>
      </c>
    </row>
    <row r="12332" spans="1:8" ht="15" x14ac:dyDescent="0.2">
      <c r="A12332" s="700">
        <v>44656</v>
      </c>
      <c r="B12332" s="91" t="s">
        <v>7764</v>
      </c>
      <c r="C12332" s="175" t="s">
        <v>559</v>
      </c>
      <c r="D12332" s="801" t="s">
        <v>7765</v>
      </c>
      <c r="E12332" s="701"/>
      <c r="F12332" s="92">
        <v>64507</v>
      </c>
      <c r="G12332" s="92">
        <f t="shared" si="198"/>
        <v>64507</v>
      </c>
      <c r="H12332" s="702" t="s">
        <v>7766</v>
      </c>
    </row>
    <row r="12333" spans="1:8" ht="15" x14ac:dyDescent="0.2">
      <c r="A12333" s="700">
        <v>44664</v>
      </c>
      <c r="B12333" s="91" t="s">
        <v>3945</v>
      </c>
      <c r="C12333" s="175" t="s">
        <v>559</v>
      </c>
      <c r="D12333" s="892" t="s">
        <v>7802</v>
      </c>
      <c r="E12333" s="701"/>
      <c r="F12333" s="92">
        <v>337081</v>
      </c>
      <c r="G12333" s="92">
        <f t="shared" si="198"/>
        <v>337081</v>
      </c>
      <c r="H12333" s="702" t="s">
        <v>7766</v>
      </c>
    </row>
    <row r="12334" spans="1:8" ht="15" customHeight="1" x14ac:dyDescent="0.2">
      <c r="A12334" s="700">
        <v>44666</v>
      </c>
      <c r="B12334" s="91" t="s">
        <v>6950</v>
      </c>
      <c r="C12334" s="175" t="s">
        <v>559</v>
      </c>
      <c r="D12334" s="801" t="s">
        <v>7803</v>
      </c>
      <c r="E12334" s="701"/>
      <c r="F12334" s="92">
        <v>55000</v>
      </c>
      <c r="G12334" s="92">
        <f t="shared" si="198"/>
        <v>55000</v>
      </c>
      <c r="H12334" s="702" t="s">
        <v>7766</v>
      </c>
    </row>
    <row r="12335" spans="1:8" ht="15" customHeight="1" x14ac:dyDescent="0.2">
      <c r="A12335" s="700">
        <v>44666</v>
      </c>
      <c r="B12335" s="91" t="s">
        <v>82</v>
      </c>
      <c r="C12335" s="175" t="s">
        <v>559</v>
      </c>
      <c r="D12335" s="801" t="s">
        <v>7804</v>
      </c>
      <c r="E12335" s="701"/>
      <c r="F12335" s="92">
        <v>1203675</v>
      </c>
      <c r="G12335" s="92">
        <f t="shared" si="198"/>
        <v>1203675</v>
      </c>
      <c r="H12335" s="702" t="s">
        <v>7766</v>
      </c>
    </row>
    <row r="12336" spans="1:8" ht="15" customHeight="1" x14ac:dyDescent="0.2">
      <c r="A12336" s="700">
        <v>44666</v>
      </c>
      <c r="B12336" s="91" t="s">
        <v>3946</v>
      </c>
      <c r="C12336" s="175" t="s">
        <v>559</v>
      </c>
      <c r="D12336" s="801" t="s">
        <v>7805</v>
      </c>
      <c r="E12336" s="701"/>
      <c r="F12336" s="92">
        <v>427770</v>
      </c>
      <c r="G12336" s="92">
        <f t="shared" si="198"/>
        <v>427770</v>
      </c>
      <c r="H12336" s="702" t="s">
        <v>7766</v>
      </c>
    </row>
    <row r="12337" spans="1:8" ht="15" customHeight="1" x14ac:dyDescent="0.2">
      <c r="A12337" s="700">
        <v>44667</v>
      </c>
      <c r="B12337" s="91" t="s">
        <v>7732</v>
      </c>
      <c r="C12337" s="175" t="s">
        <v>559</v>
      </c>
      <c r="D12337" s="801" t="s">
        <v>2954</v>
      </c>
      <c r="E12337" s="701"/>
      <c r="F12337" s="92">
        <v>250000</v>
      </c>
      <c r="G12337" s="92">
        <f t="shared" si="198"/>
        <v>250000</v>
      </c>
      <c r="H12337" s="702" t="s">
        <v>7766</v>
      </c>
    </row>
    <row r="12338" spans="1:8" ht="15" customHeight="1" x14ac:dyDescent="0.2">
      <c r="A12338" s="700">
        <v>44669</v>
      </c>
      <c r="B12338" s="91" t="s">
        <v>7807</v>
      </c>
      <c r="C12338" s="175" t="s">
        <v>559</v>
      </c>
      <c r="D12338" s="801" t="s">
        <v>7811</v>
      </c>
      <c r="E12338" s="92"/>
      <c r="F12338" s="92">
        <v>2434251</v>
      </c>
      <c r="G12338" s="92">
        <f t="shared" si="198"/>
        <v>2434251</v>
      </c>
      <c r="H12338" s="702" t="s">
        <v>7766</v>
      </c>
    </row>
    <row r="12339" spans="1:8" ht="15" x14ac:dyDescent="0.2">
      <c r="A12339" s="700">
        <v>44669</v>
      </c>
      <c r="B12339" s="91" t="s">
        <v>7657</v>
      </c>
      <c r="C12339" s="175" t="s">
        <v>559</v>
      </c>
      <c r="D12339" s="801" t="s">
        <v>7809</v>
      </c>
      <c r="E12339" s="92"/>
      <c r="F12339" s="92">
        <v>1942176.51</v>
      </c>
      <c r="G12339" s="92">
        <f t="shared" si="198"/>
        <v>1942176.51</v>
      </c>
      <c r="H12339" s="702" t="s">
        <v>7766</v>
      </c>
    </row>
    <row r="12340" spans="1:8" ht="15" x14ac:dyDescent="0.2">
      <c r="A12340" s="700">
        <v>44669</v>
      </c>
      <c r="B12340" s="91" t="s">
        <v>6647</v>
      </c>
      <c r="C12340" s="175" t="s">
        <v>559</v>
      </c>
      <c r="D12340" s="801" t="s">
        <v>7810</v>
      </c>
      <c r="E12340" s="92"/>
      <c r="F12340" s="92">
        <v>448850</v>
      </c>
      <c r="G12340" s="92">
        <f t="shared" si="198"/>
        <v>448850</v>
      </c>
      <c r="H12340" s="702" t="s">
        <v>7766</v>
      </c>
    </row>
    <row r="12341" spans="1:8" ht="24" x14ac:dyDescent="0.2">
      <c r="A12341" s="700">
        <v>44669</v>
      </c>
      <c r="B12341" s="94" t="s">
        <v>1400</v>
      </c>
      <c r="C12341" s="175" t="s">
        <v>559</v>
      </c>
      <c r="D12341" s="802" t="s">
        <v>7991</v>
      </c>
      <c r="E12341" s="176"/>
      <c r="F12341" s="176">
        <v>450000</v>
      </c>
      <c r="G12341" s="176">
        <f t="shared" si="198"/>
        <v>450000</v>
      </c>
      <c r="H12341" s="702" t="s">
        <v>7766</v>
      </c>
    </row>
    <row r="12342" spans="1:8" ht="15" x14ac:dyDescent="0.2">
      <c r="A12342" s="700">
        <v>44672</v>
      </c>
      <c r="B12342" s="91" t="s">
        <v>37</v>
      </c>
      <c r="C12342" s="94" t="s">
        <v>559</v>
      </c>
      <c r="D12342" s="892" t="s">
        <v>7843</v>
      </c>
      <c r="E12342" s="176"/>
      <c r="F12342" s="176">
        <v>188568</v>
      </c>
      <c r="G12342" s="176">
        <f t="shared" si="198"/>
        <v>188568</v>
      </c>
      <c r="H12342" s="702" t="s">
        <v>7766</v>
      </c>
    </row>
    <row r="12343" spans="1:8" ht="24" x14ac:dyDescent="0.2">
      <c r="A12343" s="700">
        <v>44672</v>
      </c>
      <c r="B12343" s="94" t="s">
        <v>6505</v>
      </c>
      <c r="C12343" s="175" t="s">
        <v>559</v>
      </c>
      <c r="D12343" s="925" t="s">
        <v>7815</v>
      </c>
      <c r="E12343" s="176"/>
      <c r="F12343" s="176">
        <v>350000</v>
      </c>
      <c r="G12343" s="176">
        <f t="shared" si="198"/>
        <v>350000</v>
      </c>
      <c r="H12343" s="702" t="s">
        <v>7766</v>
      </c>
    </row>
    <row r="12344" spans="1:8" ht="15" x14ac:dyDescent="0.2">
      <c r="A12344" s="700">
        <v>44676</v>
      </c>
      <c r="B12344" s="94" t="s">
        <v>3946</v>
      </c>
      <c r="C12344" s="94" t="s">
        <v>559</v>
      </c>
      <c r="D12344" s="892" t="s">
        <v>7886</v>
      </c>
      <c r="E12344" s="176"/>
      <c r="F12344" s="176">
        <v>309650</v>
      </c>
      <c r="G12344" s="176">
        <f t="shared" si="198"/>
        <v>309650</v>
      </c>
      <c r="H12344" s="702" t="s">
        <v>7766</v>
      </c>
    </row>
    <row r="12345" spans="1:8" ht="15" x14ac:dyDescent="0.2">
      <c r="A12345" s="700">
        <v>44676</v>
      </c>
      <c r="B12345" s="94" t="s">
        <v>6505</v>
      </c>
      <c r="C12345" s="175" t="s">
        <v>559</v>
      </c>
      <c r="D12345" s="925" t="s">
        <v>7840</v>
      </c>
      <c r="E12345" s="176"/>
      <c r="F12345" s="176">
        <v>500000</v>
      </c>
      <c r="G12345" s="176">
        <f t="shared" si="198"/>
        <v>500000</v>
      </c>
      <c r="H12345" s="702" t="s">
        <v>7766</v>
      </c>
    </row>
    <row r="12346" spans="1:8" ht="24" x14ac:dyDescent="0.2">
      <c r="A12346" s="700">
        <v>44676</v>
      </c>
      <c r="B12346" s="94" t="s">
        <v>6505</v>
      </c>
      <c r="C12346" s="175" t="s">
        <v>559</v>
      </c>
      <c r="D12346" s="925" t="s">
        <v>7841</v>
      </c>
      <c r="E12346" s="176"/>
      <c r="F12346" s="176">
        <v>500000</v>
      </c>
      <c r="G12346" s="176">
        <f t="shared" si="198"/>
        <v>500000</v>
      </c>
      <c r="H12346" s="702" t="s">
        <v>7766</v>
      </c>
    </row>
    <row r="12347" spans="1:8" ht="15" x14ac:dyDescent="0.2">
      <c r="A12347" s="700">
        <v>44677</v>
      </c>
      <c r="B12347" s="91" t="s">
        <v>37</v>
      </c>
      <c r="C12347" s="94" t="s">
        <v>559</v>
      </c>
      <c r="D12347" s="892" t="s">
        <v>7909</v>
      </c>
      <c r="E12347" s="176"/>
      <c r="F12347" s="176">
        <v>188568</v>
      </c>
      <c r="G12347" s="176">
        <f t="shared" si="198"/>
        <v>188568</v>
      </c>
      <c r="H12347" s="702" t="s">
        <v>7766</v>
      </c>
    </row>
    <row r="12348" spans="1:8" ht="24" x14ac:dyDescent="0.2">
      <c r="A12348" s="700">
        <v>44679</v>
      </c>
      <c r="B12348" s="91" t="s">
        <v>6408</v>
      </c>
      <c r="C12348" s="94" t="s">
        <v>559</v>
      </c>
      <c r="D12348" s="798" t="s">
        <v>7849</v>
      </c>
      <c r="E12348" s="176"/>
      <c r="F12348" s="92">
        <v>400000</v>
      </c>
      <c r="G12348" s="92">
        <f t="shared" si="198"/>
        <v>400000</v>
      </c>
      <c r="H12348" s="702" t="s">
        <v>7766</v>
      </c>
    </row>
    <row r="12349" spans="1:8" ht="24" x14ac:dyDescent="0.2">
      <c r="A12349" s="700">
        <v>44679</v>
      </c>
      <c r="B12349" s="91" t="s">
        <v>6408</v>
      </c>
      <c r="C12349" s="94" t="s">
        <v>559</v>
      </c>
      <c r="D12349" s="798" t="s">
        <v>7850</v>
      </c>
      <c r="E12349" s="176"/>
      <c r="F12349" s="92">
        <v>323448</v>
      </c>
      <c r="G12349" s="92">
        <f t="shared" si="198"/>
        <v>323448</v>
      </c>
      <c r="H12349" s="702" t="s">
        <v>7766</v>
      </c>
    </row>
    <row r="12350" spans="1:8" ht="15" x14ac:dyDescent="0.2">
      <c r="A12350" s="700">
        <v>44679</v>
      </c>
      <c r="B12350" s="91" t="s">
        <v>37</v>
      </c>
      <c r="C12350" s="94" t="s">
        <v>559</v>
      </c>
      <c r="D12350" s="801" t="s">
        <v>7851</v>
      </c>
      <c r="E12350" s="176"/>
      <c r="F12350" s="92">
        <v>850042</v>
      </c>
      <c r="G12350" s="92">
        <f t="shared" si="198"/>
        <v>850042</v>
      </c>
      <c r="H12350" s="702" t="s">
        <v>7766</v>
      </c>
    </row>
    <row r="12351" spans="1:8" ht="15" x14ac:dyDescent="0.2">
      <c r="A12351" s="703">
        <v>44686</v>
      </c>
      <c r="B12351" s="41" t="s">
        <v>2933</v>
      </c>
      <c r="C12351" s="76" t="s">
        <v>392</v>
      </c>
      <c r="D12351" s="108" t="s">
        <v>6386</v>
      </c>
      <c r="E12351" s="704">
        <v>680</v>
      </c>
      <c r="F12351" s="58"/>
      <c r="G12351" s="704">
        <f t="shared" si="198"/>
        <v>-680</v>
      </c>
      <c r="H12351" s="705" t="s">
        <v>7878</v>
      </c>
    </row>
    <row r="12352" spans="1:8" ht="15" x14ac:dyDescent="0.2">
      <c r="A12352" s="703">
        <v>44690</v>
      </c>
      <c r="B12352" s="41" t="s">
        <v>25</v>
      </c>
      <c r="C12352" s="63" t="s">
        <v>2428</v>
      </c>
      <c r="D12352" s="108" t="s">
        <v>7888</v>
      </c>
      <c r="E12352" s="126">
        <v>18000</v>
      </c>
      <c r="F12352" s="58"/>
      <c r="G12352" s="704">
        <f t="shared" si="198"/>
        <v>-18000</v>
      </c>
      <c r="H12352" s="705" t="s">
        <v>7878</v>
      </c>
    </row>
    <row r="12353" spans="1:8" ht="15" x14ac:dyDescent="0.2">
      <c r="A12353" s="703">
        <v>44690</v>
      </c>
      <c r="B12353" s="41" t="s">
        <v>3945</v>
      </c>
      <c r="C12353" s="63" t="s">
        <v>392</v>
      </c>
      <c r="D12353" s="108" t="s">
        <v>7889</v>
      </c>
      <c r="E12353" s="126">
        <v>690</v>
      </c>
      <c r="F12353" s="58"/>
      <c r="G12353" s="704">
        <f t="shared" si="198"/>
        <v>-690</v>
      </c>
      <c r="H12353" s="705" t="s">
        <v>7878</v>
      </c>
    </row>
    <row r="12354" spans="1:8" ht="15" x14ac:dyDescent="0.2">
      <c r="A12354" s="703">
        <v>44693</v>
      </c>
      <c r="B12354" s="41" t="s">
        <v>7817</v>
      </c>
      <c r="C12354" s="551" t="s">
        <v>3145</v>
      </c>
      <c r="D12354" s="893" t="s">
        <v>7890</v>
      </c>
      <c r="E12354" s="552">
        <v>33914</v>
      </c>
      <c r="F12354" s="58"/>
      <c r="G12354" s="704">
        <f t="shared" si="198"/>
        <v>-33914</v>
      </c>
      <c r="H12354" s="705" t="s">
        <v>7878</v>
      </c>
    </row>
    <row r="12355" spans="1:8" ht="15" x14ac:dyDescent="0.2">
      <c r="A12355" s="703">
        <v>44693</v>
      </c>
      <c r="B12355" s="41" t="s">
        <v>7657</v>
      </c>
      <c r="C12355" s="551" t="s">
        <v>3145</v>
      </c>
      <c r="D12355" s="893" t="s">
        <v>7376</v>
      </c>
      <c r="E12355" s="552">
        <v>2400</v>
      </c>
      <c r="F12355" s="58"/>
      <c r="G12355" s="58">
        <f t="shared" si="198"/>
        <v>-2400</v>
      </c>
      <c r="H12355" s="705" t="s">
        <v>7878</v>
      </c>
    </row>
    <row r="12356" spans="1:8" ht="15" x14ac:dyDescent="0.2">
      <c r="A12356" s="703">
        <v>44694</v>
      </c>
      <c r="B12356" s="41" t="s">
        <v>7657</v>
      </c>
      <c r="C12356" s="670" t="s">
        <v>3003</v>
      </c>
      <c r="D12356" s="913" t="s">
        <v>7891</v>
      </c>
      <c r="E12356" s="672">
        <v>4160</v>
      </c>
      <c r="F12356" s="58"/>
      <c r="G12356" s="58">
        <f t="shared" si="198"/>
        <v>-4160</v>
      </c>
      <c r="H12356" s="705" t="s">
        <v>7878</v>
      </c>
    </row>
    <row r="12357" spans="1:8" ht="15" x14ac:dyDescent="0.2">
      <c r="A12357" s="703">
        <v>44694</v>
      </c>
      <c r="B12357" s="41" t="s">
        <v>3946</v>
      </c>
      <c r="C12357" s="670" t="s">
        <v>3003</v>
      </c>
      <c r="D12357" s="913" t="s">
        <v>7891</v>
      </c>
      <c r="E12357" s="672">
        <v>30160</v>
      </c>
      <c r="F12357" s="58"/>
      <c r="G12357" s="58">
        <f t="shared" ref="G12357:G12420" si="199">F12357-E12357</f>
        <v>-30160</v>
      </c>
      <c r="H12357" s="705" t="s">
        <v>7878</v>
      </c>
    </row>
    <row r="12358" spans="1:8" ht="15" x14ac:dyDescent="0.2">
      <c r="A12358" s="703">
        <v>44694</v>
      </c>
      <c r="B12358" s="41" t="s">
        <v>37</v>
      </c>
      <c r="C12358" s="670" t="s">
        <v>3003</v>
      </c>
      <c r="D12358" s="913" t="s">
        <v>7891</v>
      </c>
      <c r="E12358" s="672">
        <v>15552</v>
      </c>
      <c r="F12358" s="58"/>
      <c r="G12358" s="58">
        <f t="shared" si="199"/>
        <v>-15552</v>
      </c>
      <c r="H12358" s="705" t="s">
        <v>7878</v>
      </c>
    </row>
    <row r="12359" spans="1:8" ht="15" x14ac:dyDescent="0.2">
      <c r="A12359" s="703">
        <v>44694</v>
      </c>
      <c r="B12359" s="41" t="s">
        <v>3945</v>
      </c>
      <c r="C12359" s="670" t="s">
        <v>3003</v>
      </c>
      <c r="D12359" s="913" t="s">
        <v>7891</v>
      </c>
      <c r="E12359" s="672">
        <v>32760</v>
      </c>
      <c r="F12359" s="58"/>
      <c r="G12359" s="58">
        <f t="shared" si="199"/>
        <v>-32760</v>
      </c>
      <c r="H12359" s="705" t="s">
        <v>7878</v>
      </c>
    </row>
    <row r="12360" spans="1:8" ht="15" x14ac:dyDescent="0.2">
      <c r="A12360" s="703">
        <v>44697</v>
      </c>
      <c r="B12360" s="41" t="s">
        <v>1400</v>
      </c>
      <c r="C12360" s="63" t="s">
        <v>6852</v>
      </c>
      <c r="D12360" s="108" t="s">
        <v>370</v>
      </c>
      <c r="E12360" s="126">
        <v>20000</v>
      </c>
      <c r="F12360" s="58"/>
      <c r="G12360" s="58">
        <f t="shared" si="199"/>
        <v>-20000</v>
      </c>
      <c r="H12360" s="705" t="s">
        <v>7878</v>
      </c>
    </row>
    <row r="12361" spans="1:8" ht="15" x14ac:dyDescent="0.2">
      <c r="A12361" s="703">
        <v>44697</v>
      </c>
      <c r="B12361" s="41" t="s">
        <v>82</v>
      </c>
      <c r="C12361" s="63" t="s">
        <v>6476</v>
      </c>
      <c r="D12361" s="108" t="s">
        <v>7892</v>
      </c>
      <c r="E12361" s="126">
        <v>5000</v>
      </c>
      <c r="F12361" s="58"/>
      <c r="G12361" s="58">
        <f t="shared" si="199"/>
        <v>-5000</v>
      </c>
      <c r="H12361" s="705" t="s">
        <v>7878</v>
      </c>
    </row>
    <row r="12362" spans="1:8" ht="15" x14ac:dyDescent="0.2">
      <c r="A12362" s="703">
        <v>44698</v>
      </c>
      <c r="B12362" s="41" t="s">
        <v>7657</v>
      </c>
      <c r="C12362" s="63" t="s">
        <v>3145</v>
      </c>
      <c r="D12362" s="108" t="s">
        <v>4452</v>
      </c>
      <c r="E12362" s="126">
        <v>7000</v>
      </c>
      <c r="F12362" s="58"/>
      <c r="G12362" s="58">
        <f t="shared" si="199"/>
        <v>-7000</v>
      </c>
      <c r="H12362" s="705" t="s">
        <v>7878</v>
      </c>
    </row>
    <row r="12363" spans="1:8" ht="15" x14ac:dyDescent="0.2">
      <c r="A12363" s="703">
        <v>44698</v>
      </c>
      <c r="B12363" s="41" t="s">
        <v>6505</v>
      </c>
      <c r="C12363" s="63" t="s">
        <v>3145</v>
      </c>
      <c r="D12363" s="108" t="s">
        <v>4452</v>
      </c>
      <c r="E12363" s="126">
        <v>2000</v>
      </c>
      <c r="F12363" s="58"/>
      <c r="G12363" s="58">
        <f t="shared" si="199"/>
        <v>-2000</v>
      </c>
      <c r="H12363" s="705" t="s">
        <v>7878</v>
      </c>
    </row>
    <row r="12364" spans="1:8" ht="15" x14ac:dyDescent="0.2">
      <c r="A12364" s="703">
        <v>44698</v>
      </c>
      <c r="B12364" s="41" t="s">
        <v>37</v>
      </c>
      <c r="C12364" s="63" t="s">
        <v>3145</v>
      </c>
      <c r="D12364" s="108" t="s">
        <v>4452</v>
      </c>
      <c r="E12364" s="126">
        <v>4000</v>
      </c>
      <c r="F12364" s="58"/>
      <c r="G12364" s="58">
        <f t="shared" si="199"/>
        <v>-4000</v>
      </c>
      <c r="H12364" s="705" t="s">
        <v>7878</v>
      </c>
    </row>
    <row r="12365" spans="1:8" ht="15" x14ac:dyDescent="0.2">
      <c r="A12365" s="703">
        <v>44698</v>
      </c>
      <c r="B12365" s="41" t="s">
        <v>6505</v>
      </c>
      <c r="C12365" s="63" t="s">
        <v>6249</v>
      </c>
      <c r="D12365" s="108" t="s">
        <v>370</v>
      </c>
      <c r="E12365" s="126">
        <v>14000</v>
      </c>
      <c r="F12365" s="58"/>
      <c r="G12365" s="58">
        <f t="shared" si="199"/>
        <v>-14000</v>
      </c>
      <c r="H12365" s="705" t="s">
        <v>7878</v>
      </c>
    </row>
    <row r="12366" spans="1:8" ht="15" x14ac:dyDescent="0.2">
      <c r="A12366" s="703">
        <v>44698</v>
      </c>
      <c r="B12366" s="41" t="s">
        <v>16</v>
      </c>
      <c r="C12366" s="63" t="s">
        <v>2334</v>
      </c>
      <c r="D12366" s="108" t="s">
        <v>370</v>
      </c>
      <c r="E12366" s="126">
        <v>5000</v>
      </c>
      <c r="F12366" s="58"/>
      <c r="G12366" s="58">
        <f t="shared" si="199"/>
        <v>-5000</v>
      </c>
      <c r="H12366" s="705" t="s">
        <v>7878</v>
      </c>
    </row>
    <row r="12367" spans="1:8" ht="15" x14ac:dyDescent="0.2">
      <c r="A12367" s="703">
        <v>44704</v>
      </c>
      <c r="B12367" s="41" t="s">
        <v>7555</v>
      </c>
      <c r="C12367" s="63" t="s">
        <v>6249</v>
      </c>
      <c r="D12367" s="108" t="s">
        <v>7912</v>
      </c>
      <c r="E12367" s="126">
        <v>14000</v>
      </c>
      <c r="F12367" s="58"/>
      <c r="G12367" s="58">
        <f t="shared" si="199"/>
        <v>-14000</v>
      </c>
      <c r="H12367" s="705" t="s">
        <v>7878</v>
      </c>
    </row>
    <row r="12368" spans="1:8" ht="15" x14ac:dyDescent="0.2">
      <c r="A12368" s="703">
        <v>44704</v>
      </c>
      <c r="B12368" s="41" t="s">
        <v>2933</v>
      </c>
      <c r="C12368" s="63" t="s">
        <v>392</v>
      </c>
      <c r="D12368" s="108" t="s">
        <v>5755</v>
      </c>
      <c r="E12368" s="126">
        <v>1960</v>
      </c>
      <c r="F12368" s="58"/>
      <c r="G12368" s="58">
        <f t="shared" si="199"/>
        <v>-1960</v>
      </c>
      <c r="H12368" s="705" t="s">
        <v>7878</v>
      </c>
    </row>
    <row r="12369" spans="1:8" ht="15" x14ac:dyDescent="0.2">
      <c r="A12369" s="703">
        <v>44704</v>
      </c>
      <c r="B12369" s="41" t="s">
        <v>7657</v>
      </c>
      <c r="C12369" s="63" t="s">
        <v>6009</v>
      </c>
      <c r="D12369" s="108" t="s">
        <v>7913</v>
      </c>
      <c r="E12369" s="126">
        <v>45800</v>
      </c>
      <c r="F12369" s="58"/>
      <c r="G12369" s="58">
        <f t="shared" si="199"/>
        <v>-45800</v>
      </c>
      <c r="H12369" s="705" t="s">
        <v>7878</v>
      </c>
    </row>
    <row r="12370" spans="1:8" ht="15" x14ac:dyDescent="0.2">
      <c r="A12370" s="703">
        <v>44704</v>
      </c>
      <c r="B12370" s="41" t="s">
        <v>37</v>
      </c>
      <c r="C12370" s="63" t="s">
        <v>3145</v>
      </c>
      <c r="E12370" s="126">
        <v>1600</v>
      </c>
      <c r="F12370" s="58"/>
      <c r="G12370" s="58">
        <f t="shared" si="199"/>
        <v>-1600</v>
      </c>
      <c r="H12370" s="705" t="s">
        <v>7878</v>
      </c>
    </row>
    <row r="12371" spans="1:8" ht="15" x14ac:dyDescent="0.2">
      <c r="A12371" s="703">
        <v>44704</v>
      </c>
      <c r="B12371" s="41" t="s">
        <v>7817</v>
      </c>
      <c r="C12371" s="63" t="s">
        <v>3145</v>
      </c>
      <c r="D12371" s="108" t="s">
        <v>7914</v>
      </c>
      <c r="E12371" s="126">
        <v>8250</v>
      </c>
      <c r="F12371" s="58"/>
      <c r="G12371" s="58">
        <f t="shared" si="199"/>
        <v>-8250</v>
      </c>
      <c r="H12371" s="705" t="s">
        <v>7878</v>
      </c>
    </row>
    <row r="12372" spans="1:8" ht="15" x14ac:dyDescent="0.2">
      <c r="A12372" s="703">
        <v>44706</v>
      </c>
      <c r="B12372" s="41" t="s">
        <v>3946</v>
      </c>
      <c r="C12372" s="63" t="s">
        <v>6476</v>
      </c>
      <c r="D12372" s="108" t="s">
        <v>7915</v>
      </c>
      <c r="E12372" s="126">
        <v>15000</v>
      </c>
      <c r="F12372" s="58"/>
      <c r="G12372" s="58">
        <f t="shared" si="199"/>
        <v>-15000</v>
      </c>
      <c r="H12372" s="705" t="s">
        <v>7878</v>
      </c>
    </row>
    <row r="12373" spans="1:8" ht="15" x14ac:dyDescent="0.2">
      <c r="A12373" s="703">
        <v>44706</v>
      </c>
      <c r="B12373" s="41" t="s">
        <v>16</v>
      </c>
      <c r="C12373" s="551" t="s">
        <v>1689</v>
      </c>
      <c r="D12373" s="893" t="s">
        <v>7916</v>
      </c>
      <c r="E12373" s="552">
        <v>13120</v>
      </c>
      <c r="F12373" s="58"/>
      <c r="G12373" s="58">
        <f t="shared" si="199"/>
        <v>-13120</v>
      </c>
      <c r="H12373" s="705" t="s">
        <v>7878</v>
      </c>
    </row>
    <row r="12374" spans="1:8" ht="15" x14ac:dyDescent="0.2">
      <c r="A12374" s="703">
        <v>44706</v>
      </c>
      <c r="B12374" s="41" t="s">
        <v>25</v>
      </c>
      <c r="C12374" s="551" t="s">
        <v>1689</v>
      </c>
      <c r="D12374" s="893" t="s">
        <v>7916</v>
      </c>
      <c r="E12374" s="552">
        <v>42032</v>
      </c>
      <c r="F12374" s="58"/>
      <c r="G12374" s="58">
        <f t="shared" si="199"/>
        <v>-42032</v>
      </c>
      <c r="H12374" s="705" t="s">
        <v>7878</v>
      </c>
    </row>
    <row r="12375" spans="1:8" ht="15" x14ac:dyDescent="0.2">
      <c r="A12375" s="703">
        <v>44706</v>
      </c>
      <c r="B12375" s="41" t="s">
        <v>1400</v>
      </c>
      <c r="C12375" s="63" t="s">
        <v>3145</v>
      </c>
      <c r="D12375" s="108" t="s">
        <v>7917</v>
      </c>
      <c r="E12375" s="126">
        <v>21600</v>
      </c>
      <c r="F12375" s="58"/>
      <c r="G12375" s="58">
        <f t="shared" si="199"/>
        <v>-21600</v>
      </c>
      <c r="H12375" s="705" t="s">
        <v>7878</v>
      </c>
    </row>
    <row r="12376" spans="1:8" ht="15" x14ac:dyDescent="0.2">
      <c r="A12376" s="703">
        <v>44707</v>
      </c>
      <c r="B12376" s="41" t="s">
        <v>7732</v>
      </c>
      <c r="C12376" s="63" t="s">
        <v>2310</v>
      </c>
      <c r="D12376" s="108" t="s">
        <v>7918</v>
      </c>
      <c r="E12376" s="126">
        <v>60000</v>
      </c>
      <c r="F12376" s="58"/>
      <c r="G12376" s="58">
        <f t="shared" si="199"/>
        <v>-60000</v>
      </c>
      <c r="H12376" s="705" t="s">
        <v>7878</v>
      </c>
    </row>
    <row r="12377" spans="1:8" ht="15" x14ac:dyDescent="0.2">
      <c r="A12377" s="703">
        <v>44707</v>
      </c>
      <c r="B12377" s="41" t="s">
        <v>7657</v>
      </c>
      <c r="C12377" s="63" t="s">
        <v>2555</v>
      </c>
      <c r="D12377" s="108" t="s">
        <v>7918</v>
      </c>
      <c r="E12377" s="126">
        <v>80000</v>
      </c>
      <c r="F12377" s="58"/>
      <c r="G12377" s="58">
        <f t="shared" si="199"/>
        <v>-80000</v>
      </c>
      <c r="H12377" s="705" t="s">
        <v>7878</v>
      </c>
    </row>
    <row r="12378" spans="1:8" ht="15" x14ac:dyDescent="0.2">
      <c r="A12378" s="703">
        <v>44707</v>
      </c>
      <c r="B12378" s="41" t="s">
        <v>16</v>
      </c>
      <c r="C12378" s="63" t="s">
        <v>392</v>
      </c>
      <c r="D12378" s="108" t="s">
        <v>7919</v>
      </c>
      <c r="E12378" s="126">
        <v>40000</v>
      </c>
      <c r="F12378" s="58"/>
      <c r="G12378" s="58">
        <f t="shared" si="199"/>
        <v>-40000</v>
      </c>
      <c r="H12378" s="705" t="s">
        <v>7878</v>
      </c>
    </row>
    <row r="12379" spans="1:8" ht="15" x14ac:dyDescent="0.2">
      <c r="A12379" s="703">
        <v>44707</v>
      </c>
      <c r="B12379" s="41" t="s">
        <v>1400</v>
      </c>
      <c r="C12379" s="63" t="s">
        <v>3145</v>
      </c>
      <c r="D12379" s="108" t="s">
        <v>392</v>
      </c>
      <c r="E12379" s="126">
        <v>450</v>
      </c>
      <c r="F12379" s="58"/>
      <c r="G12379" s="58">
        <f t="shared" si="199"/>
        <v>-450</v>
      </c>
      <c r="H12379" s="705" t="s">
        <v>7878</v>
      </c>
    </row>
    <row r="12380" spans="1:8" ht="15" x14ac:dyDescent="0.2">
      <c r="A12380" s="703">
        <v>44707</v>
      </c>
      <c r="B12380" s="41" t="s">
        <v>25</v>
      </c>
      <c r="C12380" s="63" t="s">
        <v>2428</v>
      </c>
      <c r="D12380" s="108" t="s">
        <v>7920</v>
      </c>
      <c r="E12380" s="126">
        <v>37846</v>
      </c>
      <c r="F12380" s="58"/>
      <c r="G12380" s="58">
        <f t="shared" si="199"/>
        <v>-37846</v>
      </c>
      <c r="H12380" s="705" t="s">
        <v>7878</v>
      </c>
    </row>
    <row r="12381" spans="1:8" ht="15" x14ac:dyDescent="0.2">
      <c r="A12381" s="703">
        <v>44707</v>
      </c>
      <c r="B12381" s="41" t="s">
        <v>7921</v>
      </c>
      <c r="C12381" s="63" t="s">
        <v>2190</v>
      </c>
      <c r="E12381" s="126">
        <v>340</v>
      </c>
      <c r="F12381" s="58"/>
      <c r="G12381" s="58">
        <f t="shared" si="199"/>
        <v>-340</v>
      </c>
      <c r="H12381" s="705" t="s">
        <v>7878</v>
      </c>
    </row>
    <row r="12382" spans="1:8" ht="15" x14ac:dyDescent="0.2">
      <c r="A12382" s="703">
        <v>44707</v>
      </c>
      <c r="B12382" s="41" t="s">
        <v>7921</v>
      </c>
      <c r="C12382" s="63" t="s">
        <v>2190</v>
      </c>
      <c r="E12382" s="126">
        <v>850</v>
      </c>
      <c r="F12382" s="58"/>
      <c r="G12382" s="58">
        <f t="shared" si="199"/>
        <v>-850</v>
      </c>
      <c r="H12382" s="705" t="s">
        <v>7878</v>
      </c>
    </row>
    <row r="12383" spans="1:8" ht="15" x14ac:dyDescent="0.2">
      <c r="A12383" s="703">
        <v>44708</v>
      </c>
      <c r="B12383" s="41" t="s">
        <v>7817</v>
      </c>
      <c r="C12383" s="63" t="s">
        <v>6967</v>
      </c>
      <c r="D12383" s="108" t="s">
        <v>7833</v>
      </c>
      <c r="E12383" s="126">
        <v>35000</v>
      </c>
      <c r="F12383" s="58"/>
      <c r="G12383" s="58">
        <f t="shared" si="199"/>
        <v>-35000</v>
      </c>
      <c r="H12383" s="705" t="s">
        <v>7878</v>
      </c>
    </row>
    <row r="12384" spans="1:8" ht="15" x14ac:dyDescent="0.2">
      <c r="A12384" s="703">
        <v>44708</v>
      </c>
      <c r="B12384" s="41" t="s">
        <v>7555</v>
      </c>
      <c r="C12384" s="63" t="s">
        <v>7467</v>
      </c>
      <c r="D12384" s="108" t="s">
        <v>1157</v>
      </c>
      <c r="E12384" s="126">
        <v>27000</v>
      </c>
      <c r="F12384" s="58"/>
      <c r="G12384" s="58">
        <f t="shared" si="199"/>
        <v>-27000</v>
      </c>
      <c r="H12384" s="705" t="s">
        <v>7878</v>
      </c>
    </row>
    <row r="12385" spans="1:8" ht="15" x14ac:dyDescent="0.2">
      <c r="A12385" s="703">
        <v>44709</v>
      </c>
      <c r="B12385" s="41" t="s">
        <v>7817</v>
      </c>
      <c r="C12385" s="63" t="s">
        <v>392</v>
      </c>
      <c r="D12385" s="108" t="s">
        <v>7922</v>
      </c>
      <c r="E12385" s="126">
        <v>1850</v>
      </c>
      <c r="F12385" s="58"/>
      <c r="G12385" s="58">
        <f t="shared" si="199"/>
        <v>-1850</v>
      </c>
      <c r="H12385" s="705" t="s">
        <v>7878</v>
      </c>
    </row>
    <row r="12386" spans="1:8" ht="15" x14ac:dyDescent="0.2">
      <c r="A12386" s="703">
        <v>44709</v>
      </c>
      <c r="B12386" s="41" t="s">
        <v>1400</v>
      </c>
      <c r="C12386" s="63" t="s">
        <v>3145</v>
      </c>
      <c r="D12386" s="108" t="s">
        <v>7923</v>
      </c>
      <c r="E12386" s="126">
        <v>10000</v>
      </c>
      <c r="F12386" s="58"/>
      <c r="G12386" s="58">
        <f t="shared" si="199"/>
        <v>-10000</v>
      </c>
      <c r="H12386" s="705" t="s">
        <v>7878</v>
      </c>
    </row>
    <row r="12387" spans="1:8" ht="15" x14ac:dyDescent="0.2">
      <c r="A12387" s="703">
        <v>44711</v>
      </c>
      <c r="B12387" s="41" t="s">
        <v>25</v>
      </c>
      <c r="C12387" s="63" t="s">
        <v>1005</v>
      </c>
      <c r="E12387" s="126">
        <v>590</v>
      </c>
      <c r="F12387" s="58"/>
      <c r="G12387" s="58">
        <f t="shared" si="199"/>
        <v>-590</v>
      </c>
      <c r="H12387" s="705" t="s">
        <v>7878</v>
      </c>
    </row>
    <row r="12388" spans="1:8" ht="15" x14ac:dyDescent="0.2">
      <c r="A12388" s="703">
        <v>44711</v>
      </c>
      <c r="B12388" s="41" t="s">
        <v>25</v>
      </c>
      <c r="C12388" s="63" t="s">
        <v>4065</v>
      </c>
      <c r="D12388" s="108" t="s">
        <v>286</v>
      </c>
      <c r="E12388" s="126">
        <v>1000</v>
      </c>
      <c r="F12388" s="58"/>
      <c r="G12388" s="58">
        <f t="shared" si="199"/>
        <v>-1000</v>
      </c>
      <c r="H12388" s="705" t="s">
        <v>7878</v>
      </c>
    </row>
    <row r="12389" spans="1:8" ht="15" x14ac:dyDescent="0.2">
      <c r="A12389" s="703">
        <v>44711</v>
      </c>
      <c r="B12389" s="41" t="s">
        <v>7067</v>
      </c>
      <c r="C12389" s="63" t="s">
        <v>2190</v>
      </c>
      <c r="E12389" s="126">
        <v>2370</v>
      </c>
      <c r="F12389" s="58"/>
      <c r="G12389" s="58">
        <f t="shared" si="199"/>
        <v>-2370</v>
      </c>
      <c r="H12389" s="705" t="s">
        <v>7878</v>
      </c>
    </row>
    <row r="12390" spans="1:8" ht="15" x14ac:dyDescent="0.2">
      <c r="A12390" s="703">
        <v>44711</v>
      </c>
      <c r="B12390" s="41" t="s">
        <v>7067</v>
      </c>
      <c r="C12390" s="63" t="s">
        <v>2190</v>
      </c>
      <c r="E12390" s="126">
        <v>6510</v>
      </c>
      <c r="F12390" s="58"/>
      <c r="G12390" s="58">
        <f t="shared" si="199"/>
        <v>-6510</v>
      </c>
      <c r="H12390" s="705" t="s">
        <v>7878</v>
      </c>
    </row>
    <row r="12391" spans="1:8" ht="15" x14ac:dyDescent="0.2">
      <c r="A12391" s="703">
        <v>44711</v>
      </c>
      <c r="B12391" s="41" t="s">
        <v>7817</v>
      </c>
      <c r="C12391" s="63" t="s">
        <v>3446</v>
      </c>
      <c r="D12391" s="108" t="s">
        <v>7924</v>
      </c>
      <c r="E12391" s="126">
        <v>8000</v>
      </c>
      <c r="F12391" s="58"/>
      <c r="G12391" s="58">
        <f t="shared" si="199"/>
        <v>-8000</v>
      </c>
      <c r="H12391" s="705" t="s">
        <v>7878</v>
      </c>
    </row>
    <row r="12392" spans="1:8" ht="15" x14ac:dyDescent="0.2">
      <c r="A12392" s="703">
        <v>44711</v>
      </c>
      <c r="B12392" s="41" t="s">
        <v>7817</v>
      </c>
      <c r="C12392" s="63" t="s">
        <v>3145</v>
      </c>
      <c r="D12392" s="108" t="s">
        <v>7925</v>
      </c>
      <c r="E12392" s="126">
        <v>6400</v>
      </c>
      <c r="F12392" s="58"/>
      <c r="G12392" s="58">
        <f t="shared" si="199"/>
        <v>-6400</v>
      </c>
      <c r="H12392" s="705" t="s">
        <v>7878</v>
      </c>
    </row>
    <row r="12393" spans="1:8" ht="15" x14ac:dyDescent="0.2">
      <c r="A12393" s="703">
        <v>44712</v>
      </c>
      <c r="B12393" s="41" t="s">
        <v>5604</v>
      </c>
      <c r="C12393" s="551" t="s">
        <v>7927</v>
      </c>
      <c r="D12393" s="893" t="s">
        <v>7928</v>
      </c>
      <c r="E12393" s="552">
        <v>16380</v>
      </c>
      <c r="F12393" s="58"/>
      <c r="G12393" s="58">
        <f t="shared" si="199"/>
        <v>-16380</v>
      </c>
      <c r="H12393" s="705" t="s">
        <v>7878</v>
      </c>
    </row>
    <row r="12394" spans="1:8" ht="15" x14ac:dyDescent="0.2">
      <c r="A12394" s="703">
        <v>44712</v>
      </c>
      <c r="B12394" s="41" t="s">
        <v>6408</v>
      </c>
      <c r="C12394" s="551" t="s">
        <v>7927</v>
      </c>
      <c r="D12394" s="893" t="s">
        <v>7928</v>
      </c>
      <c r="E12394" s="552">
        <v>28567</v>
      </c>
      <c r="F12394" s="58"/>
      <c r="G12394" s="58">
        <f t="shared" si="199"/>
        <v>-28567</v>
      </c>
      <c r="H12394" s="705" t="s">
        <v>7878</v>
      </c>
    </row>
    <row r="12395" spans="1:8" ht="15" x14ac:dyDescent="0.2">
      <c r="A12395" s="703">
        <v>44712</v>
      </c>
      <c r="B12395" s="41" t="s">
        <v>6511</v>
      </c>
      <c r="C12395" s="551" t="s">
        <v>7927</v>
      </c>
      <c r="D12395" s="893" t="s">
        <v>7928</v>
      </c>
      <c r="E12395" s="552">
        <v>3053</v>
      </c>
      <c r="F12395" s="58"/>
      <c r="G12395" s="58">
        <f t="shared" si="199"/>
        <v>-3053</v>
      </c>
      <c r="H12395" s="705" t="s">
        <v>7878</v>
      </c>
    </row>
    <row r="12396" spans="1:8" ht="15" x14ac:dyDescent="0.2">
      <c r="A12396" s="703">
        <v>44712</v>
      </c>
      <c r="B12396" s="41" t="s">
        <v>16</v>
      </c>
      <c r="C12396" s="63" t="s">
        <v>103</v>
      </c>
      <c r="D12396" s="108" t="s">
        <v>7935</v>
      </c>
      <c r="E12396" s="126">
        <v>33150</v>
      </c>
      <c r="F12396" s="58"/>
      <c r="G12396" s="58">
        <f t="shared" si="199"/>
        <v>-33150</v>
      </c>
      <c r="H12396" s="705" t="s">
        <v>7878</v>
      </c>
    </row>
    <row r="12397" spans="1:8" ht="15" x14ac:dyDescent="0.2">
      <c r="A12397" s="703">
        <v>44712</v>
      </c>
      <c r="B12397" s="41" t="s">
        <v>1691</v>
      </c>
      <c r="C12397" s="63"/>
      <c r="D12397" s="108" t="s">
        <v>7936</v>
      </c>
      <c r="E12397" s="126">
        <v>465</v>
      </c>
      <c r="F12397" s="58"/>
      <c r="G12397" s="58">
        <f t="shared" si="199"/>
        <v>-465</v>
      </c>
      <c r="H12397" s="705" t="s">
        <v>7878</v>
      </c>
    </row>
    <row r="12398" spans="1:8" ht="15" x14ac:dyDescent="0.2">
      <c r="A12398" s="703">
        <v>44712</v>
      </c>
      <c r="B12398" s="41" t="s">
        <v>16</v>
      </c>
      <c r="C12398" s="63" t="s">
        <v>103</v>
      </c>
      <c r="D12398" s="108" t="s">
        <v>7937</v>
      </c>
      <c r="E12398" s="126">
        <v>3000</v>
      </c>
      <c r="F12398" s="58"/>
      <c r="G12398" s="58">
        <f t="shared" si="199"/>
        <v>-3000</v>
      </c>
      <c r="H12398" s="705" t="s">
        <v>7878</v>
      </c>
    </row>
    <row r="12399" spans="1:8" ht="15" x14ac:dyDescent="0.2">
      <c r="A12399" s="703">
        <v>44712</v>
      </c>
      <c r="B12399" s="41" t="s">
        <v>25</v>
      </c>
      <c r="C12399" s="63" t="s">
        <v>4065</v>
      </c>
      <c r="D12399" s="108" t="s">
        <v>7938</v>
      </c>
      <c r="E12399" s="126">
        <v>3000</v>
      </c>
      <c r="F12399" s="58"/>
      <c r="G12399" s="58">
        <f t="shared" si="199"/>
        <v>-3000</v>
      </c>
      <c r="H12399" s="705" t="s">
        <v>7878</v>
      </c>
    </row>
    <row r="12400" spans="1:8" ht="15" x14ac:dyDescent="0.2">
      <c r="A12400" s="703">
        <v>44712</v>
      </c>
      <c r="B12400" s="41" t="s">
        <v>25</v>
      </c>
      <c r="C12400" s="63" t="s">
        <v>4065</v>
      </c>
      <c r="D12400" s="108" t="s">
        <v>7939</v>
      </c>
      <c r="E12400" s="126">
        <v>1500</v>
      </c>
      <c r="F12400" s="58"/>
      <c r="G12400" s="58">
        <f t="shared" si="199"/>
        <v>-1500</v>
      </c>
      <c r="H12400" s="705" t="s">
        <v>7878</v>
      </c>
    </row>
    <row r="12401" spans="1:8" ht="15" x14ac:dyDescent="0.2">
      <c r="A12401" s="703">
        <v>44712</v>
      </c>
      <c r="B12401" s="41" t="s">
        <v>37</v>
      </c>
      <c r="C12401" s="63" t="s">
        <v>392</v>
      </c>
      <c r="D12401" s="108" t="s">
        <v>7940</v>
      </c>
      <c r="E12401" s="126">
        <v>2000</v>
      </c>
      <c r="F12401" s="58"/>
      <c r="G12401" s="58">
        <f t="shared" si="199"/>
        <v>-2000</v>
      </c>
      <c r="H12401" s="705" t="s">
        <v>7878</v>
      </c>
    </row>
    <row r="12402" spans="1:8" ht="15" x14ac:dyDescent="0.2">
      <c r="A12402" s="703">
        <v>44712</v>
      </c>
      <c r="B12402" s="41" t="s">
        <v>37</v>
      </c>
      <c r="C12402" s="63" t="s">
        <v>392</v>
      </c>
      <c r="D12402" s="108" t="s">
        <v>7941</v>
      </c>
      <c r="E12402" s="126">
        <v>150</v>
      </c>
      <c r="F12402" s="58"/>
      <c r="G12402" s="58">
        <f t="shared" si="199"/>
        <v>-150</v>
      </c>
      <c r="H12402" s="705" t="s">
        <v>7878</v>
      </c>
    </row>
    <row r="12403" spans="1:8" ht="15" x14ac:dyDescent="0.2">
      <c r="A12403" s="703">
        <v>44712</v>
      </c>
      <c r="B12403" s="41" t="s">
        <v>37</v>
      </c>
      <c r="C12403" s="63" t="s">
        <v>392</v>
      </c>
      <c r="D12403" s="108" t="s">
        <v>2110</v>
      </c>
      <c r="E12403" s="126">
        <v>1000</v>
      </c>
      <c r="F12403" s="58"/>
      <c r="G12403" s="58">
        <f t="shared" si="199"/>
        <v>-1000</v>
      </c>
      <c r="H12403" s="705" t="s">
        <v>7878</v>
      </c>
    </row>
    <row r="12404" spans="1:8" ht="15" x14ac:dyDescent="0.2">
      <c r="A12404" s="703">
        <v>44712</v>
      </c>
      <c r="B12404" s="41" t="s">
        <v>25</v>
      </c>
      <c r="C12404" s="63" t="s">
        <v>1689</v>
      </c>
      <c r="D12404" s="108" t="s">
        <v>7942</v>
      </c>
      <c r="E12404" s="126">
        <v>5930</v>
      </c>
      <c r="F12404" s="58"/>
      <c r="G12404" s="58">
        <f t="shared" si="199"/>
        <v>-5930</v>
      </c>
      <c r="H12404" s="705" t="s">
        <v>7878</v>
      </c>
    </row>
    <row r="12405" spans="1:8" ht="15" x14ac:dyDescent="0.2">
      <c r="A12405" s="703">
        <v>44712</v>
      </c>
      <c r="B12405" s="41" t="s">
        <v>16</v>
      </c>
      <c r="C12405" s="63" t="s">
        <v>1689</v>
      </c>
      <c r="D12405" s="108" t="s">
        <v>7943</v>
      </c>
      <c r="E12405" s="126">
        <v>2150</v>
      </c>
      <c r="F12405" s="58"/>
      <c r="G12405" s="58">
        <f t="shared" si="199"/>
        <v>-2150</v>
      </c>
      <c r="H12405" s="705" t="s">
        <v>7878</v>
      </c>
    </row>
    <row r="12406" spans="1:8" ht="15" x14ac:dyDescent="0.2">
      <c r="A12406" s="703">
        <v>44712</v>
      </c>
      <c r="B12406" s="41" t="s">
        <v>7817</v>
      </c>
      <c r="C12406" s="63" t="s">
        <v>5741</v>
      </c>
      <c r="D12406" s="108" t="s">
        <v>7944</v>
      </c>
      <c r="E12406" s="126">
        <v>500</v>
      </c>
      <c r="F12406" s="58"/>
      <c r="G12406" s="58">
        <f t="shared" si="199"/>
        <v>-500</v>
      </c>
      <c r="H12406" s="705" t="s">
        <v>7878</v>
      </c>
    </row>
    <row r="12407" spans="1:8" ht="15" x14ac:dyDescent="0.2">
      <c r="A12407" s="703">
        <v>44712</v>
      </c>
      <c r="B12407" s="41" t="s">
        <v>16</v>
      </c>
      <c r="C12407" s="63" t="s">
        <v>2334</v>
      </c>
      <c r="D12407" s="108" t="s">
        <v>4911</v>
      </c>
      <c r="E12407" s="126">
        <v>5000</v>
      </c>
      <c r="F12407" s="58"/>
      <c r="G12407" s="58">
        <f t="shared" si="199"/>
        <v>-5000</v>
      </c>
      <c r="H12407" s="705" t="s">
        <v>7878</v>
      </c>
    </row>
    <row r="12408" spans="1:8" ht="15" x14ac:dyDescent="0.2">
      <c r="A12408" s="703">
        <v>44712</v>
      </c>
      <c r="B12408" s="41" t="s">
        <v>1400</v>
      </c>
      <c r="C12408" s="63" t="s">
        <v>392</v>
      </c>
      <c r="D12408" s="108" t="s">
        <v>7945</v>
      </c>
      <c r="E12408" s="126">
        <v>1000</v>
      </c>
      <c r="F12408" s="58"/>
      <c r="G12408" s="58">
        <f t="shared" si="199"/>
        <v>-1000</v>
      </c>
      <c r="H12408" s="705" t="s">
        <v>7878</v>
      </c>
    </row>
    <row r="12409" spans="1:8" ht="15" x14ac:dyDescent="0.2">
      <c r="A12409" s="703">
        <v>44712</v>
      </c>
      <c r="B12409" s="41" t="s">
        <v>1400</v>
      </c>
      <c r="C12409" s="63" t="s">
        <v>392</v>
      </c>
      <c r="D12409" s="108" t="s">
        <v>7946</v>
      </c>
      <c r="E12409" s="126">
        <v>650</v>
      </c>
      <c r="F12409" s="58"/>
      <c r="G12409" s="58">
        <f t="shared" si="199"/>
        <v>-650</v>
      </c>
      <c r="H12409" s="705" t="s">
        <v>7878</v>
      </c>
    </row>
    <row r="12410" spans="1:8" ht="15" x14ac:dyDescent="0.2">
      <c r="A12410" s="703">
        <v>44712</v>
      </c>
      <c r="B12410" s="41" t="s">
        <v>7112</v>
      </c>
      <c r="C12410" s="63" t="s">
        <v>2503</v>
      </c>
      <c r="D12410" s="108" t="s">
        <v>7097</v>
      </c>
      <c r="E12410" s="126">
        <v>25000</v>
      </c>
      <c r="F12410" s="58"/>
      <c r="G12410" s="58">
        <f t="shared" si="199"/>
        <v>-25000</v>
      </c>
      <c r="H12410" s="705" t="s">
        <v>7878</v>
      </c>
    </row>
    <row r="12411" spans="1:8" ht="15" x14ac:dyDescent="0.2">
      <c r="A12411" s="703">
        <v>44712</v>
      </c>
      <c r="B12411" s="41" t="s">
        <v>6505</v>
      </c>
      <c r="C12411" s="63" t="s">
        <v>2503</v>
      </c>
      <c r="D12411" s="108" t="s">
        <v>7097</v>
      </c>
      <c r="E12411" s="126">
        <v>25000</v>
      </c>
      <c r="F12411" s="58"/>
      <c r="G12411" s="58">
        <f t="shared" si="199"/>
        <v>-25000</v>
      </c>
      <c r="H12411" s="705" t="s">
        <v>7878</v>
      </c>
    </row>
    <row r="12412" spans="1:8" ht="15" x14ac:dyDescent="0.2">
      <c r="A12412" s="703">
        <v>44712</v>
      </c>
      <c r="B12412" s="41" t="s">
        <v>7067</v>
      </c>
      <c r="C12412" s="63" t="s">
        <v>2503</v>
      </c>
      <c r="D12412" s="108" t="s">
        <v>141</v>
      </c>
      <c r="E12412" s="126">
        <v>25000</v>
      </c>
      <c r="F12412" s="58"/>
      <c r="G12412" s="58">
        <f t="shared" si="199"/>
        <v>-25000</v>
      </c>
      <c r="H12412" s="705" t="s">
        <v>7878</v>
      </c>
    </row>
    <row r="12413" spans="1:8" ht="15" x14ac:dyDescent="0.2">
      <c r="A12413" s="703">
        <v>44712</v>
      </c>
      <c r="B12413" s="41" t="s">
        <v>1400</v>
      </c>
      <c r="C12413" s="63" t="s">
        <v>2503</v>
      </c>
      <c r="D12413" s="108" t="s">
        <v>141</v>
      </c>
      <c r="E12413" s="126">
        <v>25000</v>
      </c>
      <c r="F12413" s="58"/>
      <c r="G12413" s="58">
        <f t="shared" si="199"/>
        <v>-25000</v>
      </c>
      <c r="H12413" s="705" t="s">
        <v>7878</v>
      </c>
    </row>
    <row r="12414" spans="1:8" ht="15" x14ac:dyDescent="0.2">
      <c r="A12414" s="703">
        <v>44712</v>
      </c>
      <c r="B12414" s="41" t="s">
        <v>25</v>
      </c>
      <c r="C12414" s="63" t="s">
        <v>2503</v>
      </c>
      <c r="E12414" s="126">
        <v>70000</v>
      </c>
      <c r="F12414" s="58"/>
      <c r="G12414" s="58">
        <f t="shared" si="199"/>
        <v>-70000</v>
      </c>
      <c r="H12414" s="705" t="s">
        <v>7878</v>
      </c>
    </row>
    <row r="12415" spans="1:8" ht="15" x14ac:dyDescent="0.2">
      <c r="A12415" s="703">
        <v>44712</v>
      </c>
      <c r="B12415" s="41" t="s">
        <v>16</v>
      </c>
      <c r="C12415" s="63" t="s">
        <v>2503</v>
      </c>
      <c r="E12415" s="126">
        <v>110500</v>
      </c>
      <c r="F12415" s="58"/>
      <c r="G12415" s="58">
        <f t="shared" si="199"/>
        <v>-110500</v>
      </c>
      <c r="H12415" s="705" t="s">
        <v>7878</v>
      </c>
    </row>
    <row r="12416" spans="1:8" ht="15" x14ac:dyDescent="0.2">
      <c r="A12416" s="703">
        <v>44712</v>
      </c>
      <c r="B12416" s="41" t="s">
        <v>3945</v>
      </c>
      <c r="C12416" s="63" t="s">
        <v>2503</v>
      </c>
      <c r="E12416" s="126">
        <v>118079.88709677418</v>
      </c>
      <c r="F12416" s="58"/>
      <c r="G12416" s="58">
        <f t="shared" si="199"/>
        <v>-118079.88709677418</v>
      </c>
      <c r="H12416" s="705" t="s">
        <v>7878</v>
      </c>
    </row>
    <row r="12417" spans="1:8" ht="15" x14ac:dyDescent="0.2">
      <c r="A12417" s="703">
        <v>44712</v>
      </c>
      <c r="B12417" s="41" t="s">
        <v>3946</v>
      </c>
      <c r="C12417" s="63" t="s">
        <v>2503</v>
      </c>
      <c r="E12417" s="126">
        <v>128381.0483870968</v>
      </c>
      <c r="F12417" s="58"/>
      <c r="G12417" s="58">
        <f t="shared" si="199"/>
        <v>-128381.0483870968</v>
      </c>
      <c r="H12417" s="705" t="s">
        <v>7878</v>
      </c>
    </row>
    <row r="12418" spans="1:8" ht="15" x14ac:dyDescent="0.2">
      <c r="A12418" s="703">
        <v>44712</v>
      </c>
      <c r="B12418" s="41" t="s">
        <v>6505</v>
      </c>
      <c r="C12418" s="63" t="s">
        <v>2503</v>
      </c>
      <c r="E12418" s="126">
        <v>131805</v>
      </c>
      <c r="F12418" s="58"/>
      <c r="G12418" s="58">
        <f t="shared" si="199"/>
        <v>-131805</v>
      </c>
      <c r="H12418" s="705" t="s">
        <v>7878</v>
      </c>
    </row>
    <row r="12419" spans="1:8" ht="15" x14ac:dyDescent="0.2">
      <c r="A12419" s="703">
        <v>44712</v>
      </c>
      <c r="B12419" s="41" t="s">
        <v>1400</v>
      </c>
      <c r="C12419" s="63" t="s">
        <v>2503</v>
      </c>
      <c r="E12419" s="126">
        <v>130000</v>
      </c>
      <c r="F12419" s="58"/>
      <c r="G12419" s="58">
        <f t="shared" si="199"/>
        <v>-130000</v>
      </c>
      <c r="H12419" s="705" t="s">
        <v>7878</v>
      </c>
    </row>
    <row r="12420" spans="1:8" ht="15" x14ac:dyDescent="0.2">
      <c r="A12420" s="703">
        <v>44712</v>
      </c>
      <c r="B12420" s="41" t="s">
        <v>37</v>
      </c>
      <c r="C12420" s="63" t="s">
        <v>2503</v>
      </c>
      <c r="E12420" s="126">
        <v>119540.32258064515</v>
      </c>
      <c r="F12420" s="58"/>
      <c r="G12420" s="58">
        <f t="shared" si="199"/>
        <v>-119540.32258064515</v>
      </c>
      <c r="H12420" s="705" t="s">
        <v>7878</v>
      </c>
    </row>
    <row r="12421" spans="1:8" ht="15" x14ac:dyDescent="0.2">
      <c r="A12421" s="703">
        <v>44712</v>
      </c>
      <c r="B12421" s="41" t="s">
        <v>2933</v>
      </c>
      <c r="C12421" s="63" t="s">
        <v>2503</v>
      </c>
      <c r="E12421" s="126">
        <v>76870.96774193547</v>
      </c>
      <c r="F12421" s="58"/>
      <c r="G12421" s="58">
        <f t="shared" ref="G12421:G12484" si="200">F12421-E12421</f>
        <v>-76870.96774193547</v>
      </c>
      <c r="H12421" s="705" t="s">
        <v>7878</v>
      </c>
    </row>
    <row r="12422" spans="1:8" ht="15" x14ac:dyDescent="0.2">
      <c r="A12422" s="703">
        <v>44712</v>
      </c>
      <c r="B12422" s="41" t="s">
        <v>7817</v>
      </c>
      <c r="C12422" s="63" t="s">
        <v>2503</v>
      </c>
      <c r="E12422" s="126">
        <v>105003</v>
      </c>
      <c r="F12422" s="58"/>
      <c r="G12422" s="58">
        <f t="shared" si="200"/>
        <v>-105003</v>
      </c>
      <c r="H12422" s="705" t="s">
        <v>7878</v>
      </c>
    </row>
    <row r="12423" spans="1:8" ht="15" x14ac:dyDescent="0.2">
      <c r="A12423" s="703">
        <v>44712</v>
      </c>
      <c r="B12423" s="41" t="s">
        <v>4553</v>
      </c>
      <c r="C12423" s="63" t="s">
        <v>2503</v>
      </c>
      <c r="E12423" s="126">
        <v>20064.516129032258</v>
      </c>
      <c r="F12423" s="58"/>
      <c r="G12423" s="58">
        <f t="shared" si="200"/>
        <v>-20064.516129032258</v>
      </c>
      <c r="H12423" s="705" t="s">
        <v>7878</v>
      </c>
    </row>
    <row r="12424" spans="1:8" ht="15" x14ac:dyDescent="0.2">
      <c r="A12424" s="703">
        <v>44712</v>
      </c>
      <c r="B12424" s="41" t="s">
        <v>7112</v>
      </c>
      <c r="C12424" s="63" t="s">
        <v>2503</v>
      </c>
      <c r="E12424" s="126">
        <v>34200</v>
      </c>
      <c r="F12424" s="58"/>
      <c r="G12424" s="58">
        <f t="shared" si="200"/>
        <v>-34200</v>
      </c>
      <c r="H12424" s="705" t="s">
        <v>7878</v>
      </c>
    </row>
    <row r="12425" spans="1:8" ht="15" x14ac:dyDescent="0.2">
      <c r="A12425" s="703">
        <v>44712</v>
      </c>
      <c r="B12425" s="41" t="s">
        <v>7555</v>
      </c>
      <c r="C12425" s="63" t="s">
        <v>2503</v>
      </c>
      <c r="E12425" s="126">
        <v>27760.080645161292</v>
      </c>
      <c r="F12425" s="58"/>
      <c r="G12425" s="58">
        <f t="shared" si="200"/>
        <v>-27760.080645161292</v>
      </c>
      <c r="H12425" s="705" t="s">
        <v>7878</v>
      </c>
    </row>
    <row r="12426" spans="1:8" ht="15" x14ac:dyDescent="0.2">
      <c r="A12426" s="703">
        <v>44712</v>
      </c>
      <c r="B12426" s="41" t="s">
        <v>5811</v>
      </c>
      <c r="C12426" s="63" t="s">
        <v>2503</v>
      </c>
      <c r="E12426" s="126">
        <v>23000</v>
      </c>
      <c r="F12426" s="58"/>
      <c r="G12426" s="58">
        <f t="shared" si="200"/>
        <v>-23000</v>
      </c>
      <c r="H12426" s="705" t="s">
        <v>7878</v>
      </c>
    </row>
    <row r="12427" spans="1:8" ht="15" x14ac:dyDescent="0.2">
      <c r="A12427" s="703">
        <v>44712</v>
      </c>
      <c r="B12427" s="41" t="s">
        <v>11</v>
      </c>
      <c r="C12427" s="63" t="s">
        <v>2503</v>
      </c>
      <c r="E12427" s="126">
        <v>5000</v>
      </c>
      <c r="F12427" s="58"/>
      <c r="G12427" s="58">
        <f t="shared" si="200"/>
        <v>-5000</v>
      </c>
      <c r="H12427" s="705" t="s">
        <v>7878</v>
      </c>
    </row>
    <row r="12428" spans="1:8" s="182" customFormat="1" ht="15" x14ac:dyDescent="0.2">
      <c r="A12428" s="707">
        <v>44690</v>
      </c>
      <c r="B12428" s="122" t="s">
        <v>7067</v>
      </c>
      <c r="C12428" s="235" t="s">
        <v>6822</v>
      </c>
      <c r="D12428" s="812" t="s">
        <v>7879</v>
      </c>
      <c r="E12428" s="708">
        <v>111000</v>
      </c>
      <c r="F12428" s="123"/>
      <c r="G12428" s="123">
        <f t="shared" si="200"/>
        <v>-111000</v>
      </c>
      <c r="H12428" s="709" t="s">
        <v>7878</v>
      </c>
    </row>
    <row r="12429" spans="1:8" ht="15" x14ac:dyDescent="0.2">
      <c r="A12429" s="707">
        <v>44690</v>
      </c>
      <c r="B12429" s="122" t="s">
        <v>7817</v>
      </c>
      <c r="C12429" s="122" t="s">
        <v>1524</v>
      </c>
      <c r="D12429" s="812" t="s">
        <v>7880</v>
      </c>
      <c r="E12429" s="123">
        <v>241800</v>
      </c>
      <c r="F12429" s="123"/>
      <c r="G12429" s="123">
        <f t="shared" si="200"/>
        <v>-241800</v>
      </c>
      <c r="H12429" s="709" t="s">
        <v>7878</v>
      </c>
    </row>
    <row r="12430" spans="1:8" ht="15" x14ac:dyDescent="0.2">
      <c r="A12430" s="707">
        <v>44695</v>
      </c>
      <c r="B12430" s="122" t="s">
        <v>7657</v>
      </c>
      <c r="C12430" s="584" t="s">
        <v>166</v>
      </c>
      <c r="D12430" s="913" t="s">
        <v>7894</v>
      </c>
      <c r="E12430" s="585">
        <v>3600</v>
      </c>
      <c r="F12430" s="123"/>
      <c r="G12430" s="123">
        <f t="shared" si="200"/>
        <v>-3600</v>
      </c>
      <c r="H12430" s="709" t="s">
        <v>7878</v>
      </c>
    </row>
    <row r="12431" spans="1:8" ht="15" x14ac:dyDescent="0.2">
      <c r="A12431" s="707">
        <v>44695</v>
      </c>
      <c r="B12431" s="122" t="s">
        <v>7112</v>
      </c>
      <c r="C12431" s="584" t="s">
        <v>166</v>
      </c>
      <c r="D12431" s="913" t="s">
        <v>7894</v>
      </c>
      <c r="E12431" s="585">
        <v>3880</v>
      </c>
      <c r="F12431" s="123"/>
      <c r="G12431" s="123">
        <f t="shared" si="200"/>
        <v>-3880</v>
      </c>
      <c r="H12431" s="709" t="s">
        <v>7878</v>
      </c>
    </row>
    <row r="12432" spans="1:8" ht="15" x14ac:dyDescent="0.2">
      <c r="A12432" s="707">
        <v>44695</v>
      </c>
      <c r="B12432" s="122" t="s">
        <v>7555</v>
      </c>
      <c r="C12432" s="584" t="s">
        <v>166</v>
      </c>
      <c r="D12432" s="913" t="s">
        <v>7894</v>
      </c>
      <c r="E12432" s="585">
        <v>25143</v>
      </c>
      <c r="F12432" s="123"/>
      <c r="G12432" s="123">
        <f t="shared" si="200"/>
        <v>-25143</v>
      </c>
      <c r="H12432" s="709" t="s">
        <v>7878</v>
      </c>
    </row>
    <row r="12433" spans="1:8" ht="15" x14ac:dyDescent="0.2">
      <c r="A12433" s="707">
        <v>44695</v>
      </c>
      <c r="B12433" s="122" t="s">
        <v>1400</v>
      </c>
      <c r="C12433" s="584" t="s">
        <v>166</v>
      </c>
      <c r="D12433" s="913" t="s">
        <v>7894</v>
      </c>
      <c r="E12433" s="585">
        <v>116480</v>
      </c>
      <c r="F12433" s="123"/>
      <c r="G12433" s="123">
        <f t="shared" si="200"/>
        <v>-116480</v>
      </c>
      <c r="H12433" s="709" t="s">
        <v>7878</v>
      </c>
    </row>
    <row r="12434" spans="1:8" ht="15" x14ac:dyDescent="0.2">
      <c r="A12434" s="707">
        <v>44695</v>
      </c>
      <c r="B12434" s="122" t="s">
        <v>3733</v>
      </c>
      <c r="C12434" s="584" t="s">
        <v>166</v>
      </c>
      <c r="D12434" s="913" t="s">
        <v>7894</v>
      </c>
      <c r="E12434" s="585">
        <v>24000</v>
      </c>
      <c r="F12434" s="123"/>
      <c r="G12434" s="123">
        <f t="shared" si="200"/>
        <v>-24000</v>
      </c>
      <c r="H12434" s="709" t="s">
        <v>7878</v>
      </c>
    </row>
    <row r="12435" spans="1:8" ht="15" customHeight="1" x14ac:dyDescent="0.2">
      <c r="A12435" s="707">
        <v>44695</v>
      </c>
      <c r="B12435" s="122" t="s">
        <v>7817</v>
      </c>
      <c r="C12435" s="584" t="s">
        <v>166</v>
      </c>
      <c r="D12435" s="913" t="s">
        <v>7894</v>
      </c>
      <c r="E12435" s="585">
        <v>15820</v>
      </c>
      <c r="F12435" s="123"/>
      <c r="G12435" s="123">
        <f t="shared" si="200"/>
        <v>-15820</v>
      </c>
      <c r="H12435" s="709" t="s">
        <v>7878</v>
      </c>
    </row>
    <row r="12436" spans="1:8" ht="15" x14ac:dyDescent="0.2">
      <c r="A12436" s="707">
        <v>44695</v>
      </c>
      <c r="B12436" s="122" t="s">
        <v>3945</v>
      </c>
      <c r="C12436" s="584" t="s">
        <v>166</v>
      </c>
      <c r="D12436" s="913" t="s">
        <v>7894</v>
      </c>
      <c r="E12436" s="585">
        <v>5200</v>
      </c>
      <c r="F12436" s="123"/>
      <c r="G12436" s="123">
        <f t="shared" si="200"/>
        <v>-5200</v>
      </c>
      <c r="H12436" s="709" t="s">
        <v>7878</v>
      </c>
    </row>
    <row r="12437" spans="1:8" ht="15" x14ac:dyDescent="0.2">
      <c r="A12437" s="707">
        <v>44695</v>
      </c>
      <c r="B12437" s="122" t="s">
        <v>1400</v>
      </c>
      <c r="C12437" s="584" t="s">
        <v>166</v>
      </c>
      <c r="D12437" s="913" t="s">
        <v>7894</v>
      </c>
      <c r="E12437" s="585">
        <v>84852</v>
      </c>
      <c r="F12437" s="123"/>
      <c r="G12437" s="123">
        <f t="shared" si="200"/>
        <v>-84852</v>
      </c>
      <c r="H12437" s="709" t="s">
        <v>7878</v>
      </c>
    </row>
    <row r="12438" spans="1:8" ht="15" x14ac:dyDescent="0.2">
      <c r="A12438" s="707">
        <v>44698</v>
      </c>
      <c r="B12438" s="122" t="s">
        <v>7817</v>
      </c>
      <c r="C12438" s="122" t="s">
        <v>6967</v>
      </c>
      <c r="D12438" s="812" t="s">
        <v>7897</v>
      </c>
      <c r="E12438" s="123">
        <v>24000</v>
      </c>
      <c r="F12438" s="123"/>
      <c r="G12438" s="123">
        <f t="shared" si="200"/>
        <v>-24000</v>
      </c>
      <c r="H12438" s="709" t="s">
        <v>7878</v>
      </c>
    </row>
    <row r="12439" spans="1:8" ht="15" customHeight="1" x14ac:dyDescent="0.2">
      <c r="A12439" s="707">
        <v>44705</v>
      </c>
      <c r="B12439" s="122" t="s">
        <v>3733</v>
      </c>
      <c r="C12439" s="122" t="s">
        <v>256</v>
      </c>
      <c r="D12439" s="812" t="s">
        <v>7898</v>
      </c>
      <c r="E12439" s="123">
        <v>78400</v>
      </c>
      <c r="F12439" s="123"/>
      <c r="G12439" s="123">
        <f t="shared" si="200"/>
        <v>-78400</v>
      </c>
      <c r="H12439" s="709" t="s">
        <v>7878</v>
      </c>
    </row>
    <row r="12440" spans="1:8" ht="15" x14ac:dyDescent="0.2">
      <c r="A12440" s="707">
        <v>44709</v>
      </c>
      <c r="B12440" s="122" t="s">
        <v>6953</v>
      </c>
      <c r="C12440" s="582" t="s">
        <v>1391</v>
      </c>
      <c r="D12440" s="893" t="s">
        <v>7900</v>
      </c>
      <c r="E12440" s="583">
        <v>9655</v>
      </c>
      <c r="F12440" s="123"/>
      <c r="G12440" s="123">
        <f t="shared" si="200"/>
        <v>-9655</v>
      </c>
      <c r="H12440" s="709" t="s">
        <v>7878</v>
      </c>
    </row>
    <row r="12441" spans="1:8" ht="15" x14ac:dyDescent="0.2">
      <c r="A12441" s="707">
        <v>44709</v>
      </c>
      <c r="B12441" s="122" t="s">
        <v>7067</v>
      </c>
      <c r="C12441" s="582" t="s">
        <v>1391</v>
      </c>
      <c r="D12441" s="893" t="s">
        <v>7900</v>
      </c>
      <c r="E12441" s="583">
        <v>49174</v>
      </c>
      <c r="F12441" s="123"/>
      <c r="G12441" s="123">
        <f t="shared" si="200"/>
        <v>-49174</v>
      </c>
      <c r="H12441" s="709" t="s">
        <v>7878</v>
      </c>
    </row>
    <row r="12442" spans="1:8" ht="15" x14ac:dyDescent="0.2">
      <c r="A12442" s="707">
        <v>44709</v>
      </c>
      <c r="B12442" s="122" t="s">
        <v>7112</v>
      </c>
      <c r="C12442" s="582" t="s">
        <v>1391</v>
      </c>
      <c r="D12442" s="893" t="s">
        <v>7900</v>
      </c>
      <c r="E12442" s="583">
        <v>36997</v>
      </c>
      <c r="F12442" s="123"/>
      <c r="G12442" s="123">
        <f t="shared" si="200"/>
        <v>-36997</v>
      </c>
      <c r="H12442" s="709" t="s">
        <v>7878</v>
      </c>
    </row>
    <row r="12443" spans="1:8" ht="15" x14ac:dyDescent="0.2">
      <c r="A12443" s="707">
        <v>44709</v>
      </c>
      <c r="B12443" s="122" t="s">
        <v>7555</v>
      </c>
      <c r="C12443" s="582" t="s">
        <v>1391</v>
      </c>
      <c r="D12443" s="893" t="s">
        <v>7900</v>
      </c>
      <c r="E12443" s="583">
        <v>4174</v>
      </c>
      <c r="F12443" s="123"/>
      <c r="G12443" s="123">
        <f t="shared" si="200"/>
        <v>-4174</v>
      </c>
      <c r="H12443" s="709" t="s">
        <v>7878</v>
      </c>
    </row>
    <row r="12444" spans="1:8" ht="15" x14ac:dyDescent="0.2">
      <c r="A12444" s="707">
        <v>44711</v>
      </c>
      <c r="B12444" s="122" t="s">
        <v>6511</v>
      </c>
      <c r="C12444" s="584" t="s">
        <v>5681</v>
      </c>
      <c r="D12444" s="913" t="s">
        <v>7903</v>
      </c>
      <c r="E12444" s="585">
        <v>69500</v>
      </c>
      <c r="F12444" s="123"/>
      <c r="G12444" s="123">
        <f t="shared" si="200"/>
        <v>-69500</v>
      </c>
      <c r="H12444" s="709" t="s">
        <v>7878</v>
      </c>
    </row>
    <row r="12445" spans="1:8" ht="15" x14ac:dyDescent="0.2">
      <c r="A12445" s="707">
        <v>44711</v>
      </c>
      <c r="B12445" s="122" t="s">
        <v>7555</v>
      </c>
      <c r="C12445" s="584" t="s">
        <v>5681</v>
      </c>
      <c r="D12445" s="913" t="s">
        <v>7903</v>
      </c>
      <c r="E12445" s="585">
        <v>5700</v>
      </c>
      <c r="F12445" s="123"/>
      <c r="G12445" s="123">
        <f t="shared" si="200"/>
        <v>-5700</v>
      </c>
      <c r="H12445" s="709" t="s">
        <v>7878</v>
      </c>
    </row>
    <row r="12446" spans="1:8" ht="15" x14ac:dyDescent="0.2">
      <c r="A12446" s="707">
        <v>44711</v>
      </c>
      <c r="B12446" s="122" t="s">
        <v>3733</v>
      </c>
      <c r="C12446" s="584" t="s">
        <v>5681</v>
      </c>
      <c r="D12446" s="913" t="s">
        <v>7903</v>
      </c>
      <c r="E12446" s="585">
        <v>74800</v>
      </c>
      <c r="F12446" s="123"/>
      <c r="G12446" s="123">
        <f t="shared" si="200"/>
        <v>-74800</v>
      </c>
      <c r="H12446" s="709" t="s">
        <v>7878</v>
      </c>
    </row>
    <row r="12447" spans="1:8" ht="15" x14ac:dyDescent="0.2">
      <c r="A12447" s="707">
        <v>44711</v>
      </c>
      <c r="B12447" s="122" t="s">
        <v>7817</v>
      </c>
      <c r="C12447" s="122" t="s">
        <v>7777</v>
      </c>
      <c r="D12447" s="812" t="s">
        <v>7904</v>
      </c>
      <c r="E12447" s="123">
        <v>15000</v>
      </c>
      <c r="F12447" s="123"/>
      <c r="G12447" s="123">
        <f t="shared" si="200"/>
        <v>-15000</v>
      </c>
      <c r="H12447" s="709" t="s">
        <v>7878</v>
      </c>
    </row>
    <row r="12448" spans="1:8" ht="15" x14ac:dyDescent="0.2">
      <c r="A12448" s="707">
        <v>44711</v>
      </c>
      <c r="B12448" s="122" t="s">
        <v>7555</v>
      </c>
      <c r="C12448" s="582" t="s">
        <v>6706</v>
      </c>
      <c r="D12448" s="893" t="s">
        <v>7905</v>
      </c>
      <c r="E12448" s="583">
        <v>50320</v>
      </c>
      <c r="F12448" s="123"/>
      <c r="G12448" s="123">
        <f t="shared" si="200"/>
        <v>-50320</v>
      </c>
      <c r="H12448" s="709" t="s">
        <v>7878</v>
      </c>
    </row>
    <row r="12449" spans="1:8" ht="15" x14ac:dyDescent="0.2">
      <c r="A12449" s="707">
        <v>44711</v>
      </c>
      <c r="B12449" s="122" t="s">
        <v>7657</v>
      </c>
      <c r="C12449" s="582" t="s">
        <v>6706</v>
      </c>
      <c r="D12449" s="893" t="s">
        <v>7905</v>
      </c>
      <c r="E12449" s="583">
        <v>8180</v>
      </c>
      <c r="F12449" s="123"/>
      <c r="G12449" s="123">
        <f t="shared" si="200"/>
        <v>-8180</v>
      </c>
      <c r="H12449" s="709" t="s">
        <v>7878</v>
      </c>
    </row>
    <row r="12450" spans="1:8" ht="15" x14ac:dyDescent="0.2">
      <c r="A12450" s="707">
        <v>44711</v>
      </c>
      <c r="B12450" s="122" t="s">
        <v>7817</v>
      </c>
      <c r="C12450" s="582" t="s">
        <v>6706</v>
      </c>
      <c r="D12450" s="893" t="s">
        <v>7905</v>
      </c>
      <c r="E12450" s="583">
        <v>17000</v>
      </c>
      <c r="F12450" s="123"/>
      <c r="G12450" s="123">
        <f t="shared" si="200"/>
        <v>-17000</v>
      </c>
      <c r="H12450" s="709" t="s">
        <v>7878</v>
      </c>
    </row>
    <row r="12451" spans="1:8" ht="15" x14ac:dyDescent="0.2">
      <c r="A12451" s="707">
        <v>44712</v>
      </c>
      <c r="B12451" s="122" t="s">
        <v>1400</v>
      </c>
      <c r="C12451" s="122" t="s">
        <v>7906</v>
      </c>
      <c r="D12451" s="812" t="s">
        <v>7907</v>
      </c>
      <c r="E12451" s="123">
        <v>327000</v>
      </c>
      <c r="F12451" s="123"/>
      <c r="G12451" s="123">
        <f t="shared" si="200"/>
        <v>-327000</v>
      </c>
      <c r="H12451" s="709" t="s">
        <v>7878</v>
      </c>
    </row>
    <row r="12452" spans="1:8" ht="15" x14ac:dyDescent="0.2">
      <c r="A12452" s="707">
        <v>44712</v>
      </c>
      <c r="B12452" s="122" t="s">
        <v>1400</v>
      </c>
      <c r="C12452" s="122" t="s">
        <v>7906</v>
      </c>
      <c r="D12452" s="812" t="s">
        <v>7908</v>
      </c>
      <c r="E12452" s="123">
        <v>327000</v>
      </c>
      <c r="F12452" s="123"/>
      <c r="G12452" s="123">
        <f t="shared" si="200"/>
        <v>-327000</v>
      </c>
      <c r="H12452" s="709" t="s">
        <v>7878</v>
      </c>
    </row>
    <row r="12453" spans="1:8" ht="15" x14ac:dyDescent="0.2">
      <c r="A12453" s="700">
        <v>44694</v>
      </c>
      <c r="B12453" s="91" t="s">
        <v>5641</v>
      </c>
      <c r="C12453" s="91" t="s">
        <v>559</v>
      </c>
      <c r="D12453" s="801" t="s">
        <v>7884</v>
      </c>
      <c r="E12453" s="92"/>
      <c r="F12453" s="92">
        <v>278975</v>
      </c>
      <c r="G12453" s="92">
        <f t="shared" si="200"/>
        <v>278975</v>
      </c>
      <c r="H12453" s="702" t="s">
        <v>7878</v>
      </c>
    </row>
    <row r="12454" spans="1:8" ht="24" x14ac:dyDescent="0.2">
      <c r="A12454" s="700">
        <v>44697</v>
      </c>
      <c r="B12454" s="94" t="s">
        <v>6505</v>
      </c>
      <c r="C12454" s="175" t="s">
        <v>559</v>
      </c>
      <c r="D12454" s="802" t="s">
        <v>7885</v>
      </c>
      <c r="E12454" s="176"/>
      <c r="F12454" s="176">
        <v>375000</v>
      </c>
      <c r="G12454" s="176">
        <f t="shared" si="200"/>
        <v>375000</v>
      </c>
      <c r="H12454" s="702" t="s">
        <v>7878</v>
      </c>
    </row>
    <row r="12455" spans="1:8" ht="15" x14ac:dyDescent="0.2">
      <c r="A12455" s="700">
        <v>44698</v>
      </c>
      <c r="B12455" s="94" t="s">
        <v>3946</v>
      </c>
      <c r="C12455" s="94" t="s">
        <v>559</v>
      </c>
      <c r="D12455" s="892" t="s">
        <v>7887</v>
      </c>
      <c r="E12455" s="176"/>
      <c r="F12455" s="176">
        <v>620658</v>
      </c>
      <c r="G12455" s="176">
        <f t="shared" si="200"/>
        <v>620658</v>
      </c>
      <c r="H12455" s="702" t="s">
        <v>7878</v>
      </c>
    </row>
    <row r="12456" spans="1:8" s="682" customFormat="1" ht="24" customHeight="1" x14ac:dyDescent="0.25">
      <c r="A12456" s="700">
        <v>44698</v>
      </c>
      <c r="B12456" s="94" t="s">
        <v>6505</v>
      </c>
      <c r="C12456" s="94" t="s">
        <v>559</v>
      </c>
      <c r="D12456" s="802" t="s">
        <v>7885</v>
      </c>
      <c r="E12456" s="176"/>
      <c r="F12456" s="176">
        <v>475000</v>
      </c>
      <c r="G12456" s="176">
        <f t="shared" si="200"/>
        <v>475000</v>
      </c>
      <c r="H12456" s="702" t="s">
        <v>7878</v>
      </c>
    </row>
    <row r="12457" spans="1:8" ht="24" x14ac:dyDescent="0.2">
      <c r="A12457" s="700">
        <v>44699</v>
      </c>
      <c r="B12457" s="94" t="s">
        <v>1400</v>
      </c>
      <c r="C12457" s="94" t="s">
        <v>559</v>
      </c>
      <c r="D12457" s="925" t="s">
        <v>7885</v>
      </c>
      <c r="E12457" s="176"/>
      <c r="F12457" s="176">
        <v>100000</v>
      </c>
      <c r="G12457" s="176">
        <f t="shared" si="200"/>
        <v>100000</v>
      </c>
      <c r="H12457" s="702" t="s">
        <v>7878</v>
      </c>
    </row>
    <row r="12458" spans="1:8" ht="24" x14ac:dyDescent="0.2">
      <c r="A12458" s="700">
        <v>44699</v>
      </c>
      <c r="B12458" s="94" t="s">
        <v>1400</v>
      </c>
      <c r="C12458" s="94" t="s">
        <v>559</v>
      </c>
      <c r="D12458" s="925" t="s">
        <v>7885</v>
      </c>
      <c r="E12458" s="176"/>
      <c r="F12458" s="176">
        <v>125000</v>
      </c>
      <c r="G12458" s="176">
        <f t="shared" si="200"/>
        <v>125000</v>
      </c>
      <c r="H12458" s="702" t="s">
        <v>7878</v>
      </c>
    </row>
    <row r="12459" spans="1:8" ht="24" x14ac:dyDescent="0.2">
      <c r="A12459" s="700">
        <v>44701</v>
      </c>
      <c r="B12459" s="94" t="s">
        <v>7112</v>
      </c>
      <c r="C12459" s="94" t="s">
        <v>559</v>
      </c>
      <c r="D12459" s="802" t="s">
        <v>7895</v>
      </c>
      <c r="E12459" s="176"/>
      <c r="F12459" s="176">
        <v>2596197</v>
      </c>
      <c r="G12459" s="176">
        <f t="shared" si="200"/>
        <v>2596197</v>
      </c>
      <c r="H12459" s="702" t="s">
        <v>7878</v>
      </c>
    </row>
    <row r="12460" spans="1:8" ht="15" x14ac:dyDescent="0.2">
      <c r="A12460" s="723">
        <v>44713</v>
      </c>
      <c r="B12460" s="41" t="s">
        <v>4553</v>
      </c>
      <c r="C12460" s="63" t="s">
        <v>6476</v>
      </c>
      <c r="D12460" s="108" t="s">
        <v>1157</v>
      </c>
      <c r="E12460" s="126">
        <v>10000</v>
      </c>
      <c r="F12460" s="58"/>
      <c r="G12460" s="126">
        <f t="shared" si="200"/>
        <v>-10000</v>
      </c>
      <c r="H12460" s="705" t="s">
        <v>7910</v>
      </c>
    </row>
    <row r="12461" spans="1:8" ht="15" x14ac:dyDescent="0.2">
      <c r="A12461" s="723">
        <v>44713</v>
      </c>
      <c r="B12461" s="41" t="s">
        <v>3946</v>
      </c>
      <c r="C12461" s="63" t="s">
        <v>3145</v>
      </c>
      <c r="D12461" s="108" t="s">
        <v>7926</v>
      </c>
      <c r="E12461" s="126">
        <v>10500</v>
      </c>
      <c r="F12461" s="58"/>
      <c r="G12461" s="126">
        <f t="shared" si="200"/>
        <v>-10500</v>
      </c>
      <c r="H12461" s="705" t="s">
        <v>7910</v>
      </c>
    </row>
    <row r="12462" spans="1:8" ht="15" x14ac:dyDescent="0.2">
      <c r="A12462" s="723">
        <v>44713</v>
      </c>
      <c r="B12462" s="41" t="s">
        <v>7067</v>
      </c>
      <c r="C12462" s="63" t="s">
        <v>2190</v>
      </c>
      <c r="E12462" s="126">
        <v>1260</v>
      </c>
      <c r="F12462" s="58"/>
      <c r="G12462" s="126">
        <f t="shared" si="200"/>
        <v>-1260</v>
      </c>
      <c r="H12462" s="705" t="s">
        <v>7910</v>
      </c>
    </row>
    <row r="12463" spans="1:8" ht="24" x14ac:dyDescent="0.2">
      <c r="A12463" s="723">
        <v>44715</v>
      </c>
      <c r="B12463" s="63" t="s">
        <v>16</v>
      </c>
      <c r="C12463" s="63" t="s">
        <v>7929</v>
      </c>
      <c r="D12463" s="183" t="s">
        <v>7930</v>
      </c>
      <c r="E12463" s="126">
        <v>34780</v>
      </c>
      <c r="F12463" s="126"/>
      <c r="G12463" s="126">
        <f t="shared" si="200"/>
        <v>-34780</v>
      </c>
      <c r="H12463" s="705" t="s">
        <v>7910</v>
      </c>
    </row>
    <row r="12464" spans="1:8" ht="15" x14ac:dyDescent="0.2">
      <c r="A12464" s="723">
        <v>44715</v>
      </c>
      <c r="B12464" s="63" t="s">
        <v>1400</v>
      </c>
      <c r="C12464" s="63" t="s">
        <v>286</v>
      </c>
      <c r="D12464" s="183" t="s">
        <v>7931</v>
      </c>
      <c r="E12464" s="126">
        <v>1000</v>
      </c>
      <c r="F12464" s="126"/>
      <c r="G12464" s="126">
        <f t="shared" si="200"/>
        <v>-1000</v>
      </c>
      <c r="H12464" s="705" t="s">
        <v>7910</v>
      </c>
    </row>
    <row r="12465" spans="1:8" ht="15" x14ac:dyDescent="0.2">
      <c r="A12465" s="723">
        <v>44715</v>
      </c>
      <c r="B12465" s="63" t="s">
        <v>7657</v>
      </c>
      <c r="C12465" s="63" t="s">
        <v>286</v>
      </c>
      <c r="D12465" s="183" t="s">
        <v>7931</v>
      </c>
      <c r="E12465" s="126">
        <v>3000</v>
      </c>
      <c r="F12465" s="126"/>
      <c r="G12465" s="126">
        <f t="shared" si="200"/>
        <v>-3000</v>
      </c>
      <c r="H12465" s="705" t="s">
        <v>7910</v>
      </c>
    </row>
    <row r="12466" spans="1:8" ht="15" x14ac:dyDescent="0.2">
      <c r="A12466" s="723">
        <v>44715</v>
      </c>
      <c r="B12466" s="63" t="s">
        <v>37</v>
      </c>
      <c r="C12466" s="63" t="s">
        <v>286</v>
      </c>
      <c r="D12466" s="183" t="s">
        <v>7931</v>
      </c>
      <c r="E12466" s="126">
        <v>3000</v>
      </c>
      <c r="F12466" s="126"/>
      <c r="G12466" s="126">
        <f t="shared" si="200"/>
        <v>-3000</v>
      </c>
      <c r="H12466" s="705" t="s">
        <v>7910</v>
      </c>
    </row>
    <row r="12467" spans="1:8" ht="15" x14ac:dyDescent="0.2">
      <c r="A12467" s="723">
        <v>44715</v>
      </c>
      <c r="B12467" s="63" t="s">
        <v>2933</v>
      </c>
      <c r="C12467" s="63" t="s">
        <v>286</v>
      </c>
      <c r="D12467" s="183" t="s">
        <v>7931</v>
      </c>
      <c r="E12467" s="126">
        <v>2000</v>
      </c>
      <c r="F12467" s="126"/>
      <c r="G12467" s="126">
        <f t="shared" si="200"/>
        <v>-2000</v>
      </c>
      <c r="H12467" s="705" t="s">
        <v>7910</v>
      </c>
    </row>
    <row r="12468" spans="1:8" ht="15" x14ac:dyDescent="0.2">
      <c r="A12468" s="723">
        <v>44716</v>
      </c>
      <c r="B12468" s="63" t="s">
        <v>7921</v>
      </c>
      <c r="C12468" s="63" t="s">
        <v>2190</v>
      </c>
      <c r="D12468" s="183"/>
      <c r="E12468" s="126">
        <v>2210</v>
      </c>
      <c r="F12468" s="126"/>
      <c r="G12468" s="126">
        <f t="shared" si="200"/>
        <v>-2210</v>
      </c>
      <c r="H12468" s="705" t="s">
        <v>7910</v>
      </c>
    </row>
    <row r="12469" spans="1:8" ht="15" x14ac:dyDescent="0.2">
      <c r="A12469" s="723">
        <v>44716</v>
      </c>
      <c r="B12469" s="63" t="s">
        <v>6408</v>
      </c>
      <c r="C12469" s="63" t="s">
        <v>392</v>
      </c>
      <c r="D12469" s="183" t="s">
        <v>7932</v>
      </c>
      <c r="E12469" s="126">
        <v>25000</v>
      </c>
      <c r="F12469" s="126"/>
      <c r="G12469" s="126">
        <f t="shared" si="200"/>
        <v>-25000</v>
      </c>
      <c r="H12469" s="705" t="s">
        <v>7910</v>
      </c>
    </row>
    <row r="12470" spans="1:8" ht="15" x14ac:dyDescent="0.2">
      <c r="A12470" s="723">
        <v>44716</v>
      </c>
      <c r="B12470" s="63" t="s">
        <v>7921</v>
      </c>
      <c r="C12470" s="63" t="s">
        <v>3145</v>
      </c>
      <c r="D12470" s="183" t="s">
        <v>7933</v>
      </c>
      <c r="E12470" s="126">
        <v>1920</v>
      </c>
      <c r="F12470" s="126"/>
      <c r="G12470" s="126">
        <f t="shared" si="200"/>
        <v>-1920</v>
      </c>
      <c r="H12470" s="705" t="s">
        <v>7910</v>
      </c>
    </row>
    <row r="12471" spans="1:8" ht="15" x14ac:dyDescent="0.2">
      <c r="A12471" s="723">
        <v>44716</v>
      </c>
      <c r="B12471" s="63" t="s">
        <v>16</v>
      </c>
      <c r="C12471" s="63" t="s">
        <v>2996</v>
      </c>
      <c r="D12471" s="183"/>
      <c r="E12471" s="126">
        <v>11000</v>
      </c>
      <c r="F12471" s="126"/>
      <c r="G12471" s="126">
        <f t="shared" si="200"/>
        <v>-11000</v>
      </c>
      <c r="H12471" s="705" t="s">
        <v>7910</v>
      </c>
    </row>
    <row r="12472" spans="1:8" ht="15" x14ac:dyDescent="0.2">
      <c r="A12472" s="723">
        <v>44716</v>
      </c>
      <c r="B12472" s="63" t="s">
        <v>6505</v>
      </c>
      <c r="C12472" s="63" t="s">
        <v>3145</v>
      </c>
      <c r="D12472" s="183" t="s">
        <v>4450</v>
      </c>
      <c r="E12472" s="126">
        <v>21920</v>
      </c>
      <c r="F12472" s="126"/>
      <c r="G12472" s="126">
        <f t="shared" si="200"/>
        <v>-21920</v>
      </c>
      <c r="H12472" s="705" t="s">
        <v>7910</v>
      </c>
    </row>
    <row r="12473" spans="1:8" ht="15" x14ac:dyDescent="0.2">
      <c r="A12473" s="723">
        <v>44718</v>
      </c>
      <c r="B12473" s="63" t="s">
        <v>7921</v>
      </c>
      <c r="C12473" s="63" t="s">
        <v>5741</v>
      </c>
      <c r="D12473" s="183"/>
      <c r="E12473" s="126">
        <v>1500</v>
      </c>
      <c r="F12473" s="126"/>
      <c r="G12473" s="126">
        <f t="shared" si="200"/>
        <v>-1500</v>
      </c>
      <c r="H12473" s="705" t="s">
        <v>7910</v>
      </c>
    </row>
    <row r="12474" spans="1:8" ht="15" x14ac:dyDescent="0.2">
      <c r="A12474" s="723">
        <v>44718</v>
      </c>
      <c r="B12474" s="63" t="s">
        <v>4553</v>
      </c>
      <c r="C12474" s="63" t="s">
        <v>6378</v>
      </c>
      <c r="D12474" s="183" t="s">
        <v>7934</v>
      </c>
      <c r="E12474" s="126">
        <v>5000</v>
      </c>
      <c r="F12474" s="126"/>
      <c r="G12474" s="126">
        <f t="shared" si="200"/>
        <v>-5000</v>
      </c>
      <c r="H12474" s="705" t="s">
        <v>7910</v>
      </c>
    </row>
    <row r="12475" spans="1:8" ht="15" x14ac:dyDescent="0.2">
      <c r="A12475" s="723">
        <v>44718</v>
      </c>
      <c r="B12475" s="63" t="s">
        <v>1400</v>
      </c>
      <c r="C12475" s="63" t="s">
        <v>3145</v>
      </c>
      <c r="D12475" s="183" t="s">
        <v>6844</v>
      </c>
      <c r="E12475" s="126">
        <v>500</v>
      </c>
      <c r="F12475" s="126"/>
      <c r="G12475" s="126">
        <f t="shared" si="200"/>
        <v>-500</v>
      </c>
      <c r="H12475" s="705" t="s">
        <v>7910</v>
      </c>
    </row>
    <row r="12476" spans="1:8" ht="15" x14ac:dyDescent="0.2">
      <c r="A12476" s="723">
        <v>44721</v>
      </c>
      <c r="B12476" s="63" t="s">
        <v>7921</v>
      </c>
      <c r="C12476" s="63" t="s">
        <v>7949</v>
      </c>
      <c r="D12476" s="183" t="s">
        <v>7950</v>
      </c>
      <c r="E12476" s="126">
        <v>12000</v>
      </c>
      <c r="F12476" s="126"/>
      <c r="G12476" s="126">
        <f t="shared" si="200"/>
        <v>-12000</v>
      </c>
      <c r="H12476" s="705" t="s">
        <v>7910</v>
      </c>
    </row>
    <row r="12477" spans="1:8" ht="15" x14ac:dyDescent="0.2">
      <c r="A12477" s="723">
        <v>44721</v>
      </c>
      <c r="B12477" s="63" t="s">
        <v>1400</v>
      </c>
      <c r="C12477" s="63" t="s">
        <v>7859</v>
      </c>
      <c r="D12477" s="183" t="s">
        <v>7951</v>
      </c>
      <c r="E12477" s="126">
        <v>4000</v>
      </c>
      <c r="F12477" s="126"/>
      <c r="G12477" s="126">
        <f t="shared" si="200"/>
        <v>-4000</v>
      </c>
      <c r="H12477" s="705" t="s">
        <v>7910</v>
      </c>
    </row>
    <row r="12478" spans="1:8" ht="15" x14ac:dyDescent="0.2">
      <c r="A12478" s="723">
        <v>44721</v>
      </c>
      <c r="B12478" s="63" t="s">
        <v>1400</v>
      </c>
      <c r="C12478" s="63" t="s">
        <v>778</v>
      </c>
      <c r="D12478" s="183" t="s">
        <v>7952</v>
      </c>
      <c r="E12478" s="126">
        <v>3500</v>
      </c>
      <c r="F12478" s="126"/>
      <c r="G12478" s="126">
        <f t="shared" si="200"/>
        <v>-3500</v>
      </c>
      <c r="H12478" s="705" t="s">
        <v>7910</v>
      </c>
    </row>
    <row r="12479" spans="1:8" ht="15" x14ac:dyDescent="0.2">
      <c r="A12479" s="723">
        <v>44720</v>
      </c>
      <c r="B12479" s="41" t="s">
        <v>16</v>
      </c>
      <c r="C12479" s="41" t="s">
        <v>3364</v>
      </c>
      <c r="D12479" s="108" t="s">
        <v>370</v>
      </c>
      <c r="E12479" s="58">
        <v>4235</v>
      </c>
      <c r="F12479" s="58"/>
      <c r="G12479" s="58">
        <f t="shared" si="200"/>
        <v>-4235</v>
      </c>
      <c r="H12479" s="705" t="s">
        <v>7910</v>
      </c>
    </row>
    <row r="12480" spans="1:8" ht="15" x14ac:dyDescent="0.2">
      <c r="A12480" s="723">
        <v>44722</v>
      </c>
      <c r="B12480" s="41" t="s">
        <v>7953</v>
      </c>
      <c r="C12480" s="41" t="s">
        <v>7954</v>
      </c>
      <c r="D12480" s="108" t="s">
        <v>7955</v>
      </c>
      <c r="E12480" s="58">
        <v>750000</v>
      </c>
      <c r="F12480" s="58"/>
      <c r="G12480" s="58">
        <f t="shared" si="200"/>
        <v>-750000</v>
      </c>
      <c r="H12480" s="705" t="s">
        <v>7910</v>
      </c>
    </row>
    <row r="12481" spans="1:8" ht="15" x14ac:dyDescent="0.2">
      <c r="A12481" s="723">
        <v>44722</v>
      </c>
      <c r="B12481" s="41" t="s">
        <v>7953</v>
      </c>
      <c r="C12481" s="41" t="s">
        <v>7954</v>
      </c>
      <c r="D12481" s="108" t="s">
        <v>7956</v>
      </c>
      <c r="E12481" s="58">
        <v>1000000</v>
      </c>
      <c r="F12481" s="58"/>
      <c r="G12481" s="58">
        <f t="shared" si="200"/>
        <v>-1000000</v>
      </c>
      <c r="H12481" s="705" t="s">
        <v>7910</v>
      </c>
    </row>
    <row r="12482" spans="1:8" ht="15" x14ac:dyDescent="0.2">
      <c r="A12482" s="723">
        <v>44722</v>
      </c>
      <c r="B12482" s="41" t="s">
        <v>16</v>
      </c>
      <c r="C12482" s="41" t="s">
        <v>1495</v>
      </c>
      <c r="E12482" s="58">
        <v>1300</v>
      </c>
      <c r="F12482" s="58"/>
      <c r="G12482" s="58">
        <f t="shared" si="200"/>
        <v>-1300</v>
      </c>
      <c r="H12482" s="705" t="s">
        <v>7910</v>
      </c>
    </row>
    <row r="12483" spans="1:8" ht="15" x14ac:dyDescent="0.2">
      <c r="A12483" s="723">
        <v>44722</v>
      </c>
      <c r="B12483" s="41" t="s">
        <v>7921</v>
      </c>
      <c r="C12483" s="41" t="s">
        <v>3145</v>
      </c>
      <c r="D12483" s="108" t="s">
        <v>7957</v>
      </c>
      <c r="E12483" s="58">
        <v>6050</v>
      </c>
      <c r="F12483" s="58"/>
      <c r="G12483" s="58">
        <f t="shared" si="200"/>
        <v>-6050</v>
      </c>
      <c r="H12483" s="705" t="s">
        <v>7910</v>
      </c>
    </row>
    <row r="12484" spans="1:8" ht="15" x14ac:dyDescent="0.2">
      <c r="A12484" s="723">
        <v>44723</v>
      </c>
      <c r="B12484" s="41" t="s">
        <v>3733</v>
      </c>
      <c r="C12484" s="41" t="s">
        <v>3145</v>
      </c>
      <c r="D12484" s="108" t="s">
        <v>6699</v>
      </c>
      <c r="E12484" s="58">
        <v>23370</v>
      </c>
      <c r="F12484" s="58"/>
      <c r="G12484" s="58">
        <f t="shared" si="200"/>
        <v>-23370</v>
      </c>
      <c r="H12484" s="705" t="s">
        <v>7910</v>
      </c>
    </row>
    <row r="12485" spans="1:8" ht="15" x14ac:dyDescent="0.2">
      <c r="A12485" s="723">
        <v>44723</v>
      </c>
      <c r="B12485" s="41" t="s">
        <v>3945</v>
      </c>
      <c r="C12485" s="41" t="s">
        <v>3145</v>
      </c>
      <c r="D12485" s="108" t="s">
        <v>6699</v>
      </c>
      <c r="E12485" s="58">
        <v>10150</v>
      </c>
      <c r="F12485" s="58"/>
      <c r="G12485" s="58">
        <f t="shared" ref="G12485:G12548" si="201">F12485-E12485</f>
        <v>-10150</v>
      </c>
      <c r="H12485" s="705" t="s">
        <v>7910</v>
      </c>
    </row>
    <row r="12486" spans="1:8" ht="15" x14ac:dyDescent="0.2">
      <c r="A12486" s="723">
        <v>44723</v>
      </c>
      <c r="B12486" s="41" t="s">
        <v>3733</v>
      </c>
      <c r="C12486" s="41" t="s">
        <v>3145</v>
      </c>
      <c r="D12486" s="108" t="s">
        <v>6699</v>
      </c>
      <c r="E12486" s="58">
        <v>18620</v>
      </c>
      <c r="F12486" s="58"/>
      <c r="G12486" s="58">
        <f t="shared" si="201"/>
        <v>-18620</v>
      </c>
      <c r="H12486" s="705" t="s">
        <v>7910</v>
      </c>
    </row>
    <row r="12487" spans="1:8" ht="15" x14ac:dyDescent="0.2">
      <c r="A12487" s="723">
        <v>44723</v>
      </c>
      <c r="B12487" s="41" t="s">
        <v>3733</v>
      </c>
      <c r="C12487" s="41" t="s">
        <v>3145</v>
      </c>
      <c r="D12487" s="108" t="s">
        <v>6699</v>
      </c>
      <c r="E12487" s="58">
        <v>19315</v>
      </c>
      <c r="F12487" s="58"/>
      <c r="G12487" s="58">
        <f t="shared" si="201"/>
        <v>-19315</v>
      </c>
      <c r="H12487" s="705" t="s">
        <v>7910</v>
      </c>
    </row>
    <row r="12488" spans="1:8" ht="15" x14ac:dyDescent="0.2">
      <c r="A12488" s="723">
        <v>44724</v>
      </c>
      <c r="B12488" s="41" t="s">
        <v>3946</v>
      </c>
      <c r="C12488" s="41" t="s">
        <v>3145</v>
      </c>
      <c r="D12488" s="108" t="s">
        <v>6577</v>
      </c>
      <c r="E12488" s="58">
        <v>6440</v>
      </c>
      <c r="F12488" s="58"/>
      <c r="G12488" s="58">
        <f t="shared" si="201"/>
        <v>-6440</v>
      </c>
      <c r="H12488" s="705" t="s">
        <v>7910</v>
      </c>
    </row>
    <row r="12489" spans="1:8" ht="15" x14ac:dyDescent="0.2">
      <c r="A12489" s="723">
        <v>44724</v>
      </c>
      <c r="B12489" s="41" t="s">
        <v>2933</v>
      </c>
      <c r="C12489" s="41" t="s">
        <v>392</v>
      </c>
      <c r="D12489" s="108" t="s">
        <v>5755</v>
      </c>
      <c r="E12489" s="58">
        <v>1320</v>
      </c>
      <c r="F12489" s="58"/>
      <c r="G12489" s="58">
        <f t="shared" si="201"/>
        <v>-1320</v>
      </c>
      <c r="H12489" s="705" t="s">
        <v>7910</v>
      </c>
    </row>
    <row r="12490" spans="1:8" ht="15" x14ac:dyDescent="0.2">
      <c r="A12490" s="723">
        <v>44725</v>
      </c>
      <c r="B12490" s="41" t="s">
        <v>7953</v>
      </c>
      <c r="C12490" s="41" t="s">
        <v>5741</v>
      </c>
      <c r="E12490" s="58">
        <v>3500</v>
      </c>
      <c r="F12490" s="58"/>
      <c r="G12490" s="58">
        <f t="shared" si="201"/>
        <v>-3500</v>
      </c>
      <c r="H12490" s="705" t="s">
        <v>7910</v>
      </c>
    </row>
    <row r="12491" spans="1:8" ht="15" x14ac:dyDescent="0.2">
      <c r="A12491" s="723">
        <v>44726</v>
      </c>
      <c r="B12491" s="41" t="s">
        <v>25</v>
      </c>
      <c r="C12491" s="41" t="s">
        <v>2428</v>
      </c>
      <c r="D12491" s="108" t="s">
        <v>2108</v>
      </c>
      <c r="E12491" s="58">
        <v>5000</v>
      </c>
      <c r="F12491" s="58"/>
      <c r="G12491" s="58">
        <f t="shared" si="201"/>
        <v>-5000</v>
      </c>
      <c r="H12491" s="705" t="s">
        <v>7910</v>
      </c>
    </row>
    <row r="12492" spans="1:8" ht="15" x14ac:dyDescent="0.2">
      <c r="A12492" s="723">
        <v>44726</v>
      </c>
      <c r="B12492" s="41" t="s">
        <v>7953</v>
      </c>
      <c r="C12492" s="41" t="s">
        <v>2002</v>
      </c>
      <c r="E12492" s="58">
        <v>2000</v>
      </c>
      <c r="F12492" s="58"/>
      <c r="G12492" s="58">
        <f t="shared" si="201"/>
        <v>-2000</v>
      </c>
      <c r="H12492" s="705" t="s">
        <v>7910</v>
      </c>
    </row>
    <row r="12493" spans="1:8" ht="15" x14ac:dyDescent="0.2">
      <c r="A12493" s="723">
        <v>44726</v>
      </c>
      <c r="B12493" s="41" t="s">
        <v>16</v>
      </c>
      <c r="C12493" s="41" t="s">
        <v>392</v>
      </c>
      <c r="D12493" s="108" t="s">
        <v>7967</v>
      </c>
      <c r="E12493" s="58">
        <v>8235</v>
      </c>
      <c r="F12493" s="58"/>
      <c r="G12493" s="58">
        <f t="shared" si="201"/>
        <v>-8235</v>
      </c>
      <c r="H12493" s="705" t="s">
        <v>7910</v>
      </c>
    </row>
    <row r="12494" spans="1:8" ht="15" x14ac:dyDescent="0.2">
      <c r="A12494" s="723">
        <v>44727</v>
      </c>
      <c r="B12494" s="41" t="s">
        <v>7953</v>
      </c>
      <c r="C12494" s="41" t="s">
        <v>392</v>
      </c>
      <c r="D12494" s="108" t="s">
        <v>7968</v>
      </c>
      <c r="E12494" s="58">
        <v>1000</v>
      </c>
      <c r="F12494" s="58"/>
      <c r="G12494" s="58">
        <f t="shared" si="201"/>
        <v>-1000</v>
      </c>
      <c r="H12494" s="705" t="s">
        <v>7910</v>
      </c>
    </row>
    <row r="12495" spans="1:8" ht="15" x14ac:dyDescent="0.2">
      <c r="A12495" s="723">
        <v>44727</v>
      </c>
      <c r="B12495" s="41" t="s">
        <v>25</v>
      </c>
      <c r="C12495" s="41" t="s">
        <v>2428</v>
      </c>
      <c r="D12495" s="108" t="s">
        <v>7969</v>
      </c>
      <c r="E12495" s="58">
        <v>25000</v>
      </c>
      <c r="F12495" s="58"/>
      <c r="G12495" s="58">
        <f t="shared" si="201"/>
        <v>-25000</v>
      </c>
      <c r="H12495" s="705" t="s">
        <v>7910</v>
      </c>
    </row>
    <row r="12496" spans="1:8" ht="15" x14ac:dyDescent="0.2">
      <c r="A12496" s="723">
        <v>44727</v>
      </c>
      <c r="B12496" s="41" t="s">
        <v>1400</v>
      </c>
      <c r="C12496" s="41" t="s">
        <v>3145</v>
      </c>
      <c r="D12496" s="108" t="s">
        <v>4694</v>
      </c>
      <c r="E12496" s="58">
        <v>2535</v>
      </c>
      <c r="F12496" s="58"/>
      <c r="G12496" s="58">
        <f t="shared" si="201"/>
        <v>-2535</v>
      </c>
      <c r="H12496" s="705" t="s">
        <v>7910</v>
      </c>
    </row>
    <row r="12497" spans="1:8" ht="15" x14ac:dyDescent="0.2">
      <c r="A12497" s="723">
        <v>44727</v>
      </c>
      <c r="B12497" s="41" t="s">
        <v>1400</v>
      </c>
      <c r="C12497" s="41" t="s">
        <v>3145</v>
      </c>
      <c r="D12497" s="108" t="s">
        <v>7970</v>
      </c>
      <c r="E12497" s="58">
        <v>1000</v>
      </c>
      <c r="F12497" s="58"/>
      <c r="G12497" s="58">
        <f t="shared" si="201"/>
        <v>-1000</v>
      </c>
      <c r="H12497" s="705" t="s">
        <v>7910</v>
      </c>
    </row>
    <row r="12498" spans="1:8" ht="15" x14ac:dyDescent="0.2">
      <c r="A12498" s="723">
        <v>44727</v>
      </c>
      <c r="B12498" s="41" t="s">
        <v>2933</v>
      </c>
      <c r="C12498" s="41" t="s">
        <v>286</v>
      </c>
      <c r="D12498" s="108" t="s">
        <v>7971</v>
      </c>
      <c r="E12498" s="58">
        <v>1500</v>
      </c>
      <c r="F12498" s="58"/>
      <c r="G12498" s="58">
        <f t="shared" si="201"/>
        <v>-1500</v>
      </c>
      <c r="H12498" s="705" t="s">
        <v>7910</v>
      </c>
    </row>
    <row r="12499" spans="1:8" ht="15" x14ac:dyDescent="0.2">
      <c r="A12499" s="723">
        <v>44727</v>
      </c>
      <c r="B12499" s="41" t="s">
        <v>37</v>
      </c>
      <c r="C12499" s="41" t="s">
        <v>286</v>
      </c>
      <c r="D12499" s="108" t="s">
        <v>7971</v>
      </c>
      <c r="E12499" s="58">
        <v>2000</v>
      </c>
      <c r="F12499" s="58"/>
      <c r="G12499" s="58">
        <f t="shared" si="201"/>
        <v>-2000</v>
      </c>
      <c r="H12499" s="705" t="s">
        <v>7910</v>
      </c>
    </row>
    <row r="12500" spans="1:8" ht="15" customHeight="1" x14ac:dyDescent="0.2">
      <c r="A12500" s="723">
        <v>44728</v>
      </c>
      <c r="B12500" s="41" t="s">
        <v>1400</v>
      </c>
      <c r="C12500" s="41" t="s">
        <v>7972</v>
      </c>
      <c r="D12500" s="108" t="s">
        <v>7973</v>
      </c>
      <c r="E12500" s="58">
        <v>40000</v>
      </c>
      <c r="F12500" s="58"/>
      <c r="G12500" s="58">
        <f t="shared" si="201"/>
        <v>-40000</v>
      </c>
      <c r="H12500" s="705" t="s">
        <v>7910</v>
      </c>
    </row>
    <row r="12501" spans="1:8" ht="15" customHeight="1" x14ac:dyDescent="0.2">
      <c r="A12501" s="723">
        <v>44728</v>
      </c>
      <c r="B12501" s="41" t="s">
        <v>1400</v>
      </c>
      <c r="C12501" s="41" t="s">
        <v>3145</v>
      </c>
      <c r="D12501" s="108" t="s">
        <v>7974</v>
      </c>
      <c r="E12501" s="58">
        <v>1010</v>
      </c>
      <c r="F12501" s="58"/>
      <c r="G12501" s="58">
        <f t="shared" si="201"/>
        <v>-1010</v>
      </c>
      <c r="H12501" s="705" t="s">
        <v>7910</v>
      </c>
    </row>
    <row r="12502" spans="1:8" ht="15" x14ac:dyDescent="0.2">
      <c r="A12502" s="723">
        <v>44728</v>
      </c>
      <c r="B12502" s="41" t="s">
        <v>7921</v>
      </c>
      <c r="C12502" s="41" t="s">
        <v>2190</v>
      </c>
      <c r="E12502" s="58">
        <v>2040</v>
      </c>
      <c r="F12502" s="58"/>
      <c r="G12502" s="58">
        <f t="shared" si="201"/>
        <v>-2040</v>
      </c>
      <c r="H12502" s="705" t="s">
        <v>7910</v>
      </c>
    </row>
    <row r="12503" spans="1:8" ht="15" x14ac:dyDescent="0.2">
      <c r="A12503" s="723">
        <v>44728</v>
      </c>
      <c r="B12503" s="41" t="s">
        <v>4553</v>
      </c>
      <c r="C12503" s="41" t="s">
        <v>6378</v>
      </c>
      <c r="D12503" s="108" t="s">
        <v>7975</v>
      </c>
      <c r="E12503" s="58">
        <v>5000</v>
      </c>
      <c r="F12503" s="58"/>
      <c r="G12503" s="58">
        <f t="shared" si="201"/>
        <v>-5000</v>
      </c>
      <c r="H12503" s="705" t="s">
        <v>7910</v>
      </c>
    </row>
    <row r="12504" spans="1:8" ht="15" x14ac:dyDescent="0.2">
      <c r="A12504" s="723">
        <v>44728</v>
      </c>
      <c r="B12504" s="41" t="s">
        <v>16</v>
      </c>
      <c r="C12504" s="41" t="s">
        <v>103</v>
      </c>
      <c r="D12504" s="108" t="s">
        <v>7976</v>
      </c>
      <c r="E12504" s="58">
        <v>32837</v>
      </c>
      <c r="F12504" s="58"/>
      <c r="G12504" s="58">
        <f t="shared" si="201"/>
        <v>-32837</v>
      </c>
      <c r="H12504" s="705" t="s">
        <v>7910</v>
      </c>
    </row>
    <row r="12505" spans="1:8" ht="15" x14ac:dyDescent="0.2">
      <c r="A12505" s="723">
        <v>44728</v>
      </c>
      <c r="B12505" s="41" t="s">
        <v>37</v>
      </c>
      <c r="C12505" s="41" t="s">
        <v>392</v>
      </c>
      <c r="D12505" s="108" t="s">
        <v>5755</v>
      </c>
      <c r="E12505" s="58">
        <v>2000</v>
      </c>
      <c r="F12505" s="58"/>
      <c r="G12505" s="58">
        <f t="shared" si="201"/>
        <v>-2000</v>
      </c>
      <c r="H12505" s="705" t="s">
        <v>7910</v>
      </c>
    </row>
    <row r="12506" spans="1:8" ht="15" x14ac:dyDescent="0.2">
      <c r="A12506" s="723">
        <v>44728</v>
      </c>
      <c r="B12506" s="41" t="s">
        <v>7953</v>
      </c>
      <c r="C12506" s="41" t="s">
        <v>286</v>
      </c>
      <c r="D12506" s="108" t="s">
        <v>7977</v>
      </c>
      <c r="E12506" s="58">
        <v>200</v>
      </c>
      <c r="F12506" s="58"/>
      <c r="G12506" s="58">
        <f t="shared" si="201"/>
        <v>-200</v>
      </c>
      <c r="H12506" s="705" t="s">
        <v>7910</v>
      </c>
    </row>
    <row r="12507" spans="1:8" ht="15" x14ac:dyDescent="0.2">
      <c r="A12507" s="723">
        <v>44728</v>
      </c>
      <c r="B12507" s="41" t="s">
        <v>25</v>
      </c>
      <c r="C12507" s="41" t="s">
        <v>4065</v>
      </c>
      <c r="D12507" s="108" t="s">
        <v>1756</v>
      </c>
      <c r="E12507" s="58">
        <v>650</v>
      </c>
      <c r="F12507" s="58"/>
      <c r="G12507" s="58">
        <f t="shared" si="201"/>
        <v>-650</v>
      </c>
      <c r="H12507" s="705" t="s">
        <v>7910</v>
      </c>
    </row>
    <row r="12508" spans="1:8" ht="15" x14ac:dyDescent="0.2">
      <c r="A12508" s="723">
        <v>44728</v>
      </c>
      <c r="B12508" s="41" t="s">
        <v>16</v>
      </c>
      <c r="C12508" s="41" t="s">
        <v>1689</v>
      </c>
      <c r="D12508" s="108" t="s">
        <v>370</v>
      </c>
      <c r="E12508" s="58">
        <v>1000</v>
      </c>
      <c r="F12508" s="58"/>
      <c r="G12508" s="58">
        <f t="shared" si="201"/>
        <v>-1000</v>
      </c>
      <c r="H12508" s="705" t="s">
        <v>7910</v>
      </c>
    </row>
    <row r="12509" spans="1:8" ht="15" x14ac:dyDescent="0.2">
      <c r="A12509" s="723">
        <v>44728</v>
      </c>
      <c r="B12509" s="41" t="s">
        <v>7953</v>
      </c>
      <c r="C12509" s="41" t="s">
        <v>392</v>
      </c>
      <c r="D12509" s="108" t="s">
        <v>6335</v>
      </c>
      <c r="E12509" s="58">
        <v>850</v>
      </c>
      <c r="F12509" s="58"/>
      <c r="G12509" s="58">
        <f t="shared" si="201"/>
        <v>-850</v>
      </c>
      <c r="H12509" s="705" t="s">
        <v>7910</v>
      </c>
    </row>
    <row r="12510" spans="1:8" ht="15" x14ac:dyDescent="0.2">
      <c r="A12510" s="723">
        <v>44728</v>
      </c>
      <c r="B12510" s="41" t="s">
        <v>16</v>
      </c>
      <c r="C12510" s="41" t="s">
        <v>286</v>
      </c>
      <c r="D12510" s="108" t="s">
        <v>7978</v>
      </c>
      <c r="E12510" s="58">
        <v>350</v>
      </c>
      <c r="F12510" s="58"/>
      <c r="G12510" s="58">
        <f t="shared" si="201"/>
        <v>-350</v>
      </c>
      <c r="H12510" s="705" t="s">
        <v>7910</v>
      </c>
    </row>
    <row r="12511" spans="1:8" ht="15" x14ac:dyDescent="0.2">
      <c r="A12511" s="723">
        <v>44728</v>
      </c>
      <c r="B12511" s="41" t="s">
        <v>7921</v>
      </c>
      <c r="C12511" s="41" t="s">
        <v>5741</v>
      </c>
      <c r="D12511" s="108" t="s">
        <v>2002</v>
      </c>
      <c r="E12511" s="58">
        <v>1800</v>
      </c>
      <c r="F12511" s="58"/>
      <c r="G12511" s="58">
        <f t="shared" si="201"/>
        <v>-1800</v>
      </c>
      <c r="H12511" s="705" t="s">
        <v>7910</v>
      </c>
    </row>
    <row r="12512" spans="1:8" ht="15" x14ac:dyDescent="0.2">
      <c r="A12512" s="723">
        <v>44728</v>
      </c>
      <c r="B12512" s="41" t="s">
        <v>1400</v>
      </c>
      <c r="C12512" s="41" t="s">
        <v>2796</v>
      </c>
      <c r="D12512" s="108" t="s">
        <v>7979</v>
      </c>
      <c r="E12512" s="58">
        <v>1000</v>
      </c>
      <c r="F12512" s="58"/>
      <c r="G12512" s="58">
        <f t="shared" si="201"/>
        <v>-1000</v>
      </c>
      <c r="H12512" s="705" t="s">
        <v>7910</v>
      </c>
    </row>
    <row r="12513" spans="1:8" ht="15" x14ac:dyDescent="0.2">
      <c r="A12513" s="723">
        <v>44728</v>
      </c>
      <c r="B12513" s="41" t="s">
        <v>1691</v>
      </c>
      <c r="C12513" s="41" t="s">
        <v>1689</v>
      </c>
      <c r="D12513" s="108" t="s">
        <v>370</v>
      </c>
      <c r="E12513" s="58">
        <v>464</v>
      </c>
      <c r="F12513" s="58"/>
      <c r="G12513" s="58">
        <f t="shared" si="201"/>
        <v>-464</v>
      </c>
      <c r="H12513" s="705" t="s">
        <v>7910</v>
      </c>
    </row>
    <row r="12514" spans="1:8" ht="15" x14ac:dyDescent="0.2">
      <c r="A12514" s="723">
        <v>44728</v>
      </c>
      <c r="B12514" s="41" t="s">
        <v>16</v>
      </c>
      <c r="C12514" s="41" t="s">
        <v>286</v>
      </c>
      <c r="D12514" s="108" t="s">
        <v>7978</v>
      </c>
      <c r="E12514" s="58">
        <v>150</v>
      </c>
      <c r="F12514" s="58"/>
      <c r="G12514" s="58">
        <f t="shared" si="201"/>
        <v>-150</v>
      </c>
      <c r="H12514" s="705" t="s">
        <v>7910</v>
      </c>
    </row>
    <row r="12515" spans="1:8" ht="15" x14ac:dyDescent="0.2">
      <c r="A12515" s="723">
        <v>44728</v>
      </c>
      <c r="B12515" s="41" t="s">
        <v>6518</v>
      </c>
      <c r="C12515" s="41" t="s">
        <v>3145</v>
      </c>
      <c r="D12515" s="108" t="s">
        <v>7980</v>
      </c>
      <c r="E12515" s="58">
        <v>300</v>
      </c>
      <c r="F12515" s="58"/>
      <c r="G12515" s="58">
        <f t="shared" si="201"/>
        <v>-300</v>
      </c>
      <c r="H12515" s="705" t="s">
        <v>7910</v>
      </c>
    </row>
    <row r="12516" spans="1:8" ht="15" x14ac:dyDescent="0.2">
      <c r="A12516" s="723">
        <v>44730</v>
      </c>
      <c r="B12516" s="41" t="s">
        <v>6508</v>
      </c>
      <c r="C12516" s="41" t="s">
        <v>392</v>
      </c>
      <c r="D12516" s="108" t="s">
        <v>7981</v>
      </c>
      <c r="E12516" s="58">
        <v>24000</v>
      </c>
      <c r="F12516" s="58"/>
      <c r="G12516" s="58">
        <f t="shared" si="201"/>
        <v>-24000</v>
      </c>
      <c r="H12516" s="705" t="s">
        <v>7910</v>
      </c>
    </row>
    <row r="12517" spans="1:8" ht="15" x14ac:dyDescent="0.2">
      <c r="A12517" s="723">
        <v>44732</v>
      </c>
      <c r="B12517" s="41" t="s">
        <v>25</v>
      </c>
      <c r="C12517" s="41" t="s">
        <v>1689</v>
      </c>
      <c r="D12517" s="108" t="s">
        <v>7982</v>
      </c>
      <c r="E12517" s="58">
        <v>56781</v>
      </c>
      <c r="F12517" s="58"/>
      <c r="G12517" s="58">
        <f t="shared" si="201"/>
        <v>-56781</v>
      </c>
      <c r="H12517" s="705" t="s">
        <v>7910</v>
      </c>
    </row>
    <row r="12518" spans="1:8" ht="15" x14ac:dyDescent="0.2">
      <c r="A12518" s="723">
        <v>44732</v>
      </c>
      <c r="B12518" s="41" t="s">
        <v>16</v>
      </c>
      <c r="C12518" s="41" t="s">
        <v>1689</v>
      </c>
      <c r="D12518" s="108" t="s">
        <v>7982</v>
      </c>
      <c r="E12518" s="58">
        <v>17537</v>
      </c>
      <c r="F12518" s="58"/>
      <c r="G12518" s="58">
        <f t="shared" si="201"/>
        <v>-17537</v>
      </c>
      <c r="H12518" s="705" t="s">
        <v>7910</v>
      </c>
    </row>
    <row r="12519" spans="1:8" ht="15" x14ac:dyDescent="0.2">
      <c r="A12519" s="723">
        <v>44732</v>
      </c>
      <c r="B12519" s="41" t="s">
        <v>6953</v>
      </c>
      <c r="C12519" s="41" t="s">
        <v>392</v>
      </c>
      <c r="D12519" s="108" t="s">
        <v>7983</v>
      </c>
      <c r="E12519" s="58">
        <v>70000</v>
      </c>
      <c r="F12519" s="58"/>
      <c r="G12519" s="58">
        <f t="shared" si="201"/>
        <v>-70000</v>
      </c>
      <c r="H12519" s="705" t="s">
        <v>7910</v>
      </c>
    </row>
    <row r="12520" spans="1:8" ht="15" x14ac:dyDescent="0.2">
      <c r="A12520" s="723">
        <v>44732</v>
      </c>
      <c r="B12520" s="41" t="s">
        <v>1400</v>
      </c>
      <c r="C12520" s="41" t="s">
        <v>392</v>
      </c>
      <c r="D12520" s="108" t="s">
        <v>7984</v>
      </c>
      <c r="E12520" s="58">
        <v>3000</v>
      </c>
      <c r="F12520" s="58"/>
      <c r="G12520" s="58">
        <f t="shared" si="201"/>
        <v>-3000</v>
      </c>
      <c r="H12520" s="705" t="s">
        <v>7910</v>
      </c>
    </row>
    <row r="12521" spans="1:8" ht="15" x14ac:dyDescent="0.2">
      <c r="A12521" s="723">
        <v>44732</v>
      </c>
      <c r="B12521" s="41" t="s">
        <v>1400</v>
      </c>
      <c r="C12521" s="41" t="s">
        <v>392</v>
      </c>
      <c r="D12521" s="108" t="s">
        <v>7985</v>
      </c>
      <c r="E12521" s="58">
        <v>2000</v>
      </c>
      <c r="F12521" s="58"/>
      <c r="G12521" s="58">
        <f t="shared" si="201"/>
        <v>-2000</v>
      </c>
      <c r="H12521" s="705" t="s">
        <v>7910</v>
      </c>
    </row>
    <row r="12522" spans="1:8" ht="15" x14ac:dyDescent="0.2">
      <c r="A12522" s="723">
        <v>44732</v>
      </c>
      <c r="B12522" s="41" t="s">
        <v>7817</v>
      </c>
      <c r="C12522" s="41" t="s">
        <v>3145</v>
      </c>
      <c r="D12522" s="108" t="s">
        <v>7986</v>
      </c>
      <c r="E12522" s="58">
        <v>1760</v>
      </c>
      <c r="F12522" s="58"/>
      <c r="G12522" s="58">
        <f t="shared" si="201"/>
        <v>-1760</v>
      </c>
      <c r="H12522" s="705" t="s">
        <v>7910</v>
      </c>
    </row>
    <row r="12523" spans="1:8" ht="15" x14ac:dyDescent="0.2">
      <c r="A12523" s="723">
        <v>44732</v>
      </c>
      <c r="B12523" s="41" t="s">
        <v>7657</v>
      </c>
      <c r="C12523" s="41" t="s">
        <v>3145</v>
      </c>
      <c r="D12523" s="108" t="s">
        <v>7987</v>
      </c>
      <c r="E12523" s="58">
        <v>5000</v>
      </c>
      <c r="F12523" s="58"/>
      <c r="G12523" s="58">
        <f t="shared" si="201"/>
        <v>-5000</v>
      </c>
      <c r="H12523" s="705" t="s">
        <v>7910</v>
      </c>
    </row>
    <row r="12524" spans="1:8" ht="15" x14ac:dyDescent="0.2">
      <c r="A12524" s="723">
        <v>44732</v>
      </c>
      <c r="B12524" s="41" t="s">
        <v>7921</v>
      </c>
      <c r="C12524" s="41" t="s">
        <v>2190</v>
      </c>
      <c r="E12524" s="58">
        <v>1700</v>
      </c>
      <c r="F12524" s="58"/>
      <c r="G12524" s="58">
        <f t="shared" si="201"/>
        <v>-1700</v>
      </c>
      <c r="H12524" s="705" t="s">
        <v>7910</v>
      </c>
    </row>
    <row r="12525" spans="1:8" ht="15" x14ac:dyDescent="0.2">
      <c r="A12525" s="723">
        <v>44732</v>
      </c>
      <c r="B12525" s="41" t="s">
        <v>2933</v>
      </c>
      <c r="C12525" s="41" t="s">
        <v>392</v>
      </c>
      <c r="D12525" s="108" t="s">
        <v>5755</v>
      </c>
      <c r="E12525" s="58">
        <v>1500</v>
      </c>
      <c r="F12525" s="58"/>
      <c r="G12525" s="58">
        <f t="shared" si="201"/>
        <v>-1500</v>
      </c>
      <c r="H12525" s="705" t="s">
        <v>7910</v>
      </c>
    </row>
    <row r="12526" spans="1:8" ht="15" x14ac:dyDescent="0.2">
      <c r="A12526" s="723">
        <v>44732</v>
      </c>
      <c r="B12526" s="41" t="s">
        <v>16</v>
      </c>
      <c r="C12526" s="41" t="s">
        <v>551</v>
      </c>
      <c r="D12526" s="108" t="s">
        <v>7999</v>
      </c>
      <c r="E12526" s="58">
        <v>860</v>
      </c>
      <c r="F12526" s="58"/>
      <c r="G12526" s="58">
        <f t="shared" si="201"/>
        <v>-860</v>
      </c>
      <c r="H12526" s="705" t="s">
        <v>7910</v>
      </c>
    </row>
    <row r="12527" spans="1:8" ht="15" x14ac:dyDescent="0.2">
      <c r="A12527" s="723">
        <v>44732</v>
      </c>
      <c r="B12527" s="41" t="s">
        <v>16</v>
      </c>
      <c r="C12527" s="41" t="s">
        <v>392</v>
      </c>
      <c r="D12527" s="108" t="s">
        <v>8000</v>
      </c>
      <c r="E12527" s="58">
        <v>5090</v>
      </c>
      <c r="F12527" s="58"/>
      <c r="G12527" s="58">
        <f t="shared" si="201"/>
        <v>-5090</v>
      </c>
      <c r="H12527" s="705" t="s">
        <v>7910</v>
      </c>
    </row>
    <row r="12528" spans="1:8" ht="15" x14ac:dyDescent="0.2">
      <c r="A12528" s="723">
        <v>44735</v>
      </c>
      <c r="B12528" s="41" t="s">
        <v>16</v>
      </c>
      <c r="C12528" s="41" t="s">
        <v>392</v>
      </c>
      <c r="D12528" s="108" t="s">
        <v>8000</v>
      </c>
      <c r="E12528" s="58">
        <v>6670</v>
      </c>
      <c r="F12528" s="58"/>
      <c r="G12528" s="58">
        <f t="shared" si="201"/>
        <v>-6670</v>
      </c>
      <c r="H12528" s="705" t="s">
        <v>7910</v>
      </c>
    </row>
    <row r="12529" spans="1:8" ht="15" x14ac:dyDescent="0.2">
      <c r="A12529" s="723">
        <v>44735</v>
      </c>
      <c r="B12529" s="41" t="s">
        <v>1400</v>
      </c>
      <c r="C12529" s="41" t="s">
        <v>6249</v>
      </c>
      <c r="D12529" s="108" t="s">
        <v>7912</v>
      </c>
      <c r="E12529" s="58">
        <v>30000</v>
      </c>
      <c r="F12529" s="58"/>
      <c r="G12529" s="58">
        <f t="shared" si="201"/>
        <v>-30000</v>
      </c>
      <c r="H12529" s="705" t="s">
        <v>7910</v>
      </c>
    </row>
    <row r="12530" spans="1:8" ht="15" x14ac:dyDescent="0.2">
      <c r="A12530" s="723">
        <v>44735</v>
      </c>
      <c r="B12530" s="41" t="s">
        <v>16</v>
      </c>
      <c r="C12530" s="41" t="s">
        <v>103</v>
      </c>
      <c r="D12530" s="108" t="s">
        <v>8000</v>
      </c>
      <c r="E12530" s="58">
        <v>6670</v>
      </c>
      <c r="F12530" s="58"/>
      <c r="G12530" s="58">
        <f t="shared" si="201"/>
        <v>-6670</v>
      </c>
      <c r="H12530" s="705" t="s">
        <v>7910</v>
      </c>
    </row>
    <row r="12531" spans="1:8" ht="15" x14ac:dyDescent="0.2">
      <c r="A12531" s="723">
        <v>44736</v>
      </c>
      <c r="B12531" s="41" t="s">
        <v>1400</v>
      </c>
      <c r="C12531" s="41" t="s">
        <v>6445</v>
      </c>
      <c r="D12531" s="108" t="s">
        <v>1756</v>
      </c>
      <c r="E12531" s="58">
        <v>850</v>
      </c>
      <c r="F12531" s="58"/>
      <c r="G12531" s="58">
        <f t="shared" si="201"/>
        <v>-850</v>
      </c>
      <c r="H12531" s="705" t="s">
        <v>7910</v>
      </c>
    </row>
    <row r="12532" spans="1:8" ht="15" x14ac:dyDescent="0.2">
      <c r="A12532" s="723">
        <v>44736</v>
      </c>
      <c r="B12532" s="41" t="s">
        <v>25</v>
      </c>
      <c r="C12532" s="41" t="s">
        <v>392</v>
      </c>
      <c r="D12532" s="108" t="s">
        <v>8001</v>
      </c>
      <c r="E12532" s="58">
        <v>4300</v>
      </c>
      <c r="F12532" s="58"/>
      <c r="G12532" s="58">
        <f t="shared" si="201"/>
        <v>-4300</v>
      </c>
      <c r="H12532" s="705" t="s">
        <v>7910</v>
      </c>
    </row>
    <row r="12533" spans="1:8" ht="15" x14ac:dyDescent="0.2">
      <c r="A12533" s="723">
        <v>44736</v>
      </c>
      <c r="B12533" s="41" t="s">
        <v>7112</v>
      </c>
      <c r="C12533" s="41" t="s">
        <v>8002</v>
      </c>
      <c r="D12533" s="108" t="s">
        <v>8003</v>
      </c>
      <c r="E12533" s="58">
        <v>22000</v>
      </c>
      <c r="F12533" s="58"/>
      <c r="G12533" s="58">
        <f t="shared" si="201"/>
        <v>-22000</v>
      </c>
      <c r="H12533" s="705" t="s">
        <v>7910</v>
      </c>
    </row>
    <row r="12534" spans="1:8" ht="15" x14ac:dyDescent="0.2">
      <c r="A12534" s="723">
        <v>44736</v>
      </c>
      <c r="B12534" s="41" t="s">
        <v>6505</v>
      </c>
      <c r="C12534" s="41" t="s">
        <v>3145</v>
      </c>
      <c r="D12534" s="108" t="s">
        <v>4450</v>
      </c>
      <c r="E12534" s="58">
        <v>48704</v>
      </c>
      <c r="F12534" s="58"/>
      <c r="G12534" s="58">
        <f t="shared" si="201"/>
        <v>-48704</v>
      </c>
      <c r="H12534" s="705" t="s">
        <v>7910</v>
      </c>
    </row>
    <row r="12535" spans="1:8" ht="15" x14ac:dyDescent="0.2">
      <c r="A12535" s="723">
        <v>44736</v>
      </c>
      <c r="B12535" s="41" t="s">
        <v>1400</v>
      </c>
      <c r="C12535" s="41" t="s">
        <v>3145</v>
      </c>
      <c r="D12535" s="108" t="s">
        <v>8004</v>
      </c>
      <c r="E12535" s="58">
        <v>12240</v>
      </c>
      <c r="F12535" s="58"/>
      <c r="G12535" s="58">
        <f t="shared" si="201"/>
        <v>-12240</v>
      </c>
      <c r="H12535" s="705" t="s">
        <v>7910</v>
      </c>
    </row>
    <row r="12536" spans="1:8" ht="15" x14ac:dyDescent="0.2">
      <c r="A12536" s="723">
        <v>44736</v>
      </c>
      <c r="B12536" s="41" t="s">
        <v>3946</v>
      </c>
      <c r="C12536" s="41" t="s">
        <v>3145</v>
      </c>
      <c r="D12536" s="108" t="s">
        <v>7480</v>
      </c>
      <c r="E12536" s="58">
        <v>16800</v>
      </c>
      <c r="F12536" s="58"/>
      <c r="G12536" s="58">
        <f t="shared" si="201"/>
        <v>-16800</v>
      </c>
      <c r="H12536" s="705" t="s">
        <v>7910</v>
      </c>
    </row>
    <row r="12537" spans="1:8" ht="15" x14ac:dyDescent="0.2">
      <c r="A12537" s="723">
        <v>44736</v>
      </c>
      <c r="B12537" s="41" t="s">
        <v>1400</v>
      </c>
      <c r="C12537" s="41" t="s">
        <v>2190</v>
      </c>
      <c r="E12537" s="58">
        <v>1660</v>
      </c>
      <c r="F12537" s="58"/>
      <c r="G12537" s="58">
        <f t="shared" si="201"/>
        <v>-1660</v>
      </c>
      <c r="H12537" s="705" t="s">
        <v>7910</v>
      </c>
    </row>
    <row r="12538" spans="1:8" ht="15" x14ac:dyDescent="0.2">
      <c r="A12538" s="723">
        <v>44737</v>
      </c>
      <c r="B12538" s="41" t="s">
        <v>7953</v>
      </c>
      <c r="C12538" s="41" t="s">
        <v>286</v>
      </c>
      <c r="D12538" s="108" t="s">
        <v>3991</v>
      </c>
      <c r="E12538" s="58">
        <v>1000</v>
      </c>
      <c r="F12538" s="58"/>
      <c r="G12538" s="58">
        <f t="shared" si="201"/>
        <v>-1000</v>
      </c>
      <c r="H12538" s="705" t="s">
        <v>7910</v>
      </c>
    </row>
    <row r="12539" spans="1:8" ht="15" x14ac:dyDescent="0.2">
      <c r="A12539" s="723">
        <v>44737</v>
      </c>
      <c r="B12539" s="41" t="s">
        <v>7921</v>
      </c>
      <c r="C12539" s="41" t="s">
        <v>286</v>
      </c>
      <c r="D12539" s="108" t="s">
        <v>3346</v>
      </c>
      <c r="E12539" s="58">
        <v>550</v>
      </c>
      <c r="F12539" s="58"/>
      <c r="G12539" s="58">
        <f t="shared" si="201"/>
        <v>-550</v>
      </c>
      <c r="H12539" s="705" t="s">
        <v>7910</v>
      </c>
    </row>
    <row r="12540" spans="1:8" ht="15" x14ac:dyDescent="0.2">
      <c r="A12540" s="723">
        <v>44737</v>
      </c>
      <c r="B12540" s="41" t="s">
        <v>7921</v>
      </c>
      <c r="C12540" s="41" t="s">
        <v>2190</v>
      </c>
      <c r="E12540" s="58">
        <v>1040</v>
      </c>
      <c r="F12540" s="58"/>
      <c r="G12540" s="58">
        <f t="shared" si="201"/>
        <v>-1040</v>
      </c>
      <c r="H12540" s="705" t="s">
        <v>7910</v>
      </c>
    </row>
    <row r="12541" spans="1:8" ht="15" x14ac:dyDescent="0.2">
      <c r="A12541" s="723">
        <v>44737</v>
      </c>
      <c r="B12541" s="41" t="s">
        <v>16</v>
      </c>
      <c r="C12541" s="41" t="s">
        <v>103</v>
      </c>
      <c r="E12541" s="58">
        <v>6410</v>
      </c>
      <c r="F12541" s="58"/>
      <c r="G12541" s="58">
        <f t="shared" si="201"/>
        <v>-6410</v>
      </c>
      <c r="H12541" s="705" t="s">
        <v>7910</v>
      </c>
    </row>
    <row r="12542" spans="1:8" ht="15" x14ac:dyDescent="0.2">
      <c r="A12542" s="723">
        <v>44739</v>
      </c>
      <c r="B12542" s="41" t="s">
        <v>1400</v>
      </c>
      <c r="C12542" s="41" t="s">
        <v>3145</v>
      </c>
      <c r="D12542" s="108" t="s">
        <v>8005</v>
      </c>
      <c r="E12542" s="58">
        <v>5150</v>
      </c>
      <c r="F12542" s="58"/>
      <c r="G12542" s="58">
        <f t="shared" si="201"/>
        <v>-5150</v>
      </c>
      <c r="H12542" s="705" t="s">
        <v>7910</v>
      </c>
    </row>
    <row r="12543" spans="1:8" ht="15" x14ac:dyDescent="0.2">
      <c r="A12543" s="723">
        <v>44739</v>
      </c>
      <c r="B12543" s="41" t="s">
        <v>7921</v>
      </c>
      <c r="C12543" s="41" t="s">
        <v>551</v>
      </c>
      <c r="D12543" s="108" t="s">
        <v>2108</v>
      </c>
      <c r="E12543" s="58">
        <v>5000</v>
      </c>
      <c r="F12543" s="58"/>
      <c r="G12543" s="58">
        <f t="shared" si="201"/>
        <v>-5000</v>
      </c>
      <c r="H12543" s="705" t="s">
        <v>7910</v>
      </c>
    </row>
    <row r="12544" spans="1:8" ht="15" x14ac:dyDescent="0.2">
      <c r="A12544" s="723">
        <v>44739</v>
      </c>
      <c r="B12544" s="41" t="s">
        <v>7953</v>
      </c>
      <c r="C12544" s="41" t="s">
        <v>2002</v>
      </c>
      <c r="E12544" s="58">
        <v>600</v>
      </c>
      <c r="F12544" s="58"/>
      <c r="G12544" s="58">
        <f t="shared" si="201"/>
        <v>-600</v>
      </c>
      <c r="H12544" s="705" t="s">
        <v>7910</v>
      </c>
    </row>
    <row r="12545" spans="1:8" ht="15" x14ac:dyDescent="0.2">
      <c r="A12545" s="723">
        <v>44739</v>
      </c>
      <c r="B12545" s="41" t="s">
        <v>7953</v>
      </c>
      <c r="C12545" s="41" t="s">
        <v>2002</v>
      </c>
      <c r="E12545" s="58">
        <v>2000</v>
      </c>
      <c r="F12545" s="58"/>
      <c r="G12545" s="58">
        <f t="shared" si="201"/>
        <v>-2000</v>
      </c>
      <c r="H12545" s="705" t="s">
        <v>7910</v>
      </c>
    </row>
    <row r="12546" spans="1:8" ht="15" x14ac:dyDescent="0.2">
      <c r="A12546" s="723">
        <v>44739</v>
      </c>
      <c r="B12546" s="41" t="s">
        <v>3733</v>
      </c>
      <c r="C12546" s="41" t="s">
        <v>3145</v>
      </c>
      <c r="D12546" s="108" t="s">
        <v>8006</v>
      </c>
      <c r="E12546" s="58">
        <v>5153</v>
      </c>
      <c r="F12546" s="58"/>
      <c r="G12546" s="58">
        <f t="shared" si="201"/>
        <v>-5153</v>
      </c>
      <c r="H12546" s="705" t="s">
        <v>7910</v>
      </c>
    </row>
    <row r="12547" spans="1:8" ht="15" x14ac:dyDescent="0.2">
      <c r="A12547" s="723">
        <v>44739</v>
      </c>
      <c r="B12547" s="41" t="s">
        <v>16</v>
      </c>
      <c r="C12547" s="41" t="s">
        <v>392</v>
      </c>
      <c r="D12547" s="108" t="s">
        <v>8007</v>
      </c>
      <c r="E12547" s="58">
        <v>4960</v>
      </c>
      <c r="F12547" s="58"/>
      <c r="G12547" s="58">
        <f t="shared" si="201"/>
        <v>-4960</v>
      </c>
      <c r="H12547" s="705" t="s">
        <v>7910</v>
      </c>
    </row>
    <row r="12548" spans="1:8" ht="15" x14ac:dyDescent="0.2">
      <c r="A12548" s="723">
        <v>44739</v>
      </c>
      <c r="B12548" s="41" t="s">
        <v>6518</v>
      </c>
      <c r="C12548" s="41" t="s">
        <v>3145</v>
      </c>
      <c r="D12548" s="108" t="s">
        <v>8007</v>
      </c>
      <c r="E12548" s="58">
        <v>6000</v>
      </c>
      <c r="F12548" s="58"/>
      <c r="G12548" s="58">
        <f t="shared" si="201"/>
        <v>-6000</v>
      </c>
      <c r="H12548" s="705" t="s">
        <v>7910</v>
      </c>
    </row>
    <row r="12549" spans="1:8" ht="15" x14ac:dyDescent="0.2">
      <c r="A12549" s="723">
        <v>44739</v>
      </c>
      <c r="B12549" s="41" t="s">
        <v>2933</v>
      </c>
      <c r="C12549" s="41" t="s">
        <v>3145</v>
      </c>
      <c r="D12549" s="108" t="s">
        <v>7335</v>
      </c>
      <c r="E12549" s="58">
        <v>6450</v>
      </c>
      <c r="F12549" s="58"/>
      <c r="G12549" s="58">
        <f t="shared" ref="G12549:G12612" si="202">F12549-E12549</f>
        <v>-6450</v>
      </c>
      <c r="H12549" s="705" t="s">
        <v>7910</v>
      </c>
    </row>
    <row r="12550" spans="1:8" ht="15" x14ac:dyDescent="0.2">
      <c r="A12550" s="723">
        <v>44739</v>
      </c>
      <c r="B12550" s="41" t="s">
        <v>2933</v>
      </c>
      <c r="C12550" s="41" t="s">
        <v>392</v>
      </c>
      <c r="D12550" s="108" t="s">
        <v>5755</v>
      </c>
      <c r="E12550" s="58">
        <v>1660</v>
      </c>
      <c r="F12550" s="58"/>
      <c r="G12550" s="58">
        <f t="shared" si="202"/>
        <v>-1660</v>
      </c>
      <c r="H12550" s="705" t="s">
        <v>7910</v>
      </c>
    </row>
    <row r="12551" spans="1:8" ht="15" x14ac:dyDescent="0.2">
      <c r="A12551" s="723">
        <v>44740</v>
      </c>
      <c r="B12551" s="41" t="s">
        <v>25</v>
      </c>
      <c r="C12551" s="41" t="s">
        <v>1005</v>
      </c>
      <c r="E12551" s="58">
        <v>650</v>
      </c>
      <c r="F12551" s="58"/>
      <c r="G12551" s="58">
        <f t="shared" si="202"/>
        <v>-650</v>
      </c>
      <c r="H12551" s="705" t="s">
        <v>7910</v>
      </c>
    </row>
    <row r="12552" spans="1:8" ht="15" x14ac:dyDescent="0.2">
      <c r="A12552" s="723">
        <v>44740</v>
      </c>
      <c r="B12552" s="41" t="s">
        <v>3946</v>
      </c>
      <c r="C12552" s="41" t="s">
        <v>3145</v>
      </c>
      <c r="D12552" s="108" t="s">
        <v>8011</v>
      </c>
      <c r="E12552" s="58">
        <v>8000</v>
      </c>
      <c r="F12552" s="58"/>
      <c r="G12552" s="58">
        <f t="shared" si="202"/>
        <v>-8000</v>
      </c>
      <c r="H12552" s="705" t="s">
        <v>7910</v>
      </c>
    </row>
    <row r="12553" spans="1:8" ht="15" x14ac:dyDescent="0.2">
      <c r="A12553" s="723">
        <v>44740</v>
      </c>
      <c r="B12553" s="41" t="s">
        <v>1400</v>
      </c>
      <c r="C12553" s="41" t="s">
        <v>5652</v>
      </c>
      <c r="D12553" s="108" t="s">
        <v>8012</v>
      </c>
      <c r="E12553" s="58">
        <v>35000</v>
      </c>
      <c r="F12553" s="58"/>
      <c r="G12553" s="58">
        <f t="shared" si="202"/>
        <v>-35000</v>
      </c>
      <c r="H12553" s="705" t="s">
        <v>7910</v>
      </c>
    </row>
    <row r="12554" spans="1:8" ht="15" x14ac:dyDescent="0.2">
      <c r="A12554" s="723">
        <v>44740</v>
      </c>
      <c r="B12554" s="41" t="s">
        <v>7067</v>
      </c>
      <c r="C12554" s="41" t="s">
        <v>6967</v>
      </c>
      <c r="D12554" s="108" t="s">
        <v>370</v>
      </c>
      <c r="E12554" s="58">
        <v>2000</v>
      </c>
      <c r="F12554" s="58"/>
      <c r="G12554" s="58">
        <f t="shared" si="202"/>
        <v>-2000</v>
      </c>
      <c r="H12554" s="705" t="s">
        <v>7910</v>
      </c>
    </row>
    <row r="12555" spans="1:8" ht="15" x14ac:dyDescent="0.2">
      <c r="A12555" s="723">
        <v>44740</v>
      </c>
      <c r="B12555" s="41" t="s">
        <v>1400</v>
      </c>
      <c r="C12555" s="41" t="s">
        <v>7859</v>
      </c>
      <c r="D12555" s="108" t="s">
        <v>370</v>
      </c>
      <c r="E12555" s="58">
        <v>1000</v>
      </c>
      <c r="F12555" s="58"/>
      <c r="G12555" s="58">
        <f t="shared" si="202"/>
        <v>-1000</v>
      </c>
      <c r="H12555" s="705" t="s">
        <v>7910</v>
      </c>
    </row>
    <row r="12556" spans="1:8" ht="15" x14ac:dyDescent="0.2">
      <c r="A12556" s="723">
        <v>44741</v>
      </c>
      <c r="B12556" s="41" t="s">
        <v>7112</v>
      </c>
      <c r="C12556" s="41" t="s">
        <v>6009</v>
      </c>
      <c r="D12556" s="108" t="s">
        <v>8013</v>
      </c>
      <c r="E12556" s="58">
        <v>38400</v>
      </c>
      <c r="F12556" s="58"/>
      <c r="G12556" s="58">
        <f t="shared" si="202"/>
        <v>-38400</v>
      </c>
      <c r="H12556" s="705" t="s">
        <v>7910</v>
      </c>
    </row>
    <row r="12557" spans="1:8" ht="15" x14ac:dyDescent="0.2">
      <c r="A12557" s="723">
        <v>44742</v>
      </c>
      <c r="B12557" s="41" t="s">
        <v>16</v>
      </c>
      <c r="C12557" s="41" t="s">
        <v>103</v>
      </c>
      <c r="D12557" s="108" t="s">
        <v>8000</v>
      </c>
      <c r="E12557" s="58">
        <v>8250</v>
      </c>
      <c r="F12557" s="58"/>
      <c r="G12557" s="58">
        <f t="shared" si="202"/>
        <v>-8250</v>
      </c>
      <c r="H12557" s="705" t="s">
        <v>7910</v>
      </c>
    </row>
    <row r="12558" spans="1:8" ht="15" x14ac:dyDescent="0.2">
      <c r="A12558" s="723">
        <v>44742</v>
      </c>
      <c r="B12558" s="41" t="s">
        <v>7921</v>
      </c>
      <c r="C12558" s="41" t="s">
        <v>286</v>
      </c>
      <c r="D12558" s="108" t="s">
        <v>3991</v>
      </c>
      <c r="E12558" s="58">
        <v>200</v>
      </c>
      <c r="F12558" s="58"/>
      <c r="G12558" s="58">
        <f t="shared" si="202"/>
        <v>-200</v>
      </c>
      <c r="H12558" s="705" t="s">
        <v>7910</v>
      </c>
    </row>
    <row r="12559" spans="1:8" ht="15" x14ac:dyDescent="0.2">
      <c r="A12559" s="723">
        <v>44742</v>
      </c>
      <c r="B12559" s="41" t="s">
        <v>7953</v>
      </c>
      <c r="C12559" s="41" t="s">
        <v>2503</v>
      </c>
      <c r="D12559" s="108" t="s">
        <v>7097</v>
      </c>
      <c r="E12559" s="58">
        <v>25000</v>
      </c>
      <c r="F12559" s="58"/>
      <c r="G12559" s="58">
        <f t="shared" si="202"/>
        <v>-25000</v>
      </c>
      <c r="H12559" s="705" t="s">
        <v>7910</v>
      </c>
    </row>
    <row r="12560" spans="1:8" ht="15" x14ac:dyDescent="0.2">
      <c r="A12560" s="723">
        <v>44742</v>
      </c>
      <c r="B12560" s="41" t="s">
        <v>6505</v>
      </c>
      <c r="C12560" s="41" t="s">
        <v>2503</v>
      </c>
      <c r="D12560" s="108" t="s">
        <v>7097</v>
      </c>
      <c r="E12560" s="58">
        <v>25000</v>
      </c>
      <c r="F12560" s="58"/>
      <c r="G12560" s="58">
        <f t="shared" si="202"/>
        <v>-25000</v>
      </c>
      <c r="H12560" s="705" t="s">
        <v>7910</v>
      </c>
    </row>
    <row r="12561" spans="1:8" ht="15" x14ac:dyDescent="0.2">
      <c r="A12561" s="723">
        <v>44742</v>
      </c>
      <c r="B12561" s="41" t="s">
        <v>7921</v>
      </c>
      <c r="C12561" s="41" t="s">
        <v>2503</v>
      </c>
      <c r="D12561" s="108" t="s">
        <v>141</v>
      </c>
      <c r="E12561" s="58">
        <v>25000</v>
      </c>
      <c r="F12561" s="58"/>
      <c r="G12561" s="58">
        <f t="shared" si="202"/>
        <v>-25000</v>
      </c>
      <c r="H12561" s="705" t="s">
        <v>7910</v>
      </c>
    </row>
    <row r="12562" spans="1:8" ht="15" x14ac:dyDescent="0.2">
      <c r="A12562" s="723">
        <v>44742</v>
      </c>
      <c r="B12562" s="41" t="s">
        <v>7953</v>
      </c>
      <c r="C12562" s="41" t="s">
        <v>2503</v>
      </c>
      <c r="D12562" s="108" t="s">
        <v>141</v>
      </c>
      <c r="E12562" s="58">
        <v>25000</v>
      </c>
      <c r="F12562" s="58"/>
      <c r="G12562" s="58">
        <f t="shared" si="202"/>
        <v>-25000</v>
      </c>
      <c r="H12562" s="705" t="s">
        <v>7910</v>
      </c>
    </row>
    <row r="12563" spans="1:8" ht="15" x14ac:dyDescent="0.2">
      <c r="A12563" s="723">
        <v>44742</v>
      </c>
      <c r="B12563" s="41" t="s">
        <v>25</v>
      </c>
      <c r="C12563" s="41" t="s">
        <v>2503</v>
      </c>
      <c r="D12563" s="108" t="s">
        <v>8036</v>
      </c>
      <c r="E12563" s="58">
        <v>70000</v>
      </c>
      <c r="F12563" s="58"/>
      <c r="G12563" s="58">
        <f t="shared" si="202"/>
        <v>-70000</v>
      </c>
      <c r="H12563" s="705" t="s">
        <v>7910</v>
      </c>
    </row>
    <row r="12564" spans="1:8" ht="15" x14ac:dyDescent="0.2">
      <c r="A12564" s="723">
        <v>44742</v>
      </c>
      <c r="B12564" s="41" t="s">
        <v>16</v>
      </c>
      <c r="C12564" s="41" t="s">
        <v>2503</v>
      </c>
      <c r="E12564" s="58">
        <v>110500</v>
      </c>
      <c r="F12564" s="58"/>
      <c r="G12564" s="58">
        <f t="shared" si="202"/>
        <v>-110500</v>
      </c>
      <c r="H12564" s="705" t="s">
        <v>7910</v>
      </c>
    </row>
    <row r="12565" spans="1:8" ht="15" x14ac:dyDescent="0.2">
      <c r="A12565" s="723">
        <v>44742</v>
      </c>
      <c r="B12565" s="41" t="s">
        <v>3945</v>
      </c>
      <c r="C12565" s="41" t="s">
        <v>2503</v>
      </c>
      <c r="E12565" s="58">
        <v>109896</v>
      </c>
      <c r="F12565" s="58"/>
      <c r="G12565" s="58">
        <f t="shared" si="202"/>
        <v>-109896</v>
      </c>
      <c r="H12565" s="705" t="s">
        <v>7910</v>
      </c>
    </row>
    <row r="12566" spans="1:8" ht="15" x14ac:dyDescent="0.2">
      <c r="A12566" s="723">
        <v>44742</v>
      </c>
      <c r="B12566" s="41" t="s">
        <v>3946</v>
      </c>
      <c r="C12566" s="41" t="s">
        <v>2503</v>
      </c>
      <c r="E12566" s="58">
        <v>110616.64583333333</v>
      </c>
      <c r="F12566" s="58"/>
      <c r="G12566" s="58">
        <f t="shared" si="202"/>
        <v>-110616.64583333333</v>
      </c>
      <c r="H12566" s="705" t="s">
        <v>7910</v>
      </c>
    </row>
    <row r="12567" spans="1:8" ht="15" x14ac:dyDescent="0.2">
      <c r="A12567" s="723">
        <v>44742</v>
      </c>
      <c r="B12567" s="41" t="s">
        <v>6505</v>
      </c>
      <c r="C12567" s="41" t="s">
        <v>2503</v>
      </c>
      <c r="E12567" s="58">
        <v>199121</v>
      </c>
      <c r="F12567" s="58"/>
      <c r="G12567" s="58">
        <f t="shared" si="202"/>
        <v>-199121</v>
      </c>
      <c r="H12567" s="705" t="s">
        <v>7910</v>
      </c>
    </row>
    <row r="12568" spans="1:8" ht="15" x14ac:dyDescent="0.2">
      <c r="A12568" s="723">
        <v>44742</v>
      </c>
      <c r="B12568" s="41" t="s">
        <v>1400</v>
      </c>
      <c r="C12568" s="41" t="s">
        <v>2503</v>
      </c>
      <c r="E12568" s="58">
        <v>59725</v>
      </c>
      <c r="F12568" s="58"/>
      <c r="G12568" s="58">
        <f t="shared" si="202"/>
        <v>-59725</v>
      </c>
      <c r="H12568" s="705" t="s">
        <v>7910</v>
      </c>
    </row>
    <row r="12569" spans="1:8" ht="15" x14ac:dyDescent="0.2">
      <c r="A12569" s="723">
        <v>44742</v>
      </c>
      <c r="B12569" s="41" t="s">
        <v>37</v>
      </c>
      <c r="C12569" s="41" t="s">
        <v>2503</v>
      </c>
      <c r="E12569" s="58">
        <v>142704.16666666666</v>
      </c>
      <c r="F12569" s="58"/>
      <c r="G12569" s="58">
        <f t="shared" si="202"/>
        <v>-142704.16666666666</v>
      </c>
      <c r="H12569" s="705" t="s">
        <v>7910</v>
      </c>
    </row>
    <row r="12570" spans="1:8" ht="15" x14ac:dyDescent="0.2">
      <c r="A12570" s="723">
        <v>44742</v>
      </c>
      <c r="B12570" s="41" t="s">
        <v>2933</v>
      </c>
      <c r="C12570" s="41" t="s">
        <v>2503</v>
      </c>
      <c r="E12570" s="58">
        <v>103466.66666666666</v>
      </c>
      <c r="F12570" s="58"/>
      <c r="G12570" s="58">
        <f t="shared" si="202"/>
        <v>-103466.66666666666</v>
      </c>
      <c r="H12570" s="705" t="s">
        <v>7910</v>
      </c>
    </row>
    <row r="12571" spans="1:8" ht="15" x14ac:dyDescent="0.2">
      <c r="A12571" s="723">
        <v>44742</v>
      </c>
      <c r="B12571" s="41" t="s">
        <v>7921</v>
      </c>
      <c r="C12571" s="41" t="s">
        <v>2503</v>
      </c>
      <c r="E12571" s="58">
        <f>30917+50000</f>
        <v>80917</v>
      </c>
      <c r="F12571" s="58"/>
      <c r="G12571" s="58">
        <f t="shared" si="202"/>
        <v>-80917</v>
      </c>
      <c r="H12571" s="705" t="s">
        <v>7910</v>
      </c>
    </row>
    <row r="12572" spans="1:8" ht="15" x14ac:dyDescent="0.2">
      <c r="A12572" s="723">
        <v>44742</v>
      </c>
      <c r="B12572" s="41" t="s">
        <v>5811</v>
      </c>
      <c r="C12572" s="41" t="s">
        <v>2503</v>
      </c>
      <c r="E12572" s="58">
        <v>29633</v>
      </c>
      <c r="F12572" s="58"/>
      <c r="G12572" s="58">
        <f t="shared" si="202"/>
        <v>-29633</v>
      </c>
      <c r="H12572" s="705" t="s">
        <v>7910</v>
      </c>
    </row>
    <row r="12573" spans="1:8" ht="15" customHeight="1" x14ac:dyDescent="0.2">
      <c r="A12573" s="723">
        <v>44742</v>
      </c>
      <c r="B12573" s="41" t="s">
        <v>7953</v>
      </c>
      <c r="C12573" s="41" t="s">
        <v>2503</v>
      </c>
      <c r="E12573" s="58">
        <v>54561</v>
      </c>
      <c r="F12573" s="58"/>
      <c r="G12573" s="58">
        <f t="shared" si="202"/>
        <v>-54561</v>
      </c>
      <c r="H12573" s="705" t="s">
        <v>7910</v>
      </c>
    </row>
    <row r="12574" spans="1:8" ht="15" customHeight="1" x14ac:dyDescent="0.2">
      <c r="A12574" s="723">
        <v>44742</v>
      </c>
      <c r="B12574" s="41" t="s">
        <v>7112</v>
      </c>
      <c r="C12574" s="41" t="s">
        <v>2503</v>
      </c>
      <c r="E12574" s="58">
        <v>22316.666666666668</v>
      </c>
      <c r="F12574" s="58"/>
      <c r="G12574" s="58">
        <f t="shared" si="202"/>
        <v>-22316.666666666668</v>
      </c>
      <c r="H12574" s="705" t="s">
        <v>7910</v>
      </c>
    </row>
    <row r="12575" spans="1:8" ht="15" customHeight="1" x14ac:dyDescent="0.2">
      <c r="A12575" s="723">
        <v>44742</v>
      </c>
      <c r="B12575" s="41" t="s">
        <v>11</v>
      </c>
      <c r="C12575" s="41" t="s">
        <v>2503</v>
      </c>
      <c r="E12575" s="58">
        <v>5000</v>
      </c>
      <c r="F12575" s="58"/>
      <c r="G12575" s="58">
        <f t="shared" si="202"/>
        <v>-5000</v>
      </c>
      <c r="H12575" s="705" t="s">
        <v>7910</v>
      </c>
    </row>
    <row r="12576" spans="1:8" ht="15" customHeight="1" x14ac:dyDescent="0.2">
      <c r="A12576" s="722">
        <v>44718</v>
      </c>
      <c r="B12576" s="122" t="s">
        <v>1400</v>
      </c>
      <c r="C12576" s="122" t="s">
        <v>5652</v>
      </c>
      <c r="D12576" s="812" t="s">
        <v>7911</v>
      </c>
      <c r="E12576" s="123">
        <v>32000</v>
      </c>
      <c r="F12576" s="123"/>
      <c r="G12576" s="123">
        <f t="shared" si="202"/>
        <v>-32000</v>
      </c>
      <c r="H12576" s="709" t="s">
        <v>7910</v>
      </c>
    </row>
    <row r="12577" spans="1:8" ht="15" x14ac:dyDescent="0.2">
      <c r="A12577" s="722">
        <v>44720</v>
      </c>
      <c r="B12577" s="122" t="s">
        <v>7555</v>
      </c>
      <c r="C12577" s="122" t="s">
        <v>6706</v>
      </c>
      <c r="D12577" s="812" t="s">
        <v>7948</v>
      </c>
      <c r="E12577" s="123">
        <v>150000</v>
      </c>
      <c r="F12577" s="123"/>
      <c r="G12577" s="123">
        <f t="shared" si="202"/>
        <v>-150000</v>
      </c>
      <c r="H12577" s="709" t="s">
        <v>7910</v>
      </c>
    </row>
    <row r="12578" spans="1:8" ht="15" customHeight="1" x14ac:dyDescent="0.2">
      <c r="A12578" s="722">
        <v>44723</v>
      </c>
      <c r="B12578" s="122" t="s">
        <v>7112</v>
      </c>
      <c r="C12578" s="582" t="s">
        <v>3003</v>
      </c>
      <c r="D12578" s="893" t="s">
        <v>7958</v>
      </c>
      <c r="E12578" s="583">
        <v>390759</v>
      </c>
      <c r="F12578" s="123"/>
      <c r="G12578" s="123">
        <f t="shared" si="202"/>
        <v>-390759</v>
      </c>
      <c r="H12578" s="709" t="s">
        <v>7910</v>
      </c>
    </row>
    <row r="12579" spans="1:8" ht="15" customHeight="1" x14ac:dyDescent="0.2">
      <c r="A12579" s="722">
        <v>44723</v>
      </c>
      <c r="B12579" s="122" t="s">
        <v>37</v>
      </c>
      <c r="C12579" s="582" t="s">
        <v>3003</v>
      </c>
      <c r="D12579" s="893" t="s">
        <v>7958</v>
      </c>
      <c r="E12579" s="583">
        <v>15552</v>
      </c>
      <c r="F12579" s="123"/>
      <c r="G12579" s="123">
        <f t="shared" si="202"/>
        <v>-15552</v>
      </c>
      <c r="H12579" s="709" t="s">
        <v>7910</v>
      </c>
    </row>
    <row r="12580" spans="1:8" ht="15" x14ac:dyDescent="0.2">
      <c r="A12580" s="722">
        <v>44723</v>
      </c>
      <c r="B12580" s="122" t="s">
        <v>3946</v>
      </c>
      <c r="C12580" s="582" t="s">
        <v>3003</v>
      </c>
      <c r="D12580" s="893" t="s">
        <v>7958</v>
      </c>
      <c r="E12580" s="583">
        <v>30160</v>
      </c>
      <c r="F12580" s="123"/>
      <c r="G12580" s="123">
        <f t="shared" si="202"/>
        <v>-30160</v>
      </c>
      <c r="H12580" s="709" t="s">
        <v>7910</v>
      </c>
    </row>
    <row r="12581" spans="1:8" ht="15" x14ac:dyDescent="0.2">
      <c r="A12581" s="722">
        <v>44723</v>
      </c>
      <c r="B12581" s="122" t="s">
        <v>3945</v>
      </c>
      <c r="C12581" s="582" t="s">
        <v>3003</v>
      </c>
      <c r="D12581" s="893" t="s">
        <v>7958</v>
      </c>
      <c r="E12581" s="583">
        <v>32760</v>
      </c>
      <c r="F12581" s="123"/>
      <c r="G12581" s="123">
        <f t="shared" si="202"/>
        <v>-32760</v>
      </c>
      <c r="H12581" s="709" t="s">
        <v>7910</v>
      </c>
    </row>
    <row r="12582" spans="1:8" ht="15" x14ac:dyDescent="0.2">
      <c r="A12582" s="722">
        <v>44723</v>
      </c>
      <c r="B12582" s="122" t="s">
        <v>3946</v>
      </c>
      <c r="C12582" s="582" t="s">
        <v>3003</v>
      </c>
      <c r="D12582" s="893" t="s">
        <v>7958</v>
      </c>
      <c r="E12582" s="583">
        <v>11050</v>
      </c>
      <c r="F12582" s="123"/>
      <c r="G12582" s="123">
        <f t="shared" si="202"/>
        <v>-11050</v>
      </c>
      <c r="H12582" s="709" t="s">
        <v>7910</v>
      </c>
    </row>
    <row r="12583" spans="1:8" ht="15" x14ac:dyDescent="0.2">
      <c r="A12583" s="722">
        <v>44723</v>
      </c>
      <c r="B12583" s="122" t="s">
        <v>7657</v>
      </c>
      <c r="C12583" s="582" t="s">
        <v>3003</v>
      </c>
      <c r="D12583" s="893" t="s">
        <v>7958</v>
      </c>
      <c r="E12583" s="583">
        <v>58092</v>
      </c>
      <c r="F12583" s="123"/>
      <c r="G12583" s="123">
        <f t="shared" si="202"/>
        <v>-58092</v>
      </c>
      <c r="H12583" s="709" t="s">
        <v>7910</v>
      </c>
    </row>
    <row r="12584" spans="1:8" ht="15" x14ac:dyDescent="0.2">
      <c r="A12584" s="722">
        <v>44725</v>
      </c>
      <c r="B12584" s="122" t="s">
        <v>1400</v>
      </c>
      <c r="C12584" s="584" t="s">
        <v>3292</v>
      </c>
      <c r="D12584" s="913" t="s">
        <v>7959</v>
      </c>
      <c r="E12584" s="585">
        <v>15000</v>
      </c>
      <c r="F12584" s="123"/>
      <c r="G12584" s="123">
        <f t="shared" si="202"/>
        <v>-15000</v>
      </c>
      <c r="H12584" s="709" t="s">
        <v>7910</v>
      </c>
    </row>
    <row r="12585" spans="1:8" ht="15" x14ac:dyDescent="0.2">
      <c r="A12585" s="722">
        <v>44725</v>
      </c>
      <c r="B12585" s="122" t="s">
        <v>37</v>
      </c>
      <c r="C12585" s="584" t="s">
        <v>3292</v>
      </c>
      <c r="D12585" s="913" t="s">
        <v>7959</v>
      </c>
      <c r="E12585" s="585">
        <v>15000</v>
      </c>
      <c r="F12585" s="123"/>
      <c r="G12585" s="123">
        <f t="shared" si="202"/>
        <v>-15000</v>
      </c>
      <c r="H12585" s="709" t="s">
        <v>7910</v>
      </c>
    </row>
    <row r="12586" spans="1:8" ht="24" x14ac:dyDescent="0.2">
      <c r="A12586" s="722">
        <v>44726</v>
      </c>
      <c r="B12586" s="122" t="s">
        <v>1400</v>
      </c>
      <c r="C12586" s="626" t="s">
        <v>166</v>
      </c>
      <c r="D12586" s="914" t="s">
        <v>7996</v>
      </c>
      <c r="E12586" s="627">
        <v>155790</v>
      </c>
      <c r="F12586" s="123"/>
      <c r="G12586" s="123">
        <f t="shared" si="202"/>
        <v>-155790</v>
      </c>
      <c r="H12586" s="709" t="s">
        <v>7910</v>
      </c>
    </row>
    <row r="12587" spans="1:8" ht="24" x14ac:dyDescent="0.2">
      <c r="A12587" s="722">
        <v>44726</v>
      </c>
      <c r="B12587" s="122" t="s">
        <v>7921</v>
      </c>
      <c r="C12587" s="626" t="s">
        <v>166</v>
      </c>
      <c r="D12587" s="914" t="s">
        <v>7996</v>
      </c>
      <c r="E12587" s="627">
        <v>132000</v>
      </c>
      <c r="F12587" s="123"/>
      <c r="G12587" s="123">
        <f t="shared" si="202"/>
        <v>-132000</v>
      </c>
      <c r="H12587" s="709" t="s">
        <v>7910</v>
      </c>
    </row>
    <row r="12588" spans="1:8" ht="24" x14ac:dyDescent="0.2">
      <c r="A12588" s="722">
        <v>44726</v>
      </c>
      <c r="B12588" s="122" t="s">
        <v>7921</v>
      </c>
      <c r="C12588" s="626" t="s">
        <v>166</v>
      </c>
      <c r="D12588" s="914" t="s">
        <v>7996</v>
      </c>
      <c r="E12588" s="627">
        <v>151650</v>
      </c>
      <c r="F12588" s="123"/>
      <c r="G12588" s="123">
        <f t="shared" si="202"/>
        <v>-151650</v>
      </c>
      <c r="H12588" s="709" t="s">
        <v>7910</v>
      </c>
    </row>
    <row r="12589" spans="1:8" ht="24" x14ac:dyDescent="0.2">
      <c r="A12589" s="722">
        <v>44726</v>
      </c>
      <c r="B12589" s="122" t="s">
        <v>7921</v>
      </c>
      <c r="C12589" s="626" t="s">
        <v>166</v>
      </c>
      <c r="D12589" s="914" t="s">
        <v>7996</v>
      </c>
      <c r="E12589" s="627">
        <v>60560</v>
      </c>
      <c r="F12589" s="123"/>
      <c r="G12589" s="123">
        <f t="shared" si="202"/>
        <v>-60560</v>
      </c>
      <c r="H12589" s="709" t="s">
        <v>7910</v>
      </c>
    </row>
    <row r="12590" spans="1:8" ht="24" x14ac:dyDescent="0.2">
      <c r="A12590" s="722">
        <v>44726</v>
      </c>
      <c r="B12590" s="122" t="s">
        <v>2933</v>
      </c>
      <c r="C12590" s="582" t="s">
        <v>359</v>
      </c>
      <c r="D12590" s="897" t="s">
        <v>7965</v>
      </c>
      <c r="E12590" s="583">
        <v>21337</v>
      </c>
      <c r="F12590" s="123"/>
      <c r="G12590" s="123">
        <f t="shared" si="202"/>
        <v>-21337</v>
      </c>
      <c r="H12590" s="709" t="s">
        <v>7910</v>
      </c>
    </row>
    <row r="12591" spans="1:8" ht="24" x14ac:dyDescent="0.2">
      <c r="A12591" s="722">
        <v>44726</v>
      </c>
      <c r="B12591" s="122" t="s">
        <v>7732</v>
      </c>
      <c r="C12591" s="582" t="s">
        <v>359</v>
      </c>
      <c r="D12591" s="897" t="s">
        <v>7965</v>
      </c>
      <c r="E12591" s="583">
        <v>44651</v>
      </c>
      <c r="F12591" s="123"/>
      <c r="G12591" s="123">
        <f t="shared" si="202"/>
        <v>-44651</v>
      </c>
      <c r="H12591" s="709" t="s">
        <v>7910</v>
      </c>
    </row>
    <row r="12592" spans="1:8" ht="24" x14ac:dyDescent="0.2">
      <c r="A12592" s="722">
        <v>44726</v>
      </c>
      <c r="B12592" s="122" t="s">
        <v>3733</v>
      </c>
      <c r="C12592" s="582" t="s">
        <v>359</v>
      </c>
      <c r="D12592" s="897" t="s">
        <v>7965</v>
      </c>
      <c r="E12592" s="583">
        <v>33179</v>
      </c>
      <c r="F12592" s="123"/>
      <c r="G12592" s="123">
        <f t="shared" si="202"/>
        <v>-33179</v>
      </c>
      <c r="H12592" s="709" t="s">
        <v>7910</v>
      </c>
    </row>
    <row r="12593" spans="1:8" ht="24" x14ac:dyDescent="0.2">
      <c r="A12593" s="722">
        <v>44726</v>
      </c>
      <c r="B12593" s="122" t="s">
        <v>7817</v>
      </c>
      <c r="C12593" s="582" t="s">
        <v>359</v>
      </c>
      <c r="D12593" s="897" t="s">
        <v>7965</v>
      </c>
      <c r="E12593" s="583">
        <v>58530</v>
      </c>
      <c r="F12593" s="123"/>
      <c r="G12593" s="123">
        <f t="shared" si="202"/>
        <v>-58530</v>
      </c>
      <c r="H12593" s="709" t="s">
        <v>7910</v>
      </c>
    </row>
    <row r="12594" spans="1:8" ht="15" x14ac:dyDescent="0.2">
      <c r="A12594" s="722">
        <v>44732</v>
      </c>
      <c r="B12594" s="122" t="s">
        <v>7657</v>
      </c>
      <c r="C12594" s="584" t="s">
        <v>318</v>
      </c>
      <c r="D12594" s="915" t="s">
        <v>8106</v>
      </c>
      <c r="E12594" s="585">
        <v>21900</v>
      </c>
      <c r="F12594" s="123"/>
      <c r="G12594" s="123">
        <f t="shared" si="202"/>
        <v>-21900</v>
      </c>
      <c r="H12594" s="709" t="s">
        <v>7910</v>
      </c>
    </row>
    <row r="12595" spans="1:8" ht="15" x14ac:dyDescent="0.2">
      <c r="A12595" s="722">
        <v>44732</v>
      </c>
      <c r="B12595" s="122" t="s">
        <v>7112</v>
      </c>
      <c r="C12595" s="584" t="s">
        <v>318</v>
      </c>
      <c r="D12595" s="915" t="s">
        <v>8106</v>
      </c>
      <c r="E12595" s="585">
        <v>8155</v>
      </c>
      <c r="F12595" s="123"/>
      <c r="G12595" s="123">
        <f t="shared" si="202"/>
        <v>-8155</v>
      </c>
      <c r="H12595" s="709" t="s">
        <v>7910</v>
      </c>
    </row>
    <row r="12596" spans="1:8" ht="15" x14ac:dyDescent="0.2">
      <c r="A12596" s="722">
        <v>44732</v>
      </c>
      <c r="B12596" s="122" t="s">
        <v>7732</v>
      </c>
      <c r="C12596" s="584" t="s">
        <v>318</v>
      </c>
      <c r="D12596" s="915" t="s">
        <v>8106</v>
      </c>
      <c r="E12596" s="585">
        <v>7700</v>
      </c>
      <c r="F12596" s="123"/>
      <c r="G12596" s="123">
        <f t="shared" si="202"/>
        <v>-7700</v>
      </c>
      <c r="H12596" s="709" t="s">
        <v>7910</v>
      </c>
    </row>
    <row r="12597" spans="1:8" ht="15" x14ac:dyDescent="0.2">
      <c r="A12597" s="722">
        <v>44732</v>
      </c>
      <c r="B12597" s="122" t="s">
        <v>7921</v>
      </c>
      <c r="C12597" s="584" t="s">
        <v>318</v>
      </c>
      <c r="D12597" s="915" t="s">
        <v>8106</v>
      </c>
      <c r="E12597" s="585">
        <v>50190</v>
      </c>
      <c r="F12597" s="123"/>
      <c r="G12597" s="123">
        <f t="shared" si="202"/>
        <v>-50190</v>
      </c>
      <c r="H12597" s="709" t="s">
        <v>7910</v>
      </c>
    </row>
    <row r="12598" spans="1:8" ht="15" x14ac:dyDescent="0.2">
      <c r="A12598" s="722">
        <v>44732</v>
      </c>
      <c r="B12598" s="122" t="s">
        <v>3946</v>
      </c>
      <c r="C12598" s="584" t="s">
        <v>318</v>
      </c>
      <c r="D12598" s="915" t="s">
        <v>8106</v>
      </c>
      <c r="E12598" s="585">
        <v>35720</v>
      </c>
      <c r="F12598" s="123"/>
      <c r="G12598" s="123">
        <f t="shared" si="202"/>
        <v>-35720</v>
      </c>
      <c r="H12598" s="709" t="s">
        <v>7910</v>
      </c>
    </row>
    <row r="12599" spans="1:8" ht="15" x14ac:dyDescent="0.2">
      <c r="A12599" s="722">
        <v>44732</v>
      </c>
      <c r="B12599" s="122" t="s">
        <v>1400</v>
      </c>
      <c r="C12599" s="584" t="s">
        <v>318</v>
      </c>
      <c r="D12599" s="915" t="s">
        <v>8106</v>
      </c>
      <c r="E12599" s="585">
        <v>26335</v>
      </c>
      <c r="F12599" s="123"/>
      <c r="G12599" s="123">
        <f t="shared" si="202"/>
        <v>-26335</v>
      </c>
      <c r="H12599" s="709" t="s">
        <v>7910</v>
      </c>
    </row>
    <row r="12600" spans="1:8" ht="15" x14ac:dyDescent="0.2">
      <c r="A12600" s="722">
        <v>44735</v>
      </c>
      <c r="B12600" s="122" t="s">
        <v>7921</v>
      </c>
      <c r="C12600" s="122" t="s">
        <v>6706</v>
      </c>
      <c r="D12600" s="812" t="s">
        <v>7988</v>
      </c>
      <c r="E12600" s="123">
        <v>300000</v>
      </c>
      <c r="F12600" s="123"/>
      <c r="G12600" s="123">
        <f t="shared" si="202"/>
        <v>-300000</v>
      </c>
      <c r="H12600" s="709" t="s">
        <v>7910</v>
      </c>
    </row>
    <row r="12601" spans="1:8" ht="15" x14ac:dyDescent="0.2">
      <c r="A12601" s="722">
        <v>44735</v>
      </c>
      <c r="B12601" s="122" t="s">
        <v>7953</v>
      </c>
      <c r="C12601" s="122" t="s">
        <v>7997</v>
      </c>
      <c r="D12601" s="812" t="s">
        <v>7998</v>
      </c>
      <c r="E12601" s="123">
        <v>99684</v>
      </c>
      <c r="F12601" s="123"/>
      <c r="G12601" s="123">
        <f t="shared" si="202"/>
        <v>-99684</v>
      </c>
      <c r="H12601" s="709" t="s">
        <v>7910</v>
      </c>
    </row>
    <row r="12602" spans="1:8" ht="15" x14ac:dyDescent="0.2">
      <c r="A12602" s="722">
        <v>44735</v>
      </c>
      <c r="B12602" s="122" t="s">
        <v>7921</v>
      </c>
      <c r="C12602" s="122" t="s">
        <v>6835</v>
      </c>
      <c r="D12602" s="812" t="s">
        <v>7998</v>
      </c>
      <c r="E12602" s="123">
        <v>825000</v>
      </c>
      <c r="F12602" s="123"/>
      <c r="G12602" s="123">
        <f t="shared" si="202"/>
        <v>-825000</v>
      </c>
      <c r="H12602" s="709" t="s">
        <v>7910</v>
      </c>
    </row>
    <row r="12603" spans="1:8" ht="15" x14ac:dyDescent="0.2">
      <c r="A12603" s="722">
        <v>44735</v>
      </c>
      <c r="B12603" s="122" t="s">
        <v>1400</v>
      </c>
      <c r="C12603" s="122" t="s">
        <v>7972</v>
      </c>
      <c r="D12603" s="812" t="s">
        <v>8008</v>
      </c>
      <c r="E12603" s="123">
        <v>200000</v>
      </c>
      <c r="F12603" s="123"/>
      <c r="G12603" s="123">
        <f t="shared" si="202"/>
        <v>-200000</v>
      </c>
      <c r="H12603" s="709" t="s">
        <v>7910</v>
      </c>
    </row>
    <row r="12604" spans="1:8" ht="15" x14ac:dyDescent="0.2">
      <c r="A12604" s="722">
        <v>44741</v>
      </c>
      <c r="B12604" s="122" t="s">
        <v>7921</v>
      </c>
      <c r="C12604" s="122" t="s">
        <v>7906</v>
      </c>
      <c r="D12604" s="812" t="s">
        <v>8020</v>
      </c>
      <c r="E12604" s="123">
        <v>2875293</v>
      </c>
      <c r="F12604" s="123"/>
      <c r="G12604" s="123">
        <f t="shared" si="202"/>
        <v>-2875293</v>
      </c>
      <c r="H12604" s="709" t="s">
        <v>7910</v>
      </c>
    </row>
    <row r="12605" spans="1:8" ht="15" x14ac:dyDescent="0.2">
      <c r="A12605" s="722">
        <v>44741</v>
      </c>
      <c r="B12605" s="122" t="s">
        <v>1400</v>
      </c>
      <c r="C12605" s="122" t="s">
        <v>7244</v>
      </c>
      <c r="D12605" s="812" t="s">
        <v>8021</v>
      </c>
      <c r="E12605" s="123">
        <v>100000</v>
      </c>
      <c r="F12605" s="123"/>
      <c r="G12605" s="123">
        <f t="shared" si="202"/>
        <v>-100000</v>
      </c>
      <c r="H12605" s="709" t="s">
        <v>7910</v>
      </c>
    </row>
    <row r="12606" spans="1:8" ht="15" x14ac:dyDescent="0.2">
      <c r="A12606" s="722">
        <v>44741</v>
      </c>
      <c r="B12606" s="122" t="s">
        <v>2933</v>
      </c>
      <c r="C12606" s="122" t="s">
        <v>3003</v>
      </c>
      <c r="D12606" s="928" t="s">
        <v>9494</v>
      </c>
      <c r="E12606" s="123">
        <v>2831635</v>
      </c>
      <c r="F12606" s="123"/>
      <c r="G12606" s="123">
        <f t="shared" si="202"/>
        <v>-2831635</v>
      </c>
      <c r="H12606" s="709" t="s">
        <v>7910</v>
      </c>
    </row>
    <row r="12607" spans="1:8" ht="15" x14ac:dyDescent="0.2">
      <c r="A12607" s="722">
        <v>44741</v>
      </c>
      <c r="B12607" s="122" t="s">
        <v>2933</v>
      </c>
      <c r="C12607" s="122" t="s">
        <v>3003</v>
      </c>
      <c r="D12607" s="928" t="s">
        <v>9494</v>
      </c>
      <c r="E12607" s="123">
        <v>74516</v>
      </c>
      <c r="F12607" s="123"/>
      <c r="G12607" s="123">
        <f t="shared" si="202"/>
        <v>-74516</v>
      </c>
      <c r="H12607" s="709" t="s">
        <v>7910</v>
      </c>
    </row>
    <row r="12608" spans="1:8" ht="15" x14ac:dyDescent="0.2">
      <c r="A12608" s="721">
        <v>44716</v>
      </c>
      <c r="B12608" s="91" t="s">
        <v>3945</v>
      </c>
      <c r="C12608" s="175" t="s">
        <v>559</v>
      </c>
      <c r="D12608" s="892" t="s">
        <v>7909</v>
      </c>
      <c r="E12608" s="701"/>
      <c r="F12608" s="92">
        <v>337081</v>
      </c>
      <c r="G12608" s="92">
        <f t="shared" si="202"/>
        <v>337081</v>
      </c>
      <c r="H12608" s="702" t="s">
        <v>7910</v>
      </c>
    </row>
    <row r="12609" spans="1:8" ht="15" x14ac:dyDescent="0.2">
      <c r="A12609" s="721">
        <v>44720</v>
      </c>
      <c r="B12609" s="91" t="s">
        <v>7817</v>
      </c>
      <c r="C12609" s="175" t="s">
        <v>559</v>
      </c>
      <c r="D12609" s="892" t="s">
        <v>7947</v>
      </c>
      <c r="E12609" s="701"/>
      <c r="F12609" s="92">
        <v>1300000</v>
      </c>
      <c r="G12609" s="92">
        <f t="shared" si="202"/>
        <v>1300000</v>
      </c>
      <c r="H12609" s="702" t="s">
        <v>7910</v>
      </c>
    </row>
    <row r="12610" spans="1:8" ht="24" x14ac:dyDescent="0.2">
      <c r="A12610" s="721">
        <v>44726</v>
      </c>
      <c r="B12610" s="94" t="s">
        <v>7953</v>
      </c>
      <c r="C12610" s="175" t="s">
        <v>559</v>
      </c>
      <c r="D12610" s="802" t="s">
        <v>7961</v>
      </c>
      <c r="E12610" s="701"/>
      <c r="F12610" s="176">
        <v>500000</v>
      </c>
      <c r="G12610" s="176">
        <f t="shared" si="202"/>
        <v>500000</v>
      </c>
      <c r="H12610" s="702" t="s">
        <v>7910</v>
      </c>
    </row>
    <row r="12611" spans="1:8" ht="24" x14ac:dyDescent="0.2">
      <c r="A12611" s="724">
        <v>44726</v>
      </c>
      <c r="B12611" s="727" t="s">
        <v>7126</v>
      </c>
      <c r="C12611" s="726" t="s">
        <v>559</v>
      </c>
      <c r="D12611" s="916" t="s">
        <v>7960</v>
      </c>
      <c r="E12611" s="725"/>
      <c r="F12611" s="728">
        <v>157697</v>
      </c>
      <c r="G12611" s="176">
        <f t="shared" si="202"/>
        <v>157697</v>
      </c>
      <c r="H12611" s="702" t="s">
        <v>7910</v>
      </c>
    </row>
    <row r="12612" spans="1:8" ht="15" x14ac:dyDescent="0.2">
      <c r="A12612" s="724">
        <v>44726</v>
      </c>
      <c r="B12612" s="91" t="s">
        <v>3945</v>
      </c>
      <c r="C12612" s="175" t="s">
        <v>559</v>
      </c>
      <c r="D12612" s="892" t="s">
        <v>7962</v>
      </c>
      <c r="E12612" s="701"/>
      <c r="F12612" s="92">
        <v>337081</v>
      </c>
      <c r="G12612" s="92">
        <f t="shared" si="202"/>
        <v>337081</v>
      </c>
      <c r="H12612" s="702" t="s">
        <v>7910</v>
      </c>
    </row>
    <row r="12613" spans="1:8" ht="15" x14ac:dyDescent="0.2">
      <c r="A12613" s="724">
        <v>44726</v>
      </c>
      <c r="B12613" s="91" t="s">
        <v>3945</v>
      </c>
      <c r="C12613" s="175" t="s">
        <v>559</v>
      </c>
      <c r="D12613" s="892" t="s">
        <v>7963</v>
      </c>
      <c r="E12613" s="701"/>
      <c r="F12613" s="92">
        <v>337081</v>
      </c>
      <c r="G12613" s="92">
        <f t="shared" ref="G12613:G12676" si="203">F12613-E12613</f>
        <v>337081</v>
      </c>
      <c r="H12613" s="702" t="s">
        <v>7910</v>
      </c>
    </row>
    <row r="12614" spans="1:8" ht="15" x14ac:dyDescent="0.2">
      <c r="A12614" s="724">
        <v>44732</v>
      </c>
      <c r="B12614" s="91" t="s">
        <v>37</v>
      </c>
      <c r="C12614" s="175" t="s">
        <v>559</v>
      </c>
      <c r="D12614" s="892" t="s">
        <v>7962</v>
      </c>
      <c r="E12614" s="701"/>
      <c r="F12614" s="92">
        <v>188568</v>
      </c>
      <c r="G12614" s="92">
        <f t="shared" si="203"/>
        <v>188568</v>
      </c>
      <c r="H12614" s="702" t="s">
        <v>7910</v>
      </c>
    </row>
    <row r="12615" spans="1:8" ht="60" x14ac:dyDescent="0.2">
      <c r="A12615" s="724">
        <v>44735</v>
      </c>
      <c r="B12615" s="94" t="s">
        <v>7953</v>
      </c>
      <c r="C12615" s="175" t="s">
        <v>559</v>
      </c>
      <c r="D12615" s="917" t="s">
        <v>7990</v>
      </c>
      <c r="E12615" s="701"/>
      <c r="F12615" s="176">
        <v>99684</v>
      </c>
      <c r="G12615" s="176">
        <f t="shared" si="203"/>
        <v>99684</v>
      </c>
      <c r="H12615" s="702" t="s">
        <v>7910</v>
      </c>
    </row>
    <row r="12616" spans="1:8" ht="24" x14ac:dyDescent="0.2">
      <c r="A12616" s="724">
        <v>44735</v>
      </c>
      <c r="B12616" s="94" t="s">
        <v>7953</v>
      </c>
      <c r="C12616" s="175" t="s">
        <v>559</v>
      </c>
      <c r="D12616" s="802" t="s">
        <v>7989</v>
      </c>
      <c r="E12616" s="701"/>
      <c r="F12616" s="176">
        <v>825000</v>
      </c>
      <c r="G12616" s="176">
        <f t="shared" si="203"/>
        <v>825000</v>
      </c>
      <c r="H12616" s="702" t="s">
        <v>7910</v>
      </c>
    </row>
    <row r="12617" spans="1:8" ht="24" x14ac:dyDescent="0.2">
      <c r="A12617" s="724">
        <v>44741</v>
      </c>
      <c r="B12617" s="94" t="s">
        <v>7921</v>
      </c>
      <c r="C12617" s="175" t="s">
        <v>559</v>
      </c>
      <c r="D12617" s="802" t="s">
        <v>8009</v>
      </c>
      <c r="E12617" s="176"/>
      <c r="F12617" s="176">
        <v>2875293</v>
      </c>
      <c r="G12617" s="176">
        <f t="shared" si="203"/>
        <v>2875293</v>
      </c>
      <c r="H12617" s="702" t="s">
        <v>7910</v>
      </c>
    </row>
    <row r="12618" spans="1:8" ht="15" x14ac:dyDescent="0.2">
      <c r="A12618" s="724">
        <v>44742</v>
      </c>
      <c r="B12618" s="91" t="s">
        <v>3946</v>
      </c>
      <c r="C12618" s="175" t="s">
        <v>559</v>
      </c>
      <c r="D12618" s="801" t="s">
        <v>7962</v>
      </c>
      <c r="E12618" s="176"/>
      <c r="F12618" s="92">
        <v>310329</v>
      </c>
      <c r="G12618" s="92">
        <f t="shared" si="203"/>
        <v>310329</v>
      </c>
      <c r="H12618" s="702" t="s">
        <v>7910</v>
      </c>
    </row>
    <row r="12619" spans="1:8" ht="15" customHeight="1" x14ac:dyDescent="0.2">
      <c r="A12619" s="729">
        <v>44743</v>
      </c>
      <c r="B12619" s="41" t="s">
        <v>3945</v>
      </c>
      <c r="C12619" s="41" t="s">
        <v>3145</v>
      </c>
      <c r="D12619" s="108" t="s">
        <v>8016</v>
      </c>
      <c r="E12619" s="58">
        <v>5000</v>
      </c>
      <c r="F12619" s="58"/>
      <c r="G12619" s="58">
        <f t="shared" si="203"/>
        <v>-5000</v>
      </c>
      <c r="H12619" s="705" t="s">
        <v>8014</v>
      </c>
    </row>
    <row r="12620" spans="1:8" ht="15" customHeight="1" x14ac:dyDescent="0.2">
      <c r="A12620" s="729">
        <v>44743</v>
      </c>
      <c r="B12620" s="41" t="s">
        <v>3945</v>
      </c>
      <c r="C12620" s="41" t="s">
        <v>3145</v>
      </c>
      <c r="D12620" s="108" t="s">
        <v>8015</v>
      </c>
      <c r="E12620" s="42">
        <v>5620</v>
      </c>
      <c r="G12620" s="58">
        <f t="shared" si="203"/>
        <v>-5620</v>
      </c>
      <c r="H12620" s="705" t="s">
        <v>8014</v>
      </c>
    </row>
    <row r="12621" spans="1:8" ht="15" customHeight="1" x14ac:dyDescent="0.2">
      <c r="A12621" s="729">
        <v>44743</v>
      </c>
      <c r="B12621" s="41" t="s">
        <v>7921</v>
      </c>
      <c r="C12621" s="41" t="s">
        <v>3145</v>
      </c>
      <c r="D12621" s="108" t="s">
        <v>8017</v>
      </c>
      <c r="E12621" s="42">
        <v>6830</v>
      </c>
      <c r="G12621" s="58">
        <f t="shared" si="203"/>
        <v>-6830</v>
      </c>
      <c r="H12621" s="705" t="s">
        <v>8014</v>
      </c>
    </row>
    <row r="12622" spans="1:8" ht="15" customHeight="1" x14ac:dyDescent="0.2">
      <c r="A12622" s="729">
        <v>44743</v>
      </c>
      <c r="B12622" s="41" t="s">
        <v>25</v>
      </c>
      <c r="C12622" s="41" t="s">
        <v>2428</v>
      </c>
      <c r="D12622" s="108" t="s">
        <v>8025</v>
      </c>
      <c r="E12622" s="42">
        <v>29357</v>
      </c>
      <c r="G12622" s="42">
        <f t="shared" si="203"/>
        <v>-29357</v>
      </c>
      <c r="H12622" s="705" t="s">
        <v>8014</v>
      </c>
    </row>
    <row r="12623" spans="1:8" ht="15" customHeight="1" x14ac:dyDescent="0.2">
      <c r="A12623" s="729">
        <v>44743</v>
      </c>
      <c r="B12623" s="41" t="s">
        <v>3945</v>
      </c>
      <c r="C12623" s="41" t="s">
        <v>286</v>
      </c>
      <c r="D12623" s="108" t="s">
        <v>8018</v>
      </c>
      <c r="E12623" s="42">
        <v>200</v>
      </c>
      <c r="G12623" s="42">
        <f t="shared" si="203"/>
        <v>-200</v>
      </c>
      <c r="H12623" s="705" t="s">
        <v>8014</v>
      </c>
    </row>
    <row r="12624" spans="1:8" ht="15" customHeight="1" x14ac:dyDescent="0.2">
      <c r="A12624" s="729">
        <v>44743</v>
      </c>
      <c r="B12624" s="41" t="s">
        <v>16</v>
      </c>
      <c r="C12624" s="41" t="s">
        <v>5341</v>
      </c>
      <c r="D12624" s="108" t="s">
        <v>8019</v>
      </c>
      <c r="E12624" s="42">
        <v>30000</v>
      </c>
      <c r="G12624" s="42">
        <f t="shared" si="203"/>
        <v>-30000</v>
      </c>
      <c r="H12624" s="705" t="s">
        <v>8014</v>
      </c>
    </row>
    <row r="12625" spans="1:8" ht="15" customHeight="1" x14ac:dyDescent="0.2">
      <c r="A12625" s="729">
        <v>44743</v>
      </c>
      <c r="B12625" s="41" t="s">
        <v>7921</v>
      </c>
      <c r="C12625" s="41" t="s">
        <v>7949</v>
      </c>
      <c r="D12625" s="108" t="s">
        <v>8023</v>
      </c>
      <c r="E12625" s="42">
        <v>12000</v>
      </c>
      <c r="G12625" s="42">
        <f t="shared" si="203"/>
        <v>-12000</v>
      </c>
      <c r="H12625" s="705" t="s">
        <v>8014</v>
      </c>
    </row>
    <row r="12626" spans="1:8" ht="15" customHeight="1" x14ac:dyDescent="0.2">
      <c r="A12626" s="729">
        <v>44743</v>
      </c>
      <c r="B12626" s="41" t="s">
        <v>7921</v>
      </c>
      <c r="C12626" s="41" t="s">
        <v>778</v>
      </c>
      <c r="D12626" s="108" t="s">
        <v>8024</v>
      </c>
      <c r="E12626" s="42">
        <v>100000</v>
      </c>
      <c r="G12626" s="42">
        <f t="shared" si="203"/>
        <v>-100000</v>
      </c>
      <c r="H12626" s="705" t="s">
        <v>8014</v>
      </c>
    </row>
    <row r="12627" spans="1:8" ht="15" customHeight="1" x14ac:dyDescent="0.2">
      <c r="A12627" s="729">
        <v>44743</v>
      </c>
      <c r="B12627" s="41" t="s">
        <v>7921</v>
      </c>
      <c r="C12627" s="41" t="s">
        <v>392</v>
      </c>
      <c r="D12627" s="108" t="s">
        <v>6335</v>
      </c>
      <c r="E12627" s="42">
        <v>900</v>
      </c>
      <c r="G12627" s="42">
        <f t="shared" si="203"/>
        <v>-900</v>
      </c>
      <c r="H12627" s="705" t="s">
        <v>8014</v>
      </c>
    </row>
    <row r="12628" spans="1:8" ht="15" customHeight="1" x14ac:dyDescent="0.2">
      <c r="A12628" s="729">
        <v>44743</v>
      </c>
      <c r="B12628" s="41" t="s">
        <v>16</v>
      </c>
      <c r="C12628" s="41" t="s">
        <v>103</v>
      </c>
      <c r="D12628" s="108" t="s">
        <v>8000</v>
      </c>
      <c r="E12628" s="42">
        <v>5120</v>
      </c>
      <c r="G12628" s="42">
        <f t="shared" si="203"/>
        <v>-5120</v>
      </c>
      <c r="H12628" s="705" t="s">
        <v>8014</v>
      </c>
    </row>
    <row r="12629" spans="1:8" ht="15" customHeight="1" x14ac:dyDescent="0.2">
      <c r="A12629" s="729">
        <v>44743</v>
      </c>
      <c r="B12629" s="41" t="s">
        <v>16</v>
      </c>
      <c r="C12629" s="41" t="s">
        <v>2996</v>
      </c>
      <c r="E12629" s="42">
        <v>4670</v>
      </c>
      <c r="G12629" s="42">
        <f t="shared" si="203"/>
        <v>-4670</v>
      </c>
      <c r="H12629" s="705" t="s">
        <v>8014</v>
      </c>
    </row>
    <row r="12630" spans="1:8" ht="15" x14ac:dyDescent="0.2">
      <c r="A12630" s="729">
        <v>44745</v>
      </c>
      <c r="B12630" s="41" t="s">
        <v>7657</v>
      </c>
      <c r="C12630" s="41" t="s">
        <v>392</v>
      </c>
      <c r="D12630" s="108" t="s">
        <v>7507</v>
      </c>
      <c r="E12630" s="42">
        <v>2200</v>
      </c>
      <c r="G12630" s="42">
        <f t="shared" si="203"/>
        <v>-2200</v>
      </c>
      <c r="H12630" s="705" t="s">
        <v>8014</v>
      </c>
    </row>
    <row r="12631" spans="1:8" ht="15" customHeight="1" x14ac:dyDescent="0.2">
      <c r="A12631" s="729">
        <v>44745</v>
      </c>
      <c r="B12631" s="41" t="s">
        <v>7657</v>
      </c>
      <c r="C12631" s="41" t="s">
        <v>286</v>
      </c>
      <c r="D12631" s="108" t="s">
        <v>7836</v>
      </c>
      <c r="E12631" s="42">
        <v>250</v>
      </c>
      <c r="G12631" s="42">
        <f t="shared" si="203"/>
        <v>-250</v>
      </c>
      <c r="H12631" s="705" t="s">
        <v>8014</v>
      </c>
    </row>
    <row r="12632" spans="1:8" ht="15" x14ac:dyDescent="0.2">
      <c r="A12632" s="729">
        <v>44745</v>
      </c>
      <c r="B12632" s="41" t="s">
        <v>16</v>
      </c>
      <c r="C12632" s="41" t="s">
        <v>3364</v>
      </c>
      <c r="E12632" s="42">
        <v>4270</v>
      </c>
      <c r="G12632" s="42">
        <f t="shared" si="203"/>
        <v>-4270</v>
      </c>
      <c r="H12632" s="705" t="s">
        <v>8014</v>
      </c>
    </row>
    <row r="12633" spans="1:8" ht="15" x14ac:dyDescent="0.2">
      <c r="A12633" s="729">
        <v>44745</v>
      </c>
      <c r="B12633" s="41" t="s">
        <v>16</v>
      </c>
      <c r="C12633" s="41" t="s">
        <v>1495</v>
      </c>
      <c r="E12633" s="42">
        <v>800</v>
      </c>
      <c r="G12633" s="42">
        <f t="shared" si="203"/>
        <v>-800</v>
      </c>
      <c r="H12633" s="705" t="s">
        <v>8014</v>
      </c>
    </row>
    <row r="12634" spans="1:8" ht="15" x14ac:dyDescent="0.2">
      <c r="A12634" s="729">
        <v>44746</v>
      </c>
      <c r="B12634" s="41" t="s">
        <v>82</v>
      </c>
      <c r="C12634" s="41" t="s">
        <v>6476</v>
      </c>
      <c r="D12634" s="108" t="s">
        <v>8052</v>
      </c>
      <c r="E12634" s="42">
        <v>15000</v>
      </c>
      <c r="G12634" s="42">
        <f t="shared" si="203"/>
        <v>-15000</v>
      </c>
      <c r="H12634" s="705" t="s">
        <v>8014</v>
      </c>
    </row>
    <row r="12635" spans="1:8" ht="15" x14ac:dyDescent="0.2">
      <c r="A12635" s="729">
        <v>44746</v>
      </c>
      <c r="B12635" s="41" t="s">
        <v>16</v>
      </c>
      <c r="C12635" s="41" t="s">
        <v>103</v>
      </c>
      <c r="D12635" s="108" t="s">
        <v>8000</v>
      </c>
      <c r="E12635" s="42">
        <v>4780</v>
      </c>
      <c r="G12635" s="42">
        <f t="shared" si="203"/>
        <v>-4780</v>
      </c>
      <c r="H12635" s="705" t="s">
        <v>8014</v>
      </c>
    </row>
    <row r="12636" spans="1:8" ht="15" x14ac:dyDescent="0.2">
      <c r="A12636" s="729">
        <v>44746</v>
      </c>
      <c r="B12636" s="41" t="s">
        <v>25</v>
      </c>
      <c r="C12636" s="41" t="s">
        <v>4065</v>
      </c>
      <c r="D12636" s="108" t="s">
        <v>2108</v>
      </c>
      <c r="E12636" s="42">
        <v>650</v>
      </c>
      <c r="G12636" s="42">
        <f t="shared" si="203"/>
        <v>-650</v>
      </c>
      <c r="H12636" s="705" t="s">
        <v>8014</v>
      </c>
    </row>
    <row r="12637" spans="1:8" ht="15" x14ac:dyDescent="0.2">
      <c r="A12637" s="729">
        <v>44746</v>
      </c>
      <c r="B12637" s="41" t="s">
        <v>1400</v>
      </c>
      <c r="C12637" s="41" t="s">
        <v>3145</v>
      </c>
      <c r="D12637" s="108" t="s">
        <v>8116</v>
      </c>
      <c r="E12637" s="42">
        <v>5000</v>
      </c>
      <c r="G12637" s="42">
        <f t="shared" si="203"/>
        <v>-5000</v>
      </c>
      <c r="H12637" s="705" t="s">
        <v>8014</v>
      </c>
    </row>
    <row r="12638" spans="1:8" ht="15" x14ac:dyDescent="0.2">
      <c r="A12638" s="729">
        <v>44746</v>
      </c>
      <c r="B12638" s="41" t="s">
        <v>16</v>
      </c>
      <c r="C12638" s="41" t="s">
        <v>103</v>
      </c>
      <c r="D12638" s="108" t="s">
        <v>8117</v>
      </c>
      <c r="E12638" s="42">
        <v>1000</v>
      </c>
      <c r="G12638" s="42">
        <f t="shared" si="203"/>
        <v>-1000</v>
      </c>
      <c r="H12638" s="705" t="s">
        <v>8014</v>
      </c>
    </row>
    <row r="12639" spans="1:8" ht="15" x14ac:dyDescent="0.2">
      <c r="A12639" s="729">
        <v>44746</v>
      </c>
      <c r="B12639" s="41" t="s">
        <v>16</v>
      </c>
      <c r="C12639" s="41" t="s">
        <v>1689</v>
      </c>
      <c r="D12639" s="108" t="s">
        <v>2575</v>
      </c>
      <c r="E12639" s="42">
        <v>780</v>
      </c>
      <c r="G12639" s="42">
        <f t="shared" si="203"/>
        <v>-780</v>
      </c>
      <c r="H12639" s="705" t="s">
        <v>8014</v>
      </c>
    </row>
    <row r="12640" spans="1:8" ht="15" x14ac:dyDescent="0.2">
      <c r="A12640" s="729">
        <v>44746</v>
      </c>
      <c r="B12640" s="41" t="s">
        <v>16</v>
      </c>
      <c r="C12640" s="41" t="s">
        <v>103</v>
      </c>
      <c r="D12640" s="108" t="s">
        <v>8000</v>
      </c>
      <c r="E12640" s="42">
        <v>4830</v>
      </c>
      <c r="G12640" s="42">
        <f t="shared" si="203"/>
        <v>-4830</v>
      </c>
      <c r="H12640" s="705" t="s">
        <v>8014</v>
      </c>
    </row>
    <row r="12641" spans="1:8" ht="15" x14ac:dyDescent="0.2">
      <c r="A12641" s="729">
        <v>44746</v>
      </c>
      <c r="B12641" s="41" t="s">
        <v>7921</v>
      </c>
      <c r="C12641" s="41" t="s">
        <v>7949</v>
      </c>
      <c r="D12641" s="108" t="s">
        <v>370</v>
      </c>
      <c r="E12641" s="42">
        <v>45000</v>
      </c>
      <c r="G12641" s="42">
        <f t="shared" si="203"/>
        <v>-45000</v>
      </c>
      <c r="H12641" s="705" t="s">
        <v>8014</v>
      </c>
    </row>
    <row r="12642" spans="1:8" ht="15" x14ac:dyDescent="0.2">
      <c r="A12642" s="729">
        <v>44746</v>
      </c>
      <c r="B12642" s="41" t="s">
        <v>7953</v>
      </c>
      <c r="C12642" s="41" t="s">
        <v>5741</v>
      </c>
      <c r="E12642" s="42">
        <v>1500</v>
      </c>
      <c r="G12642" s="42">
        <f t="shared" si="203"/>
        <v>-1500</v>
      </c>
      <c r="H12642" s="705" t="s">
        <v>8014</v>
      </c>
    </row>
    <row r="12643" spans="1:8" ht="15" x14ac:dyDescent="0.2">
      <c r="A12643" s="729">
        <v>44746</v>
      </c>
      <c r="B12643" s="41" t="s">
        <v>37</v>
      </c>
      <c r="C12643" s="41" t="s">
        <v>392</v>
      </c>
      <c r="D12643" s="108" t="s">
        <v>5755</v>
      </c>
      <c r="E12643" s="42">
        <v>3000</v>
      </c>
      <c r="G12643" s="42">
        <f t="shared" si="203"/>
        <v>-3000</v>
      </c>
      <c r="H12643" s="705" t="s">
        <v>8014</v>
      </c>
    </row>
    <row r="12644" spans="1:8" ht="15" x14ac:dyDescent="0.2">
      <c r="A12644" s="729">
        <v>44746</v>
      </c>
      <c r="B12644" s="41" t="s">
        <v>7112</v>
      </c>
      <c r="C12644" s="41" t="s">
        <v>6009</v>
      </c>
      <c r="D12644" s="108" t="s">
        <v>8053</v>
      </c>
      <c r="E12644" s="42">
        <v>96600</v>
      </c>
      <c r="G12644" s="42">
        <f t="shared" si="203"/>
        <v>-96600</v>
      </c>
      <c r="H12644" s="705" t="s">
        <v>8014</v>
      </c>
    </row>
    <row r="12645" spans="1:8" ht="15" x14ac:dyDescent="0.2">
      <c r="A12645" s="729">
        <v>44746</v>
      </c>
      <c r="B12645" s="41" t="s">
        <v>7953</v>
      </c>
      <c r="C12645" s="41" t="s">
        <v>8027</v>
      </c>
      <c r="D12645" s="108" t="s">
        <v>8054</v>
      </c>
      <c r="E12645" s="58">
        <v>210000</v>
      </c>
      <c r="G12645" s="42">
        <f t="shared" si="203"/>
        <v>-210000</v>
      </c>
      <c r="H12645" s="705" t="s">
        <v>8014</v>
      </c>
    </row>
    <row r="12646" spans="1:8" ht="15" x14ac:dyDescent="0.2">
      <c r="A12646" s="729">
        <v>44746</v>
      </c>
      <c r="B12646" s="41" t="s">
        <v>6505</v>
      </c>
      <c r="C12646" s="41" t="s">
        <v>3145</v>
      </c>
      <c r="D12646" s="108" t="s">
        <v>4452</v>
      </c>
      <c r="E12646" s="42">
        <v>11670</v>
      </c>
      <c r="G12646" s="42">
        <f t="shared" si="203"/>
        <v>-11670</v>
      </c>
      <c r="H12646" s="705" t="s">
        <v>8014</v>
      </c>
    </row>
    <row r="12647" spans="1:8" ht="15" x14ac:dyDescent="0.2">
      <c r="A12647" s="729">
        <v>44746</v>
      </c>
      <c r="B12647" s="41" t="s">
        <v>7112</v>
      </c>
      <c r="C12647" s="41" t="s">
        <v>3145</v>
      </c>
      <c r="D12647" s="108" t="s">
        <v>4452</v>
      </c>
      <c r="E12647" s="42">
        <v>3000</v>
      </c>
      <c r="G12647" s="42">
        <f t="shared" si="203"/>
        <v>-3000</v>
      </c>
      <c r="H12647" s="705" t="s">
        <v>8014</v>
      </c>
    </row>
    <row r="12648" spans="1:8" ht="15" x14ac:dyDescent="0.2">
      <c r="A12648" s="729">
        <v>44746</v>
      </c>
      <c r="B12648" s="41" t="s">
        <v>2933</v>
      </c>
      <c r="C12648" s="41" t="s">
        <v>3145</v>
      </c>
      <c r="D12648" s="108" t="s">
        <v>4452</v>
      </c>
      <c r="E12648" s="42">
        <v>3000</v>
      </c>
      <c r="G12648" s="42">
        <f t="shared" si="203"/>
        <v>-3000</v>
      </c>
      <c r="H12648" s="705" t="s">
        <v>8014</v>
      </c>
    </row>
    <row r="12649" spans="1:8" ht="15" x14ac:dyDescent="0.2">
      <c r="A12649" s="729">
        <v>44746</v>
      </c>
      <c r="B12649" s="41" t="s">
        <v>7657</v>
      </c>
      <c r="C12649" s="41" t="s">
        <v>3145</v>
      </c>
      <c r="D12649" s="108" t="s">
        <v>4452</v>
      </c>
      <c r="E12649" s="42">
        <v>11000</v>
      </c>
      <c r="G12649" s="42">
        <f t="shared" si="203"/>
        <v>-11000</v>
      </c>
      <c r="H12649" s="705" t="s">
        <v>8014</v>
      </c>
    </row>
    <row r="12650" spans="1:8" ht="15" x14ac:dyDescent="0.2">
      <c r="A12650" s="729">
        <v>44746</v>
      </c>
      <c r="B12650" s="41" t="s">
        <v>2933</v>
      </c>
      <c r="C12650" s="41" t="s">
        <v>2190</v>
      </c>
      <c r="E12650" s="42">
        <v>3400</v>
      </c>
      <c r="G12650" s="42">
        <f t="shared" si="203"/>
        <v>-3400</v>
      </c>
      <c r="H12650" s="705" t="s">
        <v>8014</v>
      </c>
    </row>
    <row r="12651" spans="1:8" ht="15" x14ac:dyDescent="0.2">
      <c r="A12651" s="729">
        <v>44746</v>
      </c>
      <c r="B12651" s="41" t="s">
        <v>6505</v>
      </c>
      <c r="C12651" s="41" t="s">
        <v>6249</v>
      </c>
      <c r="D12651" s="108" t="s">
        <v>370</v>
      </c>
      <c r="E12651" s="42">
        <v>14400</v>
      </c>
      <c r="G12651" s="42">
        <f t="shared" si="203"/>
        <v>-14400</v>
      </c>
      <c r="H12651" s="705" t="s">
        <v>8014</v>
      </c>
    </row>
    <row r="12652" spans="1:8" ht="15" x14ac:dyDescent="0.2">
      <c r="A12652" s="729">
        <v>44760</v>
      </c>
      <c r="B12652" s="41" t="s">
        <v>1400</v>
      </c>
      <c r="C12652" s="41" t="s">
        <v>3145</v>
      </c>
      <c r="D12652" s="108" t="s">
        <v>8055</v>
      </c>
      <c r="E12652" s="42">
        <v>12400</v>
      </c>
      <c r="G12652" s="42">
        <f t="shared" si="203"/>
        <v>-12400</v>
      </c>
      <c r="H12652" s="705" t="s">
        <v>8014</v>
      </c>
    </row>
    <row r="12653" spans="1:8" ht="15" x14ac:dyDescent="0.2">
      <c r="A12653" s="729">
        <v>44760</v>
      </c>
      <c r="B12653" s="41" t="s">
        <v>7921</v>
      </c>
      <c r="C12653" s="41" t="s">
        <v>3145</v>
      </c>
      <c r="D12653" s="108" t="s">
        <v>8056</v>
      </c>
      <c r="E12653" s="42">
        <v>30600</v>
      </c>
      <c r="G12653" s="42">
        <f t="shared" si="203"/>
        <v>-30600</v>
      </c>
      <c r="H12653" s="705" t="s">
        <v>8014</v>
      </c>
    </row>
    <row r="12654" spans="1:8" ht="15" x14ac:dyDescent="0.2">
      <c r="A12654" s="729">
        <v>44760</v>
      </c>
      <c r="B12654" s="41" t="s">
        <v>7921</v>
      </c>
      <c r="C12654" s="41" t="s">
        <v>3145</v>
      </c>
      <c r="D12654" s="108" t="s">
        <v>8057</v>
      </c>
      <c r="E12654" s="42">
        <v>62010</v>
      </c>
      <c r="G12654" s="42">
        <f t="shared" si="203"/>
        <v>-62010</v>
      </c>
      <c r="H12654" s="705" t="s">
        <v>8014</v>
      </c>
    </row>
    <row r="12655" spans="1:8" ht="15" x14ac:dyDescent="0.2">
      <c r="A12655" s="729">
        <v>44760</v>
      </c>
      <c r="B12655" s="41" t="s">
        <v>7921</v>
      </c>
      <c r="C12655" s="41" t="s">
        <v>3145</v>
      </c>
      <c r="D12655" s="108" t="s">
        <v>8058</v>
      </c>
      <c r="E12655" s="42">
        <v>13650</v>
      </c>
      <c r="G12655" s="42">
        <f t="shared" si="203"/>
        <v>-13650</v>
      </c>
      <c r="H12655" s="705" t="s">
        <v>8014</v>
      </c>
    </row>
    <row r="12656" spans="1:8" ht="15" x14ac:dyDescent="0.2">
      <c r="A12656" s="729">
        <v>44760</v>
      </c>
      <c r="B12656" s="41" t="s">
        <v>8043</v>
      </c>
      <c r="C12656" s="41" t="s">
        <v>3145</v>
      </c>
      <c r="D12656" s="108" t="s">
        <v>8058</v>
      </c>
      <c r="E12656" s="42">
        <v>42515</v>
      </c>
      <c r="G12656" s="42">
        <f t="shared" si="203"/>
        <v>-42515</v>
      </c>
      <c r="H12656" s="705" t="s">
        <v>8014</v>
      </c>
    </row>
    <row r="12657" spans="1:8" ht="15" x14ac:dyDescent="0.2">
      <c r="A12657" s="729">
        <v>44760</v>
      </c>
      <c r="B12657" s="41" t="s">
        <v>1400</v>
      </c>
      <c r="C12657" s="41" t="s">
        <v>3145</v>
      </c>
      <c r="D12657" s="108" t="s">
        <v>8059</v>
      </c>
      <c r="E12657" s="42">
        <v>7820</v>
      </c>
      <c r="G12657" s="42">
        <f t="shared" si="203"/>
        <v>-7820</v>
      </c>
      <c r="H12657" s="705" t="s">
        <v>8014</v>
      </c>
    </row>
    <row r="12658" spans="1:8" ht="15" x14ac:dyDescent="0.2">
      <c r="A12658" s="729">
        <v>44762</v>
      </c>
      <c r="B12658" s="41" t="s">
        <v>2933</v>
      </c>
      <c r="C12658" s="41" t="s">
        <v>286</v>
      </c>
      <c r="D12658" s="108" t="s">
        <v>8060</v>
      </c>
      <c r="E12658" s="42">
        <v>3000</v>
      </c>
      <c r="G12658" s="42">
        <f t="shared" si="203"/>
        <v>-3000</v>
      </c>
      <c r="H12658" s="705" t="s">
        <v>8014</v>
      </c>
    </row>
    <row r="12659" spans="1:8" ht="15" x14ac:dyDescent="0.2">
      <c r="A12659" s="729">
        <v>44762</v>
      </c>
      <c r="B12659" s="41" t="s">
        <v>16</v>
      </c>
      <c r="C12659" s="41" t="s">
        <v>103</v>
      </c>
      <c r="D12659" s="108" t="s">
        <v>8118</v>
      </c>
      <c r="E12659" s="42">
        <v>5491</v>
      </c>
      <c r="G12659" s="42">
        <f t="shared" si="203"/>
        <v>-5491</v>
      </c>
      <c r="H12659" s="705" t="s">
        <v>8014</v>
      </c>
    </row>
    <row r="12660" spans="1:8" ht="15" x14ac:dyDescent="0.2">
      <c r="A12660" s="729">
        <v>44762</v>
      </c>
      <c r="B12660" s="41" t="s">
        <v>16</v>
      </c>
      <c r="C12660" s="41" t="s">
        <v>1689</v>
      </c>
      <c r="D12660" s="108" t="s">
        <v>8119</v>
      </c>
      <c r="E12660" s="42">
        <v>2630</v>
      </c>
      <c r="G12660" s="42">
        <f t="shared" si="203"/>
        <v>-2630</v>
      </c>
      <c r="H12660" s="705" t="s">
        <v>8014</v>
      </c>
    </row>
    <row r="12661" spans="1:8" ht="15" x14ac:dyDescent="0.2">
      <c r="A12661" s="729">
        <v>44762</v>
      </c>
      <c r="B12661" s="41" t="s">
        <v>25</v>
      </c>
      <c r="C12661" s="41" t="s">
        <v>1689</v>
      </c>
      <c r="D12661" s="108" t="s">
        <v>8120</v>
      </c>
      <c r="E12661" s="42">
        <v>6040</v>
      </c>
      <c r="G12661" s="42">
        <f t="shared" si="203"/>
        <v>-6040</v>
      </c>
      <c r="H12661" s="705" t="s">
        <v>8014</v>
      </c>
    </row>
    <row r="12662" spans="1:8" ht="15" x14ac:dyDescent="0.2">
      <c r="A12662" s="729">
        <v>44762</v>
      </c>
      <c r="B12662" s="41" t="s">
        <v>16</v>
      </c>
      <c r="C12662" s="41" t="s">
        <v>286</v>
      </c>
      <c r="D12662" s="108" t="s">
        <v>2431</v>
      </c>
      <c r="E12662" s="42">
        <v>130</v>
      </c>
      <c r="G12662" s="42">
        <f t="shared" si="203"/>
        <v>-130</v>
      </c>
      <c r="H12662" s="705" t="s">
        <v>8014</v>
      </c>
    </row>
    <row r="12663" spans="1:8" ht="15" x14ac:dyDescent="0.2">
      <c r="A12663" s="729">
        <v>44762</v>
      </c>
      <c r="B12663" s="41" t="s">
        <v>37</v>
      </c>
      <c r="C12663" s="41" t="s">
        <v>286</v>
      </c>
      <c r="D12663" s="108" t="s">
        <v>8060</v>
      </c>
      <c r="E12663" s="42">
        <v>2000</v>
      </c>
      <c r="G12663" s="42">
        <f t="shared" si="203"/>
        <v>-2000</v>
      </c>
      <c r="H12663" s="705" t="s">
        <v>8014</v>
      </c>
    </row>
    <row r="12664" spans="1:8" ht="15" x14ac:dyDescent="0.2">
      <c r="A12664" s="729">
        <v>44762</v>
      </c>
      <c r="B12664" s="41" t="s">
        <v>7112</v>
      </c>
      <c r="C12664" s="41" t="s">
        <v>286</v>
      </c>
      <c r="D12664" s="108" t="s">
        <v>8060</v>
      </c>
      <c r="E12664" s="42">
        <v>2308</v>
      </c>
      <c r="G12664" s="42">
        <f t="shared" si="203"/>
        <v>-2308</v>
      </c>
      <c r="H12664" s="705" t="s">
        <v>8014</v>
      </c>
    </row>
    <row r="12665" spans="1:8" ht="15" x14ac:dyDescent="0.2">
      <c r="A12665" s="729">
        <v>44762</v>
      </c>
      <c r="B12665" s="41" t="s">
        <v>7921</v>
      </c>
      <c r="C12665" s="41" t="s">
        <v>2019</v>
      </c>
      <c r="D12665" s="108" t="s">
        <v>8061</v>
      </c>
      <c r="E12665" s="42">
        <v>20000</v>
      </c>
      <c r="G12665" s="42">
        <f t="shared" si="203"/>
        <v>-20000</v>
      </c>
      <c r="H12665" s="705" t="s">
        <v>8014</v>
      </c>
    </row>
    <row r="12666" spans="1:8" ht="15" x14ac:dyDescent="0.2">
      <c r="A12666" s="729">
        <v>44762</v>
      </c>
      <c r="B12666" s="41" t="s">
        <v>8043</v>
      </c>
      <c r="C12666" s="41" t="s">
        <v>2190</v>
      </c>
      <c r="E12666" s="42">
        <v>1375</v>
      </c>
      <c r="G12666" s="42">
        <f t="shared" si="203"/>
        <v>-1375</v>
      </c>
      <c r="H12666" s="705" t="s">
        <v>8014</v>
      </c>
    </row>
    <row r="12667" spans="1:8" ht="15" x14ac:dyDescent="0.2">
      <c r="A12667" s="729">
        <v>44762</v>
      </c>
      <c r="B12667" s="41" t="s">
        <v>8043</v>
      </c>
      <c r="C12667" s="41" t="s">
        <v>2190</v>
      </c>
      <c r="E12667" s="42">
        <v>340</v>
      </c>
      <c r="G12667" s="42">
        <f t="shared" si="203"/>
        <v>-340</v>
      </c>
      <c r="H12667" s="705" t="s">
        <v>8014</v>
      </c>
    </row>
    <row r="12668" spans="1:8" ht="15" x14ac:dyDescent="0.2">
      <c r="A12668" s="729">
        <v>44763</v>
      </c>
      <c r="B12668" s="41" t="s">
        <v>8043</v>
      </c>
      <c r="C12668" s="41" t="s">
        <v>2190</v>
      </c>
      <c r="E12668" s="42">
        <v>2520</v>
      </c>
      <c r="G12668" s="42">
        <f t="shared" si="203"/>
        <v>-2520</v>
      </c>
      <c r="H12668" s="705" t="s">
        <v>8014</v>
      </c>
    </row>
    <row r="12669" spans="1:8" ht="15" x14ac:dyDescent="0.2">
      <c r="A12669" s="729">
        <v>44763</v>
      </c>
      <c r="B12669" s="41" t="s">
        <v>8043</v>
      </c>
      <c r="C12669" s="41" t="s">
        <v>2190</v>
      </c>
      <c r="E12669" s="42">
        <v>3060</v>
      </c>
      <c r="G12669" s="42">
        <f t="shared" si="203"/>
        <v>-3060</v>
      </c>
      <c r="H12669" s="705" t="s">
        <v>8014</v>
      </c>
    </row>
    <row r="12670" spans="1:8" ht="15" x14ac:dyDescent="0.2">
      <c r="A12670" s="729">
        <v>44763</v>
      </c>
      <c r="B12670" s="41" t="s">
        <v>8043</v>
      </c>
      <c r="C12670" s="41" t="s">
        <v>2190</v>
      </c>
      <c r="E12670" s="42">
        <v>340</v>
      </c>
      <c r="G12670" s="42">
        <f t="shared" si="203"/>
        <v>-340</v>
      </c>
      <c r="H12670" s="705" t="s">
        <v>8014</v>
      </c>
    </row>
    <row r="12671" spans="1:8" ht="15" x14ac:dyDescent="0.2">
      <c r="A12671" s="729">
        <v>44763</v>
      </c>
      <c r="B12671" s="41" t="s">
        <v>7657</v>
      </c>
      <c r="C12671" s="41" t="s">
        <v>392</v>
      </c>
      <c r="D12671" s="108" t="s">
        <v>8062</v>
      </c>
      <c r="E12671" s="42">
        <v>2000</v>
      </c>
      <c r="G12671" s="42">
        <f t="shared" si="203"/>
        <v>-2000</v>
      </c>
      <c r="H12671" s="705" t="s">
        <v>8014</v>
      </c>
    </row>
    <row r="12672" spans="1:8" ht="15" x14ac:dyDescent="0.2">
      <c r="A12672" s="729">
        <v>44764</v>
      </c>
      <c r="B12672" s="41" t="s">
        <v>16</v>
      </c>
      <c r="C12672" s="41" t="s">
        <v>103</v>
      </c>
      <c r="D12672" s="108" t="s">
        <v>8121</v>
      </c>
      <c r="E12672" s="42">
        <v>130</v>
      </c>
      <c r="G12672" s="42">
        <f t="shared" si="203"/>
        <v>-130</v>
      </c>
      <c r="H12672" s="705" t="s">
        <v>8014</v>
      </c>
    </row>
    <row r="12673" spans="1:8" ht="15" x14ac:dyDescent="0.2">
      <c r="A12673" s="729">
        <v>44764</v>
      </c>
      <c r="B12673" s="41" t="s">
        <v>16</v>
      </c>
      <c r="C12673" s="41" t="s">
        <v>103</v>
      </c>
      <c r="D12673" s="108" t="s">
        <v>8122</v>
      </c>
      <c r="E12673" s="42">
        <v>4570</v>
      </c>
      <c r="G12673" s="42">
        <f t="shared" si="203"/>
        <v>-4570</v>
      </c>
      <c r="H12673" s="705" t="s">
        <v>8014</v>
      </c>
    </row>
    <row r="12674" spans="1:8" ht="15" x14ac:dyDescent="0.2">
      <c r="A12674" s="729">
        <v>44764</v>
      </c>
      <c r="B12674" s="41" t="s">
        <v>16</v>
      </c>
      <c r="C12674" s="41" t="s">
        <v>103</v>
      </c>
      <c r="D12674" s="108" t="s">
        <v>8122</v>
      </c>
      <c r="E12674" s="42">
        <v>3905</v>
      </c>
      <c r="G12674" s="42">
        <f t="shared" si="203"/>
        <v>-3905</v>
      </c>
      <c r="H12674" s="705" t="s">
        <v>8014</v>
      </c>
    </row>
    <row r="12675" spans="1:8" ht="15" x14ac:dyDescent="0.2">
      <c r="A12675" s="729">
        <v>44769</v>
      </c>
      <c r="B12675" s="41" t="s">
        <v>7112</v>
      </c>
      <c r="C12675" s="41" t="s">
        <v>3145</v>
      </c>
      <c r="D12675" s="108" t="s">
        <v>8063</v>
      </c>
      <c r="E12675" s="42">
        <v>10000</v>
      </c>
      <c r="G12675" s="42">
        <f t="shared" si="203"/>
        <v>-10000</v>
      </c>
      <c r="H12675" s="705" t="s">
        <v>8014</v>
      </c>
    </row>
    <row r="12676" spans="1:8" ht="15" x14ac:dyDescent="0.2">
      <c r="A12676" s="729">
        <v>44769</v>
      </c>
      <c r="B12676" s="41" t="s">
        <v>8043</v>
      </c>
      <c r="C12676" s="41" t="s">
        <v>392</v>
      </c>
      <c r="D12676" s="108" t="s">
        <v>8064</v>
      </c>
      <c r="E12676" s="42">
        <v>1500</v>
      </c>
      <c r="G12676" s="42">
        <f t="shared" si="203"/>
        <v>-1500</v>
      </c>
      <c r="H12676" s="705" t="s">
        <v>8014</v>
      </c>
    </row>
    <row r="12677" spans="1:8" ht="15" x14ac:dyDescent="0.2">
      <c r="A12677" s="729">
        <v>44769</v>
      </c>
      <c r="B12677" s="41" t="s">
        <v>8043</v>
      </c>
      <c r="C12677" s="41" t="s">
        <v>392</v>
      </c>
      <c r="D12677" s="108" t="s">
        <v>8065</v>
      </c>
      <c r="E12677" s="42">
        <v>3000</v>
      </c>
      <c r="G12677" s="42">
        <f t="shared" ref="G12677:G12740" si="204">F12677-E12677</f>
        <v>-3000</v>
      </c>
      <c r="H12677" s="705" t="s">
        <v>8014</v>
      </c>
    </row>
    <row r="12678" spans="1:8" ht="15" x14ac:dyDescent="0.2">
      <c r="A12678" s="729">
        <v>44769</v>
      </c>
      <c r="B12678" s="41" t="s">
        <v>1400</v>
      </c>
      <c r="C12678" s="41" t="s">
        <v>392</v>
      </c>
      <c r="D12678" s="108" t="s">
        <v>8066</v>
      </c>
      <c r="E12678" s="42">
        <v>14000</v>
      </c>
      <c r="G12678" s="42">
        <f t="shared" si="204"/>
        <v>-14000</v>
      </c>
      <c r="H12678" s="705" t="s">
        <v>8014</v>
      </c>
    </row>
    <row r="12679" spans="1:8" ht="15" x14ac:dyDescent="0.2">
      <c r="A12679" s="722">
        <v>44769</v>
      </c>
      <c r="B12679" s="235" t="s">
        <v>7555</v>
      </c>
      <c r="C12679" s="235" t="s">
        <v>6706</v>
      </c>
      <c r="D12679" s="903" t="s">
        <v>8067</v>
      </c>
      <c r="E12679" s="236">
        <v>100000</v>
      </c>
      <c r="F12679" s="236"/>
      <c r="G12679" s="236">
        <f t="shared" si="204"/>
        <v>-100000</v>
      </c>
      <c r="H12679" s="709" t="s">
        <v>8014</v>
      </c>
    </row>
    <row r="12680" spans="1:8" ht="15" x14ac:dyDescent="0.2">
      <c r="A12680" s="729">
        <v>44769</v>
      </c>
      <c r="B12680" s="41" t="s">
        <v>8043</v>
      </c>
      <c r="C12680" s="41" t="s">
        <v>778</v>
      </c>
      <c r="D12680" s="108" t="s">
        <v>8069</v>
      </c>
      <c r="E12680" s="42">
        <v>5000</v>
      </c>
      <c r="G12680" s="42">
        <f t="shared" si="204"/>
        <v>-5000</v>
      </c>
      <c r="H12680" s="705" t="s">
        <v>8014</v>
      </c>
    </row>
    <row r="12681" spans="1:8" ht="15" x14ac:dyDescent="0.2">
      <c r="A12681" s="729">
        <v>44769</v>
      </c>
      <c r="B12681" s="41" t="s">
        <v>7953</v>
      </c>
      <c r="C12681" s="41" t="s">
        <v>6967</v>
      </c>
      <c r="D12681" s="108" t="s">
        <v>370</v>
      </c>
      <c r="E12681" s="42">
        <v>10000</v>
      </c>
      <c r="G12681" s="42">
        <f t="shared" si="204"/>
        <v>-10000</v>
      </c>
      <c r="H12681" s="705" t="s">
        <v>8014</v>
      </c>
    </row>
    <row r="12682" spans="1:8" ht="15" x14ac:dyDescent="0.2">
      <c r="A12682" s="729">
        <v>44769</v>
      </c>
      <c r="B12682" s="41" t="s">
        <v>8043</v>
      </c>
      <c r="C12682" s="41" t="s">
        <v>5741</v>
      </c>
      <c r="E12682" s="42">
        <v>2000</v>
      </c>
      <c r="G12682" s="42">
        <f t="shared" si="204"/>
        <v>-2000</v>
      </c>
      <c r="H12682" s="705" t="s">
        <v>8014</v>
      </c>
    </row>
    <row r="12683" spans="1:8" ht="15" x14ac:dyDescent="0.2">
      <c r="A12683" s="729">
        <v>44769</v>
      </c>
      <c r="B12683" s="41" t="s">
        <v>8043</v>
      </c>
      <c r="C12683" s="41" t="s">
        <v>168</v>
      </c>
      <c r="D12683" s="108" t="s">
        <v>8070</v>
      </c>
      <c r="E12683" s="42">
        <v>250000</v>
      </c>
      <c r="G12683" s="42">
        <f t="shared" si="204"/>
        <v>-250000</v>
      </c>
      <c r="H12683" s="705" t="s">
        <v>8014</v>
      </c>
    </row>
    <row r="12684" spans="1:8" ht="15" x14ac:dyDescent="0.2">
      <c r="A12684" s="729">
        <v>44769</v>
      </c>
      <c r="B12684" s="41" t="s">
        <v>8043</v>
      </c>
      <c r="C12684" s="41" t="s">
        <v>8071</v>
      </c>
      <c r="D12684" s="108" t="s">
        <v>8072</v>
      </c>
      <c r="E12684" s="42">
        <v>25000</v>
      </c>
      <c r="G12684" s="42">
        <f t="shared" si="204"/>
        <v>-25000</v>
      </c>
      <c r="H12684" s="705" t="s">
        <v>8014</v>
      </c>
    </row>
    <row r="12685" spans="1:8" ht="15" x14ac:dyDescent="0.2">
      <c r="A12685" s="729">
        <v>44769</v>
      </c>
      <c r="B12685" s="41" t="s">
        <v>7921</v>
      </c>
      <c r="C12685" s="41" t="s">
        <v>8073</v>
      </c>
      <c r="D12685" s="108" t="s">
        <v>8074</v>
      </c>
      <c r="E12685" s="42">
        <v>94000</v>
      </c>
      <c r="G12685" s="42">
        <f t="shared" si="204"/>
        <v>-94000</v>
      </c>
      <c r="H12685" s="705" t="s">
        <v>8014</v>
      </c>
    </row>
    <row r="12686" spans="1:8" ht="15" x14ac:dyDescent="0.2">
      <c r="A12686" s="729">
        <v>44769</v>
      </c>
      <c r="B12686" s="41" t="s">
        <v>7921</v>
      </c>
      <c r="C12686" s="41" t="s">
        <v>8073</v>
      </c>
      <c r="D12686" s="108" t="s">
        <v>8074</v>
      </c>
      <c r="E12686" s="42">
        <v>250000</v>
      </c>
      <c r="G12686" s="42">
        <f t="shared" si="204"/>
        <v>-250000</v>
      </c>
      <c r="H12686" s="705" t="s">
        <v>8014</v>
      </c>
    </row>
    <row r="12687" spans="1:8" ht="15" x14ac:dyDescent="0.2">
      <c r="A12687" s="729">
        <v>44769</v>
      </c>
      <c r="B12687" s="41" t="s">
        <v>8043</v>
      </c>
      <c r="C12687" s="41" t="s">
        <v>2002</v>
      </c>
      <c r="E12687" s="42">
        <v>1500</v>
      </c>
      <c r="G12687" s="42">
        <f t="shared" si="204"/>
        <v>-1500</v>
      </c>
      <c r="H12687" s="705" t="s">
        <v>8014</v>
      </c>
    </row>
    <row r="12688" spans="1:8" ht="15" x14ac:dyDescent="0.2">
      <c r="A12688" s="729">
        <v>44769</v>
      </c>
      <c r="B12688" s="41" t="s">
        <v>16</v>
      </c>
      <c r="C12688" s="41" t="s">
        <v>5341</v>
      </c>
      <c r="D12688" s="108" t="s">
        <v>8075</v>
      </c>
      <c r="E12688" s="42">
        <v>18000</v>
      </c>
      <c r="G12688" s="42">
        <f t="shared" si="204"/>
        <v>-18000</v>
      </c>
      <c r="H12688" s="705" t="s">
        <v>8014</v>
      </c>
    </row>
    <row r="12689" spans="1:8" ht="15" x14ac:dyDescent="0.2">
      <c r="A12689" s="729">
        <v>44769</v>
      </c>
      <c r="B12689" s="41" t="s">
        <v>8043</v>
      </c>
      <c r="C12689" s="41" t="s">
        <v>2002</v>
      </c>
      <c r="E12689" s="42">
        <v>1500</v>
      </c>
      <c r="G12689" s="42">
        <f t="shared" si="204"/>
        <v>-1500</v>
      </c>
      <c r="H12689" s="705" t="s">
        <v>8014</v>
      </c>
    </row>
    <row r="12690" spans="1:8" ht="15" x14ac:dyDescent="0.2">
      <c r="A12690" s="729">
        <v>44769</v>
      </c>
      <c r="B12690" s="41" t="s">
        <v>8043</v>
      </c>
      <c r="C12690" s="41" t="s">
        <v>2002</v>
      </c>
      <c r="E12690" s="42">
        <v>1500</v>
      </c>
      <c r="G12690" s="42">
        <f t="shared" si="204"/>
        <v>-1500</v>
      </c>
      <c r="H12690" s="705" t="s">
        <v>8014</v>
      </c>
    </row>
    <row r="12691" spans="1:8" ht="15" x14ac:dyDescent="0.2">
      <c r="A12691" s="729">
        <v>44769</v>
      </c>
      <c r="B12691" s="41" t="s">
        <v>8043</v>
      </c>
      <c r="C12691" s="41" t="s">
        <v>778</v>
      </c>
      <c r="E12691" s="42">
        <v>7000</v>
      </c>
      <c r="G12691" s="42">
        <f t="shared" si="204"/>
        <v>-7000</v>
      </c>
      <c r="H12691" s="705" t="s">
        <v>8014</v>
      </c>
    </row>
    <row r="12692" spans="1:8" ht="15" x14ac:dyDescent="0.2">
      <c r="A12692" s="729">
        <v>44769</v>
      </c>
      <c r="B12692" s="41" t="s">
        <v>8043</v>
      </c>
      <c r="C12692" s="41" t="s">
        <v>2190</v>
      </c>
      <c r="E12692" s="42">
        <v>1000</v>
      </c>
      <c r="G12692" s="42">
        <f t="shared" si="204"/>
        <v>-1000</v>
      </c>
      <c r="H12692" s="705" t="s">
        <v>8014</v>
      </c>
    </row>
    <row r="12693" spans="1:8" ht="15" x14ac:dyDescent="0.2">
      <c r="A12693" s="729">
        <v>44769</v>
      </c>
      <c r="B12693" s="41" t="s">
        <v>8043</v>
      </c>
      <c r="C12693" s="41" t="s">
        <v>3145</v>
      </c>
      <c r="D12693" s="108" t="s">
        <v>8076</v>
      </c>
      <c r="E12693" s="42">
        <v>12600</v>
      </c>
      <c r="G12693" s="42">
        <f t="shared" si="204"/>
        <v>-12600</v>
      </c>
      <c r="H12693" s="705" t="s">
        <v>8014</v>
      </c>
    </row>
    <row r="12694" spans="1:8" ht="15" x14ac:dyDescent="0.2">
      <c r="A12694" s="729">
        <v>44769</v>
      </c>
      <c r="B12694" s="41" t="s">
        <v>8043</v>
      </c>
      <c r="C12694" s="41" t="s">
        <v>5741</v>
      </c>
      <c r="D12694" s="108" t="s">
        <v>8107</v>
      </c>
      <c r="E12694" s="42">
        <v>6000</v>
      </c>
      <c r="G12694" s="42">
        <f t="shared" si="204"/>
        <v>-6000</v>
      </c>
      <c r="H12694" s="705" t="s">
        <v>8014</v>
      </c>
    </row>
    <row r="12695" spans="1:8" ht="15" x14ac:dyDescent="0.2">
      <c r="A12695" s="729">
        <v>44769</v>
      </c>
      <c r="B12695" s="41" t="s">
        <v>2933</v>
      </c>
      <c r="C12695" s="41" t="s">
        <v>3145</v>
      </c>
      <c r="D12695" s="108" t="s">
        <v>8108</v>
      </c>
      <c r="E12695" s="42">
        <v>22800</v>
      </c>
      <c r="G12695" s="42">
        <f t="shared" si="204"/>
        <v>-22800</v>
      </c>
      <c r="H12695" s="705" t="s">
        <v>8014</v>
      </c>
    </row>
    <row r="12696" spans="1:8" ht="15" x14ac:dyDescent="0.2">
      <c r="A12696" s="729">
        <v>44769</v>
      </c>
      <c r="B12696" s="41" t="s">
        <v>25</v>
      </c>
      <c r="C12696" s="41" t="s">
        <v>1689</v>
      </c>
      <c r="D12696" s="108" t="s">
        <v>7175</v>
      </c>
      <c r="E12696" s="42">
        <v>62493</v>
      </c>
      <c r="G12696" s="42">
        <f t="shared" si="204"/>
        <v>-62493</v>
      </c>
      <c r="H12696" s="705" t="s">
        <v>8014</v>
      </c>
    </row>
    <row r="12697" spans="1:8" ht="15" x14ac:dyDescent="0.2">
      <c r="A12697" s="729">
        <v>44769</v>
      </c>
      <c r="B12697" s="41" t="s">
        <v>16</v>
      </c>
      <c r="C12697" s="41" t="s">
        <v>1689</v>
      </c>
      <c r="D12697" s="108" t="s">
        <v>7175</v>
      </c>
      <c r="E12697" s="42">
        <v>20575</v>
      </c>
      <c r="G12697" s="42">
        <f t="shared" si="204"/>
        <v>-20575</v>
      </c>
      <c r="H12697" s="705" t="s">
        <v>8014</v>
      </c>
    </row>
    <row r="12698" spans="1:8" ht="15" x14ac:dyDescent="0.2">
      <c r="A12698" s="729">
        <v>44771</v>
      </c>
      <c r="B12698" s="41" t="s">
        <v>16</v>
      </c>
      <c r="C12698" s="41" t="s">
        <v>103</v>
      </c>
      <c r="D12698" s="108" t="s">
        <v>8122</v>
      </c>
      <c r="E12698" s="42">
        <v>5680</v>
      </c>
      <c r="G12698" s="42">
        <f t="shared" si="204"/>
        <v>-5680</v>
      </c>
      <c r="H12698" s="705" t="s">
        <v>8014</v>
      </c>
    </row>
    <row r="12699" spans="1:8" ht="15" x14ac:dyDescent="0.2">
      <c r="A12699" s="729">
        <v>44772</v>
      </c>
      <c r="B12699" s="41" t="s">
        <v>16</v>
      </c>
      <c r="C12699" s="41" t="s">
        <v>103</v>
      </c>
      <c r="D12699" s="108" t="s">
        <v>8122</v>
      </c>
      <c r="E12699" s="42">
        <v>2780</v>
      </c>
      <c r="G12699" s="42">
        <f t="shared" si="204"/>
        <v>-2780</v>
      </c>
      <c r="H12699" s="705" t="s">
        <v>8014</v>
      </c>
    </row>
    <row r="12700" spans="1:8" ht="15" x14ac:dyDescent="0.2">
      <c r="A12700" s="729">
        <v>44772</v>
      </c>
      <c r="B12700" s="41" t="s">
        <v>16</v>
      </c>
      <c r="C12700" s="41" t="s">
        <v>392</v>
      </c>
      <c r="D12700" s="108" t="s">
        <v>8111</v>
      </c>
      <c r="E12700" s="42">
        <v>3200</v>
      </c>
      <c r="G12700" s="42">
        <f t="shared" si="204"/>
        <v>-3200</v>
      </c>
      <c r="H12700" s="705" t="s">
        <v>8014</v>
      </c>
    </row>
    <row r="12701" spans="1:8" ht="15" x14ac:dyDescent="0.2">
      <c r="A12701" s="729">
        <v>44772</v>
      </c>
      <c r="B12701" s="41" t="s">
        <v>8043</v>
      </c>
      <c r="C12701" s="41" t="s">
        <v>8071</v>
      </c>
      <c r="D12701" s="108" t="s">
        <v>8112</v>
      </c>
      <c r="E12701" s="42">
        <v>75000</v>
      </c>
      <c r="G12701" s="42">
        <f t="shared" si="204"/>
        <v>-75000</v>
      </c>
      <c r="H12701" s="705" t="s">
        <v>8014</v>
      </c>
    </row>
    <row r="12702" spans="1:8" ht="15" x14ac:dyDescent="0.2">
      <c r="A12702" s="729">
        <v>44772</v>
      </c>
      <c r="B12702" s="41" t="s">
        <v>8043</v>
      </c>
      <c r="C12702" s="41" t="s">
        <v>7927</v>
      </c>
      <c r="D12702" s="108" t="s">
        <v>8274</v>
      </c>
      <c r="E12702" s="42">
        <v>48420</v>
      </c>
      <c r="G12702" s="42">
        <f t="shared" si="204"/>
        <v>-48420</v>
      </c>
      <c r="H12702" s="705" t="s">
        <v>8014</v>
      </c>
    </row>
    <row r="12703" spans="1:8" ht="15" x14ac:dyDescent="0.2">
      <c r="A12703" s="729">
        <v>44772</v>
      </c>
      <c r="B12703" s="41" t="s">
        <v>8043</v>
      </c>
      <c r="C12703" s="41" t="s">
        <v>5741</v>
      </c>
      <c r="D12703" s="108" t="s">
        <v>8113</v>
      </c>
      <c r="E12703" s="42">
        <v>7500</v>
      </c>
      <c r="G12703" s="42">
        <f t="shared" si="204"/>
        <v>-7500</v>
      </c>
      <c r="H12703" s="705" t="s">
        <v>8014</v>
      </c>
    </row>
    <row r="12704" spans="1:8" ht="15" x14ac:dyDescent="0.2">
      <c r="A12704" s="729">
        <v>44772</v>
      </c>
      <c r="B12704" s="41" t="s">
        <v>8043</v>
      </c>
      <c r="C12704" s="41" t="s">
        <v>3145</v>
      </c>
      <c r="D12704" s="108" t="s">
        <v>7198</v>
      </c>
      <c r="E12704" s="42">
        <v>1860</v>
      </c>
      <c r="G12704" s="42">
        <f t="shared" si="204"/>
        <v>-1860</v>
      </c>
      <c r="H12704" s="705" t="s">
        <v>8014</v>
      </c>
    </row>
    <row r="12705" spans="1:8" ht="15" x14ac:dyDescent="0.2">
      <c r="A12705" s="729">
        <v>44772</v>
      </c>
      <c r="B12705" s="41" t="s">
        <v>2933</v>
      </c>
      <c r="C12705" s="41" t="s">
        <v>3145</v>
      </c>
      <c r="D12705" s="108" t="s">
        <v>8114</v>
      </c>
      <c r="E12705" s="42">
        <v>7500</v>
      </c>
      <c r="G12705" s="42">
        <f t="shared" si="204"/>
        <v>-7500</v>
      </c>
      <c r="H12705" s="705" t="s">
        <v>8014</v>
      </c>
    </row>
    <row r="12706" spans="1:8" ht="15" x14ac:dyDescent="0.2">
      <c r="A12706" s="729">
        <v>44772</v>
      </c>
      <c r="B12706" s="41" t="s">
        <v>7921</v>
      </c>
      <c r="C12706" s="41" t="s">
        <v>3145</v>
      </c>
      <c r="D12706" s="108" t="s">
        <v>7198</v>
      </c>
      <c r="E12706" s="42">
        <v>12015</v>
      </c>
      <c r="G12706" s="42">
        <f t="shared" si="204"/>
        <v>-12015</v>
      </c>
      <c r="H12706" s="705" t="s">
        <v>8014</v>
      </c>
    </row>
    <row r="12707" spans="1:8" ht="15" x14ac:dyDescent="0.2">
      <c r="A12707" s="729">
        <v>44772</v>
      </c>
      <c r="B12707" s="41" t="s">
        <v>8043</v>
      </c>
      <c r="C12707" s="41" t="s">
        <v>3145</v>
      </c>
      <c r="D12707" s="108" t="s">
        <v>8115</v>
      </c>
      <c r="E12707" s="42">
        <v>15000</v>
      </c>
      <c r="G12707" s="42">
        <f t="shared" si="204"/>
        <v>-15000</v>
      </c>
      <c r="H12707" s="705" t="s">
        <v>8014</v>
      </c>
    </row>
    <row r="12708" spans="1:8" ht="15" x14ac:dyDescent="0.2">
      <c r="A12708" s="729">
        <v>44772</v>
      </c>
      <c r="B12708" s="41" t="s">
        <v>2933</v>
      </c>
      <c r="C12708" s="41" t="s">
        <v>3145</v>
      </c>
      <c r="D12708" s="108" t="s">
        <v>6486</v>
      </c>
      <c r="E12708" s="42">
        <v>6330</v>
      </c>
      <c r="G12708" s="42">
        <f t="shared" si="204"/>
        <v>-6330</v>
      </c>
      <c r="H12708" s="705" t="s">
        <v>8014</v>
      </c>
    </row>
    <row r="12709" spans="1:8" ht="15" x14ac:dyDescent="0.2">
      <c r="A12709" s="729">
        <v>44772</v>
      </c>
      <c r="B12709" s="41" t="s">
        <v>7657</v>
      </c>
      <c r="C12709" s="41" t="s">
        <v>392</v>
      </c>
      <c r="D12709" s="108" t="s">
        <v>7594</v>
      </c>
      <c r="E12709" s="42">
        <v>500</v>
      </c>
      <c r="G12709" s="42">
        <f t="shared" si="204"/>
        <v>-500</v>
      </c>
      <c r="H12709" s="705" t="s">
        <v>8014</v>
      </c>
    </row>
    <row r="12710" spans="1:8" ht="15" x14ac:dyDescent="0.2">
      <c r="A12710" s="729">
        <v>44772</v>
      </c>
      <c r="B12710" s="41" t="s">
        <v>7921</v>
      </c>
      <c r="C12710" s="41" t="s">
        <v>3145</v>
      </c>
      <c r="D12710" s="108" t="s">
        <v>7198</v>
      </c>
      <c r="E12710" s="42">
        <v>8250</v>
      </c>
      <c r="G12710" s="42">
        <f t="shared" si="204"/>
        <v>-8250</v>
      </c>
      <c r="H12710" s="705" t="s">
        <v>8014</v>
      </c>
    </row>
    <row r="12711" spans="1:8" ht="15" x14ac:dyDescent="0.2">
      <c r="A12711" s="729">
        <v>44772</v>
      </c>
      <c r="B12711" s="41" t="s">
        <v>7921</v>
      </c>
      <c r="C12711" s="41" t="s">
        <v>3145</v>
      </c>
      <c r="D12711" s="108" t="s">
        <v>7198</v>
      </c>
      <c r="E12711" s="42">
        <v>22995</v>
      </c>
      <c r="G12711" s="42">
        <f t="shared" si="204"/>
        <v>-22995</v>
      </c>
      <c r="H12711" s="705" t="s">
        <v>8014</v>
      </c>
    </row>
    <row r="12712" spans="1:8" ht="15" x14ac:dyDescent="0.2">
      <c r="A12712" s="729">
        <v>44769</v>
      </c>
      <c r="B12712" s="41" t="s">
        <v>8043</v>
      </c>
      <c r="C12712" s="41" t="s">
        <v>2503</v>
      </c>
      <c r="D12712" s="108" t="s">
        <v>7097</v>
      </c>
      <c r="E12712" s="42">
        <v>25000</v>
      </c>
      <c r="G12712" s="42">
        <f t="shared" si="204"/>
        <v>-25000</v>
      </c>
      <c r="H12712" s="705" t="s">
        <v>8014</v>
      </c>
    </row>
    <row r="12713" spans="1:8" ht="15" x14ac:dyDescent="0.2">
      <c r="A12713" s="729">
        <v>44769</v>
      </c>
      <c r="B12713" s="41" t="s">
        <v>7921</v>
      </c>
      <c r="C12713" s="41" t="s">
        <v>2503</v>
      </c>
      <c r="D12713" s="108" t="s">
        <v>7097</v>
      </c>
      <c r="E12713" s="42">
        <v>25000</v>
      </c>
      <c r="G12713" s="42">
        <f t="shared" si="204"/>
        <v>-25000</v>
      </c>
      <c r="H12713" s="705" t="s">
        <v>8014</v>
      </c>
    </row>
    <row r="12714" spans="1:8" ht="15" x14ac:dyDescent="0.2">
      <c r="A12714" s="729">
        <v>44769</v>
      </c>
      <c r="B12714" s="41" t="s">
        <v>8043</v>
      </c>
      <c r="C12714" s="41" t="s">
        <v>2503</v>
      </c>
      <c r="D12714" s="108" t="s">
        <v>141</v>
      </c>
      <c r="E12714" s="42">
        <v>25000</v>
      </c>
      <c r="G12714" s="42">
        <f t="shared" si="204"/>
        <v>-25000</v>
      </c>
      <c r="H12714" s="705" t="s">
        <v>8014</v>
      </c>
    </row>
    <row r="12715" spans="1:8" ht="15" x14ac:dyDescent="0.2">
      <c r="A12715" s="729">
        <v>44769</v>
      </c>
      <c r="B12715" s="41" t="s">
        <v>7921</v>
      </c>
      <c r="C12715" s="41" t="s">
        <v>2503</v>
      </c>
      <c r="D12715" s="108" t="s">
        <v>141</v>
      </c>
      <c r="E12715" s="42">
        <v>25000</v>
      </c>
      <c r="G12715" s="42">
        <f t="shared" si="204"/>
        <v>-25000</v>
      </c>
      <c r="H12715" s="705" t="s">
        <v>8014</v>
      </c>
    </row>
    <row r="12716" spans="1:8" ht="15" x14ac:dyDescent="0.2">
      <c r="A12716" s="729">
        <v>44769</v>
      </c>
      <c r="B12716" s="41" t="s">
        <v>25</v>
      </c>
      <c r="C12716" s="41" t="s">
        <v>2503</v>
      </c>
      <c r="E12716" s="42">
        <v>70000</v>
      </c>
      <c r="G12716" s="42">
        <f t="shared" si="204"/>
        <v>-70000</v>
      </c>
      <c r="H12716" s="705" t="s">
        <v>8014</v>
      </c>
    </row>
    <row r="12717" spans="1:8" ht="15" x14ac:dyDescent="0.2">
      <c r="A12717" s="729">
        <v>44769</v>
      </c>
      <c r="B12717" s="41" t="s">
        <v>16</v>
      </c>
      <c r="C12717" s="41" t="s">
        <v>2503</v>
      </c>
      <c r="E12717" s="42">
        <v>115000</v>
      </c>
      <c r="G12717" s="42">
        <f t="shared" si="204"/>
        <v>-115000</v>
      </c>
      <c r="H12717" s="705" t="s">
        <v>8014</v>
      </c>
    </row>
    <row r="12718" spans="1:8" ht="15" x14ac:dyDescent="0.2">
      <c r="A12718" s="729">
        <v>44769</v>
      </c>
      <c r="B12718" s="41" t="s">
        <v>3945</v>
      </c>
      <c r="C12718" s="41" t="s">
        <v>2503</v>
      </c>
      <c r="E12718" s="42">
        <v>132167</v>
      </c>
      <c r="G12718" s="42">
        <f t="shared" si="204"/>
        <v>-132167</v>
      </c>
      <c r="H12718" s="705" t="s">
        <v>8014</v>
      </c>
    </row>
    <row r="12719" spans="1:8" ht="15" x14ac:dyDescent="0.2">
      <c r="A12719" s="729">
        <v>44769</v>
      </c>
      <c r="B12719" s="41" t="s">
        <v>3946</v>
      </c>
      <c r="C12719" s="41" t="s">
        <v>2503</v>
      </c>
      <c r="E12719" s="42">
        <v>119742.94354838711</v>
      </c>
      <c r="G12719" s="42">
        <f t="shared" si="204"/>
        <v>-119742.94354838711</v>
      </c>
      <c r="H12719" s="705" t="s">
        <v>8014</v>
      </c>
    </row>
    <row r="12720" spans="1:8" ht="15" x14ac:dyDescent="0.2">
      <c r="A12720" s="729">
        <v>44769</v>
      </c>
      <c r="B12720" s="41" t="s">
        <v>6505</v>
      </c>
      <c r="C12720" s="41" t="s">
        <v>2503</v>
      </c>
      <c r="E12720" s="42">
        <v>148492</v>
      </c>
      <c r="G12720" s="42">
        <f t="shared" si="204"/>
        <v>-148492</v>
      </c>
      <c r="H12720" s="705" t="s">
        <v>8014</v>
      </c>
    </row>
    <row r="12721" spans="1:8" ht="15" x14ac:dyDescent="0.2">
      <c r="A12721" s="729">
        <v>44769</v>
      </c>
      <c r="B12721" s="41" t="s">
        <v>1400</v>
      </c>
      <c r="C12721" s="41" t="s">
        <v>2503</v>
      </c>
      <c r="E12721" s="42">
        <v>100000</v>
      </c>
      <c r="G12721" s="42">
        <f t="shared" si="204"/>
        <v>-100000</v>
      </c>
      <c r="H12721" s="705" t="s">
        <v>8014</v>
      </c>
    </row>
    <row r="12722" spans="1:8" ht="15" x14ac:dyDescent="0.2">
      <c r="A12722" s="729">
        <v>44769</v>
      </c>
      <c r="B12722" s="41" t="s">
        <v>37</v>
      </c>
      <c r="C12722" s="41" t="s">
        <v>2503</v>
      </c>
      <c r="E12722" s="42">
        <v>155434.61290322582</v>
      </c>
      <c r="G12722" s="42">
        <f t="shared" si="204"/>
        <v>-155434.61290322582</v>
      </c>
      <c r="H12722" s="705" t="s">
        <v>8014</v>
      </c>
    </row>
    <row r="12723" spans="1:8" ht="15" x14ac:dyDescent="0.2">
      <c r="A12723" s="729">
        <v>44769</v>
      </c>
      <c r="B12723" s="41" t="s">
        <v>2933</v>
      </c>
      <c r="C12723" s="41" t="s">
        <v>2503</v>
      </c>
      <c r="E12723" s="42">
        <v>112793.54838709677</v>
      </c>
      <c r="G12723" s="42">
        <f t="shared" si="204"/>
        <v>-112793.54838709677</v>
      </c>
      <c r="H12723" s="705" t="s">
        <v>8014</v>
      </c>
    </row>
    <row r="12724" spans="1:8" ht="15" x14ac:dyDescent="0.2">
      <c r="A12724" s="729">
        <v>44769</v>
      </c>
      <c r="B12724" s="41" t="s">
        <v>7921</v>
      </c>
      <c r="C12724" s="41" t="s">
        <v>2503</v>
      </c>
      <c r="E12724" s="42">
        <v>147000</v>
      </c>
      <c r="G12724" s="42">
        <f t="shared" si="204"/>
        <v>-147000</v>
      </c>
      <c r="H12724" s="705" t="s">
        <v>8014</v>
      </c>
    </row>
    <row r="12725" spans="1:8" ht="15" x14ac:dyDescent="0.2">
      <c r="A12725" s="729">
        <v>44769</v>
      </c>
      <c r="B12725" s="41" t="s">
        <v>7953</v>
      </c>
      <c r="C12725" s="41" t="s">
        <v>2503</v>
      </c>
      <c r="E12725" s="42">
        <v>73000</v>
      </c>
      <c r="G12725" s="42">
        <f t="shared" si="204"/>
        <v>-73000</v>
      </c>
      <c r="H12725" s="705" t="s">
        <v>8014</v>
      </c>
    </row>
    <row r="12726" spans="1:8" ht="15" x14ac:dyDescent="0.2">
      <c r="A12726" s="729">
        <v>44769</v>
      </c>
      <c r="B12726" s="41" t="s">
        <v>8043</v>
      </c>
      <c r="C12726" s="41" t="s">
        <v>2503</v>
      </c>
      <c r="E12726" s="42">
        <v>45000</v>
      </c>
      <c r="G12726" s="42">
        <f t="shared" si="204"/>
        <v>-45000</v>
      </c>
      <c r="H12726" s="705" t="s">
        <v>8014</v>
      </c>
    </row>
    <row r="12727" spans="1:8" ht="15" x14ac:dyDescent="0.2">
      <c r="A12727" s="729">
        <v>44769</v>
      </c>
      <c r="B12727" s="41" t="s">
        <v>5811</v>
      </c>
      <c r="C12727" s="41" t="s">
        <v>2503</v>
      </c>
      <c r="E12727" s="42">
        <v>28000</v>
      </c>
      <c r="G12727" s="42">
        <f t="shared" si="204"/>
        <v>-28000</v>
      </c>
      <c r="H12727" s="705" t="s">
        <v>8014</v>
      </c>
    </row>
    <row r="12728" spans="1:8" ht="15" x14ac:dyDescent="0.2">
      <c r="A12728" s="729">
        <v>44769</v>
      </c>
      <c r="B12728" s="41" t="s">
        <v>11</v>
      </c>
      <c r="C12728" s="41" t="s">
        <v>2503</v>
      </c>
      <c r="E12728" s="42">
        <v>5000</v>
      </c>
      <c r="G12728" s="42">
        <f t="shared" si="204"/>
        <v>-5000</v>
      </c>
      <c r="H12728" s="705" t="s">
        <v>8014</v>
      </c>
    </row>
    <row r="12729" spans="1:8" ht="15" x14ac:dyDescent="0.2">
      <c r="A12729" s="722">
        <v>44744</v>
      </c>
      <c r="B12729" s="122" t="s">
        <v>3946</v>
      </c>
      <c r="C12729" s="584" t="s">
        <v>3003</v>
      </c>
      <c r="D12729" s="913" t="s">
        <v>8028</v>
      </c>
      <c r="E12729" s="585">
        <v>30160</v>
      </c>
      <c r="F12729" s="123"/>
      <c r="G12729" s="123">
        <f t="shared" si="204"/>
        <v>-30160</v>
      </c>
      <c r="H12729" s="709" t="s">
        <v>8014</v>
      </c>
    </row>
    <row r="12730" spans="1:8" ht="15" x14ac:dyDescent="0.2">
      <c r="A12730" s="722">
        <v>44744</v>
      </c>
      <c r="B12730" s="122" t="s">
        <v>3945</v>
      </c>
      <c r="C12730" s="584" t="s">
        <v>3003</v>
      </c>
      <c r="D12730" s="913" t="s">
        <v>8028</v>
      </c>
      <c r="E12730" s="585">
        <v>32760</v>
      </c>
      <c r="F12730" s="123"/>
      <c r="G12730" s="123">
        <f t="shared" si="204"/>
        <v>-32760</v>
      </c>
      <c r="H12730" s="709" t="s">
        <v>8014</v>
      </c>
    </row>
    <row r="12731" spans="1:8" ht="15" x14ac:dyDescent="0.2">
      <c r="A12731" s="722">
        <v>44744</v>
      </c>
      <c r="B12731" s="122" t="s">
        <v>37</v>
      </c>
      <c r="C12731" s="584" t="s">
        <v>3003</v>
      </c>
      <c r="D12731" s="913" t="s">
        <v>8029</v>
      </c>
      <c r="E12731" s="585">
        <v>31101</v>
      </c>
      <c r="F12731" s="123"/>
      <c r="G12731" s="123">
        <f t="shared" si="204"/>
        <v>-31101</v>
      </c>
      <c r="H12731" s="709" t="s">
        <v>8014</v>
      </c>
    </row>
    <row r="12732" spans="1:8" s="682" customFormat="1" ht="38.25" customHeight="1" x14ac:dyDescent="0.25">
      <c r="A12732" s="722">
        <v>44744</v>
      </c>
      <c r="B12732" s="235" t="s">
        <v>7953</v>
      </c>
      <c r="C12732" s="235" t="s">
        <v>8030</v>
      </c>
      <c r="D12732" s="903" t="s">
        <v>8031</v>
      </c>
      <c r="E12732" s="236">
        <v>100000</v>
      </c>
      <c r="F12732" s="236"/>
      <c r="G12732" s="236">
        <f t="shared" si="204"/>
        <v>-100000</v>
      </c>
      <c r="H12732" s="709" t="s">
        <v>8014</v>
      </c>
    </row>
    <row r="12733" spans="1:8" s="682" customFormat="1" ht="15" customHeight="1" x14ac:dyDescent="0.25">
      <c r="A12733" s="722">
        <v>44749</v>
      </c>
      <c r="B12733" s="235" t="s">
        <v>7921</v>
      </c>
      <c r="C12733" s="235" t="s">
        <v>8037</v>
      </c>
      <c r="D12733" s="903" t="s">
        <v>8038</v>
      </c>
      <c r="E12733" s="236">
        <v>100000</v>
      </c>
      <c r="F12733" s="236"/>
      <c r="G12733" s="236">
        <f t="shared" si="204"/>
        <v>-100000</v>
      </c>
      <c r="H12733" s="709" t="s">
        <v>8014</v>
      </c>
    </row>
    <row r="12734" spans="1:8" s="682" customFormat="1" ht="15" customHeight="1" x14ac:dyDescent="0.25">
      <c r="A12734" s="722">
        <v>44762</v>
      </c>
      <c r="B12734" s="235" t="s">
        <v>3946</v>
      </c>
      <c r="C12734" s="235" t="s">
        <v>7271</v>
      </c>
      <c r="D12734" s="903" t="s">
        <v>8039</v>
      </c>
      <c r="E12734" s="236">
        <v>55000</v>
      </c>
      <c r="F12734" s="236"/>
      <c r="G12734" s="236">
        <f t="shared" si="204"/>
        <v>-55000</v>
      </c>
      <c r="H12734" s="709" t="s">
        <v>8014</v>
      </c>
    </row>
    <row r="12735" spans="1:8" s="682" customFormat="1" ht="15" customHeight="1" x14ac:dyDescent="0.25">
      <c r="A12735" s="722">
        <v>44764</v>
      </c>
      <c r="B12735" s="235" t="s">
        <v>1400</v>
      </c>
      <c r="C12735" s="235" t="s">
        <v>7972</v>
      </c>
      <c r="D12735" s="903" t="s">
        <v>8040</v>
      </c>
      <c r="E12735" s="236">
        <v>100000</v>
      </c>
      <c r="F12735" s="236"/>
      <c r="G12735" s="236">
        <f t="shared" si="204"/>
        <v>-100000</v>
      </c>
      <c r="H12735" s="709" t="s">
        <v>8014</v>
      </c>
    </row>
    <row r="12736" spans="1:8" s="682" customFormat="1" ht="15" customHeight="1" x14ac:dyDescent="0.25">
      <c r="A12736" s="722">
        <v>44764</v>
      </c>
      <c r="B12736" s="235" t="s">
        <v>8043</v>
      </c>
      <c r="C12736" s="235" t="s">
        <v>8041</v>
      </c>
      <c r="D12736" s="903" t="s">
        <v>8042</v>
      </c>
      <c r="E12736" s="236">
        <v>158500</v>
      </c>
      <c r="F12736" s="236"/>
      <c r="G12736" s="236">
        <f t="shared" si="204"/>
        <v>-158500</v>
      </c>
      <c r="H12736" s="709" t="s">
        <v>8014</v>
      </c>
    </row>
    <row r="12737" spans="1:8" s="682" customFormat="1" ht="36" customHeight="1" x14ac:dyDescent="0.25">
      <c r="A12737" s="722">
        <v>44764</v>
      </c>
      <c r="B12737" s="235" t="s">
        <v>6518</v>
      </c>
      <c r="C12737" s="235" t="s">
        <v>431</v>
      </c>
      <c r="D12737" s="228" t="s">
        <v>8044</v>
      </c>
      <c r="E12737" s="236">
        <v>300000</v>
      </c>
      <c r="F12737" s="236"/>
      <c r="G12737" s="236">
        <f t="shared" si="204"/>
        <v>-300000</v>
      </c>
      <c r="H12737" s="709" t="s">
        <v>8014</v>
      </c>
    </row>
    <row r="12738" spans="1:8" s="682" customFormat="1" ht="36" customHeight="1" x14ac:dyDescent="0.25">
      <c r="A12738" s="722">
        <v>44764</v>
      </c>
      <c r="B12738" s="235" t="s">
        <v>8043</v>
      </c>
      <c r="C12738" s="235" t="s">
        <v>8276</v>
      </c>
      <c r="D12738" s="228" t="s">
        <v>8277</v>
      </c>
      <c r="E12738" s="236">
        <v>587000</v>
      </c>
      <c r="F12738" s="236"/>
      <c r="G12738" s="236">
        <f t="shared" si="204"/>
        <v>-587000</v>
      </c>
      <c r="H12738" s="709" t="s">
        <v>8014</v>
      </c>
    </row>
    <row r="12739" spans="1:8" s="682" customFormat="1" ht="15" customHeight="1" x14ac:dyDescent="0.25">
      <c r="A12739" s="722">
        <v>44768</v>
      </c>
      <c r="B12739" s="235" t="s">
        <v>7921</v>
      </c>
      <c r="C12739" s="235" t="s">
        <v>8037</v>
      </c>
      <c r="D12739" s="903" t="s">
        <v>8079</v>
      </c>
      <c r="E12739" s="236">
        <v>100000</v>
      </c>
      <c r="F12739" s="236"/>
      <c r="G12739" s="236">
        <f t="shared" si="204"/>
        <v>-100000</v>
      </c>
      <c r="H12739" s="709" t="s">
        <v>8014</v>
      </c>
    </row>
    <row r="12740" spans="1:8" s="682" customFormat="1" ht="38.25" customHeight="1" x14ac:dyDescent="0.25">
      <c r="A12740" s="722">
        <v>44768</v>
      </c>
      <c r="B12740" s="235" t="s">
        <v>8043</v>
      </c>
      <c r="C12740" s="235" t="s">
        <v>8030</v>
      </c>
      <c r="D12740" s="903" t="s">
        <v>8084</v>
      </c>
      <c r="E12740" s="236">
        <v>100000</v>
      </c>
      <c r="F12740" s="236"/>
      <c r="G12740" s="236">
        <f t="shared" si="204"/>
        <v>-100000</v>
      </c>
      <c r="H12740" s="709" t="s">
        <v>8014</v>
      </c>
    </row>
    <row r="12741" spans="1:8" s="682" customFormat="1" ht="15" customHeight="1" x14ac:dyDescent="0.25">
      <c r="A12741" s="722">
        <v>44769</v>
      </c>
      <c r="B12741" s="235" t="s">
        <v>1400</v>
      </c>
      <c r="C12741" s="235" t="s">
        <v>8080</v>
      </c>
      <c r="D12741" s="903" t="s">
        <v>8081</v>
      </c>
      <c r="E12741" s="236">
        <v>175000</v>
      </c>
      <c r="F12741" s="236"/>
      <c r="G12741" s="236">
        <f t="shared" ref="G12741:G12804" si="205">F12741-E12741</f>
        <v>-175000</v>
      </c>
      <c r="H12741" s="709" t="s">
        <v>8014</v>
      </c>
    </row>
    <row r="12742" spans="1:8" s="682" customFormat="1" ht="15" customHeight="1" x14ac:dyDescent="0.25">
      <c r="A12742" s="722">
        <v>44769</v>
      </c>
      <c r="B12742" s="235" t="s">
        <v>7112</v>
      </c>
      <c r="C12742" s="235" t="s">
        <v>8082</v>
      </c>
      <c r="D12742" s="903" t="s">
        <v>8083</v>
      </c>
      <c r="E12742" s="236">
        <v>50000</v>
      </c>
      <c r="F12742" s="236"/>
      <c r="G12742" s="236">
        <f t="shared" si="205"/>
        <v>-50000</v>
      </c>
      <c r="H12742" s="709" t="s">
        <v>8014</v>
      </c>
    </row>
    <row r="12743" spans="1:8" s="682" customFormat="1" ht="15" customHeight="1" x14ac:dyDescent="0.25">
      <c r="A12743" s="722">
        <v>44770</v>
      </c>
      <c r="B12743" s="235" t="s">
        <v>1400</v>
      </c>
      <c r="C12743" s="235" t="s">
        <v>7972</v>
      </c>
      <c r="D12743" s="903" t="s">
        <v>8085</v>
      </c>
      <c r="E12743" s="236">
        <v>20000</v>
      </c>
      <c r="F12743" s="236"/>
      <c r="G12743" s="236">
        <f t="shared" si="205"/>
        <v>-20000</v>
      </c>
      <c r="H12743" s="709" t="s">
        <v>8014</v>
      </c>
    </row>
    <row r="12744" spans="1:8" s="682" customFormat="1" ht="15" customHeight="1" x14ac:dyDescent="0.25">
      <c r="A12744" s="722">
        <v>44770</v>
      </c>
      <c r="B12744" s="235" t="s">
        <v>8043</v>
      </c>
      <c r="C12744" s="235" t="s">
        <v>8041</v>
      </c>
      <c r="D12744" s="903" t="s">
        <v>8086</v>
      </c>
      <c r="E12744" s="236">
        <v>76875</v>
      </c>
      <c r="F12744" s="236"/>
      <c r="G12744" s="236">
        <f t="shared" si="205"/>
        <v>-76875</v>
      </c>
      <c r="H12744" s="709" t="s">
        <v>8014</v>
      </c>
    </row>
    <row r="12745" spans="1:8" s="682" customFormat="1" ht="15" customHeight="1" x14ac:dyDescent="0.25">
      <c r="A12745" s="722">
        <v>44771</v>
      </c>
      <c r="B12745" s="235" t="s">
        <v>8043</v>
      </c>
      <c r="C12745" s="550" t="s">
        <v>8087</v>
      </c>
      <c r="D12745" s="904" t="s">
        <v>8088</v>
      </c>
      <c r="E12745" s="552">
        <v>13000</v>
      </c>
      <c r="F12745" s="236"/>
      <c r="G12745" s="236">
        <f t="shared" si="205"/>
        <v>-13000</v>
      </c>
      <c r="H12745" s="709" t="s">
        <v>8014</v>
      </c>
    </row>
    <row r="12746" spans="1:8" s="682" customFormat="1" ht="15" customHeight="1" x14ac:dyDescent="0.25">
      <c r="A12746" s="722">
        <v>44771</v>
      </c>
      <c r="B12746" s="235" t="s">
        <v>1400</v>
      </c>
      <c r="C12746" s="550" t="s">
        <v>8087</v>
      </c>
      <c r="D12746" s="904" t="s">
        <v>8088</v>
      </c>
      <c r="E12746" s="552">
        <v>10000</v>
      </c>
      <c r="F12746" s="236"/>
      <c r="G12746" s="236">
        <f t="shared" si="205"/>
        <v>-10000</v>
      </c>
      <c r="H12746" s="709" t="s">
        <v>8014</v>
      </c>
    </row>
    <row r="12747" spans="1:8" s="682" customFormat="1" ht="48" customHeight="1" x14ac:dyDescent="0.25">
      <c r="A12747" s="722">
        <v>44771</v>
      </c>
      <c r="B12747" s="235" t="s">
        <v>8043</v>
      </c>
      <c r="C12747" s="235" t="s">
        <v>168</v>
      </c>
      <c r="D12747" s="228" t="s">
        <v>8089</v>
      </c>
      <c r="E12747" s="236">
        <v>1453985</v>
      </c>
      <c r="F12747" s="236"/>
      <c r="G12747" s="236">
        <f t="shared" si="205"/>
        <v>-1453985</v>
      </c>
      <c r="H12747" s="709" t="s">
        <v>8014</v>
      </c>
    </row>
    <row r="12748" spans="1:8" s="682" customFormat="1" ht="15" customHeight="1" x14ac:dyDescent="0.25">
      <c r="A12748" s="722">
        <v>44771</v>
      </c>
      <c r="B12748" s="235" t="s">
        <v>7921</v>
      </c>
      <c r="C12748" s="235" t="s">
        <v>705</v>
      </c>
      <c r="D12748" s="903" t="s">
        <v>8090</v>
      </c>
      <c r="E12748" s="236">
        <v>300000</v>
      </c>
      <c r="F12748" s="236"/>
      <c r="G12748" s="236">
        <f t="shared" si="205"/>
        <v>-300000</v>
      </c>
      <c r="H12748" s="709" t="s">
        <v>8014</v>
      </c>
    </row>
    <row r="12749" spans="1:8" s="682" customFormat="1" ht="24" customHeight="1" x14ac:dyDescent="0.25">
      <c r="A12749" s="722">
        <v>44771</v>
      </c>
      <c r="B12749" s="235" t="s">
        <v>8043</v>
      </c>
      <c r="C12749" s="235" t="s">
        <v>8091</v>
      </c>
      <c r="D12749" s="228" t="s">
        <v>8092</v>
      </c>
      <c r="E12749" s="236">
        <v>2400000</v>
      </c>
      <c r="F12749" s="236"/>
      <c r="G12749" s="236">
        <f t="shared" si="205"/>
        <v>-2400000</v>
      </c>
      <c r="H12749" s="709" t="s">
        <v>8014</v>
      </c>
    </row>
    <row r="12750" spans="1:8" s="682" customFormat="1" ht="24" customHeight="1" x14ac:dyDescent="0.25">
      <c r="A12750" s="722">
        <v>44771</v>
      </c>
      <c r="B12750" s="235" t="s">
        <v>7921</v>
      </c>
      <c r="C12750" s="235" t="s">
        <v>8093</v>
      </c>
      <c r="D12750" s="228" t="s">
        <v>8094</v>
      </c>
      <c r="E12750" s="236">
        <v>517374</v>
      </c>
      <c r="F12750" s="236"/>
      <c r="G12750" s="236">
        <f t="shared" si="205"/>
        <v>-517374</v>
      </c>
      <c r="H12750" s="709" t="s">
        <v>8014</v>
      </c>
    </row>
    <row r="12751" spans="1:8" ht="15" x14ac:dyDescent="0.2">
      <c r="A12751" s="730">
        <v>44761</v>
      </c>
      <c r="B12751" s="94" t="s">
        <v>37</v>
      </c>
      <c r="C12751" s="175" t="s">
        <v>559</v>
      </c>
      <c r="D12751" s="892" t="s">
        <v>7963</v>
      </c>
      <c r="E12751" s="701"/>
      <c r="F12751" s="176">
        <v>188568</v>
      </c>
      <c r="G12751" s="176">
        <f t="shared" si="205"/>
        <v>188568</v>
      </c>
      <c r="H12751" s="702" t="s">
        <v>8014</v>
      </c>
    </row>
    <row r="12752" spans="1:8" s="682" customFormat="1" ht="15" customHeight="1" x14ac:dyDescent="0.25">
      <c r="A12752" s="730">
        <v>44769</v>
      </c>
      <c r="B12752" s="94" t="s">
        <v>37</v>
      </c>
      <c r="C12752" s="175" t="s">
        <v>559</v>
      </c>
      <c r="D12752" s="892" t="s">
        <v>8109</v>
      </c>
      <c r="E12752" s="176"/>
      <c r="F12752" s="176">
        <v>194983</v>
      </c>
      <c r="G12752" s="176">
        <f t="shared" si="205"/>
        <v>194983</v>
      </c>
      <c r="H12752" s="702" t="s">
        <v>8014</v>
      </c>
    </row>
    <row r="12753" spans="1:8" ht="15" x14ac:dyDescent="0.2">
      <c r="A12753" s="730">
        <v>44770</v>
      </c>
      <c r="B12753" s="94" t="s">
        <v>82</v>
      </c>
      <c r="C12753" s="175" t="s">
        <v>559</v>
      </c>
      <c r="D12753" s="802" t="s">
        <v>8048</v>
      </c>
      <c r="E12753" s="176"/>
      <c r="F12753" s="176">
        <v>117182</v>
      </c>
      <c r="G12753" s="176">
        <f t="shared" si="205"/>
        <v>117182</v>
      </c>
      <c r="H12753" s="702" t="s">
        <v>8014</v>
      </c>
    </row>
    <row r="12754" spans="1:8" ht="15" x14ac:dyDescent="0.2">
      <c r="A12754" s="730">
        <v>44770</v>
      </c>
      <c r="B12754" s="94" t="s">
        <v>8077</v>
      </c>
      <c r="C12754" s="175" t="s">
        <v>559</v>
      </c>
      <c r="D12754" s="892" t="s">
        <v>8078</v>
      </c>
      <c r="E12754" s="176"/>
      <c r="F12754" s="176">
        <v>1307372</v>
      </c>
      <c r="G12754" s="176">
        <f t="shared" si="205"/>
        <v>1307372</v>
      </c>
      <c r="H12754" s="702" t="s">
        <v>8014</v>
      </c>
    </row>
    <row r="12755" spans="1:8" s="682" customFormat="1" ht="36" customHeight="1" x14ac:dyDescent="0.25">
      <c r="A12755" s="730">
        <v>44771</v>
      </c>
      <c r="B12755" s="94" t="s">
        <v>7921</v>
      </c>
      <c r="C12755" s="175" t="s">
        <v>559</v>
      </c>
      <c r="D12755" s="802" t="s">
        <v>8050</v>
      </c>
      <c r="E12755" s="176"/>
      <c r="F12755" s="176">
        <v>700000</v>
      </c>
      <c r="G12755" s="176">
        <f t="shared" si="205"/>
        <v>700000</v>
      </c>
      <c r="H12755" s="702" t="s">
        <v>8014</v>
      </c>
    </row>
    <row r="12756" spans="1:8" s="682" customFormat="1" ht="36" customHeight="1" x14ac:dyDescent="0.25">
      <c r="A12756" s="730">
        <v>44771</v>
      </c>
      <c r="B12756" s="94" t="s">
        <v>8043</v>
      </c>
      <c r="C12756" s="175" t="s">
        <v>559</v>
      </c>
      <c r="D12756" s="802" t="s">
        <v>8050</v>
      </c>
      <c r="E12756" s="176"/>
      <c r="F12756" s="176">
        <v>753985</v>
      </c>
      <c r="G12756" s="176">
        <f t="shared" si="205"/>
        <v>753985</v>
      </c>
      <c r="H12756" s="702" t="s">
        <v>8014</v>
      </c>
    </row>
    <row r="12757" spans="1:8" s="682" customFormat="1" ht="36" customHeight="1" x14ac:dyDescent="0.25">
      <c r="A12757" s="730">
        <v>44771</v>
      </c>
      <c r="B12757" s="94" t="s">
        <v>7921</v>
      </c>
      <c r="C12757" s="175" t="s">
        <v>559</v>
      </c>
      <c r="D12757" s="802" t="s">
        <v>8049</v>
      </c>
      <c r="E12757" s="176"/>
      <c r="F12757" s="176">
        <v>2400000</v>
      </c>
      <c r="G12757" s="176">
        <f t="shared" si="205"/>
        <v>2400000</v>
      </c>
      <c r="H12757" s="702" t="s">
        <v>8014</v>
      </c>
    </row>
    <row r="12758" spans="1:8" ht="25.5" x14ac:dyDescent="0.2">
      <c r="A12758" s="730">
        <v>44771</v>
      </c>
      <c r="B12758" s="175" t="s">
        <v>7953</v>
      </c>
      <c r="C12758" s="175" t="s">
        <v>559</v>
      </c>
      <c r="D12758" s="802" t="s">
        <v>8051</v>
      </c>
      <c r="E12758" s="176"/>
      <c r="F12758" s="176">
        <v>517374</v>
      </c>
      <c r="G12758" s="176">
        <f t="shared" si="205"/>
        <v>517374</v>
      </c>
      <c r="H12758" s="702" t="s">
        <v>8014</v>
      </c>
    </row>
    <row r="12759" spans="1:8" s="682" customFormat="1" ht="60" customHeight="1" x14ac:dyDescent="0.25">
      <c r="A12759" s="730">
        <v>44771</v>
      </c>
      <c r="B12759" s="175" t="s">
        <v>7953</v>
      </c>
      <c r="C12759" s="175" t="s">
        <v>559</v>
      </c>
      <c r="D12759" s="802" t="s">
        <v>8226</v>
      </c>
      <c r="E12759" s="176"/>
      <c r="F12759" s="176">
        <v>1424930</v>
      </c>
      <c r="G12759" s="176">
        <f t="shared" si="205"/>
        <v>1424930</v>
      </c>
      <c r="H12759" s="702" t="s">
        <v>8014</v>
      </c>
    </row>
    <row r="12760" spans="1:8" s="682" customFormat="1" ht="15" customHeight="1" x14ac:dyDescent="0.25">
      <c r="A12760" s="734">
        <v>44774</v>
      </c>
      <c r="B12760" s="76" t="s">
        <v>25</v>
      </c>
      <c r="C12760" s="76" t="s">
        <v>2428</v>
      </c>
      <c r="D12760" s="791" t="s">
        <v>8123</v>
      </c>
      <c r="E12760" s="126">
        <v>43169</v>
      </c>
      <c r="F12760" s="126"/>
      <c r="G12760" s="126">
        <f t="shared" si="205"/>
        <v>-43169</v>
      </c>
      <c r="H12760" s="705" t="s">
        <v>8095</v>
      </c>
    </row>
    <row r="12761" spans="1:8" s="682" customFormat="1" ht="15" customHeight="1" x14ac:dyDescent="0.25">
      <c r="A12761" s="734">
        <v>44774</v>
      </c>
      <c r="B12761" s="76" t="s">
        <v>7921</v>
      </c>
      <c r="C12761" s="76" t="s">
        <v>3145</v>
      </c>
      <c r="D12761" s="183" t="s">
        <v>8124</v>
      </c>
      <c r="E12761" s="126">
        <v>12090</v>
      </c>
      <c r="F12761" s="126"/>
      <c r="G12761" s="126">
        <f t="shared" si="205"/>
        <v>-12090</v>
      </c>
      <c r="H12761" s="705" t="s">
        <v>8095</v>
      </c>
    </row>
    <row r="12762" spans="1:8" s="682" customFormat="1" ht="15" customHeight="1" x14ac:dyDescent="0.25">
      <c r="A12762" s="734">
        <v>44774</v>
      </c>
      <c r="B12762" s="76" t="s">
        <v>8043</v>
      </c>
      <c r="C12762" s="76" t="s">
        <v>3145</v>
      </c>
      <c r="D12762" s="183" t="s">
        <v>8125</v>
      </c>
      <c r="E12762" s="126">
        <v>110000</v>
      </c>
      <c r="F12762" s="126"/>
      <c r="G12762" s="126">
        <f t="shared" si="205"/>
        <v>-110000</v>
      </c>
      <c r="H12762" s="705" t="s">
        <v>8095</v>
      </c>
    </row>
    <row r="12763" spans="1:8" s="682" customFormat="1" ht="15" customHeight="1" x14ac:dyDescent="0.25">
      <c r="A12763" s="734">
        <v>44774</v>
      </c>
      <c r="B12763" s="76" t="s">
        <v>8043</v>
      </c>
      <c r="C12763" s="76" t="s">
        <v>3145</v>
      </c>
      <c r="D12763" s="183" t="s">
        <v>8126</v>
      </c>
      <c r="E12763" s="126">
        <v>2200</v>
      </c>
      <c r="F12763" s="126"/>
      <c r="G12763" s="126">
        <f t="shared" si="205"/>
        <v>-2200</v>
      </c>
      <c r="H12763" s="705" t="s">
        <v>8095</v>
      </c>
    </row>
    <row r="12764" spans="1:8" s="682" customFormat="1" ht="15" customHeight="1" x14ac:dyDescent="0.25">
      <c r="A12764" s="734">
        <v>44774</v>
      </c>
      <c r="B12764" s="76" t="s">
        <v>8043</v>
      </c>
      <c r="C12764" s="76" t="s">
        <v>2190</v>
      </c>
      <c r="D12764" s="183"/>
      <c r="E12764" s="126">
        <v>180</v>
      </c>
      <c r="F12764" s="126"/>
      <c r="G12764" s="126">
        <f t="shared" si="205"/>
        <v>-180</v>
      </c>
      <c r="H12764" s="705" t="s">
        <v>8095</v>
      </c>
    </row>
    <row r="12765" spans="1:8" s="682" customFormat="1" ht="15" customHeight="1" x14ac:dyDescent="0.25">
      <c r="A12765" s="734">
        <v>44774</v>
      </c>
      <c r="B12765" s="76" t="s">
        <v>1400</v>
      </c>
      <c r="C12765" s="76" t="s">
        <v>3145</v>
      </c>
      <c r="D12765" s="183" t="s">
        <v>8127</v>
      </c>
      <c r="E12765" s="126">
        <v>820</v>
      </c>
      <c r="F12765" s="126"/>
      <c r="G12765" s="126">
        <f t="shared" si="205"/>
        <v>-820</v>
      </c>
      <c r="H12765" s="705" t="s">
        <v>8095</v>
      </c>
    </row>
    <row r="12766" spans="1:8" s="682" customFormat="1" ht="15" customHeight="1" x14ac:dyDescent="0.25">
      <c r="A12766" s="734">
        <v>44774</v>
      </c>
      <c r="B12766" s="76" t="s">
        <v>7921</v>
      </c>
      <c r="C12766" s="76" t="s">
        <v>286</v>
      </c>
      <c r="D12766" s="183" t="s">
        <v>2431</v>
      </c>
      <c r="E12766" s="126">
        <v>1000</v>
      </c>
      <c r="F12766" s="126"/>
      <c r="G12766" s="126">
        <f t="shared" si="205"/>
        <v>-1000</v>
      </c>
      <c r="H12766" s="705" t="s">
        <v>8095</v>
      </c>
    </row>
    <row r="12767" spans="1:8" s="682" customFormat="1" ht="15" customHeight="1" x14ac:dyDescent="0.25">
      <c r="A12767" s="734">
        <v>44774</v>
      </c>
      <c r="B12767" s="76" t="s">
        <v>7921</v>
      </c>
      <c r="C12767" s="76" t="s">
        <v>6967</v>
      </c>
      <c r="D12767" s="183" t="s">
        <v>6483</v>
      </c>
      <c r="E12767" s="126">
        <v>25000</v>
      </c>
      <c r="F12767" s="126"/>
      <c r="G12767" s="126">
        <f t="shared" si="205"/>
        <v>-25000</v>
      </c>
      <c r="H12767" s="705" t="s">
        <v>8095</v>
      </c>
    </row>
    <row r="12768" spans="1:8" s="682" customFormat="1" ht="15" customHeight="1" x14ac:dyDescent="0.25">
      <c r="A12768" s="734">
        <v>44775</v>
      </c>
      <c r="B12768" s="76" t="s">
        <v>25</v>
      </c>
      <c r="C12768" s="76" t="s">
        <v>1005</v>
      </c>
      <c r="D12768" s="183"/>
      <c r="E12768" s="126">
        <v>650</v>
      </c>
      <c r="F12768" s="126"/>
      <c r="G12768" s="126">
        <f t="shared" si="205"/>
        <v>-650</v>
      </c>
      <c r="H12768" s="705" t="s">
        <v>8095</v>
      </c>
    </row>
    <row r="12769" spans="1:8" s="682" customFormat="1" ht="15" customHeight="1" x14ac:dyDescent="0.25">
      <c r="A12769" s="734">
        <v>44775</v>
      </c>
      <c r="B12769" s="76" t="s">
        <v>2933</v>
      </c>
      <c r="C12769" s="76" t="s">
        <v>392</v>
      </c>
      <c r="D12769" s="183"/>
      <c r="E12769" s="126">
        <v>1430</v>
      </c>
      <c r="F12769" s="126"/>
      <c r="G12769" s="126">
        <f t="shared" si="205"/>
        <v>-1430</v>
      </c>
      <c r="H12769" s="705" t="s">
        <v>8095</v>
      </c>
    </row>
    <row r="12770" spans="1:8" s="682" customFormat="1" ht="15" customHeight="1" x14ac:dyDescent="0.25">
      <c r="A12770" s="734">
        <v>44775</v>
      </c>
      <c r="B12770" s="76" t="s">
        <v>7921</v>
      </c>
      <c r="C12770" s="76" t="s">
        <v>3145</v>
      </c>
      <c r="D12770" s="183" t="s">
        <v>8128</v>
      </c>
      <c r="E12770" s="126">
        <v>2830</v>
      </c>
      <c r="F12770" s="126"/>
      <c r="G12770" s="126">
        <f t="shared" si="205"/>
        <v>-2830</v>
      </c>
      <c r="H12770" s="705" t="s">
        <v>8095</v>
      </c>
    </row>
    <row r="12771" spans="1:8" s="682" customFormat="1" ht="15" customHeight="1" x14ac:dyDescent="0.25">
      <c r="A12771" s="734">
        <v>44775</v>
      </c>
      <c r="B12771" s="76" t="s">
        <v>7921</v>
      </c>
      <c r="C12771" s="76" t="s">
        <v>2190</v>
      </c>
      <c r="D12771" s="183"/>
      <c r="E12771" s="126">
        <v>720</v>
      </c>
      <c r="F12771" s="126"/>
      <c r="G12771" s="126">
        <f t="shared" si="205"/>
        <v>-720</v>
      </c>
      <c r="H12771" s="705" t="s">
        <v>8095</v>
      </c>
    </row>
    <row r="12772" spans="1:8" s="682" customFormat="1" ht="15" customHeight="1" x14ac:dyDescent="0.25">
      <c r="A12772" s="734">
        <v>44775</v>
      </c>
      <c r="B12772" s="76" t="s">
        <v>7921</v>
      </c>
      <c r="C12772" s="76" t="s">
        <v>392</v>
      </c>
      <c r="D12772" s="183" t="s">
        <v>3991</v>
      </c>
      <c r="E12772" s="126">
        <v>420</v>
      </c>
      <c r="F12772" s="126"/>
      <c r="G12772" s="126">
        <f t="shared" si="205"/>
        <v>-420</v>
      </c>
      <c r="H12772" s="705" t="s">
        <v>8095</v>
      </c>
    </row>
    <row r="12773" spans="1:8" s="682" customFormat="1" ht="15" customHeight="1" x14ac:dyDescent="0.25">
      <c r="A12773" s="734">
        <v>44775</v>
      </c>
      <c r="B12773" s="76" t="s">
        <v>7657</v>
      </c>
      <c r="C12773" s="76" t="s">
        <v>2555</v>
      </c>
      <c r="D12773" s="183" t="s">
        <v>8129</v>
      </c>
      <c r="E12773" s="126">
        <v>5000</v>
      </c>
      <c r="F12773" s="126"/>
      <c r="G12773" s="126">
        <f t="shared" si="205"/>
        <v>-5000</v>
      </c>
      <c r="H12773" s="705" t="s">
        <v>8095</v>
      </c>
    </row>
    <row r="12774" spans="1:8" s="682" customFormat="1" ht="15" customHeight="1" x14ac:dyDescent="0.25">
      <c r="A12774" s="734">
        <v>44776</v>
      </c>
      <c r="B12774" s="76" t="s">
        <v>8043</v>
      </c>
      <c r="C12774" s="76" t="s">
        <v>2190</v>
      </c>
      <c r="D12774" s="183"/>
      <c r="E12774" s="126">
        <v>435</v>
      </c>
      <c r="F12774" s="126"/>
      <c r="G12774" s="126">
        <f t="shared" si="205"/>
        <v>-435</v>
      </c>
      <c r="H12774" s="705" t="s">
        <v>8095</v>
      </c>
    </row>
    <row r="12775" spans="1:8" s="682" customFormat="1" ht="15" customHeight="1" x14ac:dyDescent="0.25">
      <c r="A12775" s="734">
        <v>44777</v>
      </c>
      <c r="B12775" s="76" t="s">
        <v>7921</v>
      </c>
      <c r="C12775" s="76" t="s">
        <v>3145</v>
      </c>
      <c r="D12775" s="183" t="s">
        <v>7198</v>
      </c>
      <c r="E12775" s="126">
        <v>12300</v>
      </c>
      <c r="F12775" s="126"/>
      <c r="G12775" s="126">
        <f t="shared" si="205"/>
        <v>-12300</v>
      </c>
      <c r="H12775" s="705" t="s">
        <v>8095</v>
      </c>
    </row>
    <row r="12776" spans="1:8" s="682" customFormat="1" ht="15" customHeight="1" x14ac:dyDescent="0.25">
      <c r="A12776" s="734">
        <v>44777</v>
      </c>
      <c r="B12776" s="76" t="s">
        <v>7921</v>
      </c>
      <c r="C12776" s="76" t="s">
        <v>2190</v>
      </c>
      <c r="D12776" s="183"/>
      <c r="E12776" s="126">
        <v>1320</v>
      </c>
      <c r="F12776" s="126"/>
      <c r="G12776" s="126">
        <f t="shared" si="205"/>
        <v>-1320</v>
      </c>
      <c r="H12776" s="705" t="s">
        <v>8095</v>
      </c>
    </row>
    <row r="12777" spans="1:8" s="682" customFormat="1" ht="15" customHeight="1" x14ac:dyDescent="0.25">
      <c r="A12777" s="734">
        <v>44777</v>
      </c>
      <c r="B12777" s="76" t="s">
        <v>7921</v>
      </c>
      <c r="C12777" s="76" t="s">
        <v>2190</v>
      </c>
      <c r="D12777" s="183"/>
      <c r="E12777" s="126">
        <v>420</v>
      </c>
      <c r="F12777" s="126"/>
      <c r="G12777" s="126">
        <f t="shared" si="205"/>
        <v>-420</v>
      </c>
      <c r="H12777" s="705" t="s">
        <v>8095</v>
      </c>
    </row>
    <row r="12778" spans="1:8" s="682" customFormat="1" ht="15" customHeight="1" x14ac:dyDescent="0.25">
      <c r="A12778" s="734">
        <v>44777</v>
      </c>
      <c r="B12778" s="76" t="s">
        <v>37</v>
      </c>
      <c r="C12778" s="76" t="s">
        <v>3145</v>
      </c>
      <c r="D12778" s="183" t="s">
        <v>4694</v>
      </c>
      <c r="E12778" s="126">
        <v>4100</v>
      </c>
      <c r="F12778" s="126"/>
      <c r="G12778" s="126">
        <f t="shared" si="205"/>
        <v>-4100</v>
      </c>
      <c r="H12778" s="705" t="s">
        <v>8095</v>
      </c>
    </row>
    <row r="12779" spans="1:8" s="682" customFormat="1" ht="15" customHeight="1" x14ac:dyDescent="0.25">
      <c r="A12779" s="734">
        <v>44777</v>
      </c>
      <c r="B12779" s="76" t="s">
        <v>2933</v>
      </c>
      <c r="C12779" s="76" t="s">
        <v>3145</v>
      </c>
      <c r="D12779" s="183" t="s">
        <v>4694</v>
      </c>
      <c r="E12779" s="126">
        <v>3000</v>
      </c>
      <c r="F12779" s="126"/>
      <c r="G12779" s="126">
        <f t="shared" si="205"/>
        <v>-3000</v>
      </c>
      <c r="H12779" s="705" t="s">
        <v>8095</v>
      </c>
    </row>
    <row r="12780" spans="1:8" s="682" customFormat="1" ht="15" customHeight="1" x14ac:dyDescent="0.25">
      <c r="A12780" s="734">
        <v>44777</v>
      </c>
      <c r="B12780" s="76" t="s">
        <v>1400</v>
      </c>
      <c r="C12780" s="76" t="s">
        <v>3145</v>
      </c>
      <c r="D12780" s="183" t="s">
        <v>4694</v>
      </c>
      <c r="E12780" s="126">
        <v>2990</v>
      </c>
      <c r="F12780" s="126"/>
      <c r="G12780" s="126">
        <f t="shared" si="205"/>
        <v>-2990</v>
      </c>
      <c r="H12780" s="705" t="s">
        <v>8095</v>
      </c>
    </row>
    <row r="12781" spans="1:8" s="682" customFormat="1" ht="25.5" customHeight="1" x14ac:dyDescent="0.25">
      <c r="A12781" s="734">
        <v>44777</v>
      </c>
      <c r="B12781" s="76" t="s">
        <v>7953</v>
      </c>
      <c r="C12781" s="76" t="s">
        <v>7954</v>
      </c>
      <c r="D12781" s="183" t="s">
        <v>8130</v>
      </c>
      <c r="E12781" s="126">
        <v>250000</v>
      </c>
      <c r="F12781" s="126"/>
      <c r="G12781" s="126">
        <f t="shared" si="205"/>
        <v>-250000</v>
      </c>
      <c r="H12781" s="705" t="s">
        <v>8095</v>
      </c>
    </row>
    <row r="12782" spans="1:8" s="682" customFormat="1" ht="15" customHeight="1" x14ac:dyDescent="0.25">
      <c r="A12782" s="734">
        <v>44777</v>
      </c>
      <c r="B12782" s="76" t="s">
        <v>1400</v>
      </c>
      <c r="C12782" s="76" t="s">
        <v>2190</v>
      </c>
      <c r="D12782" s="183"/>
      <c r="E12782" s="126">
        <v>60</v>
      </c>
      <c r="F12782" s="126"/>
      <c r="G12782" s="126">
        <f t="shared" si="205"/>
        <v>-60</v>
      </c>
      <c r="H12782" s="705" t="s">
        <v>8095</v>
      </c>
    </row>
    <row r="12783" spans="1:8" s="682" customFormat="1" ht="15" customHeight="1" x14ac:dyDescent="0.25">
      <c r="A12783" s="734">
        <v>44777</v>
      </c>
      <c r="B12783" s="76" t="s">
        <v>1400</v>
      </c>
      <c r="C12783" s="76" t="s">
        <v>2190</v>
      </c>
      <c r="D12783" s="183"/>
      <c r="E12783" s="126">
        <v>760</v>
      </c>
      <c r="F12783" s="126"/>
      <c r="G12783" s="126">
        <f t="shared" si="205"/>
        <v>-760</v>
      </c>
      <c r="H12783" s="705" t="s">
        <v>8095</v>
      </c>
    </row>
    <row r="12784" spans="1:8" s="682" customFormat="1" ht="15" customHeight="1" x14ac:dyDescent="0.25">
      <c r="A12784" s="734">
        <v>44777</v>
      </c>
      <c r="B12784" s="76" t="s">
        <v>8043</v>
      </c>
      <c r="C12784" s="76" t="s">
        <v>4876</v>
      </c>
      <c r="D12784" s="183" t="s">
        <v>8131</v>
      </c>
      <c r="E12784" s="126">
        <v>3000</v>
      </c>
      <c r="F12784" s="126"/>
      <c r="G12784" s="126">
        <f t="shared" si="205"/>
        <v>-3000</v>
      </c>
      <c r="H12784" s="705" t="s">
        <v>8095</v>
      </c>
    </row>
    <row r="12785" spans="1:8" s="682" customFormat="1" ht="15" customHeight="1" x14ac:dyDescent="0.25">
      <c r="A12785" s="734">
        <v>44777</v>
      </c>
      <c r="B12785" s="76" t="s">
        <v>8043</v>
      </c>
      <c r="C12785" s="76" t="s">
        <v>5741</v>
      </c>
      <c r="D12785" s="183" t="s">
        <v>8132</v>
      </c>
      <c r="E12785" s="126">
        <v>7000</v>
      </c>
      <c r="F12785" s="126"/>
      <c r="G12785" s="126">
        <f t="shared" si="205"/>
        <v>-7000</v>
      </c>
      <c r="H12785" s="705" t="s">
        <v>8095</v>
      </c>
    </row>
    <row r="12786" spans="1:8" s="682" customFormat="1" ht="15" customHeight="1" x14ac:dyDescent="0.25">
      <c r="A12786" s="734">
        <v>44777</v>
      </c>
      <c r="B12786" s="76" t="s">
        <v>7921</v>
      </c>
      <c r="C12786" s="76" t="s">
        <v>6706</v>
      </c>
      <c r="D12786" s="183" t="s">
        <v>8130</v>
      </c>
      <c r="E12786" s="126">
        <v>250000</v>
      </c>
      <c r="F12786" s="126"/>
      <c r="G12786" s="126">
        <f t="shared" si="205"/>
        <v>-250000</v>
      </c>
      <c r="H12786" s="705" t="s">
        <v>8095</v>
      </c>
    </row>
    <row r="12787" spans="1:8" s="682" customFormat="1" ht="15" customHeight="1" x14ac:dyDescent="0.25">
      <c r="A12787" s="734">
        <v>44777</v>
      </c>
      <c r="B12787" s="76" t="s">
        <v>7921</v>
      </c>
      <c r="C12787" s="76" t="s">
        <v>286</v>
      </c>
      <c r="D12787" s="183" t="s">
        <v>8133</v>
      </c>
      <c r="E12787" s="126">
        <v>1000</v>
      </c>
      <c r="F12787" s="126"/>
      <c r="G12787" s="126">
        <f t="shared" si="205"/>
        <v>-1000</v>
      </c>
      <c r="H12787" s="705" t="s">
        <v>8095</v>
      </c>
    </row>
    <row r="12788" spans="1:8" s="682" customFormat="1" ht="15" customHeight="1" x14ac:dyDescent="0.25">
      <c r="A12788" s="734">
        <v>44778</v>
      </c>
      <c r="B12788" s="76" t="s">
        <v>37</v>
      </c>
      <c r="C12788" s="76" t="s">
        <v>286</v>
      </c>
      <c r="D12788" s="183" t="s">
        <v>3629</v>
      </c>
      <c r="E12788" s="126">
        <v>200</v>
      </c>
      <c r="F12788" s="126"/>
      <c r="G12788" s="126">
        <f t="shared" si="205"/>
        <v>-200</v>
      </c>
      <c r="H12788" s="705" t="s">
        <v>8095</v>
      </c>
    </row>
    <row r="12789" spans="1:8" s="682" customFormat="1" ht="15" customHeight="1" x14ac:dyDescent="0.25">
      <c r="A12789" s="734">
        <v>44778</v>
      </c>
      <c r="B12789" s="76" t="s">
        <v>37</v>
      </c>
      <c r="C12789" s="76" t="s">
        <v>392</v>
      </c>
      <c r="D12789" s="183" t="s">
        <v>5755</v>
      </c>
      <c r="E12789" s="126">
        <v>3000</v>
      </c>
      <c r="F12789" s="126"/>
      <c r="G12789" s="126">
        <f t="shared" si="205"/>
        <v>-3000</v>
      </c>
      <c r="H12789" s="705" t="s">
        <v>8095</v>
      </c>
    </row>
    <row r="12790" spans="1:8" s="682" customFormat="1" ht="15" customHeight="1" x14ac:dyDescent="0.25">
      <c r="A12790" s="734">
        <v>44778</v>
      </c>
      <c r="B12790" s="76" t="s">
        <v>1400</v>
      </c>
      <c r="C12790" s="76" t="s">
        <v>392</v>
      </c>
      <c r="D12790" s="183" t="s">
        <v>7262</v>
      </c>
      <c r="E12790" s="126">
        <v>700</v>
      </c>
      <c r="F12790" s="126"/>
      <c r="G12790" s="126">
        <f t="shared" si="205"/>
        <v>-700</v>
      </c>
      <c r="H12790" s="705" t="s">
        <v>8095</v>
      </c>
    </row>
    <row r="12791" spans="1:8" s="682" customFormat="1" ht="15" customHeight="1" x14ac:dyDescent="0.25">
      <c r="A12791" s="734">
        <v>44778</v>
      </c>
      <c r="B12791" s="76" t="s">
        <v>16</v>
      </c>
      <c r="C12791" s="76" t="s">
        <v>392</v>
      </c>
      <c r="D12791" s="183" t="s">
        <v>8134</v>
      </c>
      <c r="E12791" s="126">
        <v>250</v>
      </c>
      <c r="F12791" s="126"/>
      <c r="G12791" s="126">
        <f t="shared" si="205"/>
        <v>-250</v>
      </c>
      <c r="H12791" s="705" t="s">
        <v>8095</v>
      </c>
    </row>
    <row r="12792" spans="1:8" s="682" customFormat="1" ht="15" customHeight="1" x14ac:dyDescent="0.25">
      <c r="A12792" s="734">
        <v>44778</v>
      </c>
      <c r="B12792" s="76" t="s">
        <v>3946</v>
      </c>
      <c r="C12792" s="76" t="s">
        <v>3145</v>
      </c>
      <c r="D12792" s="183" t="s">
        <v>6970</v>
      </c>
      <c r="E12792" s="126">
        <v>1800</v>
      </c>
      <c r="F12792" s="126"/>
      <c r="G12792" s="126">
        <f t="shared" si="205"/>
        <v>-1800</v>
      </c>
      <c r="H12792" s="705" t="s">
        <v>8095</v>
      </c>
    </row>
    <row r="12793" spans="1:8" s="682" customFormat="1" ht="15" customHeight="1" x14ac:dyDescent="0.25">
      <c r="A12793" s="734">
        <v>44778</v>
      </c>
      <c r="B12793" s="76" t="s">
        <v>7921</v>
      </c>
      <c r="C12793" s="76" t="s">
        <v>3145</v>
      </c>
      <c r="D12793" s="183" t="s">
        <v>8135</v>
      </c>
      <c r="E12793" s="126">
        <v>700</v>
      </c>
      <c r="F12793" s="126"/>
      <c r="G12793" s="126">
        <f t="shared" si="205"/>
        <v>-700</v>
      </c>
      <c r="H12793" s="705" t="s">
        <v>8095</v>
      </c>
    </row>
    <row r="12794" spans="1:8" s="682" customFormat="1" ht="15" customHeight="1" x14ac:dyDescent="0.25">
      <c r="A12794" s="734">
        <v>44778</v>
      </c>
      <c r="B12794" s="76" t="s">
        <v>8043</v>
      </c>
      <c r="C12794" s="76" t="s">
        <v>5741</v>
      </c>
      <c r="D12794" s="183"/>
      <c r="E12794" s="126">
        <v>3000</v>
      </c>
      <c r="F12794" s="126"/>
      <c r="G12794" s="126">
        <f t="shared" si="205"/>
        <v>-3000</v>
      </c>
      <c r="H12794" s="705" t="s">
        <v>8095</v>
      </c>
    </row>
    <row r="12795" spans="1:8" s="682" customFormat="1" ht="15" customHeight="1" x14ac:dyDescent="0.25">
      <c r="A12795" s="734">
        <v>44782</v>
      </c>
      <c r="B12795" s="76" t="s">
        <v>16</v>
      </c>
      <c r="C12795" s="76" t="s">
        <v>2996</v>
      </c>
      <c r="D12795" s="183"/>
      <c r="E12795" s="126">
        <v>4670</v>
      </c>
      <c r="F12795" s="126"/>
      <c r="G12795" s="126">
        <f t="shared" si="205"/>
        <v>-4670</v>
      </c>
      <c r="H12795" s="705" t="s">
        <v>8095</v>
      </c>
    </row>
    <row r="12796" spans="1:8" s="682" customFormat="1" ht="15" customHeight="1" x14ac:dyDescent="0.25">
      <c r="A12796" s="734">
        <v>44785</v>
      </c>
      <c r="B12796" s="76" t="s">
        <v>8043</v>
      </c>
      <c r="C12796" s="76" t="s">
        <v>5741</v>
      </c>
      <c r="D12796" s="183"/>
      <c r="E12796" s="126">
        <v>500</v>
      </c>
      <c r="F12796" s="126"/>
      <c r="G12796" s="126">
        <f t="shared" si="205"/>
        <v>-500</v>
      </c>
      <c r="H12796" s="705" t="s">
        <v>8095</v>
      </c>
    </row>
    <row r="12797" spans="1:8" s="682" customFormat="1" ht="15" customHeight="1" x14ac:dyDescent="0.25">
      <c r="A12797" s="734">
        <v>44785</v>
      </c>
      <c r="B12797" s="76" t="s">
        <v>8043</v>
      </c>
      <c r="C12797" s="76" t="s">
        <v>778</v>
      </c>
      <c r="D12797" s="183" t="s">
        <v>8136</v>
      </c>
      <c r="E12797" s="126">
        <v>16000</v>
      </c>
      <c r="F12797" s="126"/>
      <c r="G12797" s="126">
        <f t="shared" si="205"/>
        <v>-16000</v>
      </c>
      <c r="H12797" s="705" t="s">
        <v>8095</v>
      </c>
    </row>
    <row r="12798" spans="1:8" s="682" customFormat="1" ht="15" customHeight="1" x14ac:dyDescent="0.25">
      <c r="A12798" s="734">
        <v>44785</v>
      </c>
      <c r="B12798" s="76" t="s">
        <v>25</v>
      </c>
      <c r="C12798" s="76" t="s">
        <v>1689</v>
      </c>
      <c r="D12798" s="183"/>
      <c r="E12798" s="126">
        <v>6020</v>
      </c>
      <c r="F12798" s="126"/>
      <c r="G12798" s="126">
        <f t="shared" si="205"/>
        <v>-6020</v>
      </c>
      <c r="H12798" s="705" t="s">
        <v>8095</v>
      </c>
    </row>
    <row r="12799" spans="1:8" s="682" customFormat="1" ht="15" customHeight="1" x14ac:dyDescent="0.25">
      <c r="A12799" s="734">
        <v>44785</v>
      </c>
      <c r="B12799" s="76" t="s">
        <v>16</v>
      </c>
      <c r="C12799" s="76" t="s">
        <v>1689</v>
      </c>
      <c r="D12799" s="183"/>
      <c r="E12799" s="126">
        <v>2010</v>
      </c>
      <c r="F12799" s="126"/>
      <c r="G12799" s="126">
        <f t="shared" si="205"/>
        <v>-2010</v>
      </c>
      <c r="H12799" s="705" t="s">
        <v>8095</v>
      </c>
    </row>
    <row r="12800" spans="1:8" s="682" customFormat="1" ht="15" customHeight="1" x14ac:dyDescent="0.25">
      <c r="A12800" s="734">
        <v>44785</v>
      </c>
      <c r="B12800" s="76" t="s">
        <v>1400</v>
      </c>
      <c r="C12800" s="76" t="s">
        <v>3145</v>
      </c>
      <c r="D12800" s="183" t="s">
        <v>4450</v>
      </c>
      <c r="E12800" s="126">
        <v>61165</v>
      </c>
      <c r="F12800" s="126"/>
      <c r="G12800" s="126">
        <f t="shared" si="205"/>
        <v>-61165</v>
      </c>
      <c r="H12800" s="705" t="s">
        <v>8095</v>
      </c>
    </row>
    <row r="12801" spans="1:8" s="682" customFormat="1" ht="15" customHeight="1" x14ac:dyDescent="0.25">
      <c r="A12801" s="734">
        <v>44785</v>
      </c>
      <c r="B12801" s="76" t="s">
        <v>3946</v>
      </c>
      <c r="C12801" s="76" t="s">
        <v>6476</v>
      </c>
      <c r="D12801" s="183" t="s">
        <v>8137</v>
      </c>
      <c r="E12801" s="126">
        <v>13000</v>
      </c>
      <c r="F12801" s="126"/>
      <c r="G12801" s="126">
        <f t="shared" si="205"/>
        <v>-13000</v>
      </c>
      <c r="H12801" s="705" t="s">
        <v>8095</v>
      </c>
    </row>
    <row r="12802" spans="1:8" s="682" customFormat="1" ht="15" customHeight="1" x14ac:dyDescent="0.25">
      <c r="A12802" s="734">
        <v>44785</v>
      </c>
      <c r="B12802" s="76" t="s">
        <v>7921</v>
      </c>
      <c r="C12802" s="76" t="s">
        <v>6967</v>
      </c>
      <c r="D12802" s="183" t="s">
        <v>8138</v>
      </c>
      <c r="E12802" s="126">
        <v>20000</v>
      </c>
      <c r="F12802" s="126"/>
      <c r="G12802" s="126">
        <f t="shared" si="205"/>
        <v>-20000</v>
      </c>
      <c r="H12802" s="705" t="s">
        <v>8095</v>
      </c>
    </row>
    <row r="12803" spans="1:8" s="682" customFormat="1" ht="15" customHeight="1" x14ac:dyDescent="0.25">
      <c r="A12803" s="734">
        <v>44788</v>
      </c>
      <c r="B12803" s="76" t="s">
        <v>3946</v>
      </c>
      <c r="C12803" s="76" t="s">
        <v>3145</v>
      </c>
      <c r="D12803" s="183" t="s">
        <v>8147</v>
      </c>
      <c r="E12803" s="126">
        <v>24600</v>
      </c>
      <c r="F12803" s="126"/>
      <c r="G12803" s="126">
        <f t="shared" si="205"/>
        <v>-24600</v>
      </c>
      <c r="H12803" s="705" t="s">
        <v>8095</v>
      </c>
    </row>
    <row r="12804" spans="1:8" s="682" customFormat="1" ht="15" customHeight="1" x14ac:dyDescent="0.25">
      <c r="A12804" s="734">
        <v>44788</v>
      </c>
      <c r="B12804" s="76" t="s">
        <v>3946</v>
      </c>
      <c r="C12804" s="76" t="s">
        <v>3145</v>
      </c>
      <c r="D12804" s="183" t="s">
        <v>8148</v>
      </c>
      <c r="E12804" s="126">
        <v>24000</v>
      </c>
      <c r="F12804" s="126"/>
      <c r="G12804" s="126">
        <f t="shared" si="205"/>
        <v>-24000</v>
      </c>
      <c r="H12804" s="705" t="s">
        <v>8095</v>
      </c>
    </row>
    <row r="12805" spans="1:8" s="682" customFormat="1" ht="15" customHeight="1" x14ac:dyDescent="0.25">
      <c r="A12805" s="734">
        <v>44788</v>
      </c>
      <c r="B12805" s="76" t="s">
        <v>3946</v>
      </c>
      <c r="C12805" s="76" t="s">
        <v>3145</v>
      </c>
      <c r="D12805" s="183" t="s">
        <v>8149</v>
      </c>
      <c r="E12805" s="126">
        <v>8800</v>
      </c>
      <c r="F12805" s="126"/>
      <c r="G12805" s="126">
        <f t="shared" ref="G12805:G12868" si="206">F12805-E12805</f>
        <v>-8800</v>
      </c>
      <c r="H12805" s="705" t="s">
        <v>8095</v>
      </c>
    </row>
    <row r="12806" spans="1:8" s="682" customFormat="1" ht="15" customHeight="1" x14ac:dyDescent="0.25">
      <c r="A12806" s="734">
        <v>44788</v>
      </c>
      <c r="B12806" s="76" t="s">
        <v>3946</v>
      </c>
      <c r="C12806" s="76" t="s">
        <v>3145</v>
      </c>
      <c r="D12806" s="183" t="s">
        <v>6970</v>
      </c>
      <c r="E12806" s="126">
        <v>1040</v>
      </c>
      <c r="F12806" s="126"/>
      <c r="G12806" s="126">
        <f t="shared" si="206"/>
        <v>-1040</v>
      </c>
      <c r="H12806" s="705" t="s">
        <v>8095</v>
      </c>
    </row>
    <row r="12807" spans="1:8" s="682" customFormat="1" ht="15" customHeight="1" x14ac:dyDescent="0.25">
      <c r="A12807" s="734">
        <v>44788</v>
      </c>
      <c r="B12807" s="76" t="s">
        <v>7921</v>
      </c>
      <c r="C12807" s="76" t="s">
        <v>3145</v>
      </c>
      <c r="D12807" s="183" t="s">
        <v>6942</v>
      </c>
      <c r="E12807" s="126">
        <v>13580</v>
      </c>
      <c r="F12807" s="126"/>
      <c r="G12807" s="126">
        <f t="shared" si="206"/>
        <v>-13580</v>
      </c>
      <c r="H12807" s="705" t="s">
        <v>8095</v>
      </c>
    </row>
    <row r="12808" spans="1:8" s="682" customFormat="1" ht="15" customHeight="1" x14ac:dyDescent="0.25">
      <c r="A12808" s="734">
        <v>44788</v>
      </c>
      <c r="B12808" s="76" t="s">
        <v>8043</v>
      </c>
      <c r="C12808" s="76" t="s">
        <v>3145</v>
      </c>
      <c r="D12808" s="183" t="s">
        <v>392</v>
      </c>
      <c r="E12808" s="126">
        <v>420</v>
      </c>
      <c r="F12808" s="126"/>
      <c r="G12808" s="126">
        <f t="shared" si="206"/>
        <v>-420</v>
      </c>
      <c r="H12808" s="705" t="s">
        <v>8095</v>
      </c>
    </row>
    <row r="12809" spans="1:8" s="682" customFormat="1" ht="15" customHeight="1" x14ac:dyDescent="0.25">
      <c r="A12809" s="734">
        <v>44788</v>
      </c>
      <c r="B12809" s="76" t="s">
        <v>16</v>
      </c>
      <c r="C12809" s="76" t="s">
        <v>3364</v>
      </c>
      <c r="D12809" s="183"/>
      <c r="E12809" s="126">
        <v>4970</v>
      </c>
      <c r="F12809" s="126"/>
      <c r="G12809" s="126">
        <f t="shared" si="206"/>
        <v>-4970</v>
      </c>
      <c r="H12809" s="705" t="s">
        <v>8095</v>
      </c>
    </row>
    <row r="12810" spans="1:8" s="682" customFormat="1" ht="15" customHeight="1" x14ac:dyDescent="0.25">
      <c r="A12810" s="734">
        <v>44788</v>
      </c>
      <c r="B12810" s="76" t="s">
        <v>7921</v>
      </c>
      <c r="C12810" s="76" t="s">
        <v>5741</v>
      </c>
      <c r="D12810" s="183"/>
      <c r="E12810" s="126">
        <v>2000</v>
      </c>
      <c r="F12810" s="126"/>
      <c r="G12810" s="126">
        <f t="shared" si="206"/>
        <v>-2000</v>
      </c>
      <c r="H12810" s="705" t="s">
        <v>8095</v>
      </c>
    </row>
    <row r="12811" spans="1:8" s="682" customFormat="1" ht="15" customHeight="1" x14ac:dyDescent="0.25">
      <c r="A12811" s="734">
        <v>44788</v>
      </c>
      <c r="B12811" s="76" t="s">
        <v>7921</v>
      </c>
      <c r="C12811" s="76" t="s">
        <v>5741</v>
      </c>
      <c r="D12811" s="183"/>
      <c r="E12811" s="126">
        <v>2500</v>
      </c>
      <c r="F12811" s="126"/>
      <c r="G12811" s="126">
        <f t="shared" si="206"/>
        <v>-2500</v>
      </c>
      <c r="H12811" s="705" t="s">
        <v>8095</v>
      </c>
    </row>
    <row r="12812" spans="1:8" s="682" customFormat="1" ht="15" customHeight="1" x14ac:dyDescent="0.25">
      <c r="A12812" s="734">
        <v>44788</v>
      </c>
      <c r="B12812" s="76" t="s">
        <v>1400</v>
      </c>
      <c r="C12812" s="76" t="s">
        <v>4876</v>
      </c>
      <c r="D12812" s="183" t="s">
        <v>370</v>
      </c>
      <c r="E12812" s="126">
        <v>2500</v>
      </c>
      <c r="F12812" s="126"/>
      <c r="G12812" s="126">
        <f t="shared" si="206"/>
        <v>-2500</v>
      </c>
      <c r="H12812" s="705" t="s">
        <v>8095</v>
      </c>
    </row>
    <row r="12813" spans="1:8" s="682" customFormat="1" ht="15" customHeight="1" x14ac:dyDescent="0.25">
      <c r="A12813" s="734">
        <v>44788</v>
      </c>
      <c r="B12813" s="76" t="s">
        <v>2933</v>
      </c>
      <c r="C12813" s="76" t="s">
        <v>392</v>
      </c>
      <c r="D12813" s="183" t="s">
        <v>5755</v>
      </c>
      <c r="E12813" s="126">
        <v>1500</v>
      </c>
      <c r="F12813" s="126"/>
      <c r="G12813" s="126">
        <f t="shared" si="206"/>
        <v>-1500</v>
      </c>
      <c r="H12813" s="705" t="s">
        <v>8095</v>
      </c>
    </row>
    <row r="12814" spans="1:8" s="682" customFormat="1" ht="15" customHeight="1" x14ac:dyDescent="0.25">
      <c r="A12814" s="734">
        <v>44692</v>
      </c>
      <c r="B12814" s="76" t="s">
        <v>7921</v>
      </c>
      <c r="C12814" s="76" t="s">
        <v>392</v>
      </c>
      <c r="D12814" s="183" t="s">
        <v>8162</v>
      </c>
      <c r="E12814" s="126">
        <v>1000</v>
      </c>
      <c r="F12814" s="126"/>
      <c r="G12814" s="126">
        <f t="shared" si="206"/>
        <v>-1000</v>
      </c>
      <c r="H12814" s="705" t="s">
        <v>8095</v>
      </c>
    </row>
    <row r="12815" spans="1:8" s="682" customFormat="1" ht="15" customHeight="1" x14ac:dyDescent="0.25">
      <c r="A12815" s="734">
        <v>44775</v>
      </c>
      <c r="B12815" s="76" t="s">
        <v>16</v>
      </c>
      <c r="C12815" s="76" t="s">
        <v>8150</v>
      </c>
      <c r="D12815" s="183" t="s">
        <v>8151</v>
      </c>
      <c r="E12815" s="126">
        <v>250</v>
      </c>
      <c r="F12815" s="126"/>
      <c r="G12815" s="126">
        <f t="shared" si="206"/>
        <v>-250</v>
      </c>
      <c r="H12815" s="705" t="s">
        <v>8095</v>
      </c>
    </row>
    <row r="12816" spans="1:8" s="682" customFormat="1" ht="15" customHeight="1" x14ac:dyDescent="0.25">
      <c r="A12816" s="734">
        <v>44775</v>
      </c>
      <c r="B12816" s="76" t="s">
        <v>25</v>
      </c>
      <c r="C12816" s="76" t="s">
        <v>8150</v>
      </c>
      <c r="D12816" s="183" t="s">
        <v>8152</v>
      </c>
      <c r="E12816" s="126">
        <v>730</v>
      </c>
      <c r="F12816" s="126"/>
      <c r="G12816" s="126">
        <f t="shared" si="206"/>
        <v>-730</v>
      </c>
      <c r="H12816" s="705" t="s">
        <v>8095</v>
      </c>
    </row>
    <row r="12817" spans="1:8" s="682" customFormat="1" ht="15" customHeight="1" x14ac:dyDescent="0.25">
      <c r="A12817" s="734">
        <v>44775</v>
      </c>
      <c r="B12817" s="76" t="s">
        <v>25</v>
      </c>
      <c r="C12817" s="76" t="s">
        <v>4065</v>
      </c>
      <c r="D12817" s="183" t="s">
        <v>8153</v>
      </c>
      <c r="E12817" s="126">
        <v>1500</v>
      </c>
      <c r="F12817" s="126"/>
      <c r="G12817" s="126">
        <f t="shared" si="206"/>
        <v>-1500</v>
      </c>
      <c r="H12817" s="705" t="s">
        <v>8095</v>
      </c>
    </row>
    <row r="12818" spans="1:8" s="682" customFormat="1" ht="15" customHeight="1" x14ac:dyDescent="0.25">
      <c r="A12818" s="734">
        <v>44775</v>
      </c>
      <c r="B12818" s="76" t="s">
        <v>25</v>
      </c>
      <c r="C12818" s="76" t="s">
        <v>4065</v>
      </c>
      <c r="D12818" s="183" t="s">
        <v>7939</v>
      </c>
      <c r="E12818" s="126">
        <v>700</v>
      </c>
      <c r="F12818" s="126"/>
      <c r="G12818" s="126">
        <f t="shared" si="206"/>
        <v>-700</v>
      </c>
      <c r="H12818" s="705" t="s">
        <v>8095</v>
      </c>
    </row>
    <row r="12819" spans="1:8" s="682" customFormat="1" ht="15" customHeight="1" x14ac:dyDescent="0.25">
      <c r="A12819" s="734">
        <v>44777</v>
      </c>
      <c r="B12819" s="76" t="s">
        <v>7921</v>
      </c>
      <c r="C12819" s="76" t="s">
        <v>286</v>
      </c>
      <c r="D12819" s="183" t="s">
        <v>8163</v>
      </c>
      <c r="E12819" s="126">
        <v>345</v>
      </c>
      <c r="F12819" s="126"/>
      <c r="G12819" s="126">
        <f t="shared" si="206"/>
        <v>-345</v>
      </c>
      <c r="H12819" s="705" t="s">
        <v>8095</v>
      </c>
    </row>
    <row r="12820" spans="1:8" s="682" customFormat="1" ht="15" customHeight="1" x14ac:dyDescent="0.25">
      <c r="A12820" s="734">
        <v>44777</v>
      </c>
      <c r="B12820" s="76" t="s">
        <v>7921</v>
      </c>
      <c r="C12820" s="76" t="s">
        <v>790</v>
      </c>
      <c r="D12820" s="183" t="s">
        <v>8154</v>
      </c>
      <c r="E12820" s="126">
        <v>400</v>
      </c>
      <c r="F12820" s="126"/>
      <c r="G12820" s="126">
        <f t="shared" si="206"/>
        <v>-400</v>
      </c>
      <c r="H12820" s="705" t="s">
        <v>8095</v>
      </c>
    </row>
    <row r="12821" spans="1:8" s="682" customFormat="1" ht="15" customHeight="1" x14ac:dyDescent="0.25">
      <c r="A12821" s="734">
        <v>44777</v>
      </c>
      <c r="B12821" s="76" t="s">
        <v>16</v>
      </c>
      <c r="C12821" s="76" t="s">
        <v>103</v>
      </c>
      <c r="D12821" s="183" t="s">
        <v>8155</v>
      </c>
      <c r="E12821" s="126">
        <v>1000</v>
      </c>
      <c r="F12821" s="126"/>
      <c r="G12821" s="126">
        <f t="shared" si="206"/>
        <v>-1000</v>
      </c>
      <c r="H12821" s="705" t="s">
        <v>8095</v>
      </c>
    </row>
    <row r="12822" spans="1:8" s="682" customFormat="1" ht="15" customHeight="1" x14ac:dyDescent="0.25">
      <c r="A12822" s="734">
        <v>44778</v>
      </c>
      <c r="B12822" s="76" t="s">
        <v>16</v>
      </c>
      <c r="C12822" s="76" t="s">
        <v>103</v>
      </c>
      <c r="D12822" s="183" t="s">
        <v>8156</v>
      </c>
      <c r="E12822" s="126">
        <v>500</v>
      </c>
      <c r="F12822" s="126"/>
      <c r="G12822" s="126">
        <f t="shared" si="206"/>
        <v>-500</v>
      </c>
      <c r="H12822" s="705" t="s">
        <v>8095</v>
      </c>
    </row>
    <row r="12823" spans="1:8" s="682" customFormat="1" ht="15" customHeight="1" x14ac:dyDescent="0.25">
      <c r="A12823" s="734">
        <v>44778</v>
      </c>
      <c r="B12823" s="76" t="s">
        <v>16</v>
      </c>
      <c r="C12823" s="76" t="s">
        <v>103</v>
      </c>
      <c r="D12823" s="183" t="s">
        <v>8157</v>
      </c>
      <c r="E12823" s="126">
        <v>6505</v>
      </c>
      <c r="F12823" s="126"/>
      <c r="G12823" s="126">
        <f t="shared" si="206"/>
        <v>-6505</v>
      </c>
      <c r="H12823" s="705" t="s">
        <v>8095</v>
      </c>
    </row>
    <row r="12824" spans="1:8" s="682" customFormat="1" ht="15" customHeight="1" x14ac:dyDescent="0.25">
      <c r="A12824" s="734">
        <v>44783</v>
      </c>
      <c r="B12824" s="76" t="s">
        <v>16</v>
      </c>
      <c r="C12824" s="76" t="s">
        <v>103</v>
      </c>
      <c r="D12824" s="183" t="s">
        <v>8158</v>
      </c>
      <c r="E12824" s="126">
        <v>260</v>
      </c>
      <c r="F12824" s="126"/>
      <c r="G12824" s="126">
        <f t="shared" si="206"/>
        <v>-260</v>
      </c>
      <c r="H12824" s="705" t="s">
        <v>8095</v>
      </c>
    </row>
    <row r="12825" spans="1:8" s="682" customFormat="1" ht="15" customHeight="1" x14ac:dyDescent="0.25">
      <c r="A12825" s="734">
        <v>44784</v>
      </c>
      <c r="B12825" s="76" t="s">
        <v>16</v>
      </c>
      <c r="C12825" s="76" t="s">
        <v>1667</v>
      </c>
      <c r="D12825" s="183" t="s">
        <v>2431</v>
      </c>
      <c r="E12825" s="126">
        <v>300</v>
      </c>
      <c r="F12825" s="126"/>
      <c r="G12825" s="126">
        <f t="shared" si="206"/>
        <v>-300</v>
      </c>
      <c r="H12825" s="705" t="s">
        <v>8095</v>
      </c>
    </row>
    <row r="12826" spans="1:8" s="682" customFormat="1" ht="15" customHeight="1" x14ac:dyDescent="0.25">
      <c r="A12826" s="734">
        <v>44785</v>
      </c>
      <c r="B12826" s="76" t="s">
        <v>16</v>
      </c>
      <c r="C12826" s="76" t="s">
        <v>103</v>
      </c>
      <c r="D12826" s="183" t="s">
        <v>8159</v>
      </c>
      <c r="E12826" s="126">
        <v>6250</v>
      </c>
      <c r="F12826" s="126"/>
      <c r="G12826" s="126">
        <f t="shared" si="206"/>
        <v>-6250</v>
      </c>
      <c r="H12826" s="705" t="s">
        <v>8095</v>
      </c>
    </row>
    <row r="12827" spans="1:8" s="682" customFormat="1" ht="15" customHeight="1" x14ac:dyDescent="0.25">
      <c r="A12827" s="734">
        <v>44786</v>
      </c>
      <c r="B12827" s="76" t="s">
        <v>37</v>
      </c>
      <c r="C12827" s="76" t="s">
        <v>8160</v>
      </c>
      <c r="D12827" s="183" t="s">
        <v>2431</v>
      </c>
      <c r="E12827" s="126">
        <v>200</v>
      </c>
      <c r="F12827" s="126"/>
      <c r="G12827" s="126">
        <f t="shared" si="206"/>
        <v>-200</v>
      </c>
      <c r="H12827" s="705" t="s">
        <v>8095</v>
      </c>
    </row>
    <row r="12828" spans="1:8" s="682" customFormat="1" ht="15" customHeight="1" x14ac:dyDescent="0.25">
      <c r="A12828" s="734">
        <v>44788</v>
      </c>
      <c r="B12828" s="76" t="s">
        <v>16</v>
      </c>
      <c r="C12828" s="76" t="s">
        <v>103</v>
      </c>
      <c r="D12828" s="183" t="s">
        <v>8159</v>
      </c>
      <c r="E12828" s="126">
        <v>4975</v>
      </c>
      <c r="F12828" s="126"/>
      <c r="G12828" s="126">
        <f t="shared" si="206"/>
        <v>-4975</v>
      </c>
      <c r="H12828" s="705" t="s">
        <v>8095</v>
      </c>
    </row>
    <row r="12829" spans="1:8" s="682" customFormat="1" ht="15" customHeight="1" x14ac:dyDescent="0.25">
      <c r="A12829" s="734">
        <v>44789</v>
      </c>
      <c r="B12829" s="76" t="s">
        <v>16</v>
      </c>
      <c r="C12829" s="76" t="s">
        <v>8161</v>
      </c>
      <c r="D12829" s="183" t="s">
        <v>7937</v>
      </c>
      <c r="E12829" s="126">
        <v>1000</v>
      </c>
      <c r="F12829" s="126"/>
      <c r="G12829" s="126">
        <f t="shared" si="206"/>
        <v>-1000</v>
      </c>
      <c r="H12829" s="705" t="s">
        <v>8095</v>
      </c>
    </row>
    <row r="12830" spans="1:8" s="682" customFormat="1" ht="15" customHeight="1" x14ac:dyDescent="0.25">
      <c r="A12830" s="734">
        <v>44791</v>
      </c>
      <c r="B12830" s="76" t="s">
        <v>16</v>
      </c>
      <c r="C12830" s="76" t="s">
        <v>103</v>
      </c>
      <c r="D12830" s="183" t="s">
        <v>8159</v>
      </c>
      <c r="E12830" s="126">
        <v>4785</v>
      </c>
      <c r="F12830" s="126"/>
      <c r="G12830" s="126">
        <f t="shared" si="206"/>
        <v>-4785</v>
      </c>
      <c r="H12830" s="705" t="s">
        <v>8095</v>
      </c>
    </row>
    <row r="12831" spans="1:8" s="682" customFormat="1" ht="15" customHeight="1" x14ac:dyDescent="0.25">
      <c r="A12831" s="734">
        <v>44791</v>
      </c>
      <c r="B12831" s="76" t="s">
        <v>7921</v>
      </c>
      <c r="C12831" s="76" t="s">
        <v>5741</v>
      </c>
      <c r="D12831" s="183"/>
      <c r="E12831" s="126">
        <v>2000</v>
      </c>
      <c r="F12831" s="126"/>
      <c r="G12831" s="126">
        <f t="shared" si="206"/>
        <v>-2000</v>
      </c>
      <c r="H12831" s="705" t="s">
        <v>8095</v>
      </c>
    </row>
    <row r="12832" spans="1:8" s="682" customFormat="1" ht="15" customHeight="1" x14ac:dyDescent="0.25">
      <c r="A12832" s="734">
        <v>44792</v>
      </c>
      <c r="B12832" s="76" t="s">
        <v>1400</v>
      </c>
      <c r="C12832" s="76" t="s">
        <v>3145</v>
      </c>
      <c r="D12832" s="183" t="s">
        <v>3588</v>
      </c>
      <c r="E12832" s="126">
        <v>2000</v>
      </c>
      <c r="F12832" s="126"/>
      <c r="G12832" s="126">
        <f t="shared" si="206"/>
        <v>-2000</v>
      </c>
      <c r="H12832" s="705" t="s">
        <v>8095</v>
      </c>
    </row>
    <row r="12833" spans="1:8" s="682" customFormat="1" ht="15" customHeight="1" x14ac:dyDescent="0.25">
      <c r="A12833" s="734">
        <v>44792</v>
      </c>
      <c r="B12833" s="76" t="s">
        <v>16</v>
      </c>
      <c r="C12833" s="76" t="s">
        <v>103</v>
      </c>
      <c r="D12833" s="183" t="s">
        <v>8122</v>
      </c>
      <c r="E12833" s="126">
        <v>6235</v>
      </c>
      <c r="F12833" s="126"/>
      <c r="G12833" s="126">
        <f t="shared" si="206"/>
        <v>-6235</v>
      </c>
      <c r="H12833" s="705" t="s">
        <v>8095</v>
      </c>
    </row>
    <row r="12834" spans="1:8" s="682" customFormat="1" ht="15" customHeight="1" x14ac:dyDescent="0.25">
      <c r="A12834" s="734">
        <v>44792</v>
      </c>
      <c r="B12834" s="76" t="s">
        <v>1400</v>
      </c>
      <c r="C12834" s="76" t="s">
        <v>790</v>
      </c>
      <c r="D12834" s="183" t="s">
        <v>6859</v>
      </c>
      <c r="E12834" s="126">
        <v>690</v>
      </c>
      <c r="F12834" s="126"/>
      <c r="G12834" s="126">
        <f t="shared" si="206"/>
        <v>-690</v>
      </c>
      <c r="H12834" s="705" t="s">
        <v>8095</v>
      </c>
    </row>
    <row r="12835" spans="1:8" s="682" customFormat="1" ht="15" customHeight="1" x14ac:dyDescent="0.25">
      <c r="A12835" s="734">
        <v>44792</v>
      </c>
      <c r="B12835" s="76" t="s">
        <v>8043</v>
      </c>
      <c r="C12835" s="76" t="s">
        <v>790</v>
      </c>
      <c r="D12835" s="183" t="s">
        <v>8224</v>
      </c>
      <c r="E12835" s="126">
        <v>460</v>
      </c>
      <c r="F12835" s="126"/>
      <c r="G12835" s="126">
        <f t="shared" si="206"/>
        <v>-460</v>
      </c>
      <c r="H12835" s="705" t="s">
        <v>8095</v>
      </c>
    </row>
    <row r="12836" spans="1:8" s="682" customFormat="1" ht="15" customHeight="1" x14ac:dyDescent="0.25">
      <c r="A12836" s="734">
        <v>44793</v>
      </c>
      <c r="B12836" s="76" t="s">
        <v>8043</v>
      </c>
      <c r="C12836" s="76" t="s">
        <v>3145</v>
      </c>
      <c r="D12836" s="183" t="s">
        <v>7198</v>
      </c>
      <c r="E12836" s="126">
        <v>28455</v>
      </c>
      <c r="F12836" s="126"/>
      <c r="G12836" s="126">
        <f t="shared" si="206"/>
        <v>-28455</v>
      </c>
      <c r="H12836" s="705" t="s">
        <v>8095</v>
      </c>
    </row>
    <row r="12837" spans="1:8" s="682" customFormat="1" ht="15" customHeight="1" x14ac:dyDescent="0.25">
      <c r="A12837" s="734">
        <v>44793</v>
      </c>
      <c r="B12837" s="76" t="s">
        <v>8043</v>
      </c>
      <c r="C12837" s="76" t="s">
        <v>6784</v>
      </c>
      <c r="D12837" s="183" t="s">
        <v>8167</v>
      </c>
      <c r="E12837" s="126">
        <v>50000</v>
      </c>
      <c r="F12837" s="126"/>
      <c r="G12837" s="126">
        <f t="shared" si="206"/>
        <v>-50000</v>
      </c>
      <c r="H12837" s="705" t="s">
        <v>8095</v>
      </c>
    </row>
    <row r="12838" spans="1:8" s="682" customFormat="1" ht="15" customHeight="1" x14ac:dyDescent="0.25">
      <c r="A12838" s="734">
        <v>44793</v>
      </c>
      <c r="B12838" s="76" t="s">
        <v>8043</v>
      </c>
      <c r="C12838" s="76" t="s">
        <v>6784</v>
      </c>
      <c r="D12838" s="183" t="s">
        <v>8168</v>
      </c>
      <c r="E12838" s="126">
        <v>250000</v>
      </c>
      <c r="F12838" s="126"/>
      <c r="G12838" s="126">
        <f t="shared" si="206"/>
        <v>-250000</v>
      </c>
      <c r="H12838" s="705" t="s">
        <v>8095</v>
      </c>
    </row>
    <row r="12839" spans="1:8" s="682" customFormat="1" ht="15" customHeight="1" x14ac:dyDescent="0.2">
      <c r="A12839" s="734">
        <v>44793</v>
      </c>
      <c r="B12839" s="41" t="s">
        <v>3733</v>
      </c>
      <c r="C12839" s="76" t="s">
        <v>2824</v>
      </c>
      <c r="D12839" s="183" t="s">
        <v>8169</v>
      </c>
      <c r="E12839" s="126">
        <v>139000</v>
      </c>
      <c r="F12839" s="126"/>
      <c r="G12839" s="126">
        <f t="shared" si="206"/>
        <v>-139000</v>
      </c>
      <c r="H12839" s="705" t="s">
        <v>8095</v>
      </c>
    </row>
    <row r="12840" spans="1:8" s="682" customFormat="1" ht="15" customHeight="1" x14ac:dyDescent="0.25">
      <c r="A12840" s="734">
        <v>44793</v>
      </c>
      <c r="B12840" s="76" t="s">
        <v>8043</v>
      </c>
      <c r="C12840" s="76" t="s">
        <v>5741</v>
      </c>
      <c r="D12840" s="183"/>
      <c r="E12840" s="126">
        <v>2000</v>
      </c>
      <c r="F12840" s="126"/>
      <c r="G12840" s="126">
        <f t="shared" si="206"/>
        <v>-2000</v>
      </c>
      <c r="H12840" s="705" t="s">
        <v>8095</v>
      </c>
    </row>
    <row r="12841" spans="1:8" s="682" customFormat="1" ht="15" customHeight="1" x14ac:dyDescent="0.25">
      <c r="A12841" s="734">
        <v>44793</v>
      </c>
      <c r="B12841" s="76" t="s">
        <v>1400</v>
      </c>
      <c r="C12841" s="76" t="s">
        <v>392</v>
      </c>
      <c r="D12841" s="183" t="s">
        <v>8170</v>
      </c>
      <c r="E12841" s="126">
        <v>1000</v>
      </c>
      <c r="F12841" s="126"/>
      <c r="G12841" s="126">
        <f t="shared" si="206"/>
        <v>-1000</v>
      </c>
      <c r="H12841" s="705" t="s">
        <v>8095</v>
      </c>
    </row>
    <row r="12842" spans="1:8" s="682" customFormat="1" ht="15" customHeight="1" x14ac:dyDescent="0.25">
      <c r="A12842" s="734">
        <v>44793</v>
      </c>
      <c r="B12842" s="76" t="s">
        <v>7112</v>
      </c>
      <c r="C12842" s="76" t="s">
        <v>8082</v>
      </c>
      <c r="D12842" s="183" t="s">
        <v>8171</v>
      </c>
      <c r="E12842" s="126">
        <v>3000</v>
      </c>
      <c r="F12842" s="126"/>
      <c r="G12842" s="126">
        <f t="shared" si="206"/>
        <v>-3000</v>
      </c>
      <c r="H12842" s="705" t="s">
        <v>8095</v>
      </c>
    </row>
    <row r="12843" spans="1:8" s="682" customFormat="1" ht="15" customHeight="1" x14ac:dyDescent="0.25">
      <c r="A12843" s="734">
        <v>44793</v>
      </c>
      <c r="B12843" s="76" t="s">
        <v>7112</v>
      </c>
      <c r="C12843" s="76" t="s">
        <v>3446</v>
      </c>
      <c r="D12843" s="183" t="s">
        <v>8172</v>
      </c>
      <c r="E12843" s="126">
        <v>20000</v>
      </c>
      <c r="F12843" s="126"/>
      <c r="G12843" s="126">
        <f t="shared" si="206"/>
        <v>-20000</v>
      </c>
      <c r="H12843" s="705" t="s">
        <v>8095</v>
      </c>
    </row>
    <row r="12844" spans="1:8" s="682" customFormat="1" ht="15" customHeight="1" x14ac:dyDescent="0.25">
      <c r="A12844" s="734">
        <v>44793</v>
      </c>
      <c r="B12844" s="76" t="s">
        <v>7921</v>
      </c>
      <c r="C12844" s="76" t="s">
        <v>3145</v>
      </c>
      <c r="D12844" s="183" t="s">
        <v>6979</v>
      </c>
      <c r="E12844" s="126">
        <v>30670</v>
      </c>
      <c r="F12844" s="126"/>
      <c r="G12844" s="126">
        <f t="shared" si="206"/>
        <v>-30670</v>
      </c>
      <c r="H12844" s="705" t="s">
        <v>8095</v>
      </c>
    </row>
    <row r="12845" spans="1:8" s="682" customFormat="1" ht="15" customHeight="1" x14ac:dyDescent="0.25">
      <c r="A12845" s="734">
        <v>44793</v>
      </c>
      <c r="B12845" s="76" t="s">
        <v>1400</v>
      </c>
      <c r="C12845" s="76" t="s">
        <v>790</v>
      </c>
      <c r="D12845" s="183"/>
      <c r="E12845" s="126">
        <v>690</v>
      </c>
      <c r="F12845" s="126"/>
      <c r="G12845" s="126">
        <f t="shared" si="206"/>
        <v>-690</v>
      </c>
      <c r="H12845" s="705" t="s">
        <v>8095</v>
      </c>
    </row>
    <row r="12846" spans="1:8" s="682" customFormat="1" ht="15" customHeight="1" x14ac:dyDescent="0.25">
      <c r="A12846" s="734">
        <v>44793</v>
      </c>
      <c r="B12846" s="76" t="s">
        <v>8043</v>
      </c>
      <c r="C12846" s="76" t="s">
        <v>790</v>
      </c>
      <c r="D12846" s="183"/>
      <c r="E12846" s="126">
        <v>460</v>
      </c>
      <c r="F12846" s="126"/>
      <c r="G12846" s="126">
        <f t="shared" si="206"/>
        <v>-460</v>
      </c>
      <c r="H12846" s="705" t="s">
        <v>8095</v>
      </c>
    </row>
    <row r="12847" spans="1:8" s="682" customFormat="1" ht="15" customHeight="1" x14ac:dyDescent="0.25">
      <c r="A12847" s="734">
        <v>44793</v>
      </c>
      <c r="B12847" s="76" t="s">
        <v>8043</v>
      </c>
      <c r="C12847" s="76" t="s">
        <v>392</v>
      </c>
      <c r="D12847" s="183" t="s">
        <v>8173</v>
      </c>
      <c r="E12847" s="126">
        <v>1000</v>
      </c>
      <c r="F12847" s="126"/>
      <c r="G12847" s="126">
        <f t="shared" si="206"/>
        <v>-1000</v>
      </c>
      <c r="H12847" s="705" t="s">
        <v>8095</v>
      </c>
    </row>
    <row r="12848" spans="1:8" s="682" customFormat="1" ht="15" customHeight="1" x14ac:dyDescent="0.25">
      <c r="A12848" s="734">
        <v>44793</v>
      </c>
      <c r="B12848" s="76" t="s">
        <v>8043</v>
      </c>
      <c r="C12848" s="76" t="s">
        <v>4876</v>
      </c>
      <c r="D12848" s="183" t="s">
        <v>8174</v>
      </c>
      <c r="E12848" s="126">
        <v>2500</v>
      </c>
      <c r="F12848" s="126"/>
      <c r="G12848" s="126">
        <f t="shared" si="206"/>
        <v>-2500</v>
      </c>
      <c r="H12848" s="705" t="s">
        <v>8095</v>
      </c>
    </row>
    <row r="12849" spans="1:8" s="682" customFormat="1" ht="15" customHeight="1" x14ac:dyDescent="0.25">
      <c r="A12849" s="734">
        <v>44795</v>
      </c>
      <c r="B12849" s="76" t="s">
        <v>8043</v>
      </c>
      <c r="C12849" s="76" t="s">
        <v>5741</v>
      </c>
      <c r="D12849" s="183"/>
      <c r="E12849" s="126">
        <v>2000</v>
      </c>
      <c r="F12849" s="126"/>
      <c r="G12849" s="126">
        <f t="shared" si="206"/>
        <v>-2000</v>
      </c>
      <c r="H12849" s="705" t="s">
        <v>8095</v>
      </c>
    </row>
    <row r="12850" spans="1:8" s="682" customFormat="1" ht="15" customHeight="1" x14ac:dyDescent="0.25">
      <c r="A12850" s="734">
        <v>44796</v>
      </c>
      <c r="B12850" s="76" t="s">
        <v>8043</v>
      </c>
      <c r="C12850" s="76" t="s">
        <v>3145</v>
      </c>
      <c r="D12850" s="183" t="s">
        <v>8181</v>
      </c>
      <c r="E12850" s="126">
        <v>10950</v>
      </c>
      <c r="F12850" s="126"/>
      <c r="G12850" s="126">
        <f t="shared" si="206"/>
        <v>-10950</v>
      </c>
      <c r="H12850" s="705" t="s">
        <v>8095</v>
      </c>
    </row>
    <row r="12851" spans="1:8" s="682" customFormat="1" ht="15" customHeight="1" x14ac:dyDescent="0.25">
      <c r="A12851" s="734">
        <v>44796</v>
      </c>
      <c r="B12851" s="76" t="s">
        <v>8077</v>
      </c>
      <c r="C12851" s="76" t="s">
        <v>8182</v>
      </c>
      <c r="D12851" s="183" t="s">
        <v>8183</v>
      </c>
      <c r="E12851" s="126">
        <v>200000</v>
      </c>
      <c r="F12851" s="126"/>
      <c r="G12851" s="126">
        <f t="shared" si="206"/>
        <v>-200000</v>
      </c>
      <c r="H12851" s="705" t="s">
        <v>8095</v>
      </c>
    </row>
    <row r="12852" spans="1:8" s="682" customFormat="1" ht="15" customHeight="1" x14ac:dyDescent="0.25">
      <c r="A12852" s="734">
        <v>44796</v>
      </c>
      <c r="B12852" s="76" t="s">
        <v>8043</v>
      </c>
      <c r="C12852" s="76" t="s">
        <v>8071</v>
      </c>
      <c r="D12852" s="183" t="s">
        <v>8184</v>
      </c>
      <c r="E12852" s="126">
        <v>35000</v>
      </c>
      <c r="F12852" s="126"/>
      <c r="G12852" s="126">
        <f t="shared" si="206"/>
        <v>-35000</v>
      </c>
      <c r="H12852" s="705" t="s">
        <v>8095</v>
      </c>
    </row>
    <row r="12853" spans="1:8" s="682" customFormat="1" ht="15" customHeight="1" x14ac:dyDescent="0.25">
      <c r="A12853" s="734">
        <v>44796</v>
      </c>
      <c r="B12853" s="76" t="s">
        <v>8043</v>
      </c>
      <c r="C12853" s="76" t="s">
        <v>2503</v>
      </c>
      <c r="D12853" s="183" t="s">
        <v>8185</v>
      </c>
      <c r="E12853" s="126">
        <v>10000</v>
      </c>
      <c r="F12853" s="126"/>
      <c r="G12853" s="126">
        <f t="shared" si="206"/>
        <v>-10000</v>
      </c>
      <c r="H12853" s="705" t="s">
        <v>8095</v>
      </c>
    </row>
    <row r="12854" spans="1:8" s="682" customFormat="1" ht="15" customHeight="1" x14ac:dyDescent="0.25">
      <c r="A12854" s="734">
        <v>44796</v>
      </c>
      <c r="B12854" s="76" t="s">
        <v>8043</v>
      </c>
      <c r="C12854" s="76" t="s">
        <v>2002</v>
      </c>
      <c r="D12854" s="183" t="s">
        <v>8186</v>
      </c>
      <c r="E12854" s="126">
        <v>5800</v>
      </c>
      <c r="F12854" s="126"/>
      <c r="G12854" s="126">
        <f t="shared" si="206"/>
        <v>-5800</v>
      </c>
      <c r="H12854" s="705" t="s">
        <v>8095</v>
      </c>
    </row>
    <row r="12855" spans="1:8" s="682" customFormat="1" ht="15" customHeight="1" x14ac:dyDescent="0.25">
      <c r="A12855" s="734">
        <v>44796</v>
      </c>
      <c r="B12855" s="76" t="s">
        <v>16</v>
      </c>
      <c r="C12855" s="76" t="s">
        <v>392</v>
      </c>
      <c r="D12855" s="183" t="s">
        <v>8284</v>
      </c>
      <c r="E12855" s="126">
        <v>2000</v>
      </c>
      <c r="F12855" s="126"/>
      <c r="G12855" s="126">
        <f t="shared" si="206"/>
        <v>-2000</v>
      </c>
      <c r="H12855" s="705" t="s">
        <v>8095</v>
      </c>
    </row>
    <row r="12856" spans="1:8" s="682" customFormat="1" ht="15" customHeight="1" x14ac:dyDescent="0.25">
      <c r="A12856" s="734">
        <v>44796</v>
      </c>
      <c r="B12856" s="76" t="s">
        <v>1400</v>
      </c>
      <c r="C12856" s="76" t="s">
        <v>3145</v>
      </c>
      <c r="D12856" s="183" t="s">
        <v>8285</v>
      </c>
      <c r="E12856" s="126">
        <v>18000</v>
      </c>
      <c r="F12856" s="126"/>
      <c r="G12856" s="126">
        <f t="shared" si="206"/>
        <v>-18000</v>
      </c>
      <c r="H12856" s="705" t="s">
        <v>8095</v>
      </c>
    </row>
    <row r="12857" spans="1:8" s="682" customFormat="1" ht="15" customHeight="1" x14ac:dyDescent="0.25">
      <c r="A12857" s="734">
        <v>44797</v>
      </c>
      <c r="B12857" s="76" t="s">
        <v>25</v>
      </c>
      <c r="C12857" s="76" t="s">
        <v>8150</v>
      </c>
      <c r="D12857" s="183" t="s">
        <v>8320</v>
      </c>
      <c r="E12857" s="126">
        <v>56156</v>
      </c>
      <c r="F12857" s="126"/>
      <c r="G12857" s="126">
        <f t="shared" si="206"/>
        <v>-56156</v>
      </c>
      <c r="H12857" s="705" t="s">
        <v>8095</v>
      </c>
    </row>
    <row r="12858" spans="1:8" s="682" customFormat="1" ht="15" customHeight="1" x14ac:dyDescent="0.25">
      <c r="A12858" s="734">
        <v>44797</v>
      </c>
      <c r="B12858" s="76" t="s">
        <v>16</v>
      </c>
      <c r="C12858" s="76" t="s">
        <v>8150</v>
      </c>
      <c r="D12858" s="183" t="s">
        <v>8320</v>
      </c>
      <c r="E12858" s="126">
        <v>26501</v>
      </c>
      <c r="F12858" s="126"/>
      <c r="G12858" s="126">
        <f t="shared" si="206"/>
        <v>-26501</v>
      </c>
      <c r="H12858" s="705" t="s">
        <v>8095</v>
      </c>
    </row>
    <row r="12859" spans="1:8" s="682" customFormat="1" ht="15" customHeight="1" x14ac:dyDescent="0.25">
      <c r="A12859" s="734">
        <v>44798</v>
      </c>
      <c r="B12859" s="76" t="s">
        <v>8077</v>
      </c>
      <c r="C12859" s="76" t="s">
        <v>5741</v>
      </c>
      <c r="D12859" s="183" t="s">
        <v>8187</v>
      </c>
      <c r="E12859" s="126">
        <v>6000</v>
      </c>
      <c r="F12859" s="126"/>
      <c r="G12859" s="126">
        <f t="shared" si="206"/>
        <v>-6000</v>
      </c>
      <c r="H12859" s="705" t="s">
        <v>8095</v>
      </c>
    </row>
    <row r="12860" spans="1:8" s="682" customFormat="1" ht="15" customHeight="1" x14ac:dyDescent="0.25">
      <c r="A12860" s="734">
        <v>44798</v>
      </c>
      <c r="B12860" s="76" t="s">
        <v>16</v>
      </c>
      <c r="C12860" s="76" t="s">
        <v>392</v>
      </c>
      <c r="D12860" s="183" t="s">
        <v>8286</v>
      </c>
      <c r="E12860" s="126">
        <v>5955</v>
      </c>
      <c r="F12860" s="126"/>
      <c r="G12860" s="126">
        <f t="shared" si="206"/>
        <v>-5955</v>
      </c>
      <c r="H12860" s="705" t="s">
        <v>8095</v>
      </c>
    </row>
    <row r="12861" spans="1:8" s="682" customFormat="1" ht="15" customHeight="1" x14ac:dyDescent="0.25">
      <c r="A12861" s="734">
        <v>44798</v>
      </c>
      <c r="B12861" s="76" t="s">
        <v>7921</v>
      </c>
      <c r="C12861" s="76" t="s">
        <v>8188</v>
      </c>
      <c r="D12861" s="183" t="s">
        <v>8189</v>
      </c>
      <c r="E12861" s="126">
        <v>50000</v>
      </c>
      <c r="F12861" s="126"/>
      <c r="G12861" s="126">
        <f t="shared" si="206"/>
        <v>-50000</v>
      </c>
      <c r="H12861" s="705" t="s">
        <v>8095</v>
      </c>
    </row>
    <row r="12862" spans="1:8" s="682" customFormat="1" ht="15" customHeight="1" x14ac:dyDescent="0.25">
      <c r="A12862" s="734">
        <v>44798</v>
      </c>
      <c r="B12862" s="76" t="s">
        <v>8043</v>
      </c>
      <c r="C12862" s="76" t="s">
        <v>8190</v>
      </c>
      <c r="D12862" s="183" t="s">
        <v>8189</v>
      </c>
      <c r="E12862" s="126">
        <v>50000</v>
      </c>
      <c r="F12862" s="126"/>
      <c r="G12862" s="126">
        <f t="shared" si="206"/>
        <v>-50000</v>
      </c>
      <c r="H12862" s="705" t="s">
        <v>8095</v>
      </c>
    </row>
    <row r="12863" spans="1:8" s="682" customFormat="1" ht="15" customHeight="1" x14ac:dyDescent="0.25">
      <c r="A12863" s="734">
        <v>44798</v>
      </c>
      <c r="B12863" s="76" t="s">
        <v>7067</v>
      </c>
      <c r="C12863" s="76" t="s">
        <v>6624</v>
      </c>
      <c r="D12863" s="183" t="s">
        <v>8191</v>
      </c>
      <c r="E12863" s="126">
        <v>70000</v>
      </c>
      <c r="F12863" s="126"/>
      <c r="G12863" s="126">
        <f t="shared" si="206"/>
        <v>-70000</v>
      </c>
      <c r="H12863" s="705" t="s">
        <v>8095</v>
      </c>
    </row>
    <row r="12864" spans="1:8" s="682" customFormat="1" ht="15" customHeight="1" x14ac:dyDescent="0.25">
      <c r="A12864" s="734">
        <v>44799</v>
      </c>
      <c r="B12864" s="76" t="s">
        <v>7921</v>
      </c>
      <c r="C12864" s="76" t="s">
        <v>8188</v>
      </c>
      <c r="D12864" s="183" t="s">
        <v>8192</v>
      </c>
      <c r="E12864" s="126">
        <v>20000</v>
      </c>
      <c r="F12864" s="126"/>
      <c r="G12864" s="126">
        <f t="shared" si="206"/>
        <v>-20000</v>
      </c>
      <c r="H12864" s="705" t="s">
        <v>8095</v>
      </c>
    </row>
    <row r="12865" spans="1:8" s="682" customFormat="1" ht="15" customHeight="1" x14ac:dyDescent="0.25">
      <c r="A12865" s="734">
        <v>44799</v>
      </c>
      <c r="B12865" s="76" t="s">
        <v>8043</v>
      </c>
      <c r="C12865" s="76" t="s">
        <v>5741</v>
      </c>
      <c r="D12865" s="183" t="s">
        <v>8193</v>
      </c>
      <c r="E12865" s="126">
        <v>2750</v>
      </c>
      <c r="F12865" s="126"/>
      <c r="G12865" s="126">
        <f t="shared" si="206"/>
        <v>-2750</v>
      </c>
      <c r="H12865" s="705" t="s">
        <v>8095</v>
      </c>
    </row>
    <row r="12866" spans="1:8" s="682" customFormat="1" ht="15" customHeight="1" x14ac:dyDescent="0.25">
      <c r="A12866" s="734">
        <v>44800</v>
      </c>
      <c r="B12866" s="76" t="s">
        <v>8043</v>
      </c>
      <c r="C12866" s="76" t="s">
        <v>4876</v>
      </c>
      <c r="D12866" s="183" t="s">
        <v>8194</v>
      </c>
      <c r="E12866" s="126">
        <v>3000</v>
      </c>
      <c r="F12866" s="126"/>
      <c r="G12866" s="126">
        <f t="shared" si="206"/>
        <v>-3000</v>
      </c>
      <c r="H12866" s="705" t="s">
        <v>8095</v>
      </c>
    </row>
    <row r="12867" spans="1:8" s="682" customFormat="1" ht="15" customHeight="1" x14ac:dyDescent="0.25">
      <c r="A12867" s="734">
        <v>44800</v>
      </c>
      <c r="B12867" s="76" t="s">
        <v>7555</v>
      </c>
      <c r="C12867" s="76" t="s">
        <v>8287</v>
      </c>
      <c r="D12867" s="183" t="s">
        <v>8288</v>
      </c>
      <c r="E12867" s="126">
        <v>34000</v>
      </c>
      <c r="F12867" s="126"/>
      <c r="G12867" s="126">
        <f t="shared" si="206"/>
        <v>-34000</v>
      </c>
      <c r="H12867" s="705" t="s">
        <v>8095</v>
      </c>
    </row>
    <row r="12868" spans="1:8" s="682" customFormat="1" ht="15" customHeight="1" x14ac:dyDescent="0.25">
      <c r="A12868" s="734">
        <v>44800</v>
      </c>
      <c r="B12868" s="76" t="s">
        <v>7921</v>
      </c>
      <c r="C12868" s="76" t="s">
        <v>551</v>
      </c>
      <c r="D12868" s="183" t="s">
        <v>2108</v>
      </c>
      <c r="E12868" s="126">
        <v>5000</v>
      </c>
      <c r="F12868" s="126"/>
      <c r="G12868" s="126">
        <f t="shared" si="206"/>
        <v>-5000</v>
      </c>
      <c r="H12868" s="705" t="s">
        <v>8095</v>
      </c>
    </row>
    <row r="12869" spans="1:8" s="682" customFormat="1" ht="15" customHeight="1" x14ac:dyDescent="0.25">
      <c r="A12869" s="734">
        <v>44800</v>
      </c>
      <c r="B12869" s="76" t="s">
        <v>7921</v>
      </c>
      <c r="C12869" s="76" t="s">
        <v>392</v>
      </c>
      <c r="D12869" s="183" t="s">
        <v>8195</v>
      </c>
      <c r="E12869" s="126">
        <v>1640</v>
      </c>
      <c r="F12869" s="126"/>
      <c r="G12869" s="126">
        <f t="shared" ref="G12869:G12932" si="207">F12869-E12869</f>
        <v>-1640</v>
      </c>
      <c r="H12869" s="705" t="s">
        <v>8095</v>
      </c>
    </row>
    <row r="12870" spans="1:8" s="682" customFormat="1" ht="15" customHeight="1" x14ac:dyDescent="0.25">
      <c r="A12870" s="734">
        <v>44800</v>
      </c>
      <c r="B12870" s="76" t="s">
        <v>1400</v>
      </c>
      <c r="C12870" s="76" t="s">
        <v>392</v>
      </c>
      <c r="D12870" s="183" t="s">
        <v>6641</v>
      </c>
      <c r="E12870" s="126">
        <v>1000</v>
      </c>
      <c r="F12870" s="126"/>
      <c r="G12870" s="126">
        <f t="shared" si="207"/>
        <v>-1000</v>
      </c>
      <c r="H12870" s="705" t="s">
        <v>8095</v>
      </c>
    </row>
    <row r="12871" spans="1:8" s="682" customFormat="1" ht="15" customHeight="1" x14ac:dyDescent="0.25">
      <c r="A12871" s="734">
        <v>44800</v>
      </c>
      <c r="B12871" s="76" t="s">
        <v>7921</v>
      </c>
      <c r="C12871" s="76" t="s">
        <v>6706</v>
      </c>
      <c r="D12871" s="183" t="s">
        <v>8196</v>
      </c>
      <c r="E12871" s="126">
        <v>30000</v>
      </c>
      <c r="F12871" s="126"/>
      <c r="G12871" s="126">
        <f t="shared" si="207"/>
        <v>-30000</v>
      </c>
      <c r="H12871" s="705" t="s">
        <v>8095</v>
      </c>
    </row>
    <row r="12872" spans="1:8" s="682" customFormat="1" ht="15" customHeight="1" x14ac:dyDescent="0.25">
      <c r="A12872" s="734">
        <v>44802</v>
      </c>
      <c r="B12872" s="76" t="s">
        <v>25</v>
      </c>
      <c r="C12872" s="76" t="s">
        <v>392</v>
      </c>
      <c r="D12872" s="183" t="s">
        <v>8197</v>
      </c>
      <c r="E12872" s="126">
        <v>10000</v>
      </c>
      <c r="F12872" s="126"/>
      <c r="G12872" s="126">
        <f t="shared" si="207"/>
        <v>-10000</v>
      </c>
      <c r="H12872" s="705" t="s">
        <v>8095</v>
      </c>
    </row>
    <row r="12873" spans="1:8" s="682" customFormat="1" ht="15" customHeight="1" x14ac:dyDescent="0.25">
      <c r="A12873" s="734">
        <v>44802</v>
      </c>
      <c r="B12873" s="76" t="s">
        <v>7921</v>
      </c>
      <c r="C12873" s="76" t="s">
        <v>3446</v>
      </c>
      <c r="D12873" s="183" t="s">
        <v>8198</v>
      </c>
      <c r="E12873" s="126">
        <v>50000</v>
      </c>
      <c r="F12873" s="126"/>
      <c r="G12873" s="126">
        <f t="shared" si="207"/>
        <v>-50000</v>
      </c>
      <c r="H12873" s="705" t="s">
        <v>8095</v>
      </c>
    </row>
    <row r="12874" spans="1:8" s="682" customFormat="1" ht="15" customHeight="1" x14ac:dyDescent="0.25">
      <c r="A12874" s="734">
        <v>44802</v>
      </c>
      <c r="B12874" s="76" t="s">
        <v>7921</v>
      </c>
      <c r="C12874" s="76" t="s">
        <v>6967</v>
      </c>
      <c r="D12874" s="183" t="s">
        <v>8199</v>
      </c>
      <c r="E12874" s="126">
        <v>20000</v>
      </c>
      <c r="F12874" s="126"/>
      <c r="G12874" s="126">
        <f t="shared" si="207"/>
        <v>-20000</v>
      </c>
      <c r="H12874" s="705" t="s">
        <v>8095</v>
      </c>
    </row>
    <row r="12875" spans="1:8" s="682" customFormat="1" ht="15" customHeight="1" x14ac:dyDescent="0.25">
      <c r="A12875" s="734">
        <v>44802</v>
      </c>
      <c r="B12875" s="76" t="s">
        <v>1400</v>
      </c>
      <c r="C12875" s="76" t="s">
        <v>3145</v>
      </c>
      <c r="D12875" s="183" t="s">
        <v>8200</v>
      </c>
      <c r="E12875" s="126">
        <v>11000</v>
      </c>
      <c r="F12875" s="126"/>
      <c r="G12875" s="126">
        <f t="shared" si="207"/>
        <v>-11000</v>
      </c>
      <c r="H12875" s="705" t="s">
        <v>8095</v>
      </c>
    </row>
    <row r="12876" spans="1:8" s="682" customFormat="1" ht="15" customHeight="1" x14ac:dyDescent="0.25">
      <c r="A12876" s="734">
        <v>44802</v>
      </c>
      <c r="B12876" s="76" t="s">
        <v>25</v>
      </c>
      <c r="C12876" s="76" t="s">
        <v>2428</v>
      </c>
      <c r="D12876" s="183" t="s">
        <v>8201</v>
      </c>
      <c r="E12876" s="126">
        <v>40798</v>
      </c>
      <c r="F12876" s="126"/>
      <c r="G12876" s="126">
        <f t="shared" si="207"/>
        <v>-40798</v>
      </c>
      <c r="H12876" s="705" t="s">
        <v>8095</v>
      </c>
    </row>
    <row r="12877" spans="1:8" s="682" customFormat="1" ht="15" customHeight="1" x14ac:dyDescent="0.25">
      <c r="A12877" s="734">
        <v>44802</v>
      </c>
      <c r="B12877" s="76" t="s">
        <v>1400</v>
      </c>
      <c r="C12877" s="76" t="s">
        <v>778</v>
      </c>
      <c r="D12877" s="183" t="s">
        <v>8289</v>
      </c>
      <c r="E12877" s="126">
        <v>13000</v>
      </c>
      <c r="F12877" s="126"/>
      <c r="G12877" s="126">
        <f t="shared" si="207"/>
        <v>-13000</v>
      </c>
      <c r="H12877" s="705" t="s">
        <v>8095</v>
      </c>
    </row>
    <row r="12878" spans="1:8" s="682" customFormat="1" ht="15" customHeight="1" x14ac:dyDescent="0.25">
      <c r="A12878" s="734">
        <v>44802</v>
      </c>
      <c r="B12878" s="76" t="s">
        <v>16</v>
      </c>
      <c r="C12878" s="76" t="s">
        <v>392</v>
      </c>
      <c r="D12878" s="183" t="s">
        <v>8286</v>
      </c>
      <c r="E12878" s="126">
        <v>6675</v>
      </c>
      <c r="F12878" s="126"/>
      <c r="G12878" s="126">
        <f t="shared" si="207"/>
        <v>-6675</v>
      </c>
      <c r="H12878" s="705" t="s">
        <v>8095</v>
      </c>
    </row>
    <row r="12879" spans="1:8" s="682" customFormat="1" ht="15" customHeight="1" x14ac:dyDescent="0.25">
      <c r="A12879" s="734">
        <v>44802</v>
      </c>
      <c r="B12879" s="76" t="s">
        <v>8043</v>
      </c>
      <c r="C12879" s="76" t="s">
        <v>5741</v>
      </c>
      <c r="D12879" s="183"/>
      <c r="E12879" s="126">
        <v>2000</v>
      </c>
      <c r="F12879" s="126"/>
      <c r="G12879" s="126">
        <f t="shared" si="207"/>
        <v>-2000</v>
      </c>
      <c r="H12879" s="705" t="s">
        <v>8095</v>
      </c>
    </row>
    <row r="12880" spans="1:8" s="682" customFormat="1" ht="15" customHeight="1" x14ac:dyDescent="0.25">
      <c r="A12880" s="734">
        <v>44802</v>
      </c>
      <c r="B12880" s="76" t="s">
        <v>8043</v>
      </c>
      <c r="C12880" s="76" t="s">
        <v>3145</v>
      </c>
      <c r="D12880" s="183" t="s">
        <v>8202</v>
      </c>
      <c r="E12880" s="126">
        <v>11470</v>
      </c>
      <c r="F12880" s="126"/>
      <c r="G12880" s="126">
        <f t="shared" si="207"/>
        <v>-11470</v>
      </c>
      <c r="H12880" s="705" t="s">
        <v>8095</v>
      </c>
    </row>
    <row r="12881" spans="1:8" s="682" customFormat="1" ht="15" customHeight="1" x14ac:dyDescent="0.25">
      <c r="A12881" s="734">
        <v>44802</v>
      </c>
      <c r="B12881" s="76" t="s">
        <v>7921</v>
      </c>
      <c r="C12881" s="671" t="s">
        <v>3145</v>
      </c>
      <c r="D12881" s="907" t="s">
        <v>8203</v>
      </c>
      <c r="E12881" s="672">
        <v>35189</v>
      </c>
      <c r="F12881" s="126"/>
      <c r="G12881" s="126">
        <f t="shared" si="207"/>
        <v>-35189</v>
      </c>
      <c r="H12881" s="705" t="s">
        <v>8095</v>
      </c>
    </row>
    <row r="12882" spans="1:8" s="682" customFormat="1" ht="15" customHeight="1" x14ac:dyDescent="0.25">
      <c r="A12882" s="734">
        <v>44802</v>
      </c>
      <c r="B12882" s="76" t="s">
        <v>8043</v>
      </c>
      <c r="C12882" s="671" t="s">
        <v>3145</v>
      </c>
      <c r="D12882" s="907" t="s">
        <v>8203</v>
      </c>
      <c r="E12882" s="672">
        <v>35189</v>
      </c>
      <c r="F12882" s="126"/>
      <c r="G12882" s="126">
        <f t="shared" si="207"/>
        <v>-35189</v>
      </c>
      <c r="H12882" s="705" t="s">
        <v>8095</v>
      </c>
    </row>
    <row r="12883" spans="1:8" s="682" customFormat="1" ht="15" customHeight="1" x14ac:dyDescent="0.25">
      <c r="A12883" s="734">
        <v>44803</v>
      </c>
      <c r="B12883" s="76" t="s">
        <v>1400</v>
      </c>
      <c r="C12883" s="76" t="s">
        <v>392</v>
      </c>
      <c r="D12883" s="183" t="s">
        <v>8227</v>
      </c>
      <c r="E12883" s="126">
        <v>2000</v>
      </c>
      <c r="F12883" s="126"/>
      <c r="G12883" s="126">
        <f t="shared" si="207"/>
        <v>-2000</v>
      </c>
      <c r="H12883" s="705" t="s">
        <v>8095</v>
      </c>
    </row>
    <row r="12884" spans="1:8" s="682" customFormat="1" ht="15" customHeight="1" x14ac:dyDescent="0.25">
      <c r="A12884" s="734">
        <v>44803</v>
      </c>
      <c r="B12884" s="76" t="s">
        <v>25</v>
      </c>
      <c r="C12884" s="76" t="s">
        <v>392</v>
      </c>
      <c r="D12884" s="183" t="s">
        <v>8290</v>
      </c>
      <c r="E12884" s="126">
        <v>1500</v>
      </c>
      <c r="F12884" s="126"/>
      <c r="G12884" s="126">
        <f t="shared" si="207"/>
        <v>-1500</v>
      </c>
      <c r="H12884" s="705" t="s">
        <v>8095</v>
      </c>
    </row>
    <row r="12885" spans="1:8" s="682" customFormat="1" ht="15" customHeight="1" x14ac:dyDescent="0.25">
      <c r="A12885" s="734">
        <v>44803</v>
      </c>
      <c r="B12885" s="76" t="s">
        <v>8043</v>
      </c>
      <c r="C12885" s="76" t="s">
        <v>8228</v>
      </c>
      <c r="D12885" s="183" t="s">
        <v>8229</v>
      </c>
      <c r="E12885" s="126">
        <v>50000</v>
      </c>
      <c r="F12885" s="126"/>
      <c r="G12885" s="126">
        <f t="shared" si="207"/>
        <v>-50000</v>
      </c>
      <c r="H12885" s="705" t="s">
        <v>8095</v>
      </c>
    </row>
    <row r="12886" spans="1:8" s="682" customFormat="1" ht="15" customHeight="1" x14ac:dyDescent="0.25">
      <c r="A12886" s="734">
        <v>44803</v>
      </c>
      <c r="B12886" s="76" t="s">
        <v>16</v>
      </c>
      <c r="C12886" s="76" t="s">
        <v>8230</v>
      </c>
      <c r="D12886" s="183" t="s">
        <v>370</v>
      </c>
      <c r="E12886" s="126">
        <v>5000</v>
      </c>
      <c r="F12886" s="126"/>
      <c r="G12886" s="126">
        <f t="shared" si="207"/>
        <v>-5000</v>
      </c>
      <c r="H12886" s="705" t="s">
        <v>8095</v>
      </c>
    </row>
    <row r="12887" spans="1:8" s="682" customFormat="1" ht="15" customHeight="1" x14ac:dyDescent="0.25">
      <c r="A12887" s="734">
        <v>44803</v>
      </c>
      <c r="B12887" s="76" t="s">
        <v>7921</v>
      </c>
      <c r="C12887" s="76" t="s">
        <v>6967</v>
      </c>
      <c r="D12887" s="183" t="s">
        <v>8231</v>
      </c>
      <c r="E12887" s="126">
        <v>15000</v>
      </c>
      <c r="F12887" s="126"/>
      <c r="G12887" s="126">
        <f t="shared" si="207"/>
        <v>-15000</v>
      </c>
      <c r="H12887" s="705" t="s">
        <v>8095</v>
      </c>
    </row>
    <row r="12888" spans="1:8" s="682" customFormat="1" ht="15" customHeight="1" x14ac:dyDescent="0.25">
      <c r="A12888" s="734">
        <v>44803</v>
      </c>
      <c r="B12888" s="76" t="s">
        <v>25</v>
      </c>
      <c r="C12888" s="76" t="s">
        <v>1005</v>
      </c>
      <c r="D12888" s="183"/>
      <c r="E12888" s="126">
        <v>650</v>
      </c>
      <c r="F12888" s="126"/>
      <c r="G12888" s="126">
        <f t="shared" si="207"/>
        <v>-650</v>
      </c>
      <c r="H12888" s="705" t="s">
        <v>8095</v>
      </c>
    </row>
    <row r="12889" spans="1:8" s="682" customFormat="1" ht="15" customHeight="1" x14ac:dyDescent="0.25">
      <c r="A12889" s="734">
        <v>44803</v>
      </c>
      <c r="B12889" s="76" t="s">
        <v>1400</v>
      </c>
      <c r="C12889" s="76" t="s">
        <v>3145</v>
      </c>
      <c r="D12889" s="183" t="s">
        <v>4450</v>
      </c>
      <c r="E12889" s="126">
        <v>49910</v>
      </c>
      <c r="F12889" s="126"/>
      <c r="G12889" s="126">
        <f t="shared" si="207"/>
        <v>-49910</v>
      </c>
      <c r="H12889" s="705" t="s">
        <v>8095</v>
      </c>
    </row>
    <row r="12890" spans="1:8" s="682" customFormat="1" ht="15" customHeight="1" x14ac:dyDescent="0.25">
      <c r="A12890" s="734">
        <v>44803</v>
      </c>
      <c r="B12890" s="76" t="s">
        <v>7921</v>
      </c>
      <c r="C12890" s="76" t="s">
        <v>3145</v>
      </c>
      <c r="D12890" s="183" t="s">
        <v>8248</v>
      </c>
      <c r="E12890" s="126">
        <v>44530</v>
      </c>
      <c r="F12890" s="126"/>
      <c r="G12890" s="126">
        <f t="shared" si="207"/>
        <v>-44530</v>
      </c>
      <c r="H12890" s="705" t="s">
        <v>8095</v>
      </c>
    </row>
    <row r="12891" spans="1:8" s="682" customFormat="1" ht="15" customHeight="1" x14ac:dyDescent="0.25">
      <c r="A12891" s="734">
        <v>44803</v>
      </c>
      <c r="B12891" s="76" t="s">
        <v>8043</v>
      </c>
      <c r="C12891" s="76" t="s">
        <v>5741</v>
      </c>
      <c r="D12891" s="183" t="s">
        <v>8249</v>
      </c>
      <c r="E12891" s="126">
        <v>2000</v>
      </c>
      <c r="F12891" s="126"/>
      <c r="G12891" s="126">
        <f t="shared" si="207"/>
        <v>-2000</v>
      </c>
      <c r="H12891" s="705" t="s">
        <v>8095</v>
      </c>
    </row>
    <row r="12892" spans="1:8" s="682" customFormat="1" ht="15" customHeight="1" x14ac:dyDescent="0.25">
      <c r="A12892" s="734">
        <v>44803</v>
      </c>
      <c r="B12892" s="76" t="s">
        <v>1400</v>
      </c>
      <c r="C12892" s="76" t="s">
        <v>6852</v>
      </c>
      <c r="D12892" s="183" t="s">
        <v>370</v>
      </c>
      <c r="E12892" s="126">
        <v>50000</v>
      </c>
      <c r="F12892" s="126"/>
      <c r="G12892" s="126">
        <f t="shared" si="207"/>
        <v>-50000</v>
      </c>
      <c r="H12892" s="705" t="s">
        <v>8095</v>
      </c>
    </row>
    <row r="12893" spans="1:8" s="682" customFormat="1" ht="15" customHeight="1" x14ac:dyDescent="0.25">
      <c r="A12893" s="734">
        <v>44803</v>
      </c>
      <c r="B12893" s="76" t="s">
        <v>7921</v>
      </c>
      <c r="C12893" s="76" t="s">
        <v>2049</v>
      </c>
      <c r="D12893" s="183" t="s">
        <v>8250</v>
      </c>
      <c r="E12893" s="126">
        <v>236000</v>
      </c>
      <c r="F12893" s="126"/>
      <c r="G12893" s="126">
        <f t="shared" si="207"/>
        <v>-236000</v>
      </c>
      <c r="H12893" s="705" t="s">
        <v>8095</v>
      </c>
    </row>
    <row r="12894" spans="1:8" s="682" customFormat="1" ht="15" customHeight="1" x14ac:dyDescent="0.25">
      <c r="A12894" s="734">
        <v>44803</v>
      </c>
      <c r="B12894" s="76" t="s">
        <v>25</v>
      </c>
      <c r="C12894" s="76" t="s">
        <v>4065</v>
      </c>
      <c r="D12894" s="183" t="s">
        <v>8291</v>
      </c>
      <c r="E12894" s="126">
        <v>2200</v>
      </c>
      <c r="F12894" s="126"/>
      <c r="G12894" s="126">
        <f t="shared" si="207"/>
        <v>-2200</v>
      </c>
      <c r="H12894" s="705" t="s">
        <v>8095</v>
      </c>
    </row>
    <row r="12895" spans="1:8" s="682" customFormat="1" ht="15" customHeight="1" x14ac:dyDescent="0.25">
      <c r="A12895" s="734">
        <v>44803</v>
      </c>
      <c r="B12895" s="76" t="s">
        <v>7921</v>
      </c>
      <c r="C12895" s="76" t="s">
        <v>2503</v>
      </c>
      <c r="D12895" s="183" t="s">
        <v>7097</v>
      </c>
      <c r="E12895" s="126">
        <v>25000</v>
      </c>
      <c r="F12895" s="126"/>
      <c r="G12895" s="126">
        <f t="shared" si="207"/>
        <v>-25000</v>
      </c>
      <c r="H12895" s="705" t="s">
        <v>8095</v>
      </c>
    </row>
    <row r="12896" spans="1:8" s="682" customFormat="1" ht="15" customHeight="1" x14ac:dyDescent="0.25">
      <c r="A12896" s="734">
        <v>44803</v>
      </c>
      <c r="B12896" s="76" t="s">
        <v>8043</v>
      </c>
      <c r="C12896" s="76" t="s">
        <v>2503</v>
      </c>
      <c r="D12896" s="183" t="s">
        <v>7097</v>
      </c>
      <c r="E12896" s="126">
        <v>25000</v>
      </c>
      <c r="F12896" s="126"/>
      <c r="G12896" s="126">
        <f t="shared" si="207"/>
        <v>-25000</v>
      </c>
      <c r="H12896" s="705" t="s">
        <v>8095</v>
      </c>
    </row>
    <row r="12897" spans="1:8" s="682" customFormat="1" ht="15" customHeight="1" x14ac:dyDescent="0.25">
      <c r="A12897" s="734">
        <v>44803</v>
      </c>
      <c r="B12897" s="76" t="s">
        <v>8043</v>
      </c>
      <c r="C12897" s="76" t="s">
        <v>2503</v>
      </c>
      <c r="D12897" s="183" t="s">
        <v>141</v>
      </c>
      <c r="E12897" s="126">
        <v>25000</v>
      </c>
      <c r="F12897" s="126"/>
      <c r="G12897" s="126">
        <f t="shared" si="207"/>
        <v>-25000</v>
      </c>
      <c r="H12897" s="705" t="s">
        <v>8095</v>
      </c>
    </row>
    <row r="12898" spans="1:8" s="682" customFormat="1" ht="15" customHeight="1" x14ac:dyDescent="0.25">
      <c r="A12898" s="734">
        <v>44803</v>
      </c>
      <c r="B12898" s="76" t="s">
        <v>7921</v>
      </c>
      <c r="C12898" s="76" t="s">
        <v>2503</v>
      </c>
      <c r="D12898" s="183" t="s">
        <v>141</v>
      </c>
      <c r="E12898" s="126">
        <v>25000</v>
      </c>
      <c r="F12898" s="126"/>
      <c r="G12898" s="126">
        <f t="shared" si="207"/>
        <v>-25000</v>
      </c>
      <c r="H12898" s="705" t="s">
        <v>8095</v>
      </c>
    </row>
    <row r="12899" spans="1:8" s="682" customFormat="1" ht="15" customHeight="1" x14ac:dyDescent="0.25">
      <c r="A12899" s="734">
        <v>44803</v>
      </c>
      <c r="B12899" s="76" t="s">
        <v>25</v>
      </c>
      <c r="C12899" s="76" t="s">
        <v>2503</v>
      </c>
      <c r="D12899" s="183" t="s">
        <v>8036</v>
      </c>
      <c r="E12899" s="126">
        <v>70000</v>
      </c>
      <c r="F12899" s="126"/>
      <c r="G12899" s="126">
        <f t="shared" si="207"/>
        <v>-70000</v>
      </c>
      <c r="H12899" s="705" t="s">
        <v>8095</v>
      </c>
    </row>
    <row r="12900" spans="1:8" s="682" customFormat="1" ht="15" customHeight="1" x14ac:dyDescent="0.25">
      <c r="A12900" s="734">
        <v>44803</v>
      </c>
      <c r="B12900" s="76" t="s">
        <v>16</v>
      </c>
      <c r="C12900" s="76" t="s">
        <v>2503</v>
      </c>
      <c r="D12900" s="183" t="s">
        <v>7218</v>
      </c>
      <c r="E12900" s="126">
        <v>153000</v>
      </c>
      <c r="F12900" s="126"/>
      <c r="G12900" s="126">
        <f t="shared" si="207"/>
        <v>-153000</v>
      </c>
      <c r="H12900" s="705" t="s">
        <v>8095</v>
      </c>
    </row>
    <row r="12901" spans="1:8" s="682" customFormat="1" ht="15" customHeight="1" x14ac:dyDescent="0.25">
      <c r="A12901" s="734">
        <v>44803</v>
      </c>
      <c r="B12901" s="76" t="s">
        <v>3945</v>
      </c>
      <c r="C12901" s="76" t="s">
        <v>2503</v>
      </c>
      <c r="D12901" s="183"/>
      <c r="E12901" s="126">
        <v>92711.693548387091</v>
      </c>
      <c r="F12901" s="126"/>
      <c r="G12901" s="126">
        <f t="shared" si="207"/>
        <v>-92711.693548387091</v>
      </c>
      <c r="H12901" s="705" t="s">
        <v>8095</v>
      </c>
    </row>
    <row r="12902" spans="1:8" s="682" customFormat="1" ht="15" customHeight="1" x14ac:dyDescent="0.25">
      <c r="A12902" s="734">
        <v>44803</v>
      </c>
      <c r="B12902" s="76" t="s">
        <v>3946</v>
      </c>
      <c r="C12902" s="76" t="s">
        <v>2503</v>
      </c>
      <c r="D12902" s="183"/>
      <c r="E12902" s="126">
        <v>139110.88709677418</v>
      </c>
      <c r="F12902" s="126"/>
      <c r="G12902" s="126">
        <f t="shared" si="207"/>
        <v>-139110.88709677418</v>
      </c>
      <c r="H12902" s="705" t="s">
        <v>8095</v>
      </c>
    </row>
    <row r="12903" spans="1:8" s="682" customFormat="1" ht="15" customHeight="1" x14ac:dyDescent="0.25">
      <c r="A12903" s="734">
        <v>44803</v>
      </c>
      <c r="B12903" s="76" t="s">
        <v>1400</v>
      </c>
      <c r="C12903" s="76" t="s">
        <v>2503</v>
      </c>
      <c r="D12903" s="183"/>
      <c r="E12903" s="126">
        <v>152653</v>
      </c>
      <c r="F12903" s="126"/>
      <c r="G12903" s="126">
        <f t="shared" si="207"/>
        <v>-152653</v>
      </c>
      <c r="H12903" s="705" t="s">
        <v>8095</v>
      </c>
    </row>
    <row r="12904" spans="1:8" s="682" customFormat="1" ht="15" customHeight="1" x14ac:dyDescent="0.25">
      <c r="A12904" s="734">
        <v>44803</v>
      </c>
      <c r="B12904" s="76" t="s">
        <v>6505</v>
      </c>
      <c r="C12904" s="76" t="s">
        <v>2503</v>
      </c>
      <c r="D12904" s="183"/>
      <c r="E12904" s="126">
        <v>152653</v>
      </c>
      <c r="F12904" s="126"/>
      <c r="G12904" s="126">
        <f t="shared" si="207"/>
        <v>-152653</v>
      </c>
      <c r="H12904" s="705" t="s">
        <v>8095</v>
      </c>
    </row>
    <row r="12905" spans="1:8" s="682" customFormat="1" ht="15" customHeight="1" x14ac:dyDescent="0.25">
      <c r="A12905" s="734">
        <v>44803</v>
      </c>
      <c r="B12905" s="76" t="s">
        <v>37</v>
      </c>
      <c r="C12905" s="76" t="s">
        <v>2503</v>
      </c>
      <c r="D12905" s="183"/>
      <c r="E12905" s="126">
        <v>163413.30645161291</v>
      </c>
      <c r="F12905" s="126"/>
      <c r="G12905" s="126">
        <f t="shared" si="207"/>
        <v>-163413.30645161291</v>
      </c>
      <c r="H12905" s="705" t="s">
        <v>8095</v>
      </c>
    </row>
    <row r="12906" spans="1:8" s="682" customFormat="1" ht="15" customHeight="1" x14ac:dyDescent="0.25">
      <c r="A12906" s="734">
        <v>44803</v>
      </c>
      <c r="B12906" s="76" t="s">
        <v>2933</v>
      </c>
      <c r="C12906" s="76" t="s">
        <v>2503</v>
      </c>
      <c r="D12906" s="183"/>
      <c r="E12906" s="126">
        <v>105030.64516129032</v>
      </c>
      <c r="F12906" s="126"/>
      <c r="G12906" s="126">
        <f t="shared" si="207"/>
        <v>-105030.64516129032</v>
      </c>
      <c r="H12906" s="705" t="s">
        <v>8095</v>
      </c>
    </row>
    <row r="12907" spans="1:8" s="682" customFormat="1" ht="15" customHeight="1" x14ac:dyDescent="0.25">
      <c r="A12907" s="734">
        <v>44803</v>
      </c>
      <c r="B12907" s="76" t="s">
        <v>7921</v>
      </c>
      <c r="C12907" s="76" t="s">
        <v>2503</v>
      </c>
      <c r="D12907" s="183"/>
      <c r="E12907" s="126">
        <v>103818</v>
      </c>
      <c r="F12907" s="126"/>
      <c r="G12907" s="126">
        <f t="shared" si="207"/>
        <v>-103818</v>
      </c>
      <c r="H12907" s="705" t="s">
        <v>8095</v>
      </c>
    </row>
    <row r="12908" spans="1:8" s="682" customFormat="1" ht="15" customHeight="1" x14ac:dyDescent="0.25">
      <c r="A12908" s="734">
        <v>44803</v>
      </c>
      <c r="B12908" s="76" t="s">
        <v>8043</v>
      </c>
      <c r="C12908" s="76" t="s">
        <v>2503</v>
      </c>
      <c r="D12908" s="183"/>
      <c r="E12908" s="126">
        <v>103818</v>
      </c>
      <c r="F12908" s="126"/>
      <c r="G12908" s="126">
        <f t="shared" si="207"/>
        <v>-103818</v>
      </c>
      <c r="H12908" s="705" t="s">
        <v>8095</v>
      </c>
    </row>
    <row r="12909" spans="1:8" s="682" customFormat="1" ht="15" customHeight="1" x14ac:dyDescent="0.25">
      <c r="A12909" s="734">
        <v>44803</v>
      </c>
      <c r="B12909" s="76" t="s">
        <v>11</v>
      </c>
      <c r="C12909" s="76" t="s">
        <v>2503</v>
      </c>
      <c r="D12909" s="183"/>
      <c r="E12909" s="126">
        <v>5000</v>
      </c>
      <c r="F12909" s="126"/>
      <c r="G12909" s="126">
        <f t="shared" si="207"/>
        <v>-5000</v>
      </c>
      <c r="H12909" s="705" t="s">
        <v>8095</v>
      </c>
    </row>
    <row r="12910" spans="1:8" s="682" customFormat="1" ht="15" customHeight="1" x14ac:dyDescent="0.25">
      <c r="A12910" s="733">
        <v>44775</v>
      </c>
      <c r="B12910" s="235" t="s">
        <v>8043</v>
      </c>
      <c r="C12910" s="235" t="s">
        <v>8276</v>
      </c>
      <c r="D12910" s="903" t="s">
        <v>8096</v>
      </c>
      <c r="E12910" s="236">
        <v>200000</v>
      </c>
      <c r="F12910" s="236"/>
      <c r="G12910" s="236">
        <f t="shared" si="207"/>
        <v>-200000</v>
      </c>
      <c r="H12910" s="709" t="s">
        <v>8095</v>
      </c>
    </row>
    <row r="12911" spans="1:8" s="682" customFormat="1" ht="15" customHeight="1" x14ac:dyDescent="0.25">
      <c r="A12911" s="733">
        <v>44775</v>
      </c>
      <c r="B12911" s="235" t="s">
        <v>8043</v>
      </c>
      <c r="C12911" s="235" t="s">
        <v>8276</v>
      </c>
      <c r="D12911" s="903" t="s">
        <v>8097</v>
      </c>
      <c r="E12911" s="236">
        <v>394600</v>
      </c>
      <c r="F12911" s="236"/>
      <c r="G12911" s="236">
        <f t="shared" si="207"/>
        <v>-394600</v>
      </c>
      <c r="H12911" s="709" t="s">
        <v>8095</v>
      </c>
    </row>
    <row r="12912" spans="1:8" s="682" customFormat="1" ht="15" customHeight="1" x14ac:dyDescent="0.25">
      <c r="A12912" s="733">
        <v>44777</v>
      </c>
      <c r="B12912" s="235" t="s">
        <v>7921</v>
      </c>
      <c r="C12912" s="235" t="s">
        <v>705</v>
      </c>
      <c r="D12912" s="903" t="s">
        <v>8098</v>
      </c>
      <c r="E12912" s="236">
        <v>268687</v>
      </c>
      <c r="F12912" s="236"/>
      <c r="G12912" s="236">
        <f t="shared" si="207"/>
        <v>-268687</v>
      </c>
      <c r="H12912" s="709" t="s">
        <v>8095</v>
      </c>
    </row>
    <row r="12913" spans="1:8" s="682" customFormat="1" ht="25.5" customHeight="1" x14ac:dyDescent="0.25">
      <c r="A12913" s="733">
        <v>44777</v>
      </c>
      <c r="B12913" s="235" t="s">
        <v>7953</v>
      </c>
      <c r="C12913" s="235" t="s">
        <v>7223</v>
      </c>
      <c r="D12913" s="903" t="s">
        <v>8099</v>
      </c>
      <c r="E12913" s="236">
        <v>95400</v>
      </c>
      <c r="F12913" s="236"/>
      <c r="G12913" s="236">
        <f t="shared" si="207"/>
        <v>-95400</v>
      </c>
      <c r="H12913" s="709" t="s">
        <v>8095</v>
      </c>
    </row>
    <row r="12914" spans="1:8" s="682" customFormat="1" ht="15" customHeight="1" x14ac:dyDescent="0.25">
      <c r="A12914" s="733">
        <v>44777</v>
      </c>
      <c r="B12914" s="235" t="s">
        <v>8077</v>
      </c>
      <c r="C12914" s="235" t="s">
        <v>7223</v>
      </c>
      <c r="D12914" s="903" t="s">
        <v>8100</v>
      </c>
      <c r="E12914" s="236">
        <v>105000</v>
      </c>
      <c r="F12914" s="236"/>
      <c r="G12914" s="236">
        <f t="shared" si="207"/>
        <v>-105000</v>
      </c>
      <c r="H12914" s="709" t="s">
        <v>8095</v>
      </c>
    </row>
    <row r="12915" spans="1:8" s="682" customFormat="1" ht="15" customHeight="1" x14ac:dyDescent="0.25">
      <c r="A12915" s="733">
        <v>44777</v>
      </c>
      <c r="B12915" s="235" t="s">
        <v>7921</v>
      </c>
      <c r="C12915" s="235" t="s">
        <v>7223</v>
      </c>
      <c r="D12915" s="903" t="s">
        <v>8101</v>
      </c>
      <c r="E12915" s="236">
        <v>137900</v>
      </c>
      <c r="F12915" s="236"/>
      <c r="G12915" s="236">
        <f t="shared" si="207"/>
        <v>-137900</v>
      </c>
      <c r="H12915" s="709" t="s">
        <v>8095</v>
      </c>
    </row>
    <row r="12916" spans="1:8" s="682" customFormat="1" ht="15" customHeight="1" x14ac:dyDescent="0.25">
      <c r="A12916" s="733">
        <v>44784</v>
      </c>
      <c r="B12916" s="235" t="s">
        <v>8043</v>
      </c>
      <c r="C12916" s="235" t="s">
        <v>7927</v>
      </c>
      <c r="D12916" s="903" t="s">
        <v>8275</v>
      </c>
      <c r="E12916" s="236">
        <v>97000</v>
      </c>
      <c r="F12916" s="236"/>
      <c r="G12916" s="236">
        <f t="shared" si="207"/>
        <v>-97000</v>
      </c>
      <c r="H12916" s="709" t="s">
        <v>8095</v>
      </c>
    </row>
    <row r="12917" spans="1:8" s="682" customFormat="1" ht="15" customHeight="1" x14ac:dyDescent="0.25">
      <c r="A12917" s="733">
        <v>44785</v>
      </c>
      <c r="B12917" s="235" t="s">
        <v>8043</v>
      </c>
      <c r="C12917" s="235" t="s">
        <v>8139</v>
      </c>
      <c r="D12917" s="903" t="s">
        <v>9066</v>
      </c>
      <c r="E12917" s="236">
        <v>805838</v>
      </c>
      <c r="F12917" s="236"/>
      <c r="G12917" s="236">
        <f t="shared" si="207"/>
        <v>-805838</v>
      </c>
      <c r="H12917" s="709" t="s">
        <v>8095</v>
      </c>
    </row>
    <row r="12918" spans="1:8" s="682" customFormat="1" ht="15" customHeight="1" x14ac:dyDescent="0.25">
      <c r="A12918" s="733">
        <v>44788</v>
      </c>
      <c r="B12918" s="235" t="s">
        <v>82</v>
      </c>
      <c r="C12918" s="550" t="s">
        <v>3003</v>
      </c>
      <c r="D12918" s="904" t="s">
        <v>8140</v>
      </c>
      <c r="E12918" s="552">
        <v>6240</v>
      </c>
      <c r="F12918" s="236"/>
      <c r="G12918" s="236">
        <f t="shared" si="207"/>
        <v>-6240</v>
      </c>
      <c r="H12918" s="709" t="s">
        <v>8095</v>
      </c>
    </row>
    <row r="12919" spans="1:8" s="682" customFormat="1" ht="15" customHeight="1" x14ac:dyDescent="0.25">
      <c r="A12919" s="733">
        <v>44788</v>
      </c>
      <c r="B12919" s="235" t="s">
        <v>3946</v>
      </c>
      <c r="C12919" s="550" t="s">
        <v>3003</v>
      </c>
      <c r="D12919" s="904" t="s">
        <v>8140</v>
      </c>
      <c r="E12919" s="552">
        <v>30160</v>
      </c>
      <c r="F12919" s="236"/>
      <c r="G12919" s="236">
        <f t="shared" si="207"/>
        <v>-30160</v>
      </c>
      <c r="H12919" s="709" t="s">
        <v>8095</v>
      </c>
    </row>
    <row r="12920" spans="1:8" s="682" customFormat="1" ht="15" customHeight="1" x14ac:dyDescent="0.25">
      <c r="A12920" s="733">
        <v>44788</v>
      </c>
      <c r="B12920" s="235" t="s">
        <v>3945</v>
      </c>
      <c r="C12920" s="550" t="s">
        <v>3003</v>
      </c>
      <c r="D12920" s="904" t="s">
        <v>8140</v>
      </c>
      <c r="E12920" s="552">
        <v>32760</v>
      </c>
      <c r="F12920" s="236"/>
      <c r="G12920" s="236">
        <f t="shared" si="207"/>
        <v>-32760</v>
      </c>
      <c r="H12920" s="709" t="s">
        <v>8095</v>
      </c>
    </row>
    <row r="12921" spans="1:8" s="682" customFormat="1" ht="15" customHeight="1" x14ac:dyDescent="0.25">
      <c r="A12921" s="733">
        <v>44788</v>
      </c>
      <c r="B12921" s="235" t="s">
        <v>16</v>
      </c>
      <c r="C12921" s="550" t="s">
        <v>3003</v>
      </c>
      <c r="D12921" s="904" t="s">
        <v>8140</v>
      </c>
      <c r="E12921" s="552">
        <v>169000</v>
      </c>
      <c r="F12921" s="236"/>
      <c r="G12921" s="236">
        <f t="shared" si="207"/>
        <v>-169000</v>
      </c>
      <c r="H12921" s="709" t="s">
        <v>8095</v>
      </c>
    </row>
    <row r="12922" spans="1:8" s="682" customFormat="1" ht="15" customHeight="1" x14ac:dyDescent="0.25">
      <c r="A12922" s="733">
        <v>44788</v>
      </c>
      <c r="B12922" s="235" t="s">
        <v>1400</v>
      </c>
      <c r="C12922" s="235" t="s">
        <v>8080</v>
      </c>
      <c r="D12922" s="903" t="s">
        <v>8143</v>
      </c>
      <c r="E12922" s="236">
        <v>175000</v>
      </c>
      <c r="F12922" s="236"/>
      <c r="G12922" s="236">
        <f t="shared" si="207"/>
        <v>-175000</v>
      </c>
      <c r="H12922" s="709" t="s">
        <v>8095</v>
      </c>
    </row>
    <row r="12923" spans="1:8" s="682" customFormat="1" ht="15" customHeight="1" x14ac:dyDescent="0.25">
      <c r="A12923" s="733">
        <v>44788</v>
      </c>
      <c r="B12923" s="235" t="s">
        <v>7921</v>
      </c>
      <c r="C12923" s="235" t="s">
        <v>8144</v>
      </c>
      <c r="D12923" s="903" t="s">
        <v>8145</v>
      </c>
      <c r="E12923" s="236">
        <v>106000</v>
      </c>
      <c r="F12923" s="236"/>
      <c r="G12923" s="236">
        <f t="shared" si="207"/>
        <v>-106000</v>
      </c>
      <c r="H12923" s="709" t="s">
        <v>8095</v>
      </c>
    </row>
    <row r="12924" spans="1:8" s="682" customFormat="1" ht="15" customHeight="1" x14ac:dyDescent="0.25">
      <c r="A12924" s="733">
        <v>44793</v>
      </c>
      <c r="B12924" s="235" t="s">
        <v>6953</v>
      </c>
      <c r="C12924" s="671" t="s">
        <v>705</v>
      </c>
      <c r="D12924" s="912" t="s">
        <v>8204</v>
      </c>
      <c r="E12924" s="672">
        <v>19000</v>
      </c>
      <c r="F12924" s="236"/>
      <c r="G12924" s="236">
        <f t="shared" si="207"/>
        <v>-19000</v>
      </c>
      <c r="H12924" s="709" t="s">
        <v>8095</v>
      </c>
    </row>
    <row r="12925" spans="1:8" s="682" customFormat="1" ht="15" customHeight="1" x14ac:dyDescent="0.25">
      <c r="A12925" s="733">
        <v>44793</v>
      </c>
      <c r="B12925" s="235" t="s">
        <v>6518</v>
      </c>
      <c r="C12925" s="671" t="s">
        <v>705</v>
      </c>
      <c r="D12925" s="912" t="s">
        <v>8204</v>
      </c>
      <c r="E12925" s="672">
        <v>19000</v>
      </c>
      <c r="F12925" s="236"/>
      <c r="G12925" s="236">
        <f t="shared" si="207"/>
        <v>-19000</v>
      </c>
      <c r="H12925" s="709" t="s">
        <v>8095</v>
      </c>
    </row>
    <row r="12926" spans="1:8" s="682" customFormat="1" ht="15" customHeight="1" x14ac:dyDescent="0.25">
      <c r="A12926" s="733">
        <v>44793</v>
      </c>
      <c r="B12926" s="235" t="s">
        <v>7921</v>
      </c>
      <c r="C12926" s="671" t="s">
        <v>705</v>
      </c>
      <c r="D12926" s="912" t="s">
        <v>8204</v>
      </c>
      <c r="E12926" s="672">
        <v>42000</v>
      </c>
      <c r="F12926" s="236"/>
      <c r="G12926" s="236">
        <f t="shared" si="207"/>
        <v>-42000</v>
      </c>
      <c r="H12926" s="709" t="s">
        <v>8095</v>
      </c>
    </row>
    <row r="12927" spans="1:8" s="682" customFormat="1" ht="15" customHeight="1" x14ac:dyDescent="0.25">
      <c r="A12927" s="733">
        <v>44793</v>
      </c>
      <c r="B12927" s="235" t="s">
        <v>8043</v>
      </c>
      <c r="C12927" s="671" t="s">
        <v>705</v>
      </c>
      <c r="D12927" s="912" t="s">
        <v>8204</v>
      </c>
      <c r="E12927" s="672">
        <v>114000</v>
      </c>
      <c r="F12927" s="236"/>
      <c r="G12927" s="236">
        <f t="shared" si="207"/>
        <v>-114000</v>
      </c>
      <c r="H12927" s="709" t="s">
        <v>8095</v>
      </c>
    </row>
    <row r="12928" spans="1:8" s="682" customFormat="1" ht="15" customHeight="1" x14ac:dyDescent="0.25">
      <c r="A12928" s="733">
        <v>44795</v>
      </c>
      <c r="B12928" s="235" t="s">
        <v>8043</v>
      </c>
      <c r="C12928" s="235" t="s">
        <v>8041</v>
      </c>
      <c r="D12928" s="903" t="s">
        <v>8205</v>
      </c>
      <c r="E12928" s="236">
        <v>36000</v>
      </c>
      <c r="F12928" s="236"/>
      <c r="G12928" s="236">
        <f t="shared" si="207"/>
        <v>-36000</v>
      </c>
      <c r="H12928" s="709" t="s">
        <v>8095</v>
      </c>
    </row>
    <row r="12929" spans="1:8" s="682" customFormat="1" ht="15" customHeight="1" x14ac:dyDescent="0.25">
      <c r="A12929" s="733">
        <v>44797</v>
      </c>
      <c r="B12929" s="235" t="s">
        <v>7921</v>
      </c>
      <c r="C12929" s="235" t="s">
        <v>8144</v>
      </c>
      <c r="D12929" s="903" t="s">
        <v>8206</v>
      </c>
      <c r="E12929" s="236">
        <v>106000</v>
      </c>
      <c r="F12929" s="236"/>
      <c r="G12929" s="236">
        <f t="shared" si="207"/>
        <v>-106000</v>
      </c>
      <c r="H12929" s="709" t="s">
        <v>8095</v>
      </c>
    </row>
    <row r="12930" spans="1:8" s="682" customFormat="1" ht="15" customHeight="1" x14ac:dyDescent="0.25">
      <c r="A12930" s="733">
        <v>44797</v>
      </c>
      <c r="B12930" s="235" t="s">
        <v>7921</v>
      </c>
      <c r="C12930" s="235" t="s">
        <v>8207</v>
      </c>
      <c r="D12930" s="903" t="s">
        <v>8208</v>
      </c>
      <c r="E12930" s="236">
        <v>500000</v>
      </c>
      <c r="F12930" s="236"/>
      <c r="G12930" s="236">
        <f t="shared" si="207"/>
        <v>-500000</v>
      </c>
      <c r="H12930" s="709" t="s">
        <v>8095</v>
      </c>
    </row>
    <row r="12931" spans="1:8" s="682" customFormat="1" ht="15" customHeight="1" x14ac:dyDescent="0.25">
      <c r="A12931" s="733">
        <v>44797</v>
      </c>
      <c r="B12931" s="235" t="s">
        <v>7921</v>
      </c>
      <c r="C12931" s="235" t="s">
        <v>8207</v>
      </c>
      <c r="D12931" s="903" t="s">
        <v>8209</v>
      </c>
      <c r="E12931" s="236">
        <v>500000</v>
      </c>
      <c r="F12931" s="236"/>
      <c r="G12931" s="236">
        <f t="shared" si="207"/>
        <v>-500000</v>
      </c>
      <c r="H12931" s="709" t="s">
        <v>8095</v>
      </c>
    </row>
    <row r="12932" spans="1:8" s="682" customFormat="1" ht="15" customHeight="1" x14ac:dyDescent="0.25">
      <c r="A12932" s="733">
        <v>44802</v>
      </c>
      <c r="B12932" s="235" t="s">
        <v>1400</v>
      </c>
      <c r="C12932" s="671" t="s">
        <v>1063</v>
      </c>
      <c r="D12932" s="912" t="s">
        <v>8210</v>
      </c>
      <c r="E12932" s="672">
        <f>140000-E12933</f>
        <v>91480</v>
      </c>
      <c r="F12932" s="236"/>
      <c r="G12932" s="236">
        <f t="shared" si="207"/>
        <v>-91480</v>
      </c>
      <c r="H12932" s="709" t="s">
        <v>8095</v>
      </c>
    </row>
    <row r="12933" spans="1:8" s="682" customFormat="1" ht="15" customHeight="1" x14ac:dyDescent="0.25">
      <c r="A12933" s="733">
        <v>44802</v>
      </c>
      <c r="B12933" s="235" t="s">
        <v>6505</v>
      </c>
      <c r="C12933" s="671" t="s">
        <v>1063</v>
      </c>
      <c r="D12933" s="912" t="s">
        <v>8210</v>
      </c>
      <c r="E12933" s="672">
        <v>48520</v>
      </c>
      <c r="F12933" s="236"/>
      <c r="G12933" s="236">
        <f t="shared" ref="G12933:G12996" si="208">F12933-E12933</f>
        <v>-48520</v>
      </c>
      <c r="H12933" s="709" t="s">
        <v>8095</v>
      </c>
    </row>
    <row r="12934" spans="1:8" s="682" customFormat="1" ht="15" customHeight="1" x14ac:dyDescent="0.25">
      <c r="A12934" s="733">
        <v>44803</v>
      </c>
      <c r="B12934" s="235" t="s">
        <v>7921</v>
      </c>
      <c r="C12934" s="235" t="s">
        <v>8232</v>
      </c>
      <c r="D12934" s="903" t="s">
        <v>8233</v>
      </c>
      <c r="E12934" s="236">
        <v>126000</v>
      </c>
      <c r="F12934" s="236"/>
      <c r="G12934" s="236">
        <f t="shared" si="208"/>
        <v>-126000</v>
      </c>
      <c r="H12934" s="709" t="s">
        <v>8095</v>
      </c>
    </row>
    <row r="12935" spans="1:8" s="682" customFormat="1" ht="15" customHeight="1" x14ac:dyDescent="0.25">
      <c r="A12935" s="733">
        <v>44803</v>
      </c>
      <c r="B12935" s="235" t="s">
        <v>7921</v>
      </c>
      <c r="C12935" s="235" t="s">
        <v>8232</v>
      </c>
      <c r="D12935" s="903" t="s">
        <v>8234</v>
      </c>
      <c r="E12935" s="236">
        <v>95000</v>
      </c>
      <c r="F12935" s="236"/>
      <c r="G12935" s="236">
        <f t="shared" si="208"/>
        <v>-95000</v>
      </c>
      <c r="H12935" s="709" t="s">
        <v>8095</v>
      </c>
    </row>
    <row r="12936" spans="1:8" s="682" customFormat="1" ht="15" customHeight="1" x14ac:dyDescent="0.25">
      <c r="A12936" s="733">
        <v>44803</v>
      </c>
      <c r="B12936" s="235" t="s">
        <v>7921</v>
      </c>
      <c r="C12936" s="235" t="s">
        <v>6706</v>
      </c>
      <c r="D12936" s="903" t="s">
        <v>8235</v>
      </c>
      <c r="E12936" s="236">
        <v>100000</v>
      </c>
      <c r="F12936" s="236"/>
      <c r="G12936" s="236">
        <f t="shared" si="208"/>
        <v>-100000</v>
      </c>
      <c r="H12936" s="709" t="s">
        <v>8095</v>
      </c>
    </row>
    <row r="12937" spans="1:8" s="682" customFormat="1" ht="15" customHeight="1" x14ac:dyDescent="0.25">
      <c r="A12937" s="733">
        <v>44803</v>
      </c>
      <c r="B12937" s="235" t="s">
        <v>7921</v>
      </c>
      <c r="C12937" s="235" t="s">
        <v>6706</v>
      </c>
      <c r="D12937" s="903" t="s">
        <v>8236</v>
      </c>
      <c r="E12937" s="236">
        <v>100000</v>
      </c>
      <c r="F12937" s="236"/>
      <c r="G12937" s="236">
        <f t="shared" si="208"/>
        <v>-100000</v>
      </c>
      <c r="H12937" s="709" t="s">
        <v>8095</v>
      </c>
    </row>
    <row r="12938" spans="1:8" s="682" customFormat="1" ht="15" customHeight="1" x14ac:dyDescent="0.25">
      <c r="A12938" s="733">
        <v>44803</v>
      </c>
      <c r="B12938" s="235" t="s">
        <v>7921</v>
      </c>
      <c r="C12938" s="235" t="s">
        <v>6706</v>
      </c>
      <c r="D12938" s="903" t="s">
        <v>8237</v>
      </c>
      <c r="E12938" s="236">
        <v>139000</v>
      </c>
      <c r="F12938" s="236"/>
      <c r="G12938" s="236">
        <f t="shared" si="208"/>
        <v>-139000</v>
      </c>
      <c r="H12938" s="709" t="s">
        <v>8095</v>
      </c>
    </row>
    <row r="12939" spans="1:8" s="682" customFormat="1" ht="24" customHeight="1" x14ac:dyDescent="0.25">
      <c r="A12939" s="730">
        <v>44779</v>
      </c>
      <c r="B12939" s="175" t="s">
        <v>3946</v>
      </c>
      <c r="C12939" s="175" t="s">
        <v>559</v>
      </c>
      <c r="D12939" s="802" t="s">
        <v>8103</v>
      </c>
      <c r="E12939" s="176"/>
      <c r="F12939" s="176">
        <v>719598</v>
      </c>
      <c r="G12939" s="176">
        <f t="shared" si="208"/>
        <v>719598</v>
      </c>
      <c r="H12939" s="702" t="s">
        <v>8095</v>
      </c>
    </row>
    <row r="12940" spans="1:8" ht="15" x14ac:dyDescent="0.2">
      <c r="A12940" s="730">
        <v>44784</v>
      </c>
      <c r="B12940" s="91" t="s">
        <v>3945</v>
      </c>
      <c r="C12940" s="175" t="s">
        <v>559</v>
      </c>
      <c r="D12940" s="892" t="s">
        <v>8109</v>
      </c>
      <c r="E12940" s="701"/>
      <c r="F12940" s="92">
        <v>337081</v>
      </c>
      <c r="G12940" s="92">
        <f t="shared" si="208"/>
        <v>337081</v>
      </c>
      <c r="H12940" s="702" t="s">
        <v>8095</v>
      </c>
    </row>
    <row r="12941" spans="1:8" s="682" customFormat="1" ht="24" customHeight="1" x14ac:dyDescent="0.25">
      <c r="A12941" s="730">
        <v>44785</v>
      </c>
      <c r="B12941" s="94" t="s">
        <v>7921</v>
      </c>
      <c r="C12941" s="175" t="s">
        <v>559</v>
      </c>
      <c r="D12941" s="802" t="s">
        <v>8110</v>
      </c>
      <c r="E12941" s="176"/>
      <c r="F12941" s="176">
        <v>805838</v>
      </c>
      <c r="G12941" s="176">
        <f t="shared" si="208"/>
        <v>805838</v>
      </c>
      <c r="H12941" s="702" t="s">
        <v>8095</v>
      </c>
    </row>
    <row r="12942" spans="1:8" ht="15" x14ac:dyDescent="0.2">
      <c r="A12942" s="730">
        <v>44790</v>
      </c>
      <c r="B12942" s="91" t="s">
        <v>3945</v>
      </c>
      <c r="C12942" s="175" t="s">
        <v>559</v>
      </c>
      <c r="D12942" s="892" t="s">
        <v>8141</v>
      </c>
      <c r="E12942" s="701"/>
      <c r="F12942" s="92">
        <v>337081</v>
      </c>
      <c r="G12942" s="92">
        <f t="shared" si="208"/>
        <v>337081</v>
      </c>
      <c r="H12942" s="702" t="s">
        <v>8095</v>
      </c>
    </row>
    <row r="12943" spans="1:8" ht="15" x14ac:dyDescent="0.2">
      <c r="A12943" s="730">
        <v>44790</v>
      </c>
      <c r="B12943" s="91" t="s">
        <v>3946</v>
      </c>
      <c r="C12943" s="175" t="s">
        <v>559</v>
      </c>
      <c r="D12943" s="892" t="s">
        <v>8141</v>
      </c>
      <c r="E12943" s="701"/>
      <c r="F12943" s="92">
        <v>310329</v>
      </c>
      <c r="G12943" s="92">
        <f t="shared" si="208"/>
        <v>310329</v>
      </c>
      <c r="H12943" s="702" t="s">
        <v>8095</v>
      </c>
    </row>
    <row r="12944" spans="1:8" ht="15" x14ac:dyDescent="0.2">
      <c r="A12944" s="730">
        <v>44791</v>
      </c>
      <c r="B12944" s="94" t="s">
        <v>37</v>
      </c>
      <c r="C12944" s="175" t="s">
        <v>559</v>
      </c>
      <c r="D12944" s="892" t="s">
        <v>8141</v>
      </c>
      <c r="E12944" s="701"/>
      <c r="F12944" s="176">
        <v>188568</v>
      </c>
      <c r="G12944" s="176">
        <f t="shared" si="208"/>
        <v>188568</v>
      </c>
      <c r="H12944" s="702" t="s">
        <v>8095</v>
      </c>
    </row>
    <row r="12945" spans="1:8" ht="15" x14ac:dyDescent="0.2">
      <c r="A12945" s="730">
        <v>44791</v>
      </c>
      <c r="B12945" s="91" t="s">
        <v>7067</v>
      </c>
      <c r="C12945" s="175" t="s">
        <v>559</v>
      </c>
      <c r="D12945" s="801" t="s">
        <v>8142</v>
      </c>
      <c r="E12945" s="701"/>
      <c r="F12945" s="92">
        <v>1000000</v>
      </c>
      <c r="G12945" s="92">
        <f t="shared" si="208"/>
        <v>1000000</v>
      </c>
      <c r="H12945" s="702" t="s">
        <v>8095</v>
      </c>
    </row>
    <row r="12946" spans="1:8" ht="15" x14ac:dyDescent="0.2">
      <c r="A12946" s="730">
        <v>44791</v>
      </c>
      <c r="B12946" s="91" t="s">
        <v>7067</v>
      </c>
      <c r="C12946" s="175" t="s">
        <v>559</v>
      </c>
      <c r="D12946" s="801" t="s">
        <v>8142</v>
      </c>
      <c r="E12946" s="701"/>
      <c r="F12946" s="92">
        <v>1000000</v>
      </c>
      <c r="G12946" s="92">
        <f t="shared" si="208"/>
        <v>1000000</v>
      </c>
      <c r="H12946" s="702" t="s">
        <v>8095</v>
      </c>
    </row>
    <row r="12947" spans="1:8" ht="15" x14ac:dyDescent="0.2">
      <c r="A12947" s="730">
        <v>44791</v>
      </c>
      <c r="B12947" s="91" t="s">
        <v>7067</v>
      </c>
      <c r="C12947" s="175" t="s">
        <v>559</v>
      </c>
      <c r="D12947" s="801" t="s">
        <v>8142</v>
      </c>
      <c r="E12947" s="701"/>
      <c r="F12947" s="92">
        <v>1614943</v>
      </c>
      <c r="G12947" s="92">
        <f t="shared" si="208"/>
        <v>1614943</v>
      </c>
      <c r="H12947" s="702" t="s">
        <v>8095</v>
      </c>
    </row>
    <row r="12948" spans="1:8" ht="15" x14ac:dyDescent="0.2">
      <c r="A12948" s="730">
        <v>44799</v>
      </c>
      <c r="B12948" s="91" t="s">
        <v>8043</v>
      </c>
      <c r="C12948" s="175" t="s">
        <v>559</v>
      </c>
      <c r="D12948" s="801" t="s">
        <v>8179</v>
      </c>
      <c r="E12948" s="701"/>
      <c r="F12948" s="92">
        <v>800000</v>
      </c>
      <c r="G12948" s="92">
        <f t="shared" si="208"/>
        <v>800000</v>
      </c>
      <c r="H12948" s="702" t="s">
        <v>8095</v>
      </c>
    </row>
    <row r="12949" spans="1:8" ht="15" x14ac:dyDescent="0.2">
      <c r="A12949" s="730">
        <v>44803</v>
      </c>
      <c r="B12949" s="91" t="s">
        <v>3946</v>
      </c>
      <c r="C12949" s="175" t="s">
        <v>559</v>
      </c>
      <c r="D12949" s="801" t="s">
        <v>8212</v>
      </c>
      <c r="E12949" s="701"/>
      <c r="F12949" s="92">
        <v>528000</v>
      </c>
      <c r="G12949" s="92">
        <f t="shared" si="208"/>
        <v>528000</v>
      </c>
      <c r="H12949" s="702" t="s">
        <v>8095</v>
      </c>
    </row>
    <row r="12950" spans="1:8" ht="24" x14ac:dyDescent="0.2">
      <c r="A12950" s="730">
        <v>44803</v>
      </c>
      <c r="B12950" s="94" t="s">
        <v>8043</v>
      </c>
      <c r="C12950" s="175" t="s">
        <v>559</v>
      </c>
      <c r="D12950" s="898" t="s">
        <v>8222</v>
      </c>
      <c r="E12950" s="701"/>
      <c r="F12950" s="176">
        <v>2200230</v>
      </c>
      <c r="G12950" s="176">
        <f t="shared" si="208"/>
        <v>2200230</v>
      </c>
      <c r="H12950" s="702" t="s">
        <v>8095</v>
      </c>
    </row>
    <row r="12951" spans="1:8" ht="15" x14ac:dyDescent="0.2">
      <c r="A12951" s="730">
        <v>44803</v>
      </c>
      <c r="B12951" s="94" t="s">
        <v>7921</v>
      </c>
      <c r="C12951" s="175" t="s">
        <v>559</v>
      </c>
      <c r="D12951" s="869" t="s">
        <v>9067</v>
      </c>
      <c r="E12951" s="92"/>
      <c r="F12951" s="92">
        <v>2990000</v>
      </c>
      <c r="G12951" s="92">
        <f t="shared" si="208"/>
        <v>2990000</v>
      </c>
      <c r="H12951" s="702" t="s">
        <v>8095</v>
      </c>
    </row>
    <row r="12952" spans="1:8" ht="15" x14ac:dyDescent="0.2">
      <c r="A12952" s="730">
        <v>44803</v>
      </c>
      <c r="B12952" s="94" t="s">
        <v>8043</v>
      </c>
      <c r="C12952" s="175" t="s">
        <v>559</v>
      </c>
      <c r="D12952" s="801" t="s">
        <v>8223</v>
      </c>
      <c r="E12952" s="92">
        <v>60000</v>
      </c>
      <c r="F12952" s="92"/>
      <c r="G12952" s="92">
        <f t="shared" si="208"/>
        <v>-60000</v>
      </c>
      <c r="H12952" s="702" t="s">
        <v>8095</v>
      </c>
    </row>
    <row r="12953" spans="1:8" ht="15" x14ac:dyDescent="0.2">
      <c r="A12953" s="734">
        <v>44806</v>
      </c>
      <c r="B12953" s="76" t="s">
        <v>7921</v>
      </c>
      <c r="C12953" s="76" t="s">
        <v>3145</v>
      </c>
      <c r="D12953" s="791" t="s">
        <v>6942</v>
      </c>
      <c r="E12953" s="126">
        <v>15315</v>
      </c>
      <c r="F12953" s="126"/>
      <c r="G12953" s="126">
        <f t="shared" si="208"/>
        <v>-15315</v>
      </c>
      <c r="H12953" s="705" t="s">
        <v>8238</v>
      </c>
    </row>
    <row r="12954" spans="1:8" ht="15" x14ac:dyDescent="0.2">
      <c r="A12954" s="734">
        <v>44806</v>
      </c>
      <c r="B12954" s="76" t="s">
        <v>16</v>
      </c>
      <c r="C12954" s="76" t="s">
        <v>3843</v>
      </c>
      <c r="D12954" s="791" t="s">
        <v>8286</v>
      </c>
      <c r="E12954" s="126">
        <v>2940</v>
      </c>
      <c r="F12954" s="126"/>
      <c r="G12954" s="126">
        <f t="shared" si="208"/>
        <v>-2940</v>
      </c>
      <c r="H12954" s="705" t="s">
        <v>8238</v>
      </c>
    </row>
    <row r="12955" spans="1:8" ht="15" customHeight="1" x14ac:dyDescent="0.2">
      <c r="A12955" s="734">
        <v>44806</v>
      </c>
      <c r="B12955" s="76" t="s">
        <v>7921</v>
      </c>
      <c r="C12955" s="76" t="s">
        <v>3843</v>
      </c>
      <c r="D12955" s="791" t="s">
        <v>392</v>
      </c>
      <c r="E12955" s="126">
        <v>2000</v>
      </c>
      <c r="F12955" s="126"/>
      <c r="G12955" s="126">
        <f t="shared" si="208"/>
        <v>-2000</v>
      </c>
      <c r="H12955" s="705" t="s">
        <v>8238</v>
      </c>
    </row>
    <row r="12956" spans="1:8" ht="15" customHeight="1" x14ac:dyDescent="0.2">
      <c r="A12956" s="734">
        <v>44806</v>
      </c>
      <c r="B12956" s="76" t="s">
        <v>8043</v>
      </c>
      <c r="C12956" s="76" t="s">
        <v>3843</v>
      </c>
      <c r="D12956" s="791" t="s">
        <v>392</v>
      </c>
      <c r="E12956" s="126">
        <v>2000</v>
      </c>
      <c r="F12956" s="126"/>
      <c r="G12956" s="126">
        <f t="shared" si="208"/>
        <v>-2000</v>
      </c>
      <c r="H12956" s="705" t="s">
        <v>8238</v>
      </c>
    </row>
    <row r="12957" spans="1:8" ht="15" customHeight="1" x14ac:dyDescent="0.2">
      <c r="A12957" s="734">
        <v>44806</v>
      </c>
      <c r="B12957" s="76" t="s">
        <v>8043</v>
      </c>
      <c r="C12957" s="76" t="s">
        <v>8251</v>
      </c>
      <c r="D12957" s="108" t="s">
        <v>8252</v>
      </c>
      <c r="E12957" s="58">
        <v>50000</v>
      </c>
      <c r="F12957" s="58"/>
      <c r="G12957" s="126">
        <f t="shared" si="208"/>
        <v>-50000</v>
      </c>
      <c r="H12957" s="705" t="s">
        <v>8238</v>
      </c>
    </row>
    <row r="12958" spans="1:8" ht="15" x14ac:dyDescent="0.2">
      <c r="A12958" s="734">
        <v>44806</v>
      </c>
      <c r="B12958" s="63" t="s">
        <v>8043</v>
      </c>
      <c r="C12958" s="76" t="s">
        <v>392</v>
      </c>
      <c r="D12958" s="108" t="s">
        <v>8253</v>
      </c>
      <c r="E12958" s="58">
        <v>3900</v>
      </c>
      <c r="F12958" s="58"/>
      <c r="G12958" s="126">
        <f t="shared" si="208"/>
        <v>-3900</v>
      </c>
      <c r="H12958" s="705" t="s">
        <v>8238</v>
      </c>
    </row>
    <row r="12959" spans="1:8" ht="15" x14ac:dyDescent="0.2">
      <c r="A12959" s="734">
        <v>44806</v>
      </c>
      <c r="B12959" s="63" t="s">
        <v>8043</v>
      </c>
      <c r="C12959" s="76" t="s">
        <v>790</v>
      </c>
      <c r="E12959" s="58">
        <v>340</v>
      </c>
      <c r="F12959" s="58"/>
      <c r="G12959" s="126">
        <f t="shared" si="208"/>
        <v>-340</v>
      </c>
      <c r="H12959" s="705" t="s">
        <v>8238</v>
      </c>
    </row>
    <row r="12960" spans="1:8" ht="15" x14ac:dyDescent="0.2">
      <c r="A12960" s="734">
        <v>44806</v>
      </c>
      <c r="B12960" s="63" t="s">
        <v>8043</v>
      </c>
      <c r="C12960" s="76" t="s">
        <v>790</v>
      </c>
      <c r="E12960" s="58">
        <v>400</v>
      </c>
      <c r="F12960" s="58"/>
      <c r="G12960" s="126">
        <f t="shared" si="208"/>
        <v>-400</v>
      </c>
      <c r="H12960" s="705" t="s">
        <v>8238</v>
      </c>
    </row>
    <row r="12961" spans="1:8" ht="15" x14ac:dyDescent="0.2">
      <c r="A12961" s="734">
        <v>44806</v>
      </c>
      <c r="B12961" s="63" t="s">
        <v>1691</v>
      </c>
      <c r="C12961" s="76" t="s">
        <v>8150</v>
      </c>
      <c r="E12961" s="58">
        <v>750</v>
      </c>
      <c r="F12961" s="58"/>
      <c r="G12961" s="126">
        <f t="shared" si="208"/>
        <v>-750</v>
      </c>
      <c r="H12961" s="705" t="s">
        <v>8238</v>
      </c>
    </row>
    <row r="12962" spans="1:8" ht="15" x14ac:dyDescent="0.2">
      <c r="A12962" s="734">
        <v>44806</v>
      </c>
      <c r="B12962" s="63" t="s">
        <v>7921</v>
      </c>
      <c r="C12962" s="76" t="s">
        <v>392</v>
      </c>
      <c r="D12962" s="108" t="s">
        <v>8292</v>
      </c>
      <c r="E12962" s="58">
        <v>900</v>
      </c>
      <c r="F12962" s="58"/>
      <c r="G12962" s="126">
        <f t="shared" si="208"/>
        <v>-900</v>
      </c>
      <c r="H12962" s="705" t="s">
        <v>8238</v>
      </c>
    </row>
    <row r="12963" spans="1:8" ht="15" x14ac:dyDescent="0.2">
      <c r="A12963" s="734">
        <v>44806</v>
      </c>
      <c r="B12963" s="63" t="s">
        <v>16</v>
      </c>
      <c r="C12963" s="76" t="s">
        <v>392</v>
      </c>
      <c r="D12963" s="108" t="s">
        <v>8519</v>
      </c>
      <c r="E12963" s="58">
        <v>2000</v>
      </c>
      <c r="F12963" s="58"/>
      <c r="G12963" s="126">
        <f t="shared" si="208"/>
        <v>-2000</v>
      </c>
      <c r="H12963" s="705" t="s">
        <v>8238</v>
      </c>
    </row>
    <row r="12964" spans="1:8" ht="15" x14ac:dyDescent="0.2">
      <c r="A12964" s="734">
        <v>44807</v>
      </c>
      <c r="B12964" s="63" t="s">
        <v>8043</v>
      </c>
      <c r="C12964" s="76" t="s">
        <v>6967</v>
      </c>
      <c r="D12964" s="108" t="s">
        <v>8254</v>
      </c>
      <c r="E12964" s="58">
        <v>30000</v>
      </c>
      <c r="F12964" s="58"/>
      <c r="G12964" s="126">
        <f t="shared" si="208"/>
        <v>-30000</v>
      </c>
      <c r="H12964" s="705" t="s">
        <v>8238</v>
      </c>
    </row>
    <row r="12965" spans="1:8" ht="15" x14ac:dyDescent="0.2">
      <c r="A12965" s="734">
        <v>44807</v>
      </c>
      <c r="B12965" s="63" t="s">
        <v>8043</v>
      </c>
      <c r="C12965" s="76" t="s">
        <v>5741</v>
      </c>
      <c r="E12965" s="58">
        <v>1500</v>
      </c>
      <c r="F12965" s="58"/>
      <c r="G12965" s="126">
        <f t="shared" si="208"/>
        <v>-1500</v>
      </c>
      <c r="H12965" s="705" t="s">
        <v>8238</v>
      </c>
    </row>
    <row r="12966" spans="1:8" ht="15" x14ac:dyDescent="0.2">
      <c r="A12966" s="734">
        <v>44807</v>
      </c>
      <c r="B12966" s="63" t="s">
        <v>7921</v>
      </c>
      <c r="C12966" s="76" t="s">
        <v>8255</v>
      </c>
      <c r="D12966" s="108" t="s">
        <v>8256</v>
      </c>
      <c r="E12966" s="58">
        <v>236560</v>
      </c>
      <c r="F12966" s="58"/>
      <c r="G12966" s="126">
        <f t="shared" si="208"/>
        <v>-236560</v>
      </c>
      <c r="H12966" s="705" t="s">
        <v>8238</v>
      </c>
    </row>
    <row r="12967" spans="1:8" ht="15" x14ac:dyDescent="0.2">
      <c r="A12967" s="734">
        <v>44807</v>
      </c>
      <c r="B12967" s="63" t="s">
        <v>8043</v>
      </c>
      <c r="C12967" s="76" t="s">
        <v>7927</v>
      </c>
      <c r="D12967" s="108" t="s">
        <v>8257</v>
      </c>
      <c r="E12967" s="58">
        <v>22500</v>
      </c>
      <c r="F12967" s="58"/>
      <c r="G12967" s="126">
        <f t="shared" si="208"/>
        <v>-22500</v>
      </c>
      <c r="H12967" s="705" t="s">
        <v>8238</v>
      </c>
    </row>
    <row r="12968" spans="1:8" ht="15" x14ac:dyDescent="0.2">
      <c r="A12968" s="734">
        <v>44807</v>
      </c>
      <c r="B12968" s="63" t="s">
        <v>8043</v>
      </c>
      <c r="C12968" s="76" t="s">
        <v>8071</v>
      </c>
      <c r="D12968" s="108" t="s">
        <v>8258</v>
      </c>
      <c r="E12968" s="58">
        <v>100000</v>
      </c>
      <c r="F12968" s="58"/>
      <c r="G12968" s="126">
        <f t="shared" si="208"/>
        <v>-100000</v>
      </c>
      <c r="H12968" s="705" t="s">
        <v>8238</v>
      </c>
    </row>
    <row r="12969" spans="1:8" ht="15" x14ac:dyDescent="0.2">
      <c r="A12969" s="734">
        <v>44807</v>
      </c>
      <c r="B12969" s="63" t="s">
        <v>2933</v>
      </c>
      <c r="C12969" s="76" t="s">
        <v>392</v>
      </c>
      <c r="D12969" s="108" t="s">
        <v>6386</v>
      </c>
      <c r="E12969" s="58">
        <v>1680</v>
      </c>
      <c r="F12969" s="58"/>
      <c r="G12969" s="126">
        <f t="shared" si="208"/>
        <v>-1680</v>
      </c>
      <c r="H12969" s="705" t="s">
        <v>8238</v>
      </c>
    </row>
    <row r="12970" spans="1:8" ht="15" x14ac:dyDescent="0.2">
      <c r="A12970" s="734">
        <v>44807</v>
      </c>
      <c r="B12970" s="63" t="s">
        <v>2933</v>
      </c>
      <c r="C12970" s="76" t="s">
        <v>3145</v>
      </c>
      <c r="D12970" s="108" t="s">
        <v>8259</v>
      </c>
      <c r="E12970" s="58">
        <v>5400</v>
      </c>
      <c r="F12970" s="58"/>
      <c r="G12970" s="126">
        <f t="shared" si="208"/>
        <v>-5400</v>
      </c>
      <c r="H12970" s="705" t="s">
        <v>8238</v>
      </c>
    </row>
    <row r="12971" spans="1:8" s="682" customFormat="1" ht="15" x14ac:dyDescent="0.2">
      <c r="A12971" s="734">
        <v>44807</v>
      </c>
      <c r="B12971" s="63" t="s">
        <v>2933</v>
      </c>
      <c r="C12971" s="417" t="s">
        <v>3145</v>
      </c>
      <c r="D12971" s="794" t="s">
        <v>6942</v>
      </c>
      <c r="E12971" s="72">
        <v>158000</v>
      </c>
      <c r="F12971" s="58"/>
      <c r="G12971" s="126">
        <f t="shared" si="208"/>
        <v>-158000</v>
      </c>
      <c r="H12971" s="705" t="s">
        <v>8238</v>
      </c>
    </row>
    <row r="12972" spans="1:8" ht="15" x14ac:dyDescent="0.2">
      <c r="A12972" s="734">
        <v>44807</v>
      </c>
      <c r="B12972" s="63" t="s">
        <v>1400</v>
      </c>
      <c r="C12972" s="76" t="s">
        <v>790</v>
      </c>
      <c r="E12972" s="58">
        <v>3570</v>
      </c>
      <c r="F12972" s="58"/>
      <c r="G12972" s="126">
        <f t="shared" si="208"/>
        <v>-3570</v>
      </c>
      <c r="H12972" s="705" t="s">
        <v>8238</v>
      </c>
    </row>
    <row r="12973" spans="1:8" ht="15" x14ac:dyDescent="0.2">
      <c r="A12973" s="734">
        <v>44807</v>
      </c>
      <c r="B12973" s="63" t="s">
        <v>1400</v>
      </c>
      <c r="C12973" s="76" t="s">
        <v>392</v>
      </c>
      <c r="D12973" s="108" t="s">
        <v>8293</v>
      </c>
      <c r="E12973" s="58">
        <v>930</v>
      </c>
      <c r="F12973" s="58"/>
      <c r="G12973" s="126">
        <f t="shared" si="208"/>
        <v>-930</v>
      </c>
      <c r="H12973" s="705" t="s">
        <v>8238</v>
      </c>
    </row>
    <row r="12974" spans="1:8" ht="15" x14ac:dyDescent="0.2">
      <c r="A12974" s="734">
        <v>44809</v>
      </c>
      <c r="B12974" s="63" t="s">
        <v>8043</v>
      </c>
      <c r="C12974" s="76" t="s">
        <v>3145</v>
      </c>
      <c r="D12974" s="108" t="s">
        <v>8260</v>
      </c>
      <c r="E12974" s="58">
        <v>15280</v>
      </c>
      <c r="F12974" s="58"/>
      <c r="G12974" s="126">
        <f t="shared" si="208"/>
        <v>-15280</v>
      </c>
      <c r="H12974" s="705" t="s">
        <v>8238</v>
      </c>
    </row>
    <row r="12975" spans="1:8" ht="15" x14ac:dyDescent="0.2">
      <c r="A12975" s="734">
        <v>44809</v>
      </c>
      <c r="B12975" s="63" t="s">
        <v>8043</v>
      </c>
      <c r="C12975" s="76" t="s">
        <v>392</v>
      </c>
      <c r="D12975" s="108" t="s">
        <v>7863</v>
      </c>
      <c r="E12975" s="58">
        <v>1000</v>
      </c>
      <c r="F12975" s="58"/>
      <c r="G12975" s="126">
        <f t="shared" si="208"/>
        <v>-1000</v>
      </c>
      <c r="H12975" s="705" t="s">
        <v>8238</v>
      </c>
    </row>
    <row r="12976" spans="1:8" ht="15" x14ac:dyDescent="0.2">
      <c r="A12976" s="734">
        <v>44809</v>
      </c>
      <c r="B12976" s="63" t="s">
        <v>8043</v>
      </c>
      <c r="C12976" s="76" t="s">
        <v>8071</v>
      </c>
      <c r="D12976" s="108" t="s">
        <v>8261</v>
      </c>
      <c r="E12976" s="58">
        <v>30000</v>
      </c>
      <c r="F12976" s="58"/>
      <c r="G12976" s="126">
        <f t="shared" si="208"/>
        <v>-30000</v>
      </c>
      <c r="H12976" s="705" t="s">
        <v>8238</v>
      </c>
    </row>
    <row r="12977" spans="1:8" ht="15" x14ac:dyDescent="0.2">
      <c r="A12977" s="734">
        <v>44809</v>
      </c>
      <c r="B12977" s="63" t="s">
        <v>8043</v>
      </c>
      <c r="C12977" s="76" t="s">
        <v>5741</v>
      </c>
      <c r="E12977" s="58">
        <v>1500</v>
      </c>
      <c r="F12977" s="58"/>
      <c r="G12977" s="126">
        <f t="shared" si="208"/>
        <v>-1500</v>
      </c>
      <c r="H12977" s="705" t="s">
        <v>8238</v>
      </c>
    </row>
    <row r="12978" spans="1:8" ht="15" x14ac:dyDescent="0.2">
      <c r="A12978" s="734">
        <v>44809</v>
      </c>
      <c r="B12978" s="63" t="s">
        <v>16</v>
      </c>
      <c r="C12978" s="76" t="s">
        <v>392</v>
      </c>
      <c r="D12978" s="108" t="s">
        <v>8286</v>
      </c>
      <c r="E12978" s="58">
        <v>4883</v>
      </c>
      <c r="F12978" s="58"/>
      <c r="G12978" s="126">
        <f t="shared" si="208"/>
        <v>-4883</v>
      </c>
      <c r="H12978" s="705" t="s">
        <v>8238</v>
      </c>
    </row>
    <row r="12979" spans="1:8" ht="15" x14ac:dyDescent="0.2">
      <c r="A12979" s="734">
        <v>44809</v>
      </c>
      <c r="B12979" s="63" t="s">
        <v>7921</v>
      </c>
      <c r="C12979" s="76" t="s">
        <v>392</v>
      </c>
      <c r="D12979" s="108" t="s">
        <v>5452</v>
      </c>
      <c r="E12979" s="58">
        <v>3000</v>
      </c>
      <c r="F12979" s="58"/>
      <c r="G12979" s="126">
        <f t="shared" si="208"/>
        <v>-3000</v>
      </c>
      <c r="H12979" s="705" t="s">
        <v>8238</v>
      </c>
    </row>
    <row r="12980" spans="1:8" ht="15" x14ac:dyDescent="0.2">
      <c r="A12980" s="734">
        <v>44809</v>
      </c>
      <c r="B12980" s="63" t="s">
        <v>7921</v>
      </c>
      <c r="C12980" s="76" t="s">
        <v>286</v>
      </c>
      <c r="D12980" s="108" t="s">
        <v>372</v>
      </c>
      <c r="E12980" s="58">
        <v>4050</v>
      </c>
      <c r="F12980" s="58"/>
      <c r="G12980" s="126">
        <f t="shared" si="208"/>
        <v>-4050</v>
      </c>
      <c r="H12980" s="705" t="s">
        <v>8238</v>
      </c>
    </row>
    <row r="12981" spans="1:8" ht="15" x14ac:dyDescent="0.2">
      <c r="A12981" s="734">
        <v>44809</v>
      </c>
      <c r="B12981" s="63" t="s">
        <v>2933</v>
      </c>
      <c r="C12981" s="76" t="s">
        <v>392</v>
      </c>
      <c r="E12981" s="58">
        <v>465</v>
      </c>
      <c r="F12981" s="58"/>
      <c r="G12981" s="126">
        <f t="shared" si="208"/>
        <v>-465</v>
      </c>
      <c r="H12981" s="705" t="s">
        <v>8238</v>
      </c>
    </row>
    <row r="12982" spans="1:8" ht="15" x14ac:dyDescent="0.2">
      <c r="A12982" s="734">
        <v>44809</v>
      </c>
      <c r="B12982" s="63" t="s">
        <v>1400</v>
      </c>
      <c r="C12982" s="76" t="s">
        <v>286</v>
      </c>
      <c r="D12982" s="108" t="s">
        <v>5384</v>
      </c>
      <c r="E12982" s="58">
        <v>4347</v>
      </c>
      <c r="F12982" s="58"/>
      <c r="G12982" s="126">
        <f t="shared" si="208"/>
        <v>-4347</v>
      </c>
      <c r="H12982" s="705" t="s">
        <v>8238</v>
      </c>
    </row>
    <row r="12983" spans="1:8" ht="15" x14ac:dyDescent="0.2">
      <c r="A12983" s="734">
        <v>44809</v>
      </c>
      <c r="B12983" s="63" t="s">
        <v>7921</v>
      </c>
      <c r="C12983" s="76" t="s">
        <v>286</v>
      </c>
      <c r="D12983" s="108" t="s">
        <v>5384</v>
      </c>
      <c r="E12983" s="58">
        <v>4347</v>
      </c>
      <c r="F12983" s="58"/>
      <c r="G12983" s="126">
        <f t="shared" si="208"/>
        <v>-4347</v>
      </c>
      <c r="H12983" s="705" t="s">
        <v>8238</v>
      </c>
    </row>
    <row r="12984" spans="1:8" ht="15" x14ac:dyDescent="0.2">
      <c r="A12984" s="734">
        <v>44809</v>
      </c>
      <c r="B12984" s="63" t="s">
        <v>8043</v>
      </c>
      <c r="C12984" s="76" t="s">
        <v>286</v>
      </c>
      <c r="D12984" s="108" t="s">
        <v>5384</v>
      </c>
      <c r="E12984" s="58">
        <v>4347</v>
      </c>
      <c r="F12984" s="58"/>
      <c r="G12984" s="126">
        <f t="shared" si="208"/>
        <v>-4347</v>
      </c>
      <c r="H12984" s="705" t="s">
        <v>8238</v>
      </c>
    </row>
    <row r="12985" spans="1:8" ht="15" x14ac:dyDescent="0.2">
      <c r="A12985" s="734">
        <v>44809</v>
      </c>
      <c r="B12985" s="63" t="s">
        <v>37</v>
      </c>
      <c r="C12985" s="76" t="s">
        <v>286</v>
      </c>
      <c r="D12985" s="108" t="s">
        <v>5384</v>
      </c>
      <c r="E12985" s="58">
        <v>4347</v>
      </c>
      <c r="F12985" s="58"/>
      <c r="G12985" s="126">
        <f t="shared" si="208"/>
        <v>-4347</v>
      </c>
      <c r="H12985" s="705" t="s">
        <v>8238</v>
      </c>
    </row>
    <row r="12986" spans="1:8" ht="15" x14ac:dyDescent="0.2">
      <c r="A12986" s="734">
        <v>44809</v>
      </c>
      <c r="B12986" s="63" t="s">
        <v>2933</v>
      </c>
      <c r="C12986" s="76" t="s">
        <v>286</v>
      </c>
      <c r="D12986" s="108" t="s">
        <v>5384</v>
      </c>
      <c r="E12986" s="58">
        <v>4347</v>
      </c>
      <c r="F12986" s="58"/>
      <c r="G12986" s="126">
        <f t="shared" si="208"/>
        <v>-4347</v>
      </c>
      <c r="H12986" s="705" t="s">
        <v>8238</v>
      </c>
    </row>
    <row r="12987" spans="1:8" ht="15" x14ac:dyDescent="0.2">
      <c r="A12987" s="734">
        <v>44809</v>
      </c>
      <c r="B12987" s="63" t="s">
        <v>7921</v>
      </c>
      <c r="C12987" s="76" t="s">
        <v>3145</v>
      </c>
      <c r="D12987" s="108" t="s">
        <v>8262</v>
      </c>
      <c r="E12987" s="58">
        <v>3241</v>
      </c>
      <c r="F12987" s="58"/>
      <c r="G12987" s="126">
        <f t="shared" si="208"/>
        <v>-3241</v>
      </c>
      <c r="H12987" s="705" t="s">
        <v>8238</v>
      </c>
    </row>
    <row r="12988" spans="1:8" ht="15" x14ac:dyDescent="0.2">
      <c r="A12988" s="734">
        <v>44809</v>
      </c>
      <c r="B12988" s="63" t="s">
        <v>6953</v>
      </c>
      <c r="C12988" s="76" t="s">
        <v>3145</v>
      </c>
      <c r="D12988" s="108" t="s">
        <v>8263</v>
      </c>
      <c r="E12988" s="58">
        <v>4800</v>
      </c>
      <c r="F12988" s="58"/>
      <c r="G12988" s="126">
        <f t="shared" si="208"/>
        <v>-4800</v>
      </c>
      <c r="H12988" s="705" t="s">
        <v>8238</v>
      </c>
    </row>
    <row r="12989" spans="1:8" ht="15" x14ac:dyDescent="0.2">
      <c r="A12989" s="734">
        <v>44809</v>
      </c>
      <c r="B12989" s="63" t="s">
        <v>2933</v>
      </c>
      <c r="C12989" s="76" t="s">
        <v>3145</v>
      </c>
      <c r="D12989" s="108" t="s">
        <v>8264</v>
      </c>
      <c r="E12989" s="58">
        <v>7995</v>
      </c>
      <c r="F12989" s="58"/>
      <c r="G12989" s="126">
        <f t="shared" si="208"/>
        <v>-7995</v>
      </c>
      <c r="H12989" s="705" t="s">
        <v>8238</v>
      </c>
    </row>
    <row r="12990" spans="1:8" ht="15" x14ac:dyDescent="0.2">
      <c r="A12990" s="734">
        <v>44809</v>
      </c>
      <c r="B12990" s="63" t="s">
        <v>8077</v>
      </c>
      <c r="C12990" s="76" t="s">
        <v>3145</v>
      </c>
      <c r="D12990" s="108" t="s">
        <v>8265</v>
      </c>
      <c r="E12990" s="58">
        <v>5650</v>
      </c>
      <c r="F12990" s="58"/>
      <c r="G12990" s="126">
        <f t="shared" si="208"/>
        <v>-5650</v>
      </c>
      <c r="H12990" s="705" t="s">
        <v>8238</v>
      </c>
    </row>
    <row r="12991" spans="1:8" ht="15" x14ac:dyDescent="0.2">
      <c r="A12991" s="734">
        <v>44809</v>
      </c>
      <c r="B12991" s="63" t="s">
        <v>2933</v>
      </c>
      <c r="C12991" s="76" t="s">
        <v>790</v>
      </c>
      <c r="E12991" s="58">
        <v>70</v>
      </c>
      <c r="F12991" s="58"/>
      <c r="G12991" s="126">
        <f t="shared" si="208"/>
        <v>-70</v>
      </c>
      <c r="H12991" s="705" t="s">
        <v>8238</v>
      </c>
    </row>
    <row r="12992" spans="1:8" ht="15" x14ac:dyDescent="0.2">
      <c r="A12992" s="734">
        <v>44809</v>
      </c>
      <c r="B12992" s="63" t="s">
        <v>7953</v>
      </c>
      <c r="C12992" s="76" t="s">
        <v>7954</v>
      </c>
      <c r="D12992" s="108" t="s">
        <v>8266</v>
      </c>
      <c r="E12992" s="58">
        <v>400000</v>
      </c>
      <c r="F12992" s="58"/>
      <c r="G12992" s="126">
        <f t="shared" si="208"/>
        <v>-400000</v>
      </c>
      <c r="H12992" s="705" t="s">
        <v>8238</v>
      </c>
    </row>
    <row r="12993" spans="1:8" ht="15" x14ac:dyDescent="0.2">
      <c r="A12993" s="734">
        <v>44810</v>
      </c>
      <c r="B12993" s="63" t="s">
        <v>7921</v>
      </c>
      <c r="C12993" s="76" t="s">
        <v>5741</v>
      </c>
      <c r="E12993" s="58">
        <v>2000</v>
      </c>
      <c r="F12993" s="58"/>
      <c r="G12993" s="126">
        <f t="shared" si="208"/>
        <v>-2000</v>
      </c>
      <c r="H12993" s="705" t="s">
        <v>8238</v>
      </c>
    </row>
    <row r="12994" spans="1:8" ht="15" x14ac:dyDescent="0.2">
      <c r="A12994" s="734">
        <v>44810</v>
      </c>
      <c r="B12994" s="63" t="s">
        <v>16</v>
      </c>
      <c r="C12994" s="76" t="s">
        <v>757</v>
      </c>
      <c r="D12994" s="108" t="s">
        <v>8294</v>
      </c>
      <c r="E12994" s="58">
        <v>1000</v>
      </c>
      <c r="F12994" s="58"/>
      <c r="G12994" s="126">
        <f t="shared" si="208"/>
        <v>-1000</v>
      </c>
      <c r="H12994" s="705" t="s">
        <v>8238</v>
      </c>
    </row>
    <row r="12995" spans="1:8" ht="15" x14ac:dyDescent="0.2">
      <c r="A12995" s="734">
        <v>44810</v>
      </c>
      <c r="B12995" s="63" t="s">
        <v>7921</v>
      </c>
      <c r="C12995" s="76" t="s">
        <v>8037</v>
      </c>
      <c r="D12995" s="108" t="s">
        <v>2711</v>
      </c>
      <c r="E12995" s="58">
        <v>100000</v>
      </c>
      <c r="F12995" s="58"/>
      <c r="G12995" s="126">
        <f t="shared" si="208"/>
        <v>-100000</v>
      </c>
      <c r="H12995" s="705" t="s">
        <v>8238</v>
      </c>
    </row>
    <row r="12996" spans="1:8" ht="15" x14ac:dyDescent="0.2">
      <c r="A12996" s="734">
        <v>44810</v>
      </c>
      <c r="B12996" s="63" t="s">
        <v>4553</v>
      </c>
      <c r="C12996" s="76" t="s">
        <v>6476</v>
      </c>
      <c r="D12996" s="108" t="s">
        <v>8267</v>
      </c>
      <c r="E12996" s="58">
        <v>5000</v>
      </c>
      <c r="F12996" s="58"/>
      <c r="G12996" s="126">
        <f t="shared" si="208"/>
        <v>-5000</v>
      </c>
      <c r="H12996" s="705" t="s">
        <v>8238</v>
      </c>
    </row>
    <row r="12997" spans="1:8" ht="15" x14ac:dyDescent="0.2">
      <c r="A12997" s="734">
        <v>44810</v>
      </c>
      <c r="B12997" s="63" t="s">
        <v>8043</v>
      </c>
      <c r="C12997" s="76" t="s">
        <v>4876</v>
      </c>
      <c r="D12997" s="108" t="s">
        <v>8268</v>
      </c>
      <c r="E12997" s="58">
        <v>5000</v>
      </c>
      <c r="F12997" s="58"/>
      <c r="G12997" s="126">
        <f t="shared" ref="G12997:G13060" si="209">F12997-E12997</f>
        <v>-5000</v>
      </c>
      <c r="H12997" s="705" t="s">
        <v>8238</v>
      </c>
    </row>
    <row r="12998" spans="1:8" ht="15" x14ac:dyDescent="0.2">
      <c r="A12998" s="734">
        <v>44810</v>
      </c>
      <c r="B12998" s="63" t="s">
        <v>2933</v>
      </c>
      <c r="C12998" s="76" t="s">
        <v>4876</v>
      </c>
      <c r="D12998" s="108" t="s">
        <v>8269</v>
      </c>
      <c r="E12998" s="58">
        <v>12000</v>
      </c>
      <c r="F12998" s="58"/>
      <c r="G12998" s="126">
        <f t="shared" si="209"/>
        <v>-12000</v>
      </c>
      <c r="H12998" s="705" t="s">
        <v>8238</v>
      </c>
    </row>
    <row r="12999" spans="1:8" ht="15" x14ac:dyDescent="0.2">
      <c r="A12999" s="734">
        <v>44810</v>
      </c>
      <c r="B12999" s="63" t="s">
        <v>8043</v>
      </c>
      <c r="C12999" s="76" t="s">
        <v>8087</v>
      </c>
      <c r="D12999" s="108" t="s">
        <v>5844</v>
      </c>
      <c r="E12999" s="58">
        <v>11500</v>
      </c>
      <c r="F12999" s="58"/>
      <c r="G12999" s="126">
        <f t="shared" si="209"/>
        <v>-11500</v>
      </c>
      <c r="H12999" s="705" t="s">
        <v>8238</v>
      </c>
    </row>
    <row r="13000" spans="1:8" ht="15" x14ac:dyDescent="0.2">
      <c r="A13000" s="734">
        <v>44810</v>
      </c>
      <c r="B13000" s="63" t="s">
        <v>7921</v>
      </c>
      <c r="C13000" s="76" t="s">
        <v>8087</v>
      </c>
      <c r="D13000" s="108" t="s">
        <v>5844</v>
      </c>
      <c r="E13000" s="58">
        <v>11500</v>
      </c>
      <c r="F13000" s="58"/>
      <c r="G13000" s="126">
        <f t="shared" si="209"/>
        <v>-11500</v>
      </c>
      <c r="H13000" s="705" t="s">
        <v>8238</v>
      </c>
    </row>
    <row r="13001" spans="1:8" ht="15" x14ac:dyDescent="0.2">
      <c r="A13001" s="734">
        <v>44811</v>
      </c>
      <c r="B13001" s="63" t="s">
        <v>7921</v>
      </c>
      <c r="C13001" s="76" t="s">
        <v>8270</v>
      </c>
      <c r="D13001" s="108" t="s">
        <v>8271</v>
      </c>
      <c r="E13001" s="58">
        <v>10500</v>
      </c>
      <c r="F13001" s="58"/>
      <c r="G13001" s="126">
        <f t="shared" si="209"/>
        <v>-10500</v>
      </c>
      <c r="H13001" s="705" t="s">
        <v>8238</v>
      </c>
    </row>
    <row r="13002" spans="1:8" ht="15" x14ac:dyDescent="0.2">
      <c r="A13002" s="734">
        <v>44811</v>
      </c>
      <c r="B13002" s="63" t="s">
        <v>16</v>
      </c>
      <c r="C13002" s="76" t="s">
        <v>1495</v>
      </c>
      <c r="E13002" s="58">
        <v>2300</v>
      </c>
      <c r="F13002" s="58"/>
      <c r="G13002" s="126">
        <f t="shared" si="209"/>
        <v>-2300</v>
      </c>
      <c r="H13002" s="705" t="s">
        <v>8238</v>
      </c>
    </row>
    <row r="13003" spans="1:8" ht="15" x14ac:dyDescent="0.2">
      <c r="A13003" s="734">
        <v>44811</v>
      </c>
      <c r="B13003" s="63" t="s">
        <v>2933</v>
      </c>
      <c r="C13003" s="76" t="s">
        <v>790</v>
      </c>
      <c r="E13003" s="58">
        <f>1200+200+70</f>
        <v>1470</v>
      </c>
      <c r="F13003" s="58"/>
      <c r="G13003" s="126">
        <f t="shared" si="209"/>
        <v>-1470</v>
      </c>
      <c r="H13003" s="705" t="s">
        <v>8238</v>
      </c>
    </row>
    <row r="13004" spans="1:8" ht="15" x14ac:dyDescent="0.2">
      <c r="A13004" s="734">
        <v>44811</v>
      </c>
      <c r="B13004" s="63" t="s">
        <v>8043</v>
      </c>
      <c r="C13004" s="76" t="s">
        <v>790</v>
      </c>
      <c r="E13004" s="58">
        <v>850</v>
      </c>
      <c r="F13004" s="58"/>
      <c r="G13004" s="126">
        <f t="shared" si="209"/>
        <v>-850</v>
      </c>
      <c r="H13004" s="705" t="s">
        <v>8238</v>
      </c>
    </row>
    <row r="13005" spans="1:8" ht="15" x14ac:dyDescent="0.2">
      <c r="A13005" s="734">
        <v>44811</v>
      </c>
      <c r="B13005" s="63" t="s">
        <v>3946</v>
      </c>
      <c r="C13005" s="76" t="s">
        <v>3145</v>
      </c>
      <c r="D13005" s="108" t="s">
        <v>8272</v>
      </c>
      <c r="E13005" s="58">
        <v>14500</v>
      </c>
      <c r="F13005" s="58"/>
      <c r="G13005" s="126">
        <f t="shared" si="209"/>
        <v>-14500</v>
      </c>
      <c r="H13005" s="705" t="s">
        <v>8238</v>
      </c>
    </row>
    <row r="13006" spans="1:8" ht="15" x14ac:dyDescent="0.2">
      <c r="A13006" s="734">
        <v>44811</v>
      </c>
      <c r="B13006" s="63" t="s">
        <v>8043</v>
      </c>
      <c r="C13006" s="76" t="s">
        <v>8190</v>
      </c>
      <c r="D13006" s="108" t="s">
        <v>8273</v>
      </c>
      <c r="E13006" s="58">
        <v>75000</v>
      </c>
      <c r="F13006" s="58"/>
      <c r="G13006" s="126">
        <f t="shared" si="209"/>
        <v>-75000</v>
      </c>
      <c r="H13006" s="705" t="s">
        <v>8238</v>
      </c>
    </row>
    <row r="13007" spans="1:8" ht="15" x14ac:dyDescent="0.2">
      <c r="A13007" s="734">
        <v>44812</v>
      </c>
      <c r="B13007" s="63" t="s">
        <v>8043</v>
      </c>
      <c r="C13007" s="76" t="s">
        <v>5741</v>
      </c>
      <c r="E13007" s="58">
        <v>800</v>
      </c>
      <c r="F13007" s="58"/>
      <c r="G13007" s="126">
        <f t="shared" si="209"/>
        <v>-800</v>
      </c>
      <c r="H13007" s="705" t="s">
        <v>8238</v>
      </c>
    </row>
    <row r="13008" spans="1:8" ht="15" x14ac:dyDescent="0.2">
      <c r="A13008" s="734">
        <v>44812</v>
      </c>
      <c r="B13008" s="63" t="s">
        <v>2933</v>
      </c>
      <c r="C13008" s="76" t="s">
        <v>790</v>
      </c>
      <c r="E13008" s="58">
        <v>1100</v>
      </c>
      <c r="F13008" s="58"/>
      <c r="G13008" s="126">
        <f t="shared" si="209"/>
        <v>-1100</v>
      </c>
      <c r="H13008" s="705" t="s">
        <v>8238</v>
      </c>
    </row>
    <row r="13009" spans="1:8" ht="15" x14ac:dyDescent="0.2">
      <c r="A13009" s="734">
        <v>44812</v>
      </c>
      <c r="B13009" s="63" t="s">
        <v>7921</v>
      </c>
      <c r="C13009" s="76" t="s">
        <v>286</v>
      </c>
      <c r="D13009" s="108" t="s">
        <v>3346</v>
      </c>
      <c r="E13009" s="58">
        <v>350</v>
      </c>
      <c r="F13009" s="58"/>
      <c r="G13009" s="126">
        <f t="shared" si="209"/>
        <v>-350</v>
      </c>
      <c r="H13009" s="705" t="s">
        <v>8238</v>
      </c>
    </row>
    <row r="13010" spans="1:8" ht="15" x14ac:dyDescent="0.2">
      <c r="A13010" s="734">
        <v>44812</v>
      </c>
      <c r="B13010" s="63" t="s">
        <v>7921</v>
      </c>
      <c r="C13010" s="76" t="s">
        <v>3145</v>
      </c>
      <c r="D13010" s="108" t="s">
        <v>6942</v>
      </c>
      <c r="E13010" s="58">
        <v>14020</v>
      </c>
      <c r="F13010" s="58"/>
      <c r="G13010" s="126">
        <f t="shared" si="209"/>
        <v>-14020</v>
      </c>
      <c r="H13010" s="705" t="s">
        <v>8238</v>
      </c>
    </row>
    <row r="13011" spans="1:8" ht="15" x14ac:dyDescent="0.2">
      <c r="A13011" s="734">
        <v>44812</v>
      </c>
      <c r="B13011" s="63" t="s">
        <v>7817</v>
      </c>
      <c r="C13011" s="76" t="s">
        <v>3145</v>
      </c>
      <c r="D13011" s="108" t="s">
        <v>6942</v>
      </c>
      <c r="E13011" s="58">
        <v>17877</v>
      </c>
      <c r="F13011" s="58"/>
      <c r="G13011" s="126">
        <f t="shared" si="209"/>
        <v>-17877</v>
      </c>
      <c r="H13011" s="705" t="s">
        <v>8238</v>
      </c>
    </row>
    <row r="13012" spans="1:8" ht="15" x14ac:dyDescent="0.2">
      <c r="A13012" s="734">
        <v>44813</v>
      </c>
      <c r="B13012" s="63" t="s">
        <v>8043</v>
      </c>
      <c r="C13012" s="76" t="s">
        <v>6967</v>
      </c>
      <c r="D13012" s="108" t="s">
        <v>8278</v>
      </c>
      <c r="E13012" s="58">
        <v>6000</v>
      </c>
      <c r="F13012" s="58"/>
      <c r="G13012" s="126">
        <f t="shared" si="209"/>
        <v>-6000</v>
      </c>
      <c r="H13012" s="705" t="s">
        <v>8238</v>
      </c>
    </row>
    <row r="13013" spans="1:8" ht="15" x14ac:dyDescent="0.2">
      <c r="A13013" s="734">
        <v>44813</v>
      </c>
      <c r="B13013" s="63" t="s">
        <v>37</v>
      </c>
      <c r="C13013" s="76" t="s">
        <v>392</v>
      </c>
      <c r="D13013" s="108" t="s">
        <v>8279</v>
      </c>
      <c r="E13013" s="58">
        <v>620</v>
      </c>
      <c r="F13013" s="58"/>
      <c r="G13013" s="126">
        <f t="shared" si="209"/>
        <v>-620</v>
      </c>
      <c r="H13013" s="705" t="s">
        <v>8238</v>
      </c>
    </row>
    <row r="13014" spans="1:8" ht="15" x14ac:dyDescent="0.2">
      <c r="A13014" s="734">
        <v>44813</v>
      </c>
      <c r="B13014" s="63" t="s">
        <v>8043</v>
      </c>
      <c r="C13014" s="76" t="s">
        <v>392</v>
      </c>
      <c r="D13014" s="108" t="s">
        <v>7974</v>
      </c>
      <c r="E13014" s="58">
        <v>640</v>
      </c>
      <c r="F13014" s="58"/>
      <c r="G13014" s="126">
        <f t="shared" si="209"/>
        <v>-640</v>
      </c>
      <c r="H13014" s="705" t="s">
        <v>8238</v>
      </c>
    </row>
    <row r="13015" spans="1:8" ht="15" x14ac:dyDescent="0.2">
      <c r="A13015" s="734">
        <v>44813</v>
      </c>
      <c r="B13015" s="63" t="s">
        <v>8043</v>
      </c>
      <c r="C13015" s="76" t="s">
        <v>5741</v>
      </c>
      <c r="E13015" s="58">
        <v>2000</v>
      </c>
      <c r="F13015" s="58"/>
      <c r="G13015" s="126">
        <f t="shared" si="209"/>
        <v>-2000</v>
      </c>
      <c r="H13015" s="705" t="s">
        <v>8238</v>
      </c>
    </row>
    <row r="13016" spans="1:8" ht="15" x14ac:dyDescent="0.2">
      <c r="A13016" s="734">
        <v>44813</v>
      </c>
      <c r="B13016" s="63" t="s">
        <v>8043</v>
      </c>
      <c r="C13016" s="76" t="s">
        <v>5741</v>
      </c>
      <c r="E13016" s="58">
        <v>3500</v>
      </c>
      <c r="F13016" s="58"/>
      <c r="G13016" s="126">
        <f t="shared" si="209"/>
        <v>-3500</v>
      </c>
      <c r="H13016" s="705" t="s">
        <v>8238</v>
      </c>
    </row>
    <row r="13017" spans="1:8" ht="15" x14ac:dyDescent="0.2">
      <c r="A13017" s="734">
        <v>44813</v>
      </c>
      <c r="B13017" s="63" t="s">
        <v>37</v>
      </c>
      <c r="C13017" s="76" t="s">
        <v>392</v>
      </c>
      <c r="D13017" s="108" t="s">
        <v>5755</v>
      </c>
      <c r="E13017" s="58">
        <v>3000</v>
      </c>
      <c r="F13017" s="58"/>
      <c r="G13017" s="126">
        <f t="shared" si="209"/>
        <v>-3000</v>
      </c>
      <c r="H13017" s="705" t="s">
        <v>8238</v>
      </c>
    </row>
    <row r="13018" spans="1:8" ht="15" x14ac:dyDescent="0.2">
      <c r="A13018" s="734">
        <v>44813</v>
      </c>
      <c r="B13018" s="63" t="s">
        <v>25</v>
      </c>
      <c r="C13018" s="76" t="s">
        <v>4065</v>
      </c>
      <c r="D13018" s="108" t="s">
        <v>2431</v>
      </c>
      <c r="E13018" s="58">
        <v>1000</v>
      </c>
      <c r="F13018" s="58"/>
      <c r="G13018" s="126">
        <f t="shared" si="209"/>
        <v>-1000</v>
      </c>
      <c r="H13018" s="705" t="s">
        <v>8238</v>
      </c>
    </row>
    <row r="13019" spans="1:8" ht="15" x14ac:dyDescent="0.2">
      <c r="A13019" s="734">
        <v>44813</v>
      </c>
      <c r="B13019" s="63" t="s">
        <v>7921</v>
      </c>
      <c r="C13019" s="76" t="s">
        <v>5741</v>
      </c>
      <c r="D13019" s="108" t="s">
        <v>8280</v>
      </c>
      <c r="E13019" s="58">
        <v>3000</v>
      </c>
      <c r="F13019" s="58"/>
      <c r="G13019" s="126">
        <f t="shared" si="209"/>
        <v>-3000</v>
      </c>
      <c r="H13019" s="705" t="s">
        <v>8238</v>
      </c>
    </row>
    <row r="13020" spans="1:8" ht="15" x14ac:dyDescent="0.2">
      <c r="A13020" s="734">
        <v>44813</v>
      </c>
      <c r="B13020" s="63" t="s">
        <v>16</v>
      </c>
      <c r="C13020" s="76" t="s">
        <v>3843</v>
      </c>
      <c r="D13020" s="108" t="s">
        <v>8286</v>
      </c>
      <c r="E13020" s="58">
        <v>2030</v>
      </c>
      <c r="F13020" s="58"/>
      <c r="G13020" s="126">
        <f t="shared" si="209"/>
        <v>-2030</v>
      </c>
      <c r="H13020" s="705" t="s">
        <v>8238</v>
      </c>
    </row>
    <row r="13021" spans="1:8" ht="15" x14ac:dyDescent="0.2">
      <c r="A13021" s="734">
        <v>44813</v>
      </c>
      <c r="B13021" s="63" t="s">
        <v>7921</v>
      </c>
      <c r="C13021" s="76" t="s">
        <v>3843</v>
      </c>
      <c r="D13021" s="108" t="s">
        <v>392</v>
      </c>
      <c r="E13021" s="58">
        <v>2000</v>
      </c>
      <c r="F13021" s="58"/>
      <c r="G13021" s="126">
        <f t="shared" si="209"/>
        <v>-2000</v>
      </c>
      <c r="H13021" s="705" t="s">
        <v>8238</v>
      </c>
    </row>
    <row r="13022" spans="1:8" ht="15" x14ac:dyDescent="0.2">
      <c r="A13022" s="734">
        <v>44813</v>
      </c>
      <c r="B13022" s="63" t="s">
        <v>3946</v>
      </c>
      <c r="C13022" s="76" t="s">
        <v>286</v>
      </c>
      <c r="D13022" s="108" t="s">
        <v>8295</v>
      </c>
      <c r="E13022" s="58">
        <v>150</v>
      </c>
      <c r="F13022" s="58"/>
      <c r="G13022" s="126">
        <f t="shared" si="209"/>
        <v>-150</v>
      </c>
      <c r="H13022" s="705" t="s">
        <v>8238</v>
      </c>
    </row>
    <row r="13023" spans="1:8" ht="15" x14ac:dyDescent="0.2">
      <c r="A13023" s="734">
        <v>44814</v>
      </c>
      <c r="B13023" s="63" t="s">
        <v>16</v>
      </c>
      <c r="C13023" s="76" t="s">
        <v>3364</v>
      </c>
      <c r="E13023" s="58">
        <v>4970</v>
      </c>
      <c r="F13023" s="58"/>
      <c r="G13023" s="126">
        <f t="shared" si="209"/>
        <v>-4970</v>
      </c>
      <c r="H13023" s="705" t="s">
        <v>8238</v>
      </c>
    </row>
    <row r="13024" spans="1:8" ht="15" x14ac:dyDescent="0.2">
      <c r="A13024" s="734">
        <v>44814</v>
      </c>
      <c r="B13024" s="63" t="s">
        <v>8043</v>
      </c>
      <c r="C13024" s="76" t="s">
        <v>3145</v>
      </c>
      <c r="D13024" s="108" t="s">
        <v>8281</v>
      </c>
      <c r="E13024" s="58">
        <v>4200</v>
      </c>
      <c r="F13024" s="58"/>
      <c r="G13024" s="126">
        <f t="shared" si="209"/>
        <v>-4200</v>
      </c>
      <c r="H13024" s="705" t="s">
        <v>8238</v>
      </c>
    </row>
    <row r="13025" spans="1:8" ht="15" x14ac:dyDescent="0.2">
      <c r="A13025" s="734">
        <v>44814</v>
      </c>
      <c r="B13025" s="63" t="s">
        <v>1400</v>
      </c>
      <c r="C13025" s="76" t="s">
        <v>790</v>
      </c>
      <c r="E13025" s="58">
        <v>200</v>
      </c>
      <c r="F13025" s="58"/>
      <c r="G13025" s="126">
        <f t="shared" si="209"/>
        <v>-200</v>
      </c>
      <c r="H13025" s="705" t="s">
        <v>8238</v>
      </c>
    </row>
    <row r="13026" spans="1:8" ht="15" x14ac:dyDescent="0.2">
      <c r="A13026" s="734">
        <v>44814</v>
      </c>
      <c r="B13026" s="63" t="s">
        <v>3946</v>
      </c>
      <c r="C13026" s="76" t="s">
        <v>3145</v>
      </c>
      <c r="D13026" s="108" t="s">
        <v>8282</v>
      </c>
      <c r="E13026" s="58">
        <v>34500</v>
      </c>
      <c r="F13026" s="58"/>
      <c r="G13026" s="126">
        <f t="shared" si="209"/>
        <v>-34500</v>
      </c>
      <c r="H13026" s="705" t="s">
        <v>8238</v>
      </c>
    </row>
    <row r="13027" spans="1:8" ht="15" x14ac:dyDescent="0.2">
      <c r="A13027" s="734">
        <v>44814</v>
      </c>
      <c r="B13027" s="63" t="s">
        <v>8043</v>
      </c>
      <c r="C13027" s="76" t="s">
        <v>8276</v>
      </c>
      <c r="D13027" s="108" t="s">
        <v>8283</v>
      </c>
      <c r="E13027" s="58">
        <v>210600</v>
      </c>
      <c r="F13027" s="58"/>
      <c r="G13027" s="126">
        <f t="shared" si="209"/>
        <v>-210600</v>
      </c>
      <c r="H13027" s="705" t="s">
        <v>8238</v>
      </c>
    </row>
    <row r="13028" spans="1:8" ht="15" x14ac:dyDescent="0.2">
      <c r="A13028" s="734">
        <v>44814</v>
      </c>
      <c r="B13028" s="63" t="s">
        <v>8043</v>
      </c>
      <c r="C13028" s="76" t="s">
        <v>392</v>
      </c>
      <c r="D13028" s="108" t="s">
        <v>8296</v>
      </c>
      <c r="E13028" s="58">
        <v>300</v>
      </c>
      <c r="F13028" s="58"/>
      <c r="G13028" s="126">
        <f t="shared" si="209"/>
        <v>-300</v>
      </c>
      <c r="H13028" s="705" t="s">
        <v>8238</v>
      </c>
    </row>
    <row r="13029" spans="1:8" ht="15" x14ac:dyDescent="0.2">
      <c r="A13029" s="734">
        <v>44814</v>
      </c>
      <c r="B13029" s="63" t="s">
        <v>8043</v>
      </c>
      <c r="C13029" s="76" t="s">
        <v>286</v>
      </c>
      <c r="D13029" s="108" t="s">
        <v>8297</v>
      </c>
      <c r="E13029" s="58">
        <v>630</v>
      </c>
      <c r="F13029" s="58"/>
      <c r="G13029" s="126">
        <f t="shared" si="209"/>
        <v>-630</v>
      </c>
      <c r="H13029" s="705" t="s">
        <v>8238</v>
      </c>
    </row>
    <row r="13030" spans="1:8" ht="15" x14ac:dyDescent="0.2">
      <c r="A13030" s="734">
        <v>44816</v>
      </c>
      <c r="B13030" s="63" t="s">
        <v>7921</v>
      </c>
      <c r="C13030" s="76" t="s">
        <v>392</v>
      </c>
      <c r="D13030" s="108" t="s">
        <v>8298</v>
      </c>
      <c r="E13030" s="58">
        <v>1000</v>
      </c>
      <c r="F13030" s="58"/>
      <c r="G13030" s="126">
        <f t="shared" si="209"/>
        <v>-1000</v>
      </c>
      <c r="H13030" s="705" t="s">
        <v>8238</v>
      </c>
    </row>
    <row r="13031" spans="1:8" ht="15" x14ac:dyDescent="0.2">
      <c r="A13031" s="734">
        <v>44816</v>
      </c>
      <c r="B13031" s="41" t="s">
        <v>3733</v>
      </c>
      <c r="C13031" s="76" t="s">
        <v>3145</v>
      </c>
      <c r="D13031" s="108" t="s">
        <v>6699</v>
      </c>
      <c r="E13031" s="58">
        <v>31515</v>
      </c>
      <c r="F13031" s="58"/>
      <c r="G13031" s="126">
        <f t="shared" si="209"/>
        <v>-31515</v>
      </c>
      <c r="H13031" s="705" t="s">
        <v>8238</v>
      </c>
    </row>
    <row r="13032" spans="1:8" ht="15" customHeight="1" x14ac:dyDescent="0.2">
      <c r="A13032" s="734">
        <v>44816</v>
      </c>
      <c r="B13032" s="41" t="s">
        <v>3733</v>
      </c>
      <c r="C13032" s="76" t="s">
        <v>3145</v>
      </c>
      <c r="D13032" s="108" t="s">
        <v>6699</v>
      </c>
      <c r="E13032" s="58">
        <v>19380</v>
      </c>
      <c r="F13032" s="58"/>
      <c r="G13032" s="126">
        <f t="shared" si="209"/>
        <v>-19380</v>
      </c>
      <c r="H13032" s="705" t="s">
        <v>8238</v>
      </c>
    </row>
    <row r="13033" spans="1:8" ht="15" customHeight="1" x14ac:dyDescent="0.2">
      <c r="A13033" s="734">
        <v>44816</v>
      </c>
      <c r="B13033" s="63" t="s">
        <v>8077</v>
      </c>
      <c r="C13033" s="76" t="s">
        <v>3145</v>
      </c>
      <c r="D13033" s="108" t="s">
        <v>3974</v>
      </c>
      <c r="E13033" s="58">
        <v>7200</v>
      </c>
      <c r="F13033" s="58"/>
      <c r="G13033" s="126">
        <f t="shared" si="209"/>
        <v>-7200</v>
      </c>
      <c r="H13033" s="705" t="s">
        <v>8238</v>
      </c>
    </row>
    <row r="13034" spans="1:8" ht="15" customHeight="1" x14ac:dyDescent="0.2">
      <c r="A13034" s="734">
        <v>44816</v>
      </c>
      <c r="B13034" s="63" t="s">
        <v>5811</v>
      </c>
      <c r="C13034" s="76" t="s">
        <v>2503</v>
      </c>
      <c r="D13034" s="108" t="s">
        <v>8299</v>
      </c>
      <c r="E13034" s="58">
        <v>40000</v>
      </c>
      <c r="F13034" s="58"/>
      <c r="G13034" s="126">
        <f t="shared" si="209"/>
        <v>-40000</v>
      </c>
      <c r="H13034" s="705" t="s">
        <v>8238</v>
      </c>
    </row>
    <row r="13035" spans="1:8" ht="15" customHeight="1" x14ac:dyDescent="0.2">
      <c r="A13035" s="734">
        <v>44816</v>
      </c>
      <c r="B13035" s="63" t="s">
        <v>5811</v>
      </c>
      <c r="C13035" s="76" t="s">
        <v>286</v>
      </c>
      <c r="D13035" s="108" t="s">
        <v>7652</v>
      </c>
      <c r="E13035" s="58">
        <v>1000</v>
      </c>
      <c r="F13035" s="58"/>
      <c r="G13035" s="126">
        <f t="shared" si="209"/>
        <v>-1000</v>
      </c>
      <c r="H13035" s="705" t="s">
        <v>8238</v>
      </c>
    </row>
    <row r="13036" spans="1:8" ht="15" customHeight="1" x14ac:dyDescent="0.2">
      <c r="A13036" s="734">
        <v>44816</v>
      </c>
      <c r="B13036" s="63" t="s">
        <v>7112</v>
      </c>
      <c r="C13036" s="76" t="s">
        <v>3145</v>
      </c>
      <c r="D13036" s="108" t="s">
        <v>8300</v>
      </c>
      <c r="E13036" s="58">
        <v>14400</v>
      </c>
      <c r="F13036" s="58"/>
      <c r="G13036" s="126">
        <f t="shared" si="209"/>
        <v>-14400</v>
      </c>
      <c r="H13036" s="705" t="s">
        <v>8238</v>
      </c>
    </row>
    <row r="13037" spans="1:8" ht="15" customHeight="1" x14ac:dyDescent="0.2">
      <c r="A13037" s="734">
        <v>44816</v>
      </c>
      <c r="B13037" s="63" t="s">
        <v>16</v>
      </c>
      <c r="C13037" s="76" t="s">
        <v>392</v>
      </c>
      <c r="D13037" s="108" t="s">
        <v>8301</v>
      </c>
      <c r="E13037" s="58">
        <v>3500</v>
      </c>
      <c r="F13037" s="58"/>
      <c r="G13037" s="126">
        <f t="shared" si="209"/>
        <v>-3500</v>
      </c>
      <c r="H13037" s="705" t="s">
        <v>8238</v>
      </c>
    </row>
    <row r="13038" spans="1:8" ht="15" customHeight="1" x14ac:dyDescent="0.2">
      <c r="A13038" s="734">
        <v>44816</v>
      </c>
      <c r="B13038" s="63" t="s">
        <v>7921</v>
      </c>
      <c r="C13038" s="76" t="s">
        <v>8188</v>
      </c>
      <c r="D13038" s="108" t="s">
        <v>8304</v>
      </c>
      <c r="E13038" s="58">
        <v>40000</v>
      </c>
      <c r="F13038" s="58"/>
      <c r="G13038" s="126">
        <f t="shared" si="209"/>
        <v>-40000</v>
      </c>
      <c r="H13038" s="705" t="s">
        <v>8238</v>
      </c>
    </row>
    <row r="13039" spans="1:8" ht="15" customHeight="1" x14ac:dyDescent="0.2">
      <c r="A13039" s="734">
        <v>44816</v>
      </c>
      <c r="B13039" s="63" t="s">
        <v>7921</v>
      </c>
      <c r="C13039" s="76" t="s">
        <v>3145</v>
      </c>
      <c r="D13039" s="108" t="s">
        <v>8305</v>
      </c>
      <c r="E13039" s="58">
        <v>11000</v>
      </c>
      <c r="F13039" s="58"/>
      <c r="G13039" s="126">
        <f t="shared" si="209"/>
        <v>-11000</v>
      </c>
      <c r="H13039" s="705" t="s">
        <v>8238</v>
      </c>
    </row>
    <row r="13040" spans="1:8" ht="15" customHeight="1" x14ac:dyDescent="0.2">
      <c r="A13040" s="734">
        <v>44817</v>
      </c>
      <c r="B13040" s="63" t="s">
        <v>16</v>
      </c>
      <c r="C13040" s="76" t="s">
        <v>5341</v>
      </c>
      <c r="D13040" s="108" t="s">
        <v>8306</v>
      </c>
      <c r="E13040" s="58">
        <v>15000</v>
      </c>
      <c r="F13040" s="58"/>
      <c r="G13040" s="126">
        <f t="shared" si="209"/>
        <v>-15000</v>
      </c>
      <c r="H13040" s="705" t="s">
        <v>8238</v>
      </c>
    </row>
    <row r="13041" spans="1:8" ht="15" customHeight="1" x14ac:dyDescent="0.2">
      <c r="A13041" s="734">
        <v>44818</v>
      </c>
      <c r="B13041" s="63" t="s">
        <v>8077</v>
      </c>
      <c r="C13041" s="76" t="s">
        <v>8182</v>
      </c>
      <c r="D13041" s="108" t="s">
        <v>8307</v>
      </c>
      <c r="E13041" s="58">
        <v>260000</v>
      </c>
      <c r="F13041" s="58"/>
      <c r="G13041" s="126">
        <f t="shared" si="209"/>
        <v>-260000</v>
      </c>
      <c r="H13041" s="705" t="s">
        <v>8238</v>
      </c>
    </row>
    <row r="13042" spans="1:8" ht="15" customHeight="1" x14ac:dyDescent="0.2">
      <c r="A13042" s="734">
        <v>44818</v>
      </c>
      <c r="B13042" s="63" t="s">
        <v>8043</v>
      </c>
      <c r="C13042" s="76" t="s">
        <v>4876</v>
      </c>
      <c r="D13042" s="108" t="s">
        <v>8194</v>
      </c>
      <c r="E13042" s="58">
        <v>1500</v>
      </c>
      <c r="F13042" s="58"/>
      <c r="G13042" s="126">
        <f t="shared" si="209"/>
        <v>-1500</v>
      </c>
      <c r="H13042" s="705" t="s">
        <v>8238</v>
      </c>
    </row>
    <row r="13043" spans="1:8" ht="15" customHeight="1" x14ac:dyDescent="0.2">
      <c r="A13043" s="734">
        <v>44818</v>
      </c>
      <c r="B13043" s="63" t="s">
        <v>8043</v>
      </c>
      <c r="C13043" s="76" t="s">
        <v>3145</v>
      </c>
      <c r="D13043" s="108" t="s">
        <v>8308</v>
      </c>
      <c r="E13043" s="58">
        <v>15000</v>
      </c>
      <c r="F13043" s="58"/>
      <c r="G13043" s="126">
        <f t="shared" si="209"/>
        <v>-15000</v>
      </c>
      <c r="H13043" s="705" t="s">
        <v>8238</v>
      </c>
    </row>
    <row r="13044" spans="1:8" ht="15" customHeight="1" x14ac:dyDescent="0.2">
      <c r="A13044" s="734">
        <v>44818</v>
      </c>
      <c r="B13044" s="63" t="s">
        <v>1400</v>
      </c>
      <c r="C13044" s="76" t="s">
        <v>2601</v>
      </c>
      <c r="D13044" s="108" t="s">
        <v>8309</v>
      </c>
      <c r="E13044" s="58">
        <v>33100</v>
      </c>
      <c r="F13044" s="58"/>
      <c r="G13044" s="126">
        <f t="shared" si="209"/>
        <v>-33100</v>
      </c>
      <c r="H13044" s="705" t="s">
        <v>8238</v>
      </c>
    </row>
    <row r="13045" spans="1:8" ht="15" customHeight="1" x14ac:dyDescent="0.2">
      <c r="A13045" s="734">
        <v>44818</v>
      </c>
      <c r="B13045" s="63" t="s">
        <v>3946</v>
      </c>
      <c r="C13045" s="550" t="s">
        <v>3003</v>
      </c>
      <c r="D13045" s="893" t="s">
        <v>8310</v>
      </c>
      <c r="E13045" s="583">
        <v>30160</v>
      </c>
      <c r="F13045" s="58"/>
      <c r="G13045" s="126">
        <f t="shared" si="209"/>
        <v>-30160</v>
      </c>
      <c r="H13045" s="705" t="s">
        <v>8238</v>
      </c>
    </row>
    <row r="13046" spans="1:8" ht="15" customHeight="1" x14ac:dyDescent="0.2">
      <c r="A13046" s="734">
        <v>44818</v>
      </c>
      <c r="B13046" s="63" t="s">
        <v>3945</v>
      </c>
      <c r="C13046" s="550" t="s">
        <v>3003</v>
      </c>
      <c r="D13046" s="893" t="s">
        <v>8310</v>
      </c>
      <c r="E13046" s="583">
        <v>32760</v>
      </c>
      <c r="F13046" s="58"/>
      <c r="G13046" s="126">
        <f t="shared" si="209"/>
        <v>-32760</v>
      </c>
      <c r="H13046" s="705" t="s">
        <v>8238</v>
      </c>
    </row>
    <row r="13047" spans="1:8" ht="15" customHeight="1" x14ac:dyDescent="0.2">
      <c r="A13047" s="734">
        <v>44818</v>
      </c>
      <c r="B13047" s="63" t="s">
        <v>7067</v>
      </c>
      <c r="C13047" s="550" t="s">
        <v>3003</v>
      </c>
      <c r="D13047" s="893" t="s">
        <v>8310</v>
      </c>
      <c r="E13047" s="583">
        <v>87524</v>
      </c>
      <c r="F13047" s="58"/>
      <c r="G13047" s="126">
        <f t="shared" si="209"/>
        <v>-87524</v>
      </c>
      <c r="H13047" s="705" t="s">
        <v>8238</v>
      </c>
    </row>
    <row r="13048" spans="1:8" ht="15" customHeight="1" x14ac:dyDescent="0.2">
      <c r="A13048" s="734">
        <v>44818</v>
      </c>
      <c r="B13048" s="63" t="s">
        <v>37</v>
      </c>
      <c r="C13048" s="550" t="s">
        <v>3003</v>
      </c>
      <c r="D13048" s="893" t="s">
        <v>8310</v>
      </c>
      <c r="E13048" s="583">
        <v>15552</v>
      </c>
      <c r="F13048" s="58"/>
      <c r="G13048" s="126">
        <f t="shared" si="209"/>
        <v>-15552</v>
      </c>
      <c r="H13048" s="705" t="s">
        <v>8238</v>
      </c>
    </row>
    <row r="13049" spans="1:8" ht="15" customHeight="1" x14ac:dyDescent="0.2">
      <c r="A13049" s="734">
        <v>44818</v>
      </c>
      <c r="B13049" s="63" t="s">
        <v>16</v>
      </c>
      <c r="C13049" s="76" t="s">
        <v>5341</v>
      </c>
      <c r="D13049" s="108" t="s">
        <v>8311</v>
      </c>
      <c r="E13049" s="58">
        <v>2500</v>
      </c>
      <c r="F13049" s="58"/>
      <c r="G13049" s="126">
        <f t="shared" si="209"/>
        <v>-2500</v>
      </c>
      <c r="H13049" s="705" t="s">
        <v>8238</v>
      </c>
    </row>
    <row r="13050" spans="1:8" ht="15" customHeight="1" x14ac:dyDescent="0.2">
      <c r="A13050" s="734">
        <v>44818</v>
      </c>
      <c r="B13050" s="63" t="s">
        <v>16</v>
      </c>
      <c r="C13050" s="76" t="s">
        <v>8150</v>
      </c>
      <c r="D13050" s="108" t="s">
        <v>7590</v>
      </c>
      <c r="E13050" s="58">
        <v>2100</v>
      </c>
      <c r="F13050" s="58"/>
      <c r="G13050" s="126">
        <f t="shared" si="209"/>
        <v>-2100</v>
      </c>
      <c r="H13050" s="705" t="s">
        <v>8238</v>
      </c>
    </row>
    <row r="13051" spans="1:8" ht="15" customHeight="1" x14ac:dyDescent="0.2">
      <c r="A13051" s="734">
        <v>44818</v>
      </c>
      <c r="B13051" s="63" t="s">
        <v>25</v>
      </c>
      <c r="C13051" s="76" t="s">
        <v>8150</v>
      </c>
      <c r="D13051" s="108" t="s">
        <v>7590</v>
      </c>
      <c r="E13051" s="58">
        <v>6100</v>
      </c>
      <c r="F13051" s="58"/>
      <c r="G13051" s="126">
        <f t="shared" si="209"/>
        <v>-6100</v>
      </c>
      <c r="H13051" s="705" t="s">
        <v>8238</v>
      </c>
    </row>
    <row r="13052" spans="1:8" ht="15" customHeight="1" x14ac:dyDescent="0.2">
      <c r="A13052" s="734">
        <v>44818</v>
      </c>
      <c r="B13052" s="63" t="s">
        <v>1400</v>
      </c>
      <c r="C13052" s="76" t="s">
        <v>3145</v>
      </c>
      <c r="D13052" s="108" t="s">
        <v>8321</v>
      </c>
      <c r="E13052" s="58">
        <v>29000</v>
      </c>
      <c r="F13052" s="58"/>
      <c r="G13052" s="126">
        <f t="shared" si="209"/>
        <v>-29000</v>
      </c>
      <c r="H13052" s="705" t="s">
        <v>8238</v>
      </c>
    </row>
    <row r="13053" spans="1:8" ht="15" customHeight="1" x14ac:dyDescent="0.2">
      <c r="A13053" s="734">
        <v>44818</v>
      </c>
      <c r="B13053" s="63" t="s">
        <v>16</v>
      </c>
      <c r="C13053" s="76" t="s">
        <v>3843</v>
      </c>
      <c r="D13053" s="108" t="s">
        <v>8286</v>
      </c>
      <c r="E13053" s="58">
        <v>2320</v>
      </c>
      <c r="F13053" s="58"/>
      <c r="G13053" s="126">
        <f t="shared" si="209"/>
        <v>-2320</v>
      </c>
      <c r="H13053" s="705" t="s">
        <v>8238</v>
      </c>
    </row>
    <row r="13054" spans="1:8" ht="15" customHeight="1" x14ac:dyDescent="0.2">
      <c r="A13054" s="734">
        <v>44818</v>
      </c>
      <c r="B13054" s="63" t="s">
        <v>8043</v>
      </c>
      <c r="C13054" s="76" t="s">
        <v>3843</v>
      </c>
      <c r="D13054" s="108" t="s">
        <v>392</v>
      </c>
      <c r="E13054" s="58">
        <v>2000</v>
      </c>
      <c r="F13054" s="58"/>
      <c r="G13054" s="126">
        <f t="shared" si="209"/>
        <v>-2000</v>
      </c>
      <c r="H13054" s="705" t="s">
        <v>8238</v>
      </c>
    </row>
    <row r="13055" spans="1:8" ht="15" customHeight="1" x14ac:dyDescent="0.2">
      <c r="A13055" s="734">
        <v>44818</v>
      </c>
      <c r="B13055" s="63" t="s">
        <v>8077</v>
      </c>
      <c r="C13055" s="76" t="s">
        <v>5741</v>
      </c>
      <c r="E13055" s="58">
        <v>1700</v>
      </c>
      <c r="F13055" s="58"/>
      <c r="G13055" s="126">
        <f t="shared" si="209"/>
        <v>-1700</v>
      </c>
      <c r="H13055" s="705" t="s">
        <v>8238</v>
      </c>
    </row>
    <row r="13056" spans="1:8" ht="15" customHeight="1" x14ac:dyDescent="0.2">
      <c r="A13056" s="734">
        <v>44818</v>
      </c>
      <c r="B13056" s="63" t="s">
        <v>8043</v>
      </c>
      <c r="C13056" s="76" t="s">
        <v>286</v>
      </c>
      <c r="D13056" s="108" t="s">
        <v>3346</v>
      </c>
      <c r="E13056" s="58">
        <v>300</v>
      </c>
      <c r="F13056" s="58"/>
      <c r="G13056" s="126">
        <f t="shared" si="209"/>
        <v>-300</v>
      </c>
      <c r="H13056" s="705" t="s">
        <v>8238</v>
      </c>
    </row>
    <row r="13057" spans="1:8" ht="15" customHeight="1" x14ac:dyDescent="0.2">
      <c r="A13057" s="734">
        <v>44818</v>
      </c>
      <c r="B13057" s="63" t="s">
        <v>8043</v>
      </c>
      <c r="C13057" s="76" t="s">
        <v>5741</v>
      </c>
      <c r="E13057" s="58">
        <v>2000</v>
      </c>
      <c r="F13057" s="58"/>
      <c r="G13057" s="126">
        <f t="shared" si="209"/>
        <v>-2000</v>
      </c>
      <c r="H13057" s="705" t="s">
        <v>8238</v>
      </c>
    </row>
    <row r="13058" spans="1:8" ht="15" customHeight="1" x14ac:dyDescent="0.2">
      <c r="A13058" s="734">
        <v>44819</v>
      </c>
      <c r="B13058" s="63" t="s">
        <v>16</v>
      </c>
      <c r="C13058" s="76" t="s">
        <v>3843</v>
      </c>
      <c r="D13058" s="108" t="s">
        <v>8286</v>
      </c>
      <c r="E13058" s="58">
        <v>1430</v>
      </c>
      <c r="F13058" s="58"/>
      <c r="G13058" s="126">
        <f t="shared" si="209"/>
        <v>-1430</v>
      </c>
      <c r="H13058" s="705" t="s">
        <v>8238</v>
      </c>
    </row>
    <row r="13059" spans="1:8" ht="15" customHeight="1" x14ac:dyDescent="0.2">
      <c r="A13059" s="734">
        <v>44819</v>
      </c>
      <c r="B13059" s="63" t="s">
        <v>8043</v>
      </c>
      <c r="C13059" s="76" t="s">
        <v>3843</v>
      </c>
      <c r="D13059" s="108" t="s">
        <v>392</v>
      </c>
      <c r="E13059" s="58">
        <v>2000</v>
      </c>
      <c r="F13059" s="58"/>
      <c r="G13059" s="126">
        <f t="shared" si="209"/>
        <v>-2000</v>
      </c>
      <c r="H13059" s="705" t="s">
        <v>8238</v>
      </c>
    </row>
    <row r="13060" spans="1:8" ht="15" customHeight="1" x14ac:dyDescent="0.2">
      <c r="A13060" s="734">
        <v>44819</v>
      </c>
      <c r="B13060" s="63" t="s">
        <v>7921</v>
      </c>
      <c r="C13060" s="76" t="s">
        <v>5741</v>
      </c>
      <c r="E13060" s="58">
        <v>3500</v>
      </c>
      <c r="F13060" s="58"/>
      <c r="G13060" s="126">
        <f t="shared" si="209"/>
        <v>-3500</v>
      </c>
      <c r="H13060" s="705" t="s">
        <v>8238</v>
      </c>
    </row>
    <row r="13061" spans="1:8" ht="15" customHeight="1" x14ac:dyDescent="0.2">
      <c r="A13061" s="734">
        <v>44819</v>
      </c>
      <c r="B13061" s="63" t="s">
        <v>7921</v>
      </c>
      <c r="C13061" s="76" t="s">
        <v>5741</v>
      </c>
      <c r="E13061" s="58">
        <v>3000</v>
      </c>
      <c r="F13061" s="58"/>
      <c r="G13061" s="126">
        <f t="shared" ref="G13061:G13124" si="210">F13061-E13061</f>
        <v>-3000</v>
      </c>
      <c r="H13061" s="705" t="s">
        <v>8238</v>
      </c>
    </row>
    <row r="13062" spans="1:8" ht="15" customHeight="1" x14ac:dyDescent="0.2">
      <c r="A13062" s="734">
        <v>44819</v>
      </c>
      <c r="B13062" s="63" t="s">
        <v>7921</v>
      </c>
      <c r="C13062" s="635" t="s">
        <v>3145</v>
      </c>
      <c r="D13062" s="918" t="s">
        <v>7198</v>
      </c>
      <c r="E13062" s="735">
        <v>22090</v>
      </c>
      <c r="F13062" s="58"/>
      <c r="G13062" s="126">
        <f t="shared" si="210"/>
        <v>-22090</v>
      </c>
      <c r="H13062" s="705" t="s">
        <v>8238</v>
      </c>
    </row>
    <row r="13063" spans="1:8" ht="15" customHeight="1" x14ac:dyDescent="0.2">
      <c r="A13063" s="734">
        <v>44819</v>
      </c>
      <c r="B13063" s="63" t="s">
        <v>8043</v>
      </c>
      <c r="C13063" s="635" t="s">
        <v>3145</v>
      </c>
      <c r="D13063" s="918" t="s">
        <v>7198</v>
      </c>
      <c r="E13063" s="735">
        <v>6000</v>
      </c>
      <c r="F13063" s="58"/>
      <c r="G13063" s="126">
        <f t="shared" si="210"/>
        <v>-6000</v>
      </c>
      <c r="H13063" s="705" t="s">
        <v>8238</v>
      </c>
    </row>
    <row r="13064" spans="1:8" ht="15" customHeight="1" x14ac:dyDescent="0.2">
      <c r="A13064" s="734">
        <v>44819</v>
      </c>
      <c r="B13064" s="63" t="s">
        <v>2933</v>
      </c>
      <c r="C13064" s="76" t="s">
        <v>757</v>
      </c>
      <c r="D13064" s="108" t="s">
        <v>5755</v>
      </c>
      <c r="E13064" s="58">
        <v>1750</v>
      </c>
      <c r="F13064" s="58"/>
      <c r="G13064" s="126">
        <f t="shared" si="210"/>
        <v>-1750</v>
      </c>
      <c r="H13064" s="705" t="s">
        <v>8238</v>
      </c>
    </row>
    <row r="13065" spans="1:8" ht="15" customHeight="1" x14ac:dyDescent="0.2">
      <c r="A13065" s="734">
        <v>44819</v>
      </c>
      <c r="B13065" s="63" t="s">
        <v>16</v>
      </c>
      <c r="C13065" s="76" t="s">
        <v>2503</v>
      </c>
      <c r="D13065" s="108" t="s">
        <v>8322</v>
      </c>
      <c r="E13065" s="58">
        <v>8000</v>
      </c>
      <c r="F13065" s="58"/>
      <c r="G13065" s="126">
        <f t="shared" si="210"/>
        <v>-8000</v>
      </c>
      <c r="H13065" s="705" t="s">
        <v>8238</v>
      </c>
    </row>
    <row r="13066" spans="1:8" ht="15" customHeight="1" x14ac:dyDescent="0.2">
      <c r="A13066" s="734">
        <v>44820</v>
      </c>
      <c r="B13066" s="63" t="s">
        <v>3946</v>
      </c>
      <c r="C13066" s="76" t="s">
        <v>8323</v>
      </c>
      <c r="D13066" s="108" t="s">
        <v>8324</v>
      </c>
      <c r="E13066" s="58">
        <v>10000</v>
      </c>
      <c r="F13066" s="58"/>
      <c r="G13066" s="126">
        <f t="shared" si="210"/>
        <v>-10000</v>
      </c>
      <c r="H13066" s="705" t="s">
        <v>8238</v>
      </c>
    </row>
    <row r="13067" spans="1:8" ht="15" x14ac:dyDescent="0.2">
      <c r="A13067" s="734">
        <v>44820</v>
      </c>
      <c r="B13067" s="63" t="s">
        <v>8077</v>
      </c>
      <c r="C13067" s="76" t="s">
        <v>392</v>
      </c>
      <c r="D13067" s="108" t="s">
        <v>7395</v>
      </c>
      <c r="E13067" s="58">
        <v>500</v>
      </c>
      <c r="F13067" s="58"/>
      <c r="G13067" s="126">
        <f t="shared" si="210"/>
        <v>-500</v>
      </c>
      <c r="H13067" s="705" t="s">
        <v>8238</v>
      </c>
    </row>
    <row r="13068" spans="1:8" ht="15" x14ac:dyDescent="0.2">
      <c r="A13068" s="734">
        <v>44820</v>
      </c>
      <c r="B13068" s="63" t="s">
        <v>7921</v>
      </c>
      <c r="C13068" s="635" t="s">
        <v>3145</v>
      </c>
      <c r="D13068" s="918" t="s">
        <v>7198</v>
      </c>
      <c r="E13068" s="735">
        <v>12140</v>
      </c>
      <c r="F13068" s="58"/>
      <c r="G13068" s="126">
        <f t="shared" si="210"/>
        <v>-12140</v>
      </c>
      <c r="H13068" s="705" t="s">
        <v>8238</v>
      </c>
    </row>
    <row r="13069" spans="1:8" ht="15" x14ac:dyDescent="0.2">
      <c r="A13069" s="734">
        <v>44820</v>
      </c>
      <c r="B13069" s="63" t="s">
        <v>8043</v>
      </c>
      <c r="C13069" s="635" t="s">
        <v>3145</v>
      </c>
      <c r="D13069" s="918" t="s">
        <v>7198</v>
      </c>
      <c r="E13069" s="735">
        <v>38860</v>
      </c>
      <c r="F13069" s="58"/>
      <c r="G13069" s="126">
        <f t="shared" si="210"/>
        <v>-38860</v>
      </c>
      <c r="H13069" s="705" t="s">
        <v>8238</v>
      </c>
    </row>
    <row r="13070" spans="1:8" ht="15" x14ac:dyDescent="0.2">
      <c r="A13070" s="734">
        <v>44820</v>
      </c>
      <c r="B13070" s="63" t="s">
        <v>6953</v>
      </c>
      <c r="C13070" s="76" t="s">
        <v>3145</v>
      </c>
      <c r="D13070" s="108" t="s">
        <v>7395</v>
      </c>
      <c r="E13070" s="58">
        <v>3850</v>
      </c>
      <c r="F13070" s="58"/>
      <c r="G13070" s="126">
        <f t="shared" si="210"/>
        <v>-3850</v>
      </c>
      <c r="H13070" s="705" t="s">
        <v>8238</v>
      </c>
    </row>
    <row r="13071" spans="1:8" ht="15" x14ac:dyDescent="0.2">
      <c r="A13071" s="734">
        <v>44820</v>
      </c>
      <c r="B13071" s="63" t="s">
        <v>7112</v>
      </c>
      <c r="C13071" s="550" t="s">
        <v>3145</v>
      </c>
      <c r="D13071" s="893" t="s">
        <v>7395</v>
      </c>
      <c r="E13071" s="583">
        <v>4963</v>
      </c>
      <c r="F13071" s="58"/>
      <c r="G13071" s="126">
        <f t="shared" si="210"/>
        <v>-4963</v>
      </c>
      <c r="H13071" s="705" t="s">
        <v>8238</v>
      </c>
    </row>
    <row r="13072" spans="1:8" ht="15" x14ac:dyDescent="0.2">
      <c r="A13072" s="734">
        <v>44820</v>
      </c>
      <c r="B13072" s="63" t="s">
        <v>7555</v>
      </c>
      <c r="C13072" s="550" t="s">
        <v>3145</v>
      </c>
      <c r="D13072" s="893" t="s">
        <v>7395</v>
      </c>
      <c r="E13072" s="583">
        <v>4963</v>
      </c>
      <c r="F13072" s="58"/>
      <c r="G13072" s="126">
        <f t="shared" si="210"/>
        <v>-4963</v>
      </c>
      <c r="H13072" s="705" t="s">
        <v>8238</v>
      </c>
    </row>
    <row r="13073" spans="1:8" ht="15" x14ac:dyDescent="0.2">
      <c r="A13073" s="734">
        <v>44820</v>
      </c>
      <c r="B13073" s="63" t="s">
        <v>6953</v>
      </c>
      <c r="C13073" s="550" t="s">
        <v>3145</v>
      </c>
      <c r="D13073" s="893" t="s">
        <v>7395</v>
      </c>
      <c r="E13073" s="583">
        <v>4963</v>
      </c>
      <c r="F13073" s="58"/>
      <c r="G13073" s="126">
        <f t="shared" si="210"/>
        <v>-4963</v>
      </c>
      <c r="H13073" s="705" t="s">
        <v>8238</v>
      </c>
    </row>
    <row r="13074" spans="1:8" ht="15" x14ac:dyDescent="0.2">
      <c r="A13074" s="734">
        <v>44820</v>
      </c>
      <c r="B13074" s="63" t="s">
        <v>8043</v>
      </c>
      <c r="C13074" s="76" t="s">
        <v>3145</v>
      </c>
      <c r="D13074" s="108" t="s">
        <v>8325</v>
      </c>
      <c r="E13074" s="58">
        <v>36000</v>
      </c>
      <c r="F13074" s="58"/>
      <c r="G13074" s="126">
        <f t="shared" si="210"/>
        <v>-36000</v>
      </c>
      <c r="H13074" s="705" t="s">
        <v>8238</v>
      </c>
    </row>
    <row r="13075" spans="1:8" ht="15" x14ac:dyDescent="0.2">
      <c r="A13075" s="734">
        <v>44820</v>
      </c>
      <c r="B13075" s="63" t="s">
        <v>8043</v>
      </c>
      <c r="C13075" s="76" t="s">
        <v>3145</v>
      </c>
      <c r="D13075" s="108" t="s">
        <v>8326</v>
      </c>
      <c r="E13075" s="58">
        <v>9590</v>
      </c>
      <c r="F13075" s="58"/>
      <c r="G13075" s="126">
        <f t="shared" si="210"/>
        <v>-9590</v>
      </c>
      <c r="H13075" s="705" t="s">
        <v>8238</v>
      </c>
    </row>
    <row r="13076" spans="1:8" ht="15" x14ac:dyDescent="0.2">
      <c r="A13076" s="734">
        <v>44820</v>
      </c>
      <c r="B13076" s="63" t="s">
        <v>8043</v>
      </c>
      <c r="C13076" s="76" t="s">
        <v>4876</v>
      </c>
      <c r="D13076" s="108" t="s">
        <v>8327</v>
      </c>
      <c r="E13076" s="58">
        <v>1500</v>
      </c>
      <c r="F13076" s="58"/>
      <c r="G13076" s="126">
        <f t="shared" si="210"/>
        <v>-1500</v>
      </c>
      <c r="H13076" s="705" t="s">
        <v>8238</v>
      </c>
    </row>
    <row r="13077" spans="1:8" ht="15" x14ac:dyDescent="0.2">
      <c r="A13077" s="734">
        <v>44820</v>
      </c>
      <c r="B13077" s="63" t="s">
        <v>8077</v>
      </c>
      <c r="C13077" s="76" t="s">
        <v>5741</v>
      </c>
      <c r="E13077" s="58">
        <v>600</v>
      </c>
      <c r="F13077" s="58"/>
      <c r="G13077" s="126">
        <f t="shared" si="210"/>
        <v>-600</v>
      </c>
      <c r="H13077" s="705" t="s">
        <v>8238</v>
      </c>
    </row>
    <row r="13078" spans="1:8" ht="15" x14ac:dyDescent="0.2">
      <c r="A13078" s="734">
        <v>44820</v>
      </c>
      <c r="B13078" s="63" t="s">
        <v>16</v>
      </c>
      <c r="C13078" s="76" t="s">
        <v>392</v>
      </c>
      <c r="D13078" s="108" t="s">
        <v>8328</v>
      </c>
      <c r="E13078" s="58">
        <v>600</v>
      </c>
      <c r="F13078" s="58"/>
      <c r="G13078" s="126">
        <f t="shared" si="210"/>
        <v>-600</v>
      </c>
      <c r="H13078" s="705" t="s">
        <v>8238</v>
      </c>
    </row>
    <row r="13079" spans="1:8" ht="15" x14ac:dyDescent="0.2">
      <c r="A13079" s="734">
        <v>44820</v>
      </c>
      <c r="B13079" s="63" t="s">
        <v>8043</v>
      </c>
      <c r="C13079" s="76" t="s">
        <v>286</v>
      </c>
      <c r="D13079" s="108" t="s">
        <v>7978</v>
      </c>
      <c r="E13079" s="58">
        <v>550</v>
      </c>
      <c r="F13079" s="58"/>
      <c r="G13079" s="126">
        <f t="shared" si="210"/>
        <v>-550</v>
      </c>
      <c r="H13079" s="705" t="s">
        <v>8238</v>
      </c>
    </row>
    <row r="13080" spans="1:8" ht="15" x14ac:dyDescent="0.2">
      <c r="A13080" s="734">
        <v>44821</v>
      </c>
      <c r="B13080" s="63" t="s">
        <v>16</v>
      </c>
      <c r="C13080" s="76" t="s">
        <v>392</v>
      </c>
      <c r="D13080" s="108" t="s">
        <v>8328</v>
      </c>
      <c r="E13080" s="58">
        <v>750</v>
      </c>
      <c r="F13080" s="58"/>
      <c r="G13080" s="126">
        <f t="shared" si="210"/>
        <v>-750</v>
      </c>
      <c r="H13080" s="705" t="s">
        <v>8238</v>
      </c>
    </row>
    <row r="13081" spans="1:8" ht="15" x14ac:dyDescent="0.2">
      <c r="A13081" s="734">
        <v>44823</v>
      </c>
      <c r="B13081" s="63" t="s">
        <v>8043</v>
      </c>
      <c r="C13081" s="76" t="s">
        <v>6967</v>
      </c>
      <c r="D13081" s="108" t="s">
        <v>8332</v>
      </c>
      <c r="E13081" s="58">
        <v>30000</v>
      </c>
      <c r="F13081" s="58"/>
      <c r="G13081" s="126">
        <f t="shared" si="210"/>
        <v>-30000</v>
      </c>
      <c r="H13081" s="705" t="s">
        <v>8238</v>
      </c>
    </row>
    <row r="13082" spans="1:8" ht="15" x14ac:dyDescent="0.2">
      <c r="A13082" s="734">
        <v>44823</v>
      </c>
      <c r="B13082" s="63" t="s">
        <v>8043</v>
      </c>
      <c r="C13082" s="76" t="s">
        <v>392</v>
      </c>
      <c r="D13082" s="108" t="s">
        <v>8333</v>
      </c>
      <c r="E13082" s="58">
        <v>1600</v>
      </c>
      <c r="F13082" s="58"/>
      <c r="G13082" s="126">
        <f t="shared" si="210"/>
        <v>-1600</v>
      </c>
      <c r="H13082" s="705" t="s">
        <v>8238</v>
      </c>
    </row>
    <row r="13083" spans="1:8" ht="15" x14ac:dyDescent="0.2">
      <c r="A13083" s="734">
        <v>44823</v>
      </c>
      <c r="B13083" s="63" t="s">
        <v>8043</v>
      </c>
      <c r="C13083" s="76" t="s">
        <v>286</v>
      </c>
      <c r="D13083" s="108" t="s">
        <v>8334</v>
      </c>
      <c r="E13083" s="58">
        <v>400</v>
      </c>
      <c r="F13083" s="58"/>
      <c r="G13083" s="126">
        <f t="shared" si="210"/>
        <v>-400</v>
      </c>
      <c r="H13083" s="705" t="s">
        <v>8238</v>
      </c>
    </row>
    <row r="13084" spans="1:8" ht="15" x14ac:dyDescent="0.2">
      <c r="A13084" s="734">
        <v>44823</v>
      </c>
      <c r="B13084" s="63" t="s">
        <v>7921</v>
      </c>
      <c r="C13084" s="76" t="s">
        <v>3145</v>
      </c>
      <c r="D13084" s="108" t="s">
        <v>8335</v>
      </c>
      <c r="E13084" s="58">
        <v>8000</v>
      </c>
      <c r="F13084" s="58"/>
      <c r="G13084" s="126">
        <f t="shared" si="210"/>
        <v>-8000</v>
      </c>
      <c r="H13084" s="705" t="s">
        <v>8238</v>
      </c>
    </row>
    <row r="13085" spans="1:8" ht="15" x14ac:dyDescent="0.2">
      <c r="A13085" s="734">
        <v>44824</v>
      </c>
      <c r="B13085" s="63" t="s">
        <v>8043</v>
      </c>
      <c r="C13085" s="76" t="s">
        <v>3145</v>
      </c>
      <c r="D13085" s="108" t="s">
        <v>8336</v>
      </c>
      <c r="E13085" s="58">
        <v>1500</v>
      </c>
      <c r="F13085" s="58"/>
      <c r="G13085" s="126">
        <f t="shared" si="210"/>
        <v>-1500</v>
      </c>
      <c r="H13085" s="705" t="s">
        <v>8238</v>
      </c>
    </row>
    <row r="13086" spans="1:8" ht="15" x14ac:dyDescent="0.2">
      <c r="A13086" s="734">
        <v>44824</v>
      </c>
      <c r="B13086" s="63" t="s">
        <v>8043</v>
      </c>
      <c r="C13086" s="76" t="s">
        <v>3145</v>
      </c>
      <c r="D13086" s="108" t="s">
        <v>8337</v>
      </c>
      <c r="E13086" s="58">
        <v>1500</v>
      </c>
      <c r="F13086" s="58"/>
      <c r="G13086" s="126">
        <f t="shared" si="210"/>
        <v>-1500</v>
      </c>
      <c r="H13086" s="705" t="s">
        <v>8238</v>
      </c>
    </row>
    <row r="13087" spans="1:8" ht="15" x14ac:dyDescent="0.2">
      <c r="A13087" s="734">
        <v>44824</v>
      </c>
      <c r="B13087" s="63" t="s">
        <v>7921</v>
      </c>
      <c r="C13087" s="76" t="s">
        <v>286</v>
      </c>
      <c r="D13087" s="108" t="s">
        <v>3991</v>
      </c>
      <c r="E13087" s="58">
        <v>500</v>
      </c>
      <c r="F13087" s="58"/>
      <c r="G13087" s="126">
        <f t="shared" si="210"/>
        <v>-500</v>
      </c>
      <c r="H13087" s="705" t="s">
        <v>8238</v>
      </c>
    </row>
    <row r="13088" spans="1:8" ht="15" x14ac:dyDescent="0.2">
      <c r="A13088" s="734">
        <v>44824</v>
      </c>
      <c r="B13088" s="63" t="s">
        <v>8077</v>
      </c>
      <c r="C13088" s="76" t="s">
        <v>3145</v>
      </c>
      <c r="D13088" s="108" t="s">
        <v>8338</v>
      </c>
      <c r="E13088" s="58">
        <v>850</v>
      </c>
      <c r="F13088" s="58"/>
      <c r="G13088" s="126">
        <f t="shared" si="210"/>
        <v>-850</v>
      </c>
      <c r="H13088" s="705" t="s">
        <v>8238</v>
      </c>
    </row>
    <row r="13089" spans="1:8" ht="15" x14ac:dyDescent="0.2">
      <c r="A13089" s="734">
        <v>44824</v>
      </c>
      <c r="B13089" s="63" t="s">
        <v>3946</v>
      </c>
      <c r="C13089" s="76" t="s">
        <v>286</v>
      </c>
      <c r="D13089" s="108" t="s">
        <v>8360</v>
      </c>
      <c r="E13089" s="58">
        <v>100</v>
      </c>
      <c r="F13089" s="58"/>
      <c r="G13089" s="126">
        <f t="shared" si="210"/>
        <v>-100</v>
      </c>
      <c r="H13089" s="705" t="s">
        <v>8238</v>
      </c>
    </row>
    <row r="13090" spans="1:8" ht="15" x14ac:dyDescent="0.2">
      <c r="A13090" s="734">
        <v>44825</v>
      </c>
      <c r="B13090" s="63" t="s">
        <v>8339</v>
      </c>
      <c r="C13090" s="76" t="s">
        <v>392</v>
      </c>
      <c r="D13090" s="108" t="s">
        <v>8340</v>
      </c>
      <c r="E13090" s="58">
        <v>1935</v>
      </c>
      <c r="F13090" s="58"/>
      <c r="G13090" s="126">
        <f t="shared" si="210"/>
        <v>-1935</v>
      </c>
      <c r="H13090" s="705" t="s">
        <v>8238</v>
      </c>
    </row>
    <row r="13091" spans="1:8" ht="15" x14ac:dyDescent="0.2">
      <c r="A13091" s="734">
        <v>44825</v>
      </c>
      <c r="B13091" s="63" t="s">
        <v>8339</v>
      </c>
      <c r="C13091" s="76" t="s">
        <v>392</v>
      </c>
      <c r="D13091" s="108" t="s">
        <v>8341</v>
      </c>
      <c r="E13091" s="58">
        <v>900</v>
      </c>
      <c r="F13091" s="58"/>
      <c r="G13091" s="126">
        <f t="shared" si="210"/>
        <v>-900</v>
      </c>
      <c r="H13091" s="705" t="s">
        <v>8238</v>
      </c>
    </row>
    <row r="13092" spans="1:8" ht="15" x14ac:dyDescent="0.2">
      <c r="A13092" s="734">
        <v>44825</v>
      </c>
      <c r="B13092" s="63" t="s">
        <v>16</v>
      </c>
      <c r="C13092" s="76" t="s">
        <v>3843</v>
      </c>
      <c r="D13092" s="108" t="s">
        <v>8361</v>
      </c>
      <c r="E13092" s="58">
        <v>470</v>
      </c>
      <c r="F13092" s="58"/>
      <c r="G13092" s="126">
        <f t="shared" si="210"/>
        <v>-470</v>
      </c>
      <c r="H13092" s="705" t="s">
        <v>8238</v>
      </c>
    </row>
    <row r="13093" spans="1:8" ht="15" x14ac:dyDescent="0.2">
      <c r="A13093" s="734">
        <v>44825</v>
      </c>
      <c r="B13093" s="63" t="s">
        <v>7921</v>
      </c>
      <c r="C13093" s="76" t="s">
        <v>3843</v>
      </c>
      <c r="D13093" s="108" t="s">
        <v>8517</v>
      </c>
      <c r="E13093" s="58">
        <v>800</v>
      </c>
      <c r="F13093" s="58"/>
      <c r="G13093" s="126">
        <f t="shared" si="210"/>
        <v>-800</v>
      </c>
      <c r="H13093" s="705" t="s">
        <v>8238</v>
      </c>
    </row>
    <row r="13094" spans="1:8" ht="15" x14ac:dyDescent="0.2">
      <c r="A13094" s="734">
        <v>44825</v>
      </c>
      <c r="B13094" s="63" t="s">
        <v>8043</v>
      </c>
      <c r="C13094" s="76" t="s">
        <v>286</v>
      </c>
      <c r="D13094" s="108" t="s">
        <v>3629</v>
      </c>
      <c r="E13094" s="58">
        <v>200</v>
      </c>
      <c r="F13094" s="58"/>
      <c r="G13094" s="126">
        <f t="shared" si="210"/>
        <v>-200</v>
      </c>
      <c r="H13094" s="705" t="s">
        <v>8238</v>
      </c>
    </row>
    <row r="13095" spans="1:8" ht="15" x14ac:dyDescent="0.2">
      <c r="A13095" s="734">
        <v>44825</v>
      </c>
      <c r="B13095" s="63" t="s">
        <v>8077</v>
      </c>
      <c r="C13095" s="76" t="s">
        <v>3145</v>
      </c>
      <c r="D13095" s="108" t="s">
        <v>8342</v>
      </c>
      <c r="E13095" s="58">
        <v>28570</v>
      </c>
      <c r="F13095" s="58"/>
      <c r="G13095" s="126">
        <f t="shared" si="210"/>
        <v>-28570</v>
      </c>
      <c r="H13095" s="705" t="s">
        <v>8238</v>
      </c>
    </row>
    <row r="13096" spans="1:8" ht="15" x14ac:dyDescent="0.2">
      <c r="A13096" s="734">
        <v>44825</v>
      </c>
      <c r="B13096" s="63" t="s">
        <v>8043</v>
      </c>
      <c r="C13096" s="76" t="s">
        <v>6784</v>
      </c>
      <c r="D13096" s="108" t="s">
        <v>2711</v>
      </c>
      <c r="E13096" s="58">
        <v>200000</v>
      </c>
      <c r="F13096" s="58"/>
      <c r="G13096" s="126">
        <f t="shared" si="210"/>
        <v>-200000</v>
      </c>
      <c r="H13096" s="705" t="s">
        <v>8238</v>
      </c>
    </row>
    <row r="13097" spans="1:8" ht="15" x14ac:dyDescent="0.2">
      <c r="A13097" s="734">
        <v>44825</v>
      </c>
      <c r="B13097" s="63" t="s">
        <v>7921</v>
      </c>
      <c r="C13097" s="671" t="s">
        <v>3145</v>
      </c>
      <c r="D13097" s="913" t="s">
        <v>6942</v>
      </c>
      <c r="E13097" s="585">
        <v>6875</v>
      </c>
      <c r="F13097" s="58"/>
      <c r="G13097" s="126">
        <f t="shared" si="210"/>
        <v>-6875</v>
      </c>
      <c r="H13097" s="705" t="s">
        <v>8238</v>
      </c>
    </row>
    <row r="13098" spans="1:8" ht="15" x14ac:dyDescent="0.2">
      <c r="A13098" s="734">
        <v>44825</v>
      </c>
      <c r="B13098" s="63" t="s">
        <v>8043</v>
      </c>
      <c r="C13098" s="671" t="s">
        <v>3145</v>
      </c>
      <c r="D13098" s="913" t="s">
        <v>6942</v>
      </c>
      <c r="E13098" s="585">
        <v>7000</v>
      </c>
      <c r="F13098" s="58"/>
      <c r="G13098" s="126">
        <f t="shared" si="210"/>
        <v>-7000</v>
      </c>
      <c r="H13098" s="705" t="s">
        <v>8238</v>
      </c>
    </row>
    <row r="13099" spans="1:8" ht="15" x14ac:dyDescent="0.2">
      <c r="A13099" s="734">
        <v>44825</v>
      </c>
      <c r="B13099" s="63" t="s">
        <v>4553</v>
      </c>
      <c r="C13099" s="76" t="s">
        <v>3145</v>
      </c>
      <c r="D13099" s="108" t="s">
        <v>8343</v>
      </c>
      <c r="E13099" s="58">
        <v>3000</v>
      </c>
      <c r="F13099" s="58"/>
      <c r="G13099" s="126">
        <f t="shared" si="210"/>
        <v>-3000</v>
      </c>
      <c r="H13099" s="705" t="s">
        <v>8238</v>
      </c>
    </row>
    <row r="13100" spans="1:8" ht="15" customHeight="1" x14ac:dyDescent="0.2">
      <c r="A13100" s="734">
        <v>44825</v>
      </c>
      <c r="B13100" s="63" t="s">
        <v>7921</v>
      </c>
      <c r="C13100" s="76" t="s">
        <v>3145</v>
      </c>
      <c r="D13100" s="108" t="s">
        <v>8346</v>
      </c>
      <c r="E13100" s="58">
        <v>21000</v>
      </c>
      <c r="F13100" s="58"/>
      <c r="G13100" s="126">
        <f t="shared" si="210"/>
        <v>-21000</v>
      </c>
      <c r="H13100" s="705" t="s">
        <v>8238</v>
      </c>
    </row>
    <row r="13101" spans="1:8" ht="15" x14ac:dyDescent="0.2">
      <c r="A13101" s="734">
        <v>44825</v>
      </c>
      <c r="B13101" s="63" t="s">
        <v>7921</v>
      </c>
      <c r="C13101" s="76" t="s">
        <v>705</v>
      </c>
      <c r="D13101" s="108" t="s">
        <v>8348</v>
      </c>
      <c r="E13101" s="58">
        <v>31500</v>
      </c>
      <c r="F13101" s="58"/>
      <c r="G13101" s="126">
        <f t="shared" si="210"/>
        <v>-31500</v>
      </c>
      <c r="H13101" s="705" t="s">
        <v>8238</v>
      </c>
    </row>
    <row r="13102" spans="1:8" ht="15" x14ac:dyDescent="0.2">
      <c r="A13102" s="734">
        <v>44825</v>
      </c>
      <c r="B13102" s="63" t="s">
        <v>7657</v>
      </c>
      <c r="C13102" s="76" t="s">
        <v>14</v>
      </c>
      <c r="D13102" s="108" t="s">
        <v>8349</v>
      </c>
      <c r="E13102" s="58">
        <v>15000</v>
      </c>
      <c r="F13102" s="58"/>
      <c r="G13102" s="126">
        <f t="shared" si="210"/>
        <v>-15000</v>
      </c>
      <c r="H13102" s="705" t="s">
        <v>8238</v>
      </c>
    </row>
    <row r="13103" spans="1:8" ht="15" x14ac:dyDescent="0.2">
      <c r="A13103" s="734">
        <v>44825</v>
      </c>
      <c r="B13103" s="63" t="s">
        <v>7921</v>
      </c>
      <c r="C13103" s="76" t="s">
        <v>5410</v>
      </c>
      <c r="D13103" s="108" t="s">
        <v>3787</v>
      </c>
      <c r="E13103" s="58">
        <v>5000</v>
      </c>
      <c r="F13103" s="58"/>
      <c r="G13103" s="126">
        <f t="shared" si="210"/>
        <v>-5000</v>
      </c>
      <c r="H13103" s="705" t="s">
        <v>8238</v>
      </c>
    </row>
    <row r="13104" spans="1:8" ht="15" x14ac:dyDescent="0.2">
      <c r="A13104" s="734">
        <v>44826</v>
      </c>
      <c r="B13104" s="63" t="s">
        <v>7921</v>
      </c>
      <c r="C13104" s="76" t="s">
        <v>8350</v>
      </c>
      <c r="D13104" s="108" t="s">
        <v>8351</v>
      </c>
      <c r="E13104" s="58">
        <v>18100</v>
      </c>
      <c r="F13104" s="58"/>
      <c r="G13104" s="126">
        <f t="shared" si="210"/>
        <v>-18100</v>
      </c>
      <c r="H13104" s="705" t="s">
        <v>8238</v>
      </c>
    </row>
    <row r="13105" spans="1:8" ht="15" x14ac:dyDescent="0.2">
      <c r="A13105" s="734">
        <v>44826</v>
      </c>
      <c r="B13105" s="63" t="s">
        <v>8077</v>
      </c>
      <c r="C13105" s="76" t="s">
        <v>5741</v>
      </c>
      <c r="D13105" s="108" t="s">
        <v>5741</v>
      </c>
      <c r="E13105" s="58">
        <v>500</v>
      </c>
      <c r="F13105" s="58"/>
      <c r="G13105" s="126">
        <f t="shared" si="210"/>
        <v>-500</v>
      </c>
      <c r="H13105" s="705" t="s">
        <v>8238</v>
      </c>
    </row>
    <row r="13106" spans="1:8" ht="15" x14ac:dyDescent="0.2">
      <c r="A13106" s="734">
        <v>44826</v>
      </c>
      <c r="B13106" s="63" t="s">
        <v>8077</v>
      </c>
      <c r="C13106" s="76" t="s">
        <v>7949</v>
      </c>
      <c r="D13106" s="108" t="s">
        <v>370</v>
      </c>
      <c r="E13106" s="58">
        <v>8000</v>
      </c>
      <c r="F13106" s="58"/>
      <c r="G13106" s="126">
        <f t="shared" si="210"/>
        <v>-8000</v>
      </c>
      <c r="H13106" s="705" t="s">
        <v>8238</v>
      </c>
    </row>
    <row r="13107" spans="1:8" ht="15" x14ac:dyDescent="0.2">
      <c r="A13107" s="734">
        <v>44826</v>
      </c>
      <c r="B13107" s="63" t="s">
        <v>25</v>
      </c>
      <c r="C13107" s="76" t="s">
        <v>4065</v>
      </c>
      <c r="D13107" s="108" t="s">
        <v>8362</v>
      </c>
      <c r="E13107" s="58">
        <v>700</v>
      </c>
      <c r="F13107" s="58"/>
      <c r="G13107" s="126">
        <f t="shared" si="210"/>
        <v>-700</v>
      </c>
      <c r="H13107" s="705" t="s">
        <v>8238</v>
      </c>
    </row>
    <row r="13108" spans="1:8" ht="15" x14ac:dyDescent="0.2">
      <c r="A13108" s="734">
        <v>44826</v>
      </c>
      <c r="B13108" s="63" t="s">
        <v>16</v>
      </c>
      <c r="C13108" s="76" t="s">
        <v>392</v>
      </c>
      <c r="D13108" s="108" t="s">
        <v>8352</v>
      </c>
      <c r="E13108" s="58">
        <v>1000</v>
      </c>
      <c r="F13108" s="58"/>
      <c r="G13108" s="126">
        <f t="shared" si="210"/>
        <v>-1000</v>
      </c>
      <c r="H13108" s="705" t="s">
        <v>8238</v>
      </c>
    </row>
    <row r="13109" spans="1:8" ht="15" x14ac:dyDescent="0.2">
      <c r="A13109" s="734">
        <v>44826</v>
      </c>
      <c r="B13109" s="63" t="s">
        <v>16</v>
      </c>
      <c r="C13109" s="76" t="s">
        <v>392</v>
      </c>
      <c r="D13109" s="108" t="s">
        <v>8363</v>
      </c>
      <c r="E13109" s="58">
        <v>350</v>
      </c>
      <c r="F13109" s="58"/>
      <c r="G13109" s="126">
        <f t="shared" si="210"/>
        <v>-350</v>
      </c>
      <c r="H13109" s="705" t="s">
        <v>8238</v>
      </c>
    </row>
    <row r="13110" spans="1:8" ht="15" x14ac:dyDescent="0.2">
      <c r="A13110" s="734">
        <v>44826</v>
      </c>
      <c r="B13110" s="63" t="s">
        <v>2933</v>
      </c>
      <c r="C13110" s="76" t="s">
        <v>392</v>
      </c>
      <c r="D13110" s="108" t="s">
        <v>8353</v>
      </c>
      <c r="E13110" s="58">
        <v>7836</v>
      </c>
      <c r="F13110" s="58"/>
      <c r="G13110" s="126">
        <f t="shared" si="210"/>
        <v>-7836</v>
      </c>
      <c r="H13110" s="705" t="s">
        <v>8238</v>
      </c>
    </row>
    <row r="13111" spans="1:8" ht="15" x14ac:dyDescent="0.2">
      <c r="A13111" s="734">
        <v>44827</v>
      </c>
      <c r="B13111" s="63" t="s">
        <v>8077</v>
      </c>
      <c r="C13111" s="76" t="s">
        <v>8182</v>
      </c>
      <c r="D13111" s="108" t="s">
        <v>8354</v>
      </c>
      <c r="E13111" s="58">
        <v>68000</v>
      </c>
      <c r="F13111" s="58"/>
      <c r="G13111" s="126">
        <f t="shared" si="210"/>
        <v>-68000</v>
      </c>
      <c r="H13111" s="705" t="s">
        <v>8238</v>
      </c>
    </row>
    <row r="13112" spans="1:8" ht="15" x14ac:dyDescent="0.2">
      <c r="A13112" s="734">
        <v>44827</v>
      </c>
      <c r="B13112" s="63" t="s">
        <v>7921</v>
      </c>
      <c r="C13112" s="76" t="s">
        <v>8255</v>
      </c>
      <c r="D13112" s="108" t="s">
        <v>8355</v>
      </c>
      <c r="E13112" s="58">
        <v>50000</v>
      </c>
      <c r="F13112" s="58"/>
      <c r="G13112" s="126">
        <f t="shared" si="210"/>
        <v>-50000</v>
      </c>
      <c r="H13112" s="705" t="s">
        <v>8238</v>
      </c>
    </row>
    <row r="13113" spans="1:8" ht="15" x14ac:dyDescent="0.2">
      <c r="A13113" s="734">
        <v>44828</v>
      </c>
      <c r="B13113" s="63" t="s">
        <v>3946</v>
      </c>
      <c r="C13113" s="76" t="s">
        <v>6476</v>
      </c>
      <c r="D13113" s="108" t="s">
        <v>8356</v>
      </c>
      <c r="E13113" s="58">
        <v>7000</v>
      </c>
      <c r="F13113" s="58"/>
      <c r="G13113" s="126">
        <f t="shared" si="210"/>
        <v>-7000</v>
      </c>
      <c r="H13113" s="705" t="s">
        <v>8238</v>
      </c>
    </row>
    <row r="13114" spans="1:8" ht="15" x14ac:dyDescent="0.2">
      <c r="A13114" s="734">
        <v>44828</v>
      </c>
      <c r="B13114" s="63" t="s">
        <v>3946</v>
      </c>
      <c r="C13114" s="76" t="s">
        <v>8323</v>
      </c>
      <c r="D13114" s="108" t="s">
        <v>8357</v>
      </c>
      <c r="E13114" s="58">
        <v>20000</v>
      </c>
      <c r="F13114" s="58"/>
      <c r="G13114" s="126">
        <f t="shared" si="210"/>
        <v>-20000</v>
      </c>
      <c r="H13114" s="705" t="s">
        <v>8238</v>
      </c>
    </row>
    <row r="13115" spans="1:8" ht="15" x14ac:dyDescent="0.2">
      <c r="A13115" s="734">
        <v>44828</v>
      </c>
      <c r="B13115" s="63" t="s">
        <v>3946</v>
      </c>
      <c r="C13115" s="76" t="s">
        <v>5741</v>
      </c>
      <c r="D13115" s="108" t="s">
        <v>798</v>
      </c>
      <c r="E13115" s="58">
        <v>350</v>
      </c>
      <c r="F13115" s="58"/>
      <c r="G13115" s="126">
        <f t="shared" si="210"/>
        <v>-350</v>
      </c>
      <c r="H13115" s="705" t="s">
        <v>8238</v>
      </c>
    </row>
    <row r="13116" spans="1:8" ht="15" x14ac:dyDescent="0.2">
      <c r="A13116" s="734">
        <v>44828</v>
      </c>
      <c r="B13116" s="63" t="s">
        <v>7112</v>
      </c>
      <c r="C13116" s="76" t="s">
        <v>5741</v>
      </c>
      <c r="D13116" s="108" t="s">
        <v>5743</v>
      </c>
      <c r="E13116" s="58">
        <v>1000</v>
      </c>
      <c r="F13116" s="58"/>
      <c r="G13116" s="126">
        <f t="shared" si="210"/>
        <v>-1000</v>
      </c>
      <c r="H13116" s="705" t="s">
        <v>8238</v>
      </c>
    </row>
    <row r="13117" spans="1:8" ht="15" x14ac:dyDescent="0.2">
      <c r="A13117" s="734">
        <v>44828</v>
      </c>
      <c r="B13117" s="63" t="s">
        <v>2933</v>
      </c>
      <c r="C13117" s="76" t="s">
        <v>3145</v>
      </c>
      <c r="D13117" s="108" t="s">
        <v>8359</v>
      </c>
      <c r="E13117" s="58">
        <v>3000</v>
      </c>
      <c r="F13117" s="58"/>
      <c r="G13117" s="126">
        <f t="shared" si="210"/>
        <v>-3000</v>
      </c>
      <c r="H13117" s="705" t="s">
        <v>8238</v>
      </c>
    </row>
    <row r="13118" spans="1:8" ht="15" x14ac:dyDescent="0.2">
      <c r="A13118" s="734">
        <v>44830</v>
      </c>
      <c r="B13118" s="63" t="s">
        <v>8043</v>
      </c>
      <c r="C13118" s="76" t="s">
        <v>286</v>
      </c>
      <c r="D13118" s="108" t="s">
        <v>8334</v>
      </c>
      <c r="E13118" s="58">
        <v>1130</v>
      </c>
      <c r="F13118" s="58"/>
      <c r="G13118" s="126">
        <f t="shared" si="210"/>
        <v>-1130</v>
      </c>
      <c r="H13118" s="705" t="s">
        <v>8238</v>
      </c>
    </row>
    <row r="13119" spans="1:8" ht="15" x14ac:dyDescent="0.2">
      <c r="A13119" s="734">
        <v>44830</v>
      </c>
      <c r="B13119" s="63" t="s">
        <v>16</v>
      </c>
      <c r="C13119" s="76" t="s">
        <v>392</v>
      </c>
      <c r="D13119" s="108" t="s">
        <v>8372</v>
      </c>
      <c r="E13119" s="58">
        <v>335</v>
      </c>
      <c r="F13119" s="58"/>
      <c r="G13119" s="126">
        <f t="shared" si="210"/>
        <v>-335</v>
      </c>
      <c r="H13119" s="705" t="s">
        <v>8238</v>
      </c>
    </row>
    <row r="13120" spans="1:8" ht="15" x14ac:dyDescent="0.2">
      <c r="A13120" s="734">
        <v>44830</v>
      </c>
      <c r="B13120" s="63" t="s">
        <v>25</v>
      </c>
      <c r="C13120" s="76" t="s">
        <v>8150</v>
      </c>
      <c r="D13120" s="108" t="s">
        <v>7175</v>
      </c>
      <c r="E13120" s="58">
        <v>55684</v>
      </c>
      <c r="F13120" s="58"/>
      <c r="G13120" s="126">
        <f t="shared" si="210"/>
        <v>-55684</v>
      </c>
      <c r="H13120" s="705" t="s">
        <v>8238</v>
      </c>
    </row>
    <row r="13121" spans="1:8" ht="15" x14ac:dyDescent="0.2">
      <c r="A13121" s="734">
        <v>44830</v>
      </c>
      <c r="B13121" s="63" t="s">
        <v>16</v>
      </c>
      <c r="C13121" s="76" t="s">
        <v>8150</v>
      </c>
      <c r="D13121" s="108" t="s">
        <v>8373</v>
      </c>
      <c r="E13121" s="58">
        <v>25152</v>
      </c>
      <c r="F13121" s="58"/>
      <c r="G13121" s="126">
        <f t="shared" si="210"/>
        <v>-25152</v>
      </c>
      <c r="H13121" s="705" t="s">
        <v>8238</v>
      </c>
    </row>
    <row r="13122" spans="1:8" ht="15" x14ac:dyDescent="0.2">
      <c r="A13122" s="734">
        <v>44830</v>
      </c>
      <c r="B13122" s="63" t="s">
        <v>16</v>
      </c>
      <c r="C13122" s="76" t="s">
        <v>8150</v>
      </c>
      <c r="D13122" s="108" t="s">
        <v>8373</v>
      </c>
      <c r="E13122" s="58">
        <v>2933</v>
      </c>
      <c r="F13122" s="58"/>
      <c r="G13122" s="126">
        <f t="shared" si="210"/>
        <v>-2933</v>
      </c>
      <c r="H13122" s="705" t="s">
        <v>8238</v>
      </c>
    </row>
    <row r="13123" spans="1:8" ht="15" x14ac:dyDescent="0.2">
      <c r="A13123" s="734">
        <v>44830</v>
      </c>
      <c r="B13123" s="63" t="s">
        <v>16</v>
      </c>
      <c r="C13123" s="76" t="s">
        <v>392</v>
      </c>
      <c r="D13123" s="108" t="s">
        <v>8435</v>
      </c>
      <c r="E13123" s="58">
        <v>500</v>
      </c>
      <c r="F13123" s="58"/>
      <c r="G13123" s="126">
        <f t="shared" si="210"/>
        <v>-500</v>
      </c>
      <c r="H13123" s="705" t="s">
        <v>8238</v>
      </c>
    </row>
    <row r="13124" spans="1:8" ht="15" x14ac:dyDescent="0.2">
      <c r="A13124" s="734">
        <v>44831</v>
      </c>
      <c r="B13124" s="63" t="s">
        <v>8339</v>
      </c>
      <c r="C13124" s="76" t="s">
        <v>392</v>
      </c>
      <c r="D13124" s="108" t="s">
        <v>8436</v>
      </c>
      <c r="E13124" s="58">
        <v>960</v>
      </c>
      <c r="F13124" s="58"/>
      <c r="G13124" s="126">
        <f t="shared" si="210"/>
        <v>-960</v>
      </c>
      <c r="H13124" s="705" t="s">
        <v>8238</v>
      </c>
    </row>
    <row r="13125" spans="1:8" ht="15" x14ac:dyDescent="0.2">
      <c r="A13125" s="734">
        <v>44831</v>
      </c>
      <c r="B13125" s="63" t="s">
        <v>16</v>
      </c>
      <c r="C13125" s="76" t="s">
        <v>286</v>
      </c>
      <c r="D13125" s="108" t="s">
        <v>3346</v>
      </c>
      <c r="E13125" s="58">
        <v>500</v>
      </c>
      <c r="F13125" s="58"/>
      <c r="G13125" s="126">
        <f t="shared" ref="G13125:G13188" si="211">F13125-E13125</f>
        <v>-500</v>
      </c>
      <c r="H13125" s="705" t="s">
        <v>8238</v>
      </c>
    </row>
    <row r="13126" spans="1:8" ht="15" x14ac:dyDescent="0.2">
      <c r="A13126" s="734">
        <v>44831</v>
      </c>
      <c r="B13126" s="63" t="s">
        <v>7921</v>
      </c>
      <c r="C13126" s="76" t="s">
        <v>8037</v>
      </c>
      <c r="D13126" s="903" t="s">
        <v>8374</v>
      </c>
      <c r="E13126" s="58">
        <v>150000</v>
      </c>
      <c r="F13126" s="58"/>
      <c r="G13126" s="126">
        <f t="shared" si="211"/>
        <v>-150000</v>
      </c>
      <c r="H13126" s="705" t="s">
        <v>8238</v>
      </c>
    </row>
    <row r="13127" spans="1:8" ht="15" x14ac:dyDescent="0.2">
      <c r="A13127" s="734">
        <v>44832</v>
      </c>
      <c r="B13127" s="63" t="s">
        <v>3946</v>
      </c>
      <c r="C13127" s="76" t="s">
        <v>6476</v>
      </c>
      <c r="D13127" s="791" t="s">
        <v>8375</v>
      </c>
      <c r="E13127" s="58">
        <v>23000</v>
      </c>
      <c r="F13127" s="58"/>
      <c r="G13127" s="126">
        <f t="shared" si="211"/>
        <v>-23000</v>
      </c>
      <c r="H13127" s="705" t="s">
        <v>8238</v>
      </c>
    </row>
    <row r="13128" spans="1:8" ht="15" x14ac:dyDescent="0.2">
      <c r="A13128" s="734">
        <v>44832</v>
      </c>
      <c r="B13128" s="63" t="s">
        <v>8043</v>
      </c>
      <c r="C13128" s="76" t="s">
        <v>4876</v>
      </c>
      <c r="D13128" s="791" t="s">
        <v>8376</v>
      </c>
      <c r="E13128" s="58">
        <v>4500</v>
      </c>
      <c r="F13128" s="58"/>
      <c r="G13128" s="126">
        <f t="shared" si="211"/>
        <v>-4500</v>
      </c>
      <c r="H13128" s="705" t="s">
        <v>8238</v>
      </c>
    </row>
    <row r="13129" spans="1:8" ht="15" x14ac:dyDescent="0.2">
      <c r="A13129" s="734">
        <v>44832</v>
      </c>
      <c r="B13129" s="63" t="s">
        <v>8043</v>
      </c>
      <c r="C13129" s="76" t="s">
        <v>8377</v>
      </c>
      <c r="D13129" s="791" t="s">
        <v>8378</v>
      </c>
      <c r="E13129" s="58">
        <v>10000</v>
      </c>
      <c r="F13129" s="58"/>
      <c r="G13129" s="126">
        <f t="shared" si="211"/>
        <v>-10000</v>
      </c>
      <c r="H13129" s="705" t="s">
        <v>8238</v>
      </c>
    </row>
    <row r="13130" spans="1:8" ht="15" x14ac:dyDescent="0.2">
      <c r="A13130" s="734">
        <v>44832</v>
      </c>
      <c r="B13130" s="63" t="s">
        <v>3946</v>
      </c>
      <c r="C13130" s="76" t="s">
        <v>3145</v>
      </c>
      <c r="D13130" s="903" t="s">
        <v>8379</v>
      </c>
      <c r="E13130" s="58">
        <v>70000</v>
      </c>
      <c r="F13130" s="58"/>
      <c r="G13130" s="126">
        <f t="shared" si="211"/>
        <v>-70000</v>
      </c>
      <c r="H13130" s="705" t="s">
        <v>8238</v>
      </c>
    </row>
    <row r="13131" spans="1:8" ht="15" x14ac:dyDescent="0.2">
      <c r="A13131" s="734">
        <v>44832</v>
      </c>
      <c r="B13131" s="63" t="s">
        <v>3946</v>
      </c>
      <c r="C13131" s="76" t="s">
        <v>286</v>
      </c>
      <c r="D13131" s="791" t="s">
        <v>8380</v>
      </c>
      <c r="E13131" s="58">
        <v>1500</v>
      </c>
      <c r="F13131" s="58"/>
      <c r="G13131" s="126">
        <f t="shared" si="211"/>
        <v>-1500</v>
      </c>
      <c r="H13131" s="705" t="s">
        <v>8238</v>
      </c>
    </row>
    <row r="13132" spans="1:8" ht="15" x14ac:dyDescent="0.2">
      <c r="A13132" s="734">
        <v>44832</v>
      </c>
      <c r="B13132" s="63" t="s">
        <v>16</v>
      </c>
      <c r="C13132" s="76" t="s">
        <v>3843</v>
      </c>
      <c r="D13132" s="791" t="s">
        <v>8518</v>
      </c>
      <c r="E13132" s="58">
        <v>960</v>
      </c>
      <c r="F13132" s="58"/>
      <c r="G13132" s="126">
        <f t="shared" si="211"/>
        <v>-960</v>
      </c>
      <c r="H13132" s="705" t="s">
        <v>8238</v>
      </c>
    </row>
    <row r="13133" spans="1:8" ht="15" x14ac:dyDescent="0.2">
      <c r="A13133" s="734">
        <v>44832</v>
      </c>
      <c r="B13133" s="63" t="s">
        <v>7921</v>
      </c>
      <c r="C13133" s="76" t="s">
        <v>392</v>
      </c>
      <c r="D13133" s="791" t="s">
        <v>8517</v>
      </c>
      <c r="E13133" s="58">
        <v>1000</v>
      </c>
      <c r="F13133" s="58"/>
      <c r="G13133" s="126">
        <f t="shared" si="211"/>
        <v>-1000</v>
      </c>
      <c r="H13133" s="705" t="s">
        <v>8238</v>
      </c>
    </row>
    <row r="13134" spans="1:8" ht="15" x14ac:dyDescent="0.2">
      <c r="A13134" s="734">
        <v>44832</v>
      </c>
      <c r="B13134" s="63" t="s">
        <v>16</v>
      </c>
      <c r="C13134" s="76" t="s">
        <v>2996</v>
      </c>
      <c r="D13134" s="791"/>
      <c r="E13134" s="58">
        <v>7300</v>
      </c>
      <c r="F13134" s="58"/>
      <c r="G13134" s="126">
        <f t="shared" si="211"/>
        <v>-7300</v>
      </c>
      <c r="H13134" s="705" t="s">
        <v>8238</v>
      </c>
    </row>
    <row r="13135" spans="1:8" ht="15" x14ac:dyDescent="0.2">
      <c r="A13135" s="734">
        <v>44832</v>
      </c>
      <c r="B13135" s="63" t="s">
        <v>1400</v>
      </c>
      <c r="C13135" s="76" t="s">
        <v>790</v>
      </c>
      <c r="D13135" s="791"/>
      <c r="E13135" s="58">
        <v>3570</v>
      </c>
      <c r="F13135" s="58"/>
      <c r="G13135" s="126">
        <f t="shared" si="211"/>
        <v>-3570</v>
      </c>
      <c r="H13135" s="705" t="s">
        <v>8238</v>
      </c>
    </row>
    <row r="13136" spans="1:8" ht="15" x14ac:dyDescent="0.2">
      <c r="A13136" s="734">
        <v>44832</v>
      </c>
      <c r="B13136" s="63" t="s">
        <v>8339</v>
      </c>
      <c r="C13136" s="76" t="s">
        <v>790</v>
      </c>
      <c r="D13136" s="791"/>
      <c r="E13136" s="58">
        <v>1840</v>
      </c>
      <c r="F13136" s="58"/>
      <c r="G13136" s="126">
        <f t="shared" si="211"/>
        <v>-1840</v>
      </c>
      <c r="H13136" s="705" t="s">
        <v>8238</v>
      </c>
    </row>
    <row r="13137" spans="1:8" ht="15" x14ac:dyDescent="0.2">
      <c r="A13137" s="734">
        <v>44832</v>
      </c>
      <c r="B13137" s="63" t="s">
        <v>1400</v>
      </c>
      <c r="C13137" s="76" t="s">
        <v>790</v>
      </c>
      <c r="D13137" s="791"/>
      <c r="E13137" s="58">
        <v>90</v>
      </c>
      <c r="F13137" s="58"/>
      <c r="G13137" s="126">
        <f t="shared" si="211"/>
        <v>-90</v>
      </c>
      <c r="H13137" s="705" t="s">
        <v>8238</v>
      </c>
    </row>
    <row r="13138" spans="1:8" ht="15" customHeight="1" x14ac:dyDescent="0.2">
      <c r="A13138" s="734">
        <v>44832</v>
      </c>
      <c r="B13138" s="63" t="s">
        <v>8043</v>
      </c>
      <c r="C13138" s="76" t="s">
        <v>3145</v>
      </c>
      <c r="D13138" s="791" t="s">
        <v>8381</v>
      </c>
      <c r="E13138" s="58">
        <v>460</v>
      </c>
      <c r="F13138" s="58"/>
      <c r="G13138" s="126">
        <f t="shared" si="211"/>
        <v>-460</v>
      </c>
      <c r="H13138" s="705" t="s">
        <v>8238</v>
      </c>
    </row>
    <row r="13139" spans="1:8" ht="15" customHeight="1" x14ac:dyDescent="0.2">
      <c r="A13139" s="734">
        <v>44832</v>
      </c>
      <c r="B13139" s="63" t="s">
        <v>16</v>
      </c>
      <c r="C13139" s="76" t="s">
        <v>392</v>
      </c>
      <c r="D13139" s="791" t="s">
        <v>6825</v>
      </c>
      <c r="E13139" s="58">
        <v>140</v>
      </c>
      <c r="F13139" s="58"/>
      <c r="G13139" s="126">
        <f t="shared" si="211"/>
        <v>-140</v>
      </c>
      <c r="H13139" s="705" t="s">
        <v>8238</v>
      </c>
    </row>
    <row r="13140" spans="1:8" ht="15" customHeight="1" x14ac:dyDescent="0.2">
      <c r="A13140" s="734">
        <v>44832</v>
      </c>
      <c r="B13140" s="63" t="s">
        <v>7921</v>
      </c>
      <c r="C13140" s="76" t="s">
        <v>3145</v>
      </c>
      <c r="D13140" s="791" t="s">
        <v>8382</v>
      </c>
      <c r="E13140" s="58">
        <v>3950</v>
      </c>
      <c r="F13140" s="58"/>
      <c r="G13140" s="126">
        <f t="shared" si="211"/>
        <v>-3950</v>
      </c>
      <c r="H13140" s="705" t="s">
        <v>8238</v>
      </c>
    </row>
    <row r="13141" spans="1:8" ht="15" customHeight="1" x14ac:dyDescent="0.2">
      <c r="A13141" s="734">
        <v>44832</v>
      </c>
      <c r="B13141" s="63" t="s">
        <v>8043</v>
      </c>
      <c r="C13141" s="76" t="s">
        <v>3145</v>
      </c>
      <c r="D13141" s="791" t="s">
        <v>8406</v>
      </c>
      <c r="E13141" s="58">
        <v>9550</v>
      </c>
      <c r="F13141" s="58"/>
      <c r="G13141" s="126">
        <f t="shared" si="211"/>
        <v>-9550</v>
      </c>
      <c r="H13141" s="705" t="s">
        <v>8238</v>
      </c>
    </row>
    <row r="13142" spans="1:8" ht="15" customHeight="1" x14ac:dyDescent="0.2">
      <c r="A13142" s="734">
        <v>44832</v>
      </c>
      <c r="B13142" s="63" t="s">
        <v>8043</v>
      </c>
      <c r="C13142" s="76" t="s">
        <v>392</v>
      </c>
      <c r="D13142" s="791" t="s">
        <v>8407</v>
      </c>
      <c r="E13142" s="58">
        <v>7500</v>
      </c>
      <c r="F13142" s="58"/>
      <c r="G13142" s="126">
        <f t="shared" si="211"/>
        <v>-7500</v>
      </c>
      <c r="H13142" s="705" t="s">
        <v>8238</v>
      </c>
    </row>
    <row r="13143" spans="1:8" ht="15" customHeight="1" x14ac:dyDescent="0.2">
      <c r="A13143" s="734">
        <v>44832</v>
      </c>
      <c r="B13143" s="63" t="s">
        <v>8043</v>
      </c>
      <c r="C13143" s="76" t="s">
        <v>286</v>
      </c>
      <c r="D13143" s="791" t="s">
        <v>8437</v>
      </c>
      <c r="E13143" s="58">
        <v>540</v>
      </c>
      <c r="F13143" s="58"/>
      <c r="G13143" s="126">
        <f t="shared" si="211"/>
        <v>-540</v>
      </c>
      <c r="H13143" s="705" t="s">
        <v>8238</v>
      </c>
    </row>
    <row r="13144" spans="1:8" ht="15" customHeight="1" x14ac:dyDescent="0.2">
      <c r="A13144" s="734">
        <v>44832</v>
      </c>
      <c r="B13144" s="63" t="s">
        <v>7112</v>
      </c>
      <c r="C13144" s="76" t="s">
        <v>286</v>
      </c>
      <c r="D13144" s="791" t="s">
        <v>8438</v>
      </c>
      <c r="E13144" s="58">
        <v>320</v>
      </c>
      <c r="F13144" s="58"/>
      <c r="G13144" s="126">
        <f t="shared" si="211"/>
        <v>-320</v>
      </c>
      <c r="H13144" s="705" t="s">
        <v>8238</v>
      </c>
    </row>
    <row r="13145" spans="1:8" ht="15" customHeight="1" x14ac:dyDescent="0.2">
      <c r="A13145" s="734">
        <v>44833</v>
      </c>
      <c r="B13145" s="63" t="s">
        <v>8043</v>
      </c>
      <c r="C13145" s="76" t="s">
        <v>286</v>
      </c>
      <c r="D13145" s="791" t="s">
        <v>8439</v>
      </c>
      <c r="E13145" s="58">
        <v>400</v>
      </c>
      <c r="F13145" s="58"/>
      <c r="G13145" s="126">
        <f t="shared" si="211"/>
        <v>-400</v>
      </c>
      <c r="H13145" s="705" t="s">
        <v>8238</v>
      </c>
    </row>
    <row r="13146" spans="1:8" ht="15" customHeight="1" x14ac:dyDescent="0.2">
      <c r="A13146" s="734">
        <v>44833</v>
      </c>
      <c r="B13146" s="63" t="s">
        <v>16</v>
      </c>
      <c r="C13146" s="76" t="s">
        <v>392</v>
      </c>
      <c r="D13146" s="791" t="s">
        <v>8158</v>
      </c>
      <c r="E13146" s="58">
        <v>100</v>
      </c>
      <c r="F13146" s="58"/>
      <c r="G13146" s="126">
        <f t="shared" si="211"/>
        <v>-100</v>
      </c>
      <c r="H13146" s="705" t="s">
        <v>8238</v>
      </c>
    </row>
    <row r="13147" spans="1:8" ht="15" customHeight="1" x14ac:dyDescent="0.2">
      <c r="A13147" s="734">
        <v>44833</v>
      </c>
      <c r="B13147" s="63" t="s">
        <v>1400</v>
      </c>
      <c r="C13147" s="76" t="s">
        <v>392</v>
      </c>
      <c r="D13147" s="791" t="s">
        <v>8440</v>
      </c>
      <c r="E13147" s="58">
        <v>750</v>
      </c>
      <c r="F13147" s="58"/>
      <c r="G13147" s="126">
        <f t="shared" si="211"/>
        <v>-750</v>
      </c>
      <c r="H13147" s="705" t="s">
        <v>8238</v>
      </c>
    </row>
    <row r="13148" spans="1:8" ht="15" customHeight="1" x14ac:dyDescent="0.2">
      <c r="A13148" s="734">
        <v>44833</v>
      </c>
      <c r="B13148" s="63" t="s">
        <v>5811</v>
      </c>
      <c r="C13148" s="76" t="s">
        <v>2503</v>
      </c>
      <c r="D13148" s="791" t="s">
        <v>8408</v>
      </c>
      <c r="E13148" s="58">
        <v>16000</v>
      </c>
      <c r="F13148" s="58"/>
      <c r="G13148" s="126">
        <f t="shared" si="211"/>
        <v>-16000</v>
      </c>
      <c r="H13148" s="705" t="s">
        <v>8238</v>
      </c>
    </row>
    <row r="13149" spans="1:8" ht="15" customHeight="1" x14ac:dyDescent="0.2">
      <c r="A13149" s="734">
        <v>44833</v>
      </c>
      <c r="B13149" s="63" t="s">
        <v>25</v>
      </c>
      <c r="C13149" s="76" t="s">
        <v>1005</v>
      </c>
      <c r="D13149" s="791"/>
      <c r="E13149" s="58">
        <v>800</v>
      </c>
      <c r="F13149" s="58"/>
      <c r="G13149" s="126">
        <f t="shared" si="211"/>
        <v>-800</v>
      </c>
      <c r="H13149" s="705" t="s">
        <v>8238</v>
      </c>
    </row>
    <row r="13150" spans="1:8" ht="15" customHeight="1" x14ac:dyDescent="0.2">
      <c r="A13150" s="734">
        <v>44834</v>
      </c>
      <c r="B13150" s="63" t="s">
        <v>7921</v>
      </c>
      <c r="C13150" s="76" t="s">
        <v>2503</v>
      </c>
      <c r="D13150" s="791" t="s">
        <v>7097</v>
      </c>
      <c r="E13150" s="58">
        <v>25000</v>
      </c>
      <c r="F13150" s="58"/>
      <c r="G13150" s="126">
        <f t="shared" si="211"/>
        <v>-25000</v>
      </c>
      <c r="H13150" s="705" t="s">
        <v>8238</v>
      </c>
    </row>
    <row r="13151" spans="1:8" ht="15" customHeight="1" x14ac:dyDescent="0.2">
      <c r="A13151" s="734">
        <v>44834</v>
      </c>
      <c r="B13151" s="63" t="s">
        <v>6505</v>
      </c>
      <c r="C13151" s="76" t="s">
        <v>2503</v>
      </c>
      <c r="D13151" s="791" t="s">
        <v>7097</v>
      </c>
      <c r="E13151" s="58">
        <v>25000</v>
      </c>
      <c r="F13151" s="58"/>
      <c r="G13151" s="126">
        <f t="shared" si="211"/>
        <v>-25000</v>
      </c>
      <c r="H13151" s="705" t="s">
        <v>8238</v>
      </c>
    </row>
    <row r="13152" spans="1:8" ht="15" customHeight="1" x14ac:dyDescent="0.2">
      <c r="A13152" s="734">
        <v>44834</v>
      </c>
      <c r="B13152" s="63" t="s">
        <v>8043</v>
      </c>
      <c r="C13152" s="76" t="s">
        <v>2503</v>
      </c>
      <c r="D13152" s="791" t="s">
        <v>141</v>
      </c>
      <c r="E13152" s="58">
        <v>25000</v>
      </c>
      <c r="F13152" s="58"/>
      <c r="G13152" s="126">
        <f t="shared" si="211"/>
        <v>-25000</v>
      </c>
      <c r="H13152" s="705" t="s">
        <v>8238</v>
      </c>
    </row>
    <row r="13153" spans="1:8" ht="15" customHeight="1" x14ac:dyDescent="0.2">
      <c r="A13153" s="734">
        <v>44834</v>
      </c>
      <c r="B13153" s="63" t="s">
        <v>2933</v>
      </c>
      <c r="C13153" s="76" t="s">
        <v>2503</v>
      </c>
      <c r="D13153" s="791" t="s">
        <v>141</v>
      </c>
      <c r="E13153" s="58">
        <v>25000</v>
      </c>
      <c r="F13153" s="58"/>
      <c r="G13153" s="126">
        <f t="shared" si="211"/>
        <v>-25000</v>
      </c>
      <c r="H13153" s="705" t="s">
        <v>8238</v>
      </c>
    </row>
    <row r="13154" spans="1:8" ht="15" customHeight="1" x14ac:dyDescent="0.2">
      <c r="A13154" s="734">
        <v>44834</v>
      </c>
      <c r="B13154" s="63" t="s">
        <v>25</v>
      </c>
      <c r="C13154" s="76" t="s">
        <v>2503</v>
      </c>
      <c r="D13154" s="791" t="s">
        <v>8036</v>
      </c>
      <c r="E13154" s="58">
        <v>70000</v>
      </c>
      <c r="F13154" s="58"/>
      <c r="G13154" s="126">
        <f t="shared" si="211"/>
        <v>-70000</v>
      </c>
      <c r="H13154" s="705" t="s">
        <v>8238</v>
      </c>
    </row>
    <row r="13155" spans="1:8" ht="15" customHeight="1" x14ac:dyDescent="0.2">
      <c r="A13155" s="734">
        <v>44834</v>
      </c>
      <c r="B13155" s="63" t="s">
        <v>16</v>
      </c>
      <c r="C13155" s="76" t="s">
        <v>2503</v>
      </c>
      <c r="D13155" s="791" t="s">
        <v>7218</v>
      </c>
      <c r="E13155" s="58">
        <v>113466.66666666667</v>
      </c>
      <c r="F13155" s="58"/>
      <c r="G13155" s="126">
        <f t="shared" si="211"/>
        <v>-113466.66666666667</v>
      </c>
      <c r="H13155" s="705" t="s">
        <v>8238</v>
      </c>
    </row>
    <row r="13156" spans="1:8" ht="15" customHeight="1" x14ac:dyDescent="0.2">
      <c r="A13156" s="734">
        <v>44834</v>
      </c>
      <c r="B13156" s="63" t="s">
        <v>3945</v>
      </c>
      <c r="C13156" s="76" t="s">
        <v>2503</v>
      </c>
      <c r="D13156" s="791" t="s">
        <v>8425</v>
      </c>
      <c r="E13156" s="58">
        <v>96523.333333333343</v>
      </c>
      <c r="F13156" s="58"/>
      <c r="G13156" s="126">
        <f t="shared" si="211"/>
        <v>-96523.333333333343</v>
      </c>
      <c r="H13156" s="705" t="s">
        <v>8238</v>
      </c>
    </row>
    <row r="13157" spans="1:8" ht="15" customHeight="1" x14ac:dyDescent="0.2">
      <c r="A13157" s="734">
        <v>44834</v>
      </c>
      <c r="B13157" s="63" t="s">
        <v>3946</v>
      </c>
      <c r="C13157" s="76" t="s">
        <v>2503</v>
      </c>
      <c r="D13157" s="791" t="s">
        <v>8426</v>
      </c>
      <c r="E13157" s="58">
        <v>117812.5</v>
      </c>
      <c r="F13157" s="58"/>
      <c r="G13157" s="126">
        <f t="shared" si="211"/>
        <v>-117812.5</v>
      </c>
      <c r="H13157" s="705" t="s">
        <v>8238</v>
      </c>
    </row>
    <row r="13158" spans="1:8" ht="15" customHeight="1" x14ac:dyDescent="0.2">
      <c r="A13158" s="734">
        <v>44834</v>
      </c>
      <c r="B13158" s="63" t="s">
        <v>6505</v>
      </c>
      <c r="C13158" s="76" t="s">
        <v>2503</v>
      </c>
      <c r="D13158" s="791" t="s">
        <v>8427</v>
      </c>
      <c r="E13158" s="58">
        <v>202713</v>
      </c>
      <c r="F13158" s="58"/>
      <c r="G13158" s="126">
        <f t="shared" si="211"/>
        <v>-202713</v>
      </c>
      <c r="H13158" s="705" t="s">
        <v>8238</v>
      </c>
    </row>
    <row r="13159" spans="1:8" ht="15" customHeight="1" x14ac:dyDescent="0.2">
      <c r="A13159" s="734">
        <v>44834</v>
      </c>
      <c r="B13159" s="63" t="s">
        <v>1400</v>
      </c>
      <c r="C13159" s="76" t="s">
        <v>2503</v>
      </c>
      <c r="D13159" s="791" t="s">
        <v>8432</v>
      </c>
      <c r="E13159" s="58">
        <v>100000</v>
      </c>
      <c r="F13159" s="58"/>
      <c r="G13159" s="126">
        <f t="shared" si="211"/>
        <v>-100000</v>
      </c>
      <c r="H13159" s="705" t="s">
        <v>8238</v>
      </c>
    </row>
    <row r="13160" spans="1:8" ht="15" customHeight="1" x14ac:dyDescent="0.2">
      <c r="A13160" s="734">
        <v>44834</v>
      </c>
      <c r="B13160" s="63" t="s">
        <v>37</v>
      </c>
      <c r="C13160" s="76" t="s">
        <v>2503</v>
      </c>
      <c r="D13160" s="791" t="s">
        <v>8428</v>
      </c>
      <c r="E13160" s="58">
        <v>163876.66666666666</v>
      </c>
      <c r="F13160" s="58"/>
      <c r="G13160" s="126">
        <f t="shared" si="211"/>
        <v>-163876.66666666666</v>
      </c>
      <c r="H13160" s="705" t="s">
        <v>8238</v>
      </c>
    </row>
    <row r="13161" spans="1:8" ht="15" customHeight="1" x14ac:dyDescent="0.2">
      <c r="A13161" s="734">
        <v>44834</v>
      </c>
      <c r="B13161" s="63" t="s">
        <v>2933</v>
      </c>
      <c r="C13161" s="76" t="s">
        <v>2503</v>
      </c>
      <c r="D13161" s="791" t="s">
        <v>8429</v>
      </c>
      <c r="E13161" s="58">
        <f>125333-13300</f>
        <v>112033</v>
      </c>
      <c r="F13161" s="58"/>
      <c r="G13161" s="126">
        <f t="shared" si="211"/>
        <v>-112033</v>
      </c>
      <c r="H13161" s="705" t="s">
        <v>8238</v>
      </c>
    </row>
    <row r="13162" spans="1:8" ht="15" customHeight="1" x14ac:dyDescent="0.2">
      <c r="A13162" s="734">
        <v>44834</v>
      </c>
      <c r="B13162" s="63" t="s">
        <v>37</v>
      </c>
      <c r="C13162" s="76" t="s">
        <v>2503</v>
      </c>
      <c r="D13162" s="791" t="s">
        <v>8428</v>
      </c>
      <c r="E13162" s="58">
        <v>163919</v>
      </c>
      <c r="F13162" s="58"/>
      <c r="G13162" s="126">
        <f t="shared" si="211"/>
        <v>-163919</v>
      </c>
      <c r="H13162" s="705" t="s">
        <v>8238</v>
      </c>
    </row>
    <row r="13163" spans="1:8" ht="15" customHeight="1" x14ac:dyDescent="0.2">
      <c r="A13163" s="734">
        <v>44834</v>
      </c>
      <c r="B13163" s="63" t="s">
        <v>7112</v>
      </c>
      <c r="C13163" s="76" t="s">
        <v>2503</v>
      </c>
      <c r="D13163" s="791" t="s">
        <v>8433</v>
      </c>
      <c r="E13163" s="58">
        <v>26324</v>
      </c>
      <c r="F13163" s="58"/>
      <c r="G13163" s="126">
        <f t="shared" si="211"/>
        <v>-26324</v>
      </c>
      <c r="H13163" s="705" t="s">
        <v>8238</v>
      </c>
    </row>
    <row r="13164" spans="1:8" ht="15" customHeight="1" x14ac:dyDescent="0.2">
      <c r="A13164" s="734">
        <v>44834</v>
      </c>
      <c r="B13164" s="63" t="s">
        <v>5811</v>
      </c>
      <c r="C13164" s="76" t="s">
        <v>2503</v>
      </c>
      <c r="D13164" s="791" t="s">
        <v>8430</v>
      </c>
      <c r="E13164" s="58">
        <v>28000</v>
      </c>
      <c r="F13164" s="58"/>
      <c r="G13164" s="126">
        <f t="shared" si="211"/>
        <v>-28000</v>
      </c>
      <c r="H13164" s="705" t="s">
        <v>8238</v>
      </c>
    </row>
    <row r="13165" spans="1:8" ht="15" customHeight="1" x14ac:dyDescent="0.2">
      <c r="A13165" s="734">
        <v>44834</v>
      </c>
      <c r="B13165" s="63" t="s">
        <v>11</v>
      </c>
      <c r="C13165" s="76" t="s">
        <v>2503</v>
      </c>
      <c r="D13165" s="791" t="s">
        <v>8431</v>
      </c>
      <c r="E13165" s="58">
        <v>5000</v>
      </c>
      <c r="F13165" s="58"/>
      <c r="G13165" s="126">
        <f t="shared" si="211"/>
        <v>-5000</v>
      </c>
      <c r="H13165" s="705" t="s">
        <v>8238</v>
      </c>
    </row>
    <row r="13166" spans="1:8" s="682" customFormat="1" ht="15" customHeight="1" x14ac:dyDescent="0.25">
      <c r="A13166" s="733">
        <v>44806</v>
      </c>
      <c r="B13166" s="235" t="s">
        <v>7921</v>
      </c>
      <c r="C13166" s="235" t="s">
        <v>8207</v>
      </c>
      <c r="D13166" s="903" t="s">
        <v>8239</v>
      </c>
      <c r="E13166" s="236">
        <v>500000</v>
      </c>
      <c r="F13166" s="236"/>
      <c r="G13166" s="236">
        <f t="shared" si="211"/>
        <v>-500000</v>
      </c>
      <c r="H13166" s="709" t="s">
        <v>8238</v>
      </c>
    </row>
    <row r="13167" spans="1:8" s="682" customFormat="1" ht="15" customHeight="1" x14ac:dyDescent="0.25">
      <c r="A13167" s="733">
        <v>44809</v>
      </c>
      <c r="B13167" s="235" t="s">
        <v>1400</v>
      </c>
      <c r="C13167" s="235" t="s">
        <v>5681</v>
      </c>
      <c r="D13167" s="903" t="s">
        <v>8240</v>
      </c>
      <c r="E13167" s="236">
        <v>150000</v>
      </c>
      <c r="F13167" s="236"/>
      <c r="G13167" s="236">
        <f t="shared" si="211"/>
        <v>-150000</v>
      </c>
      <c r="H13167" s="709" t="s">
        <v>8238</v>
      </c>
    </row>
    <row r="13168" spans="1:8" s="682" customFormat="1" ht="15" customHeight="1" x14ac:dyDescent="0.25">
      <c r="A13168" s="733">
        <v>44810</v>
      </c>
      <c r="B13168" s="235" t="s">
        <v>7921</v>
      </c>
      <c r="C13168" s="235" t="s">
        <v>1509</v>
      </c>
      <c r="D13168" s="903" t="s">
        <v>8241</v>
      </c>
      <c r="E13168" s="236">
        <v>100000</v>
      </c>
      <c r="F13168" s="236"/>
      <c r="G13168" s="236">
        <f t="shared" si="211"/>
        <v>-100000</v>
      </c>
      <c r="H13168" s="709" t="s">
        <v>8238</v>
      </c>
    </row>
    <row r="13169" spans="1:8" s="682" customFormat="1" ht="15" customHeight="1" x14ac:dyDescent="0.25">
      <c r="A13169" s="733">
        <v>44810</v>
      </c>
      <c r="B13169" s="235" t="s">
        <v>7921</v>
      </c>
      <c r="C13169" s="235" t="s">
        <v>1509</v>
      </c>
      <c r="D13169" s="903" t="s">
        <v>8242</v>
      </c>
      <c r="E13169" s="236">
        <v>50000</v>
      </c>
      <c r="F13169" s="236"/>
      <c r="G13169" s="236">
        <f t="shared" si="211"/>
        <v>-50000</v>
      </c>
      <c r="H13169" s="709" t="s">
        <v>8238</v>
      </c>
    </row>
    <row r="13170" spans="1:8" s="682" customFormat="1" ht="15" customHeight="1" x14ac:dyDescent="0.25">
      <c r="A13170" s="733">
        <v>44811</v>
      </c>
      <c r="B13170" s="235" t="s">
        <v>7921</v>
      </c>
      <c r="C13170" s="235" t="s">
        <v>8243</v>
      </c>
      <c r="D13170" s="903" t="s">
        <v>8244</v>
      </c>
      <c r="E13170" s="236">
        <v>314630</v>
      </c>
      <c r="F13170" s="236"/>
      <c r="G13170" s="236">
        <f t="shared" si="211"/>
        <v>-314630</v>
      </c>
      <c r="H13170" s="709" t="s">
        <v>8238</v>
      </c>
    </row>
    <row r="13171" spans="1:8" s="682" customFormat="1" ht="15" customHeight="1" x14ac:dyDescent="0.25">
      <c r="A13171" s="733">
        <v>44811</v>
      </c>
      <c r="B13171" s="235" t="s">
        <v>8077</v>
      </c>
      <c r="C13171" s="235" t="s">
        <v>6706</v>
      </c>
      <c r="D13171" s="903" t="s">
        <v>8245</v>
      </c>
      <c r="E13171" s="236">
        <v>135000</v>
      </c>
      <c r="F13171" s="236"/>
      <c r="G13171" s="236">
        <f t="shared" si="211"/>
        <v>-135000</v>
      </c>
      <c r="H13171" s="709" t="s">
        <v>8238</v>
      </c>
    </row>
    <row r="13172" spans="1:8" s="682" customFormat="1" ht="15" customHeight="1" x14ac:dyDescent="0.25">
      <c r="A13172" s="733">
        <v>44811</v>
      </c>
      <c r="B13172" s="235" t="s">
        <v>7921</v>
      </c>
      <c r="C13172" s="235" t="s">
        <v>6835</v>
      </c>
      <c r="D13172" s="903" t="s">
        <v>8246</v>
      </c>
      <c r="E13172" s="236">
        <v>250000</v>
      </c>
      <c r="F13172" s="236"/>
      <c r="G13172" s="236">
        <f t="shared" si="211"/>
        <v>-250000</v>
      </c>
      <c r="H13172" s="709" t="s">
        <v>8238</v>
      </c>
    </row>
    <row r="13173" spans="1:8" s="682" customFormat="1" ht="15" customHeight="1" x14ac:dyDescent="0.25">
      <c r="A13173" s="733">
        <v>44812</v>
      </c>
      <c r="B13173" s="235" t="s">
        <v>7921</v>
      </c>
      <c r="C13173" s="550" t="s">
        <v>318</v>
      </c>
      <c r="D13173" s="904" t="s">
        <v>8247</v>
      </c>
      <c r="E13173" s="552">
        <f>113000/2</f>
        <v>56500</v>
      </c>
      <c r="F13173" s="236"/>
      <c r="G13173" s="236">
        <f t="shared" si="211"/>
        <v>-56500</v>
      </c>
      <c r="H13173" s="709" t="s">
        <v>8238</v>
      </c>
    </row>
    <row r="13174" spans="1:8" s="682" customFormat="1" ht="15" customHeight="1" x14ac:dyDescent="0.25">
      <c r="A13174" s="733">
        <v>44812</v>
      </c>
      <c r="B13174" s="235" t="s">
        <v>8043</v>
      </c>
      <c r="C13174" s="550" t="s">
        <v>318</v>
      </c>
      <c r="D13174" s="904" t="s">
        <v>8247</v>
      </c>
      <c r="E13174" s="552">
        <f>113000/2</f>
        <v>56500</v>
      </c>
      <c r="F13174" s="236"/>
      <c r="G13174" s="236">
        <f t="shared" si="211"/>
        <v>-56500</v>
      </c>
      <c r="H13174" s="709" t="s">
        <v>8238</v>
      </c>
    </row>
    <row r="13175" spans="1:8" s="682" customFormat="1" ht="15" customHeight="1" x14ac:dyDescent="0.25">
      <c r="A13175" s="733">
        <v>44821</v>
      </c>
      <c r="B13175" s="235" t="s">
        <v>7657</v>
      </c>
      <c r="C13175" s="671" t="s">
        <v>6624</v>
      </c>
      <c r="D13175" s="912" t="s">
        <v>8460</v>
      </c>
      <c r="E13175" s="672">
        <v>10000</v>
      </c>
      <c r="F13175" s="236"/>
      <c r="G13175" s="236">
        <f t="shared" si="211"/>
        <v>-10000</v>
      </c>
      <c r="H13175" s="709" t="s">
        <v>8238</v>
      </c>
    </row>
    <row r="13176" spans="1:8" s="682" customFormat="1" ht="15" customHeight="1" x14ac:dyDescent="0.25">
      <c r="A13176" s="733">
        <v>44821</v>
      </c>
      <c r="B13176" s="235" t="s">
        <v>7067</v>
      </c>
      <c r="C13176" s="671" t="s">
        <v>6624</v>
      </c>
      <c r="D13176" s="912" t="s">
        <v>8460</v>
      </c>
      <c r="E13176" s="672">
        <v>47500</v>
      </c>
      <c r="F13176" s="236"/>
      <c r="G13176" s="236">
        <f t="shared" si="211"/>
        <v>-47500</v>
      </c>
      <c r="H13176" s="709" t="s">
        <v>8238</v>
      </c>
    </row>
    <row r="13177" spans="1:8" s="682" customFormat="1" ht="15" customHeight="1" x14ac:dyDescent="0.25">
      <c r="A13177" s="733">
        <v>44821</v>
      </c>
      <c r="B13177" s="235" t="s">
        <v>3946</v>
      </c>
      <c r="C13177" s="671" t="s">
        <v>6624</v>
      </c>
      <c r="D13177" s="912" t="s">
        <v>8460</v>
      </c>
      <c r="E13177" s="672">
        <v>23000</v>
      </c>
      <c r="F13177" s="236"/>
      <c r="G13177" s="236">
        <f t="shared" si="211"/>
        <v>-23000</v>
      </c>
      <c r="H13177" s="709" t="s">
        <v>8238</v>
      </c>
    </row>
    <row r="13178" spans="1:8" s="682" customFormat="1" ht="15" customHeight="1" x14ac:dyDescent="0.25">
      <c r="A13178" s="733">
        <v>44823</v>
      </c>
      <c r="B13178" s="235" t="s">
        <v>8043</v>
      </c>
      <c r="C13178" s="235" t="s">
        <v>8251</v>
      </c>
      <c r="D13178" s="903" t="s">
        <v>8344</v>
      </c>
      <c r="E13178" s="236">
        <v>50000</v>
      </c>
      <c r="F13178" s="236"/>
      <c r="G13178" s="236">
        <f t="shared" si="211"/>
        <v>-50000</v>
      </c>
      <c r="H13178" s="709" t="s">
        <v>8238</v>
      </c>
    </row>
    <row r="13179" spans="1:8" s="682" customFormat="1" ht="15" customHeight="1" x14ac:dyDescent="0.25">
      <c r="A13179" s="733">
        <v>44825</v>
      </c>
      <c r="B13179" s="235" t="s">
        <v>8043</v>
      </c>
      <c r="C13179" s="235" t="s">
        <v>6784</v>
      </c>
      <c r="D13179" s="903" t="s">
        <v>8345</v>
      </c>
      <c r="E13179" s="236">
        <v>100000</v>
      </c>
      <c r="F13179" s="236"/>
      <c r="G13179" s="236">
        <f t="shared" si="211"/>
        <v>-100000</v>
      </c>
      <c r="H13179" s="709" t="s">
        <v>8238</v>
      </c>
    </row>
    <row r="13180" spans="1:8" s="682" customFormat="1" ht="15" customHeight="1" x14ac:dyDescent="0.25">
      <c r="A13180" s="733">
        <v>44827</v>
      </c>
      <c r="B13180" s="235" t="s">
        <v>8077</v>
      </c>
      <c r="C13180" s="235" t="s">
        <v>168</v>
      </c>
      <c r="D13180" s="903" t="s">
        <v>8358</v>
      </c>
      <c r="E13180" s="236">
        <v>481033</v>
      </c>
      <c r="F13180" s="236"/>
      <c r="G13180" s="236">
        <f t="shared" si="211"/>
        <v>-481033</v>
      </c>
      <c r="H13180" s="709" t="s">
        <v>8238</v>
      </c>
    </row>
    <row r="13181" spans="1:8" s="682" customFormat="1" ht="24" customHeight="1" x14ac:dyDescent="0.25">
      <c r="A13181" s="733">
        <v>44831</v>
      </c>
      <c r="B13181" s="235" t="s">
        <v>7921</v>
      </c>
      <c r="C13181" s="550" t="s">
        <v>6706</v>
      </c>
      <c r="D13181" s="740" t="s">
        <v>8370</v>
      </c>
      <c r="E13181" s="552">
        <v>109040</v>
      </c>
      <c r="F13181" s="236"/>
      <c r="G13181" s="236">
        <f t="shared" si="211"/>
        <v>-109040</v>
      </c>
      <c r="H13181" s="709" t="s">
        <v>8238</v>
      </c>
    </row>
    <row r="13182" spans="1:8" s="682" customFormat="1" ht="24" customHeight="1" x14ac:dyDescent="0.25">
      <c r="A13182" s="733">
        <v>44831</v>
      </c>
      <c r="B13182" s="235" t="s">
        <v>8043</v>
      </c>
      <c r="C13182" s="550" t="s">
        <v>6706</v>
      </c>
      <c r="D13182" s="740" t="s">
        <v>8370</v>
      </c>
      <c r="E13182" s="552">
        <v>390960</v>
      </c>
      <c r="F13182" s="236"/>
      <c r="G13182" s="236">
        <f t="shared" si="211"/>
        <v>-390960</v>
      </c>
      <c r="H13182" s="709" t="s">
        <v>8238</v>
      </c>
    </row>
    <row r="13183" spans="1:8" s="682" customFormat="1" ht="15" customHeight="1" x14ac:dyDescent="0.25">
      <c r="A13183" s="733">
        <v>44831</v>
      </c>
      <c r="B13183" s="235" t="s">
        <v>3946</v>
      </c>
      <c r="C13183" s="236" t="s">
        <v>8323</v>
      </c>
      <c r="D13183" s="903" t="s">
        <v>8371</v>
      </c>
      <c r="E13183" s="236">
        <v>50000</v>
      </c>
      <c r="F13183" s="236"/>
      <c r="G13183" s="236">
        <f t="shared" si="211"/>
        <v>-50000</v>
      </c>
      <c r="H13183" s="709" t="s">
        <v>8238</v>
      </c>
    </row>
    <row r="13184" spans="1:8" ht="15" customHeight="1" x14ac:dyDescent="0.2">
      <c r="A13184" s="730">
        <v>44812</v>
      </c>
      <c r="B13184" s="91" t="s">
        <v>6953</v>
      </c>
      <c r="C13184" s="175" t="s">
        <v>559</v>
      </c>
      <c r="D13184" s="801" t="s">
        <v>8225</v>
      </c>
      <c r="E13184" s="92"/>
      <c r="F13184" s="92">
        <v>60269</v>
      </c>
      <c r="G13184" s="92">
        <f t="shared" si="211"/>
        <v>60269</v>
      </c>
      <c r="H13184" s="702" t="s">
        <v>8238</v>
      </c>
    </row>
    <row r="13185" spans="1:8" ht="15" customHeight="1" x14ac:dyDescent="0.2">
      <c r="A13185" s="730">
        <v>44812</v>
      </c>
      <c r="B13185" s="91" t="s">
        <v>6953</v>
      </c>
      <c r="C13185" s="175" t="s">
        <v>559</v>
      </c>
      <c r="D13185" s="801" t="s">
        <v>8225</v>
      </c>
      <c r="E13185" s="92"/>
      <c r="F13185" s="92">
        <v>181822</v>
      </c>
      <c r="G13185" s="92">
        <f t="shared" si="211"/>
        <v>181822</v>
      </c>
      <c r="H13185" s="702" t="s">
        <v>8238</v>
      </c>
    </row>
    <row r="13186" spans="1:8" ht="15" customHeight="1" x14ac:dyDescent="0.2">
      <c r="A13186" s="730">
        <v>44825</v>
      </c>
      <c r="B13186" s="91" t="s">
        <v>82</v>
      </c>
      <c r="C13186" s="175" t="s">
        <v>559</v>
      </c>
      <c r="D13186" s="801" t="s">
        <v>8331</v>
      </c>
      <c r="E13186" s="92"/>
      <c r="F13186" s="92">
        <v>59460</v>
      </c>
      <c r="G13186" s="92">
        <f t="shared" si="211"/>
        <v>59460</v>
      </c>
      <c r="H13186" s="702" t="s">
        <v>8238</v>
      </c>
    </row>
    <row r="13187" spans="1:8" ht="24" customHeight="1" x14ac:dyDescent="0.2">
      <c r="A13187" s="730">
        <v>44827</v>
      </c>
      <c r="B13187" s="94" t="s">
        <v>8043</v>
      </c>
      <c r="C13187" s="175" t="s">
        <v>559</v>
      </c>
      <c r="D13187" s="898" t="s">
        <v>8222</v>
      </c>
      <c r="E13187" s="701"/>
      <c r="F13187" s="176">
        <v>2200000</v>
      </c>
      <c r="G13187" s="92">
        <f t="shared" si="211"/>
        <v>2200000</v>
      </c>
      <c r="H13187" s="702" t="s">
        <v>8238</v>
      </c>
    </row>
    <row r="13188" spans="1:8" ht="15" customHeight="1" x14ac:dyDescent="0.2">
      <c r="A13188" s="730">
        <v>44827</v>
      </c>
      <c r="B13188" s="94" t="s">
        <v>8043</v>
      </c>
      <c r="C13188" s="175" t="s">
        <v>559</v>
      </c>
      <c r="D13188" s="801" t="s">
        <v>8391</v>
      </c>
      <c r="E13188" s="92"/>
      <c r="F13188" s="92">
        <v>835500</v>
      </c>
      <c r="G13188" s="92">
        <f t="shared" si="211"/>
        <v>835500</v>
      </c>
      <c r="H13188" s="702" t="s">
        <v>8238</v>
      </c>
    </row>
    <row r="13189" spans="1:8" ht="24" customHeight="1" x14ac:dyDescent="0.2">
      <c r="A13189" s="730">
        <v>44827</v>
      </c>
      <c r="B13189" s="94" t="s">
        <v>1400</v>
      </c>
      <c r="C13189" s="175" t="s">
        <v>559</v>
      </c>
      <c r="D13189" s="802" t="s">
        <v>8347</v>
      </c>
      <c r="E13189" s="92"/>
      <c r="F13189" s="176">
        <v>481033</v>
      </c>
      <c r="G13189" s="176">
        <f t="shared" ref="G13189:G13252" si="212">F13189-E13189</f>
        <v>481033</v>
      </c>
      <c r="H13189" s="702" t="s">
        <v>8238</v>
      </c>
    </row>
    <row r="13190" spans="1:8" ht="15" customHeight="1" x14ac:dyDescent="0.2">
      <c r="A13190" s="730">
        <v>44832</v>
      </c>
      <c r="B13190" s="91" t="s">
        <v>3946</v>
      </c>
      <c r="C13190" s="175" t="s">
        <v>559</v>
      </c>
      <c r="D13190" s="892" t="s">
        <v>8369</v>
      </c>
      <c r="E13190" s="701"/>
      <c r="F13190" s="92">
        <v>310329</v>
      </c>
      <c r="G13190" s="92">
        <f t="shared" si="212"/>
        <v>310329</v>
      </c>
      <c r="H13190" s="702" t="s">
        <v>8238</v>
      </c>
    </row>
    <row r="13191" spans="1:8" ht="15" customHeight="1" x14ac:dyDescent="0.2">
      <c r="A13191" s="734">
        <v>44837</v>
      </c>
      <c r="B13191" s="41" t="s">
        <v>8043</v>
      </c>
      <c r="C13191" s="76" t="s">
        <v>3145</v>
      </c>
      <c r="D13191" s="791" t="s">
        <v>8409</v>
      </c>
      <c r="E13191" s="704">
        <v>1100</v>
      </c>
      <c r="F13191" s="58"/>
      <c r="G13191" s="58">
        <f t="shared" si="212"/>
        <v>-1100</v>
      </c>
      <c r="H13191" s="705" t="s">
        <v>8392</v>
      </c>
    </row>
    <row r="13192" spans="1:8" ht="15" customHeight="1" x14ac:dyDescent="0.2">
      <c r="A13192" s="734">
        <v>44837</v>
      </c>
      <c r="B13192" s="41" t="s">
        <v>7921</v>
      </c>
      <c r="C13192" s="76" t="s">
        <v>3145</v>
      </c>
      <c r="D13192" s="791" t="s">
        <v>8409</v>
      </c>
      <c r="E13192" s="704">
        <v>10190</v>
      </c>
      <c r="F13192" s="58"/>
      <c r="G13192" s="58">
        <f t="shared" si="212"/>
        <v>-10190</v>
      </c>
      <c r="H13192" s="705" t="s">
        <v>8392</v>
      </c>
    </row>
    <row r="13193" spans="1:8" ht="15" customHeight="1" x14ac:dyDescent="0.2">
      <c r="A13193" s="734">
        <v>44837</v>
      </c>
      <c r="B13193" s="41" t="s">
        <v>8077</v>
      </c>
      <c r="C13193" s="76" t="s">
        <v>3145</v>
      </c>
      <c r="D13193" s="791" t="s">
        <v>8410</v>
      </c>
      <c r="E13193" s="704">
        <v>23043</v>
      </c>
      <c r="F13193" s="58"/>
      <c r="G13193" s="58">
        <f t="shared" si="212"/>
        <v>-23043</v>
      </c>
      <c r="H13193" s="705" t="s">
        <v>8392</v>
      </c>
    </row>
    <row r="13194" spans="1:8" ht="15" customHeight="1" x14ac:dyDescent="0.2">
      <c r="A13194" s="734">
        <v>44837</v>
      </c>
      <c r="B13194" s="41" t="s">
        <v>8339</v>
      </c>
      <c r="C13194" s="76" t="s">
        <v>392</v>
      </c>
      <c r="D13194" s="791" t="s">
        <v>8372</v>
      </c>
      <c r="E13194" s="704">
        <v>5110</v>
      </c>
      <c r="F13194" s="58"/>
      <c r="G13194" s="58">
        <f t="shared" si="212"/>
        <v>-5110</v>
      </c>
      <c r="H13194" s="705" t="s">
        <v>8392</v>
      </c>
    </row>
    <row r="13195" spans="1:8" ht="15" customHeight="1" x14ac:dyDescent="0.2">
      <c r="A13195" s="734">
        <v>44837</v>
      </c>
      <c r="B13195" s="41" t="s">
        <v>1400</v>
      </c>
      <c r="C13195" s="76" t="s">
        <v>790</v>
      </c>
      <c r="D13195" s="791"/>
      <c r="E13195" s="704">
        <v>320</v>
      </c>
      <c r="F13195" s="58"/>
      <c r="G13195" s="58">
        <f t="shared" si="212"/>
        <v>-320</v>
      </c>
      <c r="H13195" s="705" t="s">
        <v>8392</v>
      </c>
    </row>
    <row r="13196" spans="1:8" ht="15" customHeight="1" x14ac:dyDescent="0.2">
      <c r="A13196" s="734">
        <v>44837</v>
      </c>
      <c r="B13196" s="41" t="s">
        <v>2933</v>
      </c>
      <c r="C13196" s="76" t="s">
        <v>3145</v>
      </c>
      <c r="D13196" s="791" t="s">
        <v>3056</v>
      </c>
      <c r="E13196" s="704">
        <v>3820</v>
      </c>
      <c r="F13196" s="58"/>
      <c r="G13196" s="58">
        <f t="shared" si="212"/>
        <v>-3820</v>
      </c>
      <c r="H13196" s="705" t="s">
        <v>8392</v>
      </c>
    </row>
    <row r="13197" spans="1:8" ht="15" customHeight="1" x14ac:dyDescent="0.2">
      <c r="A13197" s="734">
        <v>44837</v>
      </c>
      <c r="B13197" s="41" t="s">
        <v>25</v>
      </c>
      <c r="C13197" s="76" t="s">
        <v>8150</v>
      </c>
      <c r="D13197" s="791" t="s">
        <v>8441</v>
      </c>
      <c r="E13197" s="704">
        <v>490</v>
      </c>
      <c r="F13197" s="58"/>
      <c r="G13197" s="58">
        <f t="shared" si="212"/>
        <v>-490</v>
      </c>
      <c r="H13197" s="705" t="s">
        <v>8392</v>
      </c>
    </row>
    <row r="13198" spans="1:8" ht="15" customHeight="1" x14ac:dyDescent="0.2">
      <c r="A13198" s="734">
        <v>44837</v>
      </c>
      <c r="B13198" s="41" t="s">
        <v>16</v>
      </c>
      <c r="C13198" s="76" t="s">
        <v>8150</v>
      </c>
      <c r="D13198" s="791" t="s">
        <v>8441</v>
      </c>
      <c r="E13198" s="704">
        <v>300</v>
      </c>
      <c r="F13198" s="58"/>
      <c r="G13198" s="58">
        <f t="shared" si="212"/>
        <v>-300</v>
      </c>
      <c r="H13198" s="705" t="s">
        <v>8392</v>
      </c>
    </row>
    <row r="13199" spans="1:8" ht="15" customHeight="1" x14ac:dyDescent="0.2">
      <c r="A13199" s="734">
        <v>44837</v>
      </c>
      <c r="B13199" s="41" t="s">
        <v>2933</v>
      </c>
      <c r="C13199" s="76" t="s">
        <v>392</v>
      </c>
      <c r="D13199" s="791" t="s">
        <v>8442</v>
      </c>
      <c r="E13199" s="704">
        <v>1000</v>
      </c>
      <c r="F13199" s="58"/>
      <c r="G13199" s="58">
        <f t="shared" si="212"/>
        <v>-1000</v>
      </c>
      <c r="H13199" s="705" t="s">
        <v>8392</v>
      </c>
    </row>
    <row r="13200" spans="1:8" ht="15" customHeight="1" x14ac:dyDescent="0.2">
      <c r="A13200" s="734">
        <v>44837</v>
      </c>
      <c r="B13200" s="41" t="s">
        <v>7921</v>
      </c>
      <c r="C13200" s="76" t="s">
        <v>392</v>
      </c>
      <c r="D13200" s="791" t="s">
        <v>2108</v>
      </c>
      <c r="E13200" s="704">
        <v>1000</v>
      </c>
      <c r="F13200" s="58"/>
      <c r="G13200" s="58">
        <f t="shared" si="212"/>
        <v>-1000</v>
      </c>
      <c r="H13200" s="705" t="s">
        <v>8392</v>
      </c>
    </row>
    <row r="13201" spans="1:8" ht="15" customHeight="1" x14ac:dyDescent="0.2">
      <c r="A13201" s="734">
        <v>44838</v>
      </c>
      <c r="B13201" s="41" t="s">
        <v>8339</v>
      </c>
      <c r="C13201" s="76" t="s">
        <v>790</v>
      </c>
      <c r="D13201" s="791"/>
      <c r="E13201" s="704">
        <v>440</v>
      </c>
      <c r="F13201" s="58"/>
      <c r="G13201" s="58">
        <f t="shared" si="212"/>
        <v>-440</v>
      </c>
      <c r="H13201" s="705" t="s">
        <v>8392</v>
      </c>
    </row>
    <row r="13202" spans="1:8" ht="15" customHeight="1" x14ac:dyDescent="0.2">
      <c r="A13202" s="734">
        <v>44838</v>
      </c>
      <c r="B13202" s="41" t="s">
        <v>8043</v>
      </c>
      <c r="C13202" s="76" t="s">
        <v>790</v>
      </c>
      <c r="D13202" s="791"/>
      <c r="E13202" s="704">
        <v>1920</v>
      </c>
      <c r="F13202" s="58"/>
      <c r="G13202" s="58">
        <f t="shared" si="212"/>
        <v>-1920</v>
      </c>
      <c r="H13202" s="705" t="s">
        <v>8392</v>
      </c>
    </row>
    <row r="13203" spans="1:8" ht="15" customHeight="1" x14ac:dyDescent="0.2">
      <c r="A13203" s="734">
        <v>44838</v>
      </c>
      <c r="B13203" s="41" t="s">
        <v>8043</v>
      </c>
      <c r="C13203" s="76" t="s">
        <v>8251</v>
      </c>
      <c r="D13203" s="791" t="s">
        <v>8411</v>
      </c>
      <c r="E13203" s="704">
        <v>40000</v>
      </c>
      <c r="F13203" s="58"/>
      <c r="G13203" s="58">
        <f t="shared" si="212"/>
        <v>-40000</v>
      </c>
      <c r="H13203" s="705" t="s">
        <v>8392</v>
      </c>
    </row>
    <row r="13204" spans="1:8" ht="15" customHeight="1" x14ac:dyDescent="0.2">
      <c r="A13204" s="734">
        <v>44838</v>
      </c>
      <c r="B13204" s="41" t="s">
        <v>8043</v>
      </c>
      <c r="C13204" s="417" t="s">
        <v>6249</v>
      </c>
      <c r="D13204" s="919" t="s">
        <v>370</v>
      </c>
      <c r="E13204" s="737">
        <v>11000</v>
      </c>
      <c r="F13204" s="58"/>
      <c r="G13204" s="58">
        <f t="shared" si="212"/>
        <v>-11000</v>
      </c>
      <c r="H13204" s="705" t="s">
        <v>8392</v>
      </c>
    </row>
    <row r="13205" spans="1:8" ht="15" customHeight="1" x14ac:dyDescent="0.2">
      <c r="A13205" s="734">
        <v>44839</v>
      </c>
      <c r="B13205" s="41" t="s">
        <v>8339</v>
      </c>
      <c r="C13205" s="76" t="s">
        <v>790</v>
      </c>
      <c r="D13205" s="791"/>
      <c r="E13205" s="704">
        <v>170</v>
      </c>
      <c r="F13205" s="58"/>
      <c r="G13205" s="58">
        <f t="shared" si="212"/>
        <v>-170</v>
      </c>
      <c r="H13205" s="705" t="s">
        <v>8392</v>
      </c>
    </row>
    <row r="13206" spans="1:8" ht="15" customHeight="1" x14ac:dyDescent="0.2">
      <c r="A13206" s="734">
        <v>44839</v>
      </c>
      <c r="B13206" s="41" t="s">
        <v>6508</v>
      </c>
      <c r="C13206" s="76" t="s">
        <v>790</v>
      </c>
      <c r="D13206" s="791"/>
      <c r="E13206" s="704">
        <v>150</v>
      </c>
      <c r="F13206" s="58"/>
      <c r="G13206" s="58">
        <f t="shared" si="212"/>
        <v>-150</v>
      </c>
      <c r="H13206" s="705" t="s">
        <v>8392</v>
      </c>
    </row>
    <row r="13207" spans="1:8" ht="15" customHeight="1" x14ac:dyDescent="0.2">
      <c r="A13207" s="734">
        <v>44839</v>
      </c>
      <c r="B13207" s="41" t="s">
        <v>7921</v>
      </c>
      <c r="C13207" s="76" t="s">
        <v>3145</v>
      </c>
      <c r="D13207" s="791" t="s">
        <v>8414</v>
      </c>
      <c r="E13207" s="704">
        <v>7000</v>
      </c>
      <c r="F13207" s="58"/>
      <c r="G13207" s="58">
        <f t="shared" si="212"/>
        <v>-7000</v>
      </c>
      <c r="H13207" s="705" t="s">
        <v>8392</v>
      </c>
    </row>
    <row r="13208" spans="1:8" ht="15" customHeight="1" x14ac:dyDescent="0.2">
      <c r="A13208" s="734">
        <v>44839</v>
      </c>
      <c r="B13208" s="41" t="s">
        <v>8339</v>
      </c>
      <c r="C13208" s="76" t="s">
        <v>7927</v>
      </c>
      <c r="D13208" s="791" t="s">
        <v>8415</v>
      </c>
      <c r="E13208" s="704">
        <v>36000</v>
      </c>
      <c r="F13208" s="58"/>
      <c r="G13208" s="58">
        <f t="shared" si="212"/>
        <v>-36000</v>
      </c>
      <c r="H13208" s="705" t="s">
        <v>8392</v>
      </c>
    </row>
    <row r="13209" spans="1:8" ht="15" customHeight="1" x14ac:dyDescent="0.2">
      <c r="A13209" s="734">
        <v>44839</v>
      </c>
      <c r="B13209" s="41" t="s">
        <v>1400</v>
      </c>
      <c r="C13209" s="76" t="s">
        <v>7859</v>
      </c>
      <c r="D13209" s="791" t="s">
        <v>370</v>
      </c>
      <c r="E13209" s="704">
        <v>2000</v>
      </c>
      <c r="F13209" s="58"/>
      <c r="G13209" s="58">
        <f t="shared" si="212"/>
        <v>-2000</v>
      </c>
      <c r="H13209" s="705" t="s">
        <v>8392</v>
      </c>
    </row>
    <row r="13210" spans="1:8" ht="15" customHeight="1" x14ac:dyDescent="0.2">
      <c r="A13210" s="734">
        <v>44839</v>
      </c>
      <c r="B13210" s="41" t="s">
        <v>7921</v>
      </c>
      <c r="C13210" s="76" t="s">
        <v>551</v>
      </c>
      <c r="D13210" s="791" t="s">
        <v>2108</v>
      </c>
      <c r="E13210" s="704">
        <v>5000</v>
      </c>
      <c r="F13210" s="58"/>
      <c r="G13210" s="58">
        <f t="shared" si="212"/>
        <v>-5000</v>
      </c>
      <c r="H13210" s="705" t="s">
        <v>8392</v>
      </c>
    </row>
    <row r="13211" spans="1:8" ht="15" customHeight="1" x14ac:dyDescent="0.2">
      <c r="A13211" s="734">
        <v>44839</v>
      </c>
      <c r="B13211" s="41" t="s">
        <v>8043</v>
      </c>
      <c r="C13211" s="76" t="s">
        <v>5741</v>
      </c>
      <c r="D13211" s="791" t="s">
        <v>8443</v>
      </c>
      <c r="E13211" s="704">
        <v>500</v>
      </c>
      <c r="F13211" s="58"/>
      <c r="G13211" s="58">
        <f t="shared" si="212"/>
        <v>-500</v>
      </c>
      <c r="H13211" s="705" t="s">
        <v>8392</v>
      </c>
    </row>
    <row r="13212" spans="1:8" ht="15" customHeight="1" x14ac:dyDescent="0.2">
      <c r="A13212" s="734">
        <v>44839</v>
      </c>
      <c r="B13212" s="41" t="s">
        <v>16</v>
      </c>
      <c r="C13212" s="76" t="s">
        <v>103</v>
      </c>
      <c r="D13212" s="791" t="s">
        <v>8444</v>
      </c>
      <c r="E13212" s="704">
        <v>3660</v>
      </c>
      <c r="F13212" s="58"/>
      <c r="G13212" s="58">
        <f t="shared" si="212"/>
        <v>-3660</v>
      </c>
      <c r="H13212" s="705" t="s">
        <v>8392</v>
      </c>
    </row>
    <row r="13213" spans="1:8" ht="15" customHeight="1" x14ac:dyDescent="0.2">
      <c r="A13213" s="734">
        <v>44839</v>
      </c>
      <c r="B13213" s="41" t="s">
        <v>8043</v>
      </c>
      <c r="C13213" s="76" t="s">
        <v>392</v>
      </c>
      <c r="D13213" s="791" t="s">
        <v>8517</v>
      </c>
      <c r="E13213" s="704">
        <v>1500</v>
      </c>
      <c r="F13213" s="58"/>
      <c r="G13213" s="58">
        <f t="shared" si="212"/>
        <v>-1500</v>
      </c>
      <c r="H13213" s="705" t="s">
        <v>8392</v>
      </c>
    </row>
    <row r="13214" spans="1:8" ht="15" customHeight="1" x14ac:dyDescent="0.2">
      <c r="A13214" s="734">
        <v>44839</v>
      </c>
      <c r="B13214" s="41" t="s">
        <v>2933</v>
      </c>
      <c r="C13214" s="76" t="s">
        <v>286</v>
      </c>
      <c r="D13214" s="791" t="s">
        <v>8446</v>
      </c>
      <c r="E13214" s="704">
        <v>820</v>
      </c>
      <c r="F13214" s="58"/>
      <c r="G13214" s="58">
        <f t="shared" si="212"/>
        <v>-820</v>
      </c>
      <c r="H13214" s="705" t="s">
        <v>8392</v>
      </c>
    </row>
    <row r="13215" spans="1:8" ht="15" customHeight="1" x14ac:dyDescent="0.2">
      <c r="A13215" s="734">
        <v>44839</v>
      </c>
      <c r="B13215" s="41" t="s">
        <v>16</v>
      </c>
      <c r="C13215" s="76" t="s">
        <v>103</v>
      </c>
      <c r="D13215" s="791" t="s">
        <v>8155</v>
      </c>
      <c r="E13215" s="704">
        <v>1000</v>
      </c>
      <c r="F13215" s="58"/>
      <c r="G13215" s="58">
        <f t="shared" si="212"/>
        <v>-1000</v>
      </c>
      <c r="H13215" s="705" t="s">
        <v>8392</v>
      </c>
    </row>
    <row r="13216" spans="1:8" ht="15" customHeight="1" x14ac:dyDescent="0.2">
      <c r="A13216" s="734">
        <v>44839</v>
      </c>
      <c r="B13216" s="41" t="s">
        <v>82</v>
      </c>
      <c r="C13216" s="76" t="s">
        <v>286</v>
      </c>
      <c r="D13216" s="791" t="s">
        <v>8447</v>
      </c>
      <c r="E13216" s="704">
        <v>250</v>
      </c>
      <c r="F13216" s="58"/>
      <c r="G13216" s="58">
        <f t="shared" si="212"/>
        <v>-250</v>
      </c>
      <c r="H13216" s="705" t="s">
        <v>8392</v>
      </c>
    </row>
    <row r="13217" spans="1:8" ht="15" customHeight="1" x14ac:dyDescent="0.2">
      <c r="A13217" s="734">
        <v>44839</v>
      </c>
      <c r="B13217" s="41" t="s">
        <v>8043</v>
      </c>
      <c r="C13217" s="76" t="s">
        <v>286</v>
      </c>
      <c r="D13217" s="791" t="s">
        <v>8448</v>
      </c>
      <c r="E13217" s="704">
        <v>750</v>
      </c>
      <c r="F13217" s="58"/>
      <c r="G13217" s="58">
        <f t="shared" si="212"/>
        <v>-750</v>
      </c>
      <c r="H13217" s="705" t="s">
        <v>8392</v>
      </c>
    </row>
    <row r="13218" spans="1:8" ht="15" customHeight="1" x14ac:dyDescent="0.2">
      <c r="A13218" s="734">
        <v>44839</v>
      </c>
      <c r="B13218" s="41" t="s">
        <v>8339</v>
      </c>
      <c r="C13218" s="76" t="s">
        <v>392</v>
      </c>
      <c r="D13218" s="791" t="s">
        <v>8445</v>
      </c>
      <c r="E13218" s="704">
        <v>10000</v>
      </c>
      <c r="F13218" s="58"/>
      <c r="G13218" s="58">
        <f t="shared" si="212"/>
        <v>-10000</v>
      </c>
      <c r="H13218" s="705" t="s">
        <v>8392</v>
      </c>
    </row>
    <row r="13219" spans="1:8" ht="15" x14ac:dyDescent="0.2">
      <c r="A13219" s="734">
        <v>44840</v>
      </c>
      <c r="B13219" s="41" t="s">
        <v>2933</v>
      </c>
      <c r="C13219" s="76" t="s">
        <v>8160</v>
      </c>
      <c r="D13219" s="791" t="s">
        <v>7940</v>
      </c>
      <c r="E13219" s="704">
        <v>3000</v>
      </c>
      <c r="F13219" s="58"/>
      <c r="G13219" s="58">
        <f t="shared" si="212"/>
        <v>-3000</v>
      </c>
      <c r="H13219" s="705" t="s">
        <v>8392</v>
      </c>
    </row>
    <row r="13220" spans="1:8" ht="15" x14ac:dyDescent="0.2">
      <c r="A13220" s="734">
        <v>44840</v>
      </c>
      <c r="B13220" s="41" t="s">
        <v>25</v>
      </c>
      <c r="C13220" s="76" t="s">
        <v>2428</v>
      </c>
      <c r="D13220" s="791" t="s">
        <v>8416</v>
      </c>
      <c r="E13220" s="704">
        <v>51000</v>
      </c>
      <c r="F13220" s="58"/>
      <c r="G13220" s="58">
        <f t="shared" si="212"/>
        <v>-51000</v>
      </c>
      <c r="H13220" s="705" t="s">
        <v>8392</v>
      </c>
    </row>
    <row r="13221" spans="1:8" ht="15" x14ac:dyDescent="0.2">
      <c r="A13221" s="734">
        <v>44840</v>
      </c>
      <c r="B13221" s="41" t="s">
        <v>16</v>
      </c>
      <c r="C13221" s="76" t="s">
        <v>1495</v>
      </c>
      <c r="D13221" s="791"/>
      <c r="E13221" s="704">
        <v>1500</v>
      </c>
      <c r="F13221" s="58"/>
      <c r="G13221" s="58">
        <f t="shared" si="212"/>
        <v>-1500</v>
      </c>
      <c r="H13221" s="705" t="s">
        <v>8392</v>
      </c>
    </row>
    <row r="13222" spans="1:8" ht="15" x14ac:dyDescent="0.2">
      <c r="A13222" s="734">
        <v>44840</v>
      </c>
      <c r="B13222" s="41" t="s">
        <v>8077</v>
      </c>
      <c r="C13222" s="76" t="s">
        <v>3145</v>
      </c>
      <c r="D13222" s="791" t="s">
        <v>8417</v>
      </c>
      <c r="E13222" s="704">
        <v>19350</v>
      </c>
      <c r="F13222" s="58"/>
      <c r="G13222" s="58">
        <f t="shared" si="212"/>
        <v>-19350</v>
      </c>
      <c r="H13222" s="705" t="s">
        <v>8392</v>
      </c>
    </row>
    <row r="13223" spans="1:8" ht="15" x14ac:dyDescent="0.2">
      <c r="A13223" s="734">
        <v>44840</v>
      </c>
      <c r="B13223" s="41" t="s">
        <v>8077</v>
      </c>
      <c r="C13223" s="76" t="s">
        <v>3145</v>
      </c>
      <c r="D13223" s="791" t="s">
        <v>8418</v>
      </c>
      <c r="E13223" s="704">
        <v>44184</v>
      </c>
      <c r="F13223" s="58"/>
      <c r="G13223" s="58">
        <f t="shared" si="212"/>
        <v>-44184</v>
      </c>
      <c r="H13223" s="705" t="s">
        <v>8392</v>
      </c>
    </row>
    <row r="13224" spans="1:8" ht="15" x14ac:dyDescent="0.2">
      <c r="A13224" s="734">
        <v>44841</v>
      </c>
      <c r="B13224" s="41" t="s">
        <v>7921</v>
      </c>
      <c r="C13224" s="76" t="s">
        <v>6967</v>
      </c>
      <c r="D13224" s="791" t="s">
        <v>8420</v>
      </c>
      <c r="E13224" s="704">
        <v>10000</v>
      </c>
      <c r="F13224" s="58"/>
      <c r="G13224" s="58">
        <f t="shared" si="212"/>
        <v>-10000</v>
      </c>
      <c r="H13224" s="705" t="s">
        <v>8392</v>
      </c>
    </row>
    <row r="13225" spans="1:8" ht="15" x14ac:dyDescent="0.2">
      <c r="A13225" s="734">
        <v>44841</v>
      </c>
      <c r="B13225" s="41" t="s">
        <v>8043</v>
      </c>
      <c r="C13225" s="76" t="s">
        <v>3145</v>
      </c>
      <c r="D13225" s="791" t="s">
        <v>8421</v>
      </c>
      <c r="E13225" s="704">
        <v>10000</v>
      </c>
      <c r="F13225" s="58"/>
      <c r="G13225" s="58">
        <f t="shared" si="212"/>
        <v>-10000</v>
      </c>
      <c r="H13225" s="705" t="s">
        <v>8392</v>
      </c>
    </row>
    <row r="13226" spans="1:8" ht="15" x14ac:dyDescent="0.2">
      <c r="A13226" s="734">
        <v>44841</v>
      </c>
      <c r="B13226" s="41" t="s">
        <v>7921</v>
      </c>
      <c r="C13226" s="76" t="s">
        <v>286</v>
      </c>
      <c r="D13226" s="791" t="s">
        <v>7977</v>
      </c>
      <c r="E13226" s="704">
        <v>500</v>
      </c>
      <c r="F13226" s="58"/>
      <c r="G13226" s="58">
        <f t="shared" si="212"/>
        <v>-500</v>
      </c>
      <c r="H13226" s="705" t="s">
        <v>8392</v>
      </c>
    </row>
    <row r="13227" spans="1:8" ht="15" x14ac:dyDescent="0.2">
      <c r="A13227" s="734">
        <v>44841</v>
      </c>
      <c r="B13227" s="41" t="s">
        <v>8339</v>
      </c>
      <c r="C13227" s="76" t="s">
        <v>392</v>
      </c>
      <c r="D13227" s="791" t="s">
        <v>8449</v>
      </c>
      <c r="E13227" s="704">
        <v>850</v>
      </c>
      <c r="F13227" s="58"/>
      <c r="G13227" s="58">
        <f t="shared" si="212"/>
        <v>-850</v>
      </c>
      <c r="H13227" s="705" t="s">
        <v>8392</v>
      </c>
    </row>
    <row r="13228" spans="1:8" ht="15" x14ac:dyDescent="0.2">
      <c r="A13228" s="734">
        <v>44842</v>
      </c>
      <c r="B13228" s="41" t="s">
        <v>8043</v>
      </c>
      <c r="C13228" s="76" t="s">
        <v>4876</v>
      </c>
      <c r="D13228" s="791" t="s">
        <v>8419</v>
      </c>
      <c r="E13228" s="704">
        <v>2000</v>
      </c>
      <c r="F13228" s="58"/>
      <c r="G13228" s="58">
        <f t="shared" si="212"/>
        <v>-2000</v>
      </c>
      <c r="H13228" s="705" t="s">
        <v>8392</v>
      </c>
    </row>
    <row r="13229" spans="1:8" ht="15" x14ac:dyDescent="0.2">
      <c r="A13229" s="734">
        <v>44842</v>
      </c>
      <c r="B13229" s="41" t="s">
        <v>3946</v>
      </c>
      <c r="C13229" s="76" t="s">
        <v>3145</v>
      </c>
      <c r="D13229" s="791" t="s">
        <v>8461</v>
      </c>
      <c r="E13229" s="704">
        <v>10000</v>
      </c>
      <c r="F13229" s="58"/>
      <c r="G13229" s="58">
        <f t="shared" si="212"/>
        <v>-10000</v>
      </c>
      <c r="H13229" s="705" t="s">
        <v>8392</v>
      </c>
    </row>
    <row r="13230" spans="1:8" ht="15" x14ac:dyDescent="0.2">
      <c r="A13230" s="734">
        <v>44842</v>
      </c>
      <c r="B13230" s="41" t="s">
        <v>8043</v>
      </c>
      <c r="C13230" s="76" t="s">
        <v>3145</v>
      </c>
      <c r="D13230" s="791" t="s">
        <v>8464</v>
      </c>
      <c r="E13230" s="704">
        <v>12000</v>
      </c>
      <c r="F13230" s="58"/>
      <c r="G13230" s="58">
        <f t="shared" si="212"/>
        <v>-12000</v>
      </c>
      <c r="H13230" s="705" t="s">
        <v>8392</v>
      </c>
    </row>
    <row r="13231" spans="1:8" ht="15" x14ac:dyDescent="0.2">
      <c r="A13231" s="734">
        <v>44842</v>
      </c>
      <c r="B13231" s="41" t="s">
        <v>8339</v>
      </c>
      <c r="C13231" s="76" t="s">
        <v>3145</v>
      </c>
      <c r="D13231" s="791" t="s">
        <v>8465</v>
      </c>
      <c r="E13231" s="704">
        <v>14500</v>
      </c>
      <c r="F13231" s="58"/>
      <c r="G13231" s="58">
        <f t="shared" si="212"/>
        <v>-14500</v>
      </c>
      <c r="H13231" s="705" t="s">
        <v>8392</v>
      </c>
    </row>
    <row r="13232" spans="1:8" ht="15" x14ac:dyDescent="0.2">
      <c r="A13232" s="734">
        <v>44842</v>
      </c>
      <c r="B13232" s="41" t="s">
        <v>2933</v>
      </c>
      <c r="C13232" s="76" t="s">
        <v>2503</v>
      </c>
      <c r="D13232" s="791" t="s">
        <v>8466</v>
      </c>
      <c r="E13232" s="704">
        <v>10000</v>
      </c>
      <c r="F13232" s="58"/>
      <c r="G13232" s="58">
        <f t="shared" si="212"/>
        <v>-10000</v>
      </c>
      <c r="H13232" s="705" t="s">
        <v>8392</v>
      </c>
    </row>
    <row r="13233" spans="1:8" ht="15" x14ac:dyDescent="0.2">
      <c r="A13233" s="734">
        <v>44842</v>
      </c>
      <c r="B13233" s="41" t="s">
        <v>7921</v>
      </c>
      <c r="C13233" s="76" t="s">
        <v>5741</v>
      </c>
      <c r="D13233" s="791" t="s">
        <v>5743</v>
      </c>
      <c r="E13233" s="704">
        <v>1000</v>
      </c>
      <c r="F13233" s="58"/>
      <c r="G13233" s="58">
        <f t="shared" si="212"/>
        <v>-1000</v>
      </c>
      <c r="H13233" s="705" t="s">
        <v>8392</v>
      </c>
    </row>
    <row r="13234" spans="1:8" ht="15" x14ac:dyDescent="0.2">
      <c r="A13234" s="734">
        <v>44842</v>
      </c>
      <c r="B13234" s="41" t="s">
        <v>16</v>
      </c>
      <c r="C13234" s="76" t="s">
        <v>103</v>
      </c>
      <c r="D13234" s="791" t="s">
        <v>8492</v>
      </c>
      <c r="E13234" s="704">
        <v>7160</v>
      </c>
      <c r="F13234" s="58"/>
      <c r="G13234" s="58">
        <f t="shared" si="212"/>
        <v>-7160</v>
      </c>
      <c r="H13234" s="705" t="s">
        <v>8392</v>
      </c>
    </row>
    <row r="13235" spans="1:8" ht="15" x14ac:dyDescent="0.2">
      <c r="A13235" s="734">
        <v>44845</v>
      </c>
      <c r="B13235" s="41" t="s">
        <v>1400</v>
      </c>
      <c r="C13235" s="76" t="s">
        <v>286</v>
      </c>
      <c r="D13235" s="791" t="s">
        <v>7592</v>
      </c>
      <c r="E13235" s="704">
        <v>100</v>
      </c>
      <c r="F13235" s="58"/>
      <c r="G13235" s="58">
        <f t="shared" si="212"/>
        <v>-100</v>
      </c>
      <c r="H13235" s="705" t="s">
        <v>8392</v>
      </c>
    </row>
    <row r="13236" spans="1:8" ht="15" x14ac:dyDescent="0.2">
      <c r="A13236" s="734">
        <v>44846</v>
      </c>
      <c r="B13236" s="41" t="s">
        <v>7921</v>
      </c>
      <c r="C13236" s="76" t="s">
        <v>3145</v>
      </c>
      <c r="D13236" s="791" t="s">
        <v>8467</v>
      </c>
      <c r="E13236" s="704">
        <v>2110</v>
      </c>
      <c r="F13236" s="58"/>
      <c r="G13236" s="58">
        <f t="shared" si="212"/>
        <v>-2110</v>
      </c>
      <c r="H13236" s="705" t="s">
        <v>8392</v>
      </c>
    </row>
    <row r="13237" spans="1:8" ht="15" x14ac:dyDescent="0.2">
      <c r="A13237" s="734">
        <v>44846</v>
      </c>
      <c r="B13237" s="41" t="s">
        <v>7657</v>
      </c>
      <c r="C13237" s="76" t="s">
        <v>3145</v>
      </c>
      <c r="D13237" s="791" t="s">
        <v>7507</v>
      </c>
      <c r="E13237" s="704">
        <v>20000</v>
      </c>
      <c r="F13237" s="58"/>
      <c r="G13237" s="58">
        <f t="shared" si="212"/>
        <v>-20000</v>
      </c>
      <c r="H13237" s="705" t="s">
        <v>8392</v>
      </c>
    </row>
    <row r="13238" spans="1:8" ht="15" x14ac:dyDescent="0.2">
      <c r="A13238" s="734">
        <v>44846</v>
      </c>
      <c r="B13238" s="41" t="s">
        <v>16</v>
      </c>
      <c r="C13238" s="76" t="s">
        <v>3145</v>
      </c>
      <c r="D13238" s="791" t="s">
        <v>8468</v>
      </c>
      <c r="E13238" s="704">
        <v>3000</v>
      </c>
      <c r="F13238" s="58"/>
      <c r="G13238" s="58">
        <f t="shared" si="212"/>
        <v>-3000</v>
      </c>
      <c r="H13238" s="705" t="s">
        <v>8392</v>
      </c>
    </row>
    <row r="13239" spans="1:8" ht="15" x14ac:dyDescent="0.2">
      <c r="A13239" s="734">
        <v>44846</v>
      </c>
      <c r="B13239" s="41" t="s">
        <v>7112</v>
      </c>
      <c r="C13239" s="76" t="s">
        <v>3145</v>
      </c>
      <c r="D13239" s="791" t="s">
        <v>7507</v>
      </c>
      <c r="E13239" s="704">
        <v>5000</v>
      </c>
      <c r="F13239" s="58"/>
      <c r="G13239" s="58">
        <f t="shared" si="212"/>
        <v>-5000</v>
      </c>
      <c r="H13239" s="705" t="s">
        <v>8392</v>
      </c>
    </row>
    <row r="13240" spans="1:8" ht="15" x14ac:dyDescent="0.2">
      <c r="A13240" s="734">
        <v>44846</v>
      </c>
      <c r="B13240" s="41" t="s">
        <v>1400</v>
      </c>
      <c r="C13240" s="76" t="s">
        <v>3145</v>
      </c>
      <c r="D13240" s="791" t="s">
        <v>7507</v>
      </c>
      <c r="E13240" s="704">
        <v>5000</v>
      </c>
      <c r="F13240" s="58"/>
      <c r="G13240" s="58">
        <f t="shared" si="212"/>
        <v>-5000</v>
      </c>
      <c r="H13240" s="705" t="s">
        <v>8392</v>
      </c>
    </row>
    <row r="13241" spans="1:8" ht="15" x14ac:dyDescent="0.2">
      <c r="A13241" s="734">
        <v>44846</v>
      </c>
      <c r="B13241" s="41" t="s">
        <v>2933</v>
      </c>
      <c r="C13241" s="76" t="s">
        <v>3145</v>
      </c>
      <c r="D13241" s="791" t="s">
        <v>7507</v>
      </c>
      <c r="E13241" s="704">
        <v>5000</v>
      </c>
      <c r="F13241" s="58"/>
      <c r="G13241" s="58">
        <f t="shared" si="212"/>
        <v>-5000</v>
      </c>
      <c r="H13241" s="705" t="s">
        <v>8392</v>
      </c>
    </row>
    <row r="13242" spans="1:8" ht="15" x14ac:dyDescent="0.2">
      <c r="A13242" s="734">
        <v>44846</v>
      </c>
      <c r="B13242" s="41" t="s">
        <v>37</v>
      </c>
      <c r="C13242" s="76" t="s">
        <v>3145</v>
      </c>
      <c r="D13242" s="791" t="s">
        <v>7507</v>
      </c>
      <c r="E13242" s="704">
        <v>4000</v>
      </c>
      <c r="F13242" s="58"/>
      <c r="G13242" s="58">
        <f t="shared" si="212"/>
        <v>-4000</v>
      </c>
      <c r="H13242" s="705" t="s">
        <v>8392</v>
      </c>
    </row>
    <row r="13243" spans="1:8" ht="15" x14ac:dyDescent="0.2">
      <c r="A13243" s="734">
        <v>44846</v>
      </c>
      <c r="B13243" s="41" t="s">
        <v>4553</v>
      </c>
      <c r="C13243" s="76" t="s">
        <v>3145</v>
      </c>
      <c r="D13243" s="791" t="s">
        <v>7507</v>
      </c>
      <c r="E13243" s="704">
        <v>2000</v>
      </c>
      <c r="F13243" s="58"/>
      <c r="G13243" s="58">
        <f t="shared" si="212"/>
        <v>-2000</v>
      </c>
      <c r="H13243" s="705" t="s">
        <v>8392</v>
      </c>
    </row>
    <row r="13244" spans="1:8" ht="15" x14ac:dyDescent="0.2">
      <c r="A13244" s="734">
        <v>44846</v>
      </c>
      <c r="B13244" s="41" t="s">
        <v>7921</v>
      </c>
      <c r="C13244" s="76" t="s">
        <v>8188</v>
      </c>
      <c r="D13244" s="791" t="s">
        <v>8482</v>
      </c>
      <c r="E13244" s="704">
        <v>50000</v>
      </c>
      <c r="F13244" s="58"/>
      <c r="G13244" s="58">
        <f t="shared" si="212"/>
        <v>-50000</v>
      </c>
      <c r="H13244" s="705" t="s">
        <v>8392</v>
      </c>
    </row>
    <row r="13245" spans="1:8" ht="15" x14ac:dyDescent="0.2">
      <c r="A13245" s="734">
        <v>44846</v>
      </c>
      <c r="B13245" s="41" t="s">
        <v>16</v>
      </c>
      <c r="C13245" s="76" t="s">
        <v>103</v>
      </c>
      <c r="D13245" s="791" t="s">
        <v>8492</v>
      </c>
      <c r="E13245" s="704">
        <v>2625</v>
      </c>
      <c r="F13245" s="58"/>
      <c r="G13245" s="58">
        <f t="shared" si="212"/>
        <v>-2625</v>
      </c>
      <c r="H13245" s="705" t="s">
        <v>8392</v>
      </c>
    </row>
    <row r="13246" spans="1:8" ht="15" x14ac:dyDescent="0.2">
      <c r="A13246" s="734">
        <v>44846</v>
      </c>
      <c r="B13246" s="41" t="s">
        <v>7921</v>
      </c>
      <c r="C13246" s="76" t="s">
        <v>392</v>
      </c>
      <c r="D13246" s="791" t="s">
        <v>8513</v>
      </c>
      <c r="E13246" s="704">
        <v>1000</v>
      </c>
      <c r="F13246" s="58"/>
      <c r="G13246" s="58">
        <f t="shared" si="212"/>
        <v>-1000</v>
      </c>
      <c r="H13246" s="705" t="s">
        <v>8392</v>
      </c>
    </row>
    <row r="13247" spans="1:8" ht="15" x14ac:dyDescent="0.2">
      <c r="A13247" s="734">
        <v>44847</v>
      </c>
      <c r="B13247" s="41" t="s">
        <v>16</v>
      </c>
      <c r="C13247" s="76" t="s">
        <v>3364</v>
      </c>
      <c r="D13247" s="791"/>
      <c r="E13247" s="704">
        <v>5210</v>
      </c>
      <c r="F13247" s="58"/>
      <c r="G13247" s="58">
        <f t="shared" si="212"/>
        <v>-5210</v>
      </c>
      <c r="H13247" s="705" t="s">
        <v>8392</v>
      </c>
    </row>
    <row r="13248" spans="1:8" ht="15" x14ac:dyDescent="0.2">
      <c r="A13248" s="734">
        <v>44847</v>
      </c>
      <c r="B13248" s="41" t="s">
        <v>7921</v>
      </c>
      <c r="C13248" s="76" t="s">
        <v>8037</v>
      </c>
      <c r="D13248" s="791" t="s">
        <v>8483</v>
      </c>
      <c r="E13248" s="704">
        <v>50000</v>
      </c>
      <c r="F13248" s="58"/>
      <c r="G13248" s="58">
        <f t="shared" si="212"/>
        <v>-50000</v>
      </c>
      <c r="H13248" s="705" t="s">
        <v>8392</v>
      </c>
    </row>
    <row r="13249" spans="1:8" ht="15" x14ac:dyDescent="0.2">
      <c r="A13249" s="734">
        <v>44847</v>
      </c>
      <c r="B13249" s="41" t="s">
        <v>25</v>
      </c>
      <c r="C13249" s="76" t="s">
        <v>8150</v>
      </c>
      <c r="D13249" s="791" t="s">
        <v>8493</v>
      </c>
      <c r="E13249" s="704">
        <v>6010</v>
      </c>
      <c r="F13249" s="58"/>
      <c r="G13249" s="58">
        <f t="shared" si="212"/>
        <v>-6010</v>
      </c>
      <c r="H13249" s="705" t="s">
        <v>8392</v>
      </c>
    </row>
    <row r="13250" spans="1:8" ht="15" x14ac:dyDescent="0.2">
      <c r="A13250" s="734">
        <v>44847</v>
      </c>
      <c r="B13250" s="41" t="s">
        <v>16</v>
      </c>
      <c r="C13250" s="76" t="s">
        <v>8150</v>
      </c>
      <c r="D13250" s="791" t="s">
        <v>8493</v>
      </c>
      <c r="E13250" s="704">
        <v>2370</v>
      </c>
      <c r="F13250" s="58"/>
      <c r="G13250" s="58">
        <f t="shared" si="212"/>
        <v>-2370</v>
      </c>
      <c r="H13250" s="705" t="s">
        <v>8392</v>
      </c>
    </row>
    <row r="13251" spans="1:8" ht="15" x14ac:dyDescent="0.2">
      <c r="A13251" s="734">
        <v>44847</v>
      </c>
      <c r="B13251" s="41" t="s">
        <v>16</v>
      </c>
      <c r="C13251" s="76" t="s">
        <v>6053</v>
      </c>
      <c r="D13251" s="791" t="s">
        <v>8484</v>
      </c>
      <c r="E13251" s="704">
        <v>6500</v>
      </c>
      <c r="F13251" s="58"/>
      <c r="G13251" s="58">
        <f t="shared" si="212"/>
        <v>-6500</v>
      </c>
      <c r="H13251" s="705" t="s">
        <v>8392</v>
      </c>
    </row>
    <row r="13252" spans="1:8" ht="15" x14ac:dyDescent="0.2">
      <c r="A13252" s="734">
        <v>44847</v>
      </c>
      <c r="B13252" s="41" t="s">
        <v>7921</v>
      </c>
      <c r="C13252" s="76" t="s">
        <v>3145</v>
      </c>
      <c r="D13252" s="791" t="s">
        <v>8197</v>
      </c>
      <c r="E13252" s="704">
        <v>44000</v>
      </c>
      <c r="F13252" s="58"/>
      <c r="G13252" s="58">
        <f t="shared" si="212"/>
        <v>-44000</v>
      </c>
      <c r="H13252" s="705" t="s">
        <v>8392</v>
      </c>
    </row>
    <row r="13253" spans="1:8" ht="15" x14ac:dyDescent="0.2">
      <c r="A13253" s="734">
        <v>44847</v>
      </c>
      <c r="B13253" s="41" t="s">
        <v>7921</v>
      </c>
      <c r="C13253" s="76" t="s">
        <v>8232</v>
      </c>
      <c r="D13253" s="791" t="s">
        <v>2711</v>
      </c>
      <c r="E13253" s="704">
        <v>12000</v>
      </c>
      <c r="F13253" s="58"/>
      <c r="G13253" s="58">
        <f t="shared" ref="G13253:G13316" si="213">F13253-E13253</f>
        <v>-12000</v>
      </c>
      <c r="H13253" s="705" t="s">
        <v>8392</v>
      </c>
    </row>
    <row r="13254" spans="1:8" ht="15" x14ac:dyDescent="0.2">
      <c r="A13254" s="734">
        <v>44848</v>
      </c>
      <c r="B13254" s="41" t="s">
        <v>2933</v>
      </c>
      <c r="C13254" s="76" t="s">
        <v>2503</v>
      </c>
      <c r="D13254" s="791" t="s">
        <v>8491</v>
      </c>
      <c r="E13254" s="704">
        <v>16100</v>
      </c>
      <c r="F13254" s="58"/>
      <c r="G13254" s="58">
        <f t="shared" si="213"/>
        <v>-16100</v>
      </c>
      <c r="H13254" s="705" t="s">
        <v>8392</v>
      </c>
    </row>
    <row r="13255" spans="1:8" ht="15" x14ac:dyDescent="0.2">
      <c r="A13255" s="734">
        <v>44848</v>
      </c>
      <c r="B13255" s="41" t="s">
        <v>16</v>
      </c>
      <c r="C13255" s="76" t="s">
        <v>103</v>
      </c>
      <c r="D13255" s="791" t="s">
        <v>8494</v>
      </c>
      <c r="E13255" s="704">
        <v>800</v>
      </c>
      <c r="F13255" s="58"/>
      <c r="G13255" s="58">
        <f t="shared" si="213"/>
        <v>-800</v>
      </c>
      <c r="H13255" s="705" t="s">
        <v>8392</v>
      </c>
    </row>
    <row r="13256" spans="1:8" ht="15" x14ac:dyDescent="0.2">
      <c r="A13256" s="734">
        <v>44848</v>
      </c>
      <c r="B13256" s="41" t="s">
        <v>7921</v>
      </c>
      <c r="C13256" s="76" t="s">
        <v>286</v>
      </c>
      <c r="D13256" s="791" t="s">
        <v>8485</v>
      </c>
      <c r="E13256" s="704">
        <v>700</v>
      </c>
      <c r="F13256" s="58"/>
      <c r="G13256" s="58">
        <f t="shared" si="213"/>
        <v>-700</v>
      </c>
      <c r="H13256" s="705" t="s">
        <v>8392</v>
      </c>
    </row>
    <row r="13257" spans="1:8" ht="15" x14ac:dyDescent="0.2">
      <c r="A13257" s="734">
        <v>44848</v>
      </c>
      <c r="B13257" s="41" t="s">
        <v>6953</v>
      </c>
      <c r="C13257" s="76" t="s">
        <v>392</v>
      </c>
      <c r="D13257" s="791" t="s">
        <v>8486</v>
      </c>
      <c r="E13257" s="704">
        <v>5000</v>
      </c>
      <c r="F13257" s="58"/>
      <c r="G13257" s="58">
        <f t="shared" si="213"/>
        <v>-5000</v>
      </c>
      <c r="H13257" s="705" t="s">
        <v>8392</v>
      </c>
    </row>
    <row r="13258" spans="1:8" ht="15" x14ac:dyDescent="0.2">
      <c r="A13258" s="734">
        <v>44848</v>
      </c>
      <c r="B13258" s="41" t="s">
        <v>7921</v>
      </c>
      <c r="C13258" s="76" t="s">
        <v>6967</v>
      </c>
      <c r="D13258" s="791" t="s">
        <v>8487</v>
      </c>
      <c r="E13258" s="704">
        <v>7000</v>
      </c>
      <c r="F13258" s="58"/>
      <c r="G13258" s="58">
        <f t="shared" si="213"/>
        <v>-7000</v>
      </c>
      <c r="H13258" s="705" t="s">
        <v>8392</v>
      </c>
    </row>
    <row r="13259" spans="1:8" ht="15" x14ac:dyDescent="0.2">
      <c r="A13259" s="734">
        <v>44848</v>
      </c>
      <c r="B13259" s="41" t="s">
        <v>3946</v>
      </c>
      <c r="C13259" s="76" t="s">
        <v>7777</v>
      </c>
      <c r="D13259" s="791" t="s">
        <v>8488</v>
      </c>
      <c r="E13259" s="704">
        <v>5000</v>
      </c>
      <c r="F13259" s="58"/>
      <c r="G13259" s="58">
        <f t="shared" si="213"/>
        <v>-5000</v>
      </c>
      <c r="H13259" s="705" t="s">
        <v>8392</v>
      </c>
    </row>
    <row r="13260" spans="1:8" ht="15" x14ac:dyDescent="0.2">
      <c r="A13260" s="734">
        <v>44848</v>
      </c>
      <c r="B13260" s="41" t="s">
        <v>8043</v>
      </c>
      <c r="C13260" s="76" t="s">
        <v>4876</v>
      </c>
      <c r="D13260" s="791" t="s">
        <v>8376</v>
      </c>
      <c r="E13260" s="704">
        <v>4500</v>
      </c>
      <c r="F13260" s="58"/>
      <c r="G13260" s="58">
        <f t="shared" si="213"/>
        <v>-4500</v>
      </c>
      <c r="H13260" s="705" t="s">
        <v>8392</v>
      </c>
    </row>
    <row r="13261" spans="1:8" ht="15" x14ac:dyDescent="0.2">
      <c r="A13261" s="734">
        <v>44849</v>
      </c>
      <c r="B13261" s="41" t="s">
        <v>7921</v>
      </c>
      <c r="C13261" s="76" t="s">
        <v>3145</v>
      </c>
      <c r="D13261" s="791" t="s">
        <v>8489</v>
      </c>
      <c r="E13261" s="704">
        <v>60300</v>
      </c>
      <c r="F13261" s="58"/>
      <c r="G13261" s="58">
        <f t="shared" si="213"/>
        <v>-60300</v>
      </c>
      <c r="H13261" s="705" t="s">
        <v>8392</v>
      </c>
    </row>
    <row r="13262" spans="1:8" ht="15" x14ac:dyDescent="0.2">
      <c r="A13262" s="734">
        <v>44849</v>
      </c>
      <c r="B13262" s="41" t="s">
        <v>16</v>
      </c>
      <c r="C13262" s="76" t="s">
        <v>103</v>
      </c>
      <c r="D13262" s="791" t="s">
        <v>8492</v>
      </c>
      <c r="E13262" s="704">
        <v>5855</v>
      </c>
      <c r="F13262" s="58"/>
      <c r="G13262" s="58">
        <f t="shared" si="213"/>
        <v>-5855</v>
      </c>
      <c r="H13262" s="705" t="s">
        <v>8392</v>
      </c>
    </row>
    <row r="13263" spans="1:8" ht="15" x14ac:dyDescent="0.2">
      <c r="A13263" s="734">
        <v>44849</v>
      </c>
      <c r="B13263" s="41" t="s">
        <v>25</v>
      </c>
      <c r="C13263" s="76" t="s">
        <v>392</v>
      </c>
      <c r="D13263" s="791" t="s">
        <v>8496</v>
      </c>
      <c r="E13263" s="704">
        <v>4000</v>
      </c>
      <c r="F13263" s="58"/>
      <c r="G13263" s="58">
        <f t="shared" si="213"/>
        <v>-4000</v>
      </c>
      <c r="H13263" s="705" t="s">
        <v>8392</v>
      </c>
    </row>
    <row r="13264" spans="1:8" ht="15" x14ac:dyDescent="0.2">
      <c r="A13264" s="734">
        <v>44849</v>
      </c>
      <c r="B13264" s="41" t="s">
        <v>7921</v>
      </c>
      <c r="C13264" s="76" t="s">
        <v>286</v>
      </c>
      <c r="D13264" s="791" t="s">
        <v>8497</v>
      </c>
      <c r="E13264" s="704">
        <v>400</v>
      </c>
      <c r="F13264" s="58"/>
      <c r="G13264" s="58">
        <f t="shared" si="213"/>
        <v>-400</v>
      </c>
      <c r="H13264" s="705" t="s">
        <v>8392</v>
      </c>
    </row>
    <row r="13265" spans="1:8" ht="15" x14ac:dyDescent="0.2">
      <c r="A13265" s="734">
        <v>44849</v>
      </c>
      <c r="B13265" s="41" t="s">
        <v>8339</v>
      </c>
      <c r="C13265" s="76" t="s">
        <v>790</v>
      </c>
      <c r="D13265" s="791"/>
      <c r="E13265" s="704">
        <v>320</v>
      </c>
      <c r="F13265" s="58"/>
      <c r="G13265" s="58">
        <f t="shared" si="213"/>
        <v>-320</v>
      </c>
      <c r="H13265" s="705" t="s">
        <v>8392</v>
      </c>
    </row>
    <row r="13266" spans="1:8" ht="15" x14ac:dyDescent="0.2">
      <c r="A13266" s="734">
        <v>44849</v>
      </c>
      <c r="B13266" s="41" t="s">
        <v>7921</v>
      </c>
      <c r="C13266" s="76" t="s">
        <v>790</v>
      </c>
      <c r="D13266" s="791"/>
      <c r="E13266" s="704">
        <v>340</v>
      </c>
      <c r="F13266" s="58"/>
      <c r="G13266" s="58">
        <f t="shared" si="213"/>
        <v>-340</v>
      </c>
      <c r="H13266" s="705" t="s">
        <v>8392</v>
      </c>
    </row>
    <row r="13267" spans="1:8" ht="15" x14ac:dyDescent="0.2">
      <c r="A13267" s="734">
        <v>44849</v>
      </c>
      <c r="B13267" s="41" t="s">
        <v>8339</v>
      </c>
      <c r="C13267" s="76" t="s">
        <v>790</v>
      </c>
      <c r="D13267" s="791"/>
      <c r="E13267" s="704">
        <v>340</v>
      </c>
      <c r="F13267" s="58"/>
      <c r="G13267" s="58">
        <f t="shared" si="213"/>
        <v>-340</v>
      </c>
      <c r="H13267" s="705" t="s">
        <v>8392</v>
      </c>
    </row>
    <row r="13268" spans="1:8" ht="15" x14ac:dyDescent="0.2">
      <c r="A13268" s="734">
        <v>44849</v>
      </c>
      <c r="B13268" s="41" t="s">
        <v>8339</v>
      </c>
      <c r="C13268" s="76" t="s">
        <v>790</v>
      </c>
      <c r="D13268" s="791"/>
      <c r="E13268" s="704">
        <v>1310</v>
      </c>
      <c r="F13268" s="58"/>
      <c r="G13268" s="58">
        <f t="shared" si="213"/>
        <v>-1310</v>
      </c>
      <c r="H13268" s="705" t="s">
        <v>8392</v>
      </c>
    </row>
    <row r="13269" spans="1:8" ht="15" x14ac:dyDescent="0.2">
      <c r="A13269" s="734">
        <v>44849</v>
      </c>
      <c r="B13269" s="41" t="s">
        <v>8339</v>
      </c>
      <c r="C13269" s="76" t="s">
        <v>790</v>
      </c>
      <c r="D13269" s="791"/>
      <c r="E13269" s="704">
        <v>200</v>
      </c>
      <c r="F13269" s="58"/>
      <c r="G13269" s="58">
        <f t="shared" si="213"/>
        <v>-200</v>
      </c>
      <c r="H13269" s="705" t="s">
        <v>8392</v>
      </c>
    </row>
    <row r="13270" spans="1:8" ht="15" x14ac:dyDescent="0.2">
      <c r="A13270" s="734">
        <v>44849</v>
      </c>
      <c r="B13270" s="41" t="s">
        <v>7112</v>
      </c>
      <c r="C13270" s="76" t="s">
        <v>790</v>
      </c>
      <c r="D13270" s="791"/>
      <c r="E13270" s="704">
        <v>600</v>
      </c>
      <c r="F13270" s="58"/>
      <c r="G13270" s="58">
        <f t="shared" si="213"/>
        <v>-600</v>
      </c>
      <c r="H13270" s="705" t="s">
        <v>8392</v>
      </c>
    </row>
    <row r="13271" spans="1:8" ht="15" x14ac:dyDescent="0.2">
      <c r="A13271" s="734">
        <v>44849</v>
      </c>
      <c r="B13271" s="41" t="s">
        <v>6505</v>
      </c>
      <c r="C13271" s="76" t="s">
        <v>790</v>
      </c>
      <c r="D13271" s="791" t="s">
        <v>8499</v>
      </c>
      <c r="E13271" s="704">
        <v>2000</v>
      </c>
      <c r="F13271" s="58"/>
      <c r="G13271" s="58">
        <f t="shared" si="213"/>
        <v>-2000</v>
      </c>
      <c r="H13271" s="705" t="s">
        <v>8392</v>
      </c>
    </row>
    <row r="13272" spans="1:8" ht="15" x14ac:dyDescent="0.2">
      <c r="A13272" s="734">
        <v>44849</v>
      </c>
      <c r="B13272" s="41" t="s">
        <v>8043</v>
      </c>
      <c r="C13272" s="76" t="s">
        <v>5741</v>
      </c>
      <c r="D13272" s="791" t="s">
        <v>7934</v>
      </c>
      <c r="E13272" s="704">
        <v>500</v>
      </c>
      <c r="F13272" s="58"/>
      <c r="G13272" s="58">
        <f t="shared" si="213"/>
        <v>-500</v>
      </c>
      <c r="H13272" s="705" t="s">
        <v>8392</v>
      </c>
    </row>
    <row r="13273" spans="1:8" ht="15" x14ac:dyDescent="0.2">
      <c r="A13273" s="734">
        <v>44851</v>
      </c>
      <c r="B13273" s="41" t="s">
        <v>2933</v>
      </c>
      <c r="C13273" s="76" t="s">
        <v>3145</v>
      </c>
      <c r="D13273" s="791" t="s">
        <v>6344</v>
      </c>
      <c r="E13273" s="704">
        <v>8870</v>
      </c>
      <c r="F13273" s="58"/>
      <c r="G13273" s="58">
        <f t="shared" si="213"/>
        <v>-8870</v>
      </c>
      <c r="H13273" s="705" t="s">
        <v>8392</v>
      </c>
    </row>
    <row r="13274" spans="1:8" ht="15" x14ac:dyDescent="0.2">
      <c r="A13274" s="734">
        <v>44851</v>
      </c>
      <c r="B13274" s="41" t="s">
        <v>2933</v>
      </c>
      <c r="C13274" s="76" t="s">
        <v>3145</v>
      </c>
      <c r="D13274" s="791" t="s">
        <v>6344</v>
      </c>
      <c r="E13274" s="704">
        <v>8540</v>
      </c>
      <c r="F13274" s="58"/>
      <c r="G13274" s="58">
        <f t="shared" si="213"/>
        <v>-8540</v>
      </c>
      <c r="H13274" s="705" t="s">
        <v>8392</v>
      </c>
    </row>
    <row r="13275" spans="1:8" ht="15" x14ac:dyDescent="0.2">
      <c r="A13275" s="734">
        <v>44851</v>
      </c>
      <c r="B13275" s="41" t="s">
        <v>2933</v>
      </c>
      <c r="C13275" s="76" t="s">
        <v>3145</v>
      </c>
      <c r="D13275" s="791" t="s">
        <v>8490</v>
      </c>
      <c r="E13275" s="704">
        <v>7400</v>
      </c>
      <c r="F13275" s="58"/>
      <c r="G13275" s="58">
        <f t="shared" si="213"/>
        <v>-7400</v>
      </c>
      <c r="H13275" s="705" t="s">
        <v>8392</v>
      </c>
    </row>
    <row r="13276" spans="1:8" ht="15" x14ac:dyDescent="0.2">
      <c r="A13276" s="734">
        <v>44852</v>
      </c>
      <c r="B13276" s="41" t="s">
        <v>8043</v>
      </c>
      <c r="C13276" s="76" t="s">
        <v>5741</v>
      </c>
      <c r="D13276" s="791" t="s">
        <v>8498</v>
      </c>
      <c r="E13276" s="704">
        <v>500</v>
      </c>
      <c r="F13276" s="58"/>
      <c r="G13276" s="58">
        <f t="shared" si="213"/>
        <v>-500</v>
      </c>
      <c r="H13276" s="705" t="s">
        <v>8392</v>
      </c>
    </row>
    <row r="13277" spans="1:8" ht="15" x14ac:dyDescent="0.2">
      <c r="A13277" s="734">
        <v>44852</v>
      </c>
      <c r="B13277" s="41" t="s">
        <v>7921</v>
      </c>
      <c r="C13277" s="76" t="s">
        <v>3145</v>
      </c>
      <c r="D13277" s="791" t="s">
        <v>4309</v>
      </c>
      <c r="E13277" s="704">
        <v>4080</v>
      </c>
      <c r="F13277" s="58"/>
      <c r="G13277" s="58">
        <f t="shared" si="213"/>
        <v>-4080</v>
      </c>
      <c r="H13277" s="705" t="s">
        <v>8392</v>
      </c>
    </row>
    <row r="13278" spans="1:8" ht="15" x14ac:dyDescent="0.2">
      <c r="A13278" s="734">
        <v>44852</v>
      </c>
      <c r="B13278" s="41" t="s">
        <v>16</v>
      </c>
      <c r="C13278" s="76" t="s">
        <v>3843</v>
      </c>
      <c r="D13278" s="791" t="s">
        <v>8492</v>
      </c>
      <c r="E13278" s="704">
        <v>4655</v>
      </c>
      <c r="F13278" s="58"/>
      <c r="G13278" s="58">
        <f t="shared" si="213"/>
        <v>-4655</v>
      </c>
      <c r="H13278" s="705" t="s">
        <v>8392</v>
      </c>
    </row>
    <row r="13279" spans="1:8" ht="15" x14ac:dyDescent="0.2">
      <c r="A13279" s="734">
        <v>44852</v>
      </c>
      <c r="B13279" s="41" t="s">
        <v>7921</v>
      </c>
      <c r="C13279" s="76" t="s">
        <v>392</v>
      </c>
      <c r="D13279" s="791" t="s">
        <v>8513</v>
      </c>
      <c r="E13279" s="704">
        <v>1000</v>
      </c>
      <c r="F13279" s="58"/>
      <c r="G13279" s="58">
        <f t="shared" si="213"/>
        <v>-1000</v>
      </c>
      <c r="H13279" s="705" t="s">
        <v>8392</v>
      </c>
    </row>
    <row r="13280" spans="1:8" ht="15" x14ac:dyDescent="0.2">
      <c r="A13280" s="734">
        <v>44852</v>
      </c>
      <c r="B13280" s="41" t="s">
        <v>8043</v>
      </c>
      <c r="C13280" s="76" t="s">
        <v>392</v>
      </c>
      <c r="D13280" s="791" t="s">
        <v>8513</v>
      </c>
      <c r="E13280" s="704">
        <v>1000</v>
      </c>
      <c r="F13280" s="58"/>
      <c r="G13280" s="58">
        <f t="shared" si="213"/>
        <v>-1000</v>
      </c>
      <c r="H13280" s="705" t="s">
        <v>8392</v>
      </c>
    </row>
    <row r="13281" spans="1:8" ht="15" x14ac:dyDescent="0.2">
      <c r="A13281" s="734">
        <v>44852</v>
      </c>
      <c r="B13281" s="41" t="s">
        <v>2933</v>
      </c>
      <c r="C13281" s="76" t="s">
        <v>4876</v>
      </c>
      <c r="D13281" s="791" t="s">
        <v>8500</v>
      </c>
      <c r="E13281" s="704">
        <v>9900</v>
      </c>
      <c r="F13281" s="58"/>
      <c r="G13281" s="58">
        <f t="shared" si="213"/>
        <v>-9900</v>
      </c>
      <c r="H13281" s="705" t="s">
        <v>8392</v>
      </c>
    </row>
    <row r="13282" spans="1:8" ht="15" x14ac:dyDescent="0.2">
      <c r="A13282" s="734">
        <v>44852</v>
      </c>
      <c r="B13282" s="41" t="s">
        <v>7112</v>
      </c>
      <c r="C13282" s="76" t="s">
        <v>3145</v>
      </c>
      <c r="D13282" s="791" t="s">
        <v>8501</v>
      </c>
      <c r="E13282" s="704">
        <v>109000</v>
      </c>
      <c r="F13282" s="58"/>
      <c r="G13282" s="58">
        <f t="shared" si="213"/>
        <v>-109000</v>
      </c>
      <c r="H13282" s="705" t="s">
        <v>8392</v>
      </c>
    </row>
    <row r="13283" spans="1:8" ht="15" x14ac:dyDescent="0.2">
      <c r="A13283" s="734">
        <v>44853</v>
      </c>
      <c r="B13283" s="41" t="s">
        <v>8339</v>
      </c>
      <c r="C13283" s="76" t="s">
        <v>8502</v>
      </c>
      <c r="D13283" s="791" t="s">
        <v>8254</v>
      </c>
      <c r="E13283" s="704">
        <v>50000</v>
      </c>
      <c r="F13283" s="58"/>
      <c r="G13283" s="58">
        <f t="shared" si="213"/>
        <v>-50000</v>
      </c>
      <c r="H13283" s="705" t="s">
        <v>8392</v>
      </c>
    </row>
    <row r="13284" spans="1:8" ht="15" x14ac:dyDescent="0.2">
      <c r="A13284" s="734">
        <v>44853</v>
      </c>
      <c r="B13284" s="41" t="s">
        <v>7112</v>
      </c>
      <c r="C13284" s="76" t="s">
        <v>8082</v>
      </c>
      <c r="D13284" s="791" t="s">
        <v>8512</v>
      </c>
      <c r="E13284" s="704">
        <v>5000</v>
      </c>
      <c r="F13284" s="58"/>
      <c r="G13284" s="58">
        <f t="shared" si="213"/>
        <v>-5000</v>
      </c>
      <c r="H13284" s="705" t="s">
        <v>8392</v>
      </c>
    </row>
    <row r="13285" spans="1:8" ht="15" x14ac:dyDescent="0.2">
      <c r="A13285" s="734">
        <v>44853</v>
      </c>
      <c r="B13285" s="41" t="s">
        <v>37</v>
      </c>
      <c r="C13285" s="76" t="s">
        <v>286</v>
      </c>
      <c r="D13285" s="791" t="s">
        <v>5384</v>
      </c>
      <c r="E13285" s="704">
        <v>2000</v>
      </c>
      <c r="F13285" s="58"/>
      <c r="G13285" s="58">
        <f t="shared" si="213"/>
        <v>-2000</v>
      </c>
      <c r="H13285" s="705" t="s">
        <v>8392</v>
      </c>
    </row>
    <row r="13286" spans="1:8" ht="15" x14ac:dyDescent="0.2">
      <c r="A13286" s="734">
        <v>44853</v>
      </c>
      <c r="B13286" s="41" t="s">
        <v>2933</v>
      </c>
      <c r="C13286" s="76" t="s">
        <v>286</v>
      </c>
      <c r="D13286" s="791" t="s">
        <v>5384</v>
      </c>
      <c r="E13286" s="704">
        <v>3000</v>
      </c>
      <c r="F13286" s="58"/>
      <c r="G13286" s="58">
        <f t="shared" si="213"/>
        <v>-3000</v>
      </c>
      <c r="H13286" s="705" t="s">
        <v>8392</v>
      </c>
    </row>
    <row r="13287" spans="1:8" ht="15" x14ac:dyDescent="0.2">
      <c r="A13287" s="734">
        <v>44853</v>
      </c>
      <c r="B13287" s="41" t="s">
        <v>7921</v>
      </c>
      <c r="C13287" s="76" t="s">
        <v>286</v>
      </c>
      <c r="D13287" s="791" t="s">
        <v>5384</v>
      </c>
      <c r="E13287" s="704">
        <v>2000</v>
      </c>
      <c r="F13287" s="58"/>
      <c r="G13287" s="58">
        <f t="shared" si="213"/>
        <v>-2000</v>
      </c>
      <c r="H13287" s="705" t="s">
        <v>8392</v>
      </c>
    </row>
    <row r="13288" spans="1:8" ht="15" x14ac:dyDescent="0.2">
      <c r="A13288" s="734">
        <v>44853</v>
      </c>
      <c r="B13288" s="41" t="s">
        <v>8043</v>
      </c>
      <c r="C13288" s="550" t="s">
        <v>3145</v>
      </c>
      <c r="D13288" s="904" t="s">
        <v>8503</v>
      </c>
      <c r="E13288" s="706">
        <v>4000</v>
      </c>
      <c r="F13288" s="58"/>
      <c r="G13288" s="58">
        <f t="shared" si="213"/>
        <v>-4000</v>
      </c>
      <c r="H13288" s="705" t="s">
        <v>8392</v>
      </c>
    </row>
    <row r="13289" spans="1:8" ht="15" x14ac:dyDescent="0.2">
      <c r="A13289" s="734">
        <v>44853</v>
      </c>
      <c r="B13289" s="41" t="s">
        <v>7921</v>
      </c>
      <c r="C13289" s="550" t="s">
        <v>3145</v>
      </c>
      <c r="D13289" s="904" t="s">
        <v>8503</v>
      </c>
      <c r="E13289" s="706">
        <v>4000</v>
      </c>
      <c r="F13289" s="58"/>
      <c r="G13289" s="58">
        <f t="shared" si="213"/>
        <v>-4000</v>
      </c>
      <c r="H13289" s="705" t="s">
        <v>8392</v>
      </c>
    </row>
    <row r="13290" spans="1:8" ht="15" x14ac:dyDescent="0.2">
      <c r="A13290" s="734">
        <v>44853</v>
      </c>
      <c r="B13290" s="41" t="s">
        <v>6505</v>
      </c>
      <c r="C13290" s="550" t="s">
        <v>3145</v>
      </c>
      <c r="D13290" s="904" t="s">
        <v>8503</v>
      </c>
      <c r="E13290" s="706">
        <v>4000</v>
      </c>
      <c r="F13290" s="58"/>
      <c r="G13290" s="58">
        <f t="shared" si="213"/>
        <v>-4000</v>
      </c>
      <c r="H13290" s="705" t="s">
        <v>8392</v>
      </c>
    </row>
    <row r="13291" spans="1:8" ht="15" x14ac:dyDescent="0.2">
      <c r="A13291" s="734">
        <v>44853</v>
      </c>
      <c r="B13291" s="41" t="s">
        <v>8339</v>
      </c>
      <c r="C13291" s="550" t="s">
        <v>3145</v>
      </c>
      <c r="D13291" s="904" t="s">
        <v>8503</v>
      </c>
      <c r="E13291" s="706">
        <v>4000</v>
      </c>
      <c r="F13291" s="58"/>
      <c r="G13291" s="58">
        <f t="shared" si="213"/>
        <v>-4000</v>
      </c>
      <c r="H13291" s="705" t="s">
        <v>8392</v>
      </c>
    </row>
    <row r="13292" spans="1:8" ht="15" x14ac:dyDescent="0.2">
      <c r="A13292" s="734">
        <v>44853</v>
      </c>
      <c r="B13292" s="41" t="s">
        <v>7921</v>
      </c>
      <c r="C13292" s="76" t="s">
        <v>392</v>
      </c>
      <c r="D13292" s="791" t="s">
        <v>8504</v>
      </c>
      <c r="E13292" s="704">
        <v>780</v>
      </c>
      <c r="F13292" s="58"/>
      <c r="G13292" s="58">
        <f t="shared" si="213"/>
        <v>-780</v>
      </c>
      <c r="H13292" s="705" t="s">
        <v>8392</v>
      </c>
    </row>
    <row r="13293" spans="1:8" ht="15" x14ac:dyDescent="0.2">
      <c r="A13293" s="734">
        <v>44853</v>
      </c>
      <c r="B13293" s="41" t="s">
        <v>7921</v>
      </c>
      <c r="C13293" s="76" t="s">
        <v>3145</v>
      </c>
      <c r="D13293" s="791" t="s">
        <v>8505</v>
      </c>
      <c r="E13293" s="704">
        <v>16000</v>
      </c>
      <c r="F13293" s="58"/>
      <c r="G13293" s="58">
        <f t="shared" si="213"/>
        <v>-16000</v>
      </c>
      <c r="H13293" s="705" t="s">
        <v>8392</v>
      </c>
    </row>
    <row r="13294" spans="1:8" ht="15" x14ac:dyDescent="0.2">
      <c r="A13294" s="734">
        <v>44854</v>
      </c>
      <c r="B13294" s="41" t="s">
        <v>7921</v>
      </c>
      <c r="C13294" s="76" t="s">
        <v>8188</v>
      </c>
      <c r="D13294" s="791" t="s">
        <v>7543</v>
      </c>
      <c r="E13294" s="704">
        <v>50000</v>
      </c>
      <c r="F13294" s="58"/>
      <c r="G13294" s="58">
        <f t="shared" si="213"/>
        <v>-50000</v>
      </c>
      <c r="H13294" s="705" t="s">
        <v>8392</v>
      </c>
    </row>
    <row r="13295" spans="1:8" ht="15" x14ac:dyDescent="0.2">
      <c r="A13295" s="734">
        <v>44854</v>
      </c>
      <c r="B13295" s="41" t="s">
        <v>8043</v>
      </c>
      <c r="C13295" s="76" t="s">
        <v>5741</v>
      </c>
      <c r="D13295" s="791" t="s">
        <v>370</v>
      </c>
      <c r="E13295" s="704">
        <v>500</v>
      </c>
      <c r="F13295" s="58"/>
      <c r="G13295" s="58">
        <f t="shared" si="213"/>
        <v>-500</v>
      </c>
      <c r="H13295" s="705" t="s">
        <v>8392</v>
      </c>
    </row>
    <row r="13296" spans="1:8" ht="15" x14ac:dyDescent="0.2">
      <c r="A13296" s="734">
        <v>44854</v>
      </c>
      <c r="B13296" s="41" t="s">
        <v>25</v>
      </c>
      <c r="C13296" s="76" t="s">
        <v>4065</v>
      </c>
      <c r="D13296" s="791" t="s">
        <v>8514</v>
      </c>
      <c r="E13296" s="704">
        <v>3000</v>
      </c>
      <c r="F13296" s="58"/>
      <c r="G13296" s="58">
        <f t="shared" si="213"/>
        <v>-3000</v>
      </c>
      <c r="H13296" s="705" t="s">
        <v>8392</v>
      </c>
    </row>
    <row r="13297" spans="1:8" ht="15" x14ac:dyDescent="0.2">
      <c r="A13297" s="734">
        <v>44854</v>
      </c>
      <c r="B13297" s="41" t="s">
        <v>25</v>
      </c>
      <c r="C13297" s="76" t="s">
        <v>4065</v>
      </c>
      <c r="D13297" s="791" t="s">
        <v>8515</v>
      </c>
      <c r="E13297" s="704">
        <v>700</v>
      </c>
      <c r="F13297" s="58"/>
      <c r="G13297" s="58">
        <f t="shared" si="213"/>
        <v>-700</v>
      </c>
      <c r="H13297" s="705" t="s">
        <v>8392</v>
      </c>
    </row>
    <row r="13298" spans="1:8" ht="15" x14ac:dyDescent="0.2">
      <c r="A13298" s="734">
        <v>44854</v>
      </c>
      <c r="B13298" s="41" t="s">
        <v>8077</v>
      </c>
      <c r="C13298" s="76" t="s">
        <v>5741</v>
      </c>
      <c r="D13298" s="791" t="s">
        <v>8516</v>
      </c>
      <c r="E13298" s="704">
        <v>500</v>
      </c>
      <c r="F13298" s="58"/>
      <c r="G13298" s="58">
        <f t="shared" si="213"/>
        <v>-500</v>
      </c>
      <c r="H13298" s="705" t="s">
        <v>8392</v>
      </c>
    </row>
    <row r="13299" spans="1:8" ht="15" x14ac:dyDescent="0.2">
      <c r="A13299" s="734">
        <v>44854</v>
      </c>
      <c r="B13299" s="41" t="s">
        <v>8043</v>
      </c>
      <c r="C13299" s="76" t="s">
        <v>5741</v>
      </c>
      <c r="D13299" s="791" t="s">
        <v>370</v>
      </c>
      <c r="E13299" s="704">
        <v>1500</v>
      </c>
      <c r="F13299" s="58"/>
      <c r="G13299" s="58">
        <f t="shared" si="213"/>
        <v>-1500</v>
      </c>
      <c r="H13299" s="705" t="s">
        <v>8392</v>
      </c>
    </row>
    <row r="13300" spans="1:8" ht="15" x14ac:dyDescent="0.2">
      <c r="A13300" s="734">
        <v>44854</v>
      </c>
      <c r="B13300" s="41" t="s">
        <v>8077</v>
      </c>
      <c r="C13300" s="76" t="s">
        <v>2338</v>
      </c>
      <c r="D13300" s="791" t="s">
        <v>8506</v>
      </c>
      <c r="E13300" s="704">
        <v>30000</v>
      </c>
      <c r="F13300" s="58"/>
      <c r="G13300" s="58">
        <f t="shared" si="213"/>
        <v>-30000</v>
      </c>
      <c r="H13300" s="705" t="s">
        <v>8392</v>
      </c>
    </row>
    <row r="13301" spans="1:8" ht="15" x14ac:dyDescent="0.2">
      <c r="A13301" s="734">
        <v>44854</v>
      </c>
      <c r="B13301" s="41" t="s">
        <v>8339</v>
      </c>
      <c r="C13301" s="76" t="s">
        <v>7927</v>
      </c>
      <c r="D13301" s="791" t="s">
        <v>8257</v>
      </c>
      <c r="E13301" s="704">
        <v>48000</v>
      </c>
      <c r="F13301" s="58"/>
      <c r="G13301" s="58">
        <f t="shared" si="213"/>
        <v>-48000</v>
      </c>
      <c r="H13301" s="705" t="s">
        <v>8392</v>
      </c>
    </row>
    <row r="13302" spans="1:8" ht="15" x14ac:dyDescent="0.2">
      <c r="A13302" s="734">
        <v>44854</v>
      </c>
      <c r="B13302" s="41" t="s">
        <v>8043</v>
      </c>
      <c r="C13302" s="76" t="s">
        <v>6249</v>
      </c>
      <c r="D13302" s="791" t="s">
        <v>8507</v>
      </c>
      <c r="E13302" s="704">
        <v>7600</v>
      </c>
      <c r="F13302" s="58"/>
      <c r="G13302" s="58">
        <f t="shared" si="213"/>
        <v>-7600</v>
      </c>
      <c r="H13302" s="705" t="s">
        <v>8392</v>
      </c>
    </row>
    <row r="13303" spans="1:8" ht="15" x14ac:dyDescent="0.2">
      <c r="A13303" s="734">
        <v>44854</v>
      </c>
      <c r="B13303" s="41" t="s">
        <v>6505</v>
      </c>
      <c r="C13303" s="76" t="s">
        <v>3145</v>
      </c>
      <c r="D13303" s="791" t="s">
        <v>4450</v>
      </c>
      <c r="E13303" s="704">
        <v>59915</v>
      </c>
      <c r="F13303" s="58"/>
      <c r="G13303" s="58">
        <f t="shared" si="213"/>
        <v>-59915</v>
      </c>
      <c r="H13303" s="705" t="s">
        <v>8392</v>
      </c>
    </row>
    <row r="13304" spans="1:8" ht="15" x14ac:dyDescent="0.2">
      <c r="A13304" s="734">
        <v>44855</v>
      </c>
      <c r="B13304" s="41" t="s">
        <v>8043</v>
      </c>
      <c r="C13304" s="76" t="s">
        <v>4876</v>
      </c>
      <c r="D13304" s="791" t="s">
        <v>8508</v>
      </c>
      <c r="E13304" s="704">
        <v>1900</v>
      </c>
      <c r="F13304" s="58"/>
      <c r="G13304" s="58">
        <f t="shared" si="213"/>
        <v>-1900</v>
      </c>
      <c r="H13304" s="705" t="s">
        <v>8392</v>
      </c>
    </row>
    <row r="13305" spans="1:8" ht="15" x14ac:dyDescent="0.2">
      <c r="A13305" s="734">
        <v>44856</v>
      </c>
      <c r="B13305" s="41" t="s">
        <v>16</v>
      </c>
      <c r="C13305" s="76" t="s">
        <v>3843</v>
      </c>
      <c r="D13305" s="791" t="s">
        <v>8492</v>
      </c>
      <c r="E13305" s="704">
        <v>4755</v>
      </c>
      <c r="F13305" s="58"/>
      <c r="G13305" s="58">
        <f t="shared" si="213"/>
        <v>-4755</v>
      </c>
      <c r="H13305" s="705" t="s">
        <v>8392</v>
      </c>
    </row>
    <row r="13306" spans="1:8" ht="15" x14ac:dyDescent="0.2">
      <c r="A13306" s="734">
        <v>44856</v>
      </c>
      <c r="B13306" s="41" t="s">
        <v>7921</v>
      </c>
      <c r="C13306" s="76" t="s">
        <v>392</v>
      </c>
      <c r="D13306" s="791" t="s">
        <v>8513</v>
      </c>
      <c r="E13306" s="704">
        <v>1000</v>
      </c>
      <c r="F13306" s="58"/>
      <c r="G13306" s="58">
        <f t="shared" si="213"/>
        <v>-1000</v>
      </c>
      <c r="H13306" s="705" t="s">
        <v>8392</v>
      </c>
    </row>
    <row r="13307" spans="1:8" ht="15" x14ac:dyDescent="0.2">
      <c r="A13307" s="734">
        <v>44856</v>
      </c>
      <c r="B13307" s="41" t="s">
        <v>8043</v>
      </c>
      <c r="C13307" s="76" t="s">
        <v>392</v>
      </c>
      <c r="D13307" s="791" t="s">
        <v>8513</v>
      </c>
      <c r="E13307" s="704">
        <v>1000</v>
      </c>
      <c r="F13307" s="58"/>
      <c r="G13307" s="58">
        <f t="shared" si="213"/>
        <v>-1000</v>
      </c>
      <c r="H13307" s="705" t="s">
        <v>8392</v>
      </c>
    </row>
    <row r="13308" spans="1:8" ht="15" x14ac:dyDescent="0.2">
      <c r="A13308" s="734">
        <v>44856</v>
      </c>
      <c r="B13308" s="41" t="s">
        <v>7921</v>
      </c>
      <c r="C13308" s="76" t="s">
        <v>3145</v>
      </c>
      <c r="D13308" s="791" t="s">
        <v>8528</v>
      </c>
      <c r="E13308" s="704">
        <v>7800</v>
      </c>
      <c r="F13308" s="58"/>
      <c r="G13308" s="58">
        <f t="shared" si="213"/>
        <v>-7800</v>
      </c>
      <c r="H13308" s="705" t="s">
        <v>8392</v>
      </c>
    </row>
    <row r="13309" spans="1:8" ht="15" x14ac:dyDescent="0.2">
      <c r="A13309" s="734">
        <v>44856</v>
      </c>
      <c r="B13309" s="41" t="s">
        <v>7921</v>
      </c>
      <c r="C13309" s="76" t="s">
        <v>778</v>
      </c>
      <c r="D13309" s="791" t="s">
        <v>8529</v>
      </c>
      <c r="E13309" s="704">
        <v>42000</v>
      </c>
      <c r="F13309" s="58"/>
      <c r="G13309" s="58">
        <f t="shared" si="213"/>
        <v>-42000</v>
      </c>
      <c r="H13309" s="705" t="s">
        <v>8392</v>
      </c>
    </row>
    <row r="13310" spans="1:8" ht="15" x14ac:dyDescent="0.2">
      <c r="A13310" s="734">
        <v>44856</v>
      </c>
      <c r="B13310" s="41" t="s">
        <v>7921</v>
      </c>
      <c r="C13310" s="76" t="s">
        <v>5741</v>
      </c>
      <c r="D13310" s="791"/>
      <c r="E13310" s="704">
        <v>2000</v>
      </c>
      <c r="F13310" s="58"/>
      <c r="G13310" s="58">
        <f t="shared" si="213"/>
        <v>-2000</v>
      </c>
      <c r="H13310" s="705" t="s">
        <v>8392</v>
      </c>
    </row>
    <row r="13311" spans="1:8" ht="15" x14ac:dyDescent="0.2">
      <c r="A13311" s="734">
        <v>44858</v>
      </c>
      <c r="B13311" s="41" t="s">
        <v>7921</v>
      </c>
      <c r="C13311" s="76" t="s">
        <v>286</v>
      </c>
      <c r="D13311" s="791" t="s">
        <v>8534</v>
      </c>
      <c r="E13311" s="704">
        <v>1200</v>
      </c>
      <c r="F13311" s="58"/>
      <c r="G13311" s="58">
        <f t="shared" si="213"/>
        <v>-1200</v>
      </c>
      <c r="H13311" s="705" t="s">
        <v>8392</v>
      </c>
    </row>
    <row r="13312" spans="1:8" ht="15" x14ac:dyDescent="0.2">
      <c r="A13312" s="734">
        <v>44858</v>
      </c>
      <c r="B13312" s="41" t="s">
        <v>8339</v>
      </c>
      <c r="C13312" s="76" t="s">
        <v>3145</v>
      </c>
      <c r="D13312" s="791" t="s">
        <v>6942</v>
      </c>
      <c r="E13312" s="704">
        <v>20936</v>
      </c>
      <c r="F13312" s="58"/>
      <c r="G13312" s="58">
        <f t="shared" si="213"/>
        <v>-20936</v>
      </c>
      <c r="H13312" s="705" t="s">
        <v>8392</v>
      </c>
    </row>
    <row r="13313" spans="1:8" ht="15" x14ac:dyDescent="0.2">
      <c r="A13313" s="734">
        <v>44858</v>
      </c>
      <c r="B13313" s="41" t="s">
        <v>16</v>
      </c>
      <c r="C13313" s="76" t="s">
        <v>2996</v>
      </c>
      <c r="D13313" s="791" t="s">
        <v>370</v>
      </c>
      <c r="E13313" s="704">
        <v>4670</v>
      </c>
      <c r="F13313" s="58"/>
      <c r="G13313" s="58">
        <f t="shared" si="213"/>
        <v>-4670</v>
      </c>
      <c r="H13313" s="705" t="s">
        <v>8392</v>
      </c>
    </row>
    <row r="13314" spans="1:8" ht="15" x14ac:dyDescent="0.2">
      <c r="A13314" s="734">
        <v>44858</v>
      </c>
      <c r="B13314" s="41" t="s">
        <v>8043</v>
      </c>
      <c r="C13314" s="76" t="s">
        <v>6967</v>
      </c>
      <c r="D13314" s="791" t="s">
        <v>8535</v>
      </c>
      <c r="E13314" s="704">
        <v>30000</v>
      </c>
      <c r="F13314" s="58"/>
      <c r="G13314" s="58">
        <f t="shared" si="213"/>
        <v>-30000</v>
      </c>
      <c r="H13314" s="705" t="s">
        <v>8392</v>
      </c>
    </row>
    <row r="13315" spans="1:8" ht="15" x14ac:dyDescent="0.2">
      <c r="A13315" s="734">
        <v>44858</v>
      </c>
      <c r="B13315" s="41" t="s">
        <v>2933</v>
      </c>
      <c r="C13315" s="76" t="s">
        <v>2503</v>
      </c>
      <c r="D13315" s="791" t="s">
        <v>8536</v>
      </c>
      <c r="E13315" s="704">
        <v>11000</v>
      </c>
      <c r="F13315" s="58"/>
      <c r="G13315" s="58">
        <f t="shared" si="213"/>
        <v>-11000</v>
      </c>
      <c r="H13315" s="705" t="s">
        <v>8392</v>
      </c>
    </row>
    <row r="13316" spans="1:8" ht="15" x14ac:dyDescent="0.2">
      <c r="A13316" s="734">
        <v>44858</v>
      </c>
      <c r="B13316" s="41" t="s">
        <v>16</v>
      </c>
      <c r="C13316" s="76" t="s">
        <v>8150</v>
      </c>
      <c r="D13316" s="791" t="s">
        <v>7175</v>
      </c>
      <c r="E13316" s="704">
        <v>23568</v>
      </c>
      <c r="F13316" s="58"/>
      <c r="G13316" s="58">
        <f t="shared" si="213"/>
        <v>-23568</v>
      </c>
      <c r="H13316" s="705" t="s">
        <v>8392</v>
      </c>
    </row>
    <row r="13317" spans="1:8" ht="15" x14ac:dyDescent="0.2">
      <c r="A13317" s="734">
        <v>44858</v>
      </c>
      <c r="B13317" s="41" t="s">
        <v>25</v>
      </c>
      <c r="C13317" s="76" t="s">
        <v>8150</v>
      </c>
      <c r="D13317" s="791" t="s">
        <v>7175</v>
      </c>
      <c r="E13317" s="704">
        <v>30063</v>
      </c>
      <c r="F13317" s="58"/>
      <c r="G13317" s="58">
        <f t="shared" ref="G13317:G13380" si="214">F13317-E13317</f>
        <v>-30063</v>
      </c>
      <c r="H13317" s="705" t="s">
        <v>8392</v>
      </c>
    </row>
    <row r="13318" spans="1:8" ht="15" x14ac:dyDescent="0.2">
      <c r="A13318" s="734">
        <v>44859</v>
      </c>
      <c r="B13318" s="41" t="s">
        <v>7921</v>
      </c>
      <c r="C13318" s="550" t="s">
        <v>3145</v>
      </c>
      <c r="D13318" s="904" t="s">
        <v>6942</v>
      </c>
      <c r="E13318" s="706">
        <v>1800</v>
      </c>
      <c r="F13318" s="58"/>
      <c r="G13318" s="58">
        <f t="shared" si="214"/>
        <v>-1800</v>
      </c>
      <c r="H13318" s="705" t="s">
        <v>8392</v>
      </c>
    </row>
    <row r="13319" spans="1:8" ht="15" x14ac:dyDescent="0.2">
      <c r="A13319" s="734">
        <v>44859</v>
      </c>
      <c r="B13319" s="41" t="s">
        <v>8043</v>
      </c>
      <c r="C13319" s="550" t="s">
        <v>3145</v>
      </c>
      <c r="D13319" s="904" t="s">
        <v>6942</v>
      </c>
      <c r="E13319" s="706">
        <v>11490</v>
      </c>
      <c r="F13319" s="58"/>
      <c r="G13319" s="58">
        <f t="shared" si="214"/>
        <v>-11490</v>
      </c>
      <c r="H13319" s="705" t="s">
        <v>8392</v>
      </c>
    </row>
    <row r="13320" spans="1:8" ht="15" x14ac:dyDescent="0.2">
      <c r="A13320" s="734">
        <v>44859</v>
      </c>
      <c r="B13320" s="41" t="s">
        <v>8559</v>
      </c>
      <c r="C13320" s="76" t="s">
        <v>8502</v>
      </c>
      <c r="D13320" s="791" t="s">
        <v>8558</v>
      </c>
      <c r="E13320" s="704">
        <v>20000</v>
      </c>
      <c r="F13320" s="58"/>
      <c r="G13320" s="58">
        <f t="shared" si="214"/>
        <v>-20000</v>
      </c>
      <c r="H13320" s="705" t="s">
        <v>8392</v>
      </c>
    </row>
    <row r="13321" spans="1:8" ht="15" x14ac:dyDescent="0.2">
      <c r="A13321" s="734">
        <v>44859</v>
      </c>
      <c r="B13321" s="41" t="s">
        <v>6505</v>
      </c>
      <c r="C13321" s="76" t="s">
        <v>6852</v>
      </c>
      <c r="D13321" s="791" t="s">
        <v>2711</v>
      </c>
      <c r="E13321" s="704">
        <v>35000</v>
      </c>
      <c r="F13321" s="58"/>
      <c r="G13321" s="58">
        <f t="shared" si="214"/>
        <v>-35000</v>
      </c>
      <c r="H13321" s="705" t="s">
        <v>8392</v>
      </c>
    </row>
    <row r="13322" spans="1:8" ht="15" x14ac:dyDescent="0.2">
      <c r="A13322" s="734">
        <v>44859</v>
      </c>
      <c r="B13322" s="41" t="s">
        <v>16</v>
      </c>
      <c r="C13322" s="76" t="s">
        <v>3843</v>
      </c>
      <c r="D13322" s="791" t="s">
        <v>8492</v>
      </c>
      <c r="E13322" s="704">
        <v>3680</v>
      </c>
      <c r="F13322" s="58"/>
      <c r="G13322" s="58">
        <f t="shared" si="214"/>
        <v>-3680</v>
      </c>
      <c r="H13322" s="705" t="s">
        <v>8392</v>
      </c>
    </row>
    <row r="13323" spans="1:8" ht="15" x14ac:dyDescent="0.2">
      <c r="A13323" s="734">
        <v>44859</v>
      </c>
      <c r="B13323" s="41" t="s">
        <v>7921</v>
      </c>
      <c r="C13323" s="76" t="s">
        <v>392</v>
      </c>
      <c r="D13323" s="791" t="s">
        <v>8517</v>
      </c>
      <c r="E13323" s="704">
        <v>1000</v>
      </c>
      <c r="F13323" s="58"/>
      <c r="G13323" s="58">
        <f t="shared" si="214"/>
        <v>-1000</v>
      </c>
      <c r="H13323" s="705" t="s">
        <v>8392</v>
      </c>
    </row>
    <row r="13324" spans="1:8" ht="15" x14ac:dyDescent="0.2">
      <c r="A13324" s="734">
        <v>44859</v>
      </c>
      <c r="B13324" s="41" t="s">
        <v>8043</v>
      </c>
      <c r="C13324" s="76" t="s">
        <v>392</v>
      </c>
      <c r="D13324" s="791" t="s">
        <v>8517</v>
      </c>
      <c r="E13324" s="704">
        <v>1000</v>
      </c>
      <c r="F13324" s="58"/>
      <c r="G13324" s="58">
        <f t="shared" si="214"/>
        <v>-1000</v>
      </c>
      <c r="H13324" s="705" t="s">
        <v>8392</v>
      </c>
    </row>
    <row r="13325" spans="1:8" ht="15" x14ac:dyDescent="0.2">
      <c r="A13325" s="734">
        <v>44859</v>
      </c>
      <c r="B13325" s="41" t="s">
        <v>25</v>
      </c>
      <c r="C13325" s="76" t="s">
        <v>2428</v>
      </c>
      <c r="D13325" s="791" t="s">
        <v>8560</v>
      </c>
      <c r="E13325" s="704">
        <v>100000</v>
      </c>
      <c r="F13325" s="58"/>
      <c r="G13325" s="58">
        <f t="shared" si="214"/>
        <v>-100000</v>
      </c>
      <c r="H13325" s="705" t="s">
        <v>8392</v>
      </c>
    </row>
    <row r="13326" spans="1:8" ht="15" x14ac:dyDescent="0.2">
      <c r="A13326" s="734">
        <v>44859</v>
      </c>
      <c r="B13326" s="41" t="s">
        <v>25</v>
      </c>
      <c r="C13326" s="76" t="s">
        <v>7595</v>
      </c>
      <c r="D13326" s="791" t="s">
        <v>8561</v>
      </c>
      <c r="E13326" s="704">
        <v>80000</v>
      </c>
      <c r="F13326" s="58"/>
      <c r="G13326" s="58">
        <f t="shared" si="214"/>
        <v>-80000</v>
      </c>
      <c r="H13326" s="705" t="s">
        <v>8392</v>
      </c>
    </row>
    <row r="13327" spans="1:8" ht="15" x14ac:dyDescent="0.2">
      <c r="A13327" s="734">
        <v>44859</v>
      </c>
      <c r="B13327" s="41" t="s">
        <v>8043</v>
      </c>
      <c r="C13327" s="76" t="s">
        <v>8190</v>
      </c>
      <c r="D13327" s="791" t="s">
        <v>8562</v>
      </c>
      <c r="E13327" s="704">
        <v>40000</v>
      </c>
      <c r="F13327" s="58"/>
      <c r="G13327" s="58">
        <f t="shared" si="214"/>
        <v>-40000</v>
      </c>
      <c r="H13327" s="705" t="s">
        <v>8392</v>
      </c>
    </row>
    <row r="13328" spans="1:8" ht="15" x14ac:dyDescent="0.2">
      <c r="A13328" s="734">
        <v>44859</v>
      </c>
      <c r="B13328" s="41" t="s">
        <v>3946</v>
      </c>
      <c r="C13328" s="76" t="s">
        <v>251</v>
      </c>
      <c r="D13328" s="791" t="s">
        <v>8563</v>
      </c>
      <c r="E13328" s="704">
        <v>10000</v>
      </c>
      <c r="F13328" s="58"/>
      <c r="G13328" s="58">
        <f t="shared" si="214"/>
        <v>-10000</v>
      </c>
      <c r="H13328" s="705" t="s">
        <v>8392</v>
      </c>
    </row>
    <row r="13329" spans="1:8" ht="15" x14ac:dyDescent="0.2">
      <c r="A13329" s="734">
        <v>44860</v>
      </c>
      <c r="B13329" s="41" t="s">
        <v>8043</v>
      </c>
      <c r="C13329" s="76" t="s">
        <v>392</v>
      </c>
      <c r="D13329" s="791" t="s">
        <v>8617</v>
      </c>
      <c r="E13329" s="704">
        <v>1000</v>
      </c>
      <c r="F13329" s="58"/>
      <c r="G13329" s="58">
        <f t="shared" si="214"/>
        <v>-1000</v>
      </c>
      <c r="H13329" s="705" t="s">
        <v>8392</v>
      </c>
    </row>
    <row r="13330" spans="1:8" ht="15" x14ac:dyDescent="0.2">
      <c r="A13330" s="734">
        <v>44860</v>
      </c>
      <c r="B13330" s="41" t="s">
        <v>8339</v>
      </c>
      <c r="C13330" s="76" t="s">
        <v>790</v>
      </c>
      <c r="D13330" s="791"/>
      <c r="E13330" s="704">
        <f>350+340+810</f>
        <v>1500</v>
      </c>
      <c r="F13330" s="58"/>
      <c r="G13330" s="58">
        <f t="shared" si="214"/>
        <v>-1500</v>
      </c>
      <c r="H13330" s="705" t="s">
        <v>8392</v>
      </c>
    </row>
    <row r="13331" spans="1:8" ht="15" x14ac:dyDescent="0.2">
      <c r="A13331" s="734">
        <v>44860</v>
      </c>
      <c r="B13331" s="41" t="s">
        <v>7921</v>
      </c>
      <c r="C13331" s="76" t="s">
        <v>790</v>
      </c>
      <c r="D13331" s="791"/>
      <c r="E13331" s="704">
        <f>800</f>
        <v>800</v>
      </c>
      <c r="F13331" s="58"/>
      <c r="G13331" s="58">
        <f t="shared" si="214"/>
        <v>-800</v>
      </c>
      <c r="H13331" s="705" t="s">
        <v>8392</v>
      </c>
    </row>
    <row r="13332" spans="1:8" ht="15" x14ac:dyDescent="0.2">
      <c r="A13332" s="734">
        <v>44860</v>
      </c>
      <c r="B13332" s="41" t="s">
        <v>8043</v>
      </c>
      <c r="C13332" s="76" t="s">
        <v>790</v>
      </c>
      <c r="D13332" s="791"/>
      <c r="E13332" s="704">
        <v>700</v>
      </c>
      <c r="F13332" s="58"/>
      <c r="G13332" s="58">
        <f t="shared" si="214"/>
        <v>-700</v>
      </c>
      <c r="H13332" s="705" t="s">
        <v>8392</v>
      </c>
    </row>
    <row r="13333" spans="1:8" ht="15" x14ac:dyDescent="0.2">
      <c r="A13333" s="734">
        <v>44860</v>
      </c>
      <c r="B13333" s="41" t="s">
        <v>25</v>
      </c>
      <c r="C13333" s="76" t="s">
        <v>4065</v>
      </c>
      <c r="D13333" s="791" t="s">
        <v>3056</v>
      </c>
      <c r="E13333" s="704">
        <v>9500</v>
      </c>
      <c r="F13333" s="58"/>
      <c r="G13333" s="58">
        <f t="shared" si="214"/>
        <v>-9500</v>
      </c>
      <c r="H13333" s="705" t="s">
        <v>8392</v>
      </c>
    </row>
    <row r="13334" spans="1:8" ht="15" x14ac:dyDescent="0.2">
      <c r="A13334" s="734">
        <v>44861</v>
      </c>
      <c r="B13334" s="41" t="s">
        <v>8559</v>
      </c>
      <c r="C13334" s="76" t="s">
        <v>3145</v>
      </c>
      <c r="D13334" s="791" t="s">
        <v>6344</v>
      </c>
      <c r="E13334" s="704">
        <v>7100</v>
      </c>
      <c r="F13334" s="58"/>
      <c r="G13334" s="58">
        <f t="shared" si="214"/>
        <v>-7100</v>
      </c>
      <c r="H13334" s="705" t="s">
        <v>8392</v>
      </c>
    </row>
    <row r="13335" spans="1:8" ht="15" x14ac:dyDescent="0.2">
      <c r="A13335" s="734">
        <v>44861</v>
      </c>
      <c r="B13335" s="41" t="s">
        <v>8559</v>
      </c>
      <c r="C13335" s="76" t="s">
        <v>5741</v>
      </c>
      <c r="D13335" s="791"/>
      <c r="E13335" s="704">
        <v>2700</v>
      </c>
      <c r="F13335" s="58"/>
      <c r="G13335" s="58">
        <f t="shared" si="214"/>
        <v>-2700</v>
      </c>
      <c r="H13335" s="705" t="s">
        <v>8392</v>
      </c>
    </row>
    <row r="13336" spans="1:8" ht="15" x14ac:dyDescent="0.2">
      <c r="A13336" s="734">
        <v>44861</v>
      </c>
      <c r="B13336" s="41" t="s">
        <v>8043</v>
      </c>
      <c r="C13336" s="76" t="s">
        <v>5741</v>
      </c>
      <c r="D13336" s="791"/>
      <c r="E13336" s="704">
        <v>500</v>
      </c>
      <c r="F13336" s="58"/>
      <c r="G13336" s="58">
        <f t="shared" si="214"/>
        <v>-500</v>
      </c>
      <c r="H13336" s="705" t="s">
        <v>8392</v>
      </c>
    </row>
    <row r="13337" spans="1:8" ht="15" x14ac:dyDescent="0.2">
      <c r="A13337" s="734">
        <v>44861</v>
      </c>
      <c r="B13337" s="41" t="s">
        <v>8532</v>
      </c>
      <c r="C13337" s="76" t="s">
        <v>8564</v>
      </c>
      <c r="D13337" s="791" t="s">
        <v>8565</v>
      </c>
      <c r="E13337" s="704">
        <v>20000</v>
      </c>
      <c r="F13337" s="58"/>
      <c r="G13337" s="58">
        <f t="shared" si="214"/>
        <v>-20000</v>
      </c>
      <c r="H13337" s="705" t="s">
        <v>8392</v>
      </c>
    </row>
    <row r="13338" spans="1:8" ht="15" x14ac:dyDescent="0.2">
      <c r="A13338" s="734">
        <v>44861</v>
      </c>
      <c r="B13338" s="41" t="s">
        <v>8532</v>
      </c>
      <c r="C13338" s="76" t="s">
        <v>392</v>
      </c>
      <c r="D13338" s="791" t="s">
        <v>8566</v>
      </c>
      <c r="E13338" s="704">
        <v>1000</v>
      </c>
      <c r="F13338" s="58"/>
      <c r="G13338" s="58">
        <f t="shared" si="214"/>
        <v>-1000</v>
      </c>
      <c r="H13338" s="705" t="s">
        <v>8392</v>
      </c>
    </row>
    <row r="13339" spans="1:8" ht="15" x14ac:dyDescent="0.2">
      <c r="A13339" s="734">
        <v>44861</v>
      </c>
      <c r="B13339" s="41" t="s">
        <v>7921</v>
      </c>
      <c r="C13339" s="76" t="s">
        <v>8270</v>
      </c>
      <c r="D13339" s="791" t="s">
        <v>8567</v>
      </c>
      <c r="E13339" s="704">
        <v>2130</v>
      </c>
      <c r="F13339" s="58"/>
      <c r="G13339" s="58">
        <f t="shared" si="214"/>
        <v>-2130</v>
      </c>
      <c r="H13339" s="705" t="s">
        <v>8392</v>
      </c>
    </row>
    <row r="13340" spans="1:8" ht="15" x14ac:dyDescent="0.2">
      <c r="A13340" s="734">
        <v>44861</v>
      </c>
      <c r="B13340" s="41" t="s">
        <v>7555</v>
      </c>
      <c r="C13340" s="76" t="s">
        <v>3145</v>
      </c>
      <c r="D13340" s="791" t="s">
        <v>8568</v>
      </c>
      <c r="E13340" s="704">
        <v>11000</v>
      </c>
      <c r="F13340" s="58"/>
      <c r="G13340" s="58">
        <f t="shared" si="214"/>
        <v>-11000</v>
      </c>
      <c r="H13340" s="705" t="s">
        <v>8392</v>
      </c>
    </row>
    <row r="13341" spans="1:8" ht="15" x14ac:dyDescent="0.2">
      <c r="A13341" s="734">
        <v>44861</v>
      </c>
      <c r="B13341" s="41" t="s">
        <v>8043</v>
      </c>
      <c r="C13341" s="76" t="s">
        <v>6784</v>
      </c>
      <c r="D13341" s="791" t="s">
        <v>7956</v>
      </c>
      <c r="E13341" s="704">
        <v>40000</v>
      </c>
      <c r="F13341" s="58"/>
      <c r="G13341" s="58">
        <f t="shared" si="214"/>
        <v>-40000</v>
      </c>
      <c r="H13341" s="705" t="s">
        <v>8392</v>
      </c>
    </row>
    <row r="13342" spans="1:8" ht="15" x14ac:dyDescent="0.2">
      <c r="A13342" s="734">
        <v>44861</v>
      </c>
      <c r="B13342" s="41" t="s">
        <v>16</v>
      </c>
      <c r="C13342" s="76" t="s">
        <v>7478</v>
      </c>
      <c r="D13342" s="791" t="s">
        <v>8569</v>
      </c>
      <c r="E13342" s="704">
        <v>12000</v>
      </c>
      <c r="F13342" s="58"/>
      <c r="G13342" s="58">
        <f t="shared" si="214"/>
        <v>-12000</v>
      </c>
      <c r="H13342" s="705" t="s">
        <v>8392</v>
      </c>
    </row>
    <row r="13343" spans="1:8" ht="15" x14ac:dyDescent="0.2">
      <c r="A13343" s="734">
        <v>44861</v>
      </c>
      <c r="B13343" s="41" t="s">
        <v>8559</v>
      </c>
      <c r="C13343" s="76" t="s">
        <v>3335</v>
      </c>
      <c r="D13343" s="791" t="s">
        <v>8570</v>
      </c>
      <c r="E13343" s="704">
        <v>55000</v>
      </c>
      <c r="F13343" s="58"/>
      <c r="G13343" s="58">
        <f t="shared" si="214"/>
        <v>-55000</v>
      </c>
      <c r="H13343" s="705" t="s">
        <v>8392</v>
      </c>
    </row>
    <row r="13344" spans="1:8" ht="15" x14ac:dyDescent="0.2">
      <c r="A13344" s="734">
        <v>44862</v>
      </c>
      <c r="B13344" s="41" t="s">
        <v>8043</v>
      </c>
      <c r="C13344" s="76" t="s">
        <v>6249</v>
      </c>
      <c r="D13344" s="791" t="s">
        <v>8571</v>
      </c>
      <c r="E13344" s="704">
        <v>3800</v>
      </c>
      <c r="F13344" s="58"/>
      <c r="G13344" s="58">
        <f t="shared" si="214"/>
        <v>-3800</v>
      </c>
      <c r="H13344" s="705" t="s">
        <v>8392</v>
      </c>
    </row>
    <row r="13345" spans="1:8" ht="15" x14ac:dyDescent="0.2">
      <c r="A13345" s="734">
        <v>44862</v>
      </c>
      <c r="B13345" s="41" t="s">
        <v>7921</v>
      </c>
      <c r="C13345" s="76" t="s">
        <v>5741</v>
      </c>
      <c r="D13345" s="791"/>
      <c r="E13345" s="704">
        <v>500</v>
      </c>
      <c r="F13345" s="58"/>
      <c r="G13345" s="58">
        <f t="shared" si="214"/>
        <v>-500</v>
      </c>
      <c r="H13345" s="705" t="s">
        <v>8392</v>
      </c>
    </row>
    <row r="13346" spans="1:8" ht="15" x14ac:dyDescent="0.2">
      <c r="A13346" s="734">
        <v>44862</v>
      </c>
      <c r="B13346" s="41" t="s">
        <v>16</v>
      </c>
      <c r="C13346" s="76" t="s">
        <v>103</v>
      </c>
      <c r="D13346" s="791" t="s">
        <v>8572</v>
      </c>
      <c r="E13346" s="704">
        <v>5500</v>
      </c>
      <c r="F13346" s="58"/>
      <c r="G13346" s="58">
        <f t="shared" si="214"/>
        <v>-5500</v>
      </c>
      <c r="H13346" s="705" t="s">
        <v>8392</v>
      </c>
    </row>
    <row r="13347" spans="1:8" ht="15" x14ac:dyDescent="0.2">
      <c r="A13347" s="734">
        <v>44862</v>
      </c>
      <c r="B13347" s="41" t="s">
        <v>2933</v>
      </c>
      <c r="C13347" s="76" t="s">
        <v>3145</v>
      </c>
      <c r="D13347" s="791" t="s">
        <v>6344</v>
      </c>
      <c r="E13347" s="704">
        <v>4350</v>
      </c>
      <c r="F13347" s="58"/>
      <c r="G13347" s="58">
        <f t="shared" si="214"/>
        <v>-4350</v>
      </c>
      <c r="H13347" s="705" t="s">
        <v>8392</v>
      </c>
    </row>
    <row r="13348" spans="1:8" ht="15" x14ac:dyDescent="0.2">
      <c r="A13348" s="734">
        <v>44862</v>
      </c>
      <c r="B13348" s="41" t="s">
        <v>8559</v>
      </c>
      <c r="C13348" s="76" t="s">
        <v>3145</v>
      </c>
      <c r="D13348" s="791" t="s">
        <v>6344</v>
      </c>
      <c r="E13348" s="704">
        <v>3000</v>
      </c>
      <c r="F13348" s="58"/>
      <c r="G13348" s="58">
        <f t="shared" si="214"/>
        <v>-3000</v>
      </c>
      <c r="H13348" s="705" t="s">
        <v>8392</v>
      </c>
    </row>
    <row r="13349" spans="1:8" ht="15" x14ac:dyDescent="0.2">
      <c r="A13349" s="734">
        <v>44862</v>
      </c>
      <c r="B13349" s="41" t="s">
        <v>2933</v>
      </c>
      <c r="C13349" s="76" t="s">
        <v>3145</v>
      </c>
      <c r="D13349" s="791" t="s">
        <v>8490</v>
      </c>
      <c r="E13349" s="704">
        <v>4450</v>
      </c>
      <c r="F13349" s="58"/>
      <c r="G13349" s="58">
        <f t="shared" si="214"/>
        <v>-4450</v>
      </c>
      <c r="H13349" s="705" t="s">
        <v>8392</v>
      </c>
    </row>
    <row r="13350" spans="1:8" ht="15" x14ac:dyDescent="0.2">
      <c r="A13350" s="734">
        <v>44862</v>
      </c>
      <c r="B13350" s="41" t="s">
        <v>8339</v>
      </c>
      <c r="C13350" s="76" t="s">
        <v>3145</v>
      </c>
      <c r="D13350" s="791" t="s">
        <v>8573</v>
      </c>
      <c r="E13350" s="704">
        <v>55500</v>
      </c>
      <c r="F13350" s="58"/>
      <c r="G13350" s="58">
        <f t="shared" si="214"/>
        <v>-55500</v>
      </c>
      <c r="H13350" s="705" t="s">
        <v>8392</v>
      </c>
    </row>
    <row r="13351" spans="1:8" ht="15" x14ac:dyDescent="0.2">
      <c r="A13351" s="734">
        <v>44862</v>
      </c>
      <c r="B13351" s="41" t="s">
        <v>16</v>
      </c>
      <c r="C13351" s="76" t="s">
        <v>4441</v>
      </c>
      <c r="D13351" s="791" t="s">
        <v>6838</v>
      </c>
      <c r="E13351" s="704">
        <v>95000</v>
      </c>
      <c r="F13351" s="58"/>
      <c r="G13351" s="58">
        <f t="shared" si="214"/>
        <v>-95000</v>
      </c>
      <c r="H13351" s="705" t="s">
        <v>8392</v>
      </c>
    </row>
    <row r="13352" spans="1:8" ht="15" x14ac:dyDescent="0.2">
      <c r="A13352" s="734">
        <v>44862</v>
      </c>
      <c r="B13352" s="41" t="s">
        <v>16</v>
      </c>
      <c r="C13352" s="76" t="s">
        <v>3843</v>
      </c>
      <c r="D13352" s="791" t="s">
        <v>8492</v>
      </c>
      <c r="E13352" s="704">
        <v>4225</v>
      </c>
      <c r="F13352" s="58"/>
      <c r="G13352" s="58">
        <f t="shared" si="214"/>
        <v>-4225</v>
      </c>
      <c r="H13352" s="705" t="s">
        <v>8392</v>
      </c>
    </row>
    <row r="13353" spans="1:8" ht="15" x14ac:dyDescent="0.2">
      <c r="A13353" s="734">
        <v>44862</v>
      </c>
      <c r="B13353" s="41" t="s">
        <v>7921</v>
      </c>
      <c r="C13353" s="76" t="s">
        <v>392</v>
      </c>
      <c r="D13353" s="791" t="s">
        <v>8517</v>
      </c>
      <c r="E13353" s="704">
        <v>1000</v>
      </c>
      <c r="F13353" s="58"/>
      <c r="G13353" s="58">
        <f t="shared" si="214"/>
        <v>-1000</v>
      </c>
      <c r="H13353" s="705" t="s">
        <v>8392</v>
      </c>
    </row>
    <row r="13354" spans="1:8" ht="15" x14ac:dyDescent="0.2">
      <c r="A13354" s="734">
        <v>44862</v>
      </c>
      <c r="B13354" s="41" t="s">
        <v>8043</v>
      </c>
      <c r="C13354" s="76" t="s">
        <v>392</v>
      </c>
      <c r="D13354" s="791" t="s">
        <v>8517</v>
      </c>
      <c r="E13354" s="704">
        <v>1000</v>
      </c>
      <c r="F13354" s="58"/>
      <c r="G13354" s="58">
        <f t="shared" si="214"/>
        <v>-1000</v>
      </c>
      <c r="H13354" s="705" t="s">
        <v>8392</v>
      </c>
    </row>
    <row r="13355" spans="1:8" ht="15" x14ac:dyDescent="0.2">
      <c r="A13355" s="734">
        <v>44862</v>
      </c>
      <c r="B13355" s="41" t="s">
        <v>8043</v>
      </c>
      <c r="C13355" s="76" t="s">
        <v>392</v>
      </c>
      <c r="D13355" s="791" t="s">
        <v>6698</v>
      </c>
      <c r="E13355" s="704">
        <v>2000</v>
      </c>
      <c r="F13355" s="58"/>
      <c r="G13355" s="58">
        <f t="shared" si="214"/>
        <v>-2000</v>
      </c>
      <c r="H13355" s="705" t="s">
        <v>8392</v>
      </c>
    </row>
    <row r="13356" spans="1:8" ht="15" x14ac:dyDescent="0.2">
      <c r="A13356" s="734">
        <v>44863</v>
      </c>
      <c r="B13356" s="41" t="s">
        <v>8559</v>
      </c>
      <c r="C13356" s="76" t="s">
        <v>6249</v>
      </c>
      <c r="D13356" s="791" t="s">
        <v>8576</v>
      </c>
      <c r="E13356" s="704">
        <v>32600</v>
      </c>
      <c r="F13356" s="58"/>
      <c r="G13356" s="58">
        <f t="shared" si="214"/>
        <v>-32600</v>
      </c>
      <c r="H13356" s="705" t="s">
        <v>8392</v>
      </c>
    </row>
    <row r="13357" spans="1:8" s="682" customFormat="1" ht="36.75" customHeight="1" x14ac:dyDescent="0.25">
      <c r="A13357" s="734">
        <v>44863</v>
      </c>
      <c r="B13357" s="63" t="s">
        <v>8532</v>
      </c>
      <c r="C13357" s="550" t="s">
        <v>318</v>
      </c>
      <c r="D13357" s="740" t="s">
        <v>8577</v>
      </c>
      <c r="E13357" s="706">
        <v>11190</v>
      </c>
      <c r="F13357" s="126"/>
      <c r="G13357" s="126">
        <f t="shared" si="214"/>
        <v>-11190</v>
      </c>
      <c r="H13357" s="705" t="s">
        <v>8392</v>
      </c>
    </row>
    <row r="13358" spans="1:8" s="682" customFormat="1" ht="36.75" customHeight="1" x14ac:dyDescent="0.25">
      <c r="A13358" s="734">
        <v>44863</v>
      </c>
      <c r="B13358" s="63" t="s">
        <v>8559</v>
      </c>
      <c r="C13358" s="550" t="s">
        <v>318</v>
      </c>
      <c r="D13358" s="740" t="s">
        <v>8577</v>
      </c>
      <c r="E13358" s="706">
        <v>33562</v>
      </c>
      <c r="F13358" s="126"/>
      <c r="G13358" s="126">
        <f t="shared" si="214"/>
        <v>-33562</v>
      </c>
      <c r="H13358" s="705" t="s">
        <v>8392</v>
      </c>
    </row>
    <row r="13359" spans="1:8" s="682" customFormat="1" ht="36.75" customHeight="1" x14ac:dyDescent="0.25">
      <c r="A13359" s="734">
        <v>44863</v>
      </c>
      <c r="B13359" s="63" t="s">
        <v>8043</v>
      </c>
      <c r="C13359" s="550" t="s">
        <v>318</v>
      </c>
      <c r="D13359" s="740" t="s">
        <v>8577</v>
      </c>
      <c r="E13359" s="706">
        <v>22374</v>
      </c>
      <c r="F13359" s="126"/>
      <c r="G13359" s="126">
        <f t="shared" si="214"/>
        <v>-22374</v>
      </c>
      <c r="H13359" s="705" t="s">
        <v>8392</v>
      </c>
    </row>
    <row r="13360" spans="1:8" s="682" customFormat="1" ht="36.75" customHeight="1" x14ac:dyDescent="0.25">
      <c r="A13360" s="734">
        <v>44863</v>
      </c>
      <c r="B13360" s="63" t="s">
        <v>8339</v>
      </c>
      <c r="C13360" s="550" t="s">
        <v>318</v>
      </c>
      <c r="D13360" s="740" t="s">
        <v>8577</v>
      </c>
      <c r="E13360" s="706">
        <v>22374</v>
      </c>
      <c r="F13360" s="126"/>
      <c r="G13360" s="126">
        <f t="shared" si="214"/>
        <v>-22374</v>
      </c>
      <c r="H13360" s="705" t="s">
        <v>8392</v>
      </c>
    </row>
    <row r="13361" spans="1:8" ht="15" x14ac:dyDescent="0.2">
      <c r="A13361" s="734">
        <v>44863</v>
      </c>
      <c r="B13361" s="41" t="s">
        <v>3946</v>
      </c>
      <c r="C13361" s="76" t="s">
        <v>3145</v>
      </c>
      <c r="D13361" s="791" t="s">
        <v>8578</v>
      </c>
      <c r="E13361" s="704">
        <v>2500</v>
      </c>
      <c r="F13361" s="58"/>
      <c r="G13361" s="58">
        <f t="shared" si="214"/>
        <v>-2500</v>
      </c>
      <c r="H13361" s="705" t="s">
        <v>8392</v>
      </c>
    </row>
    <row r="13362" spans="1:8" ht="15" x14ac:dyDescent="0.2">
      <c r="A13362" s="734">
        <v>44863</v>
      </c>
      <c r="B13362" s="41" t="s">
        <v>7921</v>
      </c>
      <c r="C13362" s="76" t="s">
        <v>3145</v>
      </c>
      <c r="D13362" s="791" t="s">
        <v>8528</v>
      </c>
      <c r="E13362" s="704">
        <v>9306</v>
      </c>
      <c r="F13362" s="58"/>
      <c r="G13362" s="58">
        <f t="shared" si="214"/>
        <v>-9306</v>
      </c>
      <c r="H13362" s="705" t="s">
        <v>8392</v>
      </c>
    </row>
    <row r="13363" spans="1:8" ht="15" x14ac:dyDescent="0.2">
      <c r="A13363" s="734">
        <v>44863</v>
      </c>
      <c r="B13363" s="41" t="s">
        <v>7921</v>
      </c>
      <c r="C13363" s="76" t="s">
        <v>392</v>
      </c>
      <c r="D13363" s="791" t="s">
        <v>8618</v>
      </c>
      <c r="E13363" s="704">
        <v>1000</v>
      </c>
      <c r="F13363" s="58"/>
      <c r="G13363" s="58">
        <f t="shared" si="214"/>
        <v>-1000</v>
      </c>
      <c r="H13363" s="705" t="s">
        <v>8392</v>
      </c>
    </row>
    <row r="13364" spans="1:8" ht="15" x14ac:dyDescent="0.2">
      <c r="A13364" s="734">
        <v>44863</v>
      </c>
      <c r="B13364" s="41" t="s">
        <v>3946</v>
      </c>
      <c r="C13364" s="76" t="s">
        <v>286</v>
      </c>
      <c r="D13364" s="791" t="s">
        <v>8018</v>
      </c>
      <c r="E13364" s="704">
        <v>200</v>
      </c>
      <c r="F13364" s="58"/>
      <c r="G13364" s="58">
        <f t="shared" si="214"/>
        <v>-200</v>
      </c>
      <c r="H13364" s="705" t="s">
        <v>8392</v>
      </c>
    </row>
    <row r="13365" spans="1:8" ht="15" x14ac:dyDescent="0.2">
      <c r="A13365" s="734">
        <v>44863</v>
      </c>
      <c r="B13365" s="41" t="s">
        <v>7555</v>
      </c>
      <c r="C13365" s="76" t="s">
        <v>3145</v>
      </c>
      <c r="D13365" s="791" t="s">
        <v>8528</v>
      </c>
      <c r="E13365" s="704">
        <v>560</v>
      </c>
      <c r="F13365" s="58"/>
      <c r="G13365" s="58">
        <f t="shared" si="214"/>
        <v>-560</v>
      </c>
      <c r="H13365" s="705" t="s">
        <v>8392</v>
      </c>
    </row>
    <row r="13366" spans="1:8" ht="15" x14ac:dyDescent="0.2">
      <c r="A13366" s="734">
        <v>44865</v>
      </c>
      <c r="B13366" s="41" t="s">
        <v>8532</v>
      </c>
      <c r="C13366" s="76" t="s">
        <v>2666</v>
      </c>
      <c r="D13366" s="791" t="s">
        <v>8595</v>
      </c>
      <c r="E13366" s="704">
        <v>17000</v>
      </c>
      <c r="F13366" s="58"/>
      <c r="G13366" s="58">
        <f t="shared" si="214"/>
        <v>-17000</v>
      </c>
      <c r="H13366" s="705" t="s">
        <v>8392</v>
      </c>
    </row>
    <row r="13367" spans="1:8" ht="15" x14ac:dyDescent="0.2">
      <c r="A13367" s="734">
        <v>44865</v>
      </c>
      <c r="B13367" s="41" t="s">
        <v>1400</v>
      </c>
      <c r="C13367" s="76" t="s">
        <v>6706</v>
      </c>
      <c r="D13367" s="791" t="s">
        <v>1157</v>
      </c>
      <c r="E13367" s="704">
        <v>50000</v>
      </c>
      <c r="F13367" s="58"/>
      <c r="G13367" s="58">
        <f t="shared" si="214"/>
        <v>-50000</v>
      </c>
      <c r="H13367" s="705" t="s">
        <v>8392</v>
      </c>
    </row>
    <row r="13368" spans="1:8" ht="15" x14ac:dyDescent="0.2">
      <c r="A13368" s="734">
        <v>44865</v>
      </c>
      <c r="B13368" s="41" t="s">
        <v>7921</v>
      </c>
      <c r="C13368" s="76" t="s">
        <v>6967</v>
      </c>
      <c r="D13368" s="791" t="s">
        <v>8596</v>
      </c>
      <c r="E13368" s="704">
        <v>17000</v>
      </c>
      <c r="F13368" s="58"/>
      <c r="G13368" s="58">
        <f t="shared" si="214"/>
        <v>-17000</v>
      </c>
      <c r="H13368" s="705" t="s">
        <v>8392</v>
      </c>
    </row>
    <row r="13369" spans="1:8" ht="15" x14ac:dyDescent="0.2">
      <c r="A13369" s="734">
        <v>44865</v>
      </c>
      <c r="B13369" s="41" t="s">
        <v>7921</v>
      </c>
      <c r="C13369" s="76" t="s">
        <v>5741</v>
      </c>
      <c r="D13369" s="791" t="s">
        <v>5743</v>
      </c>
      <c r="E13369" s="704">
        <v>500</v>
      </c>
      <c r="F13369" s="58"/>
      <c r="G13369" s="58">
        <f t="shared" si="214"/>
        <v>-500</v>
      </c>
      <c r="H13369" s="705" t="s">
        <v>8392</v>
      </c>
    </row>
    <row r="13370" spans="1:8" ht="15" x14ac:dyDescent="0.2">
      <c r="A13370" s="734">
        <v>44865</v>
      </c>
      <c r="B13370" s="41" t="s">
        <v>6508</v>
      </c>
      <c r="C13370" s="76" t="s">
        <v>392</v>
      </c>
      <c r="D13370" s="791" t="s">
        <v>8597</v>
      </c>
      <c r="E13370" s="704">
        <v>1260</v>
      </c>
      <c r="F13370" s="58"/>
      <c r="G13370" s="58">
        <f t="shared" si="214"/>
        <v>-1260</v>
      </c>
      <c r="H13370" s="705" t="s">
        <v>8392</v>
      </c>
    </row>
    <row r="13371" spans="1:8" ht="15" x14ac:dyDescent="0.2">
      <c r="A13371" s="734">
        <v>44865</v>
      </c>
      <c r="B13371" s="41" t="s">
        <v>7921</v>
      </c>
      <c r="C13371" s="76" t="s">
        <v>2503</v>
      </c>
      <c r="D13371" s="791" t="s">
        <v>7097</v>
      </c>
      <c r="E13371" s="704">
        <v>25000</v>
      </c>
      <c r="F13371" s="58"/>
      <c r="G13371" s="58">
        <f t="shared" si="214"/>
        <v>-25000</v>
      </c>
      <c r="H13371" s="705" t="s">
        <v>8392</v>
      </c>
    </row>
    <row r="13372" spans="1:8" ht="15" x14ac:dyDescent="0.2">
      <c r="A13372" s="734">
        <v>44865</v>
      </c>
      <c r="B13372" s="41" t="s">
        <v>8339</v>
      </c>
      <c r="C13372" s="76" t="s">
        <v>2503</v>
      </c>
      <c r="D13372" s="791" t="s">
        <v>7097</v>
      </c>
      <c r="E13372" s="704">
        <v>25000</v>
      </c>
      <c r="F13372" s="58"/>
      <c r="G13372" s="58">
        <f t="shared" si="214"/>
        <v>-25000</v>
      </c>
      <c r="H13372" s="705" t="s">
        <v>8392</v>
      </c>
    </row>
    <row r="13373" spans="1:8" ht="15" x14ac:dyDescent="0.2">
      <c r="A13373" s="734">
        <v>44865</v>
      </c>
      <c r="B13373" s="41" t="s">
        <v>6505</v>
      </c>
      <c r="C13373" s="76" t="s">
        <v>2503</v>
      </c>
      <c r="D13373" s="791" t="s">
        <v>141</v>
      </c>
      <c r="E13373" s="704">
        <v>25000</v>
      </c>
      <c r="F13373" s="58"/>
      <c r="G13373" s="58">
        <f t="shared" si="214"/>
        <v>-25000</v>
      </c>
      <c r="H13373" s="705" t="s">
        <v>8392</v>
      </c>
    </row>
    <row r="13374" spans="1:8" ht="15" x14ac:dyDescent="0.2">
      <c r="A13374" s="734">
        <v>44865</v>
      </c>
      <c r="B13374" s="41" t="s">
        <v>8043</v>
      </c>
      <c r="C13374" s="76" t="s">
        <v>2503</v>
      </c>
      <c r="D13374" s="791" t="s">
        <v>141</v>
      </c>
      <c r="E13374" s="704">
        <v>25000</v>
      </c>
      <c r="F13374" s="58"/>
      <c r="G13374" s="58">
        <f t="shared" si="214"/>
        <v>-25000</v>
      </c>
      <c r="H13374" s="705" t="s">
        <v>8392</v>
      </c>
    </row>
    <row r="13375" spans="1:8" ht="15" x14ac:dyDescent="0.2">
      <c r="A13375" s="734">
        <v>44865</v>
      </c>
      <c r="B13375" s="41" t="s">
        <v>25</v>
      </c>
      <c r="C13375" s="76" t="s">
        <v>2503</v>
      </c>
      <c r="D13375" s="791" t="s">
        <v>8609</v>
      </c>
      <c r="E13375" s="704">
        <v>70000</v>
      </c>
      <c r="F13375" s="58"/>
      <c r="G13375" s="58">
        <f t="shared" si="214"/>
        <v>-70000</v>
      </c>
      <c r="H13375" s="705" t="s">
        <v>8392</v>
      </c>
    </row>
    <row r="13376" spans="1:8" ht="15" x14ac:dyDescent="0.2">
      <c r="A13376" s="734">
        <v>44865</v>
      </c>
      <c r="B13376" s="41" t="s">
        <v>16</v>
      </c>
      <c r="C13376" s="76" t="s">
        <v>2503</v>
      </c>
      <c r="D13376" s="791" t="s">
        <v>8610</v>
      </c>
      <c r="E13376" s="704">
        <v>137774.19354838709</v>
      </c>
      <c r="F13376" s="58"/>
      <c r="G13376" s="58">
        <f t="shared" si="214"/>
        <v>-137774.19354838709</v>
      </c>
      <c r="H13376" s="705" t="s">
        <v>8392</v>
      </c>
    </row>
    <row r="13377" spans="1:8" ht="15" x14ac:dyDescent="0.2">
      <c r="A13377" s="734">
        <v>44865</v>
      </c>
      <c r="B13377" s="41" t="s">
        <v>3945</v>
      </c>
      <c r="C13377" s="76" t="s">
        <v>2503</v>
      </c>
      <c r="D13377" s="791" t="s">
        <v>8611</v>
      </c>
      <c r="E13377" s="704">
        <v>95745.967741935485</v>
      </c>
      <c r="F13377" s="58"/>
      <c r="G13377" s="58">
        <f t="shared" si="214"/>
        <v>-95745.967741935485</v>
      </c>
      <c r="H13377" s="705" t="s">
        <v>8392</v>
      </c>
    </row>
    <row r="13378" spans="1:8" ht="15" x14ac:dyDescent="0.2">
      <c r="A13378" s="734">
        <v>44865</v>
      </c>
      <c r="B13378" s="41" t="s">
        <v>3946</v>
      </c>
      <c r="C13378" s="76" t="s">
        <v>2503</v>
      </c>
      <c r="D13378" s="791" t="s">
        <v>6569</v>
      </c>
      <c r="E13378" s="704">
        <v>115409</v>
      </c>
      <c r="F13378" s="58"/>
      <c r="G13378" s="58">
        <f t="shared" si="214"/>
        <v>-115409</v>
      </c>
      <c r="H13378" s="705" t="s">
        <v>8392</v>
      </c>
    </row>
    <row r="13379" spans="1:8" ht="15" x14ac:dyDescent="0.2">
      <c r="A13379" s="734">
        <v>44865</v>
      </c>
      <c r="B13379" s="41" t="s">
        <v>6505</v>
      </c>
      <c r="C13379" s="76" t="s">
        <v>2503</v>
      </c>
      <c r="D13379" s="791" t="s">
        <v>8612</v>
      </c>
      <c r="E13379" s="704">
        <v>286356</v>
      </c>
      <c r="F13379" s="58"/>
      <c r="G13379" s="58">
        <f t="shared" si="214"/>
        <v>-286356</v>
      </c>
      <c r="H13379" s="705" t="s">
        <v>8392</v>
      </c>
    </row>
    <row r="13380" spans="1:8" ht="15" x14ac:dyDescent="0.2">
      <c r="A13380" s="734">
        <v>44865</v>
      </c>
      <c r="B13380" s="41" t="s">
        <v>37</v>
      </c>
      <c r="C13380" s="76" t="s">
        <v>2503</v>
      </c>
      <c r="D13380" s="791" t="s">
        <v>8428</v>
      </c>
      <c r="E13380" s="704">
        <v>157701.61290322582</v>
      </c>
      <c r="F13380" s="58"/>
      <c r="G13380" s="58">
        <f t="shared" si="214"/>
        <v>-157701.61290322582</v>
      </c>
      <c r="H13380" s="705" t="s">
        <v>8392</v>
      </c>
    </row>
    <row r="13381" spans="1:8" ht="15" x14ac:dyDescent="0.2">
      <c r="A13381" s="734">
        <v>44865</v>
      </c>
      <c r="B13381" s="41" t="s">
        <v>2933</v>
      </c>
      <c r="C13381" s="76" t="s">
        <v>2503</v>
      </c>
      <c r="D13381" s="791" t="s">
        <v>8429</v>
      </c>
      <c r="E13381" s="704">
        <v>130902</v>
      </c>
      <c r="F13381" s="58"/>
      <c r="G13381" s="58">
        <f t="shared" ref="G13381:G13444" si="215">F13381-E13381</f>
        <v>-130902</v>
      </c>
      <c r="H13381" s="705" t="s">
        <v>8392</v>
      </c>
    </row>
    <row r="13382" spans="1:8" ht="15" x14ac:dyDescent="0.2">
      <c r="A13382" s="734">
        <v>44865</v>
      </c>
      <c r="B13382" s="41" t="s">
        <v>7921</v>
      </c>
      <c r="C13382" s="76" t="s">
        <v>2503</v>
      </c>
      <c r="D13382" s="791" t="s">
        <v>8614</v>
      </c>
      <c r="E13382" s="704">
        <v>78000</v>
      </c>
      <c r="F13382" s="58"/>
      <c r="G13382" s="58">
        <f t="shared" si="215"/>
        <v>-78000</v>
      </c>
      <c r="H13382" s="705" t="s">
        <v>8392</v>
      </c>
    </row>
    <row r="13383" spans="1:8" ht="15" x14ac:dyDescent="0.2">
      <c r="A13383" s="734">
        <v>44865</v>
      </c>
      <c r="B13383" s="41" t="s">
        <v>8043</v>
      </c>
      <c r="C13383" s="76" t="s">
        <v>2503</v>
      </c>
      <c r="D13383" s="791" t="s">
        <v>8615</v>
      </c>
      <c r="E13383" s="704">
        <v>78000</v>
      </c>
      <c r="F13383" s="58"/>
      <c r="G13383" s="58">
        <f t="shared" si="215"/>
        <v>-78000</v>
      </c>
      <c r="H13383" s="705" t="s">
        <v>8392</v>
      </c>
    </row>
    <row r="13384" spans="1:8" ht="15" x14ac:dyDescent="0.2">
      <c r="A13384" s="734">
        <v>44865</v>
      </c>
      <c r="B13384" s="41" t="s">
        <v>8339</v>
      </c>
      <c r="C13384" s="76" t="s">
        <v>2503</v>
      </c>
      <c r="D13384" s="791" t="s">
        <v>8616</v>
      </c>
      <c r="E13384" s="704">
        <v>47907</v>
      </c>
      <c r="F13384" s="58"/>
      <c r="G13384" s="58">
        <f t="shared" si="215"/>
        <v>-47907</v>
      </c>
      <c r="H13384" s="705" t="s">
        <v>8392</v>
      </c>
    </row>
    <row r="13385" spans="1:8" ht="15" x14ac:dyDescent="0.2">
      <c r="A13385" s="734">
        <v>44865</v>
      </c>
      <c r="B13385" s="41" t="s">
        <v>5811</v>
      </c>
      <c r="C13385" s="76" t="s">
        <v>2503</v>
      </c>
      <c r="D13385" s="791" t="s">
        <v>8433</v>
      </c>
      <c r="E13385" s="704">
        <v>28000</v>
      </c>
      <c r="F13385" s="58"/>
      <c r="G13385" s="58">
        <f t="shared" si="215"/>
        <v>-28000</v>
      </c>
      <c r="H13385" s="705" t="s">
        <v>8392</v>
      </c>
    </row>
    <row r="13386" spans="1:8" ht="15" x14ac:dyDescent="0.2">
      <c r="A13386" s="734">
        <v>44865</v>
      </c>
      <c r="B13386" s="41" t="s">
        <v>11</v>
      </c>
      <c r="C13386" s="76" t="s">
        <v>2503</v>
      </c>
      <c r="D13386" s="791" t="s">
        <v>8613</v>
      </c>
      <c r="E13386" s="704">
        <v>5000</v>
      </c>
      <c r="F13386" s="58"/>
      <c r="G13386" s="58">
        <f t="shared" si="215"/>
        <v>-5000</v>
      </c>
      <c r="H13386" s="705" t="s">
        <v>8392</v>
      </c>
    </row>
    <row r="13387" spans="1:8" ht="36" x14ac:dyDescent="0.2">
      <c r="A13387" s="733">
        <v>44835</v>
      </c>
      <c r="B13387" s="235" t="s">
        <v>3946</v>
      </c>
      <c r="C13387" s="236" t="s">
        <v>8323</v>
      </c>
      <c r="D13387" s="228" t="s">
        <v>8393</v>
      </c>
      <c r="E13387" s="236">
        <v>127000</v>
      </c>
      <c r="F13387" s="236"/>
      <c r="G13387" s="236">
        <f t="shared" si="215"/>
        <v>-127000</v>
      </c>
      <c r="H13387" s="709" t="s">
        <v>8392</v>
      </c>
    </row>
    <row r="13388" spans="1:8" s="682" customFormat="1" ht="36" customHeight="1" x14ac:dyDescent="0.25">
      <c r="A13388" s="733">
        <v>44837</v>
      </c>
      <c r="B13388" s="174" t="s">
        <v>7921</v>
      </c>
      <c r="C13388" s="174" t="s">
        <v>8394</v>
      </c>
      <c r="D13388" s="228" t="s">
        <v>8398</v>
      </c>
      <c r="E13388" s="236">
        <v>343867</v>
      </c>
      <c r="F13388" s="236"/>
      <c r="G13388" s="236">
        <f t="shared" si="215"/>
        <v>-343867</v>
      </c>
      <c r="H13388" s="709" t="s">
        <v>8392</v>
      </c>
    </row>
    <row r="13389" spans="1:8" s="682" customFormat="1" ht="15" customHeight="1" x14ac:dyDescent="0.25">
      <c r="A13389" s="733">
        <v>44837</v>
      </c>
      <c r="B13389" s="174" t="s">
        <v>8043</v>
      </c>
      <c r="C13389" s="174" t="s">
        <v>8394</v>
      </c>
      <c r="D13389" s="903" t="s">
        <v>8399</v>
      </c>
      <c r="E13389" s="236">
        <v>167000</v>
      </c>
      <c r="F13389" s="236"/>
      <c r="G13389" s="236">
        <f t="shared" si="215"/>
        <v>-167000</v>
      </c>
      <c r="H13389" s="709" t="s">
        <v>8392</v>
      </c>
    </row>
    <row r="13390" spans="1:8" ht="15" x14ac:dyDescent="0.2">
      <c r="A13390" s="733">
        <v>44838</v>
      </c>
      <c r="B13390" s="122" t="s">
        <v>7921</v>
      </c>
      <c r="C13390" s="122" t="s">
        <v>8255</v>
      </c>
      <c r="D13390" s="903" t="s">
        <v>8400</v>
      </c>
      <c r="E13390" s="123">
        <v>142000</v>
      </c>
      <c r="F13390" s="123"/>
      <c r="G13390" s="123">
        <f t="shared" si="215"/>
        <v>-142000</v>
      </c>
      <c r="H13390" s="709" t="s">
        <v>8392</v>
      </c>
    </row>
    <row r="13391" spans="1:8" ht="15" x14ac:dyDescent="0.2">
      <c r="A13391" s="733">
        <v>44840</v>
      </c>
      <c r="B13391" s="122" t="s">
        <v>8043</v>
      </c>
      <c r="C13391" s="122" t="s">
        <v>7223</v>
      </c>
      <c r="D13391" s="903" t="s">
        <v>8422</v>
      </c>
      <c r="E13391" s="123">
        <v>300000</v>
      </c>
      <c r="F13391" s="123"/>
      <c r="G13391" s="123">
        <f t="shared" si="215"/>
        <v>-300000</v>
      </c>
      <c r="H13391" s="709" t="s">
        <v>8392</v>
      </c>
    </row>
    <row r="13392" spans="1:8" ht="15" x14ac:dyDescent="0.2">
      <c r="A13392" s="733">
        <v>44840</v>
      </c>
      <c r="B13392" s="122" t="s">
        <v>2933</v>
      </c>
      <c r="C13392" s="122" t="s">
        <v>8423</v>
      </c>
      <c r="D13392" s="903" t="s">
        <v>8424</v>
      </c>
      <c r="E13392" s="123">
        <v>18000</v>
      </c>
      <c r="F13392" s="123"/>
      <c r="G13392" s="123">
        <f t="shared" si="215"/>
        <v>-18000</v>
      </c>
      <c r="H13392" s="709" t="s">
        <v>8392</v>
      </c>
    </row>
    <row r="13393" spans="1:8" ht="15" x14ac:dyDescent="0.2">
      <c r="A13393" s="733">
        <v>44842</v>
      </c>
      <c r="B13393" s="122" t="s">
        <v>7555</v>
      </c>
      <c r="C13393" s="235" t="s">
        <v>3003</v>
      </c>
      <c r="D13393" s="903" t="s">
        <v>8450</v>
      </c>
      <c r="E13393" s="708">
        <v>30839</v>
      </c>
      <c r="F13393" s="123"/>
      <c r="G13393" s="123">
        <f t="shared" si="215"/>
        <v>-30839</v>
      </c>
      <c r="H13393" s="709" t="s">
        <v>8392</v>
      </c>
    </row>
    <row r="13394" spans="1:8" ht="15" x14ac:dyDescent="0.2">
      <c r="A13394" s="733">
        <v>44842</v>
      </c>
      <c r="B13394" s="122" t="s">
        <v>3946</v>
      </c>
      <c r="C13394" s="235" t="s">
        <v>3003</v>
      </c>
      <c r="D13394" s="903" t="s">
        <v>8450</v>
      </c>
      <c r="E13394" s="708">
        <v>30160</v>
      </c>
      <c r="F13394" s="123"/>
      <c r="G13394" s="123">
        <f t="shared" si="215"/>
        <v>-30160</v>
      </c>
      <c r="H13394" s="709" t="s">
        <v>8392</v>
      </c>
    </row>
    <row r="13395" spans="1:8" ht="15" x14ac:dyDescent="0.2">
      <c r="A13395" s="733">
        <v>44842</v>
      </c>
      <c r="B13395" s="122" t="s">
        <v>3945</v>
      </c>
      <c r="C13395" s="235" t="s">
        <v>3003</v>
      </c>
      <c r="D13395" s="903" t="s">
        <v>8450</v>
      </c>
      <c r="E13395" s="708">
        <v>32760</v>
      </c>
      <c r="F13395" s="123"/>
      <c r="G13395" s="123">
        <f t="shared" si="215"/>
        <v>-32760</v>
      </c>
      <c r="H13395" s="709" t="s">
        <v>8392</v>
      </c>
    </row>
    <row r="13396" spans="1:8" ht="15" customHeight="1" x14ac:dyDescent="0.2">
      <c r="A13396" s="733">
        <v>44842</v>
      </c>
      <c r="B13396" s="122" t="s">
        <v>37</v>
      </c>
      <c r="C13396" s="235" t="s">
        <v>3003</v>
      </c>
      <c r="D13396" s="903" t="s">
        <v>8450</v>
      </c>
      <c r="E13396" s="708">
        <v>15552</v>
      </c>
      <c r="F13396" s="123"/>
      <c r="G13396" s="123">
        <f t="shared" si="215"/>
        <v>-15552</v>
      </c>
      <c r="H13396" s="709" t="s">
        <v>8392</v>
      </c>
    </row>
    <row r="13397" spans="1:8" ht="15" x14ac:dyDescent="0.2">
      <c r="A13397" s="733">
        <v>44847</v>
      </c>
      <c r="B13397" s="122" t="s">
        <v>8339</v>
      </c>
      <c r="C13397" s="235" t="s">
        <v>6706</v>
      </c>
      <c r="D13397" s="903" t="s">
        <v>8476</v>
      </c>
      <c r="E13397" s="708">
        <v>300000</v>
      </c>
      <c r="F13397" s="123"/>
      <c r="G13397" s="123">
        <f t="shared" si="215"/>
        <v>-300000</v>
      </c>
      <c r="H13397" s="709" t="s">
        <v>8392</v>
      </c>
    </row>
    <row r="13398" spans="1:8" ht="15" x14ac:dyDescent="0.2">
      <c r="A13398" s="733">
        <v>44848</v>
      </c>
      <c r="B13398" s="122" t="s">
        <v>7921</v>
      </c>
      <c r="C13398" s="235" t="s">
        <v>7906</v>
      </c>
      <c r="D13398" s="903" t="s">
        <v>9068</v>
      </c>
      <c r="E13398" s="708">
        <v>213963</v>
      </c>
      <c r="F13398" s="123"/>
      <c r="G13398" s="123">
        <f t="shared" si="215"/>
        <v>-213963</v>
      </c>
      <c r="H13398" s="709" t="s">
        <v>8392</v>
      </c>
    </row>
    <row r="13399" spans="1:8" ht="15" x14ac:dyDescent="0.2">
      <c r="A13399" s="733">
        <v>44848</v>
      </c>
      <c r="B13399" s="122" t="s">
        <v>8043</v>
      </c>
      <c r="C13399" s="235" t="s">
        <v>359</v>
      </c>
      <c r="D13399" s="903" t="s">
        <v>9068</v>
      </c>
      <c r="E13399" s="708">
        <v>52499</v>
      </c>
      <c r="F13399" s="123"/>
      <c r="G13399" s="123">
        <f t="shared" si="215"/>
        <v>-52499</v>
      </c>
      <c r="H13399" s="709" t="s">
        <v>8392</v>
      </c>
    </row>
    <row r="13400" spans="1:8" ht="15" x14ac:dyDescent="0.2">
      <c r="A13400" s="733">
        <v>44848</v>
      </c>
      <c r="B13400" s="122" t="s">
        <v>7921</v>
      </c>
      <c r="C13400" s="235" t="s">
        <v>705</v>
      </c>
      <c r="D13400" s="903" t="s">
        <v>8481</v>
      </c>
      <c r="E13400" s="708">
        <v>224000</v>
      </c>
      <c r="F13400" s="123"/>
      <c r="G13400" s="123">
        <f t="shared" si="215"/>
        <v>-224000</v>
      </c>
      <c r="H13400" s="709" t="s">
        <v>8392</v>
      </c>
    </row>
    <row r="13401" spans="1:8" s="682" customFormat="1" ht="24" customHeight="1" x14ac:dyDescent="0.25">
      <c r="A13401" s="733">
        <v>44854</v>
      </c>
      <c r="B13401" s="174" t="s">
        <v>8043</v>
      </c>
      <c r="C13401" s="235" t="s">
        <v>7467</v>
      </c>
      <c r="D13401" s="228" t="s">
        <v>8509</v>
      </c>
      <c r="E13401" s="708">
        <v>300000</v>
      </c>
      <c r="F13401" s="236"/>
      <c r="G13401" s="236">
        <f t="shared" si="215"/>
        <v>-300000</v>
      </c>
      <c r="H13401" s="709" t="s">
        <v>8392</v>
      </c>
    </row>
    <row r="13402" spans="1:8" s="682" customFormat="1" ht="24" customHeight="1" x14ac:dyDescent="0.25">
      <c r="A13402" s="733">
        <v>44854</v>
      </c>
      <c r="B13402" s="174" t="s">
        <v>8043</v>
      </c>
      <c r="C13402" s="235" t="s">
        <v>7467</v>
      </c>
      <c r="D13402" s="228" t="s">
        <v>8510</v>
      </c>
      <c r="E13402" s="708">
        <v>460000</v>
      </c>
      <c r="F13402" s="236"/>
      <c r="G13402" s="236">
        <f t="shared" si="215"/>
        <v>-460000</v>
      </c>
      <c r="H13402" s="709" t="s">
        <v>8392</v>
      </c>
    </row>
    <row r="13403" spans="1:8" s="682" customFormat="1" ht="38.25" customHeight="1" x14ac:dyDescent="0.25">
      <c r="A13403" s="733">
        <v>44854</v>
      </c>
      <c r="B13403" s="174" t="s">
        <v>7921</v>
      </c>
      <c r="C13403" s="235" t="s">
        <v>8030</v>
      </c>
      <c r="D13403" s="228" t="s">
        <v>8511</v>
      </c>
      <c r="E13403" s="708">
        <v>200000</v>
      </c>
      <c r="F13403" s="236"/>
      <c r="G13403" s="236">
        <f t="shared" si="215"/>
        <v>-200000</v>
      </c>
      <c r="H13403" s="709" t="s">
        <v>8392</v>
      </c>
    </row>
    <row r="13404" spans="1:8" s="682" customFormat="1" ht="24" customHeight="1" x14ac:dyDescent="0.25">
      <c r="A13404" s="733">
        <v>44858</v>
      </c>
      <c r="B13404" s="174" t="s">
        <v>8043</v>
      </c>
      <c r="C13404" s="235" t="s">
        <v>7223</v>
      </c>
      <c r="D13404" s="228" t="s">
        <v>8537</v>
      </c>
      <c r="E13404" s="708">
        <v>300950</v>
      </c>
      <c r="F13404" s="236"/>
      <c r="G13404" s="236">
        <f t="shared" si="215"/>
        <v>-300950</v>
      </c>
      <c r="H13404" s="709" t="s">
        <v>8392</v>
      </c>
    </row>
    <row r="13405" spans="1:8" s="682" customFormat="1" ht="24" customHeight="1" x14ac:dyDescent="0.25">
      <c r="A13405" s="733">
        <v>44859</v>
      </c>
      <c r="B13405" s="174" t="s">
        <v>7921</v>
      </c>
      <c r="C13405" s="235" t="s">
        <v>8394</v>
      </c>
      <c r="D13405" s="228" t="s">
        <v>8538</v>
      </c>
      <c r="E13405" s="708">
        <v>200000</v>
      </c>
      <c r="F13405" s="236"/>
      <c r="G13405" s="236">
        <f t="shared" si="215"/>
        <v>-200000</v>
      </c>
      <c r="H13405" s="709" t="s">
        <v>8392</v>
      </c>
    </row>
    <row r="13406" spans="1:8" s="682" customFormat="1" ht="24" customHeight="1" x14ac:dyDescent="0.25">
      <c r="A13406" s="733">
        <v>44859</v>
      </c>
      <c r="B13406" s="174" t="s">
        <v>7921</v>
      </c>
      <c r="C13406" s="550" t="s">
        <v>166</v>
      </c>
      <c r="D13406" s="740" t="s">
        <v>8549</v>
      </c>
      <c r="E13406" s="706">
        <v>147140</v>
      </c>
      <c r="F13406" s="236"/>
      <c r="G13406" s="236">
        <f t="shared" si="215"/>
        <v>-147140</v>
      </c>
      <c r="H13406" s="709" t="s">
        <v>8392</v>
      </c>
    </row>
    <row r="13407" spans="1:8" s="682" customFormat="1" ht="24" customHeight="1" x14ac:dyDescent="0.25">
      <c r="A13407" s="733">
        <v>44859</v>
      </c>
      <c r="B13407" s="174" t="s">
        <v>8077</v>
      </c>
      <c r="C13407" s="550" t="s">
        <v>166</v>
      </c>
      <c r="D13407" s="740" t="s">
        <v>8549</v>
      </c>
      <c r="E13407" s="706">
        <v>31200</v>
      </c>
      <c r="F13407" s="236"/>
      <c r="G13407" s="236">
        <f t="shared" si="215"/>
        <v>-31200</v>
      </c>
      <c r="H13407" s="709" t="s">
        <v>8392</v>
      </c>
    </row>
    <row r="13408" spans="1:8" s="682" customFormat="1" ht="24" customHeight="1" x14ac:dyDescent="0.25">
      <c r="A13408" s="733">
        <v>44859</v>
      </c>
      <c r="B13408" s="174" t="s">
        <v>8559</v>
      </c>
      <c r="C13408" s="550" t="s">
        <v>166</v>
      </c>
      <c r="D13408" s="740" t="s">
        <v>8549</v>
      </c>
      <c r="E13408" s="706">
        <v>109718</v>
      </c>
      <c r="F13408" s="236"/>
      <c r="G13408" s="236">
        <f t="shared" si="215"/>
        <v>-109718</v>
      </c>
      <c r="H13408" s="709" t="s">
        <v>8392</v>
      </c>
    </row>
    <row r="13409" spans="1:8" s="682" customFormat="1" ht="24" customHeight="1" x14ac:dyDescent="0.25">
      <c r="A13409" s="733">
        <v>44859</v>
      </c>
      <c r="B13409" s="174" t="s">
        <v>7921</v>
      </c>
      <c r="C13409" s="235" t="s">
        <v>3446</v>
      </c>
      <c r="D13409" s="228" t="s">
        <v>8552</v>
      </c>
      <c r="E13409" s="708">
        <v>125000</v>
      </c>
      <c r="F13409" s="236"/>
      <c r="G13409" s="236">
        <f t="shared" si="215"/>
        <v>-125000</v>
      </c>
      <c r="H13409" s="709" t="s">
        <v>8392</v>
      </c>
    </row>
    <row r="13410" spans="1:8" s="682" customFormat="1" ht="24" customHeight="1" x14ac:dyDescent="0.25">
      <c r="A13410" s="733">
        <v>44860</v>
      </c>
      <c r="B13410" s="174" t="s">
        <v>8339</v>
      </c>
      <c r="C13410" s="550" t="s">
        <v>1063</v>
      </c>
      <c r="D13410" s="740" t="s">
        <v>8554</v>
      </c>
      <c r="E13410" s="706">
        <v>150000</v>
      </c>
      <c r="F13410" s="236"/>
      <c r="G13410" s="236">
        <f t="shared" si="215"/>
        <v>-150000</v>
      </c>
      <c r="H13410" s="709" t="s">
        <v>8392</v>
      </c>
    </row>
    <row r="13411" spans="1:8" s="682" customFormat="1" ht="24" customHeight="1" x14ac:dyDescent="0.25">
      <c r="A13411" s="733">
        <v>44860</v>
      </c>
      <c r="B13411" s="174" t="s">
        <v>6505</v>
      </c>
      <c r="C13411" s="550" t="s">
        <v>1063</v>
      </c>
      <c r="D13411" s="740" t="s">
        <v>8554</v>
      </c>
      <c r="E13411" s="706">
        <v>23920</v>
      </c>
      <c r="F13411" s="236"/>
      <c r="G13411" s="236">
        <f t="shared" si="215"/>
        <v>-23920</v>
      </c>
      <c r="H13411" s="709" t="s">
        <v>8392</v>
      </c>
    </row>
    <row r="13412" spans="1:8" s="682" customFormat="1" ht="24" customHeight="1" x14ac:dyDescent="0.25">
      <c r="A13412" s="733">
        <v>44860</v>
      </c>
      <c r="B13412" s="736" t="s">
        <v>1400</v>
      </c>
      <c r="C13412" s="550" t="s">
        <v>1063</v>
      </c>
      <c r="D13412" s="740" t="s">
        <v>8554</v>
      </c>
      <c r="E13412" s="706">
        <v>11080</v>
      </c>
      <c r="F13412" s="236"/>
      <c r="G13412" s="236">
        <f t="shared" si="215"/>
        <v>-11080</v>
      </c>
      <c r="H13412" s="709" t="s">
        <v>8392</v>
      </c>
    </row>
    <row r="13413" spans="1:8" s="682" customFormat="1" ht="24" customHeight="1" x14ac:dyDescent="0.25">
      <c r="A13413" s="733">
        <v>44861</v>
      </c>
      <c r="B13413" s="174" t="s">
        <v>7953</v>
      </c>
      <c r="C13413" s="235" t="s">
        <v>7954</v>
      </c>
      <c r="D13413" s="228" t="s">
        <v>8585</v>
      </c>
      <c r="E13413" s="708">
        <v>495000</v>
      </c>
      <c r="F13413" s="236"/>
      <c r="G13413" s="236">
        <f t="shared" si="215"/>
        <v>-495000</v>
      </c>
      <c r="H13413" s="709" t="s">
        <v>8392</v>
      </c>
    </row>
    <row r="13414" spans="1:8" s="682" customFormat="1" ht="15" customHeight="1" x14ac:dyDescent="0.25">
      <c r="A13414" s="733">
        <v>44861</v>
      </c>
      <c r="B13414" s="174" t="s">
        <v>8043</v>
      </c>
      <c r="C13414" s="235" t="s">
        <v>6784</v>
      </c>
      <c r="D13414" s="228" t="s">
        <v>8551</v>
      </c>
      <c r="E13414" s="708">
        <v>140000</v>
      </c>
      <c r="F13414" s="236"/>
      <c r="G13414" s="236">
        <f t="shared" si="215"/>
        <v>-140000</v>
      </c>
      <c r="H13414" s="709" t="s">
        <v>8392</v>
      </c>
    </row>
    <row r="13415" spans="1:8" s="682" customFormat="1" ht="15" customHeight="1" x14ac:dyDescent="0.25">
      <c r="A13415" s="733">
        <v>44861</v>
      </c>
      <c r="B13415" s="174" t="s">
        <v>8043</v>
      </c>
      <c r="C13415" s="235" t="s">
        <v>7927</v>
      </c>
      <c r="D13415" s="228" t="s">
        <v>8553</v>
      </c>
      <c r="E13415" s="708">
        <v>150000</v>
      </c>
      <c r="F13415" s="236"/>
      <c r="G13415" s="236">
        <f t="shared" si="215"/>
        <v>-150000</v>
      </c>
      <c r="H13415" s="709" t="s">
        <v>8392</v>
      </c>
    </row>
    <row r="13416" spans="1:8" s="682" customFormat="1" ht="24" customHeight="1" x14ac:dyDescent="0.25">
      <c r="A13416" s="733">
        <v>44862</v>
      </c>
      <c r="B13416" s="174" t="s">
        <v>8339</v>
      </c>
      <c r="C13416" s="235" t="s">
        <v>6706</v>
      </c>
      <c r="D13416" s="228" t="s">
        <v>8555</v>
      </c>
      <c r="E13416" s="708">
        <v>192000</v>
      </c>
      <c r="F13416" s="236"/>
      <c r="G13416" s="236">
        <f t="shared" si="215"/>
        <v>-192000</v>
      </c>
      <c r="H13416" s="709" t="s">
        <v>8392</v>
      </c>
    </row>
    <row r="13417" spans="1:8" s="682" customFormat="1" ht="15" customHeight="1" x14ac:dyDescent="0.25">
      <c r="A13417" s="733">
        <v>44865</v>
      </c>
      <c r="B13417" s="174" t="s">
        <v>7921</v>
      </c>
      <c r="C13417" s="235" t="s">
        <v>8188</v>
      </c>
      <c r="D13417" s="228" t="s">
        <v>8592</v>
      </c>
      <c r="E13417" s="708">
        <v>93000</v>
      </c>
      <c r="F13417" s="236"/>
      <c r="G13417" s="236">
        <f t="shared" si="215"/>
        <v>-93000</v>
      </c>
      <c r="H13417" s="709" t="s">
        <v>8392</v>
      </c>
    </row>
    <row r="13418" spans="1:8" ht="15" x14ac:dyDescent="0.2">
      <c r="A13418" s="730">
        <v>44838</v>
      </c>
      <c r="B13418" s="94" t="s">
        <v>37</v>
      </c>
      <c r="C13418" s="175" t="s">
        <v>559</v>
      </c>
      <c r="D13418" s="892" t="s">
        <v>8369</v>
      </c>
      <c r="E13418" s="701"/>
      <c r="F13418" s="176">
        <v>188568</v>
      </c>
      <c r="G13418" s="92">
        <f t="shared" si="215"/>
        <v>188568</v>
      </c>
      <c r="H13418" s="702" t="s">
        <v>8392</v>
      </c>
    </row>
    <row r="13419" spans="1:8" ht="15" x14ac:dyDescent="0.2">
      <c r="A13419" s="730">
        <v>44845</v>
      </c>
      <c r="B13419" s="91" t="s">
        <v>8339</v>
      </c>
      <c r="C13419" s="175" t="s">
        <v>559</v>
      </c>
      <c r="D13419" s="801" t="s">
        <v>8462</v>
      </c>
      <c r="E13419" s="92"/>
      <c r="F13419" s="92">
        <v>2940765</v>
      </c>
      <c r="G13419" s="92">
        <f t="shared" si="215"/>
        <v>2940765</v>
      </c>
      <c r="H13419" s="702" t="s">
        <v>8392</v>
      </c>
    </row>
    <row r="13420" spans="1:8" ht="15" x14ac:dyDescent="0.2">
      <c r="A13420" s="730">
        <v>44845</v>
      </c>
      <c r="B13420" s="91" t="s">
        <v>8339</v>
      </c>
      <c r="C13420" s="175" t="s">
        <v>559</v>
      </c>
      <c r="D13420" s="801" t="s">
        <v>8544</v>
      </c>
      <c r="E13420" s="92">
        <v>102815</v>
      </c>
      <c r="F13420" s="92"/>
      <c r="G13420" s="92">
        <f t="shared" si="215"/>
        <v>-102815</v>
      </c>
      <c r="H13420" s="702" t="s">
        <v>8392</v>
      </c>
    </row>
    <row r="13421" spans="1:8" ht="15" x14ac:dyDescent="0.2">
      <c r="A13421" s="730">
        <v>44846</v>
      </c>
      <c r="B13421" s="91" t="s">
        <v>8077</v>
      </c>
      <c r="C13421" s="175" t="s">
        <v>559</v>
      </c>
      <c r="D13421" s="801" t="s">
        <v>8463</v>
      </c>
      <c r="E13421" s="92"/>
      <c r="F13421" s="92">
        <v>716250</v>
      </c>
      <c r="G13421" s="92">
        <f t="shared" si="215"/>
        <v>716250</v>
      </c>
      <c r="H13421" s="702" t="s">
        <v>8392</v>
      </c>
    </row>
    <row r="13422" spans="1:8" ht="15" x14ac:dyDescent="0.2">
      <c r="A13422" s="730">
        <v>44848</v>
      </c>
      <c r="B13422" s="91" t="s">
        <v>7921</v>
      </c>
      <c r="C13422" s="175" t="s">
        <v>559</v>
      </c>
      <c r="D13422" s="801" t="s">
        <v>8473</v>
      </c>
      <c r="E13422" s="92"/>
      <c r="F13422" s="92">
        <v>213963</v>
      </c>
      <c r="G13422" s="92">
        <f t="shared" si="215"/>
        <v>213963</v>
      </c>
      <c r="H13422" s="702" t="s">
        <v>8392</v>
      </c>
    </row>
    <row r="13423" spans="1:8" ht="15" x14ac:dyDescent="0.2">
      <c r="A13423" s="730">
        <v>44848</v>
      </c>
      <c r="B13423" s="91" t="s">
        <v>7921</v>
      </c>
      <c r="C13423" s="175" t="s">
        <v>559</v>
      </c>
      <c r="D13423" s="801" t="s">
        <v>8474</v>
      </c>
      <c r="E13423" s="92"/>
      <c r="F13423" s="92">
        <v>52499</v>
      </c>
      <c r="G13423" s="92">
        <f t="shared" si="215"/>
        <v>52499</v>
      </c>
      <c r="H13423" s="702" t="s">
        <v>8392</v>
      </c>
    </row>
    <row r="13424" spans="1:8" ht="15" x14ac:dyDescent="0.2">
      <c r="A13424" s="730">
        <v>44848</v>
      </c>
      <c r="B13424" s="94" t="s">
        <v>1400</v>
      </c>
      <c r="C13424" s="175" t="s">
        <v>559</v>
      </c>
      <c r="D13424" s="802" t="s">
        <v>8475</v>
      </c>
      <c r="E13424" s="92"/>
      <c r="F13424" s="176">
        <v>500000</v>
      </c>
      <c r="G13424" s="92">
        <f t="shared" si="215"/>
        <v>500000</v>
      </c>
      <c r="H13424" s="702" t="s">
        <v>8392</v>
      </c>
    </row>
    <row r="13425" spans="1:9" ht="15" x14ac:dyDescent="0.2">
      <c r="A13425" s="730">
        <v>44854</v>
      </c>
      <c r="B13425" s="91" t="s">
        <v>7921</v>
      </c>
      <c r="C13425" s="175" t="s">
        <v>559</v>
      </c>
      <c r="D13425" s="801" t="s">
        <v>8462</v>
      </c>
      <c r="E13425" s="92"/>
      <c r="F13425" s="92">
        <v>2000000</v>
      </c>
      <c r="G13425" s="92">
        <f t="shared" si="215"/>
        <v>2000000</v>
      </c>
      <c r="H13425" s="702" t="s">
        <v>8392</v>
      </c>
    </row>
    <row r="13426" spans="1:9" ht="15" x14ac:dyDescent="0.2">
      <c r="A13426" s="730">
        <v>44854</v>
      </c>
      <c r="B13426" s="91" t="s">
        <v>7921</v>
      </c>
      <c r="C13426" s="175" t="s">
        <v>559</v>
      </c>
      <c r="D13426" s="801" t="s">
        <v>8543</v>
      </c>
      <c r="E13426" s="92">
        <v>20000</v>
      </c>
      <c r="F13426" s="92"/>
      <c r="G13426" s="92">
        <f t="shared" si="215"/>
        <v>-20000</v>
      </c>
      <c r="H13426" s="702" t="s">
        <v>8392</v>
      </c>
    </row>
    <row r="13427" spans="1:9" ht="15" x14ac:dyDescent="0.2">
      <c r="A13427" s="730">
        <v>44854</v>
      </c>
      <c r="B13427" s="91" t="s">
        <v>7921</v>
      </c>
      <c r="C13427" s="175" t="s">
        <v>559</v>
      </c>
      <c r="D13427" s="801" t="s">
        <v>8545</v>
      </c>
      <c r="E13427" s="92">
        <v>51407</v>
      </c>
      <c r="F13427" s="92"/>
      <c r="G13427" s="92">
        <f t="shared" si="215"/>
        <v>-51407</v>
      </c>
      <c r="H13427" s="702" t="s">
        <v>8392</v>
      </c>
    </row>
    <row r="13428" spans="1:9" ht="15" x14ac:dyDescent="0.2">
      <c r="A13428" s="730">
        <v>44856</v>
      </c>
      <c r="B13428" s="91" t="s">
        <v>3946</v>
      </c>
      <c r="C13428" s="175" t="s">
        <v>559</v>
      </c>
      <c r="D13428" s="892" t="s">
        <v>8530</v>
      </c>
      <c r="E13428" s="701"/>
      <c r="F13428" s="92">
        <v>310329</v>
      </c>
      <c r="G13428" s="92">
        <f t="shared" si="215"/>
        <v>310329</v>
      </c>
      <c r="H13428" s="702" t="s">
        <v>8392</v>
      </c>
    </row>
    <row r="13429" spans="1:9" ht="15" x14ac:dyDescent="0.2">
      <c r="A13429" s="730">
        <v>44858</v>
      </c>
      <c r="B13429" s="91" t="s">
        <v>8532</v>
      </c>
      <c r="C13429" s="175" t="s">
        <v>559</v>
      </c>
      <c r="D13429" s="892" t="s">
        <v>8531</v>
      </c>
      <c r="E13429" s="701"/>
      <c r="F13429" s="92">
        <v>400000</v>
      </c>
      <c r="G13429" s="92">
        <f t="shared" si="215"/>
        <v>400000</v>
      </c>
      <c r="H13429" s="702" t="s">
        <v>8392</v>
      </c>
    </row>
    <row r="13430" spans="1:9" ht="15" x14ac:dyDescent="0.2">
      <c r="A13430" s="730">
        <v>44858</v>
      </c>
      <c r="B13430" s="94" t="s">
        <v>37</v>
      </c>
      <c r="C13430" s="175" t="s">
        <v>559</v>
      </c>
      <c r="D13430" s="892" t="s">
        <v>8533</v>
      </c>
      <c r="E13430" s="701"/>
      <c r="F13430" s="92">
        <v>188568</v>
      </c>
      <c r="G13430" s="92">
        <f t="shared" si="215"/>
        <v>188568</v>
      </c>
      <c r="H13430" s="702" t="s">
        <v>8392</v>
      </c>
    </row>
    <row r="13431" spans="1:9" ht="15" x14ac:dyDescent="0.2">
      <c r="A13431" s="730">
        <v>44859</v>
      </c>
      <c r="B13431" s="94" t="s">
        <v>8539</v>
      </c>
      <c r="C13431" s="175" t="s">
        <v>559</v>
      </c>
      <c r="D13431" s="892" t="s">
        <v>8540</v>
      </c>
      <c r="E13431" s="701"/>
      <c r="F13431" s="176">
        <v>288058</v>
      </c>
      <c r="G13431" s="176">
        <f t="shared" si="215"/>
        <v>288058</v>
      </c>
      <c r="H13431" s="702" t="s">
        <v>8392</v>
      </c>
    </row>
    <row r="13432" spans="1:9" ht="15" x14ac:dyDescent="0.2">
      <c r="A13432" s="730">
        <v>44860</v>
      </c>
      <c r="B13432" s="91" t="s">
        <v>6505</v>
      </c>
      <c r="C13432" s="175" t="s">
        <v>559</v>
      </c>
      <c r="D13432" s="801" t="s">
        <v>8542</v>
      </c>
      <c r="E13432" s="701"/>
      <c r="F13432" s="92">
        <v>300000</v>
      </c>
      <c r="G13432" s="92">
        <f t="shared" si="215"/>
        <v>300000</v>
      </c>
      <c r="H13432" s="702" t="s">
        <v>8392</v>
      </c>
    </row>
    <row r="13433" spans="1:9" ht="15" x14ac:dyDescent="0.2">
      <c r="A13433" s="730">
        <v>44860</v>
      </c>
      <c r="B13433" s="91" t="s">
        <v>6505</v>
      </c>
      <c r="C13433" s="175" t="s">
        <v>559</v>
      </c>
      <c r="D13433" s="801" t="s">
        <v>8542</v>
      </c>
      <c r="E13433" s="701"/>
      <c r="F13433" s="92">
        <v>300000</v>
      </c>
      <c r="G13433" s="92">
        <f t="shared" si="215"/>
        <v>300000</v>
      </c>
      <c r="H13433" s="702" t="s">
        <v>8392</v>
      </c>
    </row>
    <row r="13434" spans="1:9" ht="15" x14ac:dyDescent="0.2">
      <c r="A13434" s="730">
        <v>44860</v>
      </c>
      <c r="B13434" s="91" t="s">
        <v>6505</v>
      </c>
      <c r="C13434" s="175" t="s">
        <v>559</v>
      </c>
      <c r="D13434" s="801" t="s">
        <v>8586</v>
      </c>
      <c r="E13434" s="701"/>
      <c r="F13434" s="92">
        <v>495000</v>
      </c>
      <c r="G13434" s="92">
        <f t="shared" si="215"/>
        <v>495000</v>
      </c>
      <c r="H13434" s="702" t="s">
        <v>8392</v>
      </c>
    </row>
    <row r="13435" spans="1:9" s="682" customFormat="1" ht="15" customHeight="1" x14ac:dyDescent="0.25">
      <c r="A13435" s="730">
        <v>44860</v>
      </c>
      <c r="B13435" s="94" t="s">
        <v>6505</v>
      </c>
      <c r="C13435" s="175" t="s">
        <v>559</v>
      </c>
      <c r="D13435" s="892" t="s">
        <v>8547</v>
      </c>
      <c r="E13435" s="701"/>
      <c r="F13435" s="176">
        <v>500000</v>
      </c>
      <c r="G13435" s="176">
        <f t="shared" si="215"/>
        <v>500000</v>
      </c>
      <c r="H13435" s="702" t="s">
        <v>8392</v>
      </c>
    </row>
    <row r="13436" spans="1:9" ht="15" x14ac:dyDescent="0.2">
      <c r="A13436" s="730">
        <v>44862</v>
      </c>
      <c r="B13436" s="91" t="s">
        <v>7953</v>
      </c>
      <c r="C13436" s="175" t="s">
        <v>559</v>
      </c>
      <c r="D13436" s="801" t="s">
        <v>8548</v>
      </c>
      <c r="E13436" s="701"/>
      <c r="F13436" s="92">
        <v>1500000</v>
      </c>
      <c r="G13436" s="92">
        <f t="shared" si="215"/>
        <v>1500000</v>
      </c>
      <c r="H13436" s="702" t="s">
        <v>8392</v>
      </c>
    </row>
    <row r="13437" spans="1:9" ht="15" x14ac:dyDescent="0.2">
      <c r="A13437" s="730">
        <v>44862</v>
      </c>
      <c r="B13437" s="91" t="s">
        <v>7953</v>
      </c>
      <c r="C13437" s="175" t="s">
        <v>559</v>
      </c>
      <c r="D13437" s="801" t="s">
        <v>8543</v>
      </c>
      <c r="E13437" s="701">
        <v>15220</v>
      </c>
      <c r="F13437" s="92"/>
      <c r="G13437" s="92">
        <f t="shared" si="215"/>
        <v>-15220</v>
      </c>
      <c r="H13437" s="702" t="s">
        <v>8392</v>
      </c>
      <c r="I13437" s="40"/>
    </row>
    <row r="13438" spans="1:9" s="682" customFormat="1" ht="24" customHeight="1" x14ac:dyDescent="0.25">
      <c r="A13438" s="730">
        <v>44863</v>
      </c>
      <c r="B13438" s="94" t="s">
        <v>7555</v>
      </c>
      <c r="C13438" s="175" t="s">
        <v>559</v>
      </c>
      <c r="D13438" s="920" t="s">
        <v>8575</v>
      </c>
      <c r="E13438" s="701"/>
      <c r="F13438" s="176">
        <v>1002960</v>
      </c>
      <c r="G13438" s="176">
        <f t="shared" si="215"/>
        <v>1002960</v>
      </c>
      <c r="H13438" s="702" t="s">
        <v>8392</v>
      </c>
    </row>
    <row r="13439" spans="1:9" s="682" customFormat="1" ht="24" customHeight="1" x14ac:dyDescent="0.25">
      <c r="A13439" s="730">
        <v>44863</v>
      </c>
      <c r="B13439" s="94" t="s">
        <v>8559</v>
      </c>
      <c r="C13439" s="175" t="s">
        <v>559</v>
      </c>
      <c r="D13439" s="920" t="s">
        <v>8574</v>
      </c>
      <c r="E13439" s="701"/>
      <c r="F13439" s="176">
        <v>2874349</v>
      </c>
      <c r="G13439" s="176">
        <f t="shared" si="215"/>
        <v>2874349</v>
      </c>
      <c r="H13439" s="702" t="s">
        <v>8392</v>
      </c>
    </row>
    <row r="13440" spans="1:9" s="682" customFormat="1" ht="24" customHeight="1" x14ac:dyDescent="0.25">
      <c r="A13440" s="730">
        <v>44863</v>
      </c>
      <c r="B13440" s="94" t="s">
        <v>7555</v>
      </c>
      <c r="C13440" s="175" t="s">
        <v>559</v>
      </c>
      <c r="D13440" s="802" t="s">
        <v>9213</v>
      </c>
      <c r="E13440" s="176"/>
      <c r="F13440" s="176">
        <v>293851</v>
      </c>
      <c r="G13440" s="176">
        <f t="shared" si="215"/>
        <v>293851</v>
      </c>
      <c r="H13440" s="702" t="s">
        <v>8392</v>
      </c>
    </row>
    <row r="13441" spans="1:8" s="682" customFormat="1" ht="24" customHeight="1" x14ac:dyDescent="0.25">
      <c r="A13441" s="730">
        <v>44865</v>
      </c>
      <c r="B13441" s="94" t="s">
        <v>8043</v>
      </c>
      <c r="C13441" s="175" t="s">
        <v>559</v>
      </c>
      <c r="D13441" s="802" t="s">
        <v>8579</v>
      </c>
      <c r="E13441" s="176"/>
      <c r="F13441" s="176">
        <v>5000000</v>
      </c>
      <c r="G13441" s="176">
        <f t="shared" si="215"/>
        <v>5000000</v>
      </c>
      <c r="H13441" s="702" t="s">
        <v>8392</v>
      </c>
    </row>
    <row r="13442" spans="1:8" s="682" customFormat="1" ht="15" x14ac:dyDescent="0.2">
      <c r="A13442" s="730">
        <v>44865</v>
      </c>
      <c r="B13442" s="94" t="s">
        <v>8043</v>
      </c>
      <c r="C13442" s="175" t="s">
        <v>559</v>
      </c>
      <c r="D13442" s="801" t="s">
        <v>8543</v>
      </c>
      <c r="E13442" s="176">
        <v>53000</v>
      </c>
      <c r="F13442" s="176"/>
      <c r="G13442" s="176">
        <f t="shared" si="215"/>
        <v>-53000</v>
      </c>
      <c r="H13442" s="702" t="s">
        <v>8392</v>
      </c>
    </row>
    <row r="13443" spans="1:8" s="682" customFormat="1" ht="15" x14ac:dyDescent="0.2">
      <c r="A13443" s="734">
        <v>44866</v>
      </c>
      <c r="B13443" s="41" t="s">
        <v>2933</v>
      </c>
      <c r="C13443" s="76" t="s">
        <v>392</v>
      </c>
      <c r="D13443" s="791" t="s">
        <v>8598</v>
      </c>
      <c r="E13443" s="704">
        <v>4000</v>
      </c>
      <c r="F13443" s="58"/>
      <c r="G13443" s="58">
        <f t="shared" si="215"/>
        <v>-4000</v>
      </c>
      <c r="H13443" s="705" t="s">
        <v>8593</v>
      </c>
    </row>
    <row r="13444" spans="1:8" s="682" customFormat="1" ht="15" x14ac:dyDescent="0.2">
      <c r="A13444" s="734">
        <v>44866</v>
      </c>
      <c r="B13444" s="41" t="s">
        <v>25</v>
      </c>
      <c r="C13444" s="76" t="s">
        <v>8150</v>
      </c>
      <c r="D13444" s="791" t="s">
        <v>8619</v>
      </c>
      <c r="E13444" s="704">
        <v>520</v>
      </c>
      <c r="F13444" s="58"/>
      <c r="G13444" s="58">
        <f t="shared" si="215"/>
        <v>-520</v>
      </c>
      <c r="H13444" s="705" t="s">
        <v>8593</v>
      </c>
    </row>
    <row r="13445" spans="1:8" s="682" customFormat="1" ht="15" x14ac:dyDescent="0.2">
      <c r="A13445" s="734">
        <v>44866</v>
      </c>
      <c r="B13445" s="41" t="s">
        <v>16</v>
      </c>
      <c r="C13445" s="76" t="s">
        <v>8150</v>
      </c>
      <c r="D13445" s="791" t="s">
        <v>8619</v>
      </c>
      <c r="E13445" s="704">
        <v>260</v>
      </c>
      <c r="F13445" s="58"/>
      <c r="G13445" s="58">
        <f t="shared" ref="G13445:G13508" si="216">F13445-E13445</f>
        <v>-260</v>
      </c>
      <c r="H13445" s="705" t="s">
        <v>8593</v>
      </c>
    </row>
    <row r="13446" spans="1:8" ht="15" x14ac:dyDescent="0.2">
      <c r="A13446" s="734">
        <v>44866</v>
      </c>
      <c r="B13446" s="41" t="s">
        <v>16</v>
      </c>
      <c r="C13446" s="76" t="s">
        <v>3843</v>
      </c>
      <c r="D13446" s="791" t="s">
        <v>8492</v>
      </c>
      <c r="E13446" s="704">
        <v>4015</v>
      </c>
      <c r="F13446" s="58"/>
      <c r="G13446" s="58">
        <f t="shared" si="216"/>
        <v>-4015</v>
      </c>
      <c r="H13446" s="705" t="s">
        <v>8593</v>
      </c>
    </row>
    <row r="13447" spans="1:8" ht="15" x14ac:dyDescent="0.2">
      <c r="A13447" s="734">
        <v>44866</v>
      </c>
      <c r="B13447" s="41" t="s">
        <v>7921</v>
      </c>
      <c r="C13447" s="76" t="s">
        <v>392</v>
      </c>
      <c r="D13447" s="791" t="s">
        <v>8517</v>
      </c>
      <c r="E13447" s="704">
        <v>1000</v>
      </c>
      <c r="F13447" s="58"/>
      <c r="G13447" s="58">
        <f t="shared" si="216"/>
        <v>-1000</v>
      </c>
      <c r="H13447" s="705" t="s">
        <v>8593</v>
      </c>
    </row>
    <row r="13448" spans="1:8" ht="15" x14ac:dyDescent="0.2">
      <c r="A13448" s="734">
        <v>44866</v>
      </c>
      <c r="B13448" s="41" t="s">
        <v>8043</v>
      </c>
      <c r="C13448" s="76" t="s">
        <v>392</v>
      </c>
      <c r="D13448" s="791" t="s">
        <v>8517</v>
      </c>
      <c r="E13448" s="704">
        <v>1000</v>
      </c>
      <c r="F13448" s="58"/>
      <c r="G13448" s="58">
        <f t="shared" si="216"/>
        <v>-1000</v>
      </c>
      <c r="H13448" s="705" t="s">
        <v>8593</v>
      </c>
    </row>
    <row r="13449" spans="1:8" s="682" customFormat="1" ht="15" x14ac:dyDescent="0.2">
      <c r="A13449" s="734">
        <v>44866</v>
      </c>
      <c r="B13449" s="41" t="s">
        <v>8043</v>
      </c>
      <c r="C13449" s="76" t="s">
        <v>3145</v>
      </c>
      <c r="D13449" s="791" t="s">
        <v>8599</v>
      </c>
      <c r="E13449" s="704">
        <v>3500</v>
      </c>
      <c r="F13449" s="58"/>
      <c r="G13449" s="58">
        <f t="shared" si="216"/>
        <v>-3500</v>
      </c>
      <c r="H13449" s="705" t="s">
        <v>8593</v>
      </c>
    </row>
    <row r="13450" spans="1:8" s="682" customFormat="1" ht="15" customHeight="1" x14ac:dyDescent="0.2">
      <c r="A13450" s="734">
        <v>44866</v>
      </c>
      <c r="B13450" s="41" t="s">
        <v>8339</v>
      </c>
      <c r="C13450" s="76" t="s">
        <v>3145</v>
      </c>
      <c r="D13450" s="791" t="s">
        <v>8600</v>
      </c>
      <c r="E13450" s="704">
        <v>7600</v>
      </c>
      <c r="F13450" s="58"/>
      <c r="G13450" s="58">
        <f t="shared" si="216"/>
        <v>-7600</v>
      </c>
      <c r="H13450" s="705" t="s">
        <v>8593</v>
      </c>
    </row>
    <row r="13451" spans="1:8" s="682" customFormat="1" ht="15" customHeight="1" x14ac:dyDescent="0.2">
      <c r="A13451" s="734">
        <v>44866</v>
      </c>
      <c r="B13451" s="41" t="s">
        <v>25</v>
      </c>
      <c r="C13451" s="76" t="s">
        <v>286</v>
      </c>
      <c r="D13451" s="791" t="s">
        <v>8601</v>
      </c>
      <c r="E13451" s="704">
        <v>20500</v>
      </c>
      <c r="F13451" s="58"/>
      <c r="G13451" s="58">
        <f t="shared" si="216"/>
        <v>-20500</v>
      </c>
      <c r="H13451" s="705" t="s">
        <v>8593</v>
      </c>
    </row>
    <row r="13452" spans="1:8" s="682" customFormat="1" ht="15" customHeight="1" x14ac:dyDescent="0.2">
      <c r="A13452" s="734">
        <v>44866</v>
      </c>
      <c r="B13452" s="41" t="s">
        <v>7921</v>
      </c>
      <c r="C13452" s="76" t="s">
        <v>3446</v>
      </c>
      <c r="D13452" s="791" t="s">
        <v>8602</v>
      </c>
      <c r="E13452" s="704">
        <v>45000</v>
      </c>
      <c r="F13452" s="58"/>
      <c r="G13452" s="58">
        <f t="shared" si="216"/>
        <v>-45000</v>
      </c>
      <c r="H13452" s="705" t="s">
        <v>8593</v>
      </c>
    </row>
    <row r="13453" spans="1:8" s="682" customFormat="1" ht="15" customHeight="1" x14ac:dyDescent="0.2">
      <c r="A13453" s="734">
        <v>44866</v>
      </c>
      <c r="B13453" s="41" t="s">
        <v>8043</v>
      </c>
      <c r="C13453" s="76" t="s">
        <v>3145</v>
      </c>
      <c r="D13453" s="791" t="s">
        <v>6951</v>
      </c>
      <c r="E13453" s="704">
        <v>3000</v>
      </c>
      <c r="F13453" s="58"/>
      <c r="G13453" s="58">
        <f t="shared" si="216"/>
        <v>-3000</v>
      </c>
      <c r="H13453" s="705" t="s">
        <v>8593</v>
      </c>
    </row>
    <row r="13454" spans="1:8" s="682" customFormat="1" ht="15" customHeight="1" x14ac:dyDescent="0.2">
      <c r="A13454" s="734">
        <v>44866</v>
      </c>
      <c r="B13454" s="41" t="s">
        <v>16</v>
      </c>
      <c r="C13454" s="76" t="s">
        <v>103</v>
      </c>
      <c r="D13454" s="791" t="s">
        <v>8648</v>
      </c>
      <c r="E13454" s="704">
        <v>2100</v>
      </c>
      <c r="F13454" s="58"/>
      <c r="G13454" s="58">
        <f t="shared" si="216"/>
        <v>-2100</v>
      </c>
      <c r="H13454" s="705" t="s">
        <v>8593</v>
      </c>
    </row>
    <row r="13455" spans="1:8" s="682" customFormat="1" ht="15" x14ac:dyDescent="0.2">
      <c r="A13455" s="734">
        <v>44866</v>
      </c>
      <c r="B13455" s="41" t="s">
        <v>8043</v>
      </c>
      <c r="C13455" s="76" t="s">
        <v>392</v>
      </c>
      <c r="D13455" s="791" t="s">
        <v>8649</v>
      </c>
      <c r="E13455" s="704">
        <v>1100</v>
      </c>
      <c r="F13455" s="58"/>
      <c r="G13455" s="58">
        <f t="shared" si="216"/>
        <v>-1100</v>
      </c>
      <c r="H13455" s="705" t="s">
        <v>8593</v>
      </c>
    </row>
    <row r="13456" spans="1:8" s="682" customFormat="1" ht="15" x14ac:dyDescent="0.2">
      <c r="A13456" s="734">
        <v>44867</v>
      </c>
      <c r="B13456" s="41" t="s">
        <v>8559</v>
      </c>
      <c r="C13456" s="76" t="s">
        <v>3145</v>
      </c>
      <c r="D13456" s="791" t="s">
        <v>8600</v>
      </c>
      <c r="E13456" s="704">
        <v>29424</v>
      </c>
      <c r="F13456" s="58"/>
      <c r="G13456" s="58">
        <f t="shared" si="216"/>
        <v>-29424</v>
      </c>
      <c r="H13456" s="705" t="s">
        <v>8593</v>
      </c>
    </row>
    <row r="13457" spans="1:8" s="682" customFormat="1" ht="15" x14ac:dyDescent="0.2">
      <c r="A13457" s="734">
        <v>44867</v>
      </c>
      <c r="B13457" s="41" t="s">
        <v>8043</v>
      </c>
      <c r="C13457" s="76" t="s">
        <v>5741</v>
      </c>
      <c r="D13457" s="791" t="s">
        <v>5742</v>
      </c>
      <c r="E13457" s="704">
        <v>1500</v>
      </c>
      <c r="F13457" s="58"/>
      <c r="G13457" s="58">
        <f t="shared" si="216"/>
        <v>-1500</v>
      </c>
      <c r="H13457" s="705" t="s">
        <v>8593</v>
      </c>
    </row>
    <row r="13458" spans="1:8" s="682" customFormat="1" ht="15" x14ac:dyDescent="0.2">
      <c r="A13458" s="734">
        <v>44868</v>
      </c>
      <c r="B13458" s="41" t="s">
        <v>16</v>
      </c>
      <c r="C13458" s="76" t="s">
        <v>103</v>
      </c>
      <c r="D13458" s="791" t="s">
        <v>8603</v>
      </c>
      <c r="E13458" s="704">
        <v>200</v>
      </c>
      <c r="F13458" s="58"/>
      <c r="G13458" s="58">
        <f t="shared" si="216"/>
        <v>-200</v>
      </c>
      <c r="H13458" s="705" t="s">
        <v>8593</v>
      </c>
    </row>
    <row r="13459" spans="1:8" s="682" customFormat="1" ht="15" x14ac:dyDescent="0.2">
      <c r="A13459" s="734">
        <v>44868</v>
      </c>
      <c r="B13459" s="41" t="s">
        <v>8339</v>
      </c>
      <c r="C13459" s="76" t="s">
        <v>790</v>
      </c>
      <c r="D13459" s="791"/>
      <c r="E13459" s="704">
        <v>120</v>
      </c>
      <c r="F13459" s="58"/>
      <c r="G13459" s="58">
        <f t="shared" si="216"/>
        <v>-120</v>
      </c>
      <c r="H13459" s="705" t="s">
        <v>8593</v>
      </c>
    </row>
    <row r="13460" spans="1:8" s="682" customFormat="1" ht="15" x14ac:dyDescent="0.2">
      <c r="A13460" s="734">
        <v>44868</v>
      </c>
      <c r="B13460" s="41" t="s">
        <v>8339</v>
      </c>
      <c r="C13460" s="76" t="s">
        <v>790</v>
      </c>
      <c r="D13460" s="791"/>
      <c r="E13460" s="704">
        <v>880</v>
      </c>
      <c r="F13460" s="58"/>
      <c r="G13460" s="58">
        <f t="shared" si="216"/>
        <v>-880</v>
      </c>
      <c r="H13460" s="705" t="s">
        <v>8593</v>
      </c>
    </row>
    <row r="13461" spans="1:8" s="682" customFormat="1" ht="15" x14ac:dyDescent="0.2">
      <c r="A13461" s="734">
        <v>44868</v>
      </c>
      <c r="B13461" s="41" t="s">
        <v>7921</v>
      </c>
      <c r="C13461" s="76" t="s">
        <v>790</v>
      </c>
      <c r="D13461" s="791"/>
      <c r="E13461" s="704">
        <v>400</v>
      </c>
      <c r="F13461" s="58"/>
      <c r="G13461" s="58">
        <f t="shared" si="216"/>
        <v>-400</v>
      </c>
      <c r="H13461" s="705" t="s">
        <v>8593</v>
      </c>
    </row>
    <row r="13462" spans="1:8" s="682" customFormat="1" ht="15" x14ac:dyDescent="0.2">
      <c r="A13462" s="734">
        <v>44868</v>
      </c>
      <c r="B13462" s="41" t="s">
        <v>7921</v>
      </c>
      <c r="C13462" s="76" t="s">
        <v>392</v>
      </c>
      <c r="D13462" s="791" t="s">
        <v>8620</v>
      </c>
      <c r="E13462" s="704">
        <v>1000</v>
      </c>
      <c r="F13462" s="58"/>
      <c r="G13462" s="58">
        <f t="shared" si="216"/>
        <v>-1000</v>
      </c>
      <c r="H13462" s="705" t="s">
        <v>8593</v>
      </c>
    </row>
    <row r="13463" spans="1:8" s="682" customFormat="1" ht="15" x14ac:dyDescent="0.2">
      <c r="A13463" s="734">
        <v>44868</v>
      </c>
      <c r="B13463" s="41" t="s">
        <v>8532</v>
      </c>
      <c r="C13463" s="76" t="s">
        <v>392</v>
      </c>
      <c r="D13463" s="791" t="s">
        <v>8621</v>
      </c>
      <c r="E13463" s="704">
        <v>1000</v>
      </c>
      <c r="F13463" s="58"/>
      <c r="G13463" s="58">
        <f t="shared" si="216"/>
        <v>-1000</v>
      </c>
      <c r="H13463" s="705" t="s">
        <v>8593</v>
      </c>
    </row>
    <row r="13464" spans="1:8" s="682" customFormat="1" ht="15" x14ac:dyDescent="0.2">
      <c r="A13464" s="734">
        <v>44868</v>
      </c>
      <c r="B13464" s="41" t="s">
        <v>8339</v>
      </c>
      <c r="C13464" s="550" t="s">
        <v>3145</v>
      </c>
      <c r="D13464" s="904" t="s">
        <v>8600</v>
      </c>
      <c r="E13464" s="706">
        <v>11500</v>
      </c>
      <c r="F13464" s="58"/>
      <c r="G13464" s="58">
        <f t="shared" si="216"/>
        <v>-11500</v>
      </c>
      <c r="H13464" s="705" t="s">
        <v>8593</v>
      </c>
    </row>
    <row r="13465" spans="1:8" s="682" customFormat="1" ht="15" x14ac:dyDescent="0.2">
      <c r="A13465" s="734">
        <v>44868</v>
      </c>
      <c r="B13465" s="41" t="s">
        <v>7921</v>
      </c>
      <c r="C13465" s="550" t="s">
        <v>3145</v>
      </c>
      <c r="D13465" s="904" t="s">
        <v>8600</v>
      </c>
      <c r="E13465" s="706">
        <v>6202</v>
      </c>
      <c r="F13465" s="58"/>
      <c r="G13465" s="58">
        <f t="shared" si="216"/>
        <v>-6202</v>
      </c>
      <c r="H13465" s="705" t="s">
        <v>8593</v>
      </c>
    </row>
    <row r="13466" spans="1:8" s="682" customFormat="1" ht="15" x14ac:dyDescent="0.2">
      <c r="A13466" s="734">
        <v>44868</v>
      </c>
      <c r="B13466" s="41" t="s">
        <v>25</v>
      </c>
      <c r="C13466" s="76" t="s">
        <v>2428</v>
      </c>
      <c r="D13466" s="791" t="s">
        <v>8604</v>
      </c>
      <c r="E13466" s="704">
        <v>28400</v>
      </c>
      <c r="F13466" s="58"/>
      <c r="G13466" s="58">
        <f t="shared" si="216"/>
        <v>-28400</v>
      </c>
      <c r="H13466" s="705" t="s">
        <v>8593</v>
      </c>
    </row>
    <row r="13467" spans="1:8" s="682" customFormat="1" ht="24" customHeight="1" x14ac:dyDescent="0.25">
      <c r="A13467" s="734">
        <v>44868</v>
      </c>
      <c r="B13467" s="63" t="s">
        <v>25</v>
      </c>
      <c r="C13467" s="76" t="s">
        <v>2428</v>
      </c>
      <c r="D13467" s="183" t="s">
        <v>8605</v>
      </c>
      <c r="E13467" s="704">
        <v>36000</v>
      </c>
      <c r="F13467" s="126"/>
      <c r="G13467" s="126">
        <f t="shared" si="216"/>
        <v>-36000</v>
      </c>
      <c r="H13467" s="705" t="s">
        <v>8593</v>
      </c>
    </row>
    <row r="13468" spans="1:8" s="682" customFormat="1" ht="15" customHeight="1" x14ac:dyDescent="0.25">
      <c r="A13468" s="734">
        <v>44868</v>
      </c>
      <c r="B13468" s="63" t="s">
        <v>8339</v>
      </c>
      <c r="C13468" s="76" t="s">
        <v>6249</v>
      </c>
      <c r="D13468" s="183" t="s">
        <v>8606</v>
      </c>
      <c r="E13468" s="704">
        <v>7500</v>
      </c>
      <c r="F13468" s="126"/>
      <c r="G13468" s="126">
        <f t="shared" si="216"/>
        <v>-7500</v>
      </c>
      <c r="H13468" s="705" t="s">
        <v>8593</v>
      </c>
    </row>
    <row r="13469" spans="1:8" s="682" customFormat="1" ht="15" customHeight="1" x14ac:dyDescent="0.25">
      <c r="A13469" s="734">
        <v>44868</v>
      </c>
      <c r="B13469" s="63" t="s">
        <v>2933</v>
      </c>
      <c r="C13469" s="76" t="s">
        <v>392</v>
      </c>
      <c r="D13469" s="791" t="s">
        <v>8607</v>
      </c>
      <c r="E13469" s="704">
        <v>4000</v>
      </c>
      <c r="F13469" s="126"/>
      <c r="G13469" s="126">
        <f t="shared" si="216"/>
        <v>-4000</v>
      </c>
      <c r="H13469" s="705" t="s">
        <v>8593</v>
      </c>
    </row>
    <row r="13470" spans="1:8" s="682" customFormat="1" ht="15" customHeight="1" x14ac:dyDescent="0.25">
      <c r="A13470" s="734">
        <v>44868</v>
      </c>
      <c r="B13470" s="63" t="s">
        <v>1400</v>
      </c>
      <c r="C13470" s="76" t="s">
        <v>392</v>
      </c>
      <c r="D13470" s="183" t="s">
        <v>8608</v>
      </c>
      <c r="E13470" s="704">
        <v>850</v>
      </c>
      <c r="F13470" s="126"/>
      <c r="G13470" s="126">
        <f t="shared" si="216"/>
        <v>-850</v>
      </c>
      <c r="H13470" s="705" t="s">
        <v>8593</v>
      </c>
    </row>
    <row r="13471" spans="1:8" s="682" customFormat="1" ht="15" customHeight="1" x14ac:dyDescent="0.25">
      <c r="A13471" s="734">
        <v>44868</v>
      </c>
      <c r="B13471" s="63" t="s">
        <v>7921</v>
      </c>
      <c r="C13471" s="76" t="s">
        <v>286</v>
      </c>
      <c r="D13471" s="183" t="s">
        <v>8485</v>
      </c>
      <c r="E13471" s="704">
        <v>390</v>
      </c>
      <c r="F13471" s="126"/>
      <c r="G13471" s="126">
        <f t="shared" si="216"/>
        <v>-390</v>
      </c>
      <c r="H13471" s="705" t="s">
        <v>8593</v>
      </c>
    </row>
    <row r="13472" spans="1:8" s="682" customFormat="1" ht="15" customHeight="1" x14ac:dyDescent="0.25">
      <c r="A13472" s="734">
        <v>44869</v>
      </c>
      <c r="B13472" s="63" t="s">
        <v>8077</v>
      </c>
      <c r="C13472" s="76" t="s">
        <v>6784</v>
      </c>
      <c r="D13472" s="183" t="s">
        <v>7918</v>
      </c>
      <c r="E13472" s="704">
        <v>28000</v>
      </c>
      <c r="F13472" s="126"/>
      <c r="G13472" s="126">
        <f t="shared" si="216"/>
        <v>-28000</v>
      </c>
      <c r="H13472" s="705" t="s">
        <v>8593</v>
      </c>
    </row>
    <row r="13473" spans="1:8" s="682" customFormat="1" ht="15" customHeight="1" x14ac:dyDescent="0.25">
      <c r="A13473" s="734">
        <v>44870</v>
      </c>
      <c r="B13473" s="63" t="s">
        <v>2933</v>
      </c>
      <c r="C13473" s="76" t="s">
        <v>4876</v>
      </c>
      <c r="D13473" s="183" t="s">
        <v>8633</v>
      </c>
      <c r="E13473" s="704">
        <v>2000</v>
      </c>
      <c r="F13473" s="126"/>
      <c r="G13473" s="126">
        <f t="shared" si="216"/>
        <v>-2000</v>
      </c>
      <c r="H13473" s="705" t="s">
        <v>8593</v>
      </c>
    </row>
    <row r="13474" spans="1:8" s="682" customFormat="1" ht="15" customHeight="1" x14ac:dyDescent="0.25">
      <c r="A13474" s="734">
        <v>44870</v>
      </c>
      <c r="B13474" s="63" t="s">
        <v>16</v>
      </c>
      <c r="C13474" s="76" t="s">
        <v>392</v>
      </c>
      <c r="D13474" s="183" t="s">
        <v>8158</v>
      </c>
      <c r="E13474" s="704">
        <v>450</v>
      </c>
      <c r="F13474" s="126"/>
      <c r="G13474" s="126">
        <f t="shared" si="216"/>
        <v>-450</v>
      </c>
      <c r="H13474" s="705" t="s">
        <v>8593</v>
      </c>
    </row>
    <row r="13475" spans="1:8" s="682" customFormat="1" ht="15" customHeight="1" x14ac:dyDescent="0.25">
      <c r="A13475" s="734">
        <v>44870</v>
      </c>
      <c r="B13475" s="63" t="s">
        <v>8077</v>
      </c>
      <c r="C13475" s="76" t="s">
        <v>5741</v>
      </c>
      <c r="D13475" s="183"/>
      <c r="E13475" s="704">
        <v>1600</v>
      </c>
      <c r="F13475" s="126"/>
      <c r="G13475" s="126">
        <f t="shared" si="216"/>
        <v>-1600</v>
      </c>
      <c r="H13475" s="705" t="s">
        <v>8593</v>
      </c>
    </row>
    <row r="13476" spans="1:8" s="682" customFormat="1" ht="15" customHeight="1" x14ac:dyDescent="0.25">
      <c r="A13476" s="734">
        <v>44870</v>
      </c>
      <c r="B13476" s="63" t="s">
        <v>7921</v>
      </c>
      <c r="C13476" s="76" t="s">
        <v>6967</v>
      </c>
      <c r="D13476" s="183" t="s">
        <v>8634</v>
      </c>
      <c r="E13476" s="704">
        <v>11000</v>
      </c>
      <c r="F13476" s="126"/>
      <c r="G13476" s="126">
        <f t="shared" si="216"/>
        <v>-11000</v>
      </c>
      <c r="H13476" s="705" t="s">
        <v>8593</v>
      </c>
    </row>
    <row r="13477" spans="1:8" s="682" customFormat="1" ht="15" customHeight="1" x14ac:dyDescent="0.25">
      <c r="A13477" s="734">
        <v>44870</v>
      </c>
      <c r="B13477" s="63" t="s">
        <v>8559</v>
      </c>
      <c r="C13477" s="76" t="s">
        <v>8502</v>
      </c>
      <c r="D13477" s="183" t="s">
        <v>7721</v>
      </c>
      <c r="E13477" s="704">
        <v>15000</v>
      </c>
      <c r="F13477" s="126"/>
      <c r="G13477" s="126">
        <f t="shared" si="216"/>
        <v>-15000</v>
      </c>
      <c r="H13477" s="705" t="s">
        <v>8593</v>
      </c>
    </row>
    <row r="13478" spans="1:8" s="682" customFormat="1" ht="15" customHeight="1" x14ac:dyDescent="0.25">
      <c r="A13478" s="734">
        <v>44870</v>
      </c>
      <c r="B13478" s="63" t="s">
        <v>8339</v>
      </c>
      <c r="C13478" s="76" t="s">
        <v>6706</v>
      </c>
      <c r="D13478" s="183" t="s">
        <v>8635</v>
      </c>
      <c r="E13478" s="704">
        <v>278000</v>
      </c>
      <c r="F13478" s="126"/>
      <c r="G13478" s="126">
        <f t="shared" si="216"/>
        <v>-278000</v>
      </c>
      <c r="H13478" s="705" t="s">
        <v>8593</v>
      </c>
    </row>
    <row r="13479" spans="1:8" s="682" customFormat="1" ht="15" customHeight="1" x14ac:dyDescent="0.25">
      <c r="A13479" s="734">
        <v>44870</v>
      </c>
      <c r="B13479" s="63" t="s">
        <v>8532</v>
      </c>
      <c r="C13479" s="76" t="s">
        <v>8564</v>
      </c>
      <c r="D13479" s="183" t="s">
        <v>7715</v>
      </c>
      <c r="E13479" s="704">
        <v>20000</v>
      </c>
      <c r="F13479" s="126"/>
      <c r="G13479" s="126">
        <f t="shared" si="216"/>
        <v>-20000</v>
      </c>
      <c r="H13479" s="705" t="s">
        <v>8593</v>
      </c>
    </row>
    <row r="13480" spans="1:8" s="682" customFormat="1" ht="15" customHeight="1" x14ac:dyDescent="0.25">
      <c r="A13480" s="734">
        <v>44870</v>
      </c>
      <c r="B13480" s="63" t="s">
        <v>2933</v>
      </c>
      <c r="C13480" s="76" t="s">
        <v>3145</v>
      </c>
      <c r="D13480" s="183" t="s">
        <v>6344</v>
      </c>
      <c r="E13480" s="704">
        <v>1300</v>
      </c>
      <c r="F13480" s="126"/>
      <c r="G13480" s="126">
        <f t="shared" si="216"/>
        <v>-1300</v>
      </c>
      <c r="H13480" s="705" t="s">
        <v>8593</v>
      </c>
    </row>
    <row r="13481" spans="1:8" s="682" customFormat="1" ht="15" customHeight="1" x14ac:dyDescent="0.25">
      <c r="A13481" s="734">
        <v>44870</v>
      </c>
      <c r="B13481" s="63" t="s">
        <v>6505</v>
      </c>
      <c r="C13481" s="76" t="s">
        <v>3145</v>
      </c>
      <c r="D13481" s="183" t="s">
        <v>4452</v>
      </c>
      <c r="E13481" s="704">
        <v>4000</v>
      </c>
      <c r="F13481" s="126"/>
      <c r="G13481" s="126">
        <f t="shared" si="216"/>
        <v>-4000</v>
      </c>
      <c r="H13481" s="705" t="s">
        <v>8593</v>
      </c>
    </row>
    <row r="13482" spans="1:8" s="682" customFormat="1" ht="15" customHeight="1" x14ac:dyDescent="0.25">
      <c r="A13482" s="734">
        <v>44870</v>
      </c>
      <c r="B13482" s="63" t="s">
        <v>8559</v>
      </c>
      <c r="C13482" s="76" t="s">
        <v>3145</v>
      </c>
      <c r="D13482" s="183" t="s">
        <v>4452</v>
      </c>
      <c r="E13482" s="704">
        <v>5000</v>
      </c>
      <c r="F13482" s="126"/>
      <c r="G13482" s="126">
        <f t="shared" si="216"/>
        <v>-5000</v>
      </c>
      <c r="H13482" s="705" t="s">
        <v>8593</v>
      </c>
    </row>
    <row r="13483" spans="1:8" s="682" customFormat="1" ht="15" customHeight="1" x14ac:dyDescent="0.25">
      <c r="A13483" s="734">
        <v>44870</v>
      </c>
      <c r="B13483" s="63" t="s">
        <v>2933</v>
      </c>
      <c r="C13483" s="76" t="s">
        <v>3145</v>
      </c>
      <c r="D13483" s="183" t="s">
        <v>4452</v>
      </c>
      <c r="E13483" s="704">
        <v>2000</v>
      </c>
      <c r="F13483" s="126"/>
      <c r="G13483" s="126">
        <f t="shared" si="216"/>
        <v>-2000</v>
      </c>
      <c r="H13483" s="705" t="s">
        <v>8593</v>
      </c>
    </row>
    <row r="13484" spans="1:8" s="682" customFormat="1" ht="15" customHeight="1" x14ac:dyDescent="0.25">
      <c r="A13484" s="734">
        <v>44870</v>
      </c>
      <c r="B13484" s="63" t="s">
        <v>8532</v>
      </c>
      <c r="C13484" s="76" t="s">
        <v>3145</v>
      </c>
      <c r="D13484" s="183" t="s">
        <v>4452</v>
      </c>
      <c r="E13484" s="704">
        <v>2000</v>
      </c>
      <c r="F13484" s="126"/>
      <c r="G13484" s="126">
        <f t="shared" si="216"/>
        <v>-2000</v>
      </c>
      <c r="H13484" s="705" t="s">
        <v>8593</v>
      </c>
    </row>
    <row r="13485" spans="1:8" s="682" customFormat="1" ht="15" customHeight="1" x14ac:dyDescent="0.25">
      <c r="A13485" s="734">
        <v>44870</v>
      </c>
      <c r="B13485" s="63" t="s">
        <v>8043</v>
      </c>
      <c r="C13485" s="76" t="s">
        <v>3145</v>
      </c>
      <c r="D13485" s="183" t="s">
        <v>8201</v>
      </c>
      <c r="E13485" s="704">
        <v>3000</v>
      </c>
      <c r="F13485" s="126"/>
      <c r="G13485" s="126">
        <f t="shared" si="216"/>
        <v>-3000</v>
      </c>
      <c r="H13485" s="705" t="s">
        <v>8593</v>
      </c>
    </row>
    <row r="13486" spans="1:8" s="682" customFormat="1" ht="15" customHeight="1" x14ac:dyDescent="0.25">
      <c r="A13486" s="734">
        <v>44870</v>
      </c>
      <c r="B13486" s="63" t="s">
        <v>8339</v>
      </c>
      <c r="C13486" s="76" t="s">
        <v>7927</v>
      </c>
      <c r="D13486" s="183" t="s">
        <v>8636</v>
      </c>
      <c r="E13486" s="704">
        <v>50000</v>
      </c>
      <c r="F13486" s="126"/>
      <c r="G13486" s="126">
        <f t="shared" si="216"/>
        <v>-50000</v>
      </c>
      <c r="H13486" s="705" t="s">
        <v>8593</v>
      </c>
    </row>
    <row r="13487" spans="1:8" s="682" customFormat="1" ht="15" customHeight="1" x14ac:dyDescent="0.25">
      <c r="A13487" s="734">
        <v>44870</v>
      </c>
      <c r="B13487" s="63" t="s">
        <v>2933</v>
      </c>
      <c r="C13487" s="76" t="s">
        <v>4876</v>
      </c>
      <c r="D13487" s="183" t="s">
        <v>370</v>
      </c>
      <c r="E13487" s="704">
        <v>2000</v>
      </c>
      <c r="F13487" s="126"/>
      <c r="G13487" s="126">
        <f t="shared" si="216"/>
        <v>-2000</v>
      </c>
      <c r="H13487" s="705" t="s">
        <v>8593</v>
      </c>
    </row>
    <row r="13488" spans="1:8" s="682" customFormat="1" ht="15" customHeight="1" x14ac:dyDescent="0.25">
      <c r="A13488" s="734">
        <v>44870</v>
      </c>
      <c r="B13488" s="63" t="s">
        <v>16</v>
      </c>
      <c r="C13488" s="76" t="s">
        <v>392</v>
      </c>
      <c r="D13488" s="183" t="s">
        <v>8650</v>
      </c>
      <c r="E13488" s="704">
        <v>1000</v>
      </c>
      <c r="F13488" s="126"/>
      <c r="G13488" s="126">
        <f t="shared" si="216"/>
        <v>-1000</v>
      </c>
      <c r="H13488" s="705" t="s">
        <v>8593</v>
      </c>
    </row>
    <row r="13489" spans="1:8" s="682" customFormat="1" ht="15" customHeight="1" x14ac:dyDescent="0.25">
      <c r="A13489" s="734">
        <v>44870</v>
      </c>
      <c r="B13489" s="63" t="s">
        <v>16</v>
      </c>
      <c r="C13489" s="76" t="s">
        <v>103</v>
      </c>
      <c r="D13489" s="183" t="s">
        <v>8492</v>
      </c>
      <c r="E13489" s="704">
        <v>4360</v>
      </c>
      <c r="F13489" s="126"/>
      <c r="G13489" s="126">
        <f t="shared" si="216"/>
        <v>-4360</v>
      </c>
      <c r="H13489" s="705" t="s">
        <v>8593</v>
      </c>
    </row>
    <row r="13490" spans="1:8" s="682" customFormat="1" ht="15" customHeight="1" x14ac:dyDescent="0.25">
      <c r="A13490" s="734">
        <v>44870</v>
      </c>
      <c r="B13490" s="63" t="s">
        <v>7921</v>
      </c>
      <c r="C13490" s="76" t="s">
        <v>392</v>
      </c>
      <c r="D13490" s="183" t="s">
        <v>8492</v>
      </c>
      <c r="E13490" s="704">
        <v>1000</v>
      </c>
      <c r="F13490" s="126"/>
      <c r="G13490" s="126">
        <f t="shared" si="216"/>
        <v>-1000</v>
      </c>
      <c r="H13490" s="705" t="s">
        <v>8593</v>
      </c>
    </row>
    <row r="13491" spans="1:8" s="682" customFormat="1" ht="15" customHeight="1" x14ac:dyDescent="0.25">
      <c r="A13491" s="734">
        <v>44870</v>
      </c>
      <c r="B13491" s="63" t="s">
        <v>8043</v>
      </c>
      <c r="C13491" s="76" t="s">
        <v>392</v>
      </c>
      <c r="D13491" s="183" t="s">
        <v>8492</v>
      </c>
      <c r="E13491" s="704">
        <v>1000</v>
      </c>
      <c r="F13491" s="126"/>
      <c r="G13491" s="126">
        <f t="shared" si="216"/>
        <v>-1000</v>
      </c>
      <c r="H13491" s="705" t="s">
        <v>8593</v>
      </c>
    </row>
    <row r="13492" spans="1:8" s="682" customFormat="1" ht="15" customHeight="1" x14ac:dyDescent="0.25">
      <c r="A13492" s="734">
        <v>44870</v>
      </c>
      <c r="B13492" s="63" t="s">
        <v>8339</v>
      </c>
      <c r="C13492" s="76" t="s">
        <v>392</v>
      </c>
      <c r="D13492" s="183" t="s">
        <v>8685</v>
      </c>
      <c r="E13492" s="704">
        <v>15000</v>
      </c>
      <c r="F13492" s="126"/>
      <c r="G13492" s="126">
        <f t="shared" si="216"/>
        <v>-15000</v>
      </c>
      <c r="H13492" s="705" t="s">
        <v>8593</v>
      </c>
    </row>
    <row r="13493" spans="1:8" s="682" customFormat="1" ht="15" customHeight="1" x14ac:dyDescent="0.25">
      <c r="A13493" s="734">
        <v>44872</v>
      </c>
      <c r="B13493" s="63" t="s">
        <v>8339</v>
      </c>
      <c r="C13493" s="76" t="s">
        <v>790</v>
      </c>
      <c r="D13493" s="183"/>
      <c r="E13493" s="704">
        <v>640</v>
      </c>
      <c r="F13493" s="126"/>
      <c r="G13493" s="126">
        <f t="shared" si="216"/>
        <v>-640</v>
      </c>
      <c r="H13493" s="705" t="s">
        <v>8593</v>
      </c>
    </row>
    <row r="13494" spans="1:8" s="682" customFormat="1" ht="15" customHeight="1" x14ac:dyDescent="0.25">
      <c r="A13494" s="734">
        <v>44872</v>
      </c>
      <c r="B13494" s="63" t="s">
        <v>8339</v>
      </c>
      <c r="C13494" s="76" t="s">
        <v>790</v>
      </c>
      <c r="D13494" s="183"/>
      <c r="E13494" s="704">
        <v>1020</v>
      </c>
      <c r="F13494" s="126"/>
      <c r="G13494" s="126">
        <f t="shared" si="216"/>
        <v>-1020</v>
      </c>
      <c r="H13494" s="705" t="s">
        <v>8593</v>
      </c>
    </row>
    <row r="13495" spans="1:8" s="682" customFormat="1" ht="15" customHeight="1" x14ac:dyDescent="0.25">
      <c r="A13495" s="734">
        <v>44872</v>
      </c>
      <c r="B13495" s="63" t="s">
        <v>8043</v>
      </c>
      <c r="C13495" s="76" t="s">
        <v>3145</v>
      </c>
      <c r="D13495" s="183" t="s">
        <v>8637</v>
      </c>
      <c r="E13495" s="704">
        <v>5000</v>
      </c>
      <c r="F13495" s="126"/>
      <c r="G13495" s="126">
        <f t="shared" si="216"/>
        <v>-5000</v>
      </c>
      <c r="H13495" s="705" t="s">
        <v>8593</v>
      </c>
    </row>
    <row r="13496" spans="1:8" s="682" customFormat="1" ht="15" customHeight="1" x14ac:dyDescent="0.25">
      <c r="A13496" s="734">
        <v>44872</v>
      </c>
      <c r="B13496" s="63" t="s">
        <v>8043</v>
      </c>
      <c r="C13496" s="76" t="s">
        <v>3145</v>
      </c>
      <c r="D13496" s="183" t="s">
        <v>8638</v>
      </c>
      <c r="E13496" s="704">
        <v>3900</v>
      </c>
      <c r="F13496" s="126"/>
      <c r="G13496" s="126">
        <f t="shared" si="216"/>
        <v>-3900</v>
      </c>
      <c r="H13496" s="705" t="s">
        <v>8593</v>
      </c>
    </row>
    <row r="13497" spans="1:8" s="682" customFormat="1" ht="15" customHeight="1" x14ac:dyDescent="0.25">
      <c r="A13497" s="734">
        <v>44872</v>
      </c>
      <c r="B13497" s="63" t="s">
        <v>8339</v>
      </c>
      <c r="C13497" s="76" t="s">
        <v>3145</v>
      </c>
      <c r="D13497" s="183" t="s">
        <v>8638</v>
      </c>
      <c r="E13497" s="704">
        <v>3900</v>
      </c>
      <c r="F13497" s="126"/>
      <c r="G13497" s="126">
        <f t="shared" si="216"/>
        <v>-3900</v>
      </c>
      <c r="H13497" s="705" t="s">
        <v>8593</v>
      </c>
    </row>
    <row r="13498" spans="1:8" s="682" customFormat="1" ht="15" customHeight="1" x14ac:dyDescent="0.25">
      <c r="A13498" s="734">
        <v>44872</v>
      </c>
      <c r="B13498" s="63" t="s">
        <v>6505</v>
      </c>
      <c r="C13498" s="76" t="s">
        <v>3145</v>
      </c>
      <c r="D13498" s="183" t="s">
        <v>8638</v>
      </c>
      <c r="E13498" s="704">
        <v>3900</v>
      </c>
      <c r="F13498" s="126"/>
      <c r="G13498" s="126">
        <f t="shared" si="216"/>
        <v>-3900</v>
      </c>
      <c r="H13498" s="705" t="s">
        <v>8593</v>
      </c>
    </row>
    <row r="13499" spans="1:8" s="682" customFormat="1" ht="15" customHeight="1" x14ac:dyDescent="0.25">
      <c r="A13499" s="734">
        <v>44873</v>
      </c>
      <c r="B13499" s="63" t="s">
        <v>8559</v>
      </c>
      <c r="C13499" s="76" t="s">
        <v>3145</v>
      </c>
      <c r="D13499" s="740" t="s">
        <v>6057</v>
      </c>
      <c r="E13499" s="706">
        <v>18000</v>
      </c>
      <c r="F13499" s="126"/>
      <c r="G13499" s="126">
        <f t="shared" si="216"/>
        <v>-18000</v>
      </c>
      <c r="H13499" s="705" t="s">
        <v>8593</v>
      </c>
    </row>
    <row r="13500" spans="1:8" s="682" customFormat="1" ht="15" customHeight="1" x14ac:dyDescent="0.25">
      <c r="A13500" s="734">
        <v>44873</v>
      </c>
      <c r="B13500" s="63" t="s">
        <v>7555</v>
      </c>
      <c r="C13500" s="76" t="s">
        <v>3145</v>
      </c>
      <c r="D13500" s="740" t="s">
        <v>6057</v>
      </c>
      <c r="E13500" s="706">
        <v>3070</v>
      </c>
      <c r="F13500" s="126"/>
      <c r="G13500" s="126">
        <f t="shared" si="216"/>
        <v>-3070</v>
      </c>
      <c r="H13500" s="705" t="s">
        <v>8593</v>
      </c>
    </row>
    <row r="13501" spans="1:8" s="682" customFormat="1" ht="15" customHeight="1" x14ac:dyDescent="0.25">
      <c r="A13501" s="734">
        <v>44873</v>
      </c>
      <c r="B13501" s="63" t="s">
        <v>7921</v>
      </c>
      <c r="C13501" s="76" t="s">
        <v>3145</v>
      </c>
      <c r="D13501" s="183" t="s">
        <v>6057</v>
      </c>
      <c r="E13501" s="704">
        <v>5680</v>
      </c>
      <c r="F13501" s="126"/>
      <c r="G13501" s="126">
        <f t="shared" si="216"/>
        <v>-5680</v>
      </c>
      <c r="H13501" s="705" t="s">
        <v>8593</v>
      </c>
    </row>
    <row r="13502" spans="1:8" s="682" customFormat="1" ht="15" customHeight="1" x14ac:dyDescent="0.25">
      <c r="A13502" s="734">
        <v>44873</v>
      </c>
      <c r="B13502" s="63" t="s">
        <v>8559</v>
      </c>
      <c r="C13502" s="76" t="s">
        <v>3145</v>
      </c>
      <c r="D13502" s="183" t="s">
        <v>6057</v>
      </c>
      <c r="E13502" s="704">
        <v>5680</v>
      </c>
      <c r="F13502" s="126"/>
      <c r="G13502" s="126">
        <f t="shared" si="216"/>
        <v>-5680</v>
      </c>
      <c r="H13502" s="705" t="s">
        <v>8593</v>
      </c>
    </row>
    <row r="13503" spans="1:8" s="682" customFormat="1" ht="15" customHeight="1" x14ac:dyDescent="0.25">
      <c r="A13503" s="734">
        <v>44873</v>
      </c>
      <c r="B13503" s="63" t="s">
        <v>8043</v>
      </c>
      <c r="C13503" s="76" t="s">
        <v>3145</v>
      </c>
      <c r="D13503" s="183" t="s">
        <v>6057</v>
      </c>
      <c r="E13503" s="704">
        <v>5690</v>
      </c>
      <c r="F13503" s="126"/>
      <c r="G13503" s="126">
        <f t="shared" si="216"/>
        <v>-5690</v>
      </c>
      <c r="H13503" s="705" t="s">
        <v>8593</v>
      </c>
    </row>
    <row r="13504" spans="1:8" s="682" customFormat="1" ht="15" customHeight="1" x14ac:dyDescent="0.25">
      <c r="A13504" s="734">
        <v>44873</v>
      </c>
      <c r="B13504" s="63" t="s">
        <v>6505</v>
      </c>
      <c r="C13504" s="76" t="s">
        <v>3145</v>
      </c>
      <c r="D13504" s="183" t="s">
        <v>6057</v>
      </c>
      <c r="E13504" s="704">
        <v>5690</v>
      </c>
      <c r="F13504" s="126"/>
      <c r="G13504" s="126">
        <f t="shared" si="216"/>
        <v>-5690</v>
      </c>
      <c r="H13504" s="705" t="s">
        <v>8593</v>
      </c>
    </row>
    <row r="13505" spans="1:8" s="682" customFormat="1" ht="15" customHeight="1" x14ac:dyDescent="0.25">
      <c r="A13505" s="734">
        <v>44873</v>
      </c>
      <c r="B13505" s="63" t="s">
        <v>37</v>
      </c>
      <c r="C13505" s="76" t="s">
        <v>392</v>
      </c>
      <c r="D13505" s="183" t="s">
        <v>5755</v>
      </c>
      <c r="E13505" s="704">
        <v>3000</v>
      </c>
      <c r="F13505" s="126"/>
      <c r="G13505" s="126">
        <f t="shared" si="216"/>
        <v>-3000</v>
      </c>
      <c r="H13505" s="705" t="s">
        <v>8593</v>
      </c>
    </row>
    <row r="13506" spans="1:8" s="682" customFormat="1" ht="15" customHeight="1" x14ac:dyDescent="0.25">
      <c r="A13506" s="734">
        <v>44873</v>
      </c>
      <c r="B13506" s="63" t="s">
        <v>2933</v>
      </c>
      <c r="C13506" s="76" t="s">
        <v>4876</v>
      </c>
      <c r="D13506" s="183" t="s">
        <v>8633</v>
      </c>
      <c r="E13506" s="704">
        <v>2000</v>
      </c>
      <c r="F13506" s="126"/>
      <c r="G13506" s="126">
        <f t="shared" si="216"/>
        <v>-2000</v>
      </c>
      <c r="H13506" s="705" t="s">
        <v>8593</v>
      </c>
    </row>
    <row r="13507" spans="1:8" s="682" customFormat="1" ht="15" customHeight="1" x14ac:dyDescent="0.25">
      <c r="A13507" s="734">
        <v>44873</v>
      </c>
      <c r="B13507" s="63" t="s">
        <v>8559</v>
      </c>
      <c r="C13507" s="76" t="s">
        <v>3145</v>
      </c>
      <c r="D13507" s="183" t="s">
        <v>8639</v>
      </c>
      <c r="E13507" s="704">
        <v>16100</v>
      </c>
      <c r="F13507" s="126"/>
      <c r="G13507" s="126">
        <f t="shared" si="216"/>
        <v>-16100</v>
      </c>
      <c r="H13507" s="705" t="s">
        <v>8593</v>
      </c>
    </row>
    <row r="13508" spans="1:8" s="682" customFormat="1" ht="15" customHeight="1" x14ac:dyDescent="0.25">
      <c r="A13508" s="734">
        <v>44873</v>
      </c>
      <c r="B13508" s="63" t="s">
        <v>16</v>
      </c>
      <c r="C13508" s="76" t="s">
        <v>103</v>
      </c>
      <c r="D13508" s="183" t="s">
        <v>8640</v>
      </c>
      <c r="E13508" s="704">
        <v>2300</v>
      </c>
      <c r="F13508" s="126"/>
      <c r="G13508" s="126">
        <f t="shared" si="216"/>
        <v>-2300</v>
      </c>
      <c r="H13508" s="705" t="s">
        <v>8593</v>
      </c>
    </row>
    <row r="13509" spans="1:8" s="682" customFormat="1" ht="15" customHeight="1" x14ac:dyDescent="0.25">
      <c r="A13509" s="734">
        <v>44873</v>
      </c>
      <c r="B13509" s="63" t="s">
        <v>2933</v>
      </c>
      <c r="C13509" s="76" t="s">
        <v>3145</v>
      </c>
      <c r="D13509" s="183" t="s">
        <v>8641</v>
      </c>
      <c r="E13509" s="704">
        <v>16200</v>
      </c>
      <c r="F13509" s="126"/>
      <c r="G13509" s="126">
        <f t="shared" ref="G13509:G13572" si="217">F13509-E13509</f>
        <v>-16200</v>
      </c>
      <c r="H13509" s="705" t="s">
        <v>8593</v>
      </c>
    </row>
    <row r="13510" spans="1:8" s="682" customFormat="1" ht="15" customHeight="1" x14ac:dyDescent="0.25">
      <c r="A13510" s="734">
        <v>44873</v>
      </c>
      <c r="B13510" s="63" t="s">
        <v>4553</v>
      </c>
      <c r="C13510" s="76" t="s">
        <v>3145</v>
      </c>
      <c r="D13510" s="183" t="s">
        <v>8642</v>
      </c>
      <c r="E13510" s="704">
        <v>35000</v>
      </c>
      <c r="F13510" s="126"/>
      <c r="G13510" s="126">
        <f t="shared" si="217"/>
        <v>-35000</v>
      </c>
      <c r="H13510" s="705" t="s">
        <v>8593</v>
      </c>
    </row>
    <row r="13511" spans="1:8" s="682" customFormat="1" ht="15" customHeight="1" x14ac:dyDescent="0.25">
      <c r="A13511" s="734">
        <v>44873</v>
      </c>
      <c r="B13511" s="63" t="s">
        <v>8559</v>
      </c>
      <c r="C13511" s="76" t="s">
        <v>5741</v>
      </c>
      <c r="D13511" s="183"/>
      <c r="E13511" s="704">
        <v>1000</v>
      </c>
      <c r="F13511" s="126"/>
      <c r="G13511" s="126">
        <f t="shared" si="217"/>
        <v>-1000</v>
      </c>
      <c r="H13511" s="705" t="s">
        <v>8593</v>
      </c>
    </row>
    <row r="13512" spans="1:8" s="682" customFormat="1" ht="15" customHeight="1" x14ac:dyDescent="0.25">
      <c r="A13512" s="734">
        <v>44873</v>
      </c>
      <c r="B13512" s="63" t="s">
        <v>16</v>
      </c>
      <c r="C13512" s="76" t="s">
        <v>3364</v>
      </c>
      <c r="D13512" s="183"/>
      <c r="E13512" s="704">
        <v>4970</v>
      </c>
      <c r="F13512" s="126"/>
      <c r="G13512" s="126">
        <f t="shared" si="217"/>
        <v>-4970</v>
      </c>
      <c r="H13512" s="705" t="s">
        <v>8593</v>
      </c>
    </row>
    <row r="13513" spans="1:8" s="682" customFormat="1" ht="15" customHeight="1" x14ac:dyDescent="0.25">
      <c r="A13513" s="734">
        <v>44875</v>
      </c>
      <c r="B13513" s="63" t="s">
        <v>8339</v>
      </c>
      <c r="C13513" s="76" t="s">
        <v>790</v>
      </c>
      <c r="D13513" s="183"/>
      <c r="E13513" s="704">
        <v>340</v>
      </c>
      <c r="F13513" s="126"/>
      <c r="G13513" s="126">
        <f t="shared" si="217"/>
        <v>-340</v>
      </c>
      <c r="H13513" s="705" t="s">
        <v>8593</v>
      </c>
    </row>
    <row r="13514" spans="1:8" s="682" customFormat="1" ht="15" customHeight="1" x14ac:dyDescent="0.25">
      <c r="A13514" s="734">
        <v>44875</v>
      </c>
      <c r="B13514" s="63" t="s">
        <v>8339</v>
      </c>
      <c r="C13514" s="76" t="s">
        <v>790</v>
      </c>
      <c r="D13514" s="183"/>
      <c r="E13514" s="704">
        <v>1630</v>
      </c>
      <c r="F13514" s="126"/>
      <c r="G13514" s="126">
        <f t="shared" si="217"/>
        <v>-1630</v>
      </c>
      <c r="H13514" s="705" t="s">
        <v>8593</v>
      </c>
    </row>
    <row r="13515" spans="1:8" s="682" customFormat="1" ht="15" customHeight="1" x14ac:dyDescent="0.25">
      <c r="A13515" s="734">
        <v>44875</v>
      </c>
      <c r="B13515" s="63" t="s">
        <v>2933</v>
      </c>
      <c r="C13515" s="76" t="s">
        <v>790</v>
      </c>
      <c r="D13515" s="183"/>
      <c r="E13515" s="704">
        <v>4500</v>
      </c>
      <c r="F13515" s="126"/>
      <c r="G13515" s="126">
        <f t="shared" si="217"/>
        <v>-4500</v>
      </c>
      <c r="H13515" s="705" t="s">
        <v>8593</v>
      </c>
    </row>
    <row r="13516" spans="1:8" s="682" customFormat="1" ht="15" customHeight="1" x14ac:dyDescent="0.25">
      <c r="A13516" s="734">
        <v>44875</v>
      </c>
      <c r="B13516" s="63" t="s">
        <v>8559</v>
      </c>
      <c r="C13516" s="76" t="s">
        <v>318</v>
      </c>
      <c r="D13516" s="183" t="s">
        <v>8643</v>
      </c>
      <c r="E13516" s="704">
        <v>22000</v>
      </c>
      <c r="F13516" s="126"/>
      <c r="G13516" s="126">
        <f t="shared" si="217"/>
        <v>-22000</v>
      </c>
      <c r="H13516" s="705" t="s">
        <v>8593</v>
      </c>
    </row>
    <row r="13517" spans="1:8" s="682" customFormat="1" ht="15" customHeight="1" x14ac:dyDescent="0.25">
      <c r="A13517" s="734">
        <v>44875</v>
      </c>
      <c r="B13517" s="63" t="s">
        <v>8532</v>
      </c>
      <c r="C13517" s="76" t="s">
        <v>318</v>
      </c>
      <c r="D13517" s="183" t="s">
        <v>8643</v>
      </c>
      <c r="E13517" s="704">
        <v>14900</v>
      </c>
      <c r="F13517" s="126"/>
      <c r="G13517" s="126">
        <f t="shared" si="217"/>
        <v>-14900</v>
      </c>
      <c r="H13517" s="705" t="s">
        <v>8593</v>
      </c>
    </row>
    <row r="13518" spans="1:8" s="682" customFormat="1" ht="15" customHeight="1" x14ac:dyDescent="0.25">
      <c r="A13518" s="734">
        <v>44875</v>
      </c>
      <c r="B13518" s="63" t="s">
        <v>8043</v>
      </c>
      <c r="C13518" s="76" t="s">
        <v>318</v>
      </c>
      <c r="D13518" s="183" t="s">
        <v>8643</v>
      </c>
      <c r="E13518" s="704">
        <v>28500</v>
      </c>
      <c r="F13518" s="126"/>
      <c r="G13518" s="126">
        <f t="shared" si="217"/>
        <v>-28500</v>
      </c>
      <c r="H13518" s="705" t="s">
        <v>8593</v>
      </c>
    </row>
    <row r="13519" spans="1:8" s="682" customFormat="1" ht="15" customHeight="1" x14ac:dyDescent="0.25">
      <c r="A13519" s="734">
        <v>44875</v>
      </c>
      <c r="B13519" s="63" t="s">
        <v>7921</v>
      </c>
      <c r="C13519" s="76" t="s">
        <v>318</v>
      </c>
      <c r="D13519" s="183" t="s">
        <v>8643</v>
      </c>
      <c r="E13519" s="704">
        <v>28500</v>
      </c>
      <c r="F13519" s="126"/>
      <c r="G13519" s="126">
        <f t="shared" si="217"/>
        <v>-28500</v>
      </c>
      <c r="H13519" s="705" t="s">
        <v>8593</v>
      </c>
    </row>
    <row r="13520" spans="1:8" s="682" customFormat="1" ht="15" customHeight="1" x14ac:dyDescent="0.25">
      <c r="A13520" s="734">
        <v>44875</v>
      </c>
      <c r="B13520" s="63" t="s">
        <v>8339</v>
      </c>
      <c r="C13520" s="76" t="s">
        <v>318</v>
      </c>
      <c r="D13520" s="183" t="s">
        <v>8643</v>
      </c>
      <c r="E13520" s="704">
        <v>28500</v>
      </c>
      <c r="F13520" s="126"/>
      <c r="G13520" s="126">
        <f t="shared" si="217"/>
        <v>-28500</v>
      </c>
      <c r="H13520" s="705" t="s">
        <v>8593</v>
      </c>
    </row>
    <row r="13521" spans="1:8" s="682" customFormat="1" ht="15" customHeight="1" x14ac:dyDescent="0.25">
      <c r="A13521" s="734">
        <v>44875</v>
      </c>
      <c r="B13521" s="63" t="s">
        <v>2933</v>
      </c>
      <c r="C13521" s="76" t="s">
        <v>4876</v>
      </c>
      <c r="D13521" s="183" t="s">
        <v>8668</v>
      </c>
      <c r="E13521" s="704">
        <v>2000</v>
      </c>
      <c r="F13521" s="126"/>
      <c r="G13521" s="126">
        <f t="shared" si="217"/>
        <v>-2000</v>
      </c>
      <c r="H13521" s="705" t="s">
        <v>8593</v>
      </c>
    </row>
    <row r="13522" spans="1:8" s="682" customFormat="1" ht="15" customHeight="1" x14ac:dyDescent="0.25">
      <c r="A13522" s="734">
        <v>44875</v>
      </c>
      <c r="B13522" s="63" t="s">
        <v>16</v>
      </c>
      <c r="C13522" s="76" t="s">
        <v>16</v>
      </c>
      <c r="D13522" s="183" t="s">
        <v>8669</v>
      </c>
      <c r="E13522" s="704">
        <v>500</v>
      </c>
      <c r="F13522" s="126"/>
      <c r="G13522" s="126">
        <f t="shared" si="217"/>
        <v>-500</v>
      </c>
      <c r="H13522" s="705" t="s">
        <v>8593</v>
      </c>
    </row>
    <row r="13523" spans="1:8" s="682" customFormat="1" ht="15" customHeight="1" x14ac:dyDescent="0.25">
      <c r="A13523" s="734">
        <v>44876</v>
      </c>
      <c r="B13523" s="63" t="s">
        <v>7921</v>
      </c>
      <c r="C13523" s="76" t="s">
        <v>1509</v>
      </c>
      <c r="D13523" s="183" t="s">
        <v>7956</v>
      </c>
      <c r="E13523" s="704">
        <v>95000</v>
      </c>
      <c r="F13523" s="126"/>
      <c r="G13523" s="126">
        <f t="shared" si="217"/>
        <v>-95000</v>
      </c>
      <c r="H13523" s="705" t="s">
        <v>8593</v>
      </c>
    </row>
    <row r="13524" spans="1:8" s="682" customFormat="1" ht="15" customHeight="1" x14ac:dyDescent="0.25">
      <c r="A13524" s="734">
        <v>44876</v>
      </c>
      <c r="B13524" s="63" t="s">
        <v>8043</v>
      </c>
      <c r="C13524" s="76" t="s">
        <v>392</v>
      </c>
      <c r="D13524" s="183" t="s">
        <v>8644</v>
      </c>
      <c r="E13524" s="704">
        <v>8500</v>
      </c>
      <c r="F13524" s="126"/>
      <c r="G13524" s="126">
        <f t="shared" si="217"/>
        <v>-8500</v>
      </c>
      <c r="H13524" s="705" t="s">
        <v>8593</v>
      </c>
    </row>
    <row r="13525" spans="1:8" s="682" customFormat="1" ht="15" customHeight="1" x14ac:dyDescent="0.25">
      <c r="A13525" s="734">
        <v>44876</v>
      </c>
      <c r="B13525" s="63" t="s">
        <v>7921</v>
      </c>
      <c r="C13525" s="76" t="s">
        <v>1391</v>
      </c>
      <c r="D13525" s="183" t="s">
        <v>1157</v>
      </c>
      <c r="E13525" s="704">
        <v>50000</v>
      </c>
      <c r="F13525" s="126"/>
      <c r="G13525" s="126">
        <f t="shared" si="217"/>
        <v>-50000</v>
      </c>
      <c r="H13525" s="705" t="s">
        <v>8593</v>
      </c>
    </row>
    <row r="13526" spans="1:8" s="682" customFormat="1" ht="15" customHeight="1" x14ac:dyDescent="0.25">
      <c r="A13526" s="734">
        <v>44876</v>
      </c>
      <c r="B13526" s="63" t="s">
        <v>8043</v>
      </c>
      <c r="C13526" s="76" t="s">
        <v>5741</v>
      </c>
      <c r="D13526" s="183"/>
      <c r="E13526" s="704">
        <v>2000</v>
      </c>
      <c r="F13526" s="126"/>
      <c r="G13526" s="126">
        <f t="shared" si="217"/>
        <v>-2000</v>
      </c>
      <c r="H13526" s="705" t="s">
        <v>8593</v>
      </c>
    </row>
    <row r="13527" spans="1:8" s="682" customFormat="1" ht="15" customHeight="1" x14ac:dyDescent="0.25">
      <c r="A13527" s="734">
        <v>44877</v>
      </c>
      <c r="B13527" s="63" t="s">
        <v>8043</v>
      </c>
      <c r="C13527" s="76" t="s">
        <v>3145</v>
      </c>
      <c r="D13527" s="183" t="s">
        <v>8409</v>
      </c>
      <c r="E13527" s="704">
        <v>1990</v>
      </c>
      <c r="F13527" s="126"/>
      <c r="G13527" s="126">
        <f t="shared" si="217"/>
        <v>-1990</v>
      </c>
      <c r="H13527" s="705" t="s">
        <v>8593</v>
      </c>
    </row>
    <row r="13528" spans="1:8" s="682" customFormat="1" ht="15" customHeight="1" x14ac:dyDescent="0.25">
      <c r="A13528" s="734">
        <v>44877</v>
      </c>
      <c r="B13528" s="63" t="s">
        <v>7921</v>
      </c>
      <c r="C13528" s="76" t="s">
        <v>3145</v>
      </c>
      <c r="D13528" s="183" t="s">
        <v>8645</v>
      </c>
      <c r="E13528" s="704">
        <v>13600</v>
      </c>
      <c r="F13528" s="126"/>
      <c r="G13528" s="126">
        <f t="shared" si="217"/>
        <v>-13600</v>
      </c>
      <c r="H13528" s="705" t="s">
        <v>8593</v>
      </c>
    </row>
    <row r="13529" spans="1:8" s="682" customFormat="1" ht="15" customHeight="1" x14ac:dyDescent="0.25">
      <c r="A13529" s="734">
        <v>44877</v>
      </c>
      <c r="B13529" s="63" t="s">
        <v>8077</v>
      </c>
      <c r="C13529" s="76" t="s">
        <v>3145</v>
      </c>
      <c r="D13529" s="183" t="s">
        <v>8646</v>
      </c>
      <c r="E13529" s="704">
        <v>6000</v>
      </c>
      <c r="F13529" s="126"/>
      <c r="G13529" s="126">
        <f t="shared" si="217"/>
        <v>-6000</v>
      </c>
      <c r="H13529" s="705" t="s">
        <v>8593</v>
      </c>
    </row>
    <row r="13530" spans="1:8" s="682" customFormat="1" ht="15" customHeight="1" x14ac:dyDescent="0.25">
      <c r="A13530" s="734">
        <v>44877</v>
      </c>
      <c r="B13530" s="63" t="s">
        <v>7921</v>
      </c>
      <c r="C13530" s="76" t="s">
        <v>3145</v>
      </c>
      <c r="D13530" s="183" t="s">
        <v>4309</v>
      </c>
      <c r="E13530" s="704">
        <v>4130</v>
      </c>
      <c r="F13530" s="126"/>
      <c r="G13530" s="126">
        <f t="shared" si="217"/>
        <v>-4130</v>
      </c>
      <c r="H13530" s="705" t="s">
        <v>8593</v>
      </c>
    </row>
    <row r="13531" spans="1:8" s="682" customFormat="1" ht="15" customHeight="1" x14ac:dyDescent="0.25">
      <c r="A13531" s="734">
        <v>44877</v>
      </c>
      <c r="B13531" s="63" t="s">
        <v>8339</v>
      </c>
      <c r="C13531" s="76" t="s">
        <v>8502</v>
      </c>
      <c r="D13531" s="183" t="s">
        <v>8647</v>
      </c>
      <c r="E13531" s="704">
        <v>80000</v>
      </c>
      <c r="F13531" s="126"/>
      <c r="G13531" s="126">
        <f t="shared" si="217"/>
        <v>-80000</v>
      </c>
      <c r="H13531" s="705" t="s">
        <v>8593</v>
      </c>
    </row>
    <row r="13532" spans="1:8" s="682" customFormat="1" ht="15" customHeight="1" x14ac:dyDescent="0.25">
      <c r="A13532" s="734">
        <v>44877</v>
      </c>
      <c r="B13532" s="63" t="s">
        <v>8657</v>
      </c>
      <c r="C13532" s="76" t="s">
        <v>3145</v>
      </c>
      <c r="D13532" s="183" t="s">
        <v>8659</v>
      </c>
      <c r="E13532" s="704">
        <v>7600</v>
      </c>
      <c r="F13532" s="126"/>
      <c r="G13532" s="126">
        <f t="shared" si="217"/>
        <v>-7600</v>
      </c>
      <c r="H13532" s="705" t="s">
        <v>8593</v>
      </c>
    </row>
    <row r="13533" spans="1:8" s="682" customFormat="1" ht="15" customHeight="1" x14ac:dyDescent="0.25">
      <c r="A13533" s="734">
        <v>44877</v>
      </c>
      <c r="B13533" s="63" t="s">
        <v>16</v>
      </c>
      <c r="C13533" s="76" t="s">
        <v>103</v>
      </c>
      <c r="D13533" s="183" t="s">
        <v>8658</v>
      </c>
      <c r="E13533" s="704">
        <v>1500</v>
      </c>
      <c r="F13533" s="126"/>
      <c r="G13533" s="126">
        <f t="shared" si="217"/>
        <v>-1500</v>
      </c>
      <c r="H13533" s="705" t="s">
        <v>8593</v>
      </c>
    </row>
    <row r="13534" spans="1:8" s="682" customFormat="1" ht="15" customHeight="1" x14ac:dyDescent="0.25">
      <c r="A13534" s="734">
        <v>44879</v>
      </c>
      <c r="B13534" s="63" t="s">
        <v>8657</v>
      </c>
      <c r="C13534" s="76" t="s">
        <v>3145</v>
      </c>
      <c r="D13534" s="183" t="s">
        <v>8660</v>
      </c>
      <c r="E13534" s="704">
        <v>1200</v>
      </c>
      <c r="F13534" s="126"/>
      <c r="G13534" s="126">
        <f t="shared" si="217"/>
        <v>-1200</v>
      </c>
      <c r="H13534" s="705" t="s">
        <v>8593</v>
      </c>
    </row>
    <row r="13535" spans="1:8" s="682" customFormat="1" ht="15" customHeight="1" x14ac:dyDescent="0.25">
      <c r="A13535" s="734">
        <v>44879</v>
      </c>
      <c r="B13535" s="63" t="s">
        <v>16</v>
      </c>
      <c r="C13535" s="76" t="s">
        <v>103</v>
      </c>
      <c r="D13535" s="183" t="s">
        <v>1291</v>
      </c>
      <c r="E13535" s="704">
        <v>1000</v>
      </c>
      <c r="F13535" s="126"/>
      <c r="G13535" s="126">
        <f t="shared" si="217"/>
        <v>-1000</v>
      </c>
      <c r="H13535" s="705" t="s">
        <v>8593</v>
      </c>
    </row>
    <row r="13536" spans="1:8" s="682" customFormat="1" ht="15" customHeight="1" x14ac:dyDescent="0.25">
      <c r="A13536" s="734">
        <v>44879</v>
      </c>
      <c r="B13536" s="63" t="s">
        <v>8559</v>
      </c>
      <c r="C13536" s="76" t="s">
        <v>3145</v>
      </c>
      <c r="D13536" s="183" t="s">
        <v>6825</v>
      </c>
      <c r="E13536" s="704">
        <v>3500</v>
      </c>
      <c r="F13536" s="126"/>
      <c r="G13536" s="126">
        <f t="shared" si="217"/>
        <v>-3500</v>
      </c>
      <c r="H13536" s="705" t="s">
        <v>8593</v>
      </c>
    </row>
    <row r="13537" spans="1:8" s="682" customFormat="1" ht="15" customHeight="1" x14ac:dyDescent="0.25">
      <c r="A13537" s="734">
        <v>44879</v>
      </c>
      <c r="B13537" s="63" t="s">
        <v>7921</v>
      </c>
      <c r="C13537" s="76" t="s">
        <v>3446</v>
      </c>
      <c r="D13537" s="183" t="s">
        <v>8661</v>
      </c>
      <c r="E13537" s="704">
        <v>25000</v>
      </c>
      <c r="F13537" s="126"/>
      <c r="G13537" s="126">
        <f t="shared" si="217"/>
        <v>-25000</v>
      </c>
      <c r="H13537" s="705" t="s">
        <v>8593</v>
      </c>
    </row>
    <row r="13538" spans="1:8" s="682" customFormat="1" ht="15" customHeight="1" x14ac:dyDescent="0.25">
      <c r="A13538" s="734">
        <v>44879</v>
      </c>
      <c r="B13538" s="63" t="s">
        <v>8043</v>
      </c>
      <c r="C13538" s="417" t="s">
        <v>6784</v>
      </c>
      <c r="D13538" s="921" t="s">
        <v>1157</v>
      </c>
      <c r="E13538" s="737">
        <v>15000</v>
      </c>
      <c r="F13538" s="126"/>
      <c r="G13538" s="126">
        <f t="shared" si="217"/>
        <v>-15000</v>
      </c>
      <c r="H13538" s="705" t="s">
        <v>8593</v>
      </c>
    </row>
    <row r="13539" spans="1:8" s="682" customFormat="1" ht="15" customHeight="1" x14ac:dyDescent="0.25">
      <c r="A13539" s="734">
        <v>44879</v>
      </c>
      <c r="B13539" s="63" t="s">
        <v>6505</v>
      </c>
      <c r="C13539" s="76" t="s">
        <v>3145</v>
      </c>
      <c r="D13539" s="183" t="s">
        <v>8662</v>
      </c>
      <c r="E13539" s="704">
        <v>18000</v>
      </c>
      <c r="F13539" s="126"/>
      <c r="G13539" s="126">
        <f t="shared" si="217"/>
        <v>-18000</v>
      </c>
      <c r="H13539" s="705" t="s">
        <v>8593</v>
      </c>
    </row>
    <row r="13540" spans="1:8" s="682" customFormat="1" ht="15" customHeight="1" x14ac:dyDescent="0.25">
      <c r="A13540" s="734">
        <v>44879</v>
      </c>
      <c r="B13540" s="63" t="s">
        <v>8657</v>
      </c>
      <c r="C13540" s="76" t="s">
        <v>5741</v>
      </c>
      <c r="D13540" s="183"/>
      <c r="E13540" s="704">
        <v>1850</v>
      </c>
      <c r="F13540" s="126"/>
      <c r="G13540" s="126">
        <f t="shared" si="217"/>
        <v>-1850</v>
      </c>
      <c r="H13540" s="705" t="s">
        <v>8593</v>
      </c>
    </row>
    <row r="13541" spans="1:8" s="682" customFormat="1" ht="36" customHeight="1" x14ac:dyDescent="0.25">
      <c r="A13541" s="734">
        <v>44879</v>
      </c>
      <c r="B13541" s="63" t="s">
        <v>8043</v>
      </c>
      <c r="C13541" s="76" t="s">
        <v>2710</v>
      </c>
      <c r="D13541" s="183" t="s">
        <v>8673</v>
      </c>
      <c r="E13541" s="704">
        <v>359000</v>
      </c>
      <c r="F13541" s="126"/>
      <c r="G13541" s="126">
        <f t="shared" si="217"/>
        <v>-359000</v>
      </c>
      <c r="H13541" s="705" t="s">
        <v>8593</v>
      </c>
    </row>
    <row r="13542" spans="1:8" s="682" customFormat="1" ht="15" customHeight="1" x14ac:dyDescent="0.25">
      <c r="A13542" s="734">
        <v>44880</v>
      </c>
      <c r="B13542" s="63" t="s">
        <v>8043</v>
      </c>
      <c r="C13542" s="76" t="s">
        <v>286</v>
      </c>
      <c r="D13542" s="183" t="s">
        <v>8663</v>
      </c>
      <c r="E13542" s="704">
        <v>744</v>
      </c>
      <c r="F13542" s="126"/>
      <c r="G13542" s="126">
        <f t="shared" si="217"/>
        <v>-744</v>
      </c>
      <c r="H13542" s="705" t="s">
        <v>8593</v>
      </c>
    </row>
    <row r="13543" spans="1:8" s="682" customFormat="1" ht="15" customHeight="1" x14ac:dyDescent="0.25">
      <c r="A13543" s="734">
        <v>44880</v>
      </c>
      <c r="B13543" s="63" t="s">
        <v>16</v>
      </c>
      <c r="C13543" s="76" t="s">
        <v>103</v>
      </c>
      <c r="D13543" s="183" t="s">
        <v>8492</v>
      </c>
      <c r="E13543" s="704">
        <v>3105</v>
      </c>
      <c r="F13543" s="126"/>
      <c r="G13543" s="126">
        <f t="shared" si="217"/>
        <v>-3105</v>
      </c>
      <c r="H13543" s="705" t="s">
        <v>8593</v>
      </c>
    </row>
    <row r="13544" spans="1:8" s="682" customFormat="1" ht="15" customHeight="1" x14ac:dyDescent="0.25">
      <c r="A13544" s="734">
        <v>44880</v>
      </c>
      <c r="B13544" s="63" t="s">
        <v>7921</v>
      </c>
      <c r="C13544" s="76" t="s">
        <v>392</v>
      </c>
      <c r="D13544" s="183" t="s">
        <v>8492</v>
      </c>
      <c r="E13544" s="704">
        <v>1000</v>
      </c>
      <c r="F13544" s="126"/>
      <c r="G13544" s="126">
        <f t="shared" si="217"/>
        <v>-1000</v>
      </c>
      <c r="H13544" s="705" t="s">
        <v>8593</v>
      </c>
    </row>
    <row r="13545" spans="1:8" s="682" customFormat="1" ht="15" customHeight="1" x14ac:dyDescent="0.25">
      <c r="A13545" s="734">
        <v>44880</v>
      </c>
      <c r="B13545" s="63" t="s">
        <v>8043</v>
      </c>
      <c r="C13545" s="76" t="s">
        <v>392</v>
      </c>
      <c r="D13545" s="183" t="s">
        <v>8492</v>
      </c>
      <c r="E13545" s="704">
        <v>1000</v>
      </c>
      <c r="F13545" s="126"/>
      <c r="G13545" s="126">
        <f t="shared" si="217"/>
        <v>-1000</v>
      </c>
      <c r="H13545" s="705" t="s">
        <v>8593</v>
      </c>
    </row>
    <row r="13546" spans="1:8" s="682" customFormat="1" ht="15" customHeight="1" x14ac:dyDescent="0.25">
      <c r="A13546" s="734">
        <v>44880</v>
      </c>
      <c r="B13546" s="63" t="s">
        <v>8339</v>
      </c>
      <c r="C13546" s="76" t="s">
        <v>3145</v>
      </c>
      <c r="D13546" s="183" t="s">
        <v>8409</v>
      </c>
      <c r="E13546" s="704">
        <v>2000</v>
      </c>
      <c r="F13546" s="126"/>
      <c r="G13546" s="126">
        <f t="shared" si="217"/>
        <v>-2000</v>
      </c>
      <c r="H13546" s="705" t="s">
        <v>8593</v>
      </c>
    </row>
    <row r="13547" spans="1:8" s="682" customFormat="1" ht="15" customHeight="1" x14ac:dyDescent="0.25">
      <c r="A13547" s="734">
        <v>44880</v>
      </c>
      <c r="B13547" s="63" t="s">
        <v>8532</v>
      </c>
      <c r="C13547" s="76" t="s">
        <v>392</v>
      </c>
      <c r="D13547" s="183" t="s">
        <v>8670</v>
      </c>
      <c r="E13547" s="704">
        <v>1000</v>
      </c>
      <c r="F13547" s="126"/>
      <c r="G13547" s="126">
        <f t="shared" si="217"/>
        <v>-1000</v>
      </c>
      <c r="H13547" s="705" t="s">
        <v>8593</v>
      </c>
    </row>
    <row r="13548" spans="1:8" s="682" customFormat="1" ht="15" customHeight="1" x14ac:dyDescent="0.25">
      <c r="A13548" s="734">
        <v>44880</v>
      </c>
      <c r="B13548" s="63" t="s">
        <v>25</v>
      </c>
      <c r="C13548" s="76" t="s">
        <v>2428</v>
      </c>
      <c r="D13548" s="183" t="s">
        <v>2108</v>
      </c>
      <c r="E13548" s="704">
        <v>5000</v>
      </c>
      <c r="F13548" s="126"/>
      <c r="G13548" s="126">
        <f t="shared" si="217"/>
        <v>-5000</v>
      </c>
      <c r="H13548" s="705" t="s">
        <v>8593</v>
      </c>
    </row>
    <row r="13549" spans="1:8" s="682" customFormat="1" ht="15" customHeight="1" x14ac:dyDescent="0.25">
      <c r="A13549" s="734">
        <v>44880</v>
      </c>
      <c r="B13549" s="63" t="s">
        <v>8657</v>
      </c>
      <c r="C13549" s="76" t="s">
        <v>1063</v>
      </c>
      <c r="D13549" s="183" t="s">
        <v>8664</v>
      </c>
      <c r="E13549" s="704">
        <v>45500</v>
      </c>
      <c r="F13549" s="126"/>
      <c r="G13549" s="126">
        <f t="shared" si="217"/>
        <v>-45500</v>
      </c>
      <c r="H13549" s="705" t="s">
        <v>8593</v>
      </c>
    </row>
    <row r="13550" spans="1:8" s="682" customFormat="1" ht="15" customHeight="1" x14ac:dyDescent="0.25">
      <c r="A13550" s="734">
        <v>44880</v>
      </c>
      <c r="B13550" s="63" t="s">
        <v>8532</v>
      </c>
      <c r="C13550" s="76" t="s">
        <v>8564</v>
      </c>
      <c r="D13550" s="183" t="s">
        <v>8192</v>
      </c>
      <c r="E13550" s="704">
        <v>30000</v>
      </c>
      <c r="F13550" s="126"/>
      <c r="G13550" s="126">
        <f t="shared" si="217"/>
        <v>-30000</v>
      </c>
      <c r="H13550" s="705" t="s">
        <v>8593</v>
      </c>
    </row>
    <row r="13551" spans="1:8" s="682" customFormat="1" ht="15" customHeight="1" x14ac:dyDescent="0.25">
      <c r="A13551" s="734">
        <v>44880</v>
      </c>
      <c r="B13551" s="63" t="s">
        <v>7921</v>
      </c>
      <c r="C13551" s="76" t="s">
        <v>790</v>
      </c>
      <c r="D13551" s="183"/>
      <c r="E13551" s="704">
        <v>200</v>
      </c>
      <c r="F13551" s="126"/>
      <c r="G13551" s="126">
        <f t="shared" si="217"/>
        <v>-200</v>
      </c>
      <c r="H13551" s="705" t="s">
        <v>8593</v>
      </c>
    </row>
    <row r="13552" spans="1:8" s="682" customFormat="1" ht="15" customHeight="1" x14ac:dyDescent="0.25">
      <c r="A13552" s="734">
        <v>44880</v>
      </c>
      <c r="B13552" s="63" t="s">
        <v>8043</v>
      </c>
      <c r="C13552" s="76" t="s">
        <v>790</v>
      </c>
      <c r="D13552" s="183"/>
      <c r="E13552" s="704">
        <v>340</v>
      </c>
      <c r="F13552" s="126"/>
      <c r="G13552" s="126">
        <f t="shared" si="217"/>
        <v>-340</v>
      </c>
      <c r="H13552" s="705" t="s">
        <v>8593</v>
      </c>
    </row>
    <row r="13553" spans="1:8" s="682" customFormat="1" ht="15" customHeight="1" x14ac:dyDescent="0.25">
      <c r="A13553" s="734">
        <v>44880</v>
      </c>
      <c r="B13553" s="63" t="s">
        <v>7921</v>
      </c>
      <c r="C13553" s="550" t="s">
        <v>3145</v>
      </c>
      <c r="D13553" s="740" t="s">
        <v>8665</v>
      </c>
      <c r="E13553" s="706">
        <v>3050</v>
      </c>
      <c r="F13553" s="126"/>
      <c r="G13553" s="126">
        <f t="shared" si="217"/>
        <v>-3050</v>
      </c>
      <c r="H13553" s="705" t="s">
        <v>8593</v>
      </c>
    </row>
    <row r="13554" spans="1:8" s="682" customFormat="1" ht="15" customHeight="1" x14ac:dyDescent="0.25">
      <c r="A13554" s="734">
        <v>44880</v>
      </c>
      <c r="B13554" s="63" t="s">
        <v>8043</v>
      </c>
      <c r="C13554" s="550" t="s">
        <v>3145</v>
      </c>
      <c r="D13554" s="740" t="s">
        <v>6942</v>
      </c>
      <c r="E13554" s="706">
        <v>8460</v>
      </c>
      <c r="F13554" s="126"/>
      <c r="G13554" s="126">
        <f t="shared" si="217"/>
        <v>-8460</v>
      </c>
      <c r="H13554" s="705" t="s">
        <v>8593</v>
      </c>
    </row>
    <row r="13555" spans="1:8" s="682" customFormat="1" ht="15" customHeight="1" x14ac:dyDescent="0.25">
      <c r="A13555" s="734">
        <v>44880</v>
      </c>
      <c r="B13555" s="63" t="s">
        <v>8657</v>
      </c>
      <c r="C13555" s="76" t="s">
        <v>8666</v>
      </c>
      <c r="D13555" s="183" t="s">
        <v>8667</v>
      </c>
      <c r="E13555" s="704">
        <v>31000</v>
      </c>
      <c r="F13555" s="126"/>
      <c r="G13555" s="126">
        <f t="shared" si="217"/>
        <v>-31000</v>
      </c>
      <c r="H13555" s="705" t="s">
        <v>8593</v>
      </c>
    </row>
    <row r="13556" spans="1:8" s="682" customFormat="1" ht="15" customHeight="1" x14ac:dyDescent="0.25">
      <c r="A13556" s="734">
        <v>44881</v>
      </c>
      <c r="B13556" s="63" t="s">
        <v>8657</v>
      </c>
      <c r="C13556" s="76" t="s">
        <v>5741</v>
      </c>
      <c r="D13556" s="183" t="s">
        <v>8671</v>
      </c>
      <c r="E13556" s="704">
        <v>1500</v>
      </c>
      <c r="F13556" s="126"/>
      <c r="G13556" s="126">
        <f t="shared" si="217"/>
        <v>-1500</v>
      </c>
      <c r="H13556" s="705" t="s">
        <v>8593</v>
      </c>
    </row>
    <row r="13557" spans="1:8" s="682" customFormat="1" ht="15" customHeight="1" x14ac:dyDescent="0.25">
      <c r="A13557" s="734">
        <v>44881</v>
      </c>
      <c r="B13557" s="63" t="s">
        <v>25</v>
      </c>
      <c r="C13557" s="76" t="s">
        <v>8150</v>
      </c>
      <c r="D13557" s="183" t="s">
        <v>6343</v>
      </c>
      <c r="E13557" s="704">
        <v>6010</v>
      </c>
      <c r="F13557" s="126"/>
      <c r="G13557" s="126">
        <f t="shared" si="217"/>
        <v>-6010</v>
      </c>
      <c r="H13557" s="705" t="s">
        <v>8593</v>
      </c>
    </row>
    <row r="13558" spans="1:8" s="682" customFormat="1" ht="15" customHeight="1" x14ac:dyDescent="0.25">
      <c r="A13558" s="734">
        <v>44881</v>
      </c>
      <c r="B13558" s="63" t="s">
        <v>16</v>
      </c>
      <c r="C13558" s="76" t="s">
        <v>8150</v>
      </c>
      <c r="D13558" s="183" t="s">
        <v>6343</v>
      </c>
      <c r="E13558" s="704">
        <v>2490</v>
      </c>
      <c r="F13558" s="126"/>
      <c r="G13558" s="126">
        <f t="shared" si="217"/>
        <v>-2490</v>
      </c>
      <c r="H13558" s="705" t="s">
        <v>8593</v>
      </c>
    </row>
    <row r="13559" spans="1:8" s="682" customFormat="1" ht="15" customHeight="1" x14ac:dyDescent="0.25">
      <c r="A13559" s="734">
        <v>44881</v>
      </c>
      <c r="B13559" s="63" t="s">
        <v>8339</v>
      </c>
      <c r="C13559" s="76" t="s">
        <v>3145</v>
      </c>
      <c r="D13559" s="183" t="s">
        <v>8672</v>
      </c>
      <c r="E13559" s="704">
        <v>10000</v>
      </c>
      <c r="F13559" s="126"/>
      <c r="G13559" s="126">
        <f t="shared" si="217"/>
        <v>-10000</v>
      </c>
      <c r="H13559" s="705" t="s">
        <v>8593</v>
      </c>
    </row>
    <row r="13560" spans="1:8" s="682" customFormat="1" ht="15" customHeight="1" x14ac:dyDescent="0.25">
      <c r="A13560" s="734">
        <v>44881</v>
      </c>
      <c r="B13560" s="63" t="s">
        <v>16</v>
      </c>
      <c r="C13560" s="76" t="s">
        <v>392</v>
      </c>
      <c r="D13560" s="183" t="s">
        <v>8296</v>
      </c>
      <c r="E13560" s="704">
        <v>200</v>
      </c>
      <c r="F13560" s="126"/>
      <c r="G13560" s="126">
        <f t="shared" si="217"/>
        <v>-200</v>
      </c>
      <c r="H13560" s="705" t="s">
        <v>8593</v>
      </c>
    </row>
    <row r="13561" spans="1:8" s="682" customFormat="1" ht="15" customHeight="1" x14ac:dyDescent="0.25">
      <c r="A13561" s="734">
        <v>44881</v>
      </c>
      <c r="B13561" s="63" t="s">
        <v>25</v>
      </c>
      <c r="C13561" s="76" t="s">
        <v>4065</v>
      </c>
      <c r="D13561" s="183" t="s">
        <v>2108</v>
      </c>
      <c r="E13561" s="704">
        <v>700</v>
      </c>
      <c r="F13561" s="126"/>
      <c r="G13561" s="126">
        <f t="shared" si="217"/>
        <v>-700</v>
      </c>
      <c r="H13561" s="705" t="s">
        <v>8593</v>
      </c>
    </row>
    <row r="13562" spans="1:8" s="682" customFormat="1" ht="24" customHeight="1" x14ac:dyDescent="0.25">
      <c r="A13562" s="734">
        <v>44882</v>
      </c>
      <c r="B13562" s="63" t="s">
        <v>7921</v>
      </c>
      <c r="C13562" s="550" t="s">
        <v>8394</v>
      </c>
      <c r="D13562" s="740" t="s">
        <v>8688</v>
      </c>
      <c r="E13562" s="706">
        <v>100000</v>
      </c>
      <c r="F13562" s="126"/>
      <c r="G13562" s="126">
        <f t="shared" si="217"/>
        <v>-100000</v>
      </c>
      <c r="H13562" s="705" t="s">
        <v>8593</v>
      </c>
    </row>
    <row r="13563" spans="1:8" s="682" customFormat="1" ht="24" customHeight="1" x14ac:dyDescent="0.25">
      <c r="A13563" s="734">
        <v>44882</v>
      </c>
      <c r="B13563" s="63" t="s">
        <v>8043</v>
      </c>
      <c r="C13563" s="550" t="s">
        <v>8394</v>
      </c>
      <c r="D13563" s="740" t="s">
        <v>8688</v>
      </c>
      <c r="E13563" s="706">
        <v>100000</v>
      </c>
      <c r="F13563" s="126"/>
      <c r="G13563" s="126">
        <f t="shared" si="217"/>
        <v>-100000</v>
      </c>
      <c r="H13563" s="705" t="s">
        <v>8593</v>
      </c>
    </row>
    <row r="13564" spans="1:8" s="682" customFormat="1" ht="24" customHeight="1" x14ac:dyDescent="0.25">
      <c r="A13564" s="734">
        <v>44882</v>
      </c>
      <c r="B13564" s="63" t="s">
        <v>8559</v>
      </c>
      <c r="C13564" s="550" t="s">
        <v>8394</v>
      </c>
      <c r="D13564" s="740" t="s">
        <v>8688</v>
      </c>
      <c r="E13564" s="706">
        <v>200000</v>
      </c>
      <c r="F13564" s="126"/>
      <c r="G13564" s="126">
        <f t="shared" si="217"/>
        <v>-200000</v>
      </c>
      <c r="H13564" s="705" t="s">
        <v>8593</v>
      </c>
    </row>
    <row r="13565" spans="1:8" s="682" customFormat="1" ht="24" customHeight="1" x14ac:dyDescent="0.25">
      <c r="A13565" s="734">
        <v>44882</v>
      </c>
      <c r="B13565" s="63" t="s">
        <v>8532</v>
      </c>
      <c r="C13565" s="550" t="s">
        <v>8394</v>
      </c>
      <c r="D13565" s="740" t="s">
        <v>8688</v>
      </c>
      <c r="E13565" s="706">
        <v>100000</v>
      </c>
      <c r="F13565" s="126"/>
      <c r="G13565" s="126">
        <f t="shared" si="217"/>
        <v>-100000</v>
      </c>
      <c r="H13565" s="705" t="s">
        <v>8593</v>
      </c>
    </row>
    <row r="13566" spans="1:8" s="682" customFormat="1" ht="15" customHeight="1" x14ac:dyDescent="0.25">
      <c r="A13566" s="734">
        <v>44883</v>
      </c>
      <c r="B13566" s="63" t="s">
        <v>8043</v>
      </c>
      <c r="C13566" s="76" t="s">
        <v>3145</v>
      </c>
      <c r="D13566" s="183" t="s">
        <v>8681</v>
      </c>
      <c r="E13566" s="704">
        <v>18500</v>
      </c>
      <c r="F13566" s="126"/>
      <c r="G13566" s="126">
        <f t="shared" si="217"/>
        <v>-18500</v>
      </c>
      <c r="H13566" s="705" t="s">
        <v>8593</v>
      </c>
    </row>
    <row r="13567" spans="1:8" s="682" customFormat="1" ht="15" customHeight="1" x14ac:dyDescent="0.25">
      <c r="A13567" s="734">
        <v>44883</v>
      </c>
      <c r="B13567" s="63" t="s">
        <v>7921</v>
      </c>
      <c r="C13567" s="550" t="s">
        <v>3145</v>
      </c>
      <c r="D13567" s="740" t="s">
        <v>8681</v>
      </c>
      <c r="E13567" s="706">
        <v>8000</v>
      </c>
      <c r="F13567" s="126"/>
      <c r="G13567" s="126">
        <f t="shared" si="217"/>
        <v>-8000</v>
      </c>
      <c r="H13567" s="705" t="s">
        <v>8593</v>
      </c>
    </row>
    <row r="13568" spans="1:8" s="682" customFormat="1" ht="15" customHeight="1" x14ac:dyDescent="0.25">
      <c r="A13568" s="734">
        <v>44883</v>
      </c>
      <c r="B13568" s="63" t="s">
        <v>8043</v>
      </c>
      <c r="C13568" s="550" t="s">
        <v>3145</v>
      </c>
      <c r="D13568" s="740" t="s">
        <v>8681</v>
      </c>
      <c r="E13568" s="706">
        <v>8000</v>
      </c>
      <c r="F13568" s="126"/>
      <c r="G13568" s="126">
        <f t="shared" si="217"/>
        <v>-8000</v>
      </c>
      <c r="H13568" s="705" t="s">
        <v>8593</v>
      </c>
    </row>
    <row r="13569" spans="1:8" s="682" customFormat="1" ht="15" customHeight="1" x14ac:dyDescent="0.25">
      <c r="A13569" s="734">
        <v>44883</v>
      </c>
      <c r="B13569" s="63" t="s">
        <v>8339</v>
      </c>
      <c r="C13569" s="550" t="s">
        <v>3145</v>
      </c>
      <c r="D13569" s="740" t="s">
        <v>8681</v>
      </c>
      <c r="E13569" s="706">
        <v>9800</v>
      </c>
      <c r="F13569" s="126"/>
      <c r="G13569" s="126">
        <f t="shared" si="217"/>
        <v>-9800</v>
      </c>
      <c r="H13569" s="705" t="s">
        <v>8593</v>
      </c>
    </row>
    <row r="13570" spans="1:8" s="682" customFormat="1" ht="15" customHeight="1" x14ac:dyDescent="0.25">
      <c r="A13570" s="734">
        <v>44883</v>
      </c>
      <c r="B13570" s="63" t="s">
        <v>8559</v>
      </c>
      <c r="C13570" s="76" t="s">
        <v>8232</v>
      </c>
      <c r="D13570" s="183" t="s">
        <v>8682</v>
      </c>
      <c r="E13570" s="704">
        <v>35750</v>
      </c>
      <c r="F13570" s="126"/>
      <c r="G13570" s="126">
        <f t="shared" si="217"/>
        <v>-35750</v>
      </c>
      <c r="H13570" s="705" t="s">
        <v>8593</v>
      </c>
    </row>
    <row r="13571" spans="1:8" s="682" customFormat="1" ht="15" customHeight="1" x14ac:dyDescent="0.25">
      <c r="A13571" s="734">
        <v>44883</v>
      </c>
      <c r="B13571" s="63" t="s">
        <v>16</v>
      </c>
      <c r="C13571" s="76" t="s">
        <v>103</v>
      </c>
      <c r="D13571" s="183"/>
      <c r="E13571" s="704">
        <v>3835</v>
      </c>
      <c r="F13571" s="126"/>
      <c r="G13571" s="126">
        <f t="shared" si="217"/>
        <v>-3835</v>
      </c>
      <c r="H13571" s="705" t="s">
        <v>8593</v>
      </c>
    </row>
    <row r="13572" spans="1:8" s="682" customFormat="1" ht="15" customHeight="1" x14ac:dyDescent="0.25">
      <c r="A13572" s="734">
        <v>44883</v>
      </c>
      <c r="B13572" s="63" t="s">
        <v>7921</v>
      </c>
      <c r="C13572" s="76" t="s">
        <v>392</v>
      </c>
      <c r="D13572" s="183"/>
      <c r="E13572" s="704">
        <v>1000</v>
      </c>
      <c r="F13572" s="126"/>
      <c r="G13572" s="126">
        <f t="shared" si="217"/>
        <v>-1000</v>
      </c>
      <c r="H13572" s="705" t="s">
        <v>8593</v>
      </c>
    </row>
    <row r="13573" spans="1:8" s="682" customFormat="1" ht="15" customHeight="1" x14ac:dyDescent="0.25">
      <c r="A13573" s="734">
        <v>44883</v>
      </c>
      <c r="B13573" s="63" t="s">
        <v>8043</v>
      </c>
      <c r="C13573" s="76" t="s">
        <v>392</v>
      </c>
      <c r="D13573" s="183"/>
      <c r="E13573" s="704">
        <v>1000</v>
      </c>
      <c r="F13573" s="126"/>
      <c r="G13573" s="126">
        <f t="shared" ref="G13573:G13636" si="218">F13573-E13573</f>
        <v>-1000</v>
      </c>
      <c r="H13573" s="705" t="s">
        <v>8593</v>
      </c>
    </row>
    <row r="13574" spans="1:8" s="682" customFormat="1" ht="15" customHeight="1" x14ac:dyDescent="0.25">
      <c r="A13574" s="734">
        <v>44883</v>
      </c>
      <c r="B13574" s="63" t="s">
        <v>8657</v>
      </c>
      <c r="C13574" s="76" t="s">
        <v>5741</v>
      </c>
      <c r="D13574" s="183" t="s">
        <v>5742</v>
      </c>
      <c r="E13574" s="704">
        <v>2000</v>
      </c>
      <c r="F13574" s="126"/>
      <c r="G13574" s="126">
        <f t="shared" si="218"/>
        <v>-2000</v>
      </c>
      <c r="H13574" s="705" t="s">
        <v>8593</v>
      </c>
    </row>
    <row r="13575" spans="1:8" s="682" customFormat="1" ht="15" customHeight="1" x14ac:dyDescent="0.25">
      <c r="A13575" s="734">
        <v>44883</v>
      </c>
      <c r="B13575" s="63" t="s">
        <v>8559</v>
      </c>
      <c r="C13575" s="76" t="s">
        <v>392</v>
      </c>
      <c r="D13575" s="183" t="s">
        <v>7553</v>
      </c>
      <c r="E13575" s="704">
        <v>1000</v>
      </c>
      <c r="F13575" s="126"/>
      <c r="G13575" s="126">
        <f t="shared" si="218"/>
        <v>-1000</v>
      </c>
      <c r="H13575" s="705" t="s">
        <v>8593</v>
      </c>
    </row>
    <row r="13576" spans="1:8" s="682" customFormat="1" ht="15" customHeight="1" x14ac:dyDescent="0.25">
      <c r="A13576" s="734">
        <v>44884</v>
      </c>
      <c r="B13576" s="63" t="s">
        <v>8339</v>
      </c>
      <c r="C13576" s="76" t="s">
        <v>8502</v>
      </c>
      <c r="D13576" s="183" t="s">
        <v>8689</v>
      </c>
      <c r="E13576" s="704">
        <v>25000</v>
      </c>
      <c r="F13576" s="126"/>
      <c r="G13576" s="126">
        <f t="shared" si="218"/>
        <v>-25000</v>
      </c>
      <c r="H13576" s="705" t="s">
        <v>8593</v>
      </c>
    </row>
    <row r="13577" spans="1:8" s="682" customFormat="1" ht="15" customHeight="1" x14ac:dyDescent="0.25">
      <c r="A13577" s="734">
        <v>44884</v>
      </c>
      <c r="B13577" s="63" t="s">
        <v>8657</v>
      </c>
      <c r="C13577" s="76" t="s">
        <v>8691</v>
      </c>
      <c r="D13577" s="183" t="s">
        <v>8690</v>
      </c>
      <c r="E13577" s="704">
        <v>159640</v>
      </c>
      <c r="F13577" s="126"/>
      <c r="G13577" s="126">
        <f t="shared" si="218"/>
        <v>-159640</v>
      </c>
      <c r="H13577" s="705" t="s">
        <v>8593</v>
      </c>
    </row>
    <row r="13578" spans="1:8" s="682" customFormat="1" ht="15" customHeight="1" x14ac:dyDescent="0.25">
      <c r="A13578" s="734">
        <v>44884</v>
      </c>
      <c r="B13578" s="63" t="s">
        <v>8657</v>
      </c>
      <c r="C13578" s="76" t="s">
        <v>8666</v>
      </c>
      <c r="D13578" s="183" t="s">
        <v>8667</v>
      </c>
      <c r="E13578" s="704">
        <v>27000</v>
      </c>
      <c r="F13578" s="126"/>
      <c r="G13578" s="126">
        <f t="shared" si="218"/>
        <v>-27000</v>
      </c>
      <c r="H13578" s="705" t="s">
        <v>8593</v>
      </c>
    </row>
    <row r="13579" spans="1:8" s="682" customFormat="1" ht="15" customHeight="1" x14ac:dyDescent="0.25">
      <c r="A13579" s="734">
        <v>44884</v>
      </c>
      <c r="B13579" s="63" t="s">
        <v>8657</v>
      </c>
      <c r="C13579" s="76" t="s">
        <v>5741</v>
      </c>
      <c r="D13579" s="183" t="s">
        <v>8671</v>
      </c>
      <c r="E13579" s="704">
        <v>1500</v>
      </c>
      <c r="F13579" s="126"/>
      <c r="G13579" s="126">
        <f t="shared" si="218"/>
        <v>-1500</v>
      </c>
      <c r="H13579" s="705" t="s">
        <v>8593</v>
      </c>
    </row>
    <row r="13580" spans="1:8" s="682" customFormat="1" ht="15" customHeight="1" x14ac:dyDescent="0.25">
      <c r="A13580" s="734">
        <v>44884</v>
      </c>
      <c r="B13580" s="63" t="s">
        <v>8339</v>
      </c>
      <c r="C13580" s="76" t="s">
        <v>6249</v>
      </c>
      <c r="D13580" s="183" t="s">
        <v>8692</v>
      </c>
      <c r="E13580" s="704">
        <v>15300</v>
      </c>
      <c r="F13580" s="126"/>
      <c r="G13580" s="126">
        <f t="shared" si="218"/>
        <v>-15300</v>
      </c>
      <c r="H13580" s="705" t="s">
        <v>8593</v>
      </c>
    </row>
    <row r="13581" spans="1:8" s="682" customFormat="1" ht="15" customHeight="1" x14ac:dyDescent="0.25">
      <c r="A13581" s="734">
        <v>44884</v>
      </c>
      <c r="B13581" s="63" t="s">
        <v>8657</v>
      </c>
      <c r="C13581" s="76" t="s">
        <v>286</v>
      </c>
      <c r="D13581" s="183" t="s">
        <v>8334</v>
      </c>
      <c r="E13581" s="704">
        <v>800</v>
      </c>
      <c r="F13581" s="126"/>
      <c r="G13581" s="126">
        <f t="shared" si="218"/>
        <v>-800</v>
      </c>
      <c r="H13581" s="705" t="s">
        <v>8593</v>
      </c>
    </row>
    <row r="13582" spans="1:8" s="682" customFormat="1" ht="15" customHeight="1" x14ac:dyDescent="0.25">
      <c r="A13582" s="734">
        <v>44884</v>
      </c>
      <c r="B13582" s="63" t="s">
        <v>2933</v>
      </c>
      <c r="C13582" s="76" t="s">
        <v>4876</v>
      </c>
      <c r="D13582" s="183" t="s">
        <v>8694</v>
      </c>
      <c r="E13582" s="704">
        <v>700</v>
      </c>
      <c r="F13582" s="126"/>
      <c r="G13582" s="126">
        <f t="shared" si="218"/>
        <v>-700</v>
      </c>
      <c r="H13582" s="705" t="s">
        <v>8593</v>
      </c>
    </row>
    <row r="13583" spans="1:8" s="682" customFormat="1" ht="15" customHeight="1" x14ac:dyDescent="0.25">
      <c r="A13583" s="734">
        <v>44886</v>
      </c>
      <c r="B13583" s="63" t="s">
        <v>8559</v>
      </c>
      <c r="C13583" s="76" t="s">
        <v>3335</v>
      </c>
      <c r="D13583" s="183" t="s">
        <v>8695</v>
      </c>
      <c r="E13583" s="704">
        <v>21500</v>
      </c>
      <c r="F13583" s="126"/>
      <c r="G13583" s="126">
        <f t="shared" si="218"/>
        <v>-21500</v>
      </c>
      <c r="H13583" s="705" t="s">
        <v>8593</v>
      </c>
    </row>
    <row r="13584" spans="1:8" s="682" customFormat="1" ht="15" customHeight="1" x14ac:dyDescent="0.25">
      <c r="A13584" s="734">
        <v>44886</v>
      </c>
      <c r="B13584" s="63" t="s">
        <v>2933</v>
      </c>
      <c r="C13584" s="76" t="s">
        <v>3145</v>
      </c>
      <c r="D13584" s="183" t="s">
        <v>6344</v>
      </c>
      <c r="E13584" s="704">
        <v>5350</v>
      </c>
      <c r="F13584" s="126"/>
      <c r="G13584" s="126">
        <f t="shared" si="218"/>
        <v>-5350</v>
      </c>
      <c r="H13584" s="705" t="s">
        <v>8593</v>
      </c>
    </row>
    <row r="13585" spans="1:8" s="682" customFormat="1" ht="15" customHeight="1" x14ac:dyDescent="0.25">
      <c r="A13585" s="734">
        <v>44886</v>
      </c>
      <c r="B13585" s="63" t="s">
        <v>8657</v>
      </c>
      <c r="C13585" s="76" t="s">
        <v>5741</v>
      </c>
      <c r="D13585" s="183" t="s">
        <v>8711</v>
      </c>
      <c r="E13585" s="704">
        <v>700</v>
      </c>
      <c r="F13585" s="126"/>
      <c r="G13585" s="126">
        <f t="shared" si="218"/>
        <v>-700</v>
      </c>
      <c r="H13585" s="705" t="s">
        <v>8593</v>
      </c>
    </row>
    <row r="13586" spans="1:8" s="682" customFormat="1" ht="15" customHeight="1" x14ac:dyDescent="0.25">
      <c r="A13586" s="734">
        <v>44886</v>
      </c>
      <c r="B13586" s="63" t="s">
        <v>8657</v>
      </c>
      <c r="C13586" s="76" t="s">
        <v>392</v>
      </c>
      <c r="D13586" s="183" t="s">
        <v>8448</v>
      </c>
      <c r="E13586" s="704">
        <v>800</v>
      </c>
      <c r="F13586" s="126"/>
      <c r="G13586" s="126">
        <f t="shared" si="218"/>
        <v>-800</v>
      </c>
      <c r="H13586" s="705" t="s">
        <v>8593</v>
      </c>
    </row>
    <row r="13587" spans="1:8" s="682" customFormat="1" ht="15" customHeight="1" x14ac:dyDescent="0.25">
      <c r="A13587" s="734">
        <v>44886</v>
      </c>
      <c r="B13587" s="63" t="s">
        <v>16</v>
      </c>
      <c r="C13587" s="76" t="s">
        <v>103</v>
      </c>
      <c r="D13587" s="183" t="s">
        <v>8712</v>
      </c>
      <c r="E13587" s="704">
        <v>4305</v>
      </c>
      <c r="F13587" s="126"/>
      <c r="G13587" s="126">
        <f t="shared" si="218"/>
        <v>-4305</v>
      </c>
      <c r="H13587" s="705" t="s">
        <v>8593</v>
      </c>
    </row>
    <row r="13588" spans="1:8" s="682" customFormat="1" ht="15" customHeight="1" x14ac:dyDescent="0.25">
      <c r="A13588" s="734">
        <v>44886</v>
      </c>
      <c r="B13588" s="63" t="s">
        <v>8339</v>
      </c>
      <c r="C13588" s="76" t="s">
        <v>103</v>
      </c>
      <c r="D13588" s="183" t="s">
        <v>8713</v>
      </c>
      <c r="E13588" s="704">
        <v>1000</v>
      </c>
      <c r="F13588" s="126"/>
      <c r="G13588" s="126">
        <f t="shared" si="218"/>
        <v>-1000</v>
      </c>
      <c r="H13588" s="705" t="s">
        <v>8593</v>
      </c>
    </row>
    <row r="13589" spans="1:8" s="682" customFormat="1" ht="15" customHeight="1" x14ac:dyDescent="0.25">
      <c r="A13589" s="734">
        <v>44886</v>
      </c>
      <c r="B13589" s="63" t="s">
        <v>8043</v>
      </c>
      <c r="C13589" s="76" t="s">
        <v>103</v>
      </c>
      <c r="D13589" s="183" t="s">
        <v>8713</v>
      </c>
      <c r="E13589" s="704">
        <v>1000</v>
      </c>
      <c r="F13589" s="126"/>
      <c r="G13589" s="126">
        <f t="shared" si="218"/>
        <v>-1000</v>
      </c>
      <c r="H13589" s="705" t="s">
        <v>8593</v>
      </c>
    </row>
    <row r="13590" spans="1:8" s="682" customFormat="1" ht="15" customHeight="1" x14ac:dyDescent="0.25">
      <c r="A13590" s="734">
        <v>44887</v>
      </c>
      <c r="B13590" s="63" t="s">
        <v>8657</v>
      </c>
      <c r="C13590" s="76" t="s">
        <v>3145</v>
      </c>
      <c r="D13590" s="183" t="s">
        <v>8699</v>
      </c>
      <c r="E13590" s="704">
        <v>19900</v>
      </c>
      <c r="F13590" s="126"/>
      <c r="G13590" s="126">
        <f t="shared" si="218"/>
        <v>-19900</v>
      </c>
      <c r="H13590" s="705" t="s">
        <v>8593</v>
      </c>
    </row>
    <row r="13591" spans="1:8" s="682" customFormat="1" ht="15" customHeight="1" x14ac:dyDescent="0.25">
      <c r="A13591" s="734">
        <v>44887</v>
      </c>
      <c r="B13591" s="63" t="s">
        <v>3946</v>
      </c>
      <c r="C13591" s="76" t="s">
        <v>3145</v>
      </c>
      <c r="D13591" s="183" t="s">
        <v>8700</v>
      </c>
      <c r="E13591" s="704">
        <v>6000</v>
      </c>
      <c r="F13591" s="126"/>
      <c r="G13591" s="126">
        <f t="shared" si="218"/>
        <v>-6000</v>
      </c>
      <c r="H13591" s="705" t="s">
        <v>8593</v>
      </c>
    </row>
    <row r="13592" spans="1:8" s="682" customFormat="1" ht="15" customHeight="1" x14ac:dyDescent="0.25">
      <c r="A13592" s="734">
        <v>44887</v>
      </c>
      <c r="B13592" s="63" t="s">
        <v>3946</v>
      </c>
      <c r="C13592" s="76" t="s">
        <v>3145</v>
      </c>
      <c r="D13592" s="183" t="s">
        <v>8700</v>
      </c>
      <c r="E13592" s="704">
        <v>9000</v>
      </c>
      <c r="F13592" s="126"/>
      <c r="G13592" s="126">
        <f t="shared" si="218"/>
        <v>-9000</v>
      </c>
      <c r="H13592" s="705" t="s">
        <v>8593</v>
      </c>
    </row>
    <row r="13593" spans="1:8" s="682" customFormat="1" ht="15" customHeight="1" x14ac:dyDescent="0.25">
      <c r="A13593" s="734">
        <v>44887</v>
      </c>
      <c r="B13593" s="63" t="s">
        <v>2933</v>
      </c>
      <c r="C13593" s="76" t="s">
        <v>3145</v>
      </c>
      <c r="D13593" s="183" t="s">
        <v>6344</v>
      </c>
      <c r="E13593" s="704">
        <v>7020</v>
      </c>
      <c r="F13593" s="126"/>
      <c r="G13593" s="126">
        <f t="shared" si="218"/>
        <v>-7020</v>
      </c>
      <c r="H13593" s="705" t="s">
        <v>8593</v>
      </c>
    </row>
    <row r="13594" spans="1:8" s="682" customFormat="1" ht="15" customHeight="1" x14ac:dyDescent="0.25">
      <c r="A13594" s="734">
        <v>44887</v>
      </c>
      <c r="B13594" s="63" t="s">
        <v>8657</v>
      </c>
      <c r="C13594" s="76" t="s">
        <v>3145</v>
      </c>
      <c r="D13594" s="183" t="s">
        <v>8701</v>
      </c>
      <c r="E13594" s="704">
        <v>850</v>
      </c>
      <c r="F13594" s="126"/>
      <c r="G13594" s="126">
        <f t="shared" si="218"/>
        <v>-850</v>
      </c>
      <c r="H13594" s="705" t="s">
        <v>8593</v>
      </c>
    </row>
    <row r="13595" spans="1:8" s="682" customFormat="1" ht="15" customHeight="1" x14ac:dyDescent="0.25">
      <c r="A13595" s="734">
        <v>44887</v>
      </c>
      <c r="B13595" s="63" t="s">
        <v>8043</v>
      </c>
      <c r="C13595" s="76" t="s">
        <v>3145</v>
      </c>
      <c r="D13595" s="183" t="s">
        <v>8702</v>
      </c>
      <c r="E13595" s="704">
        <v>6000</v>
      </c>
      <c r="F13595" s="126"/>
      <c r="G13595" s="126">
        <f t="shared" si="218"/>
        <v>-6000</v>
      </c>
      <c r="H13595" s="705" t="s">
        <v>8593</v>
      </c>
    </row>
    <row r="13596" spans="1:8" s="682" customFormat="1" ht="15" customHeight="1" x14ac:dyDescent="0.25">
      <c r="A13596" s="734">
        <v>44887</v>
      </c>
      <c r="B13596" s="63" t="s">
        <v>8339</v>
      </c>
      <c r="C13596" s="76" t="s">
        <v>392</v>
      </c>
      <c r="D13596" s="183" t="s">
        <v>8703</v>
      </c>
      <c r="E13596" s="704">
        <v>8000</v>
      </c>
      <c r="F13596" s="126"/>
      <c r="G13596" s="126">
        <f t="shared" si="218"/>
        <v>-8000</v>
      </c>
      <c r="H13596" s="705" t="s">
        <v>8593</v>
      </c>
    </row>
    <row r="13597" spans="1:8" s="682" customFormat="1" ht="15" customHeight="1" x14ac:dyDescent="0.25">
      <c r="A13597" s="734">
        <v>44887</v>
      </c>
      <c r="B13597" s="63" t="s">
        <v>8043</v>
      </c>
      <c r="C13597" s="76" t="s">
        <v>4876</v>
      </c>
      <c r="D13597" s="183" t="s">
        <v>8704</v>
      </c>
      <c r="E13597" s="704">
        <v>1500</v>
      </c>
      <c r="F13597" s="126"/>
      <c r="G13597" s="126">
        <f t="shared" si="218"/>
        <v>-1500</v>
      </c>
      <c r="H13597" s="705" t="s">
        <v>8593</v>
      </c>
    </row>
    <row r="13598" spans="1:8" s="682" customFormat="1" ht="15" customHeight="1" x14ac:dyDescent="0.25">
      <c r="A13598" s="734">
        <v>44887</v>
      </c>
      <c r="B13598" s="63" t="s">
        <v>8559</v>
      </c>
      <c r="C13598" s="76" t="s">
        <v>8502</v>
      </c>
      <c r="D13598" s="183" t="s">
        <v>8705</v>
      </c>
      <c r="E13598" s="704">
        <v>25000</v>
      </c>
      <c r="F13598" s="126"/>
      <c r="G13598" s="126">
        <f t="shared" si="218"/>
        <v>-25000</v>
      </c>
      <c r="H13598" s="705" t="s">
        <v>8593</v>
      </c>
    </row>
    <row r="13599" spans="1:8" s="682" customFormat="1" ht="38.25" customHeight="1" x14ac:dyDescent="0.25">
      <c r="A13599" s="734">
        <v>44887</v>
      </c>
      <c r="B13599" s="63" t="s">
        <v>7921</v>
      </c>
      <c r="C13599" s="76" t="s">
        <v>8030</v>
      </c>
      <c r="D13599" s="183" t="s">
        <v>5858</v>
      </c>
      <c r="E13599" s="704">
        <v>100000</v>
      </c>
      <c r="F13599" s="126"/>
      <c r="G13599" s="126">
        <f t="shared" si="218"/>
        <v>-100000</v>
      </c>
      <c r="H13599" s="705" t="s">
        <v>8593</v>
      </c>
    </row>
    <row r="13600" spans="1:8" s="682" customFormat="1" ht="15" customHeight="1" x14ac:dyDescent="0.25">
      <c r="A13600" s="734">
        <v>44887</v>
      </c>
      <c r="B13600" s="63" t="s">
        <v>8043</v>
      </c>
      <c r="C13600" s="76" t="s">
        <v>7927</v>
      </c>
      <c r="D13600" s="183" t="s">
        <v>8706</v>
      </c>
      <c r="E13600" s="704">
        <v>50000</v>
      </c>
      <c r="F13600" s="126"/>
      <c r="G13600" s="126">
        <f t="shared" si="218"/>
        <v>-50000</v>
      </c>
      <c r="H13600" s="705" t="s">
        <v>8593</v>
      </c>
    </row>
    <row r="13601" spans="1:8" s="682" customFormat="1" ht="15" customHeight="1" x14ac:dyDescent="0.25">
      <c r="A13601" s="734">
        <v>44887</v>
      </c>
      <c r="B13601" s="63" t="s">
        <v>8043</v>
      </c>
      <c r="C13601" s="76" t="s">
        <v>392</v>
      </c>
      <c r="D13601" s="183" t="s">
        <v>8716</v>
      </c>
      <c r="E13601" s="704">
        <v>700</v>
      </c>
      <c r="F13601" s="126"/>
      <c r="G13601" s="126">
        <f t="shared" si="218"/>
        <v>-700</v>
      </c>
      <c r="H13601" s="705" t="s">
        <v>8593</v>
      </c>
    </row>
    <row r="13602" spans="1:8" s="682" customFormat="1" ht="15" customHeight="1" x14ac:dyDescent="0.25">
      <c r="A13602" s="734">
        <v>44887</v>
      </c>
      <c r="B13602" s="63" t="s">
        <v>25</v>
      </c>
      <c r="C13602" s="76" t="s">
        <v>8150</v>
      </c>
      <c r="D13602" s="183" t="s">
        <v>8714</v>
      </c>
      <c r="E13602" s="704">
        <v>28752</v>
      </c>
      <c r="F13602" s="126"/>
      <c r="G13602" s="126">
        <f t="shared" si="218"/>
        <v>-28752</v>
      </c>
      <c r="H13602" s="705" t="s">
        <v>8593</v>
      </c>
    </row>
    <row r="13603" spans="1:8" s="682" customFormat="1" ht="15" customHeight="1" x14ac:dyDescent="0.25">
      <c r="A13603" s="734">
        <v>44887</v>
      </c>
      <c r="B13603" s="63" t="s">
        <v>16</v>
      </c>
      <c r="C13603" s="76" t="s">
        <v>8150</v>
      </c>
      <c r="D13603" s="183" t="s">
        <v>8714</v>
      </c>
      <c r="E13603" s="704">
        <v>16976</v>
      </c>
      <c r="F13603" s="126"/>
      <c r="G13603" s="126">
        <f t="shared" si="218"/>
        <v>-16976</v>
      </c>
      <c r="H13603" s="705" t="s">
        <v>8593</v>
      </c>
    </row>
    <row r="13604" spans="1:8" s="682" customFormat="1" ht="15" customHeight="1" x14ac:dyDescent="0.25">
      <c r="A13604" s="734">
        <v>44887</v>
      </c>
      <c r="B13604" s="63" t="s">
        <v>8657</v>
      </c>
      <c r="C13604" s="76" t="s">
        <v>5741</v>
      </c>
      <c r="D13604" s="183" t="s">
        <v>1886</v>
      </c>
      <c r="E13604" s="704">
        <v>950</v>
      </c>
      <c r="F13604" s="126"/>
      <c r="G13604" s="126">
        <f t="shared" si="218"/>
        <v>-950</v>
      </c>
      <c r="H13604" s="705" t="s">
        <v>8593</v>
      </c>
    </row>
    <row r="13605" spans="1:8" s="682" customFormat="1" ht="15" customHeight="1" x14ac:dyDescent="0.25">
      <c r="A13605" s="734">
        <v>44887</v>
      </c>
      <c r="B13605" s="63" t="s">
        <v>8339</v>
      </c>
      <c r="C13605" s="76" t="s">
        <v>5741</v>
      </c>
      <c r="D13605" s="183" t="s">
        <v>8715</v>
      </c>
      <c r="E13605" s="704">
        <v>3500</v>
      </c>
      <c r="F13605" s="126"/>
      <c r="G13605" s="126">
        <f t="shared" si="218"/>
        <v>-3500</v>
      </c>
      <c r="H13605" s="705" t="s">
        <v>8593</v>
      </c>
    </row>
    <row r="13606" spans="1:8" s="682" customFormat="1" ht="15" customHeight="1" x14ac:dyDescent="0.25">
      <c r="A13606" s="734">
        <v>44888</v>
      </c>
      <c r="B13606" s="63" t="s">
        <v>6505</v>
      </c>
      <c r="C13606" s="76" t="s">
        <v>3145</v>
      </c>
      <c r="D13606" s="183" t="s">
        <v>4452</v>
      </c>
      <c r="E13606" s="704">
        <v>14100</v>
      </c>
      <c r="F13606" s="126"/>
      <c r="G13606" s="126">
        <f t="shared" si="218"/>
        <v>-14100</v>
      </c>
      <c r="H13606" s="705" t="s">
        <v>8593</v>
      </c>
    </row>
    <row r="13607" spans="1:8" s="682" customFormat="1" ht="15" customHeight="1" x14ac:dyDescent="0.25">
      <c r="A13607" s="734">
        <v>44888</v>
      </c>
      <c r="B13607" s="63" t="s">
        <v>8532</v>
      </c>
      <c r="C13607" s="76" t="s">
        <v>3145</v>
      </c>
      <c r="D13607" s="183" t="s">
        <v>4452</v>
      </c>
      <c r="E13607" s="704">
        <v>1000</v>
      </c>
      <c r="F13607" s="126"/>
      <c r="G13607" s="126">
        <f t="shared" si="218"/>
        <v>-1000</v>
      </c>
      <c r="H13607" s="705" t="s">
        <v>8593</v>
      </c>
    </row>
    <row r="13608" spans="1:8" s="682" customFormat="1" ht="15" customHeight="1" x14ac:dyDescent="0.25">
      <c r="A13608" s="734">
        <v>44888</v>
      </c>
      <c r="B13608" s="63" t="s">
        <v>8559</v>
      </c>
      <c r="C13608" s="76" t="s">
        <v>3145</v>
      </c>
      <c r="D13608" s="183" t="s">
        <v>4452</v>
      </c>
      <c r="E13608" s="704">
        <v>2000</v>
      </c>
      <c r="F13608" s="126"/>
      <c r="G13608" s="126">
        <f t="shared" si="218"/>
        <v>-2000</v>
      </c>
      <c r="H13608" s="705" t="s">
        <v>8593</v>
      </c>
    </row>
    <row r="13609" spans="1:8" s="682" customFormat="1" ht="15" customHeight="1" x14ac:dyDescent="0.25">
      <c r="A13609" s="734">
        <v>44888</v>
      </c>
      <c r="B13609" s="63" t="s">
        <v>7657</v>
      </c>
      <c r="C13609" s="76" t="s">
        <v>3145</v>
      </c>
      <c r="D13609" s="183" t="s">
        <v>4452</v>
      </c>
      <c r="E13609" s="704">
        <v>2000</v>
      </c>
      <c r="F13609" s="126"/>
      <c r="G13609" s="126">
        <f t="shared" si="218"/>
        <v>-2000</v>
      </c>
      <c r="H13609" s="705" t="s">
        <v>8593</v>
      </c>
    </row>
    <row r="13610" spans="1:8" s="682" customFormat="1" ht="15" customHeight="1" x14ac:dyDescent="0.25">
      <c r="A13610" s="734">
        <v>44888</v>
      </c>
      <c r="B13610" s="63" t="s">
        <v>8657</v>
      </c>
      <c r="C13610" s="76" t="s">
        <v>3145</v>
      </c>
      <c r="D13610" s="183" t="s">
        <v>4452</v>
      </c>
      <c r="E13610" s="704">
        <v>8710</v>
      </c>
      <c r="F13610" s="126"/>
      <c r="G13610" s="126">
        <f t="shared" si="218"/>
        <v>-8710</v>
      </c>
      <c r="H13610" s="705" t="s">
        <v>8593</v>
      </c>
    </row>
    <row r="13611" spans="1:8" s="682" customFormat="1" ht="15" customHeight="1" x14ac:dyDescent="0.25">
      <c r="A13611" s="734">
        <v>44888</v>
      </c>
      <c r="B13611" s="63" t="s">
        <v>16</v>
      </c>
      <c r="C13611" s="76" t="s">
        <v>103</v>
      </c>
      <c r="D13611" s="183" t="s">
        <v>8707</v>
      </c>
      <c r="E13611" s="704">
        <v>380</v>
      </c>
      <c r="F13611" s="126"/>
      <c r="G13611" s="126">
        <f t="shared" si="218"/>
        <v>-380</v>
      </c>
      <c r="H13611" s="705" t="s">
        <v>8593</v>
      </c>
    </row>
    <row r="13612" spans="1:8" s="682" customFormat="1" ht="15" customHeight="1" x14ac:dyDescent="0.25">
      <c r="A13612" s="734">
        <v>44888</v>
      </c>
      <c r="B13612" s="63" t="s">
        <v>7921</v>
      </c>
      <c r="C13612" s="76" t="s">
        <v>790</v>
      </c>
      <c r="D13612" s="183"/>
      <c r="E13612" s="704">
        <v>750</v>
      </c>
      <c r="F13612" s="126"/>
      <c r="G13612" s="126">
        <f t="shared" si="218"/>
        <v>-750</v>
      </c>
      <c r="H13612" s="705" t="s">
        <v>8593</v>
      </c>
    </row>
    <row r="13613" spans="1:8" s="682" customFormat="1" ht="15" customHeight="1" x14ac:dyDescent="0.25">
      <c r="A13613" s="734">
        <v>44888</v>
      </c>
      <c r="B13613" s="63" t="s">
        <v>8657</v>
      </c>
      <c r="C13613" s="76" t="s">
        <v>790</v>
      </c>
      <c r="D13613" s="183"/>
      <c r="E13613" s="704">
        <v>600</v>
      </c>
      <c r="F13613" s="126"/>
      <c r="G13613" s="126">
        <f t="shared" si="218"/>
        <v>-600</v>
      </c>
      <c r="H13613" s="705" t="s">
        <v>8593</v>
      </c>
    </row>
    <row r="13614" spans="1:8" s="682" customFormat="1" ht="15" customHeight="1" x14ac:dyDescent="0.25">
      <c r="A13614" s="734">
        <v>44888</v>
      </c>
      <c r="B13614" s="63" t="s">
        <v>8043</v>
      </c>
      <c r="C13614" s="76" t="s">
        <v>790</v>
      </c>
      <c r="D13614" s="183"/>
      <c r="E13614" s="704">
        <v>240</v>
      </c>
      <c r="F13614" s="126"/>
      <c r="G13614" s="126">
        <f t="shared" si="218"/>
        <v>-240</v>
      </c>
      <c r="H13614" s="705" t="s">
        <v>8593</v>
      </c>
    </row>
    <row r="13615" spans="1:8" s="682" customFormat="1" ht="15" customHeight="1" x14ac:dyDescent="0.25">
      <c r="A13615" s="734">
        <v>44888</v>
      </c>
      <c r="B13615" s="63" t="s">
        <v>8339</v>
      </c>
      <c r="C13615" s="76" t="s">
        <v>8708</v>
      </c>
      <c r="D13615" s="183" t="s">
        <v>7918</v>
      </c>
      <c r="E13615" s="704">
        <v>200000</v>
      </c>
      <c r="F13615" s="126"/>
      <c r="G13615" s="126">
        <f t="shared" si="218"/>
        <v>-200000</v>
      </c>
      <c r="H13615" s="705" t="s">
        <v>8593</v>
      </c>
    </row>
    <row r="13616" spans="1:8" s="682" customFormat="1" ht="15" customHeight="1" x14ac:dyDescent="0.25">
      <c r="A13616" s="734">
        <v>44888</v>
      </c>
      <c r="B13616" s="63" t="s">
        <v>8043</v>
      </c>
      <c r="C13616" s="76" t="s">
        <v>8251</v>
      </c>
      <c r="D13616" s="183" t="s">
        <v>8710</v>
      </c>
      <c r="E13616" s="704">
        <v>17500</v>
      </c>
      <c r="F13616" s="126"/>
      <c r="G13616" s="126">
        <f t="shared" si="218"/>
        <v>-17500</v>
      </c>
      <c r="H13616" s="705" t="s">
        <v>8593</v>
      </c>
    </row>
    <row r="13617" spans="1:8" s="682" customFormat="1" ht="15" customHeight="1" x14ac:dyDescent="0.25">
      <c r="A13617" s="734">
        <v>44888</v>
      </c>
      <c r="B13617" s="63" t="s">
        <v>8657</v>
      </c>
      <c r="C13617" s="76" t="s">
        <v>5741</v>
      </c>
      <c r="D13617" s="183"/>
      <c r="E13617" s="704">
        <v>1800</v>
      </c>
      <c r="F13617" s="126"/>
      <c r="G13617" s="126">
        <f t="shared" si="218"/>
        <v>-1800</v>
      </c>
      <c r="H13617" s="705" t="s">
        <v>8593</v>
      </c>
    </row>
    <row r="13618" spans="1:8" s="682" customFormat="1" ht="15" customHeight="1" x14ac:dyDescent="0.25">
      <c r="A13618" s="734">
        <v>44888</v>
      </c>
      <c r="B13618" s="63" t="s">
        <v>8657</v>
      </c>
      <c r="C13618" s="76" t="s">
        <v>8723</v>
      </c>
      <c r="D13618" s="183" t="s">
        <v>8724</v>
      </c>
      <c r="E13618" s="704">
        <v>30000</v>
      </c>
      <c r="F13618" s="126"/>
      <c r="G13618" s="126">
        <f t="shared" si="218"/>
        <v>-30000</v>
      </c>
      <c r="H13618" s="705" t="s">
        <v>8593</v>
      </c>
    </row>
    <row r="13619" spans="1:8" s="682" customFormat="1" ht="15" customHeight="1" x14ac:dyDescent="0.25">
      <c r="A13619" s="734">
        <v>44888</v>
      </c>
      <c r="B13619" s="63" t="s">
        <v>8657</v>
      </c>
      <c r="C13619" s="76" t="s">
        <v>3145</v>
      </c>
      <c r="D13619" s="183" t="s">
        <v>900</v>
      </c>
      <c r="E13619" s="704">
        <v>1350</v>
      </c>
      <c r="F13619" s="126"/>
      <c r="G13619" s="126">
        <f t="shared" si="218"/>
        <v>-1350</v>
      </c>
      <c r="H13619" s="705" t="s">
        <v>8593</v>
      </c>
    </row>
    <row r="13620" spans="1:8" s="682" customFormat="1" ht="15" customHeight="1" x14ac:dyDescent="0.25">
      <c r="A13620" s="734">
        <v>44889</v>
      </c>
      <c r="B13620" s="63" t="s">
        <v>8532</v>
      </c>
      <c r="C13620" s="76" t="s">
        <v>3145</v>
      </c>
      <c r="D13620" s="183" t="s">
        <v>8727</v>
      </c>
      <c r="E13620" s="704">
        <v>10250</v>
      </c>
      <c r="F13620" s="126"/>
      <c r="G13620" s="126">
        <f t="shared" si="218"/>
        <v>-10250</v>
      </c>
      <c r="H13620" s="705" t="s">
        <v>8593</v>
      </c>
    </row>
    <row r="13621" spans="1:8" s="682" customFormat="1" ht="15" customHeight="1" x14ac:dyDescent="0.25">
      <c r="A13621" s="734">
        <v>44889</v>
      </c>
      <c r="B13621" s="63" t="s">
        <v>16</v>
      </c>
      <c r="C13621" s="76" t="s">
        <v>103</v>
      </c>
      <c r="D13621" s="183" t="s">
        <v>8712</v>
      </c>
      <c r="E13621" s="704">
        <v>4330</v>
      </c>
      <c r="F13621" s="126"/>
      <c r="G13621" s="126">
        <f t="shared" si="218"/>
        <v>-4330</v>
      </c>
      <c r="H13621" s="705" t="s">
        <v>8593</v>
      </c>
    </row>
    <row r="13622" spans="1:8" s="682" customFormat="1" ht="15" customHeight="1" x14ac:dyDescent="0.25">
      <c r="A13622" s="734">
        <v>44889</v>
      </c>
      <c r="B13622" s="63" t="s">
        <v>8339</v>
      </c>
      <c r="C13622" s="76" t="s">
        <v>103</v>
      </c>
      <c r="D13622" s="183" t="s">
        <v>8713</v>
      </c>
      <c r="E13622" s="704">
        <v>1000</v>
      </c>
      <c r="F13622" s="126"/>
      <c r="G13622" s="126">
        <f t="shared" si="218"/>
        <v>-1000</v>
      </c>
      <c r="H13622" s="705" t="s">
        <v>8593</v>
      </c>
    </row>
    <row r="13623" spans="1:8" s="682" customFormat="1" ht="15" customHeight="1" x14ac:dyDescent="0.25">
      <c r="A13623" s="734">
        <v>44889</v>
      </c>
      <c r="B13623" s="63" t="s">
        <v>8043</v>
      </c>
      <c r="C13623" s="76" t="s">
        <v>103</v>
      </c>
      <c r="D13623" s="183" t="s">
        <v>8713</v>
      </c>
      <c r="E13623" s="704">
        <v>1000</v>
      </c>
      <c r="F13623" s="126"/>
      <c r="G13623" s="126">
        <f t="shared" si="218"/>
        <v>-1000</v>
      </c>
      <c r="H13623" s="705" t="s">
        <v>8593</v>
      </c>
    </row>
    <row r="13624" spans="1:8" s="682" customFormat="1" ht="15" customHeight="1" x14ac:dyDescent="0.25">
      <c r="A13624" s="734">
        <v>44889</v>
      </c>
      <c r="B13624" s="63" t="s">
        <v>8043</v>
      </c>
      <c r="C13624" s="76" t="s">
        <v>286</v>
      </c>
      <c r="D13624" s="183" t="s">
        <v>7978</v>
      </c>
      <c r="E13624" s="704">
        <v>580</v>
      </c>
      <c r="F13624" s="126"/>
      <c r="G13624" s="126">
        <f t="shared" si="218"/>
        <v>-580</v>
      </c>
      <c r="H13624" s="705" t="s">
        <v>8593</v>
      </c>
    </row>
    <row r="13625" spans="1:8" s="682" customFormat="1" ht="15" customHeight="1" x14ac:dyDescent="0.25">
      <c r="A13625" s="734">
        <v>44889</v>
      </c>
      <c r="B13625" s="63" t="s">
        <v>8657</v>
      </c>
      <c r="C13625" s="76" t="s">
        <v>3145</v>
      </c>
      <c r="D13625" s="183" t="s">
        <v>6510</v>
      </c>
      <c r="E13625" s="704">
        <v>13405</v>
      </c>
      <c r="F13625" s="126"/>
      <c r="G13625" s="126">
        <f t="shared" si="218"/>
        <v>-13405</v>
      </c>
      <c r="H13625" s="705" t="s">
        <v>8593</v>
      </c>
    </row>
    <row r="13626" spans="1:8" s="682" customFormat="1" ht="15" customHeight="1" x14ac:dyDescent="0.25">
      <c r="A13626" s="734">
        <v>44889</v>
      </c>
      <c r="B13626" s="63" t="s">
        <v>8657</v>
      </c>
      <c r="C13626" s="76" t="s">
        <v>3145</v>
      </c>
      <c r="D13626" s="183" t="s">
        <v>8728</v>
      </c>
      <c r="E13626" s="704">
        <v>3700</v>
      </c>
      <c r="F13626" s="126"/>
      <c r="G13626" s="126">
        <f t="shared" si="218"/>
        <v>-3700</v>
      </c>
      <c r="H13626" s="705" t="s">
        <v>8593</v>
      </c>
    </row>
    <row r="13627" spans="1:8" s="682" customFormat="1" ht="15" customHeight="1" x14ac:dyDescent="0.25">
      <c r="A13627" s="734">
        <v>44889</v>
      </c>
      <c r="B13627" s="63" t="s">
        <v>8532</v>
      </c>
      <c r="C13627" s="76" t="s">
        <v>392</v>
      </c>
      <c r="D13627" s="183" t="s">
        <v>8729</v>
      </c>
      <c r="E13627" s="704">
        <v>500</v>
      </c>
      <c r="F13627" s="126"/>
      <c r="G13627" s="126">
        <f t="shared" si="218"/>
        <v>-500</v>
      </c>
      <c r="H13627" s="705" t="s">
        <v>8593</v>
      </c>
    </row>
    <row r="13628" spans="1:8" s="682" customFormat="1" ht="15" customHeight="1" x14ac:dyDescent="0.25">
      <c r="A13628" s="734">
        <v>44889</v>
      </c>
      <c r="B13628" s="63" t="s">
        <v>8043</v>
      </c>
      <c r="C13628" s="76" t="s">
        <v>7927</v>
      </c>
      <c r="D13628" s="183" t="s">
        <v>8730</v>
      </c>
      <c r="E13628" s="704">
        <v>24000</v>
      </c>
      <c r="F13628" s="126"/>
      <c r="G13628" s="126">
        <f t="shared" si="218"/>
        <v>-24000</v>
      </c>
      <c r="H13628" s="705" t="s">
        <v>8593</v>
      </c>
    </row>
    <row r="13629" spans="1:8" s="682" customFormat="1" ht="15" customHeight="1" x14ac:dyDescent="0.25">
      <c r="A13629" s="734">
        <v>44890</v>
      </c>
      <c r="B13629" s="63" t="s">
        <v>8532</v>
      </c>
      <c r="C13629" s="76" t="s">
        <v>8564</v>
      </c>
      <c r="D13629" s="183" t="s">
        <v>8749</v>
      </c>
      <c r="E13629" s="704">
        <v>10000</v>
      </c>
      <c r="F13629" s="126"/>
      <c r="G13629" s="126">
        <f t="shared" si="218"/>
        <v>-10000</v>
      </c>
      <c r="H13629" s="705" t="s">
        <v>8593</v>
      </c>
    </row>
    <row r="13630" spans="1:8" s="682" customFormat="1" ht="15" customHeight="1" x14ac:dyDescent="0.25">
      <c r="A13630" s="734">
        <v>44890</v>
      </c>
      <c r="B13630" s="63" t="s">
        <v>16</v>
      </c>
      <c r="C13630" s="76" t="s">
        <v>103</v>
      </c>
      <c r="D13630" s="183" t="s">
        <v>8712</v>
      </c>
      <c r="E13630" s="704">
        <v>2105</v>
      </c>
      <c r="F13630" s="126"/>
      <c r="G13630" s="126">
        <f t="shared" si="218"/>
        <v>-2105</v>
      </c>
      <c r="H13630" s="705" t="s">
        <v>8593</v>
      </c>
    </row>
    <row r="13631" spans="1:8" s="682" customFormat="1" ht="15" customHeight="1" x14ac:dyDescent="0.25">
      <c r="A13631" s="734">
        <v>44890</v>
      </c>
      <c r="B13631" s="63" t="s">
        <v>8339</v>
      </c>
      <c r="C13631" s="76" t="s">
        <v>103</v>
      </c>
      <c r="D13631" s="183" t="s">
        <v>8713</v>
      </c>
      <c r="E13631" s="704">
        <v>1000</v>
      </c>
      <c r="F13631" s="126"/>
      <c r="G13631" s="126">
        <f t="shared" si="218"/>
        <v>-1000</v>
      </c>
      <c r="H13631" s="705" t="s">
        <v>8593</v>
      </c>
    </row>
    <row r="13632" spans="1:8" s="682" customFormat="1" ht="15" customHeight="1" x14ac:dyDescent="0.25">
      <c r="A13632" s="734">
        <v>44890</v>
      </c>
      <c r="B13632" s="63" t="s">
        <v>8043</v>
      </c>
      <c r="C13632" s="76" t="s">
        <v>103</v>
      </c>
      <c r="D13632" s="183" t="s">
        <v>8713</v>
      </c>
      <c r="E13632" s="704">
        <v>1000</v>
      </c>
      <c r="F13632" s="126"/>
      <c r="G13632" s="126">
        <f t="shared" si="218"/>
        <v>-1000</v>
      </c>
      <c r="H13632" s="705" t="s">
        <v>8593</v>
      </c>
    </row>
    <row r="13633" spans="1:8" s="682" customFormat="1" ht="15" customHeight="1" x14ac:dyDescent="0.25">
      <c r="A13633" s="734">
        <v>44890</v>
      </c>
      <c r="B13633" s="63" t="s">
        <v>8339</v>
      </c>
      <c r="C13633" s="76" t="s">
        <v>3145</v>
      </c>
      <c r="D13633" s="183" t="s">
        <v>7376</v>
      </c>
      <c r="E13633" s="704">
        <v>3915</v>
      </c>
      <c r="F13633" s="126"/>
      <c r="G13633" s="126">
        <f t="shared" si="218"/>
        <v>-3915</v>
      </c>
      <c r="H13633" s="705" t="s">
        <v>8593</v>
      </c>
    </row>
    <row r="13634" spans="1:8" s="682" customFormat="1" ht="15" customHeight="1" x14ac:dyDescent="0.25">
      <c r="A13634" s="734">
        <v>44890</v>
      </c>
      <c r="B13634" s="63" t="s">
        <v>25</v>
      </c>
      <c r="C13634" s="76" t="s">
        <v>1005</v>
      </c>
      <c r="D13634" s="183" t="s">
        <v>370</v>
      </c>
      <c r="E13634" s="704">
        <v>650</v>
      </c>
      <c r="F13634" s="126"/>
      <c r="G13634" s="126">
        <f t="shared" si="218"/>
        <v>-650</v>
      </c>
      <c r="H13634" s="705" t="s">
        <v>8593</v>
      </c>
    </row>
    <row r="13635" spans="1:8" s="682" customFormat="1" ht="15" customHeight="1" x14ac:dyDescent="0.25">
      <c r="A13635" s="734">
        <v>44890</v>
      </c>
      <c r="B13635" s="63" t="s">
        <v>8657</v>
      </c>
      <c r="C13635" s="76" t="s">
        <v>8750</v>
      </c>
      <c r="D13635" s="183" t="s">
        <v>8751</v>
      </c>
      <c r="E13635" s="704">
        <v>12000</v>
      </c>
      <c r="F13635" s="126"/>
      <c r="G13635" s="126">
        <f t="shared" si="218"/>
        <v>-12000</v>
      </c>
      <c r="H13635" s="705" t="s">
        <v>8593</v>
      </c>
    </row>
    <row r="13636" spans="1:8" s="682" customFormat="1" ht="15" customHeight="1" x14ac:dyDescent="0.25">
      <c r="A13636" s="734">
        <v>44890</v>
      </c>
      <c r="B13636" s="63" t="s">
        <v>16</v>
      </c>
      <c r="C13636" s="76" t="s">
        <v>2996</v>
      </c>
      <c r="D13636" s="183"/>
      <c r="E13636" s="704">
        <v>4700</v>
      </c>
      <c r="F13636" s="126"/>
      <c r="G13636" s="126">
        <f t="shared" si="218"/>
        <v>-4700</v>
      </c>
      <c r="H13636" s="705" t="s">
        <v>8593</v>
      </c>
    </row>
    <row r="13637" spans="1:8" s="682" customFormat="1" ht="24" customHeight="1" x14ac:dyDescent="0.25">
      <c r="A13637" s="734">
        <v>44890</v>
      </c>
      <c r="B13637" s="63" t="s">
        <v>7921</v>
      </c>
      <c r="C13637" s="550" t="s">
        <v>8394</v>
      </c>
      <c r="D13637" s="740" t="s">
        <v>8688</v>
      </c>
      <c r="E13637" s="706">
        <v>51219</v>
      </c>
      <c r="F13637" s="126"/>
      <c r="G13637" s="126">
        <f t="shared" ref="G13637:G13665" si="219">F13637-E13637</f>
        <v>-51219</v>
      </c>
      <c r="H13637" s="705" t="s">
        <v>8593</v>
      </c>
    </row>
    <row r="13638" spans="1:8" s="682" customFormat="1" ht="24" customHeight="1" x14ac:dyDescent="0.25">
      <c r="A13638" s="734">
        <v>44890</v>
      </c>
      <c r="B13638" s="63" t="s">
        <v>8043</v>
      </c>
      <c r="C13638" s="550" t="s">
        <v>8394</v>
      </c>
      <c r="D13638" s="740" t="s">
        <v>8688</v>
      </c>
      <c r="E13638" s="706">
        <v>50117</v>
      </c>
      <c r="F13638" s="126"/>
      <c r="G13638" s="126">
        <f t="shared" si="219"/>
        <v>-50117</v>
      </c>
      <c r="H13638" s="705" t="s">
        <v>8593</v>
      </c>
    </row>
    <row r="13639" spans="1:8" s="682" customFormat="1" ht="24" customHeight="1" x14ac:dyDescent="0.25">
      <c r="A13639" s="734">
        <v>44890</v>
      </c>
      <c r="B13639" s="63" t="s">
        <v>8077</v>
      </c>
      <c r="C13639" s="550" t="s">
        <v>8394</v>
      </c>
      <c r="D13639" s="740" t="s">
        <v>8688</v>
      </c>
      <c r="E13639" s="706">
        <v>13496</v>
      </c>
      <c r="F13639" s="126"/>
      <c r="G13639" s="126">
        <f t="shared" si="219"/>
        <v>-13496</v>
      </c>
      <c r="H13639" s="705" t="s">
        <v>8593</v>
      </c>
    </row>
    <row r="13640" spans="1:8" s="682" customFormat="1" ht="24" customHeight="1" x14ac:dyDescent="0.25">
      <c r="A13640" s="734">
        <v>44890</v>
      </c>
      <c r="B13640" s="63" t="s">
        <v>8559</v>
      </c>
      <c r="C13640" s="550" t="s">
        <v>8394</v>
      </c>
      <c r="D13640" s="740" t="s">
        <v>8688</v>
      </c>
      <c r="E13640" s="706">
        <v>115599</v>
      </c>
      <c r="F13640" s="126"/>
      <c r="G13640" s="126">
        <f t="shared" si="219"/>
        <v>-115599</v>
      </c>
      <c r="H13640" s="705" t="s">
        <v>8593</v>
      </c>
    </row>
    <row r="13641" spans="1:8" s="682" customFormat="1" ht="24" customHeight="1" x14ac:dyDescent="0.25">
      <c r="A13641" s="734">
        <v>44890</v>
      </c>
      <c r="B13641" s="63" t="s">
        <v>8532</v>
      </c>
      <c r="C13641" s="550" t="s">
        <v>8394</v>
      </c>
      <c r="D13641" s="740" t="s">
        <v>8688</v>
      </c>
      <c r="E13641" s="706">
        <v>72562</v>
      </c>
      <c r="F13641" s="126"/>
      <c r="G13641" s="126">
        <f t="shared" si="219"/>
        <v>-72562</v>
      </c>
      <c r="H13641" s="705" t="s">
        <v>8593</v>
      </c>
    </row>
    <row r="13642" spans="1:8" s="682" customFormat="1" ht="24" customHeight="1" x14ac:dyDescent="0.25">
      <c r="A13642" s="734">
        <v>44890</v>
      </c>
      <c r="B13642" s="63" t="s">
        <v>8657</v>
      </c>
      <c r="C13642" s="550" t="s">
        <v>8394</v>
      </c>
      <c r="D13642" s="740" t="s">
        <v>8688</v>
      </c>
      <c r="E13642" s="706">
        <v>197007</v>
      </c>
      <c r="F13642" s="126"/>
      <c r="G13642" s="126">
        <f t="shared" si="219"/>
        <v>-197007</v>
      </c>
      <c r="H13642" s="705" t="s">
        <v>8593</v>
      </c>
    </row>
    <row r="13643" spans="1:8" s="682" customFormat="1" ht="15" customHeight="1" x14ac:dyDescent="0.25">
      <c r="A13643" s="734">
        <v>44890</v>
      </c>
      <c r="B13643" s="63" t="s">
        <v>8043</v>
      </c>
      <c r="C13643" s="76" t="s">
        <v>4876</v>
      </c>
      <c r="D13643" s="183" t="s">
        <v>8249</v>
      </c>
      <c r="E13643" s="704">
        <v>2000</v>
      </c>
      <c r="F13643" s="126"/>
      <c r="G13643" s="126">
        <f t="shared" si="219"/>
        <v>-2000</v>
      </c>
      <c r="H13643" s="705" t="s">
        <v>8593</v>
      </c>
    </row>
    <row r="13644" spans="1:8" s="682" customFormat="1" ht="15" customHeight="1" x14ac:dyDescent="0.25">
      <c r="A13644" s="734">
        <v>44891</v>
      </c>
      <c r="B13644" s="63" t="s">
        <v>8339</v>
      </c>
      <c r="C13644" s="76" t="s">
        <v>8502</v>
      </c>
      <c r="D13644" s="183" t="s">
        <v>8752</v>
      </c>
      <c r="E13644" s="704">
        <v>20000</v>
      </c>
      <c r="F13644" s="126"/>
      <c r="G13644" s="126">
        <f t="shared" si="219"/>
        <v>-20000</v>
      </c>
      <c r="H13644" s="705" t="s">
        <v>8593</v>
      </c>
    </row>
    <row r="13645" spans="1:8" s="682" customFormat="1" ht="15" customHeight="1" x14ac:dyDescent="0.25">
      <c r="A13645" s="734">
        <v>44891</v>
      </c>
      <c r="B13645" s="63" t="s">
        <v>16</v>
      </c>
      <c r="C13645" s="76" t="s">
        <v>1495</v>
      </c>
      <c r="D13645" s="183" t="s">
        <v>1157</v>
      </c>
      <c r="E13645" s="704">
        <v>1500</v>
      </c>
      <c r="F13645" s="126"/>
      <c r="G13645" s="126">
        <f t="shared" si="219"/>
        <v>-1500</v>
      </c>
      <c r="H13645" s="705" t="s">
        <v>8593</v>
      </c>
    </row>
    <row r="13646" spans="1:8" s="682" customFormat="1" ht="15" customHeight="1" x14ac:dyDescent="0.25">
      <c r="A13646" s="734">
        <v>44891</v>
      </c>
      <c r="B13646" s="63" t="s">
        <v>8657</v>
      </c>
      <c r="C13646" s="76" t="s">
        <v>8087</v>
      </c>
      <c r="D13646" s="183" t="s">
        <v>8507</v>
      </c>
      <c r="E13646" s="704">
        <v>24000</v>
      </c>
      <c r="F13646" s="126"/>
      <c r="G13646" s="126">
        <f t="shared" si="219"/>
        <v>-24000</v>
      </c>
      <c r="H13646" s="705" t="s">
        <v>8593</v>
      </c>
    </row>
    <row r="13647" spans="1:8" s="682" customFormat="1" ht="15" customHeight="1" x14ac:dyDescent="0.25">
      <c r="A13647" s="734">
        <v>44893</v>
      </c>
      <c r="B13647" s="63" t="s">
        <v>8339</v>
      </c>
      <c r="C13647" s="76" t="s">
        <v>5741</v>
      </c>
      <c r="D13647" s="183" t="s">
        <v>8756</v>
      </c>
      <c r="E13647" s="704">
        <v>2500</v>
      </c>
      <c r="F13647" s="126"/>
      <c r="G13647" s="126">
        <f t="shared" si="219"/>
        <v>-2500</v>
      </c>
      <c r="H13647" s="705" t="s">
        <v>8593</v>
      </c>
    </row>
    <row r="13648" spans="1:8" s="682" customFormat="1" ht="15" customHeight="1" x14ac:dyDescent="0.25">
      <c r="A13648" s="734">
        <v>44893</v>
      </c>
      <c r="B13648" s="63" t="s">
        <v>8339</v>
      </c>
      <c r="C13648" s="76" t="s">
        <v>286</v>
      </c>
      <c r="D13648" s="183" t="s">
        <v>8755</v>
      </c>
      <c r="E13648" s="704">
        <v>500</v>
      </c>
      <c r="F13648" s="126"/>
      <c r="G13648" s="126">
        <f t="shared" si="219"/>
        <v>-500</v>
      </c>
      <c r="H13648" s="705" t="s">
        <v>8593</v>
      </c>
    </row>
    <row r="13649" spans="1:8" s="682" customFormat="1" ht="15" customHeight="1" x14ac:dyDescent="0.25">
      <c r="A13649" s="734">
        <v>44894</v>
      </c>
      <c r="B13649" s="63" t="s">
        <v>6505</v>
      </c>
      <c r="C13649" s="76" t="s">
        <v>392</v>
      </c>
      <c r="D13649" s="183" t="s">
        <v>8753</v>
      </c>
      <c r="E13649" s="704">
        <v>2850</v>
      </c>
      <c r="F13649" s="126"/>
      <c r="G13649" s="126">
        <f t="shared" si="219"/>
        <v>-2850</v>
      </c>
      <c r="H13649" s="705" t="s">
        <v>8593</v>
      </c>
    </row>
    <row r="13650" spans="1:8" s="682" customFormat="1" ht="15" customHeight="1" x14ac:dyDescent="0.25">
      <c r="A13650" s="734">
        <v>44894</v>
      </c>
      <c r="B13650" s="63" t="s">
        <v>8532</v>
      </c>
      <c r="C13650" s="76" t="s">
        <v>2666</v>
      </c>
      <c r="D13650" s="183" t="s">
        <v>8754</v>
      </c>
      <c r="E13650" s="704">
        <v>20000</v>
      </c>
      <c r="F13650" s="126"/>
      <c r="G13650" s="126">
        <f t="shared" si="219"/>
        <v>-20000</v>
      </c>
      <c r="H13650" s="705" t="s">
        <v>8593</v>
      </c>
    </row>
    <row r="13651" spans="1:8" s="682" customFormat="1" ht="15" customHeight="1" x14ac:dyDescent="0.25">
      <c r="A13651" s="734">
        <v>44894</v>
      </c>
      <c r="B13651" s="63" t="s">
        <v>8339</v>
      </c>
      <c r="C13651" s="76" t="s">
        <v>3145</v>
      </c>
      <c r="D13651" s="183" t="s">
        <v>6942</v>
      </c>
      <c r="E13651" s="704">
        <v>10000</v>
      </c>
      <c r="F13651" s="126"/>
      <c r="G13651" s="126">
        <f t="shared" si="219"/>
        <v>-10000</v>
      </c>
      <c r="H13651" s="705" t="s">
        <v>8593</v>
      </c>
    </row>
    <row r="13652" spans="1:8" s="682" customFormat="1" ht="15" customHeight="1" x14ac:dyDescent="0.25">
      <c r="A13652" s="734">
        <v>44894</v>
      </c>
      <c r="B13652" s="63" t="s">
        <v>8043</v>
      </c>
      <c r="C13652" s="76" t="s">
        <v>3145</v>
      </c>
      <c r="D13652" s="183" t="s">
        <v>6951</v>
      </c>
      <c r="E13652" s="704">
        <v>4630</v>
      </c>
      <c r="F13652" s="126"/>
      <c r="G13652" s="126">
        <f t="shared" si="219"/>
        <v>-4630</v>
      </c>
      <c r="H13652" s="705" t="s">
        <v>8593</v>
      </c>
    </row>
    <row r="13653" spans="1:8" s="682" customFormat="1" ht="15" customHeight="1" x14ac:dyDescent="0.25">
      <c r="A13653" s="734">
        <v>44894</v>
      </c>
      <c r="B13653" s="63" t="s">
        <v>8339</v>
      </c>
      <c r="C13653" s="76" t="s">
        <v>3145</v>
      </c>
      <c r="D13653" s="183" t="s">
        <v>6951</v>
      </c>
      <c r="E13653" s="704">
        <v>4505</v>
      </c>
      <c r="F13653" s="126"/>
      <c r="G13653" s="126">
        <f t="shared" si="219"/>
        <v>-4505</v>
      </c>
      <c r="H13653" s="705" t="s">
        <v>8593</v>
      </c>
    </row>
    <row r="13654" spans="1:8" s="682" customFormat="1" ht="15" customHeight="1" x14ac:dyDescent="0.25">
      <c r="A13654" s="734">
        <v>44895</v>
      </c>
      <c r="B13654" s="63" t="s">
        <v>16</v>
      </c>
      <c r="C13654" s="76" t="s">
        <v>103</v>
      </c>
      <c r="D13654" s="183" t="s">
        <v>8712</v>
      </c>
      <c r="E13654" s="704">
        <v>1590</v>
      </c>
      <c r="F13654" s="126"/>
      <c r="G13654" s="126">
        <f t="shared" si="219"/>
        <v>-1590</v>
      </c>
      <c r="H13654" s="705" t="s">
        <v>8593</v>
      </c>
    </row>
    <row r="13655" spans="1:8" s="682" customFormat="1" ht="15" customHeight="1" x14ac:dyDescent="0.25">
      <c r="A13655" s="734">
        <v>44895</v>
      </c>
      <c r="B13655" s="63" t="s">
        <v>8339</v>
      </c>
      <c r="C13655" s="76" t="s">
        <v>103</v>
      </c>
      <c r="D13655" s="183" t="s">
        <v>8713</v>
      </c>
      <c r="E13655" s="704">
        <v>1000</v>
      </c>
      <c r="F13655" s="126"/>
      <c r="G13655" s="126">
        <f t="shared" si="219"/>
        <v>-1000</v>
      </c>
      <c r="H13655" s="705" t="s">
        <v>8593</v>
      </c>
    </row>
    <row r="13656" spans="1:8" s="682" customFormat="1" ht="15" customHeight="1" x14ac:dyDescent="0.25">
      <c r="A13656" s="734">
        <v>44895</v>
      </c>
      <c r="B13656" s="63" t="s">
        <v>8043</v>
      </c>
      <c r="C13656" s="76" t="s">
        <v>103</v>
      </c>
      <c r="D13656" s="183" t="s">
        <v>8713</v>
      </c>
      <c r="E13656" s="704">
        <v>1000</v>
      </c>
      <c r="F13656" s="126"/>
      <c r="G13656" s="126">
        <f t="shared" si="219"/>
        <v>-1000</v>
      </c>
      <c r="H13656" s="705" t="s">
        <v>8593</v>
      </c>
    </row>
    <row r="13657" spans="1:8" s="682" customFormat="1" ht="15" customHeight="1" x14ac:dyDescent="0.25">
      <c r="A13657" s="734">
        <v>44895</v>
      </c>
      <c r="B13657" s="63" t="s">
        <v>8657</v>
      </c>
      <c r="C13657" s="76" t="s">
        <v>3145</v>
      </c>
      <c r="D13657" s="183" t="s">
        <v>6486</v>
      </c>
      <c r="E13657" s="704">
        <v>2170</v>
      </c>
      <c r="F13657" s="126"/>
      <c r="G13657" s="126">
        <f t="shared" si="219"/>
        <v>-2170</v>
      </c>
      <c r="H13657" s="705" t="s">
        <v>8593</v>
      </c>
    </row>
    <row r="13658" spans="1:8" s="682" customFormat="1" ht="15" customHeight="1" x14ac:dyDescent="0.25">
      <c r="A13658" s="734">
        <v>44895</v>
      </c>
      <c r="B13658" s="63" t="s">
        <v>8043</v>
      </c>
      <c r="C13658" s="76" t="s">
        <v>4876</v>
      </c>
      <c r="D13658" s="183" t="s">
        <v>8757</v>
      </c>
      <c r="E13658" s="704">
        <v>10000</v>
      </c>
      <c r="F13658" s="126"/>
      <c r="G13658" s="126">
        <f t="shared" si="219"/>
        <v>-10000</v>
      </c>
      <c r="H13658" s="705" t="s">
        <v>8593</v>
      </c>
    </row>
    <row r="13659" spans="1:8" s="682" customFormat="1" ht="15" customHeight="1" x14ac:dyDescent="0.25">
      <c r="A13659" s="734">
        <v>44895</v>
      </c>
      <c r="B13659" s="63" t="s">
        <v>8339</v>
      </c>
      <c r="C13659" s="76" t="s">
        <v>392</v>
      </c>
      <c r="D13659" s="183" t="s">
        <v>8758</v>
      </c>
      <c r="E13659" s="704">
        <v>5410</v>
      </c>
      <c r="F13659" s="126"/>
      <c r="G13659" s="126">
        <f t="shared" si="219"/>
        <v>-5410</v>
      </c>
      <c r="H13659" s="705" t="s">
        <v>8593</v>
      </c>
    </row>
    <row r="13660" spans="1:8" s="682" customFormat="1" ht="15" customHeight="1" x14ac:dyDescent="0.25">
      <c r="A13660" s="734">
        <v>44895</v>
      </c>
      <c r="B13660" s="63" t="s">
        <v>8657</v>
      </c>
      <c r="C13660" s="550" t="s">
        <v>318</v>
      </c>
      <c r="D13660" s="740" t="s">
        <v>8759</v>
      </c>
      <c r="E13660" s="706">
        <v>65000</v>
      </c>
      <c r="F13660" s="126"/>
      <c r="G13660" s="126">
        <f t="shared" si="219"/>
        <v>-65000</v>
      </c>
      <c r="H13660" s="705" t="s">
        <v>8593</v>
      </c>
    </row>
    <row r="13661" spans="1:8" s="682" customFormat="1" ht="15" customHeight="1" x14ac:dyDescent="0.25">
      <c r="A13661" s="734">
        <v>44895</v>
      </c>
      <c r="B13661" s="63" t="s">
        <v>8339</v>
      </c>
      <c r="C13661" s="550" t="s">
        <v>318</v>
      </c>
      <c r="D13661" s="740" t="s">
        <v>8759</v>
      </c>
      <c r="E13661" s="706">
        <v>65000</v>
      </c>
      <c r="F13661" s="126"/>
      <c r="G13661" s="126">
        <f t="shared" si="219"/>
        <v>-65000</v>
      </c>
      <c r="H13661" s="705" t="s">
        <v>8593</v>
      </c>
    </row>
    <row r="13662" spans="1:8" s="682" customFormat="1" ht="15" customHeight="1" x14ac:dyDescent="0.25">
      <c r="A13662" s="734">
        <v>44895</v>
      </c>
      <c r="B13662" s="63" t="s">
        <v>8043</v>
      </c>
      <c r="C13662" s="550" t="s">
        <v>318</v>
      </c>
      <c r="D13662" s="740" t="s">
        <v>8759</v>
      </c>
      <c r="E13662" s="706">
        <v>45000</v>
      </c>
      <c r="F13662" s="126"/>
      <c r="G13662" s="126">
        <f t="shared" si="219"/>
        <v>-45000</v>
      </c>
      <c r="H13662" s="705" t="s">
        <v>8593</v>
      </c>
    </row>
    <row r="13663" spans="1:8" s="682" customFormat="1" ht="15" customHeight="1" x14ac:dyDescent="0.25">
      <c r="A13663" s="734">
        <v>44895</v>
      </c>
      <c r="B13663" s="63" t="s">
        <v>7953</v>
      </c>
      <c r="C13663" s="76" t="s">
        <v>8760</v>
      </c>
      <c r="D13663" s="183" t="s">
        <v>8761</v>
      </c>
      <c r="E13663" s="704">
        <v>100000</v>
      </c>
      <c r="F13663" s="126"/>
      <c r="G13663" s="126">
        <f t="shared" si="219"/>
        <v>-100000</v>
      </c>
      <c r="H13663" s="705" t="s">
        <v>8593</v>
      </c>
    </row>
    <row r="13664" spans="1:8" s="682" customFormat="1" ht="15" customHeight="1" x14ac:dyDescent="0.25">
      <c r="A13664" s="734">
        <v>44895</v>
      </c>
      <c r="B13664" s="63" t="s">
        <v>8657</v>
      </c>
      <c r="C13664" s="76" t="s">
        <v>7477</v>
      </c>
      <c r="D13664" s="183" t="s">
        <v>8762</v>
      </c>
      <c r="E13664" s="704">
        <v>20000</v>
      </c>
      <c r="F13664" s="126"/>
      <c r="G13664" s="126">
        <f t="shared" si="219"/>
        <v>-20000</v>
      </c>
      <c r="H13664" s="705" t="s">
        <v>8593</v>
      </c>
    </row>
    <row r="13665" spans="1:8" s="682" customFormat="1" ht="15" customHeight="1" x14ac:dyDescent="0.25">
      <c r="A13665" s="734">
        <v>44895</v>
      </c>
      <c r="B13665" s="63" t="s">
        <v>8657</v>
      </c>
      <c r="C13665" s="76" t="s">
        <v>8763</v>
      </c>
      <c r="D13665" s="183" t="s">
        <v>8764</v>
      </c>
      <c r="E13665" s="704">
        <v>117000</v>
      </c>
      <c r="F13665" s="126"/>
      <c r="G13665" s="126">
        <f t="shared" si="219"/>
        <v>-117000</v>
      </c>
      <c r="H13665" s="705" t="s">
        <v>8593</v>
      </c>
    </row>
    <row r="13666" spans="1:8" s="682" customFormat="1" ht="15" customHeight="1" x14ac:dyDescent="0.25">
      <c r="A13666" s="734">
        <v>44895</v>
      </c>
      <c r="B13666" s="63" t="s">
        <v>7921</v>
      </c>
      <c r="C13666" s="76" t="s">
        <v>2503</v>
      </c>
      <c r="D13666" s="183" t="s">
        <v>7097</v>
      </c>
      <c r="E13666" s="704">
        <v>25000</v>
      </c>
      <c r="F13666" s="126"/>
      <c r="G13666" s="126">
        <v>-25000</v>
      </c>
      <c r="H13666" s="705" t="s">
        <v>8593</v>
      </c>
    </row>
    <row r="13667" spans="1:8" s="682" customFormat="1" ht="15" customHeight="1" x14ac:dyDescent="0.25">
      <c r="A13667" s="734">
        <v>44895</v>
      </c>
      <c r="B13667" s="63" t="s">
        <v>8339</v>
      </c>
      <c r="C13667" s="76" t="s">
        <v>2503</v>
      </c>
      <c r="D13667" s="183" t="s">
        <v>7097</v>
      </c>
      <c r="E13667" s="704">
        <v>25000</v>
      </c>
      <c r="F13667" s="126"/>
      <c r="G13667" s="126">
        <v>-25000</v>
      </c>
      <c r="H13667" s="705" t="s">
        <v>8593</v>
      </c>
    </row>
    <row r="13668" spans="1:8" s="682" customFormat="1" ht="15" customHeight="1" x14ac:dyDescent="0.25">
      <c r="A13668" s="734">
        <v>44895</v>
      </c>
      <c r="B13668" s="63" t="s">
        <v>8339</v>
      </c>
      <c r="C13668" s="76" t="s">
        <v>2503</v>
      </c>
      <c r="D13668" s="183" t="s">
        <v>141</v>
      </c>
      <c r="E13668" s="704">
        <v>25000</v>
      </c>
      <c r="F13668" s="126"/>
      <c r="G13668" s="126">
        <v>-25000</v>
      </c>
      <c r="H13668" s="705" t="s">
        <v>8593</v>
      </c>
    </row>
    <row r="13669" spans="1:8" s="682" customFormat="1" ht="15" customHeight="1" x14ac:dyDescent="0.25">
      <c r="A13669" s="734">
        <v>44895</v>
      </c>
      <c r="B13669" s="63" t="s">
        <v>8043</v>
      </c>
      <c r="C13669" s="76" t="s">
        <v>2503</v>
      </c>
      <c r="D13669" s="183" t="s">
        <v>141</v>
      </c>
      <c r="E13669" s="704">
        <v>25000</v>
      </c>
      <c r="F13669" s="126"/>
      <c r="G13669" s="126">
        <v>-25000</v>
      </c>
      <c r="H13669" s="705" t="s">
        <v>8593</v>
      </c>
    </row>
    <row r="13670" spans="1:8" s="682" customFormat="1" ht="15" customHeight="1" x14ac:dyDescent="0.25">
      <c r="A13670" s="734">
        <v>44895</v>
      </c>
      <c r="B13670" s="63" t="s">
        <v>25</v>
      </c>
      <c r="C13670" s="76" t="s">
        <v>2503</v>
      </c>
      <c r="D13670" s="183" t="s">
        <v>8609</v>
      </c>
      <c r="E13670" s="704">
        <v>80000</v>
      </c>
      <c r="F13670" s="126"/>
      <c r="G13670" s="126">
        <v>-70000</v>
      </c>
      <c r="H13670" s="705" t="s">
        <v>8593</v>
      </c>
    </row>
    <row r="13671" spans="1:8" s="682" customFormat="1" ht="15" customHeight="1" x14ac:dyDescent="0.25">
      <c r="A13671" s="734">
        <v>44895</v>
      </c>
      <c r="B13671" s="63" t="s">
        <v>16</v>
      </c>
      <c r="C13671" s="76" t="s">
        <v>2503</v>
      </c>
      <c r="D13671" s="183" t="s">
        <v>8610</v>
      </c>
      <c r="E13671" s="704">
        <v>137733</v>
      </c>
      <c r="F13671" s="126"/>
      <c r="G13671" s="126">
        <v>-137774.19354838709</v>
      </c>
      <c r="H13671" s="705" t="s">
        <v>8593</v>
      </c>
    </row>
    <row r="13672" spans="1:8" s="682" customFormat="1" ht="15" customHeight="1" x14ac:dyDescent="0.25">
      <c r="A13672" s="734">
        <v>44895</v>
      </c>
      <c r="B13672" s="63" t="s">
        <v>3945</v>
      </c>
      <c r="C13672" s="76" t="s">
        <v>2503</v>
      </c>
      <c r="D13672" s="183" t="s">
        <v>8611</v>
      </c>
      <c r="E13672" s="704">
        <v>99125</v>
      </c>
      <c r="F13672" s="126"/>
      <c r="G13672" s="126">
        <v>-95745.967741935485</v>
      </c>
      <c r="H13672" s="705" t="s">
        <v>8593</v>
      </c>
    </row>
    <row r="13673" spans="1:8" s="682" customFormat="1" ht="15" customHeight="1" x14ac:dyDescent="0.25">
      <c r="A13673" s="734">
        <v>44895</v>
      </c>
      <c r="B13673" s="63" t="s">
        <v>3946</v>
      </c>
      <c r="C13673" s="76" t="s">
        <v>2503</v>
      </c>
      <c r="D13673" s="183" t="s">
        <v>6569</v>
      </c>
      <c r="E13673" s="704">
        <v>133240</v>
      </c>
      <c r="F13673" s="126"/>
      <c r="G13673" s="126">
        <v>-115409</v>
      </c>
      <c r="H13673" s="705" t="s">
        <v>8593</v>
      </c>
    </row>
    <row r="13674" spans="1:8" s="682" customFormat="1" ht="15" customHeight="1" x14ac:dyDescent="0.25">
      <c r="A13674" s="734">
        <v>44895</v>
      </c>
      <c r="B13674" s="63" t="s">
        <v>6505</v>
      </c>
      <c r="C13674" s="76" t="s">
        <v>2503</v>
      </c>
      <c r="D13674" s="183" t="s">
        <v>8612</v>
      </c>
      <c r="E13674" s="704">
        <v>310783.33333333331</v>
      </c>
      <c r="F13674" s="126"/>
      <c r="G13674" s="126">
        <v>-286356</v>
      </c>
      <c r="H13674" s="705" t="s">
        <v>8593</v>
      </c>
    </row>
    <row r="13675" spans="1:8" s="682" customFormat="1" ht="15" customHeight="1" x14ac:dyDescent="0.25">
      <c r="A13675" s="734">
        <v>44895</v>
      </c>
      <c r="B13675" s="63" t="s">
        <v>37</v>
      </c>
      <c r="C13675" s="76" t="s">
        <v>2503</v>
      </c>
      <c r="D13675" s="183" t="s">
        <v>8428</v>
      </c>
      <c r="E13675" s="704">
        <v>148354.16666666669</v>
      </c>
      <c r="F13675" s="126"/>
      <c r="G13675" s="126">
        <v>-157701.61290322582</v>
      </c>
      <c r="H13675" s="705" t="s">
        <v>8593</v>
      </c>
    </row>
    <row r="13676" spans="1:8" s="682" customFormat="1" ht="15" customHeight="1" x14ac:dyDescent="0.25">
      <c r="A13676" s="734">
        <v>44895</v>
      </c>
      <c r="B13676" s="63" t="s">
        <v>2933</v>
      </c>
      <c r="C13676" s="76" t="s">
        <v>2503</v>
      </c>
      <c r="D13676" s="183" t="s">
        <v>8429</v>
      </c>
      <c r="E13676" s="704">
        <v>111875</v>
      </c>
      <c r="F13676" s="126"/>
      <c r="G13676" s="126">
        <v>-130902</v>
      </c>
      <c r="H13676" s="705" t="s">
        <v>8593</v>
      </c>
    </row>
    <row r="13677" spans="1:8" s="682" customFormat="1" ht="15" customHeight="1" x14ac:dyDescent="0.25">
      <c r="A13677" s="734">
        <v>44895</v>
      </c>
      <c r="B13677" s="63" t="s">
        <v>7921</v>
      </c>
      <c r="C13677" s="76" t="s">
        <v>2503</v>
      </c>
      <c r="D13677" s="183" t="s">
        <v>8614</v>
      </c>
      <c r="E13677" s="704">
        <v>60000</v>
      </c>
      <c r="F13677" s="126"/>
      <c r="G13677" s="126">
        <v>-78000</v>
      </c>
      <c r="H13677" s="705" t="s">
        <v>8593</v>
      </c>
    </row>
    <row r="13678" spans="1:8" s="682" customFormat="1" ht="15" customHeight="1" x14ac:dyDescent="0.25">
      <c r="A13678" s="734">
        <v>44895</v>
      </c>
      <c r="B13678" s="63" t="s">
        <v>8043</v>
      </c>
      <c r="C13678" s="76" t="s">
        <v>2503</v>
      </c>
      <c r="D13678" s="183" t="s">
        <v>8615</v>
      </c>
      <c r="E13678" s="704">
        <v>60000</v>
      </c>
      <c r="F13678" s="126"/>
      <c r="G13678" s="126">
        <v>-78000</v>
      </c>
      <c r="H13678" s="705" t="s">
        <v>8593</v>
      </c>
    </row>
    <row r="13679" spans="1:8" s="682" customFormat="1" ht="15" customHeight="1" x14ac:dyDescent="0.25">
      <c r="A13679" s="734">
        <v>44895</v>
      </c>
      <c r="B13679" s="63" t="s">
        <v>8339</v>
      </c>
      <c r="C13679" s="76" t="s">
        <v>2503</v>
      </c>
      <c r="D13679" s="183" t="s">
        <v>8616</v>
      </c>
      <c r="E13679" s="704">
        <v>90000</v>
      </c>
      <c r="F13679" s="126"/>
      <c r="G13679" s="126">
        <v>-47907</v>
      </c>
      <c r="H13679" s="705" t="s">
        <v>8593</v>
      </c>
    </row>
    <row r="13680" spans="1:8" s="682" customFormat="1" ht="15" customHeight="1" x14ac:dyDescent="0.25">
      <c r="A13680" s="734">
        <v>44895</v>
      </c>
      <c r="B13680" s="63" t="s">
        <v>8559</v>
      </c>
      <c r="C13680" s="76" t="s">
        <v>2503</v>
      </c>
      <c r="D13680" s="183" t="s">
        <v>8822</v>
      </c>
      <c r="E13680" s="704">
        <v>19508</v>
      </c>
      <c r="F13680" s="126"/>
      <c r="G13680" s="126">
        <v>-47907</v>
      </c>
      <c r="H13680" s="705" t="s">
        <v>8593</v>
      </c>
    </row>
    <row r="13681" spans="1:8" s="682" customFormat="1" ht="15" customHeight="1" x14ac:dyDescent="0.25">
      <c r="A13681" s="734">
        <v>44895</v>
      </c>
      <c r="B13681" s="63" t="s">
        <v>5811</v>
      </c>
      <c r="C13681" s="76" t="s">
        <v>2503</v>
      </c>
      <c r="D13681" s="183" t="s">
        <v>8433</v>
      </c>
      <c r="E13681" s="704">
        <v>28000</v>
      </c>
      <c r="F13681" s="126"/>
      <c r="G13681" s="126">
        <v>-28000</v>
      </c>
      <c r="H13681" s="705" t="s">
        <v>8593</v>
      </c>
    </row>
    <row r="13682" spans="1:8" s="682" customFormat="1" ht="15" customHeight="1" x14ac:dyDescent="0.25">
      <c r="A13682" s="734">
        <v>44895</v>
      </c>
      <c r="B13682" s="63" t="s">
        <v>11</v>
      </c>
      <c r="C13682" s="76" t="s">
        <v>2503</v>
      </c>
      <c r="D13682" s="183" t="s">
        <v>8613</v>
      </c>
      <c r="E13682" s="704">
        <v>5000</v>
      </c>
      <c r="F13682" s="126"/>
      <c r="G13682" s="126">
        <v>-5000</v>
      </c>
      <c r="H13682" s="705" t="s">
        <v>8593</v>
      </c>
    </row>
    <row r="13683" spans="1:8" ht="15" x14ac:dyDescent="0.2">
      <c r="A13683" s="733">
        <v>44866</v>
      </c>
      <c r="B13683" s="174" t="s">
        <v>3946</v>
      </c>
      <c r="C13683" s="235" t="s">
        <v>7271</v>
      </c>
      <c r="D13683" s="228" t="s">
        <v>8594</v>
      </c>
      <c r="E13683" s="708">
        <v>350000</v>
      </c>
      <c r="F13683" s="236"/>
      <c r="G13683" s="236">
        <f t="shared" ref="G13683:G13746" si="220">F13683-E13683</f>
        <v>-350000</v>
      </c>
      <c r="H13683" s="709" t="s">
        <v>8593</v>
      </c>
    </row>
    <row r="13684" spans="1:8" ht="15" x14ac:dyDescent="0.2">
      <c r="A13684" s="733">
        <v>44870</v>
      </c>
      <c r="B13684" s="174" t="s">
        <v>8339</v>
      </c>
      <c r="C13684" s="235" t="s">
        <v>6706</v>
      </c>
      <c r="D13684" s="228" t="s">
        <v>8624</v>
      </c>
      <c r="E13684" s="708">
        <v>200000</v>
      </c>
      <c r="F13684" s="236"/>
      <c r="G13684" s="236">
        <f t="shared" si="220"/>
        <v>-200000</v>
      </c>
      <c r="H13684" s="709" t="s">
        <v>8593</v>
      </c>
    </row>
    <row r="13685" spans="1:8" ht="15" x14ac:dyDescent="0.2">
      <c r="A13685" s="733">
        <v>44870</v>
      </c>
      <c r="B13685" s="174" t="s">
        <v>8339</v>
      </c>
      <c r="C13685" s="235" t="s">
        <v>6706</v>
      </c>
      <c r="D13685" s="228" t="s">
        <v>8625</v>
      </c>
      <c r="E13685" s="708">
        <v>100000</v>
      </c>
      <c r="F13685" s="236"/>
      <c r="G13685" s="236">
        <f t="shared" si="220"/>
        <v>-100000</v>
      </c>
      <c r="H13685" s="709" t="s">
        <v>8593</v>
      </c>
    </row>
    <row r="13686" spans="1:8" ht="15" x14ac:dyDescent="0.2">
      <c r="A13686" s="733">
        <v>44872</v>
      </c>
      <c r="B13686" s="174" t="s">
        <v>7732</v>
      </c>
      <c r="C13686" s="550" t="s">
        <v>307</v>
      </c>
      <c r="D13686" s="740" t="s">
        <v>8628</v>
      </c>
      <c r="E13686" s="706">
        <v>15000</v>
      </c>
      <c r="F13686" s="236"/>
      <c r="G13686" s="236">
        <f t="shared" si="220"/>
        <v>-15000</v>
      </c>
      <c r="H13686" s="709" t="s">
        <v>8593</v>
      </c>
    </row>
    <row r="13687" spans="1:8" ht="15" x14ac:dyDescent="0.2">
      <c r="A13687" s="733">
        <v>44872</v>
      </c>
      <c r="B13687" s="174" t="s">
        <v>7817</v>
      </c>
      <c r="C13687" s="550" t="s">
        <v>307</v>
      </c>
      <c r="D13687" s="740" t="s">
        <v>8628</v>
      </c>
      <c r="E13687" s="706">
        <v>35000</v>
      </c>
      <c r="F13687" s="236"/>
      <c r="G13687" s="236">
        <f t="shared" si="220"/>
        <v>-35000</v>
      </c>
      <c r="H13687" s="709" t="s">
        <v>8593</v>
      </c>
    </row>
    <row r="13688" spans="1:8" ht="15" x14ac:dyDescent="0.2">
      <c r="A13688" s="733">
        <v>44872</v>
      </c>
      <c r="B13688" s="174" t="s">
        <v>7921</v>
      </c>
      <c r="C13688" s="550" t="s">
        <v>307</v>
      </c>
      <c r="D13688" s="740" t="s">
        <v>8628</v>
      </c>
      <c r="E13688" s="706">
        <v>26000</v>
      </c>
      <c r="F13688" s="236"/>
      <c r="G13688" s="236">
        <f t="shared" si="220"/>
        <v>-26000</v>
      </c>
      <c r="H13688" s="709" t="s">
        <v>8593</v>
      </c>
    </row>
    <row r="13689" spans="1:8" ht="15" x14ac:dyDescent="0.2">
      <c r="A13689" s="733">
        <v>44872</v>
      </c>
      <c r="B13689" s="174" t="s">
        <v>8077</v>
      </c>
      <c r="C13689" s="550" t="s">
        <v>307</v>
      </c>
      <c r="D13689" s="740" t="s">
        <v>8628</v>
      </c>
      <c r="E13689" s="706">
        <v>32000</v>
      </c>
      <c r="F13689" s="236"/>
      <c r="G13689" s="236">
        <f t="shared" si="220"/>
        <v>-32000</v>
      </c>
      <c r="H13689" s="709" t="s">
        <v>8593</v>
      </c>
    </row>
    <row r="13690" spans="1:8" ht="15" x14ac:dyDescent="0.2">
      <c r="A13690" s="733">
        <v>44872</v>
      </c>
      <c r="B13690" s="174" t="s">
        <v>7921</v>
      </c>
      <c r="C13690" s="235" t="s">
        <v>1509</v>
      </c>
      <c r="D13690" s="228" t="s">
        <v>8629</v>
      </c>
      <c r="E13690" s="708">
        <v>100000</v>
      </c>
      <c r="F13690" s="236"/>
      <c r="G13690" s="236">
        <f t="shared" si="220"/>
        <v>-100000</v>
      </c>
      <c r="H13690" s="709" t="s">
        <v>8593</v>
      </c>
    </row>
    <row r="13691" spans="1:8" ht="15" x14ac:dyDescent="0.2">
      <c r="A13691" s="733">
        <v>44872</v>
      </c>
      <c r="B13691" s="174" t="s">
        <v>7921</v>
      </c>
      <c r="C13691" s="235" t="s">
        <v>1509</v>
      </c>
      <c r="D13691" s="228" t="s">
        <v>8630</v>
      </c>
      <c r="E13691" s="708">
        <v>100000</v>
      </c>
      <c r="F13691" s="236"/>
      <c r="G13691" s="236">
        <f t="shared" si="220"/>
        <v>-100000</v>
      </c>
      <c r="H13691" s="709" t="s">
        <v>8593</v>
      </c>
    </row>
    <row r="13692" spans="1:8" ht="15" x14ac:dyDescent="0.2">
      <c r="A13692" s="733">
        <v>44872</v>
      </c>
      <c r="B13692" s="174" t="s">
        <v>3946</v>
      </c>
      <c r="C13692" s="235" t="s">
        <v>3003</v>
      </c>
      <c r="D13692" s="228" t="s">
        <v>8631</v>
      </c>
      <c r="E13692" s="708">
        <v>30160</v>
      </c>
      <c r="F13692" s="236"/>
      <c r="G13692" s="236">
        <f t="shared" si="220"/>
        <v>-30160</v>
      </c>
      <c r="H13692" s="709" t="s">
        <v>8593</v>
      </c>
    </row>
    <row r="13693" spans="1:8" ht="15" x14ac:dyDescent="0.2">
      <c r="A13693" s="733">
        <v>44872</v>
      </c>
      <c r="B13693" s="174" t="s">
        <v>3945</v>
      </c>
      <c r="C13693" s="235" t="s">
        <v>3003</v>
      </c>
      <c r="D13693" s="228" t="s">
        <v>8631</v>
      </c>
      <c r="E13693" s="708">
        <v>32760</v>
      </c>
      <c r="F13693" s="236"/>
      <c r="G13693" s="236">
        <f t="shared" si="220"/>
        <v>-32760</v>
      </c>
      <c r="H13693" s="709" t="s">
        <v>8593</v>
      </c>
    </row>
    <row r="13694" spans="1:8" ht="15" x14ac:dyDescent="0.2">
      <c r="A13694" s="733">
        <v>44872</v>
      </c>
      <c r="B13694" s="174" t="s">
        <v>37</v>
      </c>
      <c r="C13694" s="235" t="s">
        <v>3003</v>
      </c>
      <c r="D13694" s="228" t="s">
        <v>8631</v>
      </c>
      <c r="E13694" s="708">
        <v>15560</v>
      </c>
      <c r="F13694" s="236"/>
      <c r="G13694" s="236">
        <f t="shared" si="220"/>
        <v>-15560</v>
      </c>
      <c r="H13694" s="709" t="s">
        <v>8593</v>
      </c>
    </row>
    <row r="13695" spans="1:8" ht="15" x14ac:dyDescent="0.2">
      <c r="A13695" s="741">
        <v>44876</v>
      </c>
      <c r="B13695" s="174" t="s">
        <v>7953</v>
      </c>
      <c r="C13695" s="235" t="s">
        <v>7954</v>
      </c>
      <c r="D13695" s="228" t="s">
        <v>8632</v>
      </c>
      <c r="E13695" s="708">
        <v>300000</v>
      </c>
      <c r="F13695" s="236"/>
      <c r="G13695" s="236">
        <f t="shared" si="220"/>
        <v>-300000</v>
      </c>
      <c r="H13695" s="709" t="s">
        <v>8593</v>
      </c>
    </row>
    <row r="13696" spans="1:8" ht="15" x14ac:dyDescent="0.2">
      <c r="A13696" s="741">
        <v>44881</v>
      </c>
      <c r="B13696" s="174" t="s">
        <v>8043</v>
      </c>
      <c r="C13696" s="235" t="s">
        <v>7223</v>
      </c>
      <c r="D13696" s="228" t="s">
        <v>8677</v>
      </c>
      <c r="E13696" s="708">
        <v>93600</v>
      </c>
      <c r="F13696" s="236"/>
      <c r="G13696" s="236">
        <f t="shared" si="220"/>
        <v>-93600</v>
      </c>
      <c r="H13696" s="709" t="s">
        <v>8593</v>
      </c>
    </row>
    <row r="13697" spans="1:8" ht="15" x14ac:dyDescent="0.2">
      <c r="A13697" s="741">
        <v>44882</v>
      </c>
      <c r="B13697" s="174" t="s">
        <v>8339</v>
      </c>
      <c r="C13697" s="235" t="s">
        <v>168</v>
      </c>
      <c r="D13697" s="228" t="s">
        <v>8679</v>
      </c>
      <c r="E13697" s="708">
        <v>1100934</v>
      </c>
      <c r="F13697" s="236"/>
      <c r="G13697" s="236">
        <f t="shared" si="220"/>
        <v>-1100934</v>
      </c>
      <c r="H13697" s="709" t="s">
        <v>8593</v>
      </c>
    </row>
    <row r="13698" spans="1:8" ht="15" x14ac:dyDescent="0.2">
      <c r="A13698" s="741">
        <v>44882</v>
      </c>
      <c r="B13698" s="174" t="s">
        <v>7817</v>
      </c>
      <c r="C13698" s="550" t="s">
        <v>359</v>
      </c>
      <c r="D13698" s="740" t="s">
        <v>8680</v>
      </c>
      <c r="E13698" s="706">
        <v>9000</v>
      </c>
      <c r="F13698" s="236"/>
      <c r="G13698" s="236">
        <f t="shared" si="220"/>
        <v>-9000</v>
      </c>
      <c r="H13698" s="709" t="s">
        <v>8593</v>
      </c>
    </row>
    <row r="13699" spans="1:8" ht="15" x14ac:dyDescent="0.2">
      <c r="A13699" s="741">
        <v>44882</v>
      </c>
      <c r="B13699" s="174" t="s">
        <v>8043</v>
      </c>
      <c r="C13699" s="550" t="s">
        <v>359</v>
      </c>
      <c r="D13699" s="740" t="s">
        <v>8680</v>
      </c>
      <c r="E13699" s="706">
        <v>60000</v>
      </c>
      <c r="F13699" s="236"/>
      <c r="G13699" s="236">
        <f t="shared" si="220"/>
        <v>-60000</v>
      </c>
      <c r="H13699" s="709" t="s">
        <v>8593</v>
      </c>
    </row>
    <row r="13700" spans="1:8" ht="24" x14ac:dyDescent="0.2">
      <c r="A13700" s="741">
        <v>44887</v>
      </c>
      <c r="B13700" s="174" t="s">
        <v>7921</v>
      </c>
      <c r="C13700" s="235" t="s">
        <v>8207</v>
      </c>
      <c r="D13700" s="228" t="s">
        <v>8717</v>
      </c>
      <c r="E13700" s="708">
        <v>500000</v>
      </c>
      <c r="F13700" s="236"/>
      <c r="G13700" s="236">
        <f t="shared" si="220"/>
        <v>-500000</v>
      </c>
      <c r="H13700" s="709" t="s">
        <v>8593</v>
      </c>
    </row>
    <row r="13701" spans="1:8" ht="15" x14ac:dyDescent="0.2">
      <c r="A13701" s="741">
        <v>44887</v>
      </c>
      <c r="B13701" s="174" t="s">
        <v>1400</v>
      </c>
      <c r="C13701" s="235" t="s">
        <v>6706</v>
      </c>
      <c r="D13701" s="228" t="s">
        <v>8718</v>
      </c>
      <c r="E13701" s="708">
        <v>250000</v>
      </c>
      <c r="F13701" s="236"/>
      <c r="G13701" s="236">
        <f t="shared" si="220"/>
        <v>-250000</v>
      </c>
      <c r="H13701" s="709" t="s">
        <v>8593</v>
      </c>
    </row>
    <row r="13702" spans="1:8" ht="15" x14ac:dyDescent="0.2">
      <c r="A13702" s="741">
        <v>44887</v>
      </c>
      <c r="B13702" s="174" t="s">
        <v>8559</v>
      </c>
      <c r="C13702" s="235" t="s">
        <v>6706</v>
      </c>
      <c r="D13702" s="228" t="s">
        <v>8719</v>
      </c>
      <c r="E13702" s="708">
        <v>250000</v>
      </c>
      <c r="F13702" s="236"/>
      <c r="G13702" s="236">
        <f t="shared" si="220"/>
        <v>-250000</v>
      </c>
      <c r="H13702" s="709" t="s">
        <v>8593</v>
      </c>
    </row>
    <row r="13703" spans="1:8" ht="15" x14ac:dyDescent="0.2">
      <c r="A13703" s="741">
        <v>44887</v>
      </c>
      <c r="B13703" s="174" t="s">
        <v>8043</v>
      </c>
      <c r="C13703" s="235" t="s">
        <v>7223</v>
      </c>
      <c r="D13703" s="228" t="s">
        <v>8720</v>
      </c>
      <c r="E13703" s="708">
        <v>200000</v>
      </c>
      <c r="F13703" s="236"/>
      <c r="G13703" s="236">
        <f t="shared" si="220"/>
        <v>-200000</v>
      </c>
      <c r="H13703" s="709" t="s">
        <v>8593</v>
      </c>
    </row>
    <row r="13704" spans="1:8" ht="15" x14ac:dyDescent="0.2">
      <c r="A13704" s="741">
        <v>44887</v>
      </c>
      <c r="B13704" s="174" t="s">
        <v>7921</v>
      </c>
      <c r="C13704" s="550" t="s">
        <v>256</v>
      </c>
      <c r="D13704" s="740" t="s">
        <v>8722</v>
      </c>
      <c r="E13704" s="706">
        <v>59000</v>
      </c>
      <c r="F13704" s="236"/>
      <c r="G13704" s="236">
        <f t="shared" si="220"/>
        <v>-59000</v>
      </c>
      <c r="H13704" s="709" t="s">
        <v>8593</v>
      </c>
    </row>
    <row r="13705" spans="1:8" ht="15" x14ac:dyDescent="0.2">
      <c r="A13705" s="741">
        <v>44887</v>
      </c>
      <c r="B13705" s="174" t="s">
        <v>7953</v>
      </c>
      <c r="C13705" s="550" t="s">
        <v>256</v>
      </c>
      <c r="D13705" s="740" t="s">
        <v>8722</v>
      </c>
      <c r="E13705" s="706">
        <v>28000</v>
      </c>
      <c r="F13705" s="236"/>
      <c r="G13705" s="236">
        <f t="shared" si="220"/>
        <v>-28000</v>
      </c>
      <c r="H13705" s="709" t="s">
        <v>8593</v>
      </c>
    </row>
    <row r="13706" spans="1:8" ht="15" x14ac:dyDescent="0.2">
      <c r="A13706" s="741">
        <v>44887</v>
      </c>
      <c r="B13706" s="174" t="s">
        <v>8043</v>
      </c>
      <c r="C13706" s="550" t="s">
        <v>256</v>
      </c>
      <c r="D13706" s="740" t="s">
        <v>8722</v>
      </c>
      <c r="E13706" s="706">
        <v>100000</v>
      </c>
      <c r="F13706" s="236"/>
      <c r="G13706" s="236">
        <f t="shared" si="220"/>
        <v>-100000</v>
      </c>
      <c r="H13706" s="709" t="s">
        <v>8593</v>
      </c>
    </row>
    <row r="13707" spans="1:8" ht="24" x14ac:dyDescent="0.2">
      <c r="A13707" s="741">
        <v>44887</v>
      </c>
      <c r="B13707" s="174" t="s">
        <v>8043</v>
      </c>
      <c r="C13707" s="235" t="s">
        <v>7467</v>
      </c>
      <c r="D13707" s="228" t="s">
        <v>8717</v>
      </c>
      <c r="E13707" s="708">
        <v>550000</v>
      </c>
      <c r="F13707" s="236"/>
      <c r="G13707" s="236">
        <f t="shared" si="220"/>
        <v>-550000</v>
      </c>
      <c r="H13707" s="709" t="s">
        <v>8593</v>
      </c>
    </row>
    <row r="13708" spans="1:8" ht="15" x14ac:dyDescent="0.2">
      <c r="A13708" s="730">
        <v>44872</v>
      </c>
      <c r="B13708" s="91" t="s">
        <v>3945</v>
      </c>
      <c r="C13708" s="91" t="s">
        <v>559</v>
      </c>
      <c r="D13708" s="801" t="s">
        <v>8622</v>
      </c>
      <c r="E13708" s="92"/>
      <c r="F13708" s="92">
        <v>337081</v>
      </c>
      <c r="G13708" s="92">
        <f t="shared" si="220"/>
        <v>337081</v>
      </c>
      <c r="H13708" s="702" t="s">
        <v>8593</v>
      </c>
    </row>
    <row r="13709" spans="1:8" ht="15" x14ac:dyDescent="0.2">
      <c r="A13709" s="730">
        <v>44872</v>
      </c>
      <c r="B13709" s="91" t="s">
        <v>3945</v>
      </c>
      <c r="C13709" s="91" t="s">
        <v>559</v>
      </c>
      <c r="D13709" s="801" t="s">
        <v>8530</v>
      </c>
      <c r="E13709" s="92"/>
      <c r="F13709" s="92">
        <v>337081</v>
      </c>
      <c r="G13709" s="92">
        <f t="shared" si="220"/>
        <v>337081</v>
      </c>
      <c r="H13709" s="702" t="s">
        <v>8593</v>
      </c>
    </row>
    <row r="13710" spans="1:8" ht="15" x14ac:dyDescent="0.2">
      <c r="A13710" s="730">
        <v>44872</v>
      </c>
      <c r="B13710" s="91" t="s">
        <v>3945</v>
      </c>
      <c r="C13710" s="91" t="s">
        <v>559</v>
      </c>
      <c r="D13710" s="801" t="s">
        <v>8623</v>
      </c>
      <c r="E13710" s="92"/>
      <c r="F13710" s="92">
        <v>337081</v>
      </c>
      <c r="G13710" s="92">
        <f t="shared" si="220"/>
        <v>337081</v>
      </c>
      <c r="H13710" s="702" t="s">
        <v>8593</v>
      </c>
    </row>
    <row r="13711" spans="1:8" ht="24" x14ac:dyDescent="0.2">
      <c r="A13711" s="730">
        <v>44882</v>
      </c>
      <c r="B13711" s="91" t="s">
        <v>1400</v>
      </c>
      <c r="C13711" s="91" t="s">
        <v>559</v>
      </c>
      <c r="D13711" s="798" t="s">
        <v>8678</v>
      </c>
      <c r="E13711" s="92"/>
      <c r="F13711" s="92">
        <v>1100934</v>
      </c>
      <c r="G13711" s="92">
        <f t="shared" si="220"/>
        <v>1100934</v>
      </c>
      <c r="H13711" s="702" t="s">
        <v>8593</v>
      </c>
    </row>
    <row r="13712" spans="1:8" ht="24" x14ac:dyDescent="0.2">
      <c r="A13712" s="730">
        <v>44883</v>
      </c>
      <c r="B13712" s="94" t="s">
        <v>1400</v>
      </c>
      <c r="C13712" s="94" t="s">
        <v>559</v>
      </c>
      <c r="D13712" s="802" t="s">
        <v>8693</v>
      </c>
      <c r="E13712" s="176"/>
      <c r="F13712" s="176">
        <v>1000000</v>
      </c>
      <c r="G13712" s="176">
        <f t="shared" si="220"/>
        <v>1000000</v>
      </c>
      <c r="H13712" s="702" t="s">
        <v>8593</v>
      </c>
    </row>
    <row r="13713" spans="1:8" s="682" customFormat="1" ht="15" customHeight="1" x14ac:dyDescent="0.25">
      <c r="A13713" s="730">
        <v>44890</v>
      </c>
      <c r="B13713" s="94" t="s">
        <v>7953</v>
      </c>
      <c r="C13713" s="94" t="s">
        <v>559</v>
      </c>
      <c r="D13713" s="892" t="s">
        <v>8726</v>
      </c>
      <c r="E13713" s="176"/>
      <c r="F13713" s="176">
        <v>700000</v>
      </c>
      <c r="G13713" s="176">
        <f t="shared" si="220"/>
        <v>700000</v>
      </c>
      <c r="H13713" s="702" t="s">
        <v>8593</v>
      </c>
    </row>
    <row r="13714" spans="1:8" s="682" customFormat="1" ht="15" customHeight="1" x14ac:dyDescent="0.2">
      <c r="A13714" s="730">
        <v>44890</v>
      </c>
      <c r="B13714" s="94" t="s">
        <v>7953</v>
      </c>
      <c r="C13714" s="94" t="s">
        <v>559</v>
      </c>
      <c r="D13714" s="801" t="s">
        <v>8543</v>
      </c>
      <c r="E13714" s="176">
        <v>7000</v>
      </c>
      <c r="F13714" s="176"/>
      <c r="G13714" s="176">
        <f t="shared" si="220"/>
        <v>-7000</v>
      </c>
      <c r="H13714" s="702" t="s">
        <v>8593</v>
      </c>
    </row>
    <row r="13715" spans="1:8" s="682" customFormat="1" ht="24" customHeight="1" x14ac:dyDescent="0.25">
      <c r="A13715" s="730">
        <v>44890</v>
      </c>
      <c r="B13715" s="94" t="s">
        <v>1400</v>
      </c>
      <c r="C13715" s="94" t="s">
        <v>559</v>
      </c>
      <c r="D13715" s="802" t="s">
        <v>8693</v>
      </c>
      <c r="E13715" s="176"/>
      <c r="F13715" s="176">
        <v>500000</v>
      </c>
      <c r="G13715" s="176">
        <f t="shared" si="220"/>
        <v>500000</v>
      </c>
      <c r="H13715" s="702" t="s">
        <v>8593</v>
      </c>
    </row>
    <row r="13716" spans="1:8" ht="15" x14ac:dyDescent="0.2">
      <c r="A13716" s="730">
        <v>44893</v>
      </c>
      <c r="B13716" s="91" t="s">
        <v>3946</v>
      </c>
      <c r="C13716" s="175" t="s">
        <v>559</v>
      </c>
      <c r="D13716" s="892" t="s">
        <v>8623</v>
      </c>
      <c r="E13716" s="701"/>
      <c r="F13716" s="92">
        <v>310329</v>
      </c>
      <c r="G13716" s="176">
        <f t="shared" si="220"/>
        <v>310329</v>
      </c>
      <c r="H13716" s="702" t="s">
        <v>8593</v>
      </c>
    </row>
    <row r="13717" spans="1:8" s="682" customFormat="1" ht="15" customHeight="1" x14ac:dyDescent="0.25">
      <c r="A13717" s="730">
        <v>44895</v>
      </c>
      <c r="B13717" s="94" t="s">
        <v>1400</v>
      </c>
      <c r="C13717" s="94" t="s">
        <v>559</v>
      </c>
      <c r="D13717" s="802" t="s">
        <v>8765</v>
      </c>
      <c r="E13717" s="176"/>
      <c r="F13717" s="176">
        <v>1250000</v>
      </c>
      <c r="G13717" s="176">
        <f t="shared" si="220"/>
        <v>1250000</v>
      </c>
      <c r="H13717" s="702" t="s">
        <v>8593</v>
      </c>
    </row>
    <row r="13718" spans="1:8" ht="15" x14ac:dyDescent="0.2">
      <c r="A13718" s="730">
        <v>44895</v>
      </c>
      <c r="B13718" s="94" t="s">
        <v>1400</v>
      </c>
      <c r="C13718" s="94" t="s">
        <v>559</v>
      </c>
      <c r="D13718" s="802" t="s">
        <v>8765</v>
      </c>
      <c r="E13718" s="176"/>
      <c r="F13718" s="176">
        <v>1250000</v>
      </c>
      <c r="G13718" s="176">
        <f t="shared" si="220"/>
        <v>1250000</v>
      </c>
      <c r="H13718" s="702" t="s">
        <v>8593</v>
      </c>
    </row>
    <row r="13719" spans="1:8" ht="15" x14ac:dyDescent="0.2">
      <c r="A13719" s="730">
        <v>44895</v>
      </c>
      <c r="B13719" s="94" t="s">
        <v>1400</v>
      </c>
      <c r="C13719" s="94" t="s">
        <v>559</v>
      </c>
      <c r="D13719" s="801" t="s">
        <v>8543</v>
      </c>
      <c r="E13719" s="176">
        <v>17092</v>
      </c>
      <c r="F13719" s="176"/>
      <c r="G13719" s="176">
        <f t="shared" si="220"/>
        <v>-17092</v>
      </c>
      <c r="H13719" s="702" t="s">
        <v>8593</v>
      </c>
    </row>
    <row r="13720" spans="1:8" ht="15" x14ac:dyDescent="0.2">
      <c r="A13720" s="734">
        <v>44896</v>
      </c>
      <c r="B13720" s="63" t="s">
        <v>8339</v>
      </c>
      <c r="C13720" s="76" t="s">
        <v>3145</v>
      </c>
      <c r="D13720" s="183" t="s">
        <v>8768</v>
      </c>
      <c r="E13720" s="704">
        <v>11000</v>
      </c>
      <c r="F13720" s="126"/>
      <c r="G13720" s="126">
        <f t="shared" si="220"/>
        <v>-11000</v>
      </c>
      <c r="H13720" s="705" t="s">
        <v>8766</v>
      </c>
    </row>
    <row r="13721" spans="1:8" ht="24" x14ac:dyDescent="0.2">
      <c r="A13721" s="734">
        <v>44896</v>
      </c>
      <c r="B13721" s="63" t="s">
        <v>7921</v>
      </c>
      <c r="C13721" s="63" t="s">
        <v>438</v>
      </c>
      <c r="D13721" s="183" t="s">
        <v>8717</v>
      </c>
      <c r="E13721" s="126">
        <v>100000</v>
      </c>
      <c r="F13721" s="126"/>
      <c r="G13721" s="126">
        <f t="shared" si="220"/>
        <v>-100000</v>
      </c>
      <c r="H13721" s="705" t="s">
        <v>8766</v>
      </c>
    </row>
    <row r="13722" spans="1:8" ht="24" x14ac:dyDescent="0.2">
      <c r="A13722" s="734">
        <v>44896</v>
      </c>
      <c r="B13722" s="63" t="s">
        <v>7921</v>
      </c>
      <c r="C13722" s="63" t="s">
        <v>438</v>
      </c>
      <c r="D13722" s="183" t="s">
        <v>8717</v>
      </c>
      <c r="E13722" s="126">
        <v>100000</v>
      </c>
      <c r="F13722" s="126"/>
      <c r="G13722" s="126">
        <f t="shared" si="220"/>
        <v>-100000</v>
      </c>
      <c r="H13722" s="705" t="s">
        <v>8766</v>
      </c>
    </row>
    <row r="13723" spans="1:8" ht="15" x14ac:dyDescent="0.2">
      <c r="A13723" s="734">
        <v>44896</v>
      </c>
      <c r="B13723" s="63" t="s">
        <v>8339</v>
      </c>
      <c r="C13723" s="63" t="s">
        <v>8502</v>
      </c>
      <c r="D13723" s="183" t="s">
        <v>8769</v>
      </c>
      <c r="E13723" s="126">
        <v>50000</v>
      </c>
      <c r="F13723" s="126"/>
      <c r="G13723" s="126">
        <f t="shared" si="220"/>
        <v>-50000</v>
      </c>
      <c r="H13723" s="705" t="s">
        <v>8766</v>
      </c>
    </row>
    <row r="13724" spans="1:8" ht="15" x14ac:dyDescent="0.2">
      <c r="A13724" s="734">
        <v>44896</v>
      </c>
      <c r="B13724" s="63" t="s">
        <v>8043</v>
      </c>
      <c r="C13724" s="63" t="s">
        <v>3145</v>
      </c>
      <c r="D13724" s="183" t="s">
        <v>8770</v>
      </c>
      <c r="E13724" s="126">
        <v>2250</v>
      </c>
      <c r="F13724" s="126"/>
      <c r="G13724" s="126">
        <f t="shared" si="220"/>
        <v>-2250</v>
      </c>
      <c r="H13724" s="705" t="s">
        <v>8766</v>
      </c>
    </row>
    <row r="13725" spans="1:8" ht="15" x14ac:dyDescent="0.2">
      <c r="A13725" s="734">
        <v>44896</v>
      </c>
      <c r="B13725" s="63" t="s">
        <v>7921</v>
      </c>
      <c r="C13725" s="63" t="s">
        <v>6967</v>
      </c>
      <c r="D13725" s="183" t="s">
        <v>8771</v>
      </c>
      <c r="E13725" s="126">
        <v>10000</v>
      </c>
      <c r="F13725" s="126"/>
      <c r="G13725" s="126">
        <f t="shared" si="220"/>
        <v>-10000</v>
      </c>
      <c r="H13725" s="705" t="s">
        <v>8766</v>
      </c>
    </row>
    <row r="13726" spans="1:8" ht="15" x14ac:dyDescent="0.2">
      <c r="A13726" s="734">
        <v>44896</v>
      </c>
      <c r="B13726" s="63" t="s">
        <v>8657</v>
      </c>
      <c r="C13726" s="63" t="s">
        <v>5741</v>
      </c>
      <c r="D13726" s="183" t="s">
        <v>8780</v>
      </c>
      <c r="E13726" s="126">
        <v>1200</v>
      </c>
      <c r="F13726" s="126"/>
      <c r="G13726" s="126">
        <f t="shared" si="220"/>
        <v>-1200</v>
      </c>
      <c r="H13726" s="705" t="s">
        <v>8766</v>
      </c>
    </row>
    <row r="13727" spans="1:8" ht="15" x14ac:dyDescent="0.2">
      <c r="A13727" s="734">
        <v>44896</v>
      </c>
      <c r="B13727" s="63" t="s">
        <v>8657</v>
      </c>
      <c r="C13727" s="63" t="s">
        <v>5741</v>
      </c>
      <c r="D13727" s="183" t="s">
        <v>8782</v>
      </c>
      <c r="E13727" s="126">
        <v>2000</v>
      </c>
      <c r="F13727" s="126"/>
      <c r="G13727" s="126">
        <f t="shared" si="220"/>
        <v>-2000</v>
      </c>
      <c r="H13727" s="705" t="s">
        <v>8766</v>
      </c>
    </row>
    <row r="13728" spans="1:8" ht="15" x14ac:dyDescent="0.2">
      <c r="A13728" s="734">
        <v>44896</v>
      </c>
      <c r="B13728" s="63" t="s">
        <v>7921</v>
      </c>
      <c r="C13728" s="63" t="s">
        <v>4079</v>
      </c>
      <c r="D13728" s="183" t="s">
        <v>8781</v>
      </c>
      <c r="E13728" s="126">
        <v>5000</v>
      </c>
      <c r="F13728" s="126"/>
      <c r="G13728" s="126">
        <f t="shared" si="220"/>
        <v>-5000</v>
      </c>
      <c r="H13728" s="705" t="s">
        <v>8766</v>
      </c>
    </row>
    <row r="13729" spans="1:8" ht="15" x14ac:dyDescent="0.2">
      <c r="A13729" s="734">
        <v>44897</v>
      </c>
      <c r="B13729" s="63" t="s">
        <v>11</v>
      </c>
      <c r="C13729" s="63" t="s">
        <v>392</v>
      </c>
      <c r="D13729" s="183" t="s">
        <v>8772</v>
      </c>
      <c r="E13729" s="126">
        <v>2000</v>
      </c>
      <c r="F13729" s="126"/>
      <c r="G13729" s="126">
        <f t="shared" si="220"/>
        <v>-2000</v>
      </c>
      <c r="H13729" s="705" t="s">
        <v>8766</v>
      </c>
    </row>
    <row r="13730" spans="1:8" ht="15" x14ac:dyDescent="0.2">
      <c r="A13730" s="734">
        <v>44897</v>
      </c>
      <c r="B13730" s="63" t="s">
        <v>7953</v>
      </c>
      <c r="C13730" s="63" t="s">
        <v>7954</v>
      </c>
      <c r="D13730" s="183" t="s">
        <v>8773</v>
      </c>
      <c r="E13730" s="126">
        <v>200000</v>
      </c>
      <c r="F13730" s="126"/>
      <c r="G13730" s="126">
        <f t="shared" si="220"/>
        <v>-200000</v>
      </c>
      <c r="H13730" s="705" t="s">
        <v>8766</v>
      </c>
    </row>
    <row r="13731" spans="1:8" ht="15" x14ac:dyDescent="0.2">
      <c r="A13731" s="734">
        <v>44897</v>
      </c>
      <c r="B13731" s="63" t="s">
        <v>2933</v>
      </c>
      <c r="C13731" s="63" t="s">
        <v>3145</v>
      </c>
      <c r="D13731" s="183" t="s">
        <v>8774</v>
      </c>
      <c r="E13731" s="126">
        <v>6240</v>
      </c>
      <c r="F13731" s="126"/>
      <c r="G13731" s="126">
        <f t="shared" si="220"/>
        <v>-6240</v>
      </c>
      <c r="H13731" s="705" t="s">
        <v>8766</v>
      </c>
    </row>
    <row r="13732" spans="1:8" ht="15" x14ac:dyDescent="0.2">
      <c r="A13732" s="734">
        <v>44897</v>
      </c>
      <c r="B13732" s="63" t="s">
        <v>25</v>
      </c>
      <c r="C13732" s="63" t="s">
        <v>551</v>
      </c>
      <c r="D13732" s="183" t="s">
        <v>8775</v>
      </c>
      <c r="E13732" s="126">
        <v>380</v>
      </c>
      <c r="F13732" s="126"/>
      <c r="G13732" s="126">
        <f t="shared" si="220"/>
        <v>-380</v>
      </c>
      <c r="H13732" s="705" t="s">
        <v>8766</v>
      </c>
    </row>
    <row r="13733" spans="1:8" ht="15" x14ac:dyDescent="0.2">
      <c r="A13733" s="734">
        <v>44897</v>
      </c>
      <c r="B13733" s="63" t="s">
        <v>16</v>
      </c>
      <c r="C13733" s="63" t="s">
        <v>3843</v>
      </c>
      <c r="D13733" s="183" t="s">
        <v>8712</v>
      </c>
      <c r="E13733" s="126">
        <v>3343</v>
      </c>
      <c r="F13733" s="126"/>
      <c r="G13733" s="126">
        <f t="shared" si="220"/>
        <v>-3343</v>
      </c>
      <c r="H13733" s="705" t="s">
        <v>8766</v>
      </c>
    </row>
    <row r="13734" spans="1:8" ht="15" x14ac:dyDescent="0.2">
      <c r="A13734" s="734">
        <v>44897</v>
      </c>
      <c r="B13734" s="63" t="s">
        <v>8043</v>
      </c>
      <c r="C13734" s="63" t="s">
        <v>5741</v>
      </c>
      <c r="D13734" s="183" t="s">
        <v>8783</v>
      </c>
      <c r="E13734" s="126">
        <v>1000</v>
      </c>
      <c r="F13734" s="126"/>
      <c r="G13734" s="126">
        <f t="shared" si="220"/>
        <v>-1000</v>
      </c>
      <c r="H13734" s="705" t="s">
        <v>8766</v>
      </c>
    </row>
    <row r="13735" spans="1:8" ht="15" x14ac:dyDescent="0.2">
      <c r="A13735" s="734">
        <v>44897</v>
      </c>
      <c r="B13735" s="63" t="s">
        <v>7921</v>
      </c>
      <c r="C13735" s="63" t="s">
        <v>5741</v>
      </c>
      <c r="D13735" s="183" t="s">
        <v>8784</v>
      </c>
      <c r="E13735" s="126">
        <v>1500</v>
      </c>
      <c r="F13735" s="126"/>
      <c r="G13735" s="126">
        <f t="shared" si="220"/>
        <v>-1500</v>
      </c>
      <c r="H13735" s="705" t="s">
        <v>8766</v>
      </c>
    </row>
    <row r="13736" spans="1:8" ht="15" x14ac:dyDescent="0.2">
      <c r="A13736" s="734">
        <v>44897</v>
      </c>
      <c r="B13736" s="63" t="s">
        <v>8657</v>
      </c>
      <c r="C13736" s="63" t="s">
        <v>3145</v>
      </c>
      <c r="D13736" s="183" t="s">
        <v>8776</v>
      </c>
      <c r="E13736" s="126">
        <v>19800</v>
      </c>
      <c r="F13736" s="126"/>
      <c r="G13736" s="126">
        <f t="shared" si="220"/>
        <v>-19800</v>
      </c>
      <c r="H13736" s="705" t="s">
        <v>8766</v>
      </c>
    </row>
    <row r="13737" spans="1:8" ht="15" x14ac:dyDescent="0.2">
      <c r="A13737" s="734">
        <v>44897</v>
      </c>
      <c r="B13737" s="63" t="s">
        <v>8657</v>
      </c>
      <c r="C13737" s="63" t="s">
        <v>5741</v>
      </c>
      <c r="D13737" s="183" t="s">
        <v>8785</v>
      </c>
      <c r="E13737" s="126">
        <v>2500</v>
      </c>
      <c r="F13737" s="126"/>
      <c r="G13737" s="126">
        <f t="shared" si="220"/>
        <v>-2500</v>
      </c>
      <c r="H13737" s="705" t="s">
        <v>8766</v>
      </c>
    </row>
    <row r="13738" spans="1:8" ht="15" x14ac:dyDescent="0.2">
      <c r="A13738" s="734">
        <v>44897</v>
      </c>
      <c r="B13738" s="63" t="s">
        <v>16</v>
      </c>
      <c r="C13738" s="63" t="s">
        <v>392</v>
      </c>
      <c r="D13738" s="183" t="s">
        <v>8786</v>
      </c>
      <c r="E13738" s="126">
        <v>1000</v>
      </c>
      <c r="F13738" s="126"/>
      <c r="G13738" s="126">
        <f t="shared" si="220"/>
        <v>-1000</v>
      </c>
      <c r="H13738" s="705" t="s">
        <v>8766</v>
      </c>
    </row>
    <row r="13739" spans="1:8" ht="15" x14ac:dyDescent="0.2">
      <c r="A13739" s="734">
        <v>44897</v>
      </c>
      <c r="B13739" s="63" t="s">
        <v>8043</v>
      </c>
      <c r="C13739" s="63" t="s">
        <v>3145</v>
      </c>
      <c r="D13739" s="183" t="s">
        <v>8777</v>
      </c>
      <c r="E13739" s="126">
        <v>6420</v>
      </c>
      <c r="F13739" s="126"/>
      <c r="G13739" s="126">
        <f t="shared" si="220"/>
        <v>-6420</v>
      </c>
      <c r="H13739" s="705" t="s">
        <v>8766</v>
      </c>
    </row>
    <row r="13740" spans="1:8" ht="15" x14ac:dyDescent="0.2">
      <c r="A13740" s="734">
        <v>44898</v>
      </c>
      <c r="B13740" s="63" t="s">
        <v>8657</v>
      </c>
      <c r="C13740" s="63" t="s">
        <v>3145</v>
      </c>
      <c r="D13740" s="183" t="s">
        <v>8778</v>
      </c>
      <c r="E13740" s="126">
        <v>135900</v>
      </c>
      <c r="F13740" s="126"/>
      <c r="G13740" s="126">
        <f t="shared" si="220"/>
        <v>-135900</v>
      </c>
      <c r="H13740" s="705" t="s">
        <v>8766</v>
      </c>
    </row>
    <row r="13741" spans="1:8" ht="15" x14ac:dyDescent="0.2">
      <c r="A13741" s="734">
        <v>44898</v>
      </c>
      <c r="B13741" s="63" t="s">
        <v>8339</v>
      </c>
      <c r="C13741" s="63" t="s">
        <v>392</v>
      </c>
      <c r="D13741" s="183" t="s">
        <v>8779</v>
      </c>
      <c r="E13741" s="126">
        <v>5000</v>
      </c>
      <c r="F13741" s="126"/>
      <c r="G13741" s="126">
        <f t="shared" si="220"/>
        <v>-5000</v>
      </c>
      <c r="H13741" s="705" t="s">
        <v>8766</v>
      </c>
    </row>
    <row r="13742" spans="1:8" ht="15" x14ac:dyDescent="0.2">
      <c r="A13742" s="734">
        <v>44898</v>
      </c>
      <c r="B13742" s="63" t="s">
        <v>7921</v>
      </c>
      <c r="C13742" s="63" t="s">
        <v>392</v>
      </c>
      <c r="D13742" s="183" t="s">
        <v>8292</v>
      </c>
      <c r="E13742" s="126">
        <v>1000</v>
      </c>
      <c r="F13742" s="126"/>
      <c r="G13742" s="126">
        <f t="shared" si="220"/>
        <v>-1000</v>
      </c>
      <c r="H13742" s="705" t="s">
        <v>8766</v>
      </c>
    </row>
    <row r="13743" spans="1:8" ht="15" x14ac:dyDescent="0.2">
      <c r="A13743" s="734">
        <v>44898</v>
      </c>
      <c r="B13743" s="63" t="s">
        <v>8339</v>
      </c>
      <c r="C13743" s="63" t="s">
        <v>392</v>
      </c>
      <c r="D13743" s="183" t="s">
        <v>8409</v>
      </c>
      <c r="E13743" s="126">
        <v>2985</v>
      </c>
      <c r="F13743" s="126"/>
      <c r="G13743" s="126">
        <f t="shared" si="220"/>
        <v>-2985</v>
      </c>
      <c r="H13743" s="705" t="s">
        <v>8766</v>
      </c>
    </row>
    <row r="13744" spans="1:8" ht="15" x14ac:dyDescent="0.2">
      <c r="A13744" s="734">
        <v>44898</v>
      </c>
      <c r="B13744" s="63" t="s">
        <v>8339</v>
      </c>
      <c r="C13744" s="63" t="s">
        <v>3145</v>
      </c>
      <c r="D13744" s="183" t="s">
        <v>8787</v>
      </c>
      <c r="E13744" s="126">
        <v>10000</v>
      </c>
      <c r="F13744" s="126"/>
      <c r="G13744" s="126">
        <f t="shared" si="220"/>
        <v>-10000</v>
      </c>
      <c r="H13744" s="705" t="s">
        <v>8766</v>
      </c>
    </row>
    <row r="13745" spans="1:8" ht="15" x14ac:dyDescent="0.2">
      <c r="A13745" s="734">
        <v>44898</v>
      </c>
      <c r="B13745" s="63" t="s">
        <v>8339</v>
      </c>
      <c r="C13745" s="63" t="s">
        <v>3145</v>
      </c>
      <c r="D13745" s="183" t="s">
        <v>8788</v>
      </c>
      <c r="E13745" s="126">
        <v>21000</v>
      </c>
      <c r="F13745" s="126"/>
      <c r="G13745" s="126">
        <f t="shared" si="220"/>
        <v>-21000</v>
      </c>
      <c r="H13745" s="705" t="s">
        <v>8766</v>
      </c>
    </row>
    <row r="13746" spans="1:8" ht="15" x14ac:dyDescent="0.2">
      <c r="A13746" s="734">
        <v>44898</v>
      </c>
      <c r="B13746" s="63" t="s">
        <v>8339</v>
      </c>
      <c r="C13746" s="63" t="s">
        <v>778</v>
      </c>
      <c r="D13746" s="183" t="s">
        <v>8789</v>
      </c>
      <c r="E13746" s="126">
        <v>7680</v>
      </c>
      <c r="F13746" s="126"/>
      <c r="G13746" s="126">
        <f t="shared" si="220"/>
        <v>-7680</v>
      </c>
      <c r="H13746" s="705" t="s">
        <v>8766</v>
      </c>
    </row>
    <row r="13747" spans="1:8" ht="15" x14ac:dyDescent="0.2">
      <c r="A13747" s="734">
        <v>44898</v>
      </c>
      <c r="B13747" s="63" t="s">
        <v>8339</v>
      </c>
      <c r="C13747" s="63" t="s">
        <v>5741</v>
      </c>
      <c r="D13747" s="183" t="s">
        <v>8790</v>
      </c>
      <c r="E13747" s="126">
        <v>1500</v>
      </c>
      <c r="F13747" s="126"/>
      <c r="G13747" s="126">
        <f t="shared" ref="G13747:G13810" si="221">F13747-E13747</f>
        <v>-1500</v>
      </c>
      <c r="H13747" s="705" t="s">
        <v>8766</v>
      </c>
    </row>
    <row r="13748" spans="1:8" ht="15" x14ac:dyDescent="0.2">
      <c r="A13748" s="734">
        <v>44898</v>
      </c>
      <c r="B13748" s="63" t="s">
        <v>37</v>
      </c>
      <c r="C13748" s="63" t="s">
        <v>392</v>
      </c>
      <c r="D13748" s="183" t="s">
        <v>5755</v>
      </c>
      <c r="E13748" s="126">
        <v>3000</v>
      </c>
      <c r="F13748" s="126"/>
      <c r="G13748" s="126">
        <f t="shared" si="221"/>
        <v>-3000</v>
      </c>
      <c r="H13748" s="705" t="s">
        <v>8766</v>
      </c>
    </row>
    <row r="13749" spans="1:8" ht="15" x14ac:dyDescent="0.2">
      <c r="A13749" s="734">
        <v>44898</v>
      </c>
      <c r="B13749" s="63" t="s">
        <v>37</v>
      </c>
      <c r="C13749" s="63" t="s">
        <v>392</v>
      </c>
      <c r="D13749" s="183" t="s">
        <v>8791</v>
      </c>
      <c r="E13749" s="126">
        <v>400</v>
      </c>
      <c r="F13749" s="126"/>
      <c r="G13749" s="126">
        <f t="shared" si="221"/>
        <v>-400</v>
      </c>
      <c r="H13749" s="705" t="s">
        <v>8766</v>
      </c>
    </row>
    <row r="13750" spans="1:8" ht="15" x14ac:dyDescent="0.2">
      <c r="A13750" s="734">
        <v>44900</v>
      </c>
      <c r="B13750" s="63" t="s">
        <v>8532</v>
      </c>
      <c r="C13750" s="63" t="s">
        <v>8564</v>
      </c>
      <c r="D13750" s="183" t="s">
        <v>8809</v>
      </c>
      <c r="E13750" s="126">
        <v>5000</v>
      </c>
      <c r="F13750" s="126"/>
      <c r="G13750" s="126">
        <f t="shared" si="221"/>
        <v>-5000</v>
      </c>
      <c r="H13750" s="705" t="s">
        <v>8766</v>
      </c>
    </row>
    <row r="13751" spans="1:8" ht="15" x14ac:dyDescent="0.2">
      <c r="A13751" s="734">
        <v>44900</v>
      </c>
      <c r="B13751" s="63" t="s">
        <v>2933</v>
      </c>
      <c r="C13751" s="63" t="s">
        <v>3145</v>
      </c>
      <c r="D13751" s="183" t="s">
        <v>6796</v>
      </c>
      <c r="E13751" s="126">
        <v>12050</v>
      </c>
      <c r="F13751" s="126"/>
      <c r="G13751" s="126">
        <f t="shared" si="221"/>
        <v>-12050</v>
      </c>
      <c r="H13751" s="705" t="s">
        <v>8766</v>
      </c>
    </row>
    <row r="13752" spans="1:8" ht="15" x14ac:dyDescent="0.2">
      <c r="A13752" s="734">
        <v>44900</v>
      </c>
      <c r="B13752" s="63" t="s">
        <v>8657</v>
      </c>
      <c r="C13752" s="63" t="s">
        <v>3145</v>
      </c>
      <c r="D13752" s="183" t="s">
        <v>8810</v>
      </c>
      <c r="E13752" s="126">
        <v>1250</v>
      </c>
      <c r="F13752" s="126"/>
      <c r="G13752" s="126">
        <f t="shared" si="221"/>
        <v>-1250</v>
      </c>
      <c r="H13752" s="705" t="s">
        <v>8766</v>
      </c>
    </row>
    <row r="13753" spans="1:8" ht="15" x14ac:dyDescent="0.2">
      <c r="A13753" s="734">
        <v>44901</v>
      </c>
      <c r="B13753" s="63" t="s">
        <v>8339</v>
      </c>
      <c r="C13753" s="63" t="s">
        <v>3145</v>
      </c>
      <c r="D13753" s="183" t="s">
        <v>6979</v>
      </c>
      <c r="E13753" s="126">
        <v>12652</v>
      </c>
      <c r="F13753" s="126"/>
      <c r="G13753" s="126">
        <f t="shared" si="221"/>
        <v>-12652</v>
      </c>
      <c r="H13753" s="705" t="s">
        <v>8766</v>
      </c>
    </row>
    <row r="13754" spans="1:8" ht="15" x14ac:dyDescent="0.2">
      <c r="A13754" s="734">
        <v>44901</v>
      </c>
      <c r="B13754" s="63" t="s">
        <v>8043</v>
      </c>
      <c r="C13754" s="63" t="s">
        <v>3145</v>
      </c>
      <c r="D13754" s="183" t="s">
        <v>6979</v>
      </c>
      <c r="E13754" s="126">
        <v>5930</v>
      </c>
      <c r="F13754" s="126"/>
      <c r="G13754" s="126">
        <f t="shared" si="221"/>
        <v>-5930</v>
      </c>
      <c r="H13754" s="705" t="s">
        <v>8766</v>
      </c>
    </row>
    <row r="13755" spans="1:8" ht="15" x14ac:dyDescent="0.2">
      <c r="A13755" s="734">
        <v>44901</v>
      </c>
      <c r="B13755" s="63" t="s">
        <v>25</v>
      </c>
      <c r="C13755" s="63" t="s">
        <v>2428</v>
      </c>
      <c r="D13755" s="183" t="s">
        <v>8811</v>
      </c>
      <c r="E13755" s="126">
        <v>35618</v>
      </c>
      <c r="F13755" s="126"/>
      <c r="G13755" s="126">
        <f t="shared" si="221"/>
        <v>-35618</v>
      </c>
      <c r="H13755" s="705" t="s">
        <v>8766</v>
      </c>
    </row>
    <row r="13756" spans="1:8" ht="15" x14ac:dyDescent="0.2">
      <c r="A13756" s="734">
        <v>44901</v>
      </c>
      <c r="B13756" s="63" t="s">
        <v>8339</v>
      </c>
      <c r="C13756" s="63" t="s">
        <v>8812</v>
      </c>
      <c r="D13756" s="183" t="s">
        <v>2431</v>
      </c>
      <c r="E13756" s="126">
        <v>1375</v>
      </c>
      <c r="F13756" s="126"/>
      <c r="G13756" s="126">
        <f t="shared" si="221"/>
        <v>-1375</v>
      </c>
      <c r="H13756" s="705" t="s">
        <v>8766</v>
      </c>
    </row>
    <row r="13757" spans="1:8" ht="15" x14ac:dyDescent="0.2">
      <c r="A13757" s="734">
        <v>44901</v>
      </c>
      <c r="B13757" s="63" t="s">
        <v>8339</v>
      </c>
      <c r="C13757" s="63" t="s">
        <v>8502</v>
      </c>
      <c r="D13757" s="183" t="s">
        <v>8813</v>
      </c>
      <c r="E13757" s="126">
        <v>30000</v>
      </c>
      <c r="F13757" s="126"/>
      <c r="G13757" s="126">
        <f t="shared" si="221"/>
        <v>-30000</v>
      </c>
      <c r="H13757" s="705" t="s">
        <v>8766</v>
      </c>
    </row>
    <row r="13758" spans="1:8" ht="15" x14ac:dyDescent="0.2">
      <c r="A13758" s="734">
        <v>44901</v>
      </c>
      <c r="B13758" s="63" t="s">
        <v>2933</v>
      </c>
      <c r="C13758" s="63" t="s">
        <v>3145</v>
      </c>
      <c r="D13758" s="183" t="s">
        <v>6344</v>
      </c>
      <c r="E13758" s="126">
        <v>7870</v>
      </c>
      <c r="F13758" s="126"/>
      <c r="G13758" s="126">
        <f t="shared" si="221"/>
        <v>-7870</v>
      </c>
      <c r="H13758" s="705" t="s">
        <v>8766</v>
      </c>
    </row>
    <row r="13759" spans="1:8" ht="15" x14ac:dyDescent="0.2">
      <c r="A13759" s="734">
        <v>44901</v>
      </c>
      <c r="B13759" s="63" t="s">
        <v>16</v>
      </c>
      <c r="C13759" s="63" t="s">
        <v>103</v>
      </c>
      <c r="D13759" s="183" t="s">
        <v>8712</v>
      </c>
      <c r="E13759" s="126">
        <v>6345</v>
      </c>
      <c r="F13759" s="126"/>
      <c r="G13759" s="126">
        <f t="shared" si="221"/>
        <v>-6345</v>
      </c>
      <c r="H13759" s="705" t="s">
        <v>8766</v>
      </c>
    </row>
    <row r="13760" spans="1:8" ht="15" x14ac:dyDescent="0.2">
      <c r="A13760" s="734">
        <v>44901</v>
      </c>
      <c r="B13760" s="63" t="s">
        <v>3946</v>
      </c>
      <c r="C13760" s="63" t="s">
        <v>286</v>
      </c>
      <c r="D13760" s="183" t="s">
        <v>2431</v>
      </c>
      <c r="E13760" s="126">
        <v>200</v>
      </c>
      <c r="F13760" s="126"/>
      <c r="G13760" s="126">
        <f t="shared" si="221"/>
        <v>-200</v>
      </c>
      <c r="H13760" s="705" t="s">
        <v>8766</v>
      </c>
    </row>
    <row r="13761" spans="1:8" ht="15" x14ac:dyDescent="0.2">
      <c r="A13761" s="734">
        <v>44901</v>
      </c>
      <c r="B13761" s="63" t="s">
        <v>16</v>
      </c>
      <c r="C13761" s="63" t="s">
        <v>286</v>
      </c>
      <c r="D13761" s="183" t="s">
        <v>8448</v>
      </c>
      <c r="E13761" s="126">
        <v>375</v>
      </c>
      <c r="F13761" s="126"/>
      <c r="G13761" s="126">
        <f t="shared" si="221"/>
        <v>-375</v>
      </c>
      <c r="H13761" s="705" t="s">
        <v>8766</v>
      </c>
    </row>
    <row r="13762" spans="1:8" ht="15" x14ac:dyDescent="0.2">
      <c r="A13762" s="734">
        <v>44902</v>
      </c>
      <c r="B13762" s="63" t="s">
        <v>8532</v>
      </c>
      <c r="C13762" s="63" t="s">
        <v>392</v>
      </c>
      <c r="D13762" s="183" t="s">
        <v>8838</v>
      </c>
      <c r="E13762" s="126">
        <v>1000</v>
      </c>
      <c r="F13762" s="126"/>
      <c r="G13762" s="126">
        <f t="shared" si="221"/>
        <v>-1000</v>
      </c>
      <c r="H13762" s="705" t="s">
        <v>8766</v>
      </c>
    </row>
    <row r="13763" spans="1:8" ht="15" x14ac:dyDescent="0.2">
      <c r="A13763" s="734">
        <v>44902</v>
      </c>
      <c r="B13763" s="63" t="s">
        <v>6953</v>
      </c>
      <c r="C13763" s="63"/>
      <c r="D13763" s="183" t="s">
        <v>8837</v>
      </c>
      <c r="E13763" s="126">
        <v>4000</v>
      </c>
      <c r="F13763" s="126"/>
      <c r="G13763" s="126">
        <f t="shared" si="221"/>
        <v>-4000</v>
      </c>
      <c r="H13763" s="705" t="s">
        <v>8766</v>
      </c>
    </row>
    <row r="13764" spans="1:8" ht="15" x14ac:dyDescent="0.2">
      <c r="A13764" s="734">
        <v>44902</v>
      </c>
      <c r="B13764" s="63" t="s">
        <v>11</v>
      </c>
      <c r="C13764" s="63" t="s">
        <v>3145</v>
      </c>
      <c r="D13764" s="183" t="s">
        <v>8814</v>
      </c>
      <c r="E13764" s="126">
        <v>3930</v>
      </c>
      <c r="F13764" s="126"/>
      <c r="G13764" s="126">
        <f t="shared" si="221"/>
        <v>-3930</v>
      </c>
      <c r="H13764" s="705" t="s">
        <v>8766</v>
      </c>
    </row>
    <row r="13765" spans="1:8" ht="15" x14ac:dyDescent="0.2">
      <c r="A13765" s="734">
        <v>44902</v>
      </c>
      <c r="B13765" s="63" t="s">
        <v>8532</v>
      </c>
      <c r="C13765" s="63" t="s">
        <v>8564</v>
      </c>
      <c r="D13765" s="183" t="s">
        <v>8815</v>
      </c>
      <c r="E13765" s="126">
        <v>1000</v>
      </c>
      <c r="F13765" s="126"/>
      <c r="G13765" s="126">
        <f t="shared" si="221"/>
        <v>-1000</v>
      </c>
      <c r="H13765" s="705" t="s">
        <v>8766</v>
      </c>
    </row>
    <row r="13766" spans="1:8" ht="15" x14ac:dyDescent="0.2">
      <c r="A13766" s="734">
        <v>44902</v>
      </c>
      <c r="B13766" s="63" t="s">
        <v>8532</v>
      </c>
      <c r="C13766" s="63" t="s">
        <v>3145</v>
      </c>
      <c r="D13766" s="183" t="s">
        <v>4452</v>
      </c>
      <c r="E13766" s="126">
        <v>1670</v>
      </c>
      <c r="F13766" s="126"/>
      <c r="G13766" s="126">
        <f t="shared" si="221"/>
        <v>-1670</v>
      </c>
      <c r="H13766" s="705" t="s">
        <v>8766</v>
      </c>
    </row>
    <row r="13767" spans="1:8" ht="15" x14ac:dyDescent="0.2">
      <c r="A13767" s="734">
        <v>44902</v>
      </c>
      <c r="B13767" s="63" t="s">
        <v>16</v>
      </c>
      <c r="C13767" s="63" t="s">
        <v>8816</v>
      </c>
      <c r="D13767" s="183" t="s">
        <v>8817</v>
      </c>
      <c r="E13767" s="126">
        <v>11850</v>
      </c>
      <c r="F13767" s="126"/>
      <c r="G13767" s="126">
        <f t="shared" si="221"/>
        <v>-11850</v>
      </c>
      <c r="H13767" s="705" t="s">
        <v>8766</v>
      </c>
    </row>
    <row r="13768" spans="1:8" ht="15" x14ac:dyDescent="0.2">
      <c r="A13768" s="734">
        <v>44902</v>
      </c>
      <c r="B13768" s="63" t="s">
        <v>16</v>
      </c>
      <c r="C13768" s="63" t="s">
        <v>392</v>
      </c>
      <c r="D13768" s="183" t="s">
        <v>8111</v>
      </c>
      <c r="E13768" s="126">
        <v>5400</v>
      </c>
      <c r="F13768" s="126"/>
      <c r="G13768" s="126">
        <f t="shared" si="221"/>
        <v>-5400</v>
      </c>
      <c r="H13768" s="705" t="s">
        <v>8766</v>
      </c>
    </row>
    <row r="13769" spans="1:8" ht="15" x14ac:dyDescent="0.2">
      <c r="A13769" s="734">
        <v>44902</v>
      </c>
      <c r="B13769" s="63" t="s">
        <v>7657</v>
      </c>
      <c r="C13769" s="63" t="s">
        <v>392</v>
      </c>
      <c r="D13769" s="183" t="s">
        <v>5452</v>
      </c>
      <c r="E13769" s="126">
        <v>5500</v>
      </c>
      <c r="F13769" s="126"/>
      <c r="G13769" s="126">
        <f t="shared" si="221"/>
        <v>-5500</v>
      </c>
      <c r="H13769" s="705" t="s">
        <v>8766</v>
      </c>
    </row>
    <row r="13770" spans="1:8" ht="15" x14ac:dyDescent="0.2">
      <c r="A13770" s="734">
        <v>44902</v>
      </c>
      <c r="B13770" s="63" t="s">
        <v>8559</v>
      </c>
      <c r="C13770" s="63" t="s">
        <v>392</v>
      </c>
      <c r="D13770" s="183" t="s">
        <v>4452</v>
      </c>
      <c r="E13770" s="126">
        <v>4000</v>
      </c>
      <c r="F13770" s="126"/>
      <c r="G13770" s="126">
        <f t="shared" si="221"/>
        <v>-4000</v>
      </c>
      <c r="H13770" s="705" t="s">
        <v>8766</v>
      </c>
    </row>
    <row r="13771" spans="1:8" ht="15" x14ac:dyDescent="0.2">
      <c r="A13771" s="734">
        <v>44902</v>
      </c>
      <c r="B13771" s="63" t="s">
        <v>2933</v>
      </c>
      <c r="C13771" s="63" t="s">
        <v>392</v>
      </c>
      <c r="D13771" s="183" t="s">
        <v>4452</v>
      </c>
      <c r="E13771" s="126">
        <v>6000</v>
      </c>
      <c r="F13771" s="126"/>
      <c r="G13771" s="126">
        <f t="shared" si="221"/>
        <v>-6000</v>
      </c>
      <c r="H13771" s="705" t="s">
        <v>8766</v>
      </c>
    </row>
    <row r="13772" spans="1:8" ht="15" x14ac:dyDescent="0.2">
      <c r="A13772" s="734">
        <v>44902</v>
      </c>
      <c r="B13772" s="63" t="s">
        <v>6505</v>
      </c>
      <c r="C13772" s="63"/>
      <c r="D13772" s="183" t="s">
        <v>4452</v>
      </c>
      <c r="E13772" s="126">
        <v>2000</v>
      </c>
      <c r="F13772" s="126"/>
      <c r="G13772" s="126">
        <f t="shared" si="221"/>
        <v>-2000</v>
      </c>
      <c r="H13772" s="705" t="s">
        <v>8766</v>
      </c>
    </row>
    <row r="13773" spans="1:8" ht="15" x14ac:dyDescent="0.2">
      <c r="A13773" s="734">
        <v>44902</v>
      </c>
      <c r="B13773" s="63" t="s">
        <v>16</v>
      </c>
      <c r="C13773" s="63" t="s">
        <v>392</v>
      </c>
      <c r="D13773" s="183" t="s">
        <v>8818</v>
      </c>
      <c r="E13773" s="126">
        <v>9500</v>
      </c>
      <c r="F13773" s="126"/>
      <c r="G13773" s="126">
        <f t="shared" si="221"/>
        <v>-9500</v>
      </c>
      <c r="H13773" s="705" t="s">
        <v>8766</v>
      </c>
    </row>
    <row r="13774" spans="1:8" ht="15" x14ac:dyDescent="0.2">
      <c r="A13774" s="734">
        <v>44902</v>
      </c>
      <c r="B13774" s="63" t="s">
        <v>7921</v>
      </c>
      <c r="C13774" s="63" t="s">
        <v>3145</v>
      </c>
      <c r="D13774" s="183" t="s">
        <v>8305</v>
      </c>
      <c r="E13774" s="126">
        <v>1100</v>
      </c>
      <c r="F13774" s="126"/>
      <c r="G13774" s="126">
        <f t="shared" si="221"/>
        <v>-1100</v>
      </c>
      <c r="H13774" s="705" t="s">
        <v>8766</v>
      </c>
    </row>
    <row r="13775" spans="1:8" ht="15" x14ac:dyDescent="0.2">
      <c r="A13775" s="734">
        <v>44902</v>
      </c>
      <c r="B13775" s="63" t="s">
        <v>8532</v>
      </c>
      <c r="C13775" s="63" t="s">
        <v>2666</v>
      </c>
      <c r="D13775" s="183" t="s">
        <v>2711</v>
      </c>
      <c r="E13775" s="126">
        <v>62000</v>
      </c>
      <c r="F13775" s="126"/>
      <c r="G13775" s="126">
        <f t="shared" si="221"/>
        <v>-62000</v>
      </c>
      <c r="H13775" s="705" t="s">
        <v>8766</v>
      </c>
    </row>
    <row r="13776" spans="1:8" ht="15" x14ac:dyDescent="0.2">
      <c r="A13776" s="734">
        <v>44902</v>
      </c>
      <c r="B13776" s="63" t="s">
        <v>8657</v>
      </c>
      <c r="C13776" s="63" t="s">
        <v>3145</v>
      </c>
      <c r="D13776" s="183" t="s">
        <v>8830</v>
      </c>
      <c r="E13776" s="126">
        <v>33500</v>
      </c>
      <c r="F13776" s="126"/>
      <c r="G13776" s="126">
        <f t="shared" si="221"/>
        <v>-33500</v>
      </c>
      <c r="H13776" s="705" t="s">
        <v>8766</v>
      </c>
    </row>
    <row r="13777" spans="1:8" ht="15" x14ac:dyDescent="0.2">
      <c r="A13777" s="734">
        <v>44902</v>
      </c>
      <c r="B13777" s="63" t="s">
        <v>8043</v>
      </c>
      <c r="C13777" s="63" t="s">
        <v>392</v>
      </c>
      <c r="D13777" s="183" t="s">
        <v>8831</v>
      </c>
      <c r="E13777" s="126">
        <v>16300</v>
      </c>
      <c r="F13777" s="126"/>
      <c r="G13777" s="126">
        <f t="shared" si="221"/>
        <v>-16300</v>
      </c>
      <c r="H13777" s="705" t="s">
        <v>8766</v>
      </c>
    </row>
    <row r="13778" spans="1:8" ht="15" x14ac:dyDescent="0.2">
      <c r="A13778" s="734">
        <v>44902</v>
      </c>
      <c r="B13778" s="63" t="s">
        <v>8043</v>
      </c>
      <c r="C13778" s="63" t="s">
        <v>6784</v>
      </c>
      <c r="D13778" s="183" t="s">
        <v>7399</v>
      </c>
      <c r="E13778" s="126">
        <v>25000</v>
      </c>
      <c r="F13778" s="126"/>
      <c r="G13778" s="126">
        <f t="shared" si="221"/>
        <v>-25000</v>
      </c>
      <c r="H13778" s="705" t="s">
        <v>8766</v>
      </c>
    </row>
    <row r="13779" spans="1:8" ht="15" x14ac:dyDescent="0.2">
      <c r="A13779" s="734">
        <v>44902</v>
      </c>
      <c r="B13779" s="63" t="s">
        <v>8339</v>
      </c>
      <c r="C13779" s="63" t="s">
        <v>3145</v>
      </c>
      <c r="D13779" s="183" t="s">
        <v>8832</v>
      </c>
      <c r="E13779" s="126">
        <v>5500</v>
      </c>
      <c r="F13779" s="126"/>
      <c r="G13779" s="126">
        <f t="shared" si="221"/>
        <v>-5500</v>
      </c>
      <c r="H13779" s="705" t="s">
        <v>8766</v>
      </c>
    </row>
    <row r="13780" spans="1:8" ht="15" x14ac:dyDescent="0.2">
      <c r="A13780" s="734">
        <v>44902</v>
      </c>
      <c r="B13780" s="63" t="s">
        <v>8043</v>
      </c>
      <c r="C13780" s="63" t="s">
        <v>3145</v>
      </c>
      <c r="D13780" s="183" t="s">
        <v>8833</v>
      </c>
      <c r="E13780" s="126">
        <v>12000</v>
      </c>
      <c r="F13780" s="126"/>
      <c r="G13780" s="126">
        <f t="shared" si="221"/>
        <v>-12000</v>
      </c>
      <c r="H13780" s="705" t="s">
        <v>8766</v>
      </c>
    </row>
    <row r="13781" spans="1:8" ht="15" x14ac:dyDescent="0.2">
      <c r="A13781" s="734">
        <v>44902</v>
      </c>
      <c r="B13781" s="63" t="s">
        <v>8339</v>
      </c>
      <c r="C13781" s="63" t="s">
        <v>3145</v>
      </c>
      <c r="D13781" s="183" t="s">
        <v>8833</v>
      </c>
      <c r="E13781" s="126">
        <v>4870</v>
      </c>
      <c r="F13781" s="126"/>
      <c r="G13781" s="126">
        <f t="shared" si="221"/>
        <v>-4870</v>
      </c>
      <c r="H13781" s="705" t="s">
        <v>8766</v>
      </c>
    </row>
    <row r="13782" spans="1:8" ht="15" x14ac:dyDescent="0.2">
      <c r="A13782" s="734">
        <v>44902</v>
      </c>
      <c r="B13782" s="63" t="s">
        <v>16</v>
      </c>
      <c r="C13782" s="63" t="s">
        <v>1495</v>
      </c>
      <c r="D13782" s="183"/>
      <c r="E13782" s="126">
        <v>1000</v>
      </c>
      <c r="F13782" s="126"/>
      <c r="G13782" s="126">
        <f t="shared" si="221"/>
        <v>-1000</v>
      </c>
      <c r="H13782" s="705" t="s">
        <v>8766</v>
      </c>
    </row>
    <row r="13783" spans="1:8" ht="15" x14ac:dyDescent="0.2">
      <c r="A13783" s="734">
        <v>44902</v>
      </c>
      <c r="B13783" s="63" t="s">
        <v>16</v>
      </c>
      <c r="C13783" s="63" t="s">
        <v>3364</v>
      </c>
      <c r="D13783" s="183"/>
      <c r="E13783" s="126">
        <v>4950</v>
      </c>
      <c r="F13783" s="126"/>
      <c r="G13783" s="126">
        <f t="shared" si="221"/>
        <v>-4950</v>
      </c>
      <c r="H13783" s="705" t="s">
        <v>8766</v>
      </c>
    </row>
    <row r="13784" spans="1:8" ht="15" x14ac:dyDescent="0.2">
      <c r="A13784" s="734">
        <v>44902</v>
      </c>
      <c r="B13784" s="63" t="s">
        <v>8043</v>
      </c>
      <c r="C13784" s="63" t="s">
        <v>6967</v>
      </c>
      <c r="D13784" s="183" t="s">
        <v>8278</v>
      </c>
      <c r="E13784" s="126">
        <v>10000</v>
      </c>
      <c r="F13784" s="126"/>
      <c r="G13784" s="126">
        <f t="shared" si="221"/>
        <v>-10000</v>
      </c>
      <c r="H13784" s="705" t="s">
        <v>8766</v>
      </c>
    </row>
    <row r="13785" spans="1:8" ht="15" x14ac:dyDescent="0.2">
      <c r="A13785" s="734">
        <v>44902</v>
      </c>
      <c r="B13785" s="63" t="s">
        <v>8339</v>
      </c>
      <c r="C13785" s="63" t="s">
        <v>8502</v>
      </c>
      <c r="D13785" s="183" t="s">
        <v>8834</v>
      </c>
      <c r="E13785" s="126">
        <v>13000</v>
      </c>
      <c r="F13785" s="126"/>
      <c r="G13785" s="126">
        <f t="shared" si="221"/>
        <v>-13000</v>
      </c>
      <c r="H13785" s="705" t="s">
        <v>8766</v>
      </c>
    </row>
    <row r="13786" spans="1:8" ht="15" x14ac:dyDescent="0.2">
      <c r="A13786" s="734">
        <v>44903</v>
      </c>
      <c r="B13786" s="63" t="s">
        <v>8657</v>
      </c>
      <c r="C13786" s="63" t="s">
        <v>5741</v>
      </c>
      <c r="D13786" s="183" t="s">
        <v>8839</v>
      </c>
      <c r="E13786" s="126">
        <v>1100</v>
      </c>
      <c r="F13786" s="126"/>
      <c r="G13786" s="126">
        <f t="shared" si="221"/>
        <v>-1100</v>
      </c>
      <c r="H13786" s="705" t="s">
        <v>8766</v>
      </c>
    </row>
    <row r="13787" spans="1:8" ht="15" x14ac:dyDescent="0.2">
      <c r="A13787" s="734">
        <v>44903</v>
      </c>
      <c r="B13787" s="63" t="s">
        <v>3946</v>
      </c>
      <c r="C13787" s="63" t="s">
        <v>392</v>
      </c>
      <c r="D13787" s="183" t="s">
        <v>8842</v>
      </c>
      <c r="E13787" s="126">
        <v>3000</v>
      </c>
      <c r="F13787" s="126"/>
      <c r="G13787" s="126">
        <f t="shared" si="221"/>
        <v>-3000</v>
      </c>
      <c r="H13787" s="705" t="s">
        <v>8766</v>
      </c>
    </row>
    <row r="13788" spans="1:8" ht="15" x14ac:dyDescent="0.2">
      <c r="A13788" s="734">
        <v>44903</v>
      </c>
      <c r="B13788" s="63" t="s">
        <v>16</v>
      </c>
      <c r="C13788" s="63" t="s">
        <v>8150</v>
      </c>
      <c r="D13788" s="183" t="s">
        <v>8619</v>
      </c>
      <c r="E13788" s="126">
        <v>270</v>
      </c>
      <c r="F13788" s="126"/>
      <c r="G13788" s="126">
        <f t="shared" si="221"/>
        <v>-270</v>
      </c>
      <c r="H13788" s="705" t="s">
        <v>8766</v>
      </c>
    </row>
    <row r="13789" spans="1:8" ht="15" x14ac:dyDescent="0.2">
      <c r="A13789" s="734">
        <v>44903</v>
      </c>
      <c r="B13789" s="63" t="s">
        <v>25</v>
      </c>
      <c r="C13789" s="63" t="s">
        <v>8150</v>
      </c>
      <c r="D13789" s="183" t="s">
        <v>8619</v>
      </c>
      <c r="E13789" s="126">
        <v>600</v>
      </c>
      <c r="F13789" s="126"/>
      <c r="G13789" s="126">
        <f t="shared" si="221"/>
        <v>-600</v>
      </c>
      <c r="H13789" s="705" t="s">
        <v>8766</v>
      </c>
    </row>
    <row r="13790" spans="1:8" ht="15" x14ac:dyDescent="0.2">
      <c r="A13790" s="734">
        <v>44903</v>
      </c>
      <c r="B13790" s="63" t="s">
        <v>16</v>
      </c>
      <c r="C13790" s="63" t="s">
        <v>3843</v>
      </c>
      <c r="D13790" s="183" t="s">
        <v>8712</v>
      </c>
      <c r="E13790" s="126">
        <v>4906</v>
      </c>
      <c r="F13790" s="126"/>
      <c r="G13790" s="126">
        <f t="shared" si="221"/>
        <v>-4906</v>
      </c>
      <c r="H13790" s="705" t="s">
        <v>8766</v>
      </c>
    </row>
    <row r="13791" spans="1:8" ht="15" x14ac:dyDescent="0.2">
      <c r="A13791" s="734">
        <v>44904</v>
      </c>
      <c r="B13791" s="63" t="s">
        <v>8077</v>
      </c>
      <c r="C13791" s="63" t="s">
        <v>392</v>
      </c>
      <c r="D13791" s="183" t="s">
        <v>8841</v>
      </c>
      <c r="E13791" s="126">
        <v>4000</v>
      </c>
      <c r="F13791" s="126"/>
      <c r="G13791" s="126">
        <f t="shared" si="221"/>
        <v>-4000</v>
      </c>
      <c r="H13791" s="705" t="s">
        <v>8766</v>
      </c>
    </row>
    <row r="13792" spans="1:8" ht="15" x14ac:dyDescent="0.2">
      <c r="A13792" s="734">
        <v>44904</v>
      </c>
      <c r="B13792" s="63" t="s">
        <v>8077</v>
      </c>
      <c r="C13792" s="63" t="s">
        <v>392</v>
      </c>
      <c r="D13792" s="183" t="s">
        <v>8840</v>
      </c>
      <c r="E13792" s="126">
        <v>6000</v>
      </c>
      <c r="F13792" s="126"/>
      <c r="G13792" s="126">
        <f t="shared" si="221"/>
        <v>-6000</v>
      </c>
      <c r="H13792" s="705" t="s">
        <v>8766</v>
      </c>
    </row>
    <row r="13793" spans="1:8" ht="15" x14ac:dyDescent="0.2">
      <c r="A13793" s="734">
        <v>44904</v>
      </c>
      <c r="B13793" s="63" t="s">
        <v>8657</v>
      </c>
      <c r="C13793" s="63" t="s">
        <v>6706</v>
      </c>
      <c r="D13793" s="183" t="s">
        <v>8836</v>
      </c>
      <c r="E13793" s="126">
        <v>790800</v>
      </c>
      <c r="F13793" s="126"/>
      <c r="G13793" s="126">
        <f t="shared" si="221"/>
        <v>-790800</v>
      </c>
      <c r="H13793" s="705" t="s">
        <v>8766</v>
      </c>
    </row>
    <row r="13794" spans="1:8" ht="24" x14ac:dyDescent="0.2">
      <c r="A13794" s="734">
        <v>44904</v>
      </c>
      <c r="B13794" s="63" t="s">
        <v>8657</v>
      </c>
      <c r="C13794" s="63" t="s">
        <v>5681</v>
      </c>
      <c r="D13794" s="183" t="s">
        <v>8835</v>
      </c>
      <c r="E13794" s="126">
        <v>500000</v>
      </c>
      <c r="F13794" s="126"/>
      <c r="G13794" s="126">
        <f t="shared" si="221"/>
        <v>-500000</v>
      </c>
      <c r="H13794" s="705" t="s">
        <v>8766</v>
      </c>
    </row>
    <row r="13795" spans="1:8" ht="24" x14ac:dyDescent="0.2">
      <c r="A13795" s="734">
        <v>44904</v>
      </c>
      <c r="B13795" s="63" t="s">
        <v>8657</v>
      </c>
      <c r="C13795" s="63" t="s">
        <v>5681</v>
      </c>
      <c r="D13795" s="183" t="s">
        <v>8835</v>
      </c>
      <c r="E13795" s="126">
        <v>350000</v>
      </c>
      <c r="F13795" s="126"/>
      <c r="G13795" s="126">
        <f t="shared" si="221"/>
        <v>-350000</v>
      </c>
      <c r="H13795" s="705" t="s">
        <v>8766</v>
      </c>
    </row>
    <row r="13796" spans="1:8" ht="15" x14ac:dyDescent="0.2">
      <c r="A13796" s="734">
        <v>44907</v>
      </c>
      <c r="B13796" s="63" t="s">
        <v>8559</v>
      </c>
      <c r="C13796" s="63" t="s">
        <v>3145</v>
      </c>
      <c r="D13796" s="183" t="s">
        <v>6057</v>
      </c>
      <c r="E13796" s="126">
        <v>2200</v>
      </c>
      <c r="F13796" s="126"/>
      <c r="G13796" s="126">
        <f t="shared" si="221"/>
        <v>-2200</v>
      </c>
      <c r="H13796" s="705" t="s">
        <v>8766</v>
      </c>
    </row>
    <row r="13797" spans="1:8" ht="15" x14ac:dyDescent="0.2">
      <c r="A13797" s="734">
        <v>44907</v>
      </c>
      <c r="B13797" s="63" t="s">
        <v>8043</v>
      </c>
      <c r="C13797" s="63" t="s">
        <v>392</v>
      </c>
      <c r="D13797" s="183" t="s">
        <v>5755</v>
      </c>
      <c r="E13797" s="126">
        <v>2000</v>
      </c>
      <c r="F13797" s="126"/>
      <c r="G13797" s="126">
        <f t="shared" si="221"/>
        <v>-2000</v>
      </c>
      <c r="H13797" s="705" t="s">
        <v>8766</v>
      </c>
    </row>
    <row r="13798" spans="1:8" ht="15" x14ac:dyDescent="0.2">
      <c r="A13798" s="734">
        <v>44907</v>
      </c>
      <c r="B13798" s="63" t="s">
        <v>7921</v>
      </c>
      <c r="C13798" s="63" t="s">
        <v>8845</v>
      </c>
      <c r="D13798" s="183" t="s">
        <v>8846</v>
      </c>
      <c r="E13798" s="126">
        <v>46800</v>
      </c>
      <c r="F13798" s="126"/>
      <c r="G13798" s="126">
        <f t="shared" si="221"/>
        <v>-46800</v>
      </c>
      <c r="H13798" s="705" t="s">
        <v>8766</v>
      </c>
    </row>
    <row r="13799" spans="1:8" ht="15" x14ac:dyDescent="0.2">
      <c r="A13799" s="734">
        <v>44907</v>
      </c>
      <c r="B13799" s="63" t="s">
        <v>8559</v>
      </c>
      <c r="C13799" s="63" t="s">
        <v>3145</v>
      </c>
      <c r="D13799" s="183" t="s">
        <v>6057</v>
      </c>
      <c r="E13799" s="126">
        <v>32490</v>
      </c>
      <c r="F13799" s="126"/>
      <c r="G13799" s="126">
        <f t="shared" si="221"/>
        <v>-32490</v>
      </c>
      <c r="H13799" s="705" t="s">
        <v>8766</v>
      </c>
    </row>
    <row r="13800" spans="1:8" ht="15" x14ac:dyDescent="0.2">
      <c r="A13800" s="734">
        <v>44907</v>
      </c>
      <c r="B13800" s="63" t="s">
        <v>8559</v>
      </c>
      <c r="C13800" s="63" t="s">
        <v>3145</v>
      </c>
      <c r="D13800" s="183" t="s">
        <v>6057</v>
      </c>
      <c r="E13800" s="126">
        <v>50810</v>
      </c>
      <c r="F13800" s="126"/>
      <c r="G13800" s="126">
        <f t="shared" si="221"/>
        <v>-50810</v>
      </c>
      <c r="H13800" s="705" t="s">
        <v>8766</v>
      </c>
    </row>
    <row r="13801" spans="1:8" ht="15" x14ac:dyDescent="0.2">
      <c r="A13801" s="734">
        <v>44907</v>
      </c>
      <c r="B13801" s="63" t="s">
        <v>7921</v>
      </c>
      <c r="C13801" s="63" t="s">
        <v>6967</v>
      </c>
      <c r="D13801" s="183" t="s">
        <v>8847</v>
      </c>
      <c r="E13801" s="126">
        <v>15000</v>
      </c>
      <c r="F13801" s="126"/>
      <c r="G13801" s="126">
        <f t="shared" si="221"/>
        <v>-15000</v>
      </c>
      <c r="H13801" s="705" t="s">
        <v>8766</v>
      </c>
    </row>
    <row r="13802" spans="1:8" ht="15" x14ac:dyDescent="0.2">
      <c r="A13802" s="734">
        <v>44907</v>
      </c>
      <c r="B13802" s="63" t="s">
        <v>8559</v>
      </c>
      <c r="C13802" s="63" t="s">
        <v>8666</v>
      </c>
      <c r="D13802" s="183" t="s">
        <v>5858</v>
      </c>
      <c r="E13802" s="126">
        <v>30000</v>
      </c>
      <c r="F13802" s="126"/>
      <c r="G13802" s="126">
        <f t="shared" si="221"/>
        <v>-30000</v>
      </c>
      <c r="H13802" s="705" t="s">
        <v>8766</v>
      </c>
    </row>
    <row r="13803" spans="1:8" ht="15" x14ac:dyDescent="0.2">
      <c r="A13803" s="734">
        <v>44907</v>
      </c>
      <c r="B13803" s="63" t="s">
        <v>3946</v>
      </c>
      <c r="C13803" s="63" t="s">
        <v>7223</v>
      </c>
      <c r="D13803" s="183" t="s">
        <v>8848</v>
      </c>
      <c r="E13803" s="126">
        <v>21600</v>
      </c>
      <c r="F13803" s="126"/>
      <c r="G13803" s="126">
        <f t="shared" si="221"/>
        <v>-21600</v>
      </c>
      <c r="H13803" s="705" t="s">
        <v>8766</v>
      </c>
    </row>
    <row r="13804" spans="1:8" ht="24" x14ac:dyDescent="0.2">
      <c r="A13804" s="734">
        <v>44907</v>
      </c>
      <c r="B13804" s="63" t="s">
        <v>7921</v>
      </c>
      <c r="C13804" s="551" t="s">
        <v>438</v>
      </c>
      <c r="D13804" s="740" t="s">
        <v>9214</v>
      </c>
      <c r="E13804" s="552">
        <v>24400</v>
      </c>
      <c r="F13804" s="126"/>
      <c r="G13804" s="126">
        <f t="shared" si="221"/>
        <v>-24400</v>
      </c>
      <c r="H13804" s="705" t="s">
        <v>8766</v>
      </c>
    </row>
    <row r="13805" spans="1:8" ht="24" x14ac:dyDescent="0.2">
      <c r="A13805" s="734">
        <v>44907</v>
      </c>
      <c r="B13805" s="63" t="s">
        <v>3946</v>
      </c>
      <c r="C13805" s="551" t="s">
        <v>438</v>
      </c>
      <c r="D13805" s="740" t="s">
        <v>9214</v>
      </c>
      <c r="E13805" s="552">
        <v>68000</v>
      </c>
      <c r="F13805" s="126"/>
      <c r="G13805" s="126">
        <f t="shared" si="221"/>
        <v>-68000</v>
      </c>
      <c r="H13805" s="705" t="s">
        <v>8766</v>
      </c>
    </row>
    <row r="13806" spans="1:8" ht="24" x14ac:dyDescent="0.2">
      <c r="A13806" s="734">
        <v>44907</v>
      </c>
      <c r="B13806" s="63" t="s">
        <v>1400</v>
      </c>
      <c r="C13806" s="551" t="s">
        <v>438</v>
      </c>
      <c r="D13806" s="740" t="s">
        <v>9214</v>
      </c>
      <c r="E13806" s="552">
        <v>7600</v>
      </c>
      <c r="F13806" s="126"/>
      <c r="G13806" s="126">
        <f t="shared" si="221"/>
        <v>-7600</v>
      </c>
      <c r="H13806" s="705" t="s">
        <v>8766</v>
      </c>
    </row>
    <row r="13807" spans="1:8" ht="24" x14ac:dyDescent="0.2">
      <c r="A13807" s="734">
        <v>44907</v>
      </c>
      <c r="B13807" s="63" t="s">
        <v>7921</v>
      </c>
      <c r="C13807" s="63" t="s">
        <v>8207</v>
      </c>
      <c r="D13807" s="183" t="s">
        <v>8850</v>
      </c>
      <c r="E13807" s="126">
        <v>144795</v>
      </c>
      <c r="F13807" s="126"/>
      <c r="G13807" s="126">
        <f t="shared" si="221"/>
        <v>-144795</v>
      </c>
      <c r="H13807" s="705" t="s">
        <v>8766</v>
      </c>
    </row>
    <row r="13808" spans="1:8" ht="15" x14ac:dyDescent="0.2">
      <c r="A13808" s="734">
        <v>44907</v>
      </c>
      <c r="B13808" s="63" t="s">
        <v>8339</v>
      </c>
      <c r="C13808" s="551" t="s">
        <v>3145</v>
      </c>
      <c r="D13808" s="740" t="s">
        <v>8873</v>
      </c>
      <c r="E13808" s="552">
        <v>6585</v>
      </c>
      <c r="F13808" s="126"/>
      <c r="G13808" s="126">
        <f t="shared" si="221"/>
        <v>-6585</v>
      </c>
      <c r="H13808" s="705" t="s">
        <v>8766</v>
      </c>
    </row>
    <row r="13809" spans="1:8" ht="15" x14ac:dyDescent="0.2">
      <c r="A13809" s="734">
        <v>44907</v>
      </c>
      <c r="B13809" s="63" t="s">
        <v>8043</v>
      </c>
      <c r="C13809" s="551" t="s">
        <v>3145</v>
      </c>
      <c r="D13809" s="740" t="s">
        <v>8873</v>
      </c>
      <c r="E13809" s="552">
        <v>6585</v>
      </c>
      <c r="F13809" s="126"/>
      <c r="G13809" s="126">
        <f t="shared" si="221"/>
        <v>-6585</v>
      </c>
      <c r="H13809" s="705" t="s">
        <v>8766</v>
      </c>
    </row>
    <row r="13810" spans="1:8" ht="15" x14ac:dyDescent="0.2">
      <c r="A13810" s="734">
        <v>44910</v>
      </c>
      <c r="B13810" s="63" t="s">
        <v>8657</v>
      </c>
      <c r="C13810" s="63" t="s">
        <v>8763</v>
      </c>
      <c r="D13810" s="183" t="s">
        <v>8874</v>
      </c>
      <c r="E13810" s="126">
        <v>59000</v>
      </c>
      <c r="F13810" s="126"/>
      <c r="G13810" s="126">
        <f t="shared" si="221"/>
        <v>-59000</v>
      </c>
      <c r="H13810" s="705" t="s">
        <v>8766</v>
      </c>
    </row>
    <row r="13811" spans="1:8" ht="15" x14ac:dyDescent="0.2">
      <c r="A13811" s="734">
        <v>44910</v>
      </c>
      <c r="B13811" s="63" t="s">
        <v>8657</v>
      </c>
      <c r="C13811" s="63" t="s">
        <v>3145</v>
      </c>
      <c r="D13811" s="183" t="s">
        <v>8875</v>
      </c>
      <c r="E13811" s="126">
        <v>13200</v>
      </c>
      <c r="F13811" s="126"/>
      <c r="G13811" s="126">
        <f t="shared" ref="G13811:G13874" si="222">F13811-E13811</f>
        <v>-13200</v>
      </c>
      <c r="H13811" s="705" t="s">
        <v>8766</v>
      </c>
    </row>
    <row r="13812" spans="1:8" ht="15" x14ac:dyDescent="0.2">
      <c r="A13812" s="734">
        <v>44910</v>
      </c>
      <c r="B13812" s="63" t="s">
        <v>8876</v>
      </c>
      <c r="C13812" s="63" t="s">
        <v>392</v>
      </c>
      <c r="D13812" s="183" t="s">
        <v>8877</v>
      </c>
      <c r="E13812" s="126">
        <v>3430</v>
      </c>
      <c r="F13812" s="126"/>
      <c r="G13812" s="126">
        <f t="shared" si="222"/>
        <v>-3430</v>
      </c>
      <c r="H13812" s="705" t="s">
        <v>8766</v>
      </c>
    </row>
    <row r="13813" spans="1:8" ht="15" x14ac:dyDescent="0.2">
      <c r="A13813" s="734">
        <v>44910</v>
      </c>
      <c r="B13813" s="63" t="s">
        <v>8868</v>
      </c>
      <c r="C13813" s="63" t="s">
        <v>392</v>
      </c>
      <c r="D13813" s="183" t="s">
        <v>8877</v>
      </c>
      <c r="E13813" s="126">
        <v>1865</v>
      </c>
      <c r="F13813" s="126"/>
      <c r="G13813" s="126">
        <f t="shared" si="222"/>
        <v>-1865</v>
      </c>
      <c r="H13813" s="705" t="s">
        <v>8766</v>
      </c>
    </row>
    <row r="13814" spans="1:8" ht="15" x14ac:dyDescent="0.2">
      <c r="A13814" s="734">
        <v>44910</v>
      </c>
      <c r="B13814" s="63" t="s">
        <v>8532</v>
      </c>
      <c r="C13814" s="63" t="s">
        <v>8564</v>
      </c>
      <c r="D13814" s="183" t="s">
        <v>8878</v>
      </c>
      <c r="E13814" s="126">
        <v>40000</v>
      </c>
      <c r="F13814" s="126"/>
      <c r="G13814" s="126">
        <f t="shared" si="222"/>
        <v>-40000</v>
      </c>
      <c r="H13814" s="705" t="s">
        <v>8766</v>
      </c>
    </row>
    <row r="13815" spans="1:8" ht="15" x14ac:dyDescent="0.2">
      <c r="A13815" s="734">
        <v>44912</v>
      </c>
      <c r="B13815" s="63" t="s">
        <v>8657</v>
      </c>
      <c r="C13815" s="63" t="s">
        <v>3145</v>
      </c>
      <c r="D13815" s="183" t="s">
        <v>8879</v>
      </c>
      <c r="E13815" s="126">
        <v>20000</v>
      </c>
      <c r="F13815" s="126"/>
      <c r="G13815" s="126">
        <f t="shared" si="222"/>
        <v>-20000</v>
      </c>
      <c r="H13815" s="705" t="s">
        <v>8766</v>
      </c>
    </row>
    <row r="13816" spans="1:8" ht="15" x14ac:dyDescent="0.2">
      <c r="A13816" s="734">
        <v>44912</v>
      </c>
      <c r="B13816" s="63" t="s">
        <v>8657</v>
      </c>
      <c r="C13816" s="63" t="s">
        <v>3145</v>
      </c>
      <c r="D13816" s="183" t="s">
        <v>8880</v>
      </c>
      <c r="E13816" s="126">
        <v>35800</v>
      </c>
      <c r="F13816" s="126"/>
      <c r="G13816" s="126">
        <f t="shared" si="222"/>
        <v>-35800</v>
      </c>
      <c r="H13816" s="705" t="s">
        <v>8766</v>
      </c>
    </row>
    <row r="13817" spans="1:8" ht="15" x14ac:dyDescent="0.2">
      <c r="A13817" s="734">
        <v>44912</v>
      </c>
      <c r="B13817" s="63" t="s">
        <v>16</v>
      </c>
      <c r="C13817" s="63" t="s">
        <v>2996</v>
      </c>
      <c r="D13817" s="183"/>
      <c r="E13817" s="126">
        <v>4670</v>
      </c>
      <c r="F13817" s="126"/>
      <c r="G13817" s="126">
        <f t="shared" si="222"/>
        <v>-4670</v>
      </c>
      <c r="H13817" s="705" t="s">
        <v>8766</v>
      </c>
    </row>
    <row r="13818" spans="1:8" ht="15" x14ac:dyDescent="0.2">
      <c r="A13818" s="734">
        <v>44912</v>
      </c>
      <c r="B13818" s="63" t="s">
        <v>8657</v>
      </c>
      <c r="C13818" s="76" t="s">
        <v>7477</v>
      </c>
      <c r="D13818" s="183" t="s">
        <v>8881</v>
      </c>
      <c r="E13818" s="126">
        <v>20000</v>
      </c>
      <c r="F13818" s="126"/>
      <c r="G13818" s="126">
        <f t="shared" si="222"/>
        <v>-20000</v>
      </c>
      <c r="H13818" s="705" t="s">
        <v>8766</v>
      </c>
    </row>
    <row r="13819" spans="1:8" ht="15" x14ac:dyDescent="0.2">
      <c r="A13819" s="734">
        <v>44912</v>
      </c>
      <c r="B13819" s="63" t="s">
        <v>7921</v>
      </c>
      <c r="C13819" s="63" t="s">
        <v>286</v>
      </c>
      <c r="D13819" s="183" t="s">
        <v>8884</v>
      </c>
      <c r="E13819" s="126">
        <v>1000</v>
      </c>
      <c r="F13819" s="126"/>
      <c r="G13819" s="126">
        <f t="shared" si="222"/>
        <v>-1000</v>
      </c>
      <c r="H13819" s="705" t="s">
        <v>8766</v>
      </c>
    </row>
    <row r="13820" spans="1:8" ht="15" x14ac:dyDescent="0.2">
      <c r="A13820" s="734">
        <v>44910</v>
      </c>
      <c r="B13820" s="63" t="s">
        <v>16</v>
      </c>
      <c r="C13820" s="63" t="s">
        <v>3843</v>
      </c>
      <c r="D13820" s="183" t="s">
        <v>8712</v>
      </c>
      <c r="E13820" s="126">
        <v>5950</v>
      </c>
      <c r="F13820" s="126"/>
      <c r="G13820" s="126">
        <f t="shared" si="222"/>
        <v>-5950</v>
      </c>
      <c r="H13820" s="705" t="s">
        <v>8766</v>
      </c>
    </row>
    <row r="13821" spans="1:8" ht="15" x14ac:dyDescent="0.2">
      <c r="A13821" s="734">
        <v>44912</v>
      </c>
      <c r="B13821" s="63" t="s">
        <v>3945</v>
      </c>
      <c r="C13821" s="63" t="s">
        <v>3145</v>
      </c>
      <c r="D13821" s="183" t="s">
        <v>8885</v>
      </c>
      <c r="E13821" s="126">
        <v>8000</v>
      </c>
      <c r="F13821" s="126"/>
      <c r="G13821" s="126">
        <f t="shared" si="222"/>
        <v>-8000</v>
      </c>
      <c r="H13821" s="705" t="s">
        <v>8766</v>
      </c>
    </row>
    <row r="13822" spans="1:8" ht="15" x14ac:dyDescent="0.2">
      <c r="A13822" s="734">
        <v>44912</v>
      </c>
      <c r="B13822" s="63" t="s">
        <v>16</v>
      </c>
      <c r="C13822" s="63" t="s">
        <v>3843</v>
      </c>
      <c r="D13822" s="183" t="s">
        <v>8712</v>
      </c>
      <c r="E13822" s="126">
        <v>4271</v>
      </c>
      <c r="F13822" s="126"/>
      <c r="G13822" s="126">
        <f t="shared" si="222"/>
        <v>-4271</v>
      </c>
      <c r="H13822" s="705" t="s">
        <v>8766</v>
      </c>
    </row>
    <row r="13823" spans="1:8" ht="15" x14ac:dyDescent="0.2">
      <c r="A13823" s="734">
        <v>44912</v>
      </c>
      <c r="B13823" s="63" t="s">
        <v>8657</v>
      </c>
      <c r="C13823" s="63" t="s">
        <v>5741</v>
      </c>
      <c r="D13823" s="183" t="s">
        <v>8886</v>
      </c>
      <c r="E13823" s="126">
        <v>2000</v>
      </c>
      <c r="F13823" s="126"/>
      <c r="G13823" s="126">
        <f t="shared" si="222"/>
        <v>-2000</v>
      </c>
      <c r="H13823" s="705" t="s">
        <v>8766</v>
      </c>
    </row>
    <row r="13824" spans="1:8" ht="15" x14ac:dyDescent="0.2">
      <c r="A13824" s="734">
        <v>44912</v>
      </c>
      <c r="B13824" s="63" t="s">
        <v>8657</v>
      </c>
      <c r="C13824" s="63" t="s">
        <v>5741</v>
      </c>
      <c r="D13824" s="183" t="s">
        <v>8887</v>
      </c>
      <c r="E13824" s="126">
        <v>300</v>
      </c>
      <c r="F13824" s="126"/>
      <c r="G13824" s="126">
        <f t="shared" si="222"/>
        <v>-300</v>
      </c>
      <c r="H13824" s="705" t="s">
        <v>8766</v>
      </c>
    </row>
    <row r="13825" spans="1:8" ht="15" x14ac:dyDescent="0.2">
      <c r="A13825" s="734">
        <v>44912</v>
      </c>
      <c r="B13825" s="63" t="s">
        <v>2933</v>
      </c>
      <c r="C13825" s="63" t="s">
        <v>4876</v>
      </c>
      <c r="D13825" s="183" t="s">
        <v>8889</v>
      </c>
      <c r="E13825" s="126">
        <v>12000</v>
      </c>
      <c r="F13825" s="126"/>
      <c r="G13825" s="126">
        <f t="shared" si="222"/>
        <v>-12000</v>
      </c>
      <c r="H13825" s="705" t="s">
        <v>8766</v>
      </c>
    </row>
    <row r="13826" spans="1:8" ht="15" x14ac:dyDescent="0.2">
      <c r="A13826" s="734">
        <v>44912</v>
      </c>
      <c r="B13826" s="63" t="s">
        <v>7921</v>
      </c>
      <c r="C13826" s="63" t="s">
        <v>286</v>
      </c>
      <c r="D13826" s="183" t="s">
        <v>7977</v>
      </c>
      <c r="E13826" s="126">
        <v>500</v>
      </c>
      <c r="F13826" s="126"/>
      <c r="G13826" s="126">
        <f t="shared" si="222"/>
        <v>-500</v>
      </c>
      <c r="H13826" s="705" t="s">
        <v>8766</v>
      </c>
    </row>
    <row r="13827" spans="1:8" ht="15" x14ac:dyDescent="0.2">
      <c r="A13827" s="734">
        <v>44912</v>
      </c>
      <c r="B13827" s="63" t="s">
        <v>8339</v>
      </c>
      <c r="C13827" s="63" t="s">
        <v>286</v>
      </c>
      <c r="D13827" s="183" t="s">
        <v>8163</v>
      </c>
      <c r="E13827" s="126">
        <v>600</v>
      </c>
      <c r="F13827" s="126"/>
      <c r="G13827" s="126">
        <f t="shared" si="222"/>
        <v>-600</v>
      </c>
      <c r="H13827" s="705" t="s">
        <v>8766</v>
      </c>
    </row>
    <row r="13828" spans="1:8" ht="15" x14ac:dyDescent="0.2">
      <c r="A13828" s="734">
        <v>44912</v>
      </c>
      <c r="B13828" s="63" t="s">
        <v>16</v>
      </c>
      <c r="C13828" s="63" t="s">
        <v>392</v>
      </c>
      <c r="D13828" s="183" t="s">
        <v>8888</v>
      </c>
      <c r="E13828" s="126">
        <v>5500</v>
      </c>
      <c r="F13828" s="126"/>
      <c r="G13828" s="126">
        <f t="shared" si="222"/>
        <v>-5500</v>
      </c>
      <c r="H13828" s="705" t="s">
        <v>8766</v>
      </c>
    </row>
    <row r="13829" spans="1:8" ht="15" x14ac:dyDescent="0.2">
      <c r="A13829" s="734">
        <v>44912</v>
      </c>
      <c r="B13829" s="63" t="s">
        <v>25</v>
      </c>
      <c r="C13829" s="63" t="s">
        <v>8150</v>
      </c>
      <c r="D13829" s="183" t="s">
        <v>6343</v>
      </c>
      <c r="E13829" s="126">
        <v>6000</v>
      </c>
      <c r="F13829" s="126"/>
      <c r="G13829" s="126">
        <f t="shared" si="222"/>
        <v>-6000</v>
      </c>
      <c r="H13829" s="705" t="s">
        <v>8766</v>
      </c>
    </row>
    <row r="13830" spans="1:8" ht="15" x14ac:dyDescent="0.2">
      <c r="A13830" s="734">
        <v>44912</v>
      </c>
      <c r="B13830" s="63" t="s">
        <v>16</v>
      </c>
      <c r="C13830" s="63" t="s">
        <v>8150</v>
      </c>
      <c r="D13830" s="183" t="s">
        <v>6343</v>
      </c>
      <c r="E13830" s="126">
        <v>2550</v>
      </c>
      <c r="F13830" s="126"/>
      <c r="G13830" s="126">
        <f t="shared" si="222"/>
        <v>-2550</v>
      </c>
      <c r="H13830" s="705" t="s">
        <v>8766</v>
      </c>
    </row>
    <row r="13831" spans="1:8" ht="15" x14ac:dyDescent="0.2">
      <c r="A13831" s="734">
        <v>44912</v>
      </c>
      <c r="B13831" s="63" t="s">
        <v>16</v>
      </c>
      <c r="C13831" s="63" t="s">
        <v>3843</v>
      </c>
      <c r="D13831" s="183" t="s">
        <v>8712</v>
      </c>
      <c r="E13831" s="126">
        <v>5266</v>
      </c>
      <c r="F13831" s="126"/>
      <c r="G13831" s="126">
        <f t="shared" si="222"/>
        <v>-5266</v>
      </c>
      <c r="H13831" s="705" t="s">
        <v>8766</v>
      </c>
    </row>
    <row r="13832" spans="1:8" ht="15" x14ac:dyDescent="0.2">
      <c r="A13832" s="734">
        <v>44912</v>
      </c>
      <c r="B13832" s="63" t="s">
        <v>8559</v>
      </c>
      <c r="C13832" s="63" t="s">
        <v>8890</v>
      </c>
      <c r="D13832" s="183" t="s">
        <v>7720</v>
      </c>
      <c r="E13832" s="126">
        <v>10000</v>
      </c>
      <c r="F13832" s="126"/>
      <c r="G13832" s="126">
        <f t="shared" si="222"/>
        <v>-10000</v>
      </c>
      <c r="H13832" s="705" t="s">
        <v>8766</v>
      </c>
    </row>
    <row r="13833" spans="1:8" ht="15" x14ac:dyDescent="0.2">
      <c r="A13833" s="734">
        <v>44912</v>
      </c>
      <c r="B13833" s="63" t="s">
        <v>8559</v>
      </c>
      <c r="C13833" s="63" t="s">
        <v>2666</v>
      </c>
      <c r="D13833" s="183" t="s">
        <v>7720</v>
      </c>
      <c r="E13833" s="126">
        <v>15000</v>
      </c>
      <c r="F13833" s="126"/>
      <c r="G13833" s="126">
        <f t="shared" si="222"/>
        <v>-15000</v>
      </c>
      <c r="H13833" s="705" t="s">
        <v>8766</v>
      </c>
    </row>
    <row r="13834" spans="1:8" ht="15" x14ac:dyDescent="0.2">
      <c r="A13834" s="734">
        <v>44912</v>
      </c>
      <c r="B13834" s="63" t="s">
        <v>8559</v>
      </c>
      <c r="C13834" s="63" t="s">
        <v>8666</v>
      </c>
      <c r="D13834" s="183" t="s">
        <v>7720</v>
      </c>
      <c r="E13834" s="126">
        <v>10000</v>
      </c>
      <c r="F13834" s="126"/>
      <c r="G13834" s="126">
        <f t="shared" si="222"/>
        <v>-10000</v>
      </c>
      <c r="H13834" s="705" t="s">
        <v>8766</v>
      </c>
    </row>
    <row r="13835" spans="1:8" ht="15" x14ac:dyDescent="0.2">
      <c r="A13835" s="734">
        <v>44912</v>
      </c>
      <c r="B13835" s="63" t="s">
        <v>8657</v>
      </c>
      <c r="C13835" s="63" t="s">
        <v>5741</v>
      </c>
      <c r="D13835" s="183" t="s">
        <v>8917</v>
      </c>
      <c r="E13835" s="126">
        <v>800</v>
      </c>
      <c r="F13835" s="126"/>
      <c r="G13835" s="126">
        <f t="shared" si="222"/>
        <v>-800</v>
      </c>
      <c r="H13835" s="705" t="s">
        <v>8766</v>
      </c>
    </row>
    <row r="13836" spans="1:8" ht="15" x14ac:dyDescent="0.2">
      <c r="A13836" s="734">
        <v>44914</v>
      </c>
      <c r="B13836" s="63" t="s">
        <v>8339</v>
      </c>
      <c r="C13836" s="63" t="s">
        <v>286</v>
      </c>
      <c r="D13836" s="183" t="s">
        <v>8663</v>
      </c>
      <c r="E13836" s="126">
        <v>1000</v>
      </c>
      <c r="F13836" s="126"/>
      <c r="G13836" s="126">
        <f t="shared" si="222"/>
        <v>-1000</v>
      </c>
      <c r="H13836" s="705" t="s">
        <v>8766</v>
      </c>
    </row>
    <row r="13837" spans="1:8" ht="15" x14ac:dyDescent="0.2">
      <c r="A13837" s="734">
        <v>44914</v>
      </c>
      <c r="B13837" s="63" t="s">
        <v>8339</v>
      </c>
      <c r="C13837" s="63" t="s">
        <v>3145</v>
      </c>
      <c r="D13837" s="183" t="s">
        <v>8777</v>
      </c>
      <c r="E13837" s="126">
        <v>10020</v>
      </c>
      <c r="F13837" s="126"/>
      <c r="G13837" s="126">
        <f t="shared" si="222"/>
        <v>-10020</v>
      </c>
      <c r="H13837" s="705" t="s">
        <v>8766</v>
      </c>
    </row>
    <row r="13838" spans="1:8" ht="15" x14ac:dyDescent="0.2">
      <c r="A13838" s="734">
        <v>44914</v>
      </c>
      <c r="B13838" s="63" t="s">
        <v>2933</v>
      </c>
      <c r="C13838" s="63" t="s">
        <v>4876</v>
      </c>
      <c r="D13838" s="183" t="s">
        <v>8901</v>
      </c>
      <c r="E13838" s="126">
        <v>6000</v>
      </c>
      <c r="F13838" s="126"/>
      <c r="G13838" s="126">
        <f t="shared" si="222"/>
        <v>-6000</v>
      </c>
      <c r="H13838" s="705" t="s">
        <v>8766</v>
      </c>
    </row>
    <row r="13839" spans="1:8" ht="15" x14ac:dyDescent="0.2">
      <c r="A13839" s="734">
        <v>44915</v>
      </c>
      <c r="B13839" s="63" t="s">
        <v>8339</v>
      </c>
      <c r="C13839" s="63" t="s">
        <v>790</v>
      </c>
      <c r="D13839" s="183"/>
      <c r="E13839" s="126">
        <f>170+170</f>
        <v>340</v>
      </c>
      <c r="F13839" s="126"/>
      <c r="G13839" s="126">
        <f t="shared" si="222"/>
        <v>-340</v>
      </c>
      <c r="H13839" s="705" t="s">
        <v>8766</v>
      </c>
    </row>
    <row r="13840" spans="1:8" ht="15" x14ac:dyDescent="0.2">
      <c r="A13840" s="734">
        <v>44915</v>
      </c>
      <c r="B13840" s="63" t="s">
        <v>8657</v>
      </c>
      <c r="C13840" s="63" t="s">
        <v>790</v>
      </c>
      <c r="D13840" s="183"/>
      <c r="E13840" s="126">
        <f>180+200</f>
        <v>380</v>
      </c>
      <c r="F13840" s="126"/>
      <c r="G13840" s="126">
        <f t="shared" si="222"/>
        <v>-380</v>
      </c>
      <c r="H13840" s="705" t="s">
        <v>8766</v>
      </c>
    </row>
    <row r="13841" spans="1:8" ht="15" x14ac:dyDescent="0.2">
      <c r="A13841" s="734">
        <v>44915</v>
      </c>
      <c r="B13841" s="63" t="s">
        <v>8876</v>
      </c>
      <c r="C13841" s="63" t="s">
        <v>790</v>
      </c>
      <c r="D13841" s="183"/>
      <c r="E13841" s="126">
        <f>200</f>
        <v>200</v>
      </c>
      <c r="F13841" s="126"/>
      <c r="G13841" s="126">
        <f t="shared" si="222"/>
        <v>-200</v>
      </c>
      <c r="H13841" s="705" t="s">
        <v>8766</v>
      </c>
    </row>
    <row r="13842" spans="1:8" ht="15" x14ac:dyDescent="0.2">
      <c r="A13842" s="734">
        <v>44915</v>
      </c>
      <c r="B13842" s="63" t="s">
        <v>8868</v>
      </c>
      <c r="C13842" s="63" t="s">
        <v>790</v>
      </c>
      <c r="D13842" s="183"/>
      <c r="E13842" s="126">
        <f>1700+340+340</f>
        <v>2380</v>
      </c>
      <c r="F13842" s="126"/>
      <c r="G13842" s="126">
        <f t="shared" si="222"/>
        <v>-2380</v>
      </c>
      <c r="H13842" s="705" t="s">
        <v>8766</v>
      </c>
    </row>
    <row r="13843" spans="1:8" ht="15" x14ac:dyDescent="0.2">
      <c r="A13843" s="734">
        <v>44915</v>
      </c>
      <c r="B13843" s="63" t="s">
        <v>8043</v>
      </c>
      <c r="C13843" s="63" t="s">
        <v>790</v>
      </c>
      <c r="D13843" s="183"/>
      <c r="E13843" s="126">
        <f>340+1020</f>
        <v>1360</v>
      </c>
      <c r="F13843" s="126"/>
      <c r="G13843" s="126">
        <f t="shared" si="222"/>
        <v>-1360</v>
      </c>
      <c r="H13843" s="705" t="s">
        <v>8766</v>
      </c>
    </row>
    <row r="13844" spans="1:8" ht="15" x14ac:dyDescent="0.2">
      <c r="A13844" s="734">
        <v>44915</v>
      </c>
      <c r="B13844" s="63" t="s">
        <v>8559</v>
      </c>
      <c r="C13844" s="63" t="s">
        <v>5741</v>
      </c>
      <c r="D13844" s="183" t="s">
        <v>8918</v>
      </c>
      <c r="E13844" s="126">
        <v>1700</v>
      </c>
      <c r="F13844" s="126"/>
      <c r="G13844" s="126">
        <f t="shared" si="222"/>
        <v>-1700</v>
      </c>
      <c r="H13844" s="705" t="s">
        <v>8766</v>
      </c>
    </row>
    <row r="13845" spans="1:8" ht="15" x14ac:dyDescent="0.2">
      <c r="A13845" s="734">
        <v>44915</v>
      </c>
      <c r="B13845" s="63" t="s">
        <v>16</v>
      </c>
      <c r="C13845" s="63" t="s">
        <v>392</v>
      </c>
      <c r="D13845" s="183" t="s">
        <v>8902</v>
      </c>
      <c r="E13845" s="126">
        <f>500+760</f>
        <v>1260</v>
      </c>
      <c r="F13845" s="126"/>
      <c r="G13845" s="126">
        <f t="shared" si="222"/>
        <v>-1260</v>
      </c>
      <c r="H13845" s="705" t="s">
        <v>8766</v>
      </c>
    </row>
    <row r="13846" spans="1:8" ht="15" x14ac:dyDescent="0.2">
      <c r="A13846" s="734">
        <v>44915</v>
      </c>
      <c r="B13846" s="63" t="s">
        <v>7921</v>
      </c>
      <c r="C13846" s="63" t="s">
        <v>790</v>
      </c>
      <c r="D13846" s="183"/>
      <c r="E13846" s="126">
        <v>1500</v>
      </c>
      <c r="F13846" s="126"/>
      <c r="G13846" s="126">
        <f t="shared" si="222"/>
        <v>-1500</v>
      </c>
      <c r="H13846" s="705" t="s">
        <v>8766</v>
      </c>
    </row>
    <row r="13847" spans="1:8" ht="15" x14ac:dyDescent="0.2">
      <c r="A13847" s="734">
        <v>44915</v>
      </c>
      <c r="B13847" s="63" t="s">
        <v>8868</v>
      </c>
      <c r="C13847" s="63" t="s">
        <v>3145</v>
      </c>
      <c r="D13847" s="183" t="s">
        <v>8903</v>
      </c>
      <c r="E13847" s="126">
        <v>10600</v>
      </c>
      <c r="F13847" s="126"/>
      <c r="G13847" s="126">
        <f t="shared" si="222"/>
        <v>-10600</v>
      </c>
      <c r="H13847" s="705" t="s">
        <v>8766</v>
      </c>
    </row>
    <row r="13848" spans="1:8" ht="15" x14ac:dyDescent="0.2">
      <c r="A13848" s="734">
        <v>44915</v>
      </c>
      <c r="B13848" s="63" t="s">
        <v>8868</v>
      </c>
      <c r="C13848" s="63" t="s">
        <v>3145</v>
      </c>
      <c r="D13848" s="183" t="s">
        <v>8904</v>
      </c>
      <c r="E13848" s="126">
        <v>11320</v>
      </c>
      <c r="F13848" s="126"/>
      <c r="G13848" s="126">
        <f t="shared" si="222"/>
        <v>-11320</v>
      </c>
      <c r="H13848" s="705" t="s">
        <v>8766</v>
      </c>
    </row>
    <row r="13849" spans="1:8" ht="15" x14ac:dyDescent="0.2">
      <c r="A13849" s="734">
        <v>44915</v>
      </c>
      <c r="B13849" s="63" t="s">
        <v>8657</v>
      </c>
      <c r="C13849" s="63" t="s">
        <v>5741</v>
      </c>
      <c r="D13849" s="183" t="s">
        <v>8919</v>
      </c>
      <c r="E13849" s="126">
        <v>1500</v>
      </c>
      <c r="F13849" s="126"/>
      <c r="G13849" s="126">
        <f t="shared" si="222"/>
        <v>-1500</v>
      </c>
      <c r="H13849" s="705" t="s">
        <v>8766</v>
      </c>
    </row>
    <row r="13850" spans="1:8" ht="15" x14ac:dyDescent="0.2">
      <c r="A13850" s="734">
        <v>44915</v>
      </c>
      <c r="B13850" s="63" t="s">
        <v>16</v>
      </c>
      <c r="C13850" s="63" t="s">
        <v>3843</v>
      </c>
      <c r="D13850" s="183" t="s">
        <v>8712</v>
      </c>
      <c r="E13850" s="126">
        <v>5635</v>
      </c>
      <c r="F13850" s="126"/>
      <c r="G13850" s="126">
        <f t="shared" si="222"/>
        <v>-5635</v>
      </c>
      <c r="H13850" s="705" t="s">
        <v>8766</v>
      </c>
    </row>
    <row r="13851" spans="1:8" ht="15" x14ac:dyDescent="0.2">
      <c r="A13851" s="734">
        <v>44915</v>
      </c>
      <c r="B13851" s="63" t="s">
        <v>7953</v>
      </c>
      <c r="C13851" s="63" t="s">
        <v>4876</v>
      </c>
      <c r="D13851" s="183" t="s">
        <v>8925</v>
      </c>
      <c r="E13851" s="126">
        <v>5000</v>
      </c>
      <c r="F13851" s="126"/>
      <c r="G13851" s="126">
        <f t="shared" si="222"/>
        <v>-5000</v>
      </c>
      <c r="H13851" s="705" t="s">
        <v>8766</v>
      </c>
    </row>
    <row r="13852" spans="1:8" ht="15" x14ac:dyDescent="0.2">
      <c r="A13852" s="734">
        <v>44915</v>
      </c>
      <c r="B13852" s="63" t="s">
        <v>8339</v>
      </c>
      <c r="C13852" s="63" t="s">
        <v>790</v>
      </c>
      <c r="D13852" s="183" t="s">
        <v>8920</v>
      </c>
      <c r="E13852" s="126">
        <v>600</v>
      </c>
      <c r="F13852" s="126"/>
      <c r="G13852" s="126">
        <f t="shared" si="222"/>
        <v>-600</v>
      </c>
      <c r="H13852" s="705" t="s">
        <v>8766</v>
      </c>
    </row>
    <row r="13853" spans="1:8" ht="15" x14ac:dyDescent="0.2">
      <c r="A13853" s="734">
        <v>44915</v>
      </c>
      <c r="B13853" s="63" t="s">
        <v>8339</v>
      </c>
      <c r="C13853" s="63" t="s">
        <v>3843</v>
      </c>
      <c r="D13853" s="183" t="s">
        <v>8712</v>
      </c>
      <c r="E13853" s="126">
        <v>5200</v>
      </c>
      <c r="F13853" s="126"/>
      <c r="G13853" s="126">
        <f t="shared" si="222"/>
        <v>-5200</v>
      </c>
      <c r="H13853" s="705" t="s">
        <v>8766</v>
      </c>
    </row>
    <row r="13854" spans="1:8" ht="15" x14ac:dyDescent="0.2">
      <c r="A13854" s="734">
        <v>44915</v>
      </c>
      <c r="B13854" s="63" t="s">
        <v>8657</v>
      </c>
      <c r="C13854" s="63" t="s">
        <v>5741</v>
      </c>
      <c r="D13854" s="183" t="s">
        <v>8921</v>
      </c>
      <c r="E13854" s="126">
        <v>1500</v>
      </c>
      <c r="F13854" s="126"/>
      <c r="G13854" s="126">
        <f t="shared" si="222"/>
        <v>-1500</v>
      </c>
      <c r="H13854" s="705" t="s">
        <v>8766</v>
      </c>
    </row>
    <row r="13855" spans="1:8" ht="15" x14ac:dyDescent="0.2">
      <c r="A13855" s="734">
        <v>44915</v>
      </c>
      <c r="B13855" s="63" t="s">
        <v>8876</v>
      </c>
      <c r="C13855" s="63" t="s">
        <v>5741</v>
      </c>
      <c r="D13855" s="183" t="s">
        <v>8922</v>
      </c>
      <c r="E13855" s="126">
        <v>5000</v>
      </c>
      <c r="F13855" s="126"/>
      <c r="G13855" s="126">
        <f t="shared" si="222"/>
        <v>-5000</v>
      </c>
      <c r="H13855" s="705" t="s">
        <v>8766</v>
      </c>
    </row>
    <row r="13856" spans="1:8" ht="15" x14ac:dyDescent="0.2">
      <c r="A13856" s="734">
        <v>44915</v>
      </c>
      <c r="B13856" s="63" t="s">
        <v>8339</v>
      </c>
      <c r="C13856" s="63" t="s">
        <v>5741</v>
      </c>
      <c r="D13856" s="183" t="s">
        <v>8923</v>
      </c>
      <c r="E13856" s="126">
        <v>25280</v>
      </c>
      <c r="F13856" s="126"/>
      <c r="G13856" s="126">
        <f t="shared" si="222"/>
        <v>-25280</v>
      </c>
      <c r="H13856" s="705" t="s">
        <v>8766</v>
      </c>
    </row>
    <row r="13857" spans="1:8" ht="15" x14ac:dyDescent="0.2">
      <c r="A13857" s="734">
        <v>44915</v>
      </c>
      <c r="B13857" s="63" t="s">
        <v>8339</v>
      </c>
      <c r="C13857" s="63" t="s">
        <v>5741</v>
      </c>
      <c r="D13857" s="183" t="s">
        <v>8924</v>
      </c>
      <c r="E13857" s="126">
        <v>1500</v>
      </c>
      <c r="F13857" s="126"/>
      <c r="G13857" s="126">
        <f t="shared" si="222"/>
        <v>-1500</v>
      </c>
      <c r="H13857" s="705" t="s">
        <v>8766</v>
      </c>
    </row>
    <row r="13858" spans="1:8" ht="15" x14ac:dyDescent="0.2">
      <c r="A13858" s="734">
        <v>44916</v>
      </c>
      <c r="B13858" s="63" t="s">
        <v>8339</v>
      </c>
      <c r="C13858" s="63" t="s">
        <v>3145</v>
      </c>
      <c r="D13858" s="183" t="s">
        <v>6942</v>
      </c>
      <c r="E13858" s="126">
        <v>3670</v>
      </c>
      <c r="F13858" s="126"/>
      <c r="G13858" s="126">
        <f t="shared" si="222"/>
        <v>-3670</v>
      </c>
      <c r="H13858" s="705" t="s">
        <v>8766</v>
      </c>
    </row>
    <row r="13859" spans="1:8" ht="15" x14ac:dyDescent="0.2">
      <c r="A13859" s="734">
        <v>44916</v>
      </c>
      <c r="B13859" s="63" t="s">
        <v>11</v>
      </c>
      <c r="C13859" s="63" t="s">
        <v>3145</v>
      </c>
      <c r="D13859" s="183" t="s">
        <v>6942</v>
      </c>
      <c r="E13859" s="126">
        <v>4700</v>
      </c>
      <c r="F13859" s="126"/>
      <c r="G13859" s="126">
        <f t="shared" si="222"/>
        <v>-4700</v>
      </c>
      <c r="H13859" s="705" t="s">
        <v>8766</v>
      </c>
    </row>
    <row r="13860" spans="1:8" ht="15" x14ac:dyDescent="0.2">
      <c r="A13860" s="734">
        <v>44917</v>
      </c>
      <c r="B13860" s="63" t="s">
        <v>8339</v>
      </c>
      <c r="C13860" s="63" t="s">
        <v>286</v>
      </c>
      <c r="D13860" s="183" t="s">
        <v>8334</v>
      </c>
      <c r="E13860" s="126">
        <v>500</v>
      </c>
      <c r="F13860" s="126"/>
      <c r="G13860" s="126">
        <f t="shared" si="222"/>
        <v>-500</v>
      </c>
      <c r="H13860" s="705" t="s">
        <v>8766</v>
      </c>
    </row>
    <row r="13861" spans="1:8" ht="15" x14ac:dyDescent="0.2">
      <c r="A13861" s="734">
        <v>44917</v>
      </c>
      <c r="B13861" s="63" t="s">
        <v>8559</v>
      </c>
      <c r="C13861" s="63" t="s">
        <v>8890</v>
      </c>
      <c r="D13861" s="183" t="s">
        <v>8932</v>
      </c>
      <c r="E13861" s="126">
        <v>15000</v>
      </c>
      <c r="F13861" s="126"/>
      <c r="G13861" s="126">
        <f t="shared" si="222"/>
        <v>-15000</v>
      </c>
      <c r="H13861" s="705" t="s">
        <v>8766</v>
      </c>
    </row>
    <row r="13862" spans="1:8" ht="15" x14ac:dyDescent="0.2">
      <c r="A13862" s="734">
        <v>44917</v>
      </c>
      <c r="B13862" s="63" t="s">
        <v>8559</v>
      </c>
      <c r="C13862" s="63" t="s">
        <v>8502</v>
      </c>
      <c r="D13862" s="183" t="s">
        <v>8912</v>
      </c>
      <c r="E13862" s="126">
        <v>60000</v>
      </c>
      <c r="F13862" s="126"/>
      <c r="G13862" s="126">
        <f t="shared" si="222"/>
        <v>-60000</v>
      </c>
      <c r="H13862" s="705" t="s">
        <v>8766</v>
      </c>
    </row>
    <row r="13863" spans="1:8" ht="15" x14ac:dyDescent="0.2">
      <c r="A13863" s="734">
        <v>44918</v>
      </c>
      <c r="B13863" s="63" t="s">
        <v>8868</v>
      </c>
      <c r="C13863" s="63" t="s">
        <v>8502</v>
      </c>
      <c r="D13863" s="183" t="s">
        <v>8913</v>
      </c>
      <c r="E13863" s="126">
        <v>60000</v>
      </c>
      <c r="F13863" s="126"/>
      <c r="G13863" s="126">
        <f t="shared" si="222"/>
        <v>-60000</v>
      </c>
      <c r="H13863" s="705" t="s">
        <v>8766</v>
      </c>
    </row>
    <row r="13864" spans="1:8" ht="15" x14ac:dyDescent="0.2">
      <c r="A13864" s="734">
        <v>44918</v>
      </c>
      <c r="B13864" s="63" t="s">
        <v>7921</v>
      </c>
      <c r="C13864" s="63" t="s">
        <v>8243</v>
      </c>
      <c r="D13864" s="183" t="s">
        <v>8914</v>
      </c>
      <c r="E13864" s="126">
        <v>150000</v>
      </c>
      <c r="F13864" s="126"/>
      <c r="G13864" s="126">
        <f t="shared" si="222"/>
        <v>-150000</v>
      </c>
      <c r="H13864" s="705" t="s">
        <v>8766</v>
      </c>
    </row>
    <row r="13865" spans="1:8" ht="15" x14ac:dyDescent="0.2">
      <c r="A13865" s="734">
        <v>44918</v>
      </c>
      <c r="B13865" s="63" t="s">
        <v>7921</v>
      </c>
      <c r="C13865" s="63" t="s">
        <v>8243</v>
      </c>
      <c r="D13865" s="183" t="s">
        <v>8915</v>
      </c>
      <c r="E13865" s="126">
        <v>150000</v>
      </c>
      <c r="F13865" s="126"/>
      <c r="G13865" s="126">
        <f t="shared" si="222"/>
        <v>-150000</v>
      </c>
      <c r="H13865" s="705" t="s">
        <v>8766</v>
      </c>
    </row>
    <row r="13866" spans="1:8" ht="15" x14ac:dyDescent="0.2">
      <c r="A13866" s="734">
        <v>44918</v>
      </c>
      <c r="B13866" s="63" t="s">
        <v>8657</v>
      </c>
      <c r="C13866" s="63" t="s">
        <v>7477</v>
      </c>
      <c r="D13866" s="183" t="s">
        <v>8916</v>
      </c>
      <c r="E13866" s="126">
        <v>35000</v>
      </c>
      <c r="F13866" s="126"/>
      <c r="G13866" s="126">
        <f t="shared" si="222"/>
        <v>-35000</v>
      </c>
      <c r="H13866" s="705" t="s">
        <v>8766</v>
      </c>
    </row>
    <row r="13867" spans="1:8" ht="15" x14ac:dyDescent="0.2">
      <c r="A13867" s="734">
        <v>44919</v>
      </c>
      <c r="B13867" s="63" t="s">
        <v>16</v>
      </c>
      <c r="C13867" s="63" t="s">
        <v>3843</v>
      </c>
      <c r="D13867" s="183" t="s">
        <v>8712</v>
      </c>
      <c r="E13867" s="126">
        <v>5910</v>
      </c>
      <c r="F13867" s="126"/>
      <c r="G13867" s="126">
        <f t="shared" si="222"/>
        <v>-5910</v>
      </c>
      <c r="H13867" s="705" t="s">
        <v>8766</v>
      </c>
    </row>
    <row r="13868" spans="1:8" ht="15" x14ac:dyDescent="0.2">
      <c r="A13868" s="734">
        <v>44919</v>
      </c>
      <c r="B13868" s="63" t="s">
        <v>8868</v>
      </c>
      <c r="C13868" s="63" t="s">
        <v>5741</v>
      </c>
      <c r="D13868" s="183" t="s">
        <v>8926</v>
      </c>
      <c r="E13868" s="126">
        <v>5000</v>
      </c>
      <c r="F13868" s="126"/>
      <c r="G13868" s="126">
        <f t="shared" si="222"/>
        <v>-5000</v>
      </c>
      <c r="H13868" s="705" t="s">
        <v>8766</v>
      </c>
    </row>
    <row r="13869" spans="1:8" ht="15" x14ac:dyDescent="0.2">
      <c r="A13869" s="734">
        <v>44919</v>
      </c>
      <c r="B13869" s="63" t="s">
        <v>7555</v>
      </c>
      <c r="C13869" s="63" t="s">
        <v>8928</v>
      </c>
      <c r="D13869" s="183" t="s">
        <v>8929</v>
      </c>
      <c r="E13869" s="126">
        <v>25000</v>
      </c>
      <c r="F13869" s="126"/>
      <c r="G13869" s="126">
        <f t="shared" si="222"/>
        <v>-25000</v>
      </c>
      <c r="H13869" s="705" t="s">
        <v>8766</v>
      </c>
    </row>
    <row r="13870" spans="1:8" ht="15" x14ac:dyDescent="0.2">
      <c r="A13870" s="734">
        <v>44919</v>
      </c>
      <c r="B13870" s="63" t="s">
        <v>7555</v>
      </c>
      <c r="C13870" s="63" t="s">
        <v>8930</v>
      </c>
      <c r="D13870" s="183" t="s">
        <v>8931</v>
      </c>
      <c r="E13870" s="126">
        <v>85000</v>
      </c>
      <c r="F13870" s="126"/>
      <c r="G13870" s="126">
        <f t="shared" si="222"/>
        <v>-85000</v>
      </c>
      <c r="H13870" s="705" t="s">
        <v>8766</v>
      </c>
    </row>
    <row r="13871" spans="1:8" ht="15" x14ac:dyDescent="0.2">
      <c r="A13871" s="734">
        <v>44919</v>
      </c>
      <c r="B13871" s="63" t="s">
        <v>7555</v>
      </c>
      <c r="C13871" s="63" t="s">
        <v>392</v>
      </c>
      <c r="D13871" s="183" t="s">
        <v>8927</v>
      </c>
      <c r="E13871" s="126">
        <v>2000</v>
      </c>
      <c r="F13871" s="126"/>
      <c r="G13871" s="126">
        <f t="shared" si="222"/>
        <v>-2000</v>
      </c>
      <c r="H13871" s="705" t="s">
        <v>8766</v>
      </c>
    </row>
    <row r="13872" spans="1:8" ht="15" x14ac:dyDescent="0.2">
      <c r="A13872" s="734">
        <v>44919</v>
      </c>
      <c r="B13872" s="63" t="s">
        <v>8657</v>
      </c>
      <c r="C13872" s="63" t="s">
        <v>3145</v>
      </c>
      <c r="D13872" s="183" t="s">
        <v>8933</v>
      </c>
      <c r="E13872" s="126">
        <v>53400</v>
      </c>
      <c r="F13872" s="126"/>
      <c r="G13872" s="126">
        <f t="shared" si="222"/>
        <v>-53400</v>
      </c>
      <c r="H13872" s="705" t="s">
        <v>8766</v>
      </c>
    </row>
    <row r="13873" spans="1:8" ht="15" x14ac:dyDescent="0.2">
      <c r="A13873" s="734">
        <v>44919</v>
      </c>
      <c r="B13873" s="63" t="s">
        <v>8657</v>
      </c>
      <c r="C13873" s="63" t="s">
        <v>3145</v>
      </c>
      <c r="D13873" s="183" t="s">
        <v>8934</v>
      </c>
      <c r="E13873" s="126">
        <v>20000</v>
      </c>
      <c r="F13873" s="126"/>
      <c r="G13873" s="126">
        <f t="shared" si="222"/>
        <v>-20000</v>
      </c>
      <c r="H13873" s="705" t="s">
        <v>8766</v>
      </c>
    </row>
    <row r="13874" spans="1:8" ht="15" x14ac:dyDescent="0.2">
      <c r="A13874" s="734">
        <v>44919</v>
      </c>
      <c r="B13874" s="63" t="s">
        <v>8868</v>
      </c>
      <c r="C13874" s="646" t="s">
        <v>3145</v>
      </c>
      <c r="D13874" s="902" t="s">
        <v>8937</v>
      </c>
      <c r="E13874" s="647">
        <v>28000</v>
      </c>
      <c r="F13874" s="126"/>
      <c r="G13874" s="126">
        <f t="shared" si="222"/>
        <v>-28000</v>
      </c>
      <c r="H13874" s="705" t="s">
        <v>8766</v>
      </c>
    </row>
    <row r="13875" spans="1:8" ht="15" x14ac:dyDescent="0.2">
      <c r="A13875" s="734">
        <v>44919</v>
      </c>
      <c r="B13875" s="63" t="s">
        <v>8043</v>
      </c>
      <c r="C13875" s="63" t="s">
        <v>5741</v>
      </c>
      <c r="D13875" s="183" t="s">
        <v>8935</v>
      </c>
      <c r="E13875" s="126">
        <v>1500</v>
      </c>
      <c r="F13875" s="126"/>
      <c r="G13875" s="126">
        <f t="shared" ref="G13875:G13938" si="223">F13875-E13875</f>
        <v>-1500</v>
      </c>
      <c r="H13875" s="705" t="s">
        <v>8766</v>
      </c>
    </row>
    <row r="13876" spans="1:8" ht="15" x14ac:dyDescent="0.2">
      <c r="A13876" s="734">
        <v>44919</v>
      </c>
      <c r="B13876" s="63" t="s">
        <v>8339</v>
      </c>
      <c r="C13876" s="63" t="s">
        <v>392</v>
      </c>
      <c r="D13876" s="183" t="s">
        <v>8936</v>
      </c>
      <c r="E13876" s="126">
        <v>700</v>
      </c>
      <c r="F13876" s="126"/>
      <c r="G13876" s="126">
        <f t="shared" si="223"/>
        <v>-700</v>
      </c>
      <c r="H13876" s="705" t="s">
        <v>8766</v>
      </c>
    </row>
    <row r="13877" spans="1:8" ht="15" x14ac:dyDescent="0.2">
      <c r="A13877" s="734">
        <v>44919</v>
      </c>
      <c r="B13877" s="63" t="s">
        <v>8532</v>
      </c>
      <c r="C13877" s="63" t="s">
        <v>8564</v>
      </c>
      <c r="D13877" s="183" t="s">
        <v>8944</v>
      </c>
      <c r="E13877" s="126">
        <v>10000</v>
      </c>
      <c r="F13877" s="126"/>
      <c r="G13877" s="126">
        <f t="shared" si="223"/>
        <v>-10000</v>
      </c>
      <c r="H13877" s="705" t="s">
        <v>8766</v>
      </c>
    </row>
    <row r="13878" spans="1:8" ht="15" x14ac:dyDescent="0.2">
      <c r="A13878" s="734">
        <v>44919</v>
      </c>
      <c r="B13878" s="63" t="s">
        <v>8657</v>
      </c>
      <c r="C13878" s="63" t="s">
        <v>3145</v>
      </c>
      <c r="D13878" s="183" t="s">
        <v>4694</v>
      </c>
      <c r="E13878" s="126">
        <v>6400</v>
      </c>
      <c r="F13878" s="126"/>
      <c r="G13878" s="126">
        <f t="shared" si="223"/>
        <v>-6400</v>
      </c>
      <c r="H13878" s="705" t="s">
        <v>8766</v>
      </c>
    </row>
    <row r="13879" spans="1:8" ht="15" x14ac:dyDescent="0.2">
      <c r="A13879" s="734">
        <v>44919</v>
      </c>
      <c r="B13879" s="63" t="s">
        <v>8559</v>
      </c>
      <c r="C13879" s="63" t="s">
        <v>3145</v>
      </c>
      <c r="D13879" s="183" t="s">
        <v>4694</v>
      </c>
      <c r="E13879" s="126">
        <v>10500</v>
      </c>
      <c r="F13879" s="126"/>
      <c r="G13879" s="126">
        <f t="shared" si="223"/>
        <v>-10500</v>
      </c>
      <c r="H13879" s="705" t="s">
        <v>8766</v>
      </c>
    </row>
    <row r="13880" spans="1:8" ht="15" x14ac:dyDescent="0.2">
      <c r="A13880" s="734">
        <v>44919</v>
      </c>
      <c r="B13880" s="63" t="s">
        <v>6505</v>
      </c>
      <c r="C13880" s="63" t="s">
        <v>3145</v>
      </c>
      <c r="D13880" s="183" t="s">
        <v>4694</v>
      </c>
      <c r="E13880" s="126">
        <v>3150</v>
      </c>
      <c r="F13880" s="126"/>
      <c r="G13880" s="126">
        <f t="shared" si="223"/>
        <v>-3150</v>
      </c>
      <c r="H13880" s="705" t="s">
        <v>8766</v>
      </c>
    </row>
    <row r="13881" spans="1:8" ht="15" x14ac:dyDescent="0.2">
      <c r="A13881" s="734">
        <v>44919</v>
      </c>
      <c r="B13881" s="63" t="s">
        <v>8532</v>
      </c>
      <c r="C13881" s="63" t="s">
        <v>3145</v>
      </c>
      <c r="D13881" s="183" t="s">
        <v>4694</v>
      </c>
      <c r="E13881" s="126">
        <v>4000</v>
      </c>
      <c r="F13881" s="126"/>
      <c r="G13881" s="126">
        <f t="shared" si="223"/>
        <v>-4000</v>
      </c>
      <c r="H13881" s="705" t="s">
        <v>8766</v>
      </c>
    </row>
    <row r="13882" spans="1:8" ht="15" x14ac:dyDescent="0.2">
      <c r="A13882" s="734">
        <v>44919</v>
      </c>
      <c r="B13882" s="63" t="s">
        <v>8868</v>
      </c>
      <c r="C13882" s="63" t="s">
        <v>5741</v>
      </c>
      <c r="D13882" s="183" t="s">
        <v>8950</v>
      </c>
      <c r="E13882" s="126">
        <v>2000</v>
      </c>
      <c r="F13882" s="126"/>
      <c r="G13882" s="126">
        <f t="shared" si="223"/>
        <v>-2000</v>
      </c>
      <c r="H13882" s="705" t="s">
        <v>8766</v>
      </c>
    </row>
    <row r="13883" spans="1:8" ht="15" x14ac:dyDescent="0.2">
      <c r="A13883" s="734">
        <v>44921</v>
      </c>
      <c r="B13883" s="63" t="s">
        <v>8339</v>
      </c>
      <c r="C13883" s="63" t="s">
        <v>790</v>
      </c>
      <c r="D13883" s="183" t="s">
        <v>8597</v>
      </c>
      <c r="E13883" s="126">
        <v>2560</v>
      </c>
      <c r="F13883" s="126"/>
      <c r="G13883" s="126">
        <f t="shared" si="223"/>
        <v>-2560</v>
      </c>
      <c r="H13883" s="705" t="s">
        <v>8766</v>
      </c>
    </row>
    <row r="13884" spans="1:8" ht="15" x14ac:dyDescent="0.2">
      <c r="A13884" s="734">
        <v>44921</v>
      </c>
      <c r="B13884" s="63" t="s">
        <v>2933</v>
      </c>
      <c r="C13884" s="63" t="s">
        <v>392</v>
      </c>
      <c r="D13884" s="183" t="s">
        <v>8945</v>
      </c>
      <c r="E13884" s="126">
        <v>1170</v>
      </c>
      <c r="F13884" s="126"/>
      <c r="G13884" s="126">
        <f t="shared" si="223"/>
        <v>-1170</v>
      </c>
      <c r="H13884" s="705" t="s">
        <v>8766</v>
      </c>
    </row>
    <row r="13885" spans="1:8" ht="15" x14ac:dyDescent="0.2">
      <c r="A13885" s="734">
        <v>44921</v>
      </c>
      <c r="B13885" s="63" t="s">
        <v>8339</v>
      </c>
      <c r="C13885" s="63" t="s">
        <v>3145</v>
      </c>
      <c r="D13885" s="183" t="s">
        <v>8833</v>
      </c>
      <c r="E13885" s="126">
        <v>10900</v>
      </c>
      <c r="F13885" s="126"/>
      <c r="G13885" s="126">
        <f t="shared" si="223"/>
        <v>-10900</v>
      </c>
      <c r="H13885" s="705" t="s">
        <v>8766</v>
      </c>
    </row>
    <row r="13886" spans="1:8" ht="15" x14ac:dyDescent="0.2">
      <c r="A13886" s="734">
        <v>44921</v>
      </c>
      <c r="B13886" s="63" t="s">
        <v>8559</v>
      </c>
      <c r="C13886" s="63" t="s">
        <v>3145</v>
      </c>
      <c r="D13886" s="183" t="s">
        <v>6344</v>
      </c>
      <c r="E13886" s="126">
        <v>22323</v>
      </c>
      <c r="F13886" s="126"/>
      <c r="G13886" s="126">
        <f t="shared" si="223"/>
        <v>-22323</v>
      </c>
      <c r="H13886" s="705" t="s">
        <v>8766</v>
      </c>
    </row>
    <row r="13887" spans="1:8" ht="15" x14ac:dyDescent="0.2">
      <c r="A13887" s="734">
        <v>44921</v>
      </c>
      <c r="B13887" s="63" t="s">
        <v>8657</v>
      </c>
      <c r="C13887" s="63" t="s">
        <v>8691</v>
      </c>
      <c r="D13887" s="183" t="s">
        <v>8946</v>
      </c>
      <c r="E13887" s="126">
        <v>157500</v>
      </c>
      <c r="F13887" s="126"/>
      <c r="G13887" s="126">
        <f t="shared" si="223"/>
        <v>-157500</v>
      </c>
      <c r="H13887" s="705" t="s">
        <v>8766</v>
      </c>
    </row>
    <row r="13888" spans="1:8" ht="15" x14ac:dyDescent="0.2">
      <c r="A13888" s="734">
        <v>44921</v>
      </c>
      <c r="B13888" s="63" t="s">
        <v>25</v>
      </c>
      <c r="C13888" s="63" t="s">
        <v>8150</v>
      </c>
      <c r="D13888" s="183" t="s">
        <v>8714</v>
      </c>
      <c r="E13888" s="126">
        <v>21163</v>
      </c>
      <c r="F13888" s="126"/>
      <c r="G13888" s="126">
        <f t="shared" si="223"/>
        <v>-21163</v>
      </c>
      <c r="H13888" s="705" t="s">
        <v>8766</v>
      </c>
    </row>
    <row r="13889" spans="1:8" ht="15" x14ac:dyDescent="0.2">
      <c r="A13889" s="734">
        <v>44921</v>
      </c>
      <c r="B13889" s="63" t="s">
        <v>16</v>
      </c>
      <c r="C13889" s="63" t="s">
        <v>8150</v>
      </c>
      <c r="D13889" s="183" t="s">
        <v>8714</v>
      </c>
      <c r="E13889" s="126">
        <v>11642</v>
      </c>
      <c r="F13889" s="126"/>
      <c r="G13889" s="126">
        <f t="shared" si="223"/>
        <v>-11642</v>
      </c>
      <c r="H13889" s="705" t="s">
        <v>8766</v>
      </c>
    </row>
    <row r="13890" spans="1:8" ht="15" x14ac:dyDescent="0.2">
      <c r="A13890" s="734">
        <v>44921</v>
      </c>
      <c r="B13890" s="63" t="s">
        <v>8657</v>
      </c>
      <c r="C13890" s="63" t="s">
        <v>392</v>
      </c>
      <c r="D13890" s="183" t="s">
        <v>8947</v>
      </c>
      <c r="E13890" s="126">
        <v>35000</v>
      </c>
      <c r="F13890" s="126"/>
      <c r="G13890" s="126">
        <f t="shared" si="223"/>
        <v>-35000</v>
      </c>
      <c r="H13890" s="705" t="s">
        <v>8766</v>
      </c>
    </row>
    <row r="13891" spans="1:8" ht="15" x14ac:dyDescent="0.2">
      <c r="A13891" s="734">
        <v>44921</v>
      </c>
      <c r="B13891" s="63" t="s">
        <v>8339</v>
      </c>
      <c r="C13891" s="63" t="s">
        <v>392</v>
      </c>
      <c r="D13891" s="183" t="s">
        <v>6698</v>
      </c>
      <c r="E13891" s="126">
        <v>1250</v>
      </c>
      <c r="F13891" s="126"/>
      <c r="G13891" s="126">
        <f t="shared" si="223"/>
        <v>-1250</v>
      </c>
      <c r="H13891" s="705" t="s">
        <v>8766</v>
      </c>
    </row>
    <row r="13892" spans="1:8" ht="15" x14ac:dyDescent="0.2">
      <c r="A13892" s="734">
        <v>44921</v>
      </c>
      <c r="B13892" s="63" t="s">
        <v>8043</v>
      </c>
      <c r="C13892" s="63" t="s">
        <v>392</v>
      </c>
      <c r="D13892" s="183" t="s">
        <v>6698</v>
      </c>
      <c r="E13892" s="126">
        <v>1250</v>
      </c>
      <c r="F13892" s="126"/>
      <c r="G13892" s="126">
        <f t="shared" si="223"/>
        <v>-1250</v>
      </c>
      <c r="H13892" s="705" t="s">
        <v>8766</v>
      </c>
    </row>
    <row r="13893" spans="1:8" ht="15" x14ac:dyDescent="0.2">
      <c r="A13893" s="734">
        <v>44921</v>
      </c>
      <c r="B13893" s="63" t="s">
        <v>8876</v>
      </c>
      <c r="C13893" s="63" t="s">
        <v>5741</v>
      </c>
      <c r="D13893" s="183" t="s">
        <v>8951</v>
      </c>
      <c r="E13893" s="126">
        <v>2000</v>
      </c>
      <c r="F13893" s="126"/>
      <c r="G13893" s="126">
        <f t="shared" si="223"/>
        <v>-2000</v>
      </c>
      <c r="H13893" s="705" t="s">
        <v>8766</v>
      </c>
    </row>
    <row r="13894" spans="1:8" ht="15" x14ac:dyDescent="0.2">
      <c r="A13894" s="734">
        <v>44921</v>
      </c>
      <c r="B13894" s="63" t="s">
        <v>8339</v>
      </c>
      <c r="C13894" s="63" t="s">
        <v>392</v>
      </c>
      <c r="D13894" s="183" t="s">
        <v>7977</v>
      </c>
      <c r="E13894" s="126">
        <v>500</v>
      </c>
      <c r="F13894" s="126"/>
      <c r="G13894" s="126">
        <f t="shared" si="223"/>
        <v>-500</v>
      </c>
      <c r="H13894" s="705" t="s">
        <v>8766</v>
      </c>
    </row>
    <row r="13895" spans="1:8" ht="15" x14ac:dyDescent="0.2">
      <c r="A13895" s="734">
        <v>44921</v>
      </c>
      <c r="B13895" s="63" t="s">
        <v>6505</v>
      </c>
      <c r="C13895" s="63" t="s">
        <v>6445</v>
      </c>
      <c r="D13895" s="183" t="s">
        <v>8440</v>
      </c>
      <c r="E13895" s="126">
        <v>900</v>
      </c>
      <c r="F13895" s="126"/>
      <c r="G13895" s="126">
        <f t="shared" si="223"/>
        <v>-900</v>
      </c>
      <c r="H13895" s="705" t="s">
        <v>8766</v>
      </c>
    </row>
    <row r="13896" spans="1:8" ht="15" x14ac:dyDescent="0.2">
      <c r="A13896" s="734">
        <v>44922</v>
      </c>
      <c r="B13896" s="63" t="s">
        <v>8559</v>
      </c>
      <c r="C13896" s="63" t="s">
        <v>2666</v>
      </c>
      <c r="D13896" s="183" t="s">
        <v>8948</v>
      </c>
      <c r="E13896" s="126">
        <v>20000</v>
      </c>
      <c r="F13896" s="126"/>
      <c r="G13896" s="126">
        <f t="shared" si="223"/>
        <v>-20000</v>
      </c>
      <c r="H13896" s="705" t="s">
        <v>8766</v>
      </c>
    </row>
    <row r="13897" spans="1:8" ht="15" x14ac:dyDescent="0.2">
      <c r="A13897" s="734">
        <v>44922</v>
      </c>
      <c r="B13897" s="63" t="s">
        <v>8657</v>
      </c>
      <c r="C13897" s="63" t="s">
        <v>8763</v>
      </c>
      <c r="D13897" s="183" t="s">
        <v>8949</v>
      </c>
      <c r="E13897" s="126">
        <v>59000</v>
      </c>
      <c r="F13897" s="126"/>
      <c r="G13897" s="126">
        <f t="shared" si="223"/>
        <v>-59000</v>
      </c>
      <c r="H13897" s="705" t="s">
        <v>8766</v>
      </c>
    </row>
    <row r="13898" spans="1:8" ht="15" x14ac:dyDescent="0.2">
      <c r="A13898" s="734">
        <v>44922</v>
      </c>
      <c r="B13898" s="63" t="s">
        <v>8657</v>
      </c>
      <c r="C13898" s="63" t="s">
        <v>8953</v>
      </c>
      <c r="D13898" s="183" t="s">
        <v>8952</v>
      </c>
      <c r="E13898" s="126">
        <v>29000</v>
      </c>
      <c r="F13898" s="126"/>
      <c r="G13898" s="126">
        <f t="shared" si="223"/>
        <v>-29000</v>
      </c>
      <c r="H13898" s="705" t="s">
        <v>8766</v>
      </c>
    </row>
    <row r="13899" spans="1:8" ht="15" x14ac:dyDescent="0.2">
      <c r="A13899" s="734">
        <v>44922</v>
      </c>
      <c r="B13899" s="63" t="s">
        <v>8339</v>
      </c>
      <c r="C13899" s="63" t="s">
        <v>392</v>
      </c>
      <c r="D13899" s="183" t="s">
        <v>8954</v>
      </c>
      <c r="E13899" s="126">
        <v>5000</v>
      </c>
      <c r="F13899" s="126"/>
      <c r="G13899" s="126">
        <f t="shared" si="223"/>
        <v>-5000</v>
      </c>
      <c r="H13899" s="705" t="s">
        <v>8766</v>
      </c>
    </row>
    <row r="13900" spans="1:8" ht="15" x14ac:dyDescent="0.2">
      <c r="A13900" s="734">
        <v>44922</v>
      </c>
      <c r="B13900" s="63" t="s">
        <v>8043</v>
      </c>
      <c r="C13900" s="63" t="s">
        <v>392</v>
      </c>
      <c r="D13900" s="183" t="s">
        <v>8959</v>
      </c>
      <c r="E13900" s="126">
        <v>1350</v>
      </c>
      <c r="F13900" s="126"/>
      <c r="G13900" s="126">
        <f t="shared" si="223"/>
        <v>-1350</v>
      </c>
      <c r="H13900" s="705" t="s">
        <v>8766</v>
      </c>
    </row>
    <row r="13901" spans="1:8" ht="15" x14ac:dyDescent="0.2">
      <c r="A13901" s="734">
        <v>44922</v>
      </c>
      <c r="B13901" s="63" t="s">
        <v>8339</v>
      </c>
      <c r="C13901" s="63" t="s">
        <v>392</v>
      </c>
      <c r="D13901" s="183" t="s">
        <v>8960</v>
      </c>
      <c r="E13901" s="126">
        <v>700</v>
      </c>
      <c r="F13901" s="126"/>
      <c r="G13901" s="126">
        <f t="shared" si="223"/>
        <v>-700</v>
      </c>
      <c r="H13901" s="705" t="s">
        <v>8766</v>
      </c>
    </row>
    <row r="13902" spans="1:8" ht="15" x14ac:dyDescent="0.2">
      <c r="A13902" s="734">
        <v>44922</v>
      </c>
      <c r="B13902" s="63" t="s">
        <v>16</v>
      </c>
      <c r="C13902" s="63" t="s">
        <v>392</v>
      </c>
      <c r="D13902" s="183" t="s">
        <v>8961</v>
      </c>
      <c r="E13902" s="126">
        <v>320</v>
      </c>
      <c r="F13902" s="126"/>
      <c r="G13902" s="126">
        <f t="shared" si="223"/>
        <v>-320</v>
      </c>
      <c r="H13902" s="705" t="s">
        <v>8766</v>
      </c>
    </row>
    <row r="13903" spans="1:8" ht="15" x14ac:dyDescent="0.2">
      <c r="A13903" s="734">
        <v>44923</v>
      </c>
      <c r="B13903" s="63" t="s">
        <v>7555</v>
      </c>
      <c r="C13903" s="63" t="s">
        <v>3145</v>
      </c>
      <c r="D13903" s="183" t="s">
        <v>6942</v>
      </c>
      <c r="E13903" s="126">
        <v>17600</v>
      </c>
      <c r="F13903" s="126"/>
      <c r="G13903" s="126">
        <f t="shared" si="223"/>
        <v>-17600</v>
      </c>
      <c r="H13903" s="705" t="s">
        <v>8766</v>
      </c>
    </row>
    <row r="13904" spans="1:8" ht="15" x14ac:dyDescent="0.2">
      <c r="A13904" s="734">
        <v>44923</v>
      </c>
      <c r="B13904" s="63" t="s">
        <v>8532</v>
      </c>
      <c r="C13904" s="63" t="s">
        <v>392</v>
      </c>
      <c r="D13904" s="183" t="s">
        <v>8962</v>
      </c>
      <c r="E13904" s="126">
        <v>5900</v>
      </c>
      <c r="F13904" s="126"/>
      <c r="G13904" s="126">
        <f t="shared" si="223"/>
        <v>-5900</v>
      </c>
      <c r="H13904" s="705" t="s">
        <v>8766</v>
      </c>
    </row>
    <row r="13905" spans="1:8" ht="15" x14ac:dyDescent="0.2">
      <c r="A13905" s="734">
        <v>44923</v>
      </c>
      <c r="B13905" s="63" t="s">
        <v>16</v>
      </c>
      <c r="C13905" s="63" t="s">
        <v>3843</v>
      </c>
      <c r="D13905" s="183" t="s">
        <v>8712</v>
      </c>
      <c r="E13905" s="126">
        <v>5910</v>
      </c>
      <c r="F13905" s="126"/>
      <c r="G13905" s="126">
        <f t="shared" si="223"/>
        <v>-5910</v>
      </c>
      <c r="H13905" s="705" t="s">
        <v>8766</v>
      </c>
    </row>
    <row r="13906" spans="1:8" ht="15" x14ac:dyDescent="0.2">
      <c r="A13906" s="734">
        <v>44923</v>
      </c>
      <c r="B13906" s="63" t="s">
        <v>8657</v>
      </c>
      <c r="C13906" s="63" t="s">
        <v>5741</v>
      </c>
      <c r="D13906" s="183" t="s">
        <v>8976</v>
      </c>
      <c r="E13906" s="126">
        <v>1800</v>
      </c>
      <c r="F13906" s="126"/>
      <c r="G13906" s="126">
        <f t="shared" si="223"/>
        <v>-1800</v>
      </c>
      <c r="H13906" s="705" t="s">
        <v>8766</v>
      </c>
    </row>
    <row r="13907" spans="1:8" ht="15" x14ac:dyDescent="0.2">
      <c r="A13907" s="734">
        <v>44923</v>
      </c>
      <c r="B13907" s="63" t="s">
        <v>7555</v>
      </c>
      <c r="C13907" s="63" t="s">
        <v>5741</v>
      </c>
      <c r="D13907" s="183" t="s">
        <v>8977</v>
      </c>
      <c r="E13907" s="126">
        <v>500</v>
      </c>
      <c r="F13907" s="126"/>
      <c r="G13907" s="126">
        <f t="shared" si="223"/>
        <v>-500</v>
      </c>
      <c r="H13907" s="705" t="s">
        <v>8766</v>
      </c>
    </row>
    <row r="13908" spans="1:8" ht="15" x14ac:dyDescent="0.2">
      <c r="A13908" s="734">
        <v>44923</v>
      </c>
      <c r="B13908" s="63" t="s">
        <v>8876</v>
      </c>
      <c r="C13908" s="63" t="s">
        <v>5741</v>
      </c>
      <c r="D13908" s="183" t="s">
        <v>8978</v>
      </c>
      <c r="E13908" s="126">
        <v>200</v>
      </c>
      <c r="F13908" s="126"/>
      <c r="G13908" s="126">
        <f t="shared" si="223"/>
        <v>-200</v>
      </c>
      <c r="H13908" s="705" t="s">
        <v>8766</v>
      </c>
    </row>
    <row r="13909" spans="1:8" ht="15" x14ac:dyDescent="0.2">
      <c r="A13909" s="734">
        <v>44923</v>
      </c>
      <c r="B13909" s="63" t="s">
        <v>6505</v>
      </c>
      <c r="C13909" s="63" t="s">
        <v>286</v>
      </c>
      <c r="D13909" s="183" t="s">
        <v>8979</v>
      </c>
      <c r="E13909" s="126">
        <v>200</v>
      </c>
      <c r="F13909" s="126"/>
      <c r="G13909" s="126">
        <f t="shared" si="223"/>
        <v>-200</v>
      </c>
      <c r="H13909" s="705" t="s">
        <v>8766</v>
      </c>
    </row>
    <row r="13910" spans="1:8" ht="15" x14ac:dyDescent="0.2">
      <c r="A13910" s="734">
        <v>44924</v>
      </c>
      <c r="B13910" s="63" t="s">
        <v>7921</v>
      </c>
      <c r="C13910" s="63" t="s">
        <v>392</v>
      </c>
      <c r="D13910" s="183" t="s">
        <v>3991</v>
      </c>
      <c r="E13910" s="126">
        <v>2650</v>
      </c>
      <c r="F13910" s="126"/>
      <c r="G13910" s="126">
        <f t="shared" si="223"/>
        <v>-2650</v>
      </c>
      <c r="H13910" s="705" t="s">
        <v>8766</v>
      </c>
    </row>
    <row r="13911" spans="1:8" ht="15" x14ac:dyDescent="0.2">
      <c r="A13911" s="734">
        <v>44924</v>
      </c>
      <c r="B13911" s="63" t="s">
        <v>8876</v>
      </c>
      <c r="C13911" s="63" t="s">
        <v>392</v>
      </c>
      <c r="D13911" s="183" t="s">
        <v>8877</v>
      </c>
      <c r="E13911" s="126">
        <v>3700</v>
      </c>
      <c r="F13911" s="126"/>
      <c r="G13911" s="126">
        <f t="shared" si="223"/>
        <v>-3700</v>
      </c>
      <c r="H13911" s="705" t="s">
        <v>8766</v>
      </c>
    </row>
    <row r="13912" spans="1:8" ht="24" x14ac:dyDescent="0.2">
      <c r="A13912" s="734">
        <v>44925</v>
      </c>
      <c r="B13912" s="63" t="s">
        <v>8868</v>
      </c>
      <c r="C13912" s="63" t="s">
        <v>6706</v>
      </c>
      <c r="D13912" s="183" t="s">
        <v>8963</v>
      </c>
      <c r="E13912" s="126">
        <v>410600</v>
      </c>
      <c r="F13912" s="126"/>
      <c r="G13912" s="126">
        <f t="shared" si="223"/>
        <v>-410600</v>
      </c>
      <c r="H13912" s="705" t="s">
        <v>8766</v>
      </c>
    </row>
    <row r="13913" spans="1:8" ht="24" x14ac:dyDescent="0.2">
      <c r="A13913" s="734">
        <v>44925</v>
      </c>
      <c r="B13913" s="63" t="s">
        <v>8868</v>
      </c>
      <c r="C13913" s="63" t="s">
        <v>6706</v>
      </c>
      <c r="D13913" s="183" t="s">
        <v>8963</v>
      </c>
      <c r="E13913" s="126">
        <v>370200</v>
      </c>
      <c r="F13913" s="126"/>
      <c r="G13913" s="126">
        <f t="shared" si="223"/>
        <v>-370200</v>
      </c>
      <c r="H13913" s="705" t="s">
        <v>8766</v>
      </c>
    </row>
    <row r="13914" spans="1:8" ht="24" x14ac:dyDescent="0.2">
      <c r="A13914" s="734">
        <v>44925</v>
      </c>
      <c r="B13914" s="63" t="s">
        <v>8559</v>
      </c>
      <c r="C13914" s="63" t="s">
        <v>6706</v>
      </c>
      <c r="D13914" s="183" t="s">
        <v>8963</v>
      </c>
      <c r="E13914" s="126">
        <v>275600</v>
      </c>
      <c r="F13914" s="126"/>
      <c r="G13914" s="126">
        <f t="shared" si="223"/>
        <v>-275600</v>
      </c>
      <c r="H13914" s="705" t="s">
        <v>8766</v>
      </c>
    </row>
    <row r="13915" spans="1:8" ht="15" x14ac:dyDescent="0.2">
      <c r="A13915" s="734">
        <v>44925</v>
      </c>
      <c r="B13915" s="63" t="s">
        <v>16</v>
      </c>
      <c r="C13915" s="63" t="s">
        <v>3843</v>
      </c>
      <c r="D13915" s="183" t="s">
        <v>8712</v>
      </c>
      <c r="E13915" s="126">
        <v>5320</v>
      </c>
      <c r="F13915" s="126"/>
      <c r="G13915" s="126">
        <f t="shared" si="223"/>
        <v>-5320</v>
      </c>
      <c r="H13915" s="705" t="s">
        <v>8766</v>
      </c>
    </row>
    <row r="13916" spans="1:8" ht="15" x14ac:dyDescent="0.2">
      <c r="A13916" s="734">
        <v>44925</v>
      </c>
      <c r="B13916" s="63" t="s">
        <v>25</v>
      </c>
      <c r="C13916" s="63" t="s">
        <v>8150</v>
      </c>
      <c r="D13916" s="183" t="s">
        <v>8619</v>
      </c>
      <c r="E13916" s="126">
        <v>1360</v>
      </c>
      <c r="F13916" s="126"/>
      <c r="G13916" s="126">
        <f t="shared" si="223"/>
        <v>-1360</v>
      </c>
      <c r="H13916" s="705" t="s">
        <v>8766</v>
      </c>
    </row>
    <row r="13917" spans="1:8" ht="15" x14ac:dyDescent="0.2">
      <c r="A13917" s="734">
        <v>44925</v>
      </c>
      <c r="B13917" s="63" t="s">
        <v>16</v>
      </c>
      <c r="C13917" s="63" t="s">
        <v>8150</v>
      </c>
      <c r="D13917" s="183" t="s">
        <v>8619</v>
      </c>
      <c r="E13917" s="126">
        <v>250</v>
      </c>
      <c r="F13917" s="126"/>
      <c r="G13917" s="126">
        <f t="shared" si="223"/>
        <v>-250</v>
      </c>
      <c r="H13917" s="705" t="s">
        <v>8766</v>
      </c>
    </row>
    <row r="13918" spans="1:8" ht="15" x14ac:dyDescent="0.2">
      <c r="A13918" s="734">
        <v>44926</v>
      </c>
      <c r="B13918" s="63" t="s">
        <v>8043</v>
      </c>
      <c r="C13918" s="63" t="s">
        <v>8251</v>
      </c>
      <c r="D13918" s="183" t="s">
        <v>8971</v>
      </c>
      <c r="E13918" s="126">
        <v>15000</v>
      </c>
      <c r="F13918" s="126"/>
      <c r="G13918" s="126">
        <f t="shared" si="223"/>
        <v>-15000</v>
      </c>
      <c r="H13918" s="705" t="s">
        <v>8766</v>
      </c>
    </row>
    <row r="13919" spans="1:8" ht="15" x14ac:dyDescent="0.2">
      <c r="A13919" s="734">
        <v>44926</v>
      </c>
      <c r="B13919" s="63" t="s">
        <v>8043</v>
      </c>
      <c r="C13919" s="63" t="s">
        <v>8251</v>
      </c>
      <c r="D13919" s="183" t="s">
        <v>8971</v>
      </c>
      <c r="E13919" s="126">
        <v>15000</v>
      </c>
      <c r="F13919" s="126"/>
      <c r="G13919" s="126">
        <f t="shared" si="223"/>
        <v>-15000</v>
      </c>
      <c r="H13919" s="705" t="s">
        <v>8766</v>
      </c>
    </row>
    <row r="13920" spans="1:8" ht="15" x14ac:dyDescent="0.2">
      <c r="A13920" s="734">
        <v>44926</v>
      </c>
      <c r="B13920" s="63" t="s">
        <v>8868</v>
      </c>
      <c r="C13920" s="63" t="s">
        <v>8502</v>
      </c>
      <c r="D13920" s="183" t="s">
        <v>8972</v>
      </c>
      <c r="E13920" s="126">
        <v>20000</v>
      </c>
      <c r="F13920" s="126"/>
      <c r="G13920" s="126">
        <f t="shared" si="223"/>
        <v>-20000</v>
      </c>
      <c r="H13920" s="705" t="s">
        <v>8766</v>
      </c>
    </row>
    <row r="13921" spans="1:8" ht="15" x14ac:dyDescent="0.2">
      <c r="A13921" s="734">
        <v>44926</v>
      </c>
      <c r="B13921" s="63" t="s">
        <v>7921</v>
      </c>
      <c r="C13921" s="63" t="s">
        <v>2503</v>
      </c>
      <c r="D13921" s="183" t="s">
        <v>7097</v>
      </c>
      <c r="E13921" s="126">
        <v>25000</v>
      </c>
      <c r="F13921" s="126"/>
      <c r="G13921" s="126">
        <f t="shared" si="223"/>
        <v>-25000</v>
      </c>
      <c r="H13921" s="705" t="s">
        <v>8766</v>
      </c>
    </row>
    <row r="13922" spans="1:8" ht="15" x14ac:dyDescent="0.2">
      <c r="A13922" s="734">
        <v>44926</v>
      </c>
      <c r="B13922" s="63" t="s">
        <v>6505</v>
      </c>
      <c r="C13922" s="63" t="s">
        <v>2503</v>
      </c>
      <c r="D13922" s="183" t="s">
        <v>7097</v>
      </c>
      <c r="E13922" s="126">
        <v>25000</v>
      </c>
      <c r="F13922" s="126"/>
      <c r="G13922" s="126">
        <f t="shared" si="223"/>
        <v>-25000</v>
      </c>
      <c r="H13922" s="705" t="s">
        <v>8766</v>
      </c>
    </row>
    <row r="13923" spans="1:8" ht="15" x14ac:dyDescent="0.2">
      <c r="A13923" s="734">
        <v>44926</v>
      </c>
      <c r="B13923" s="63" t="s">
        <v>8043</v>
      </c>
      <c r="C13923" s="63" t="s">
        <v>2503</v>
      </c>
      <c r="D13923" s="183" t="s">
        <v>141</v>
      </c>
      <c r="E13923" s="126">
        <v>25000</v>
      </c>
      <c r="F13923" s="126"/>
      <c r="G13923" s="126">
        <f t="shared" si="223"/>
        <v>-25000</v>
      </c>
      <c r="H13923" s="705" t="s">
        <v>8766</v>
      </c>
    </row>
    <row r="13924" spans="1:8" ht="15" x14ac:dyDescent="0.2">
      <c r="A13924" s="734">
        <v>44926</v>
      </c>
      <c r="B13924" s="63" t="s">
        <v>8657</v>
      </c>
      <c r="C13924" s="63" t="s">
        <v>2503</v>
      </c>
      <c r="D13924" s="183" t="s">
        <v>141</v>
      </c>
      <c r="E13924" s="126">
        <v>25000</v>
      </c>
      <c r="F13924" s="126"/>
      <c r="G13924" s="126">
        <f t="shared" si="223"/>
        <v>-25000</v>
      </c>
      <c r="H13924" s="705" t="s">
        <v>8766</v>
      </c>
    </row>
    <row r="13925" spans="1:8" ht="15" x14ac:dyDescent="0.2">
      <c r="A13925" s="734">
        <v>44926</v>
      </c>
      <c r="B13925" s="63" t="s">
        <v>25</v>
      </c>
      <c r="C13925" s="63" t="s">
        <v>2503</v>
      </c>
      <c r="D13925" s="183" t="s">
        <v>8609</v>
      </c>
      <c r="E13925" s="126">
        <v>80000</v>
      </c>
      <c r="F13925" s="126"/>
      <c r="G13925" s="126">
        <f t="shared" si="223"/>
        <v>-80000</v>
      </c>
      <c r="H13925" s="705" t="s">
        <v>8766</v>
      </c>
    </row>
    <row r="13926" spans="1:8" ht="15" x14ac:dyDescent="0.2">
      <c r="A13926" s="734">
        <v>44926</v>
      </c>
      <c r="B13926" s="63" t="s">
        <v>16</v>
      </c>
      <c r="C13926" s="63" t="s">
        <v>2503</v>
      </c>
      <c r="D13926" s="183" t="s">
        <v>8610</v>
      </c>
      <c r="E13926" s="126">
        <v>146774.19354838709</v>
      </c>
      <c r="F13926" s="126"/>
      <c r="G13926" s="126">
        <f t="shared" si="223"/>
        <v>-146774.19354838709</v>
      </c>
      <c r="H13926" s="705" t="s">
        <v>8766</v>
      </c>
    </row>
    <row r="13927" spans="1:8" ht="15" x14ac:dyDescent="0.2">
      <c r="A13927" s="734">
        <v>44926</v>
      </c>
      <c r="B13927" s="63" t="s">
        <v>3945</v>
      </c>
      <c r="C13927" s="63" t="s">
        <v>2503</v>
      </c>
      <c r="D13927" s="183" t="s">
        <v>9010</v>
      </c>
      <c r="E13927" s="126">
        <v>104082.66129032258</v>
      </c>
      <c r="F13927" s="126"/>
      <c r="G13927" s="126">
        <f t="shared" si="223"/>
        <v>-104082.66129032258</v>
      </c>
      <c r="H13927" s="705" t="s">
        <v>8766</v>
      </c>
    </row>
    <row r="13928" spans="1:8" ht="15" x14ac:dyDescent="0.2">
      <c r="A13928" s="734">
        <v>44926</v>
      </c>
      <c r="B13928" s="63" t="s">
        <v>3945</v>
      </c>
      <c r="C13928" s="63" t="s">
        <v>2503</v>
      </c>
      <c r="D13928" s="183" t="s">
        <v>9011</v>
      </c>
      <c r="E13928" s="126">
        <v>121274.19354838709</v>
      </c>
      <c r="F13928" s="126"/>
      <c r="G13928" s="126">
        <f t="shared" si="223"/>
        <v>-121274.19354838709</v>
      </c>
      <c r="H13928" s="705" t="s">
        <v>8766</v>
      </c>
    </row>
    <row r="13929" spans="1:8" ht="15" x14ac:dyDescent="0.2">
      <c r="A13929" s="734">
        <v>44926</v>
      </c>
      <c r="B13929" s="63" t="s">
        <v>6505</v>
      </c>
      <c r="C13929" s="63" t="s">
        <v>2503</v>
      </c>
      <c r="D13929" s="183" t="s">
        <v>8427</v>
      </c>
      <c r="E13929" s="126">
        <v>297774.19354838703</v>
      </c>
      <c r="F13929" s="126"/>
      <c r="G13929" s="126">
        <f t="shared" si="223"/>
        <v>-297774.19354838703</v>
      </c>
      <c r="H13929" s="705" t="s">
        <v>8766</v>
      </c>
    </row>
    <row r="13930" spans="1:8" ht="15" x14ac:dyDescent="0.2">
      <c r="A13930" s="734">
        <v>44926</v>
      </c>
      <c r="B13930" s="63" t="s">
        <v>37</v>
      </c>
      <c r="C13930" s="63" t="s">
        <v>2503</v>
      </c>
      <c r="D13930" s="183" t="s">
        <v>8428</v>
      </c>
      <c r="E13930" s="126">
        <v>149830.6451612903</v>
      </c>
      <c r="F13930" s="126"/>
      <c r="G13930" s="126">
        <f t="shared" si="223"/>
        <v>-149830.6451612903</v>
      </c>
      <c r="H13930" s="705" t="s">
        <v>8766</v>
      </c>
    </row>
    <row r="13931" spans="1:8" ht="15" x14ac:dyDescent="0.2">
      <c r="A13931" s="734">
        <v>44926</v>
      </c>
      <c r="B13931" s="63" t="s">
        <v>2933</v>
      </c>
      <c r="C13931" s="63" t="s">
        <v>2503</v>
      </c>
      <c r="D13931" s="183" t="s">
        <v>8429</v>
      </c>
      <c r="E13931" s="126">
        <v>124062.90322580645</v>
      </c>
      <c r="F13931" s="126"/>
      <c r="G13931" s="126">
        <f t="shared" si="223"/>
        <v>-124062.90322580645</v>
      </c>
      <c r="H13931" s="705" t="s">
        <v>8766</v>
      </c>
    </row>
    <row r="13932" spans="1:8" ht="15" x14ac:dyDescent="0.2">
      <c r="A13932" s="734">
        <v>44926</v>
      </c>
      <c r="B13932" s="63" t="s">
        <v>7921</v>
      </c>
      <c r="C13932" s="63" t="s">
        <v>2503</v>
      </c>
      <c r="D13932" s="183" t="s">
        <v>8822</v>
      </c>
      <c r="E13932" s="126">
        <v>70000</v>
      </c>
      <c r="F13932" s="126"/>
      <c r="G13932" s="126">
        <f t="shared" si="223"/>
        <v>-70000</v>
      </c>
      <c r="H13932" s="705" t="s">
        <v>8766</v>
      </c>
    </row>
    <row r="13933" spans="1:8" ht="15" x14ac:dyDescent="0.2">
      <c r="A13933" s="734">
        <v>44926</v>
      </c>
      <c r="B13933" s="63" t="s">
        <v>8043</v>
      </c>
      <c r="C13933" s="63" t="s">
        <v>2503</v>
      </c>
      <c r="D13933" s="183" t="s">
        <v>8822</v>
      </c>
      <c r="E13933" s="126">
        <v>70000</v>
      </c>
      <c r="F13933" s="126"/>
      <c r="G13933" s="126">
        <f t="shared" si="223"/>
        <v>-70000</v>
      </c>
      <c r="H13933" s="705" t="s">
        <v>8766</v>
      </c>
    </row>
    <row r="13934" spans="1:8" ht="15" x14ac:dyDescent="0.2">
      <c r="A13934" s="734">
        <v>44926</v>
      </c>
      <c r="B13934" s="63" t="s">
        <v>8868</v>
      </c>
      <c r="C13934" s="63" t="s">
        <v>2503</v>
      </c>
      <c r="D13934" s="183" t="s">
        <v>8822</v>
      </c>
      <c r="E13934" s="126">
        <v>31137</v>
      </c>
      <c r="F13934" s="126"/>
      <c r="G13934" s="126">
        <f t="shared" si="223"/>
        <v>-31137</v>
      </c>
      <c r="H13934" s="705" t="s">
        <v>8766</v>
      </c>
    </row>
    <row r="13935" spans="1:8" ht="15" x14ac:dyDescent="0.2">
      <c r="A13935" s="734">
        <v>44926</v>
      </c>
      <c r="B13935" s="63" t="s">
        <v>8339</v>
      </c>
      <c r="C13935" s="63" t="s">
        <v>2503</v>
      </c>
      <c r="D13935" s="183" t="s">
        <v>8822</v>
      </c>
      <c r="E13935" s="126">
        <v>70000</v>
      </c>
      <c r="F13935" s="126"/>
      <c r="G13935" s="126">
        <f t="shared" si="223"/>
        <v>-70000</v>
      </c>
      <c r="H13935" s="705" t="s">
        <v>8766</v>
      </c>
    </row>
    <row r="13936" spans="1:8" ht="15" x14ac:dyDescent="0.2">
      <c r="A13936" s="734">
        <v>44926</v>
      </c>
      <c r="B13936" s="63" t="s">
        <v>5811</v>
      </c>
      <c r="C13936" s="63" t="s">
        <v>2503</v>
      </c>
      <c r="D13936" s="183" t="s">
        <v>8430</v>
      </c>
      <c r="E13936" s="126">
        <v>28000</v>
      </c>
      <c r="F13936" s="126"/>
      <c r="G13936" s="126">
        <f t="shared" si="223"/>
        <v>-28000</v>
      </c>
      <c r="H13936" s="705" t="s">
        <v>8766</v>
      </c>
    </row>
    <row r="13937" spans="1:8" ht="15" x14ac:dyDescent="0.2">
      <c r="A13937" s="734">
        <v>44926</v>
      </c>
      <c r="B13937" s="63" t="s">
        <v>11</v>
      </c>
      <c r="C13937" s="63" t="s">
        <v>2503</v>
      </c>
      <c r="D13937" s="183" t="s">
        <v>9012</v>
      </c>
      <c r="E13937" s="126">
        <v>5000</v>
      </c>
      <c r="F13937" s="126"/>
      <c r="G13937" s="126">
        <f t="shared" si="223"/>
        <v>-5000</v>
      </c>
      <c r="H13937" s="705" t="s">
        <v>8766</v>
      </c>
    </row>
    <row r="13938" spans="1:8" ht="15" x14ac:dyDescent="0.2">
      <c r="A13938" s="733">
        <v>44896</v>
      </c>
      <c r="B13938" s="174" t="s">
        <v>8043</v>
      </c>
      <c r="C13938" s="174" t="s">
        <v>8792</v>
      </c>
      <c r="D13938" s="228" t="s">
        <v>8793</v>
      </c>
      <c r="E13938" s="236">
        <v>250000</v>
      </c>
      <c r="F13938" s="236"/>
      <c r="G13938" s="236">
        <f t="shared" si="223"/>
        <v>-250000</v>
      </c>
      <c r="H13938" s="709" t="s">
        <v>8766</v>
      </c>
    </row>
    <row r="13939" spans="1:8" ht="15" x14ac:dyDescent="0.2">
      <c r="A13939" s="733">
        <v>44896</v>
      </c>
      <c r="B13939" s="174" t="s">
        <v>8043</v>
      </c>
      <c r="C13939" s="174" t="s">
        <v>8792</v>
      </c>
      <c r="D13939" s="228" t="s">
        <v>8794</v>
      </c>
      <c r="E13939" s="236">
        <v>250000</v>
      </c>
      <c r="F13939" s="236"/>
      <c r="G13939" s="236">
        <f t="shared" ref="G13939:G14002" si="224">F13939-E13939</f>
        <v>-250000</v>
      </c>
      <c r="H13939" s="709" t="s">
        <v>8766</v>
      </c>
    </row>
    <row r="13940" spans="1:8" ht="15" x14ac:dyDescent="0.2">
      <c r="A13940" s="733">
        <v>44900</v>
      </c>
      <c r="B13940" s="174" t="s">
        <v>8657</v>
      </c>
      <c r="C13940" s="174" t="s">
        <v>1509</v>
      </c>
      <c r="D13940" s="228" t="s">
        <v>8819</v>
      </c>
      <c r="E13940" s="236">
        <v>200000</v>
      </c>
      <c r="F13940" s="236"/>
      <c r="G13940" s="236">
        <f t="shared" si="224"/>
        <v>-200000</v>
      </c>
      <c r="H13940" s="709" t="s">
        <v>8766</v>
      </c>
    </row>
    <row r="13941" spans="1:8" ht="15" x14ac:dyDescent="0.2">
      <c r="A13941" s="733">
        <v>44902</v>
      </c>
      <c r="B13941" s="174" t="s">
        <v>8339</v>
      </c>
      <c r="C13941" s="174" t="s">
        <v>705</v>
      </c>
      <c r="D13941" s="228" t="s">
        <v>8823</v>
      </c>
      <c r="E13941" s="236">
        <v>50000</v>
      </c>
      <c r="F13941" s="236"/>
      <c r="G13941" s="236">
        <f t="shared" si="224"/>
        <v>-50000</v>
      </c>
      <c r="H13941" s="709" t="s">
        <v>8766</v>
      </c>
    </row>
    <row r="13942" spans="1:8" ht="24" x14ac:dyDescent="0.2">
      <c r="A13942" s="733">
        <v>44902</v>
      </c>
      <c r="B13942" s="174" t="s">
        <v>1400</v>
      </c>
      <c r="C13942" s="174" t="s">
        <v>1063</v>
      </c>
      <c r="D13942" s="228" t="s">
        <v>8825</v>
      </c>
      <c r="E13942" s="236">
        <v>5940</v>
      </c>
      <c r="F13942" s="236"/>
      <c r="G13942" s="236">
        <f t="shared" si="224"/>
        <v>-5940</v>
      </c>
      <c r="H13942" s="709" t="s">
        <v>8766</v>
      </c>
    </row>
    <row r="13943" spans="1:8" ht="24" x14ac:dyDescent="0.2">
      <c r="A13943" s="733">
        <v>44902</v>
      </c>
      <c r="B13943" s="174" t="s">
        <v>8339</v>
      </c>
      <c r="C13943" s="174" t="s">
        <v>1063</v>
      </c>
      <c r="D13943" s="228" t="s">
        <v>8825</v>
      </c>
      <c r="E13943" s="236">
        <v>39210</v>
      </c>
      <c r="F13943" s="236"/>
      <c r="G13943" s="236">
        <f t="shared" si="224"/>
        <v>-39210</v>
      </c>
      <c r="H13943" s="709" t="s">
        <v>8766</v>
      </c>
    </row>
    <row r="13944" spans="1:8" ht="24" x14ac:dyDescent="0.2">
      <c r="A13944" s="733">
        <v>44902</v>
      </c>
      <c r="B13944" s="174" t="s">
        <v>8559</v>
      </c>
      <c r="C13944" s="174" t="s">
        <v>1063</v>
      </c>
      <c r="D13944" s="228" t="s">
        <v>8825</v>
      </c>
      <c r="E13944" s="236">
        <v>18450</v>
      </c>
      <c r="F13944" s="236"/>
      <c r="G13944" s="236">
        <f t="shared" si="224"/>
        <v>-18450</v>
      </c>
      <c r="H13944" s="709" t="s">
        <v>8766</v>
      </c>
    </row>
    <row r="13945" spans="1:8" ht="24" x14ac:dyDescent="0.2">
      <c r="A13945" s="733">
        <v>44902</v>
      </c>
      <c r="B13945" s="174" t="s">
        <v>8657</v>
      </c>
      <c r="C13945" s="174" t="s">
        <v>1063</v>
      </c>
      <c r="D13945" s="228" t="s">
        <v>8825</v>
      </c>
      <c r="E13945" s="236">
        <v>80000</v>
      </c>
      <c r="F13945" s="236"/>
      <c r="G13945" s="236">
        <f t="shared" si="224"/>
        <v>-80000</v>
      </c>
      <c r="H13945" s="709" t="s">
        <v>8766</v>
      </c>
    </row>
    <row r="13946" spans="1:8" ht="15" x14ac:dyDescent="0.2">
      <c r="A13946" s="733">
        <v>44903</v>
      </c>
      <c r="B13946" s="174" t="s">
        <v>8559</v>
      </c>
      <c r="C13946" s="174" t="s">
        <v>8502</v>
      </c>
      <c r="D13946" s="228" t="s">
        <v>8826</v>
      </c>
      <c r="E13946" s="236">
        <v>50000</v>
      </c>
      <c r="F13946" s="236"/>
      <c r="G13946" s="236">
        <f t="shared" si="224"/>
        <v>-50000</v>
      </c>
      <c r="H13946" s="709" t="s">
        <v>8766</v>
      </c>
    </row>
    <row r="13947" spans="1:8" ht="15" x14ac:dyDescent="0.2">
      <c r="A13947" s="733">
        <v>44903</v>
      </c>
      <c r="B13947" s="174" t="s">
        <v>8828</v>
      </c>
      <c r="C13947" s="174" t="s">
        <v>3003</v>
      </c>
      <c r="D13947" s="228" t="s">
        <v>8827</v>
      </c>
      <c r="E13947" s="236">
        <v>65000</v>
      </c>
      <c r="F13947" s="236"/>
      <c r="G13947" s="236">
        <f t="shared" si="224"/>
        <v>-65000</v>
      </c>
      <c r="H13947" s="709" t="s">
        <v>8766</v>
      </c>
    </row>
    <row r="13948" spans="1:8" ht="15" x14ac:dyDescent="0.2">
      <c r="A13948" s="733">
        <v>44903</v>
      </c>
      <c r="B13948" s="174" t="s">
        <v>3946</v>
      </c>
      <c r="C13948" s="174" t="s">
        <v>3003</v>
      </c>
      <c r="D13948" s="228" t="s">
        <v>8827</v>
      </c>
      <c r="E13948" s="236">
        <v>30152</v>
      </c>
      <c r="F13948" s="236"/>
      <c r="G13948" s="236">
        <f t="shared" si="224"/>
        <v>-30152</v>
      </c>
      <c r="H13948" s="709" t="s">
        <v>8766</v>
      </c>
    </row>
    <row r="13949" spans="1:8" ht="15" x14ac:dyDescent="0.2">
      <c r="A13949" s="733">
        <v>44903</v>
      </c>
      <c r="B13949" s="174" t="s">
        <v>3945</v>
      </c>
      <c r="C13949" s="174" t="s">
        <v>3003</v>
      </c>
      <c r="D13949" s="228" t="s">
        <v>8827</v>
      </c>
      <c r="E13949" s="236">
        <v>32760</v>
      </c>
      <c r="F13949" s="236"/>
      <c r="G13949" s="236">
        <f t="shared" si="224"/>
        <v>-32760</v>
      </c>
      <c r="H13949" s="709" t="s">
        <v>8766</v>
      </c>
    </row>
    <row r="13950" spans="1:8" ht="15" x14ac:dyDescent="0.2">
      <c r="A13950" s="733">
        <v>44903</v>
      </c>
      <c r="B13950" s="174" t="s">
        <v>37</v>
      </c>
      <c r="C13950" s="174" t="s">
        <v>3003</v>
      </c>
      <c r="D13950" s="228" t="s">
        <v>8827</v>
      </c>
      <c r="E13950" s="236">
        <v>15560</v>
      </c>
      <c r="F13950" s="236"/>
      <c r="G13950" s="236">
        <f t="shared" si="224"/>
        <v>-15560</v>
      </c>
      <c r="H13950" s="709" t="s">
        <v>8766</v>
      </c>
    </row>
    <row r="13951" spans="1:8" ht="24" x14ac:dyDescent="0.2">
      <c r="A13951" s="733">
        <v>44904</v>
      </c>
      <c r="B13951" s="174" t="s">
        <v>8657</v>
      </c>
      <c r="C13951" s="174" t="s">
        <v>8394</v>
      </c>
      <c r="D13951" s="228" t="s">
        <v>8835</v>
      </c>
      <c r="E13951" s="236">
        <v>468530</v>
      </c>
      <c r="F13951" s="236"/>
      <c r="G13951" s="236">
        <f t="shared" si="224"/>
        <v>-468530</v>
      </c>
      <c r="H13951" s="709" t="s">
        <v>8766</v>
      </c>
    </row>
    <row r="13952" spans="1:8" ht="15" x14ac:dyDescent="0.2">
      <c r="A13952" s="733">
        <v>44907</v>
      </c>
      <c r="B13952" s="174" t="s">
        <v>3946</v>
      </c>
      <c r="C13952" s="174" t="s">
        <v>7271</v>
      </c>
      <c r="D13952" s="228" t="s">
        <v>8849</v>
      </c>
      <c r="E13952" s="236">
        <v>150000</v>
      </c>
      <c r="F13952" s="236"/>
      <c r="G13952" s="236">
        <f t="shared" si="224"/>
        <v>-150000</v>
      </c>
      <c r="H13952" s="709" t="s">
        <v>8766</v>
      </c>
    </row>
    <row r="13953" spans="1:8" ht="15" x14ac:dyDescent="0.2">
      <c r="A13953" s="733">
        <v>44909</v>
      </c>
      <c r="B13953" s="174" t="s">
        <v>8043</v>
      </c>
      <c r="C13953" s="174" t="s">
        <v>8502</v>
      </c>
      <c r="D13953" s="228" t="s">
        <v>8867</v>
      </c>
      <c r="E13953" s="236">
        <v>8000</v>
      </c>
      <c r="F13953" s="236"/>
      <c r="G13953" s="236">
        <f t="shared" si="224"/>
        <v>-8000</v>
      </c>
      <c r="H13953" s="709" t="s">
        <v>8766</v>
      </c>
    </row>
    <row r="13954" spans="1:8" ht="15" x14ac:dyDescent="0.2">
      <c r="A13954" s="733">
        <v>44909</v>
      </c>
      <c r="B13954" s="174" t="s">
        <v>8339</v>
      </c>
      <c r="C13954" s="174" t="s">
        <v>8502</v>
      </c>
      <c r="D13954" s="228" t="s">
        <v>8867</v>
      </c>
      <c r="E13954" s="236">
        <v>9600</v>
      </c>
      <c r="F13954" s="236"/>
      <c r="G13954" s="236">
        <f t="shared" si="224"/>
        <v>-9600</v>
      </c>
      <c r="H13954" s="709" t="s">
        <v>8766</v>
      </c>
    </row>
    <row r="13955" spans="1:8" ht="15" x14ac:dyDescent="0.2">
      <c r="A13955" s="733">
        <v>44909</v>
      </c>
      <c r="B13955" s="174" t="s">
        <v>8868</v>
      </c>
      <c r="C13955" s="174" t="s">
        <v>8502</v>
      </c>
      <c r="D13955" s="228" t="s">
        <v>8867</v>
      </c>
      <c r="E13955" s="236">
        <f>50000-E13954-E13953</f>
        <v>32400</v>
      </c>
      <c r="F13955" s="236"/>
      <c r="G13955" s="236">
        <f t="shared" si="224"/>
        <v>-32400</v>
      </c>
      <c r="H13955" s="709" t="s">
        <v>8766</v>
      </c>
    </row>
    <row r="13956" spans="1:8" ht="24" x14ac:dyDescent="0.2">
      <c r="A13956" s="733">
        <v>44910</v>
      </c>
      <c r="B13956" s="174" t="s">
        <v>8339</v>
      </c>
      <c r="C13956" s="174" t="s">
        <v>1063</v>
      </c>
      <c r="D13956" s="228" t="s">
        <v>8870</v>
      </c>
      <c r="E13956" s="236">
        <v>100000</v>
      </c>
      <c r="F13956" s="236"/>
      <c r="G13956" s="236">
        <f t="shared" si="224"/>
        <v>-100000</v>
      </c>
      <c r="H13956" s="709" t="s">
        <v>8766</v>
      </c>
    </row>
    <row r="13957" spans="1:8" ht="24" x14ac:dyDescent="0.2">
      <c r="A13957" s="733">
        <v>44910</v>
      </c>
      <c r="B13957" s="174" t="s">
        <v>7921</v>
      </c>
      <c r="C13957" s="551" t="s">
        <v>1391</v>
      </c>
      <c r="D13957" s="740" t="s">
        <v>8871</v>
      </c>
      <c r="E13957" s="552">
        <v>67349</v>
      </c>
      <c r="F13957" s="236"/>
      <c r="G13957" s="236">
        <f t="shared" si="224"/>
        <v>-67349</v>
      </c>
      <c r="H13957" s="709" t="s">
        <v>8766</v>
      </c>
    </row>
    <row r="13958" spans="1:8" ht="24" x14ac:dyDescent="0.2">
      <c r="A13958" s="733">
        <v>44910</v>
      </c>
      <c r="B13958" s="174" t="s">
        <v>6505</v>
      </c>
      <c r="C13958" s="551" t="s">
        <v>1391</v>
      </c>
      <c r="D13958" s="740" t="s">
        <v>8871</v>
      </c>
      <c r="E13958" s="552">
        <v>9328</v>
      </c>
      <c r="F13958" s="236"/>
      <c r="G13958" s="236">
        <f t="shared" si="224"/>
        <v>-9328</v>
      </c>
      <c r="H13958" s="709" t="s">
        <v>8766</v>
      </c>
    </row>
    <row r="13959" spans="1:8" ht="24" x14ac:dyDescent="0.2">
      <c r="A13959" s="733">
        <v>44910</v>
      </c>
      <c r="B13959" s="174" t="s">
        <v>7067</v>
      </c>
      <c r="C13959" s="551" t="s">
        <v>1391</v>
      </c>
      <c r="D13959" s="740" t="s">
        <v>8871</v>
      </c>
      <c r="E13959" s="552">
        <v>247</v>
      </c>
      <c r="F13959" s="236"/>
      <c r="G13959" s="236">
        <f t="shared" si="224"/>
        <v>-247</v>
      </c>
      <c r="H13959" s="709" t="s">
        <v>8766</v>
      </c>
    </row>
    <row r="13960" spans="1:8" ht="24" x14ac:dyDescent="0.2">
      <c r="A13960" s="733">
        <v>44910</v>
      </c>
      <c r="B13960" s="174" t="s">
        <v>1400</v>
      </c>
      <c r="C13960" s="551" t="s">
        <v>1391</v>
      </c>
      <c r="D13960" s="740" t="s">
        <v>8871</v>
      </c>
      <c r="E13960" s="552">
        <v>23076</v>
      </c>
      <c r="F13960" s="236"/>
      <c r="G13960" s="236">
        <f t="shared" si="224"/>
        <v>-23076</v>
      </c>
      <c r="H13960" s="709" t="s">
        <v>8766</v>
      </c>
    </row>
    <row r="13961" spans="1:8" ht="24" x14ac:dyDescent="0.2">
      <c r="A13961" s="733">
        <v>44910</v>
      </c>
      <c r="B13961" s="174" t="s">
        <v>7921</v>
      </c>
      <c r="C13961" s="174" t="s">
        <v>8207</v>
      </c>
      <c r="D13961" s="228" t="s">
        <v>8870</v>
      </c>
      <c r="E13961" s="236">
        <v>250000</v>
      </c>
      <c r="F13961" s="236"/>
      <c r="G13961" s="236">
        <f t="shared" si="224"/>
        <v>-250000</v>
      </c>
      <c r="H13961" s="709" t="s">
        <v>8766</v>
      </c>
    </row>
    <row r="13962" spans="1:8" ht="24" x14ac:dyDescent="0.2">
      <c r="A13962" s="733">
        <v>44910</v>
      </c>
      <c r="B13962" s="174" t="s">
        <v>8043</v>
      </c>
      <c r="C13962" s="174" t="s">
        <v>7467</v>
      </c>
      <c r="D13962" s="228" t="s">
        <v>8870</v>
      </c>
      <c r="E13962" s="236">
        <v>300000</v>
      </c>
      <c r="F13962" s="236"/>
      <c r="G13962" s="236">
        <f t="shared" si="224"/>
        <v>-300000</v>
      </c>
      <c r="H13962" s="709" t="s">
        <v>8766</v>
      </c>
    </row>
    <row r="13963" spans="1:8" ht="24" x14ac:dyDescent="0.2">
      <c r="A13963" s="733">
        <v>44910</v>
      </c>
      <c r="B13963" s="174" t="s">
        <v>8043</v>
      </c>
      <c r="C13963" s="174" t="s">
        <v>7467</v>
      </c>
      <c r="D13963" s="228" t="s">
        <v>8870</v>
      </c>
      <c r="E13963" s="236">
        <v>300000</v>
      </c>
      <c r="F13963" s="236"/>
      <c r="G13963" s="236">
        <f t="shared" si="224"/>
        <v>-300000</v>
      </c>
      <c r="H13963" s="709" t="s">
        <v>8766</v>
      </c>
    </row>
    <row r="13964" spans="1:8" ht="24" x14ac:dyDescent="0.2">
      <c r="A13964" s="733">
        <v>44911</v>
      </c>
      <c r="B13964" s="174" t="s">
        <v>8657</v>
      </c>
      <c r="C13964" s="174" t="s">
        <v>318</v>
      </c>
      <c r="D13964" s="228" t="s">
        <v>8870</v>
      </c>
      <c r="E13964" s="236">
        <v>210000</v>
      </c>
      <c r="F13964" s="236"/>
      <c r="G13964" s="236">
        <f t="shared" si="224"/>
        <v>-210000</v>
      </c>
      <c r="H13964" s="709" t="s">
        <v>8766</v>
      </c>
    </row>
    <row r="13965" spans="1:8" ht="15" x14ac:dyDescent="0.2">
      <c r="A13965" s="733">
        <v>44911</v>
      </c>
      <c r="B13965" s="174" t="s">
        <v>8657</v>
      </c>
      <c r="C13965" s="174" t="s">
        <v>7223</v>
      </c>
      <c r="D13965" s="228" t="s">
        <v>9331</v>
      </c>
      <c r="E13965" s="236">
        <v>216700</v>
      </c>
      <c r="F13965" s="236"/>
      <c r="G13965" s="236">
        <f t="shared" si="224"/>
        <v>-216700</v>
      </c>
      <c r="H13965" s="709" t="s">
        <v>8766</v>
      </c>
    </row>
    <row r="13966" spans="1:8" ht="15" x14ac:dyDescent="0.2">
      <c r="A13966" s="733">
        <v>44914</v>
      </c>
      <c r="B13966" s="174" t="s">
        <v>8043</v>
      </c>
      <c r="C13966" s="174" t="s">
        <v>431</v>
      </c>
      <c r="D13966" s="228" t="s">
        <v>8894</v>
      </c>
      <c r="E13966" s="236">
        <v>80000</v>
      </c>
      <c r="F13966" s="236"/>
      <c r="G13966" s="236">
        <f t="shared" si="224"/>
        <v>-80000</v>
      </c>
      <c r="H13966" s="709" t="s">
        <v>8766</v>
      </c>
    </row>
    <row r="13967" spans="1:8" ht="15" x14ac:dyDescent="0.2">
      <c r="A13967" s="733">
        <v>44914</v>
      </c>
      <c r="B13967" s="174" t="s">
        <v>1400</v>
      </c>
      <c r="C13967" s="551" t="s">
        <v>7927</v>
      </c>
      <c r="D13967" s="740" t="s">
        <v>8895</v>
      </c>
      <c r="E13967" s="552">
        <v>14000</v>
      </c>
      <c r="F13967" s="236"/>
      <c r="G13967" s="236">
        <f t="shared" si="224"/>
        <v>-14000</v>
      </c>
      <c r="H13967" s="709" t="s">
        <v>8766</v>
      </c>
    </row>
    <row r="13968" spans="1:8" ht="15" x14ac:dyDescent="0.2">
      <c r="A13968" s="733">
        <v>44914</v>
      </c>
      <c r="B13968" s="174" t="s">
        <v>8539</v>
      </c>
      <c r="C13968" s="551" t="s">
        <v>7927</v>
      </c>
      <c r="D13968" s="740" t="s">
        <v>8895</v>
      </c>
      <c r="E13968" s="552">
        <v>11000</v>
      </c>
      <c r="F13968" s="236"/>
      <c r="G13968" s="236">
        <f t="shared" si="224"/>
        <v>-11000</v>
      </c>
      <c r="H13968" s="709" t="s">
        <v>8766</v>
      </c>
    </row>
    <row r="13969" spans="1:8" ht="15" x14ac:dyDescent="0.2">
      <c r="A13969" s="733">
        <v>44914</v>
      </c>
      <c r="B13969" s="174" t="s">
        <v>8043</v>
      </c>
      <c r="C13969" s="551" t="s">
        <v>7927</v>
      </c>
      <c r="D13969" s="740" t="s">
        <v>8895</v>
      </c>
      <c r="E13969" s="552">
        <v>25000</v>
      </c>
      <c r="F13969" s="236"/>
      <c r="G13969" s="236">
        <f t="shared" si="224"/>
        <v>-25000</v>
      </c>
      <c r="H13969" s="709" t="s">
        <v>8766</v>
      </c>
    </row>
    <row r="13970" spans="1:8" ht="15" x14ac:dyDescent="0.2">
      <c r="A13970" s="733">
        <v>44914</v>
      </c>
      <c r="B13970" s="174" t="s">
        <v>8657</v>
      </c>
      <c r="C13970" s="670" t="s">
        <v>8251</v>
      </c>
      <c r="D13970" s="907" t="s">
        <v>8898</v>
      </c>
      <c r="E13970" s="672">
        <v>30000</v>
      </c>
      <c r="F13970" s="236"/>
      <c r="G13970" s="236">
        <f t="shared" si="224"/>
        <v>-30000</v>
      </c>
      <c r="H13970" s="709" t="s">
        <v>8766</v>
      </c>
    </row>
    <row r="13971" spans="1:8" ht="15" x14ac:dyDescent="0.2">
      <c r="A13971" s="733">
        <v>44914</v>
      </c>
      <c r="B13971" s="174" t="s">
        <v>8043</v>
      </c>
      <c r="C13971" s="670" t="s">
        <v>8251</v>
      </c>
      <c r="D13971" s="907" t="s">
        <v>8897</v>
      </c>
      <c r="E13971" s="672">
        <v>20000</v>
      </c>
      <c r="F13971" s="236"/>
      <c r="G13971" s="236">
        <f t="shared" si="224"/>
        <v>-20000</v>
      </c>
      <c r="H13971" s="709" t="s">
        <v>8766</v>
      </c>
    </row>
    <row r="13972" spans="1:8" ht="15" x14ac:dyDescent="0.2">
      <c r="A13972" s="733">
        <v>44914</v>
      </c>
      <c r="B13972" s="174" t="s">
        <v>8657</v>
      </c>
      <c r="C13972" s="174" t="s">
        <v>8087</v>
      </c>
      <c r="D13972" s="228" t="s">
        <v>8899</v>
      </c>
      <c r="E13972" s="236">
        <v>48000</v>
      </c>
      <c r="F13972" s="236"/>
      <c r="G13972" s="236">
        <f t="shared" si="224"/>
        <v>-48000</v>
      </c>
      <c r="H13972" s="709" t="s">
        <v>8766</v>
      </c>
    </row>
    <row r="13973" spans="1:8" ht="24" x14ac:dyDescent="0.2">
      <c r="A13973" s="733">
        <v>44915</v>
      </c>
      <c r="B13973" s="174" t="s">
        <v>8559</v>
      </c>
      <c r="C13973" s="174" t="s">
        <v>8900</v>
      </c>
      <c r="D13973" s="228" t="s">
        <v>8870</v>
      </c>
      <c r="E13973" s="236">
        <v>400000</v>
      </c>
      <c r="F13973" s="236"/>
      <c r="G13973" s="236">
        <f t="shared" si="224"/>
        <v>-400000</v>
      </c>
      <c r="H13973" s="709" t="s">
        <v>8766</v>
      </c>
    </row>
    <row r="13974" spans="1:8" ht="24" x14ac:dyDescent="0.2">
      <c r="A13974" s="733">
        <v>44921</v>
      </c>
      <c r="B13974" s="174" t="s">
        <v>8339</v>
      </c>
      <c r="C13974" s="174" t="s">
        <v>8792</v>
      </c>
      <c r="D13974" s="228" t="s">
        <v>8941</v>
      </c>
      <c r="E13974" s="236">
        <v>970000</v>
      </c>
      <c r="F13974" s="236"/>
      <c r="G13974" s="236">
        <f t="shared" si="224"/>
        <v>-970000</v>
      </c>
      <c r="H13974" s="709" t="s">
        <v>8766</v>
      </c>
    </row>
    <row r="13975" spans="1:8" ht="15" x14ac:dyDescent="0.2">
      <c r="A13975" s="733">
        <v>44921</v>
      </c>
      <c r="B13975" s="174" t="s">
        <v>8868</v>
      </c>
      <c r="C13975" s="174" t="s">
        <v>7223</v>
      </c>
      <c r="D13975" s="228" t="s">
        <v>8942</v>
      </c>
      <c r="E13975" s="236">
        <v>190000</v>
      </c>
      <c r="F13975" s="236"/>
      <c r="G13975" s="236">
        <f t="shared" si="224"/>
        <v>-190000</v>
      </c>
      <c r="H13975" s="709" t="s">
        <v>8766</v>
      </c>
    </row>
    <row r="13976" spans="1:8" ht="15" x14ac:dyDescent="0.2">
      <c r="A13976" s="733">
        <v>44923</v>
      </c>
      <c r="B13976" s="174" t="s">
        <v>8657</v>
      </c>
      <c r="C13976" s="174" t="s">
        <v>8251</v>
      </c>
      <c r="D13976" s="228" t="s">
        <v>8955</v>
      </c>
      <c r="E13976" s="236">
        <v>35000</v>
      </c>
      <c r="F13976" s="236"/>
      <c r="G13976" s="236">
        <f t="shared" si="224"/>
        <v>-35000</v>
      </c>
      <c r="H13976" s="709" t="s">
        <v>8766</v>
      </c>
    </row>
    <row r="13977" spans="1:8" ht="15" x14ac:dyDescent="0.2">
      <c r="A13977" s="733">
        <v>44924</v>
      </c>
      <c r="B13977" s="174" t="s">
        <v>8043</v>
      </c>
      <c r="C13977" s="174" t="s">
        <v>7467</v>
      </c>
      <c r="D13977" s="228" t="s">
        <v>8956</v>
      </c>
      <c r="E13977" s="236">
        <v>333000</v>
      </c>
      <c r="F13977" s="236"/>
      <c r="G13977" s="236">
        <f t="shared" si="224"/>
        <v>-333000</v>
      </c>
      <c r="H13977" s="709" t="s">
        <v>8766</v>
      </c>
    </row>
    <row r="13978" spans="1:8" ht="15" x14ac:dyDescent="0.2">
      <c r="A13978" s="733">
        <v>44924</v>
      </c>
      <c r="B13978" s="174" t="s">
        <v>8043</v>
      </c>
      <c r="C13978" s="174" t="s">
        <v>7467</v>
      </c>
      <c r="D13978" s="228" t="s">
        <v>8957</v>
      </c>
      <c r="E13978" s="236">
        <v>333000</v>
      </c>
      <c r="F13978" s="236"/>
      <c r="G13978" s="236">
        <f t="shared" si="224"/>
        <v>-333000</v>
      </c>
      <c r="H13978" s="709" t="s">
        <v>8766</v>
      </c>
    </row>
    <row r="13979" spans="1:8" ht="15" x14ac:dyDescent="0.2">
      <c r="A13979" s="733">
        <v>44924</v>
      </c>
      <c r="B13979" s="174" t="s">
        <v>8043</v>
      </c>
      <c r="C13979" s="174" t="s">
        <v>7467</v>
      </c>
      <c r="D13979" s="228" t="s">
        <v>8958</v>
      </c>
      <c r="E13979" s="236">
        <v>334000</v>
      </c>
      <c r="F13979" s="236"/>
      <c r="G13979" s="236">
        <f t="shared" si="224"/>
        <v>-334000</v>
      </c>
      <c r="H13979" s="709" t="s">
        <v>8766</v>
      </c>
    </row>
    <row r="13980" spans="1:8" ht="15" x14ac:dyDescent="0.2">
      <c r="A13980" s="733">
        <v>44925</v>
      </c>
      <c r="B13980" s="174" t="s">
        <v>8339</v>
      </c>
      <c r="C13980" s="174" t="s">
        <v>8708</v>
      </c>
      <c r="D13980" s="228" t="s">
        <v>8981</v>
      </c>
      <c r="E13980" s="236">
        <v>100000</v>
      </c>
      <c r="F13980" s="236"/>
      <c r="G13980" s="236">
        <f t="shared" si="224"/>
        <v>-100000</v>
      </c>
      <c r="H13980" s="709" t="s">
        <v>8766</v>
      </c>
    </row>
    <row r="13981" spans="1:8" ht="15" x14ac:dyDescent="0.2">
      <c r="A13981" s="730">
        <v>44896</v>
      </c>
      <c r="B13981" s="94" t="s">
        <v>7921</v>
      </c>
      <c r="C13981" s="94" t="s">
        <v>559</v>
      </c>
      <c r="D13981" s="802" t="s">
        <v>8767</v>
      </c>
      <c r="E13981" s="176"/>
      <c r="F13981" s="176">
        <v>3000000</v>
      </c>
      <c r="G13981" s="176">
        <f t="shared" si="224"/>
        <v>3000000</v>
      </c>
      <c r="H13981" s="702" t="s">
        <v>8766</v>
      </c>
    </row>
    <row r="13982" spans="1:8" ht="15" x14ac:dyDescent="0.2">
      <c r="A13982" s="730">
        <v>44896</v>
      </c>
      <c r="B13982" s="94" t="s">
        <v>7921</v>
      </c>
      <c r="C13982" s="94" t="s">
        <v>559</v>
      </c>
      <c r="D13982" s="801" t="s">
        <v>8543</v>
      </c>
      <c r="E13982" s="176">
        <v>30000</v>
      </c>
      <c r="F13982" s="176"/>
      <c r="G13982" s="176">
        <f t="shared" si="224"/>
        <v>-30000</v>
      </c>
      <c r="H13982" s="702" t="s">
        <v>8766</v>
      </c>
    </row>
    <row r="13983" spans="1:8" ht="15" x14ac:dyDescent="0.2">
      <c r="A13983" s="730">
        <v>44897</v>
      </c>
      <c r="B13983" s="91" t="s">
        <v>7657</v>
      </c>
      <c r="C13983" s="94" t="s">
        <v>559</v>
      </c>
      <c r="D13983" s="801" t="s">
        <v>5721</v>
      </c>
      <c r="E13983" s="92"/>
      <c r="F13983" s="92">
        <v>971088</v>
      </c>
      <c r="G13983" s="92">
        <f t="shared" si="224"/>
        <v>971088</v>
      </c>
      <c r="H13983" s="702" t="s">
        <v>8766</v>
      </c>
    </row>
    <row r="13984" spans="1:8" ht="15" x14ac:dyDescent="0.2">
      <c r="A13984" s="730">
        <v>44898</v>
      </c>
      <c r="B13984" s="91" t="s">
        <v>37</v>
      </c>
      <c r="C13984" s="94" t="s">
        <v>559</v>
      </c>
      <c r="D13984" s="801" t="s">
        <v>9442</v>
      </c>
      <c r="E13984" s="92"/>
      <c r="F13984" s="92">
        <v>188568</v>
      </c>
      <c r="G13984" s="92">
        <f t="shared" si="224"/>
        <v>188568</v>
      </c>
      <c r="H13984" s="702" t="s">
        <v>8766</v>
      </c>
    </row>
    <row r="13985" spans="1:8" s="682" customFormat="1" ht="15" customHeight="1" x14ac:dyDescent="0.25">
      <c r="A13985" s="730">
        <v>44902</v>
      </c>
      <c r="B13985" s="94" t="s">
        <v>6953</v>
      </c>
      <c r="C13985" s="94" t="s">
        <v>559</v>
      </c>
      <c r="D13985" s="892" t="s">
        <v>8820</v>
      </c>
      <c r="E13985" s="176"/>
      <c r="F13985" s="176">
        <v>33950</v>
      </c>
      <c r="G13985" s="176">
        <f t="shared" si="224"/>
        <v>33950</v>
      </c>
      <c r="H13985" s="702" t="s">
        <v>8766</v>
      </c>
    </row>
    <row r="13986" spans="1:8" ht="15" x14ac:dyDescent="0.2">
      <c r="A13986" s="730">
        <v>44902</v>
      </c>
      <c r="B13986" s="91" t="s">
        <v>8532</v>
      </c>
      <c r="C13986" s="91" t="s">
        <v>559</v>
      </c>
      <c r="D13986" s="801" t="s">
        <v>8821</v>
      </c>
      <c r="E13986" s="92"/>
      <c r="F13986" s="92">
        <v>200000</v>
      </c>
      <c r="G13986" s="176">
        <f t="shared" si="224"/>
        <v>200000</v>
      </c>
      <c r="H13986" s="702" t="s">
        <v>8766</v>
      </c>
    </row>
    <row r="13987" spans="1:8" s="682" customFormat="1" ht="36" customHeight="1" x14ac:dyDescent="0.25">
      <c r="A13987" s="730">
        <v>44907</v>
      </c>
      <c r="B13987" s="94" t="s">
        <v>8828</v>
      </c>
      <c r="C13987" s="94" t="s">
        <v>559</v>
      </c>
      <c r="D13987" s="802" t="s">
        <v>8843</v>
      </c>
      <c r="E13987" s="176"/>
      <c r="F13987" s="176">
        <v>619375</v>
      </c>
      <c r="G13987" s="176">
        <f t="shared" si="224"/>
        <v>619375</v>
      </c>
      <c r="H13987" s="702" t="s">
        <v>8766</v>
      </c>
    </row>
    <row r="13988" spans="1:8" s="682" customFormat="1" ht="15" customHeight="1" x14ac:dyDescent="0.25">
      <c r="A13988" s="730">
        <v>44907</v>
      </c>
      <c r="B13988" s="94" t="s">
        <v>8828</v>
      </c>
      <c r="C13988" s="94" t="s">
        <v>8852</v>
      </c>
      <c r="D13988" s="802" t="s">
        <v>8853</v>
      </c>
      <c r="E13988" s="176">
        <v>254375</v>
      </c>
      <c r="F13988" s="176"/>
      <c r="G13988" s="176">
        <f t="shared" si="224"/>
        <v>-254375</v>
      </c>
      <c r="H13988" s="702" t="s">
        <v>8766</v>
      </c>
    </row>
    <row r="13989" spans="1:8" s="682" customFormat="1" ht="24" customHeight="1" x14ac:dyDescent="0.25">
      <c r="A13989" s="730">
        <v>44907</v>
      </c>
      <c r="B13989" s="94" t="s">
        <v>8828</v>
      </c>
      <c r="C13989" s="94" t="s">
        <v>8852</v>
      </c>
      <c r="D13989" s="802" t="s">
        <v>8882</v>
      </c>
      <c r="E13989" s="176">
        <v>300000</v>
      </c>
      <c r="F13989" s="176"/>
      <c r="G13989" s="176">
        <f t="shared" si="224"/>
        <v>-300000</v>
      </c>
      <c r="H13989" s="702" t="s">
        <v>8766</v>
      </c>
    </row>
    <row r="13990" spans="1:8" s="682" customFormat="1" ht="15" customHeight="1" x14ac:dyDescent="0.25">
      <c r="A13990" s="730">
        <v>44907</v>
      </c>
      <c r="B13990" s="94" t="s">
        <v>8828</v>
      </c>
      <c r="C13990" s="94" t="s">
        <v>559</v>
      </c>
      <c r="D13990" s="802" t="s">
        <v>8883</v>
      </c>
      <c r="E13990" s="176">
        <v>65000</v>
      </c>
      <c r="F13990" s="176"/>
      <c r="G13990" s="176">
        <f t="shared" si="224"/>
        <v>-65000</v>
      </c>
      <c r="H13990" s="702" t="s">
        <v>8766</v>
      </c>
    </row>
    <row r="13991" spans="1:8" ht="15" customHeight="1" x14ac:dyDescent="0.2">
      <c r="A13991" s="730">
        <v>44907</v>
      </c>
      <c r="B13991" s="91" t="s">
        <v>8077</v>
      </c>
      <c r="C13991" s="94" t="s">
        <v>559</v>
      </c>
      <c r="D13991" s="801" t="s">
        <v>8844</v>
      </c>
      <c r="E13991" s="176"/>
      <c r="F13991" s="92">
        <v>591121</v>
      </c>
      <c r="G13991" s="92">
        <f t="shared" si="224"/>
        <v>591121</v>
      </c>
      <c r="H13991" s="702" t="s">
        <v>8766</v>
      </c>
    </row>
    <row r="13992" spans="1:8" s="682" customFormat="1" ht="24" customHeight="1" x14ac:dyDescent="0.25">
      <c r="A13992" s="730">
        <v>44911</v>
      </c>
      <c r="B13992" s="94" t="s">
        <v>8891</v>
      </c>
      <c r="C13992" s="94" t="s">
        <v>559</v>
      </c>
      <c r="D13992" s="802" t="s">
        <v>8892</v>
      </c>
      <c r="E13992" s="176"/>
      <c r="F13992" s="176">
        <v>39014</v>
      </c>
      <c r="G13992" s="176">
        <f t="shared" si="224"/>
        <v>39014</v>
      </c>
      <c r="H13992" s="702" t="s">
        <v>8766</v>
      </c>
    </row>
    <row r="13993" spans="1:8" s="682" customFormat="1" ht="15" customHeight="1" x14ac:dyDescent="0.25">
      <c r="A13993" s="730">
        <v>44911</v>
      </c>
      <c r="B13993" s="94" t="s">
        <v>8891</v>
      </c>
      <c r="C13993" s="94" t="s">
        <v>8852</v>
      </c>
      <c r="D13993" s="802" t="s">
        <v>8905</v>
      </c>
      <c r="E13993" s="176">
        <v>30380</v>
      </c>
      <c r="F13993" s="176"/>
      <c r="G13993" s="176">
        <f t="shared" si="224"/>
        <v>-30380</v>
      </c>
      <c r="H13993" s="702" t="s">
        <v>8766</v>
      </c>
    </row>
    <row r="13994" spans="1:8" ht="15" customHeight="1" x14ac:dyDescent="0.2">
      <c r="A13994" s="730">
        <v>44914</v>
      </c>
      <c r="B13994" s="94" t="s">
        <v>8657</v>
      </c>
      <c r="C13994" s="94" t="s">
        <v>559</v>
      </c>
      <c r="D13994" s="802" t="s">
        <v>8893</v>
      </c>
      <c r="E13994" s="176"/>
      <c r="F13994" s="176">
        <v>4650000</v>
      </c>
      <c r="G13994" s="176">
        <f t="shared" si="224"/>
        <v>4650000</v>
      </c>
      <c r="H13994" s="702" t="s">
        <v>8766</v>
      </c>
    </row>
    <row r="13995" spans="1:8" ht="15" customHeight="1" x14ac:dyDescent="0.2">
      <c r="A13995" s="730">
        <v>44914</v>
      </c>
      <c r="B13995" s="94" t="s">
        <v>8657</v>
      </c>
      <c r="C13995" s="94" t="s">
        <v>559</v>
      </c>
      <c r="D13995" s="802" t="s">
        <v>8893</v>
      </c>
      <c r="E13995" s="176"/>
      <c r="F13995" s="176">
        <v>3779172</v>
      </c>
      <c r="G13995" s="176">
        <f t="shared" si="224"/>
        <v>3779172</v>
      </c>
      <c r="H13995" s="702" t="s">
        <v>8766</v>
      </c>
    </row>
    <row r="13996" spans="1:8" ht="15" customHeight="1" x14ac:dyDescent="0.2">
      <c r="A13996" s="730">
        <v>44914</v>
      </c>
      <c r="B13996" s="94" t="s">
        <v>14</v>
      </c>
      <c r="C13996" s="94" t="s">
        <v>559</v>
      </c>
      <c r="D13996" s="802" t="s">
        <v>559</v>
      </c>
      <c r="E13996" s="176"/>
      <c r="F13996" s="176">
        <v>50000</v>
      </c>
      <c r="G13996" s="176">
        <f t="shared" si="224"/>
        <v>50000</v>
      </c>
      <c r="H13996" s="702" t="s">
        <v>8766</v>
      </c>
    </row>
    <row r="13997" spans="1:8" ht="15" customHeight="1" x14ac:dyDescent="0.2">
      <c r="A13997" s="730">
        <v>44915</v>
      </c>
      <c r="B13997" s="91" t="s">
        <v>8868</v>
      </c>
      <c r="C13997" s="94" t="s">
        <v>559</v>
      </c>
      <c r="D13997" s="802" t="s">
        <v>8906</v>
      </c>
      <c r="E13997" s="176"/>
      <c r="F13997" s="92">
        <v>1200000</v>
      </c>
      <c r="G13997" s="92">
        <f t="shared" si="224"/>
        <v>1200000</v>
      </c>
      <c r="H13997" s="702" t="s">
        <v>8766</v>
      </c>
    </row>
    <row r="13998" spans="1:8" ht="15" customHeight="1" x14ac:dyDescent="0.2">
      <c r="A13998" s="730">
        <v>44915</v>
      </c>
      <c r="B13998" s="91" t="s">
        <v>8868</v>
      </c>
      <c r="C13998" s="94" t="s">
        <v>559</v>
      </c>
      <c r="D13998" s="801" t="s">
        <v>8543</v>
      </c>
      <c r="E13998" s="176">
        <v>1436</v>
      </c>
      <c r="F13998" s="176"/>
      <c r="G13998" s="176">
        <f t="shared" si="224"/>
        <v>-1436</v>
      </c>
      <c r="H13998" s="702" t="s">
        <v>8766</v>
      </c>
    </row>
    <row r="13999" spans="1:8" ht="15" customHeight="1" x14ac:dyDescent="0.2">
      <c r="A13999" s="730">
        <v>44921</v>
      </c>
      <c r="B13999" s="91" t="s">
        <v>3946</v>
      </c>
      <c r="C13999" s="175" t="s">
        <v>559</v>
      </c>
      <c r="D13999" s="892" t="s">
        <v>8938</v>
      </c>
      <c r="E13999" s="701"/>
      <c r="F13999" s="92">
        <v>310329</v>
      </c>
      <c r="G13999" s="92">
        <f t="shared" si="224"/>
        <v>310329</v>
      </c>
      <c r="H13999" s="702" t="s">
        <v>8766</v>
      </c>
    </row>
    <row r="14000" spans="1:8" ht="15" customHeight="1" x14ac:dyDescent="0.2">
      <c r="A14000" s="730">
        <v>44926</v>
      </c>
      <c r="B14000" s="91" t="s">
        <v>8043</v>
      </c>
      <c r="C14000" s="175" t="s">
        <v>559</v>
      </c>
      <c r="D14000" s="801" t="s">
        <v>8970</v>
      </c>
      <c r="E14000" s="701"/>
      <c r="F14000" s="92">
        <v>3500000</v>
      </c>
      <c r="G14000" s="92">
        <f t="shared" si="224"/>
        <v>3500000</v>
      </c>
      <c r="H14000" s="702" t="s">
        <v>8766</v>
      </c>
    </row>
    <row r="14001" spans="1:8" ht="15" customHeight="1" x14ac:dyDescent="0.2">
      <c r="A14001" s="730">
        <v>44926</v>
      </c>
      <c r="B14001" s="91" t="s">
        <v>8043</v>
      </c>
      <c r="C14001" s="94" t="s">
        <v>559</v>
      </c>
      <c r="D14001" s="801" t="s">
        <v>8543</v>
      </c>
      <c r="E14001" s="176">
        <v>25000</v>
      </c>
      <c r="F14001" s="176"/>
      <c r="G14001" s="176">
        <f t="shared" si="224"/>
        <v>-25000</v>
      </c>
      <c r="H14001" s="702" t="s">
        <v>8766</v>
      </c>
    </row>
    <row r="14002" spans="1:8" ht="15" customHeight="1" x14ac:dyDescent="0.2">
      <c r="A14002" s="734">
        <v>44927</v>
      </c>
      <c r="B14002" s="63" t="s">
        <v>8876</v>
      </c>
      <c r="C14002" s="63" t="s">
        <v>2503</v>
      </c>
      <c r="D14002" s="183" t="s">
        <v>7097</v>
      </c>
      <c r="E14002" s="126">
        <v>25000</v>
      </c>
      <c r="F14002" s="126"/>
      <c r="G14002" s="126">
        <f t="shared" si="224"/>
        <v>-25000</v>
      </c>
      <c r="H14002" s="705" t="s">
        <v>8973</v>
      </c>
    </row>
    <row r="14003" spans="1:8" ht="15" customHeight="1" x14ac:dyDescent="0.2">
      <c r="A14003" s="734">
        <v>44927</v>
      </c>
      <c r="B14003" s="63" t="s">
        <v>8868</v>
      </c>
      <c r="C14003" s="63" t="s">
        <v>2503</v>
      </c>
      <c r="D14003" s="183" t="s">
        <v>7097</v>
      </c>
      <c r="E14003" s="126">
        <v>25000</v>
      </c>
      <c r="F14003" s="126"/>
      <c r="G14003" s="126">
        <f t="shared" ref="G14003:G14066" si="225">F14003-E14003</f>
        <v>-25000</v>
      </c>
      <c r="H14003" s="705" t="s">
        <v>8973</v>
      </c>
    </row>
    <row r="14004" spans="1:8" ht="15" customHeight="1" x14ac:dyDescent="0.2">
      <c r="A14004" s="734">
        <v>44927</v>
      </c>
      <c r="B14004" s="63" t="s">
        <v>6505</v>
      </c>
      <c r="C14004" s="63" t="s">
        <v>2503</v>
      </c>
      <c r="D14004" s="183" t="s">
        <v>141</v>
      </c>
      <c r="E14004" s="126">
        <v>25000</v>
      </c>
      <c r="F14004" s="126"/>
      <c r="G14004" s="126">
        <f t="shared" si="225"/>
        <v>-25000</v>
      </c>
      <c r="H14004" s="705" t="s">
        <v>8973</v>
      </c>
    </row>
    <row r="14005" spans="1:8" ht="15" customHeight="1" x14ac:dyDescent="0.2">
      <c r="A14005" s="734">
        <v>44927</v>
      </c>
      <c r="B14005" s="63" t="s">
        <v>8657</v>
      </c>
      <c r="C14005" s="63" t="s">
        <v>2503</v>
      </c>
      <c r="D14005" s="183" t="s">
        <v>141</v>
      </c>
      <c r="E14005" s="126">
        <v>25000</v>
      </c>
      <c r="F14005" s="126"/>
      <c r="G14005" s="126">
        <f t="shared" si="225"/>
        <v>-25000</v>
      </c>
      <c r="H14005" s="705" t="s">
        <v>8973</v>
      </c>
    </row>
    <row r="14006" spans="1:8" ht="15" customHeight="1" x14ac:dyDescent="0.2">
      <c r="A14006" s="734">
        <v>44927</v>
      </c>
      <c r="B14006" s="63" t="s">
        <v>25</v>
      </c>
      <c r="C14006" s="63" t="s">
        <v>2503</v>
      </c>
      <c r="D14006" s="183" t="s">
        <v>8609</v>
      </c>
      <c r="E14006" s="126">
        <v>80000</v>
      </c>
      <c r="F14006" s="126"/>
      <c r="G14006" s="126">
        <f t="shared" si="225"/>
        <v>-80000</v>
      </c>
      <c r="H14006" s="705" t="s">
        <v>8973</v>
      </c>
    </row>
    <row r="14007" spans="1:8" ht="15" customHeight="1" x14ac:dyDescent="0.2">
      <c r="A14007" s="734">
        <v>44927</v>
      </c>
      <c r="B14007" s="63" t="s">
        <v>16</v>
      </c>
      <c r="C14007" s="63" t="s">
        <v>2503</v>
      </c>
      <c r="D14007" s="183" t="s">
        <v>8610</v>
      </c>
      <c r="E14007" s="126">
        <v>149774.19354838709</v>
      </c>
      <c r="F14007" s="126"/>
      <c r="G14007" s="126">
        <f t="shared" si="225"/>
        <v>-149774.19354838709</v>
      </c>
      <c r="H14007" s="705" t="s">
        <v>8973</v>
      </c>
    </row>
    <row r="14008" spans="1:8" ht="15" customHeight="1" x14ac:dyDescent="0.2">
      <c r="A14008" s="734">
        <v>44927</v>
      </c>
      <c r="B14008" s="63" t="s">
        <v>3945</v>
      </c>
      <c r="C14008" s="63" t="s">
        <v>2503</v>
      </c>
      <c r="D14008" s="183" t="s">
        <v>9010</v>
      </c>
      <c r="E14008" s="126">
        <v>95453.629032258061</v>
      </c>
      <c r="F14008" s="126"/>
      <c r="G14008" s="126">
        <f t="shared" si="225"/>
        <v>-95453.629032258061</v>
      </c>
      <c r="H14008" s="705" t="s">
        <v>8973</v>
      </c>
    </row>
    <row r="14009" spans="1:8" ht="15" customHeight="1" x14ac:dyDescent="0.2">
      <c r="A14009" s="734">
        <v>44927</v>
      </c>
      <c r="B14009" s="63" t="s">
        <v>3945</v>
      </c>
      <c r="C14009" s="63" t="s">
        <v>2503</v>
      </c>
      <c r="D14009" s="183" t="s">
        <v>9011</v>
      </c>
      <c r="E14009" s="126">
        <v>121883.06451612903</v>
      </c>
      <c r="F14009" s="126"/>
      <c r="G14009" s="126">
        <f t="shared" si="225"/>
        <v>-121883.06451612903</v>
      </c>
      <c r="H14009" s="705" t="s">
        <v>8973</v>
      </c>
    </row>
    <row r="14010" spans="1:8" ht="15" customHeight="1" x14ac:dyDescent="0.2">
      <c r="A14010" s="734">
        <v>44927</v>
      </c>
      <c r="B14010" s="63" t="s">
        <v>6505</v>
      </c>
      <c r="C14010" s="63" t="s">
        <v>2503</v>
      </c>
      <c r="D14010" s="183" t="s">
        <v>8427</v>
      </c>
      <c r="E14010" s="126">
        <v>290443.54838709679</v>
      </c>
      <c r="F14010" s="126"/>
      <c r="G14010" s="126">
        <f t="shared" si="225"/>
        <v>-290443.54838709679</v>
      </c>
      <c r="H14010" s="705" t="s">
        <v>8973</v>
      </c>
    </row>
    <row r="14011" spans="1:8" ht="15" customHeight="1" x14ac:dyDescent="0.2">
      <c r="A14011" s="734">
        <v>44927</v>
      </c>
      <c r="B14011" s="63" t="s">
        <v>37</v>
      </c>
      <c r="C14011" s="63" t="s">
        <v>2503</v>
      </c>
      <c r="D14011" s="183" t="s">
        <v>8428</v>
      </c>
      <c r="E14011" s="126">
        <v>150850.80645161291</v>
      </c>
      <c r="F14011" s="126"/>
      <c r="G14011" s="126">
        <f t="shared" si="225"/>
        <v>-150850.80645161291</v>
      </c>
      <c r="H14011" s="705" t="s">
        <v>8973</v>
      </c>
    </row>
    <row r="14012" spans="1:8" ht="15" customHeight="1" x14ac:dyDescent="0.2">
      <c r="A14012" s="734">
        <v>44927</v>
      </c>
      <c r="B14012" s="63" t="s">
        <v>2933</v>
      </c>
      <c r="C14012" s="63" t="s">
        <v>2503</v>
      </c>
      <c r="D14012" s="183" t="s">
        <v>8429</v>
      </c>
      <c r="E14012" s="126">
        <v>121269.35483870968</v>
      </c>
      <c r="F14012" s="126"/>
      <c r="G14012" s="126">
        <f t="shared" si="225"/>
        <v>-121269.35483870968</v>
      </c>
      <c r="H14012" s="705" t="s">
        <v>8973</v>
      </c>
    </row>
    <row r="14013" spans="1:8" ht="15" customHeight="1" x14ac:dyDescent="0.2">
      <c r="A14013" s="734">
        <v>44927</v>
      </c>
      <c r="B14013" s="63" t="s">
        <v>7921</v>
      </c>
      <c r="C14013" s="63" t="s">
        <v>2503</v>
      </c>
      <c r="D14013" s="183" t="s">
        <v>8822</v>
      </c>
      <c r="E14013" s="126">
        <v>35177</v>
      </c>
      <c r="F14013" s="126"/>
      <c r="G14013" s="126">
        <f t="shared" si="225"/>
        <v>-35177</v>
      </c>
      <c r="H14013" s="705" t="s">
        <v>8973</v>
      </c>
    </row>
    <row r="14014" spans="1:8" ht="15" customHeight="1" x14ac:dyDescent="0.2">
      <c r="A14014" s="734">
        <v>44927</v>
      </c>
      <c r="B14014" s="63" t="s">
        <v>8876</v>
      </c>
      <c r="C14014" s="63" t="s">
        <v>2503</v>
      </c>
      <c r="D14014" s="183" t="s">
        <v>8822</v>
      </c>
      <c r="E14014" s="126">
        <v>90000</v>
      </c>
      <c r="F14014" s="126"/>
      <c r="G14014" s="126">
        <f t="shared" si="225"/>
        <v>-90000</v>
      </c>
      <c r="H14014" s="705" t="s">
        <v>8973</v>
      </c>
    </row>
    <row r="14015" spans="1:8" ht="15" customHeight="1" x14ac:dyDescent="0.2">
      <c r="A14015" s="734">
        <v>44927</v>
      </c>
      <c r="B14015" s="63" t="s">
        <v>8043</v>
      </c>
      <c r="C14015" s="63" t="s">
        <v>2503</v>
      </c>
      <c r="D14015" s="183" t="s">
        <v>8822</v>
      </c>
      <c r="E14015" s="126">
        <v>50000</v>
      </c>
      <c r="F14015" s="126"/>
      <c r="G14015" s="126">
        <f t="shared" si="225"/>
        <v>-50000</v>
      </c>
      <c r="H14015" s="705" t="s">
        <v>8973</v>
      </c>
    </row>
    <row r="14016" spans="1:8" ht="15" customHeight="1" x14ac:dyDescent="0.2">
      <c r="A14016" s="734">
        <v>44927</v>
      </c>
      <c r="B14016" s="63" t="s">
        <v>8868</v>
      </c>
      <c r="C14016" s="63" t="s">
        <v>2503</v>
      </c>
      <c r="D14016" s="183" t="s">
        <v>8822</v>
      </c>
      <c r="E14016" s="126">
        <v>40000</v>
      </c>
      <c r="F14016" s="126"/>
      <c r="G14016" s="126">
        <f t="shared" si="225"/>
        <v>-40000</v>
      </c>
      <c r="H14016" s="705" t="s">
        <v>8973</v>
      </c>
    </row>
    <row r="14017" spans="1:8" ht="15" customHeight="1" x14ac:dyDescent="0.2">
      <c r="A14017" s="734">
        <v>44927</v>
      </c>
      <c r="B14017" s="63" t="s">
        <v>8339</v>
      </c>
      <c r="C14017" s="63" t="s">
        <v>2503</v>
      </c>
      <c r="D14017" s="183" t="s">
        <v>8822</v>
      </c>
      <c r="E14017" s="126">
        <v>50000</v>
      </c>
      <c r="F14017" s="126"/>
      <c r="G14017" s="126">
        <f t="shared" si="225"/>
        <v>-50000</v>
      </c>
      <c r="H14017" s="705" t="s">
        <v>8973</v>
      </c>
    </row>
    <row r="14018" spans="1:8" ht="15" x14ac:dyDescent="0.2">
      <c r="A14018" s="734">
        <v>44927</v>
      </c>
      <c r="B14018" s="63" t="s">
        <v>5811</v>
      </c>
      <c r="C14018" s="63" t="s">
        <v>2503</v>
      </c>
      <c r="D14018" s="183" t="s">
        <v>8430</v>
      </c>
      <c r="E14018" s="126">
        <v>28000</v>
      </c>
      <c r="F14018" s="126"/>
      <c r="G14018" s="126">
        <f t="shared" si="225"/>
        <v>-28000</v>
      </c>
      <c r="H14018" s="705" t="s">
        <v>8973</v>
      </c>
    </row>
    <row r="14019" spans="1:8" ht="15" x14ac:dyDescent="0.2">
      <c r="A14019" s="734">
        <v>44927</v>
      </c>
      <c r="B14019" s="63" t="s">
        <v>11</v>
      </c>
      <c r="C14019" s="63" t="s">
        <v>2503</v>
      </c>
      <c r="D14019" s="183" t="s">
        <v>9012</v>
      </c>
      <c r="E14019" s="126">
        <v>5000</v>
      </c>
      <c r="F14019" s="126"/>
      <c r="G14019" s="126">
        <f t="shared" si="225"/>
        <v>-5000</v>
      </c>
      <c r="H14019" s="705" t="s">
        <v>8973</v>
      </c>
    </row>
    <row r="14020" spans="1:8" ht="15" x14ac:dyDescent="0.2">
      <c r="A14020" s="734">
        <v>44928</v>
      </c>
      <c r="B14020" s="63" t="s">
        <v>8339</v>
      </c>
      <c r="C14020" s="63" t="s">
        <v>3145</v>
      </c>
      <c r="D14020" s="183" t="s">
        <v>8974</v>
      </c>
      <c r="E14020" s="126">
        <v>4000</v>
      </c>
      <c r="F14020" s="126"/>
      <c r="G14020" s="126">
        <f t="shared" si="225"/>
        <v>-4000</v>
      </c>
      <c r="H14020" s="705" t="s">
        <v>8973</v>
      </c>
    </row>
    <row r="14021" spans="1:8" ht="15" x14ac:dyDescent="0.2">
      <c r="A14021" s="734">
        <v>44928</v>
      </c>
      <c r="B14021" s="41" t="s">
        <v>8657</v>
      </c>
      <c r="C14021" s="63" t="s">
        <v>3145</v>
      </c>
      <c r="D14021" s="108" t="s">
        <v>8975</v>
      </c>
      <c r="E14021" s="42">
        <v>10000</v>
      </c>
      <c r="G14021" s="126">
        <f t="shared" si="225"/>
        <v>-10000</v>
      </c>
      <c r="H14021" s="705" t="s">
        <v>8973</v>
      </c>
    </row>
    <row r="14022" spans="1:8" ht="15" x14ac:dyDescent="0.2">
      <c r="A14022" s="734">
        <v>44928</v>
      </c>
      <c r="B14022" s="41" t="s">
        <v>7921</v>
      </c>
      <c r="C14022" s="41" t="s">
        <v>392</v>
      </c>
      <c r="D14022" s="108" t="s">
        <v>6335</v>
      </c>
      <c r="E14022" s="42">
        <v>1000</v>
      </c>
      <c r="G14022" s="126">
        <f t="shared" si="225"/>
        <v>-1000</v>
      </c>
      <c r="H14022" s="705" t="s">
        <v>8973</v>
      </c>
    </row>
    <row r="14023" spans="1:8" ht="15" x14ac:dyDescent="0.2">
      <c r="A14023" s="734">
        <v>44928</v>
      </c>
      <c r="B14023" s="41" t="s">
        <v>8657</v>
      </c>
      <c r="C14023" s="41" t="s">
        <v>5741</v>
      </c>
      <c r="D14023" s="108" t="s">
        <v>8980</v>
      </c>
      <c r="E14023" s="42">
        <v>1500</v>
      </c>
      <c r="G14023" s="126">
        <f t="shared" si="225"/>
        <v>-1500</v>
      </c>
      <c r="H14023" s="705" t="s">
        <v>8973</v>
      </c>
    </row>
    <row r="14024" spans="1:8" ht="15" x14ac:dyDescent="0.2">
      <c r="A14024" s="734">
        <v>44928</v>
      </c>
      <c r="B14024" s="41" t="s">
        <v>8339</v>
      </c>
      <c r="C14024" s="41" t="s">
        <v>3145</v>
      </c>
      <c r="D14024" s="108" t="s">
        <v>6951</v>
      </c>
      <c r="E14024" s="42">
        <v>25000</v>
      </c>
      <c r="G14024" s="126">
        <f t="shared" si="225"/>
        <v>-25000</v>
      </c>
      <c r="H14024" s="705" t="s">
        <v>8973</v>
      </c>
    </row>
    <row r="14025" spans="1:8" ht="15" x14ac:dyDescent="0.2">
      <c r="A14025" s="734">
        <v>44928</v>
      </c>
      <c r="B14025" s="41" t="s">
        <v>2933</v>
      </c>
      <c r="C14025" s="41" t="s">
        <v>3145</v>
      </c>
      <c r="D14025" s="108" t="s">
        <v>5755</v>
      </c>
      <c r="E14025" s="42">
        <v>3960</v>
      </c>
      <c r="G14025" s="126">
        <f t="shared" si="225"/>
        <v>-3960</v>
      </c>
      <c r="H14025" s="705" t="s">
        <v>8973</v>
      </c>
    </row>
    <row r="14026" spans="1:8" ht="15" x14ac:dyDescent="0.2">
      <c r="A14026" s="734">
        <v>44928</v>
      </c>
      <c r="B14026" s="41" t="s">
        <v>2933</v>
      </c>
      <c r="C14026" s="41" t="s">
        <v>3145</v>
      </c>
      <c r="D14026" s="108" t="s">
        <v>6486</v>
      </c>
      <c r="E14026" s="42">
        <v>1670</v>
      </c>
      <c r="G14026" s="126">
        <f t="shared" si="225"/>
        <v>-1670</v>
      </c>
      <c r="H14026" s="705" t="s">
        <v>8973</v>
      </c>
    </row>
    <row r="14027" spans="1:8" ht="15" x14ac:dyDescent="0.2">
      <c r="A14027" s="734">
        <v>44931</v>
      </c>
      <c r="B14027" s="41" t="s">
        <v>7555</v>
      </c>
      <c r="C14027" s="41" t="s">
        <v>3145</v>
      </c>
      <c r="D14027" s="108" t="s">
        <v>9002</v>
      </c>
      <c r="E14027" s="42">
        <v>122500</v>
      </c>
      <c r="G14027" s="126">
        <f t="shared" si="225"/>
        <v>-122500</v>
      </c>
      <c r="H14027" s="705" t="s">
        <v>8973</v>
      </c>
    </row>
    <row r="14028" spans="1:8" ht="15" x14ac:dyDescent="0.2">
      <c r="A14028" s="734">
        <v>44931</v>
      </c>
      <c r="B14028" s="41" t="s">
        <v>8657</v>
      </c>
      <c r="C14028" s="41" t="s">
        <v>8691</v>
      </c>
      <c r="D14028" s="108" t="s">
        <v>9003</v>
      </c>
      <c r="E14028" s="42">
        <v>71500</v>
      </c>
      <c r="G14028" s="126">
        <f t="shared" si="225"/>
        <v>-71500</v>
      </c>
      <c r="H14028" s="705" t="s">
        <v>8973</v>
      </c>
    </row>
    <row r="14029" spans="1:8" ht="15" x14ac:dyDescent="0.2">
      <c r="A14029" s="734">
        <v>44931</v>
      </c>
      <c r="B14029" s="41" t="s">
        <v>8657</v>
      </c>
      <c r="C14029" s="41" t="s">
        <v>3145</v>
      </c>
      <c r="D14029" s="108" t="s">
        <v>9004</v>
      </c>
      <c r="E14029" s="42">
        <v>28500</v>
      </c>
      <c r="G14029" s="126">
        <f t="shared" si="225"/>
        <v>-28500</v>
      </c>
      <c r="H14029" s="705" t="s">
        <v>8973</v>
      </c>
    </row>
    <row r="14030" spans="1:8" ht="15" x14ac:dyDescent="0.2">
      <c r="A14030" s="734">
        <v>44931</v>
      </c>
      <c r="B14030" s="41" t="s">
        <v>8339</v>
      </c>
      <c r="C14030" s="41" t="s">
        <v>3145</v>
      </c>
      <c r="D14030" s="108" t="s">
        <v>8991</v>
      </c>
      <c r="E14030" s="42">
        <v>440</v>
      </c>
      <c r="G14030" s="126">
        <f t="shared" si="225"/>
        <v>-440</v>
      </c>
      <c r="H14030" s="705" t="s">
        <v>8973</v>
      </c>
    </row>
    <row r="14031" spans="1:8" ht="15" x14ac:dyDescent="0.2">
      <c r="A14031" s="734">
        <v>44931</v>
      </c>
      <c r="B14031" s="41" t="s">
        <v>8339</v>
      </c>
      <c r="C14031" s="41" t="s">
        <v>3145</v>
      </c>
      <c r="D14031" s="108" t="s">
        <v>8992</v>
      </c>
      <c r="E14031" s="42">
        <v>1100</v>
      </c>
      <c r="G14031" s="126">
        <f t="shared" si="225"/>
        <v>-1100</v>
      </c>
      <c r="H14031" s="705" t="s">
        <v>8973</v>
      </c>
    </row>
    <row r="14032" spans="1:8" ht="15" x14ac:dyDescent="0.2">
      <c r="A14032" s="734">
        <v>44931</v>
      </c>
      <c r="B14032" s="41" t="s">
        <v>3945</v>
      </c>
      <c r="C14032" s="41" t="s">
        <v>3145</v>
      </c>
      <c r="D14032" s="108" t="s">
        <v>8993</v>
      </c>
      <c r="E14032" s="42">
        <v>5000</v>
      </c>
      <c r="G14032" s="126">
        <f t="shared" si="225"/>
        <v>-5000</v>
      </c>
      <c r="H14032" s="705" t="s">
        <v>8973</v>
      </c>
    </row>
    <row r="14033" spans="1:8" ht="15" x14ac:dyDescent="0.2">
      <c r="A14033" s="734">
        <v>44931</v>
      </c>
      <c r="B14033" s="41" t="s">
        <v>2933</v>
      </c>
      <c r="C14033" s="41" t="s">
        <v>3145</v>
      </c>
      <c r="D14033" s="108" t="s">
        <v>7075</v>
      </c>
      <c r="E14033" s="42">
        <v>7070</v>
      </c>
      <c r="G14033" s="126">
        <f t="shared" si="225"/>
        <v>-7070</v>
      </c>
      <c r="H14033" s="705" t="s">
        <v>8973</v>
      </c>
    </row>
    <row r="14034" spans="1:8" ht="15" x14ac:dyDescent="0.2">
      <c r="A14034" s="734">
        <v>44931</v>
      </c>
      <c r="B14034" s="41" t="s">
        <v>37</v>
      </c>
      <c r="C14034" s="41" t="s">
        <v>392</v>
      </c>
      <c r="D14034" s="108" t="s">
        <v>8994</v>
      </c>
      <c r="E14034" s="42">
        <v>3000</v>
      </c>
      <c r="G14034" s="126">
        <f t="shared" si="225"/>
        <v>-3000</v>
      </c>
      <c r="H14034" s="705" t="s">
        <v>8973</v>
      </c>
    </row>
    <row r="14035" spans="1:8" ht="15" x14ac:dyDescent="0.2">
      <c r="A14035" s="734">
        <v>44931</v>
      </c>
      <c r="B14035" s="41" t="s">
        <v>7953</v>
      </c>
      <c r="C14035" s="41" t="s">
        <v>8760</v>
      </c>
      <c r="D14035" s="183" t="s">
        <v>8761</v>
      </c>
      <c r="E14035" s="42">
        <v>30000</v>
      </c>
      <c r="G14035" s="126">
        <f t="shared" si="225"/>
        <v>-30000</v>
      </c>
      <c r="H14035" s="705" t="s">
        <v>8973</v>
      </c>
    </row>
    <row r="14036" spans="1:8" ht="15" x14ac:dyDescent="0.2">
      <c r="A14036" s="734">
        <v>44932</v>
      </c>
      <c r="B14036" s="41" t="s">
        <v>8559</v>
      </c>
      <c r="C14036" s="41" t="s">
        <v>8995</v>
      </c>
      <c r="D14036" s="108" t="s">
        <v>8996</v>
      </c>
      <c r="E14036" s="42">
        <v>20000</v>
      </c>
      <c r="G14036" s="126">
        <f t="shared" si="225"/>
        <v>-20000</v>
      </c>
      <c r="H14036" s="705" t="s">
        <v>8973</v>
      </c>
    </row>
    <row r="14037" spans="1:8" ht="15" x14ac:dyDescent="0.2">
      <c r="A14037" s="734">
        <v>44933</v>
      </c>
      <c r="B14037" s="41" t="s">
        <v>8876</v>
      </c>
      <c r="C14037" s="41" t="s">
        <v>7927</v>
      </c>
      <c r="D14037" s="108" t="s">
        <v>8997</v>
      </c>
      <c r="E14037" s="42">
        <v>45000</v>
      </c>
      <c r="G14037" s="126">
        <f t="shared" si="225"/>
        <v>-45000</v>
      </c>
      <c r="H14037" s="705" t="s">
        <v>8973</v>
      </c>
    </row>
    <row r="14038" spans="1:8" ht="15" x14ac:dyDescent="0.2">
      <c r="A14038" s="734">
        <v>44933</v>
      </c>
      <c r="B14038" s="41" t="s">
        <v>8339</v>
      </c>
      <c r="C14038" s="41" t="s">
        <v>392</v>
      </c>
      <c r="D14038" s="108" t="s">
        <v>5755</v>
      </c>
      <c r="E14038" s="42">
        <v>1100</v>
      </c>
      <c r="G14038" s="126">
        <f t="shared" si="225"/>
        <v>-1100</v>
      </c>
      <c r="H14038" s="705" t="s">
        <v>8973</v>
      </c>
    </row>
    <row r="14039" spans="1:8" ht="15" x14ac:dyDescent="0.2">
      <c r="A14039" s="734">
        <v>44933</v>
      </c>
      <c r="B14039" s="41" t="s">
        <v>37</v>
      </c>
      <c r="C14039" s="41" t="s">
        <v>286</v>
      </c>
      <c r="D14039" s="108" t="s">
        <v>7836</v>
      </c>
      <c r="E14039" s="42">
        <v>250</v>
      </c>
      <c r="G14039" s="126">
        <f t="shared" si="225"/>
        <v>-250</v>
      </c>
      <c r="H14039" s="705" t="s">
        <v>8973</v>
      </c>
    </row>
    <row r="14040" spans="1:8" ht="15" x14ac:dyDescent="0.2">
      <c r="A14040" s="734">
        <v>44935</v>
      </c>
      <c r="B14040" s="41" t="s">
        <v>8657</v>
      </c>
      <c r="C14040" s="41" t="s">
        <v>3145</v>
      </c>
      <c r="D14040" s="108" t="s">
        <v>8998</v>
      </c>
      <c r="E14040" s="42">
        <v>53200</v>
      </c>
      <c r="G14040" s="126">
        <f t="shared" si="225"/>
        <v>-53200</v>
      </c>
      <c r="H14040" s="705" t="s">
        <v>8973</v>
      </c>
    </row>
    <row r="14041" spans="1:8" ht="15" x14ac:dyDescent="0.2">
      <c r="A14041" s="734">
        <v>44935</v>
      </c>
      <c r="B14041" s="41" t="s">
        <v>8868</v>
      </c>
      <c r="C14041" s="41" t="s">
        <v>8251</v>
      </c>
      <c r="D14041" s="108" t="s">
        <v>2711</v>
      </c>
      <c r="E14041" s="42">
        <v>31200</v>
      </c>
      <c r="G14041" s="126">
        <f t="shared" si="225"/>
        <v>-31200</v>
      </c>
      <c r="H14041" s="705" t="s">
        <v>8973</v>
      </c>
    </row>
    <row r="14042" spans="1:8" ht="15" x14ac:dyDescent="0.2">
      <c r="A14042" s="734">
        <v>44935</v>
      </c>
      <c r="B14042" s="41" t="s">
        <v>8868</v>
      </c>
      <c r="C14042" s="41" t="s">
        <v>8251</v>
      </c>
      <c r="D14042" s="108" t="s">
        <v>8999</v>
      </c>
      <c r="E14042" s="42">
        <v>58800</v>
      </c>
      <c r="G14042" s="126">
        <f t="shared" si="225"/>
        <v>-58800</v>
      </c>
      <c r="H14042" s="705" t="s">
        <v>8973</v>
      </c>
    </row>
    <row r="14043" spans="1:8" ht="15" x14ac:dyDescent="0.2">
      <c r="A14043" s="734">
        <v>44935</v>
      </c>
      <c r="B14043" s="41" t="s">
        <v>7921</v>
      </c>
      <c r="C14043" s="41" t="s">
        <v>392</v>
      </c>
      <c r="D14043" s="108" t="s">
        <v>8877</v>
      </c>
      <c r="E14043" s="42">
        <v>7535</v>
      </c>
      <c r="G14043" s="126">
        <f t="shared" si="225"/>
        <v>-7535</v>
      </c>
      <c r="H14043" s="705" t="s">
        <v>8973</v>
      </c>
    </row>
    <row r="14044" spans="1:8" ht="15" x14ac:dyDescent="0.2">
      <c r="A14044" s="734">
        <v>44935</v>
      </c>
      <c r="B14044" s="41" t="s">
        <v>7921</v>
      </c>
      <c r="C14044" s="41" t="s">
        <v>392</v>
      </c>
      <c r="D14044" s="108" t="s">
        <v>8877</v>
      </c>
      <c r="E14044" s="42">
        <v>180</v>
      </c>
      <c r="G14044" s="126">
        <f t="shared" si="225"/>
        <v>-180</v>
      </c>
      <c r="H14044" s="705" t="s">
        <v>8973</v>
      </c>
    </row>
    <row r="14045" spans="1:8" ht="15" x14ac:dyDescent="0.2">
      <c r="A14045" s="734">
        <v>44935</v>
      </c>
      <c r="B14045" s="41" t="s">
        <v>8876</v>
      </c>
      <c r="C14045" s="41" t="s">
        <v>3145</v>
      </c>
      <c r="D14045" s="108" t="s">
        <v>9000</v>
      </c>
      <c r="E14045" s="42">
        <v>61731</v>
      </c>
      <c r="G14045" s="126">
        <f t="shared" si="225"/>
        <v>-61731</v>
      </c>
      <c r="H14045" s="705" t="s">
        <v>8973</v>
      </c>
    </row>
    <row r="14046" spans="1:8" ht="15" x14ac:dyDescent="0.2">
      <c r="A14046" s="734">
        <v>44935</v>
      </c>
      <c r="B14046" s="41" t="s">
        <v>16</v>
      </c>
      <c r="C14046" s="41" t="s">
        <v>1495</v>
      </c>
      <c r="D14046" s="108" t="s">
        <v>370</v>
      </c>
      <c r="E14046" s="42">
        <v>1200</v>
      </c>
      <c r="G14046" s="126">
        <f t="shared" si="225"/>
        <v>-1200</v>
      </c>
      <c r="H14046" s="705" t="s">
        <v>8973</v>
      </c>
    </row>
    <row r="14047" spans="1:8" ht="15" x14ac:dyDescent="0.2">
      <c r="A14047" s="734">
        <v>44935</v>
      </c>
      <c r="B14047" s="41" t="s">
        <v>8657</v>
      </c>
      <c r="C14047" s="41" t="s">
        <v>318</v>
      </c>
      <c r="D14047" s="108" t="s">
        <v>9001</v>
      </c>
      <c r="E14047" s="42">
        <v>153500</v>
      </c>
      <c r="G14047" s="126">
        <f t="shared" si="225"/>
        <v>-153500</v>
      </c>
      <c r="H14047" s="705" t="s">
        <v>8973</v>
      </c>
    </row>
    <row r="14048" spans="1:8" ht="15" x14ac:dyDescent="0.2">
      <c r="A14048" s="734">
        <v>44935</v>
      </c>
      <c r="B14048" s="41" t="s">
        <v>8657</v>
      </c>
      <c r="C14048" s="41" t="s">
        <v>8394</v>
      </c>
      <c r="D14048" s="108" t="s">
        <v>9005</v>
      </c>
      <c r="E14048" s="42">
        <v>1000000</v>
      </c>
      <c r="G14048" s="126">
        <f t="shared" si="225"/>
        <v>-1000000</v>
      </c>
      <c r="H14048" s="705" t="s">
        <v>8973</v>
      </c>
    </row>
    <row r="14049" spans="1:8" ht="15" x14ac:dyDescent="0.2">
      <c r="A14049" s="734">
        <v>44935</v>
      </c>
      <c r="B14049" s="41" t="s">
        <v>8339</v>
      </c>
      <c r="C14049" s="41" t="s">
        <v>392</v>
      </c>
      <c r="D14049" s="108" t="s">
        <v>9006</v>
      </c>
      <c r="E14049" s="42">
        <v>7120</v>
      </c>
      <c r="G14049" s="126">
        <f t="shared" si="225"/>
        <v>-7120</v>
      </c>
      <c r="H14049" s="705" t="s">
        <v>8973</v>
      </c>
    </row>
    <row r="14050" spans="1:8" ht="15" x14ac:dyDescent="0.2">
      <c r="A14050" s="734">
        <v>44936</v>
      </c>
      <c r="B14050" s="41" t="s">
        <v>7921</v>
      </c>
      <c r="C14050" s="41" t="s">
        <v>6835</v>
      </c>
      <c r="D14050" s="108" t="s">
        <v>9008</v>
      </c>
      <c r="E14050" s="42">
        <v>200000</v>
      </c>
      <c r="G14050" s="126">
        <f t="shared" si="225"/>
        <v>-200000</v>
      </c>
      <c r="H14050" s="705" t="s">
        <v>8973</v>
      </c>
    </row>
    <row r="14051" spans="1:8" ht="15" x14ac:dyDescent="0.2">
      <c r="A14051" s="734">
        <v>44936</v>
      </c>
      <c r="B14051" s="41" t="s">
        <v>6508</v>
      </c>
      <c r="C14051" s="41" t="s">
        <v>6835</v>
      </c>
      <c r="D14051" s="108" t="s">
        <v>8989</v>
      </c>
      <c r="E14051" s="42">
        <v>100000</v>
      </c>
      <c r="G14051" s="126">
        <f t="shared" si="225"/>
        <v>-100000</v>
      </c>
      <c r="H14051" s="705" t="s">
        <v>8973</v>
      </c>
    </row>
    <row r="14052" spans="1:8" ht="15" x14ac:dyDescent="0.2">
      <c r="A14052" s="734">
        <v>44937</v>
      </c>
      <c r="B14052" s="41" t="s">
        <v>8657</v>
      </c>
      <c r="C14052" s="41" t="s">
        <v>8763</v>
      </c>
      <c r="D14052" s="108" t="s">
        <v>9009</v>
      </c>
      <c r="E14052" s="42">
        <v>59000</v>
      </c>
      <c r="G14052" s="126">
        <f t="shared" si="225"/>
        <v>-59000</v>
      </c>
      <c r="H14052" s="705" t="s">
        <v>8973</v>
      </c>
    </row>
    <row r="14053" spans="1:8" ht="15" x14ac:dyDescent="0.2">
      <c r="A14053" s="734">
        <v>44937</v>
      </c>
      <c r="B14053" s="41" t="s">
        <v>2933</v>
      </c>
      <c r="C14053" s="41" t="s">
        <v>3145</v>
      </c>
      <c r="D14053" s="108" t="s">
        <v>4452</v>
      </c>
      <c r="E14053" s="42">
        <v>3000</v>
      </c>
      <c r="G14053" s="126">
        <f t="shared" si="225"/>
        <v>-3000</v>
      </c>
      <c r="H14053" s="705" t="s">
        <v>8973</v>
      </c>
    </row>
    <row r="14054" spans="1:8" ht="15" x14ac:dyDescent="0.2">
      <c r="A14054" s="734">
        <v>44937</v>
      </c>
      <c r="B14054" s="41" t="s">
        <v>6505</v>
      </c>
      <c r="C14054" s="41" t="s">
        <v>3145</v>
      </c>
      <c r="D14054" s="108" t="s">
        <v>4452</v>
      </c>
      <c r="E14054" s="42">
        <v>2000</v>
      </c>
      <c r="G14054" s="126">
        <f t="shared" si="225"/>
        <v>-2000</v>
      </c>
      <c r="H14054" s="705" t="s">
        <v>8973</v>
      </c>
    </row>
    <row r="14055" spans="1:8" ht="15" x14ac:dyDescent="0.2">
      <c r="A14055" s="734">
        <v>44937</v>
      </c>
      <c r="B14055" s="41" t="s">
        <v>8532</v>
      </c>
      <c r="C14055" s="41" t="s">
        <v>3145</v>
      </c>
      <c r="D14055" s="108" t="s">
        <v>4452</v>
      </c>
      <c r="E14055" s="42">
        <v>1000</v>
      </c>
      <c r="G14055" s="126">
        <f t="shared" si="225"/>
        <v>-1000</v>
      </c>
      <c r="H14055" s="705" t="s">
        <v>8973</v>
      </c>
    </row>
    <row r="14056" spans="1:8" ht="15" x14ac:dyDescent="0.2">
      <c r="A14056" s="734">
        <v>44937</v>
      </c>
      <c r="B14056" s="41" t="s">
        <v>6505</v>
      </c>
      <c r="C14056" s="41" t="s">
        <v>3145</v>
      </c>
      <c r="D14056" s="108" t="s">
        <v>4450</v>
      </c>
      <c r="E14056" s="42">
        <v>72455</v>
      </c>
      <c r="G14056" s="126">
        <f t="shared" si="225"/>
        <v>-72455</v>
      </c>
      <c r="H14056" s="705" t="s">
        <v>8973</v>
      </c>
    </row>
    <row r="14057" spans="1:8" ht="15" customHeight="1" x14ac:dyDescent="0.2">
      <c r="A14057" s="734">
        <v>44936</v>
      </c>
      <c r="B14057" s="41" t="s">
        <v>8828</v>
      </c>
      <c r="C14057" s="41" t="s">
        <v>8890</v>
      </c>
      <c r="D14057" s="108" t="s">
        <v>9015</v>
      </c>
      <c r="E14057" s="42">
        <v>30000</v>
      </c>
      <c r="G14057" s="126">
        <f t="shared" si="225"/>
        <v>-30000</v>
      </c>
      <c r="H14057" s="705" t="s">
        <v>8973</v>
      </c>
    </row>
    <row r="14058" spans="1:8" ht="15" x14ac:dyDescent="0.2">
      <c r="A14058" s="734">
        <v>44936</v>
      </c>
      <c r="B14058" s="41" t="s">
        <v>16</v>
      </c>
      <c r="C14058" s="41" t="s">
        <v>3364</v>
      </c>
      <c r="E14058" s="42">
        <v>4970</v>
      </c>
      <c r="G14058" s="126">
        <f t="shared" si="225"/>
        <v>-4970</v>
      </c>
      <c r="H14058" s="705" t="s">
        <v>8973</v>
      </c>
    </row>
    <row r="14059" spans="1:8" ht="15" x14ac:dyDescent="0.2">
      <c r="A14059" s="734">
        <v>44936</v>
      </c>
      <c r="B14059" s="41" t="s">
        <v>8657</v>
      </c>
      <c r="C14059" s="41" t="s">
        <v>3145</v>
      </c>
      <c r="D14059" s="108" t="s">
        <v>9016</v>
      </c>
      <c r="E14059" s="42">
        <v>20000</v>
      </c>
      <c r="G14059" s="126">
        <f t="shared" si="225"/>
        <v>-20000</v>
      </c>
      <c r="H14059" s="705" t="s">
        <v>8973</v>
      </c>
    </row>
    <row r="14060" spans="1:8" ht="15" x14ac:dyDescent="0.2">
      <c r="A14060" s="734">
        <v>44936</v>
      </c>
      <c r="B14060" s="41" t="s">
        <v>2933</v>
      </c>
      <c r="C14060" s="41" t="s">
        <v>3145</v>
      </c>
      <c r="D14060" s="108" t="s">
        <v>9017</v>
      </c>
      <c r="E14060" s="42">
        <v>12020</v>
      </c>
      <c r="G14060" s="126">
        <f t="shared" si="225"/>
        <v>-12020</v>
      </c>
      <c r="H14060" s="705" t="s">
        <v>8973</v>
      </c>
    </row>
    <row r="14061" spans="1:8" ht="15" x14ac:dyDescent="0.2">
      <c r="A14061" s="734">
        <v>44938</v>
      </c>
      <c r="B14061" s="41" t="s">
        <v>3946</v>
      </c>
      <c r="C14061" s="629" t="s">
        <v>3003</v>
      </c>
      <c r="D14061" s="895" t="s">
        <v>9018</v>
      </c>
      <c r="E14061" s="630">
        <v>30152</v>
      </c>
      <c r="G14061" s="126">
        <f t="shared" si="225"/>
        <v>-30152</v>
      </c>
      <c r="H14061" s="705" t="s">
        <v>8973</v>
      </c>
    </row>
    <row r="14062" spans="1:8" ht="15" x14ac:dyDescent="0.2">
      <c r="A14062" s="734">
        <v>44938</v>
      </c>
      <c r="B14062" s="41" t="s">
        <v>3945</v>
      </c>
      <c r="C14062" s="629" t="s">
        <v>3003</v>
      </c>
      <c r="D14062" s="895" t="s">
        <v>9018</v>
      </c>
      <c r="E14062" s="630">
        <v>32760</v>
      </c>
      <c r="G14062" s="126">
        <f t="shared" si="225"/>
        <v>-32760</v>
      </c>
      <c r="H14062" s="705" t="s">
        <v>8973</v>
      </c>
    </row>
    <row r="14063" spans="1:8" ht="15" x14ac:dyDescent="0.2">
      <c r="A14063" s="734">
        <v>44938</v>
      </c>
      <c r="B14063" s="41" t="s">
        <v>37</v>
      </c>
      <c r="C14063" s="629" t="s">
        <v>3003</v>
      </c>
      <c r="D14063" s="895" t="s">
        <v>9018</v>
      </c>
      <c r="E14063" s="630">
        <v>15560</v>
      </c>
      <c r="G14063" s="126">
        <f t="shared" si="225"/>
        <v>-15560</v>
      </c>
      <c r="H14063" s="705" t="s">
        <v>8973</v>
      </c>
    </row>
    <row r="14064" spans="1:8" ht="15" x14ac:dyDescent="0.2">
      <c r="A14064" s="734">
        <v>44938</v>
      </c>
      <c r="B14064" s="41" t="s">
        <v>8891</v>
      </c>
      <c r="C14064" s="629" t="s">
        <v>3003</v>
      </c>
      <c r="D14064" s="895" t="s">
        <v>9018</v>
      </c>
      <c r="E14064" s="630">
        <v>8634</v>
      </c>
      <c r="G14064" s="126">
        <f t="shared" si="225"/>
        <v>-8634</v>
      </c>
      <c r="H14064" s="705" t="s">
        <v>8973</v>
      </c>
    </row>
    <row r="14065" spans="1:8" ht="15" x14ac:dyDescent="0.2">
      <c r="A14065" s="734">
        <v>44938</v>
      </c>
      <c r="B14065" s="41" t="s">
        <v>8077</v>
      </c>
      <c r="C14065" s="629" t="s">
        <v>3003</v>
      </c>
      <c r="D14065" s="895" t="s">
        <v>9018</v>
      </c>
      <c r="E14065" s="630">
        <v>30273</v>
      </c>
      <c r="G14065" s="126">
        <f t="shared" si="225"/>
        <v>-30273</v>
      </c>
      <c r="H14065" s="705" t="s">
        <v>8973</v>
      </c>
    </row>
    <row r="14066" spans="1:8" ht="15" x14ac:dyDescent="0.2">
      <c r="A14066" s="734">
        <v>44938</v>
      </c>
      <c r="B14066" s="41" t="s">
        <v>7657</v>
      </c>
      <c r="C14066" s="629" t="s">
        <v>3003</v>
      </c>
      <c r="D14066" s="895" t="s">
        <v>9018</v>
      </c>
      <c r="E14066" s="630">
        <v>29044</v>
      </c>
      <c r="G14066" s="126">
        <f t="shared" si="225"/>
        <v>-29044</v>
      </c>
      <c r="H14066" s="705" t="s">
        <v>8973</v>
      </c>
    </row>
    <row r="14067" spans="1:8" ht="15" x14ac:dyDescent="0.2">
      <c r="A14067" s="734">
        <v>44938</v>
      </c>
      <c r="B14067" s="41" t="s">
        <v>8559</v>
      </c>
      <c r="C14067" s="41" t="s">
        <v>8502</v>
      </c>
      <c r="D14067" s="108" t="s">
        <v>9019</v>
      </c>
      <c r="E14067" s="58">
        <v>10000</v>
      </c>
      <c r="F14067" s="58"/>
      <c r="G14067" s="126">
        <f t="shared" ref="G14067:G14130" si="226">F14067-E14067</f>
        <v>-10000</v>
      </c>
      <c r="H14067" s="705" t="s">
        <v>8973</v>
      </c>
    </row>
    <row r="14068" spans="1:8" ht="15" x14ac:dyDescent="0.2">
      <c r="A14068" s="734">
        <v>44938</v>
      </c>
      <c r="B14068" s="41" t="s">
        <v>8339</v>
      </c>
      <c r="C14068" s="41" t="s">
        <v>3145</v>
      </c>
      <c r="D14068" s="108" t="s">
        <v>9020</v>
      </c>
      <c r="E14068" s="58">
        <v>1300</v>
      </c>
      <c r="F14068" s="58"/>
      <c r="G14068" s="126">
        <f t="shared" si="226"/>
        <v>-1300</v>
      </c>
      <c r="H14068" s="705" t="s">
        <v>8973</v>
      </c>
    </row>
    <row r="14069" spans="1:8" ht="15" x14ac:dyDescent="0.2">
      <c r="A14069" s="734">
        <v>44938</v>
      </c>
      <c r="B14069" s="41" t="s">
        <v>16</v>
      </c>
      <c r="C14069" s="41" t="s">
        <v>3843</v>
      </c>
      <c r="D14069" s="108" t="s">
        <v>8712</v>
      </c>
      <c r="E14069" s="58">
        <v>9330</v>
      </c>
      <c r="F14069" s="58"/>
      <c r="G14069" s="126">
        <f t="shared" si="226"/>
        <v>-9330</v>
      </c>
      <c r="H14069" s="705" t="s">
        <v>8973</v>
      </c>
    </row>
    <row r="14070" spans="1:8" ht="15" x14ac:dyDescent="0.2">
      <c r="A14070" s="734">
        <v>44938</v>
      </c>
      <c r="B14070" s="41" t="s">
        <v>8657</v>
      </c>
      <c r="C14070" s="41" t="s">
        <v>5741</v>
      </c>
      <c r="D14070" s="108" t="s">
        <v>9021</v>
      </c>
      <c r="E14070" s="58">
        <v>1000</v>
      </c>
      <c r="F14070" s="58"/>
      <c r="G14070" s="126">
        <f t="shared" si="226"/>
        <v>-1000</v>
      </c>
      <c r="H14070" s="705" t="s">
        <v>8973</v>
      </c>
    </row>
    <row r="14071" spans="1:8" ht="15" x14ac:dyDescent="0.2">
      <c r="A14071" s="734">
        <v>44938</v>
      </c>
      <c r="B14071" s="41" t="s">
        <v>8339</v>
      </c>
      <c r="C14071" s="41" t="s">
        <v>286</v>
      </c>
      <c r="D14071" s="108" t="s">
        <v>8448</v>
      </c>
      <c r="E14071" s="58">
        <v>1000</v>
      </c>
      <c r="F14071" s="58"/>
      <c r="G14071" s="126">
        <f t="shared" si="226"/>
        <v>-1000</v>
      </c>
      <c r="H14071" s="705" t="s">
        <v>8973</v>
      </c>
    </row>
    <row r="14072" spans="1:8" ht="15" x14ac:dyDescent="0.2">
      <c r="A14072" s="734">
        <v>44938</v>
      </c>
      <c r="B14072" s="41" t="s">
        <v>37</v>
      </c>
      <c r="C14072" s="41" t="s">
        <v>392</v>
      </c>
      <c r="D14072" s="108" t="s">
        <v>9027</v>
      </c>
      <c r="E14072" s="58">
        <v>250</v>
      </c>
      <c r="F14072" s="58"/>
      <c r="G14072" s="126">
        <f t="shared" si="226"/>
        <v>-250</v>
      </c>
      <c r="H14072" s="705" t="s">
        <v>8973</v>
      </c>
    </row>
    <row r="14073" spans="1:8" ht="15" x14ac:dyDescent="0.2">
      <c r="A14073" s="734">
        <v>44938</v>
      </c>
      <c r="B14073" s="41" t="s">
        <v>8339</v>
      </c>
      <c r="C14073" s="41" t="s">
        <v>392</v>
      </c>
      <c r="D14073" s="108" t="s">
        <v>9022</v>
      </c>
      <c r="E14073" s="58">
        <v>1100</v>
      </c>
      <c r="F14073" s="58"/>
      <c r="G14073" s="126">
        <f t="shared" si="226"/>
        <v>-1100</v>
      </c>
      <c r="H14073" s="705" t="s">
        <v>8973</v>
      </c>
    </row>
    <row r="14074" spans="1:8" ht="15" x14ac:dyDescent="0.2">
      <c r="A14074" s="734">
        <v>44938</v>
      </c>
      <c r="B14074" s="41" t="s">
        <v>16</v>
      </c>
      <c r="C14074" s="41" t="s">
        <v>3843</v>
      </c>
      <c r="D14074" s="108" t="s">
        <v>8786</v>
      </c>
      <c r="E14074" s="58">
        <v>1000</v>
      </c>
      <c r="F14074" s="58"/>
      <c r="G14074" s="126">
        <f t="shared" si="226"/>
        <v>-1000</v>
      </c>
      <c r="H14074" s="705" t="s">
        <v>8973</v>
      </c>
    </row>
    <row r="14075" spans="1:8" ht="15" x14ac:dyDescent="0.2">
      <c r="A14075" s="734">
        <v>44938</v>
      </c>
      <c r="B14075" s="41" t="s">
        <v>8876</v>
      </c>
      <c r="C14075" s="41" t="s">
        <v>392</v>
      </c>
      <c r="D14075" s="108" t="s">
        <v>7977</v>
      </c>
      <c r="E14075" s="58">
        <v>500</v>
      </c>
      <c r="F14075" s="58"/>
      <c r="G14075" s="126">
        <f t="shared" si="226"/>
        <v>-500</v>
      </c>
      <c r="H14075" s="705" t="s">
        <v>8973</v>
      </c>
    </row>
    <row r="14076" spans="1:8" ht="15" x14ac:dyDescent="0.2">
      <c r="A14076" s="734">
        <v>44938</v>
      </c>
      <c r="B14076" s="41" t="s">
        <v>7921</v>
      </c>
      <c r="C14076" s="41" t="s">
        <v>790</v>
      </c>
      <c r="D14076" s="108" t="s">
        <v>9023</v>
      </c>
      <c r="E14076" s="58">
        <v>7712</v>
      </c>
      <c r="F14076" s="58"/>
      <c r="G14076" s="126">
        <f t="shared" si="226"/>
        <v>-7712</v>
      </c>
      <c r="H14076" s="705" t="s">
        <v>8973</v>
      </c>
    </row>
    <row r="14077" spans="1:8" ht="15" x14ac:dyDescent="0.2">
      <c r="A14077" s="734">
        <v>44938</v>
      </c>
      <c r="B14077" s="41" t="s">
        <v>16</v>
      </c>
      <c r="C14077" s="41" t="s">
        <v>3843</v>
      </c>
      <c r="D14077" s="108" t="s">
        <v>8712</v>
      </c>
      <c r="E14077" s="58">
        <v>6920</v>
      </c>
      <c r="F14077" s="58"/>
      <c r="G14077" s="126">
        <f t="shared" si="226"/>
        <v>-6920</v>
      </c>
      <c r="H14077" s="705" t="s">
        <v>8973</v>
      </c>
    </row>
    <row r="14078" spans="1:8" ht="15" x14ac:dyDescent="0.2">
      <c r="A14078" s="734">
        <v>44938</v>
      </c>
      <c r="B14078" s="41" t="s">
        <v>7921</v>
      </c>
      <c r="C14078" s="41" t="s">
        <v>790</v>
      </c>
      <c r="D14078" s="108" t="s">
        <v>9024</v>
      </c>
      <c r="E14078" s="58">
        <v>5000</v>
      </c>
      <c r="F14078" s="58"/>
      <c r="G14078" s="126">
        <f t="shared" si="226"/>
        <v>-5000</v>
      </c>
      <c r="H14078" s="705" t="s">
        <v>8973</v>
      </c>
    </row>
    <row r="14079" spans="1:8" ht="15" x14ac:dyDescent="0.2">
      <c r="A14079" s="734">
        <v>44938</v>
      </c>
      <c r="B14079" s="41" t="s">
        <v>8657</v>
      </c>
      <c r="C14079" s="41" t="s">
        <v>5741</v>
      </c>
      <c r="D14079" s="108" t="s">
        <v>9025</v>
      </c>
      <c r="E14079" s="58">
        <v>2000</v>
      </c>
      <c r="F14079" s="58"/>
      <c r="G14079" s="126">
        <f t="shared" si="226"/>
        <v>-2000</v>
      </c>
      <c r="H14079" s="705" t="s">
        <v>8973</v>
      </c>
    </row>
    <row r="14080" spans="1:8" ht="15" x14ac:dyDescent="0.2">
      <c r="A14080" s="734">
        <v>44938</v>
      </c>
      <c r="B14080" s="41" t="s">
        <v>16</v>
      </c>
      <c r="C14080" s="41" t="s">
        <v>3843</v>
      </c>
      <c r="D14080" s="108" t="s">
        <v>8712</v>
      </c>
      <c r="E14080" s="58">
        <v>7640</v>
      </c>
      <c r="F14080" s="58"/>
      <c r="G14080" s="126">
        <f t="shared" si="226"/>
        <v>-7640</v>
      </c>
      <c r="H14080" s="705" t="s">
        <v>8973</v>
      </c>
    </row>
    <row r="14081" spans="1:8" ht="15" x14ac:dyDescent="0.2">
      <c r="A14081" s="734">
        <v>44938</v>
      </c>
      <c r="B14081" s="41" t="s">
        <v>25</v>
      </c>
      <c r="C14081" s="41" t="s">
        <v>8150</v>
      </c>
      <c r="D14081" s="108" t="s">
        <v>6343</v>
      </c>
      <c r="E14081" s="58">
        <v>6000</v>
      </c>
      <c r="F14081" s="58"/>
      <c r="G14081" s="126">
        <f t="shared" si="226"/>
        <v>-6000</v>
      </c>
      <c r="H14081" s="705" t="s">
        <v>8973</v>
      </c>
    </row>
    <row r="14082" spans="1:8" ht="15" x14ac:dyDescent="0.2">
      <c r="A14082" s="734">
        <v>44938</v>
      </c>
      <c r="B14082" s="41" t="s">
        <v>16</v>
      </c>
      <c r="C14082" s="41" t="s">
        <v>8150</v>
      </c>
      <c r="D14082" s="108" t="s">
        <v>6343</v>
      </c>
      <c r="E14082" s="58">
        <v>2060</v>
      </c>
      <c r="F14082" s="58"/>
      <c r="G14082" s="126">
        <f t="shared" si="226"/>
        <v>-2060</v>
      </c>
      <c r="H14082" s="705" t="s">
        <v>8973</v>
      </c>
    </row>
    <row r="14083" spans="1:8" ht="15" x14ac:dyDescent="0.2">
      <c r="A14083" s="734">
        <v>44938</v>
      </c>
      <c r="B14083" s="41" t="s">
        <v>8559</v>
      </c>
      <c r="C14083" s="41" t="s">
        <v>392</v>
      </c>
      <c r="D14083" s="108" t="s">
        <v>8838</v>
      </c>
      <c r="E14083" s="58">
        <v>1000</v>
      </c>
      <c r="F14083" s="58"/>
      <c r="G14083" s="126">
        <f t="shared" si="226"/>
        <v>-1000</v>
      </c>
      <c r="H14083" s="705" t="s">
        <v>8973</v>
      </c>
    </row>
    <row r="14084" spans="1:8" ht="15" x14ac:dyDescent="0.2">
      <c r="A14084" s="734">
        <v>44938</v>
      </c>
      <c r="B14084" s="41" t="s">
        <v>8339</v>
      </c>
      <c r="C14084" s="41" t="s">
        <v>392</v>
      </c>
      <c r="D14084" s="108" t="s">
        <v>9026</v>
      </c>
      <c r="E14084" s="58">
        <v>600</v>
      </c>
      <c r="F14084" s="58"/>
      <c r="G14084" s="126">
        <f t="shared" si="226"/>
        <v>-600</v>
      </c>
      <c r="H14084" s="705" t="s">
        <v>8973</v>
      </c>
    </row>
    <row r="14085" spans="1:8" ht="15" x14ac:dyDescent="0.2">
      <c r="A14085" s="734">
        <v>44939</v>
      </c>
      <c r="B14085" s="41" t="s">
        <v>8868</v>
      </c>
      <c r="C14085" s="41" t="s">
        <v>3145</v>
      </c>
      <c r="D14085" s="108" t="s">
        <v>8768</v>
      </c>
      <c r="E14085" s="58">
        <v>4430</v>
      </c>
      <c r="F14085" s="58"/>
      <c r="G14085" s="126">
        <f t="shared" si="226"/>
        <v>-4430</v>
      </c>
      <c r="H14085" s="705" t="s">
        <v>8973</v>
      </c>
    </row>
    <row r="14086" spans="1:8" ht="15" x14ac:dyDescent="0.2">
      <c r="A14086" s="734">
        <v>44939</v>
      </c>
      <c r="B14086" s="41" t="s">
        <v>8339</v>
      </c>
      <c r="C14086" s="41" t="s">
        <v>286</v>
      </c>
      <c r="D14086" s="108" t="s">
        <v>8334</v>
      </c>
      <c r="E14086" s="58">
        <v>1500</v>
      </c>
      <c r="F14086" s="58"/>
      <c r="G14086" s="126">
        <f t="shared" si="226"/>
        <v>-1500</v>
      </c>
      <c r="H14086" s="705" t="s">
        <v>8973</v>
      </c>
    </row>
    <row r="14087" spans="1:8" ht="15" x14ac:dyDescent="0.2">
      <c r="A14087" s="734">
        <v>44939</v>
      </c>
      <c r="B14087" s="41" t="s">
        <v>8868</v>
      </c>
      <c r="C14087" s="41" t="s">
        <v>3145</v>
      </c>
      <c r="D14087" s="108" t="s">
        <v>9028</v>
      </c>
      <c r="E14087" s="58">
        <v>21200</v>
      </c>
      <c r="F14087" s="58"/>
      <c r="G14087" s="126">
        <f t="shared" si="226"/>
        <v>-21200</v>
      </c>
      <c r="H14087" s="705" t="s">
        <v>8973</v>
      </c>
    </row>
    <row r="14088" spans="1:8" ht="15" x14ac:dyDescent="0.2">
      <c r="A14088" s="734">
        <v>44940</v>
      </c>
      <c r="B14088" s="41" t="s">
        <v>8339</v>
      </c>
      <c r="C14088" s="41" t="s">
        <v>3145</v>
      </c>
      <c r="D14088" s="108" t="s">
        <v>9029</v>
      </c>
      <c r="E14088" s="58">
        <v>6960</v>
      </c>
      <c r="F14088" s="58"/>
      <c r="G14088" s="126">
        <f t="shared" si="226"/>
        <v>-6960</v>
      </c>
      <c r="H14088" s="705" t="s">
        <v>8973</v>
      </c>
    </row>
    <row r="14089" spans="1:8" ht="15" x14ac:dyDescent="0.2">
      <c r="A14089" s="734">
        <v>44940</v>
      </c>
      <c r="B14089" s="41" t="s">
        <v>25</v>
      </c>
      <c r="C14089" s="41" t="s">
        <v>2428</v>
      </c>
      <c r="D14089" s="108" t="s">
        <v>9030</v>
      </c>
      <c r="E14089" s="58">
        <v>30600</v>
      </c>
      <c r="F14089" s="58"/>
      <c r="G14089" s="126">
        <f t="shared" si="226"/>
        <v>-30600</v>
      </c>
      <c r="H14089" s="705" t="s">
        <v>8973</v>
      </c>
    </row>
    <row r="14090" spans="1:8" ht="15" x14ac:dyDescent="0.2">
      <c r="A14090" s="734">
        <v>44940</v>
      </c>
      <c r="B14090" s="41" t="s">
        <v>8868</v>
      </c>
      <c r="C14090" s="41" t="s">
        <v>3145</v>
      </c>
      <c r="D14090" s="108" t="s">
        <v>9031</v>
      </c>
      <c r="E14090" s="58">
        <v>9450</v>
      </c>
      <c r="F14090" s="58"/>
      <c r="G14090" s="126">
        <f t="shared" si="226"/>
        <v>-9450</v>
      </c>
      <c r="H14090" s="705" t="s">
        <v>8973</v>
      </c>
    </row>
    <row r="14091" spans="1:8" ht="15" x14ac:dyDescent="0.2">
      <c r="A14091" s="734">
        <v>44940</v>
      </c>
      <c r="B14091" s="41" t="s">
        <v>8339</v>
      </c>
      <c r="C14091" s="41" t="s">
        <v>3145</v>
      </c>
      <c r="D14091" s="108" t="s">
        <v>8991</v>
      </c>
      <c r="E14091" s="58">
        <v>500</v>
      </c>
      <c r="F14091" s="58"/>
      <c r="G14091" s="126">
        <f t="shared" si="226"/>
        <v>-500</v>
      </c>
      <c r="H14091" s="705" t="s">
        <v>8973</v>
      </c>
    </row>
    <row r="14092" spans="1:8" ht="15" x14ac:dyDescent="0.2">
      <c r="A14092" s="734">
        <v>44940</v>
      </c>
      <c r="B14092" s="41" t="s">
        <v>16</v>
      </c>
      <c r="C14092" s="41" t="s">
        <v>9036</v>
      </c>
      <c r="D14092" s="108" t="s">
        <v>9037</v>
      </c>
      <c r="E14092" s="58">
        <v>7000</v>
      </c>
      <c r="F14092" s="58"/>
      <c r="G14092" s="126">
        <f t="shared" si="226"/>
        <v>-7000</v>
      </c>
      <c r="H14092" s="705" t="s">
        <v>8973</v>
      </c>
    </row>
    <row r="14093" spans="1:8" ht="15" x14ac:dyDescent="0.2">
      <c r="A14093" s="734">
        <v>44942</v>
      </c>
      <c r="B14093" s="41" t="s">
        <v>8559</v>
      </c>
      <c r="C14093" s="41" t="s">
        <v>2666</v>
      </c>
      <c r="D14093" s="108" t="s">
        <v>9038</v>
      </c>
      <c r="E14093" s="58">
        <v>24000</v>
      </c>
      <c r="F14093" s="58"/>
      <c r="G14093" s="126">
        <f t="shared" si="226"/>
        <v>-24000</v>
      </c>
      <c r="H14093" s="705" t="s">
        <v>8973</v>
      </c>
    </row>
    <row r="14094" spans="1:8" ht="15" x14ac:dyDescent="0.2">
      <c r="A14094" s="734">
        <v>44942</v>
      </c>
      <c r="B14094" s="41" t="s">
        <v>8043</v>
      </c>
      <c r="C14094" s="41" t="s">
        <v>3145</v>
      </c>
      <c r="D14094" s="108" t="s">
        <v>9039</v>
      </c>
      <c r="E14094" s="58">
        <v>5000</v>
      </c>
      <c r="F14094" s="58"/>
      <c r="G14094" s="126">
        <f t="shared" si="226"/>
        <v>-5000</v>
      </c>
      <c r="H14094" s="705" t="s">
        <v>8973</v>
      </c>
    </row>
    <row r="14095" spans="1:8" ht="15" x14ac:dyDescent="0.2">
      <c r="A14095" s="734">
        <v>44942</v>
      </c>
      <c r="B14095" s="41" t="s">
        <v>8657</v>
      </c>
      <c r="C14095" s="41" t="s">
        <v>1509</v>
      </c>
      <c r="D14095" s="108" t="s">
        <v>9040</v>
      </c>
      <c r="E14095" s="58">
        <v>437000</v>
      </c>
      <c r="F14095" s="58"/>
      <c r="G14095" s="126">
        <f t="shared" si="226"/>
        <v>-437000</v>
      </c>
      <c r="H14095" s="705" t="s">
        <v>8973</v>
      </c>
    </row>
    <row r="14096" spans="1:8" ht="15" x14ac:dyDescent="0.2">
      <c r="A14096" s="734">
        <v>44942</v>
      </c>
      <c r="B14096" s="41" t="s">
        <v>8876</v>
      </c>
      <c r="C14096" s="41" t="s">
        <v>5741</v>
      </c>
      <c r="D14096" s="108" t="s">
        <v>2655</v>
      </c>
      <c r="E14096" s="58">
        <v>1500</v>
      </c>
      <c r="F14096" s="58"/>
      <c r="G14096" s="126">
        <f t="shared" si="226"/>
        <v>-1500</v>
      </c>
      <c r="H14096" s="705" t="s">
        <v>8973</v>
      </c>
    </row>
    <row r="14097" spans="1:8" ht="15" x14ac:dyDescent="0.2">
      <c r="A14097" s="734">
        <v>44944</v>
      </c>
      <c r="B14097" s="41" t="s">
        <v>8868</v>
      </c>
      <c r="C14097" s="41" t="s">
        <v>3145</v>
      </c>
      <c r="D14097" s="108" t="s">
        <v>9060</v>
      </c>
      <c r="E14097" s="58">
        <v>71400</v>
      </c>
      <c r="F14097" s="58"/>
      <c r="G14097" s="126">
        <f t="shared" si="226"/>
        <v>-71400</v>
      </c>
      <c r="H14097" s="705" t="s">
        <v>8973</v>
      </c>
    </row>
    <row r="14098" spans="1:8" ht="15" x14ac:dyDescent="0.2">
      <c r="A14098" s="734">
        <v>44944</v>
      </c>
      <c r="B14098" s="41" t="s">
        <v>8868</v>
      </c>
      <c r="C14098" s="41" t="s">
        <v>3145</v>
      </c>
      <c r="D14098" s="108" t="s">
        <v>9061</v>
      </c>
      <c r="E14098" s="58">
        <v>6150</v>
      </c>
      <c r="F14098" s="58"/>
      <c r="G14098" s="126">
        <f t="shared" si="226"/>
        <v>-6150</v>
      </c>
      <c r="H14098" s="705" t="s">
        <v>8973</v>
      </c>
    </row>
    <row r="14099" spans="1:8" ht="15" x14ac:dyDescent="0.2">
      <c r="A14099" s="734">
        <v>44944</v>
      </c>
      <c r="B14099" s="41" t="s">
        <v>16</v>
      </c>
      <c r="C14099" s="41" t="s">
        <v>2996</v>
      </c>
      <c r="D14099" s="108" t="s">
        <v>9062</v>
      </c>
      <c r="E14099" s="58">
        <v>9340</v>
      </c>
      <c r="F14099" s="58"/>
      <c r="G14099" s="126">
        <f t="shared" si="226"/>
        <v>-9340</v>
      </c>
      <c r="H14099" s="705" t="s">
        <v>8973</v>
      </c>
    </row>
    <row r="14100" spans="1:8" ht="15" x14ac:dyDescent="0.2">
      <c r="A14100" s="734">
        <v>44944</v>
      </c>
      <c r="B14100" s="41" t="s">
        <v>8876</v>
      </c>
      <c r="C14100" s="41" t="s">
        <v>392</v>
      </c>
      <c r="D14100" s="108" t="s">
        <v>4309</v>
      </c>
      <c r="E14100" s="58">
        <v>10000</v>
      </c>
      <c r="F14100" s="58"/>
      <c r="G14100" s="126">
        <f t="shared" si="226"/>
        <v>-10000</v>
      </c>
      <c r="H14100" s="705" t="s">
        <v>8973</v>
      </c>
    </row>
    <row r="14101" spans="1:8" ht="15" x14ac:dyDescent="0.2">
      <c r="A14101" s="734">
        <v>44944</v>
      </c>
      <c r="B14101" s="41" t="s">
        <v>8339</v>
      </c>
      <c r="C14101" s="41" t="s">
        <v>3145</v>
      </c>
      <c r="D14101" s="108" t="s">
        <v>9082</v>
      </c>
      <c r="E14101" s="58">
        <v>20550</v>
      </c>
      <c r="F14101" s="58"/>
      <c r="G14101" s="126">
        <f t="shared" si="226"/>
        <v>-20550</v>
      </c>
      <c r="H14101" s="705" t="s">
        <v>8973</v>
      </c>
    </row>
    <row r="14102" spans="1:8" ht="15" x14ac:dyDescent="0.2">
      <c r="A14102" s="734">
        <v>44944</v>
      </c>
      <c r="B14102" s="41" t="s">
        <v>25</v>
      </c>
      <c r="C14102" s="41" t="s">
        <v>3145</v>
      </c>
      <c r="D14102" s="108" t="s">
        <v>9083</v>
      </c>
      <c r="E14102" s="58">
        <v>2500</v>
      </c>
      <c r="F14102" s="58"/>
      <c r="G14102" s="126">
        <f t="shared" si="226"/>
        <v>-2500</v>
      </c>
      <c r="H14102" s="705" t="s">
        <v>8973</v>
      </c>
    </row>
    <row r="14103" spans="1:8" ht="15" x14ac:dyDescent="0.2">
      <c r="A14103" s="734">
        <v>44944</v>
      </c>
      <c r="B14103" s="41" t="s">
        <v>7921</v>
      </c>
      <c r="C14103" s="41" t="s">
        <v>3145</v>
      </c>
      <c r="D14103" s="108" t="s">
        <v>9084</v>
      </c>
      <c r="E14103" s="58">
        <v>12500</v>
      </c>
      <c r="F14103" s="58"/>
      <c r="G14103" s="126">
        <f t="shared" si="226"/>
        <v>-12500</v>
      </c>
      <c r="H14103" s="705" t="s">
        <v>8973</v>
      </c>
    </row>
    <row r="14104" spans="1:8" ht="15" x14ac:dyDescent="0.2">
      <c r="A14104" s="734">
        <v>44945</v>
      </c>
      <c r="B14104" s="41" t="s">
        <v>8868</v>
      </c>
      <c r="C14104" s="41" t="s">
        <v>3145</v>
      </c>
      <c r="D14104" s="108" t="s">
        <v>9215</v>
      </c>
      <c r="E14104" s="58">
        <v>42500</v>
      </c>
      <c r="F14104" s="58"/>
      <c r="G14104" s="126">
        <f t="shared" si="226"/>
        <v>-42500</v>
      </c>
      <c r="H14104" s="705" t="s">
        <v>8973</v>
      </c>
    </row>
    <row r="14105" spans="1:8" ht="15" x14ac:dyDescent="0.2">
      <c r="A14105" s="734">
        <v>44945</v>
      </c>
      <c r="B14105" s="41" t="s">
        <v>8339</v>
      </c>
      <c r="C14105" s="41" t="s">
        <v>286</v>
      </c>
      <c r="D14105" s="108" t="s">
        <v>8663</v>
      </c>
      <c r="E14105" s="58">
        <v>600</v>
      </c>
      <c r="F14105" s="58"/>
      <c r="G14105" s="126">
        <f t="shared" si="226"/>
        <v>-600</v>
      </c>
      <c r="H14105" s="705" t="s">
        <v>8973</v>
      </c>
    </row>
    <row r="14106" spans="1:8" ht="15" x14ac:dyDescent="0.2">
      <c r="A14106" s="734">
        <v>44945</v>
      </c>
      <c r="B14106" s="41" t="s">
        <v>8339</v>
      </c>
      <c r="C14106" s="41" t="s">
        <v>3145</v>
      </c>
      <c r="D14106" s="108" t="s">
        <v>9216</v>
      </c>
      <c r="E14106" s="58">
        <v>1000</v>
      </c>
      <c r="F14106" s="58"/>
      <c r="G14106" s="126">
        <f t="shared" si="226"/>
        <v>-1000</v>
      </c>
      <c r="H14106" s="705" t="s">
        <v>8973</v>
      </c>
    </row>
    <row r="14107" spans="1:8" ht="15" x14ac:dyDescent="0.2">
      <c r="A14107" s="734">
        <v>44946</v>
      </c>
      <c r="B14107" s="41" t="s">
        <v>25</v>
      </c>
      <c r="C14107" s="41" t="s">
        <v>2428</v>
      </c>
      <c r="D14107" s="108" t="s">
        <v>9217</v>
      </c>
      <c r="E14107" s="58">
        <v>36520</v>
      </c>
      <c r="F14107" s="58"/>
      <c r="G14107" s="126">
        <f t="shared" si="226"/>
        <v>-36520</v>
      </c>
      <c r="H14107" s="705" t="s">
        <v>8973</v>
      </c>
    </row>
    <row r="14108" spans="1:8" ht="15" x14ac:dyDescent="0.2">
      <c r="A14108" s="734">
        <v>44946</v>
      </c>
      <c r="B14108" s="41" t="s">
        <v>3946</v>
      </c>
      <c r="C14108" s="41" t="s">
        <v>392</v>
      </c>
      <c r="D14108" s="108" t="s">
        <v>5363</v>
      </c>
      <c r="E14108" s="58">
        <v>320</v>
      </c>
      <c r="F14108" s="58"/>
      <c r="G14108" s="126">
        <f t="shared" si="226"/>
        <v>-320</v>
      </c>
      <c r="H14108" s="705" t="s">
        <v>8973</v>
      </c>
    </row>
    <row r="14109" spans="1:8" ht="15" x14ac:dyDescent="0.2">
      <c r="A14109" s="734">
        <v>44946</v>
      </c>
      <c r="B14109" s="41" t="s">
        <v>8657</v>
      </c>
      <c r="C14109" s="41" t="s">
        <v>790</v>
      </c>
      <c r="E14109" s="58">
        <v>700</v>
      </c>
      <c r="F14109" s="58"/>
      <c r="G14109" s="126">
        <f t="shared" si="226"/>
        <v>-700</v>
      </c>
      <c r="H14109" s="705" t="s">
        <v>8973</v>
      </c>
    </row>
    <row r="14110" spans="1:8" ht="15" x14ac:dyDescent="0.2">
      <c r="A14110" s="734">
        <v>44946</v>
      </c>
      <c r="B14110" s="41" t="s">
        <v>7921</v>
      </c>
      <c r="C14110" s="41" t="s">
        <v>790</v>
      </c>
      <c r="E14110" s="58">
        <v>5330</v>
      </c>
      <c r="F14110" s="58"/>
      <c r="G14110" s="126">
        <f t="shared" si="226"/>
        <v>-5330</v>
      </c>
      <c r="H14110" s="705" t="s">
        <v>8973</v>
      </c>
    </row>
    <row r="14111" spans="1:8" ht="15" x14ac:dyDescent="0.2">
      <c r="A14111" s="734">
        <v>44946</v>
      </c>
      <c r="B14111" s="41" t="s">
        <v>8339</v>
      </c>
      <c r="C14111" s="41" t="s">
        <v>790</v>
      </c>
      <c r="E14111" s="58">
        <v>2160</v>
      </c>
      <c r="F14111" s="58"/>
      <c r="G14111" s="126">
        <f t="shared" si="226"/>
        <v>-2160</v>
      </c>
      <c r="H14111" s="705" t="s">
        <v>8973</v>
      </c>
    </row>
    <row r="14112" spans="1:8" ht="15" x14ac:dyDescent="0.2">
      <c r="A14112" s="734">
        <v>44946</v>
      </c>
      <c r="B14112" s="41" t="s">
        <v>8043</v>
      </c>
      <c r="C14112" s="41" t="s">
        <v>790</v>
      </c>
      <c r="E14112" s="58">
        <v>1360</v>
      </c>
      <c r="F14112" s="58"/>
      <c r="G14112" s="126">
        <f t="shared" si="226"/>
        <v>-1360</v>
      </c>
      <c r="H14112" s="705" t="s">
        <v>8973</v>
      </c>
    </row>
    <row r="14113" spans="1:8" ht="15" x14ac:dyDescent="0.2">
      <c r="A14113" s="734">
        <v>44946</v>
      </c>
      <c r="B14113" s="41" t="s">
        <v>8876</v>
      </c>
      <c r="C14113" s="41" t="s">
        <v>790</v>
      </c>
      <c r="E14113" s="58">
        <v>3860</v>
      </c>
      <c r="F14113" s="58"/>
      <c r="G14113" s="126">
        <f t="shared" si="226"/>
        <v>-3860</v>
      </c>
      <c r="H14113" s="705" t="s">
        <v>8973</v>
      </c>
    </row>
    <row r="14114" spans="1:8" ht="15" x14ac:dyDescent="0.2">
      <c r="A14114" s="734">
        <v>44949</v>
      </c>
      <c r="B14114" s="41" t="s">
        <v>8532</v>
      </c>
      <c r="C14114" s="41" t="s">
        <v>8564</v>
      </c>
      <c r="D14114" s="108" t="s">
        <v>2253</v>
      </c>
      <c r="E14114" s="58">
        <v>15000</v>
      </c>
      <c r="F14114" s="58"/>
      <c r="G14114" s="126">
        <f t="shared" si="226"/>
        <v>-15000</v>
      </c>
      <c r="H14114" s="705" t="s">
        <v>8973</v>
      </c>
    </row>
    <row r="14115" spans="1:8" ht="15" x14ac:dyDescent="0.2">
      <c r="A14115" s="734">
        <v>44949</v>
      </c>
      <c r="B14115" s="41" t="s">
        <v>8532</v>
      </c>
      <c r="C14115" s="41" t="s">
        <v>3145</v>
      </c>
      <c r="D14115" s="108" t="s">
        <v>9218</v>
      </c>
      <c r="E14115" s="58">
        <v>2000</v>
      </c>
      <c r="F14115" s="58"/>
      <c r="G14115" s="126">
        <f t="shared" si="226"/>
        <v>-2000</v>
      </c>
      <c r="H14115" s="705" t="s">
        <v>8973</v>
      </c>
    </row>
    <row r="14116" spans="1:8" ht="15" x14ac:dyDescent="0.2">
      <c r="A14116" s="734">
        <v>44949</v>
      </c>
      <c r="B14116" s="41" t="s">
        <v>8657</v>
      </c>
      <c r="C14116" s="41" t="s">
        <v>3145</v>
      </c>
      <c r="D14116" s="108" t="s">
        <v>9218</v>
      </c>
      <c r="E14116" s="58">
        <v>5000</v>
      </c>
      <c r="F14116" s="58"/>
      <c r="G14116" s="126">
        <f t="shared" si="226"/>
        <v>-5000</v>
      </c>
      <c r="H14116" s="705" t="s">
        <v>8973</v>
      </c>
    </row>
    <row r="14117" spans="1:8" ht="15" x14ac:dyDescent="0.2">
      <c r="A14117" s="734">
        <v>44949</v>
      </c>
      <c r="B14117" s="41" t="s">
        <v>8559</v>
      </c>
      <c r="C14117" s="41" t="s">
        <v>3145</v>
      </c>
      <c r="D14117" s="108" t="s">
        <v>9219</v>
      </c>
      <c r="E14117" s="58">
        <v>8740</v>
      </c>
      <c r="F14117" s="58"/>
      <c r="G14117" s="126">
        <f t="shared" si="226"/>
        <v>-8740</v>
      </c>
      <c r="H14117" s="705" t="s">
        <v>8973</v>
      </c>
    </row>
    <row r="14118" spans="1:8" ht="15" x14ac:dyDescent="0.2">
      <c r="A14118" s="734">
        <v>44950</v>
      </c>
      <c r="B14118" s="41" t="s">
        <v>8876</v>
      </c>
      <c r="C14118" s="41" t="s">
        <v>9220</v>
      </c>
      <c r="D14118" s="108" t="s">
        <v>9221</v>
      </c>
      <c r="E14118" s="58">
        <v>145000</v>
      </c>
      <c r="F14118" s="58"/>
      <c r="G14118" s="126">
        <f t="shared" si="226"/>
        <v>-145000</v>
      </c>
      <c r="H14118" s="705" t="s">
        <v>8973</v>
      </c>
    </row>
    <row r="14119" spans="1:8" ht="15" x14ac:dyDescent="0.2">
      <c r="A14119" s="734">
        <v>44950</v>
      </c>
      <c r="B14119" s="41" t="s">
        <v>8876</v>
      </c>
      <c r="C14119" s="41" t="s">
        <v>7927</v>
      </c>
      <c r="D14119" s="108" t="s">
        <v>9222</v>
      </c>
      <c r="E14119" s="58">
        <v>40000</v>
      </c>
      <c r="F14119" s="58"/>
      <c r="G14119" s="126">
        <f t="shared" si="226"/>
        <v>-40000</v>
      </c>
      <c r="H14119" s="705" t="s">
        <v>8973</v>
      </c>
    </row>
    <row r="14120" spans="1:8" ht="15" x14ac:dyDescent="0.2">
      <c r="A14120" s="734">
        <v>44950</v>
      </c>
      <c r="B14120" s="41" t="s">
        <v>8657</v>
      </c>
      <c r="C14120" s="41" t="s">
        <v>3145</v>
      </c>
      <c r="D14120" s="108" t="s">
        <v>9227</v>
      </c>
      <c r="E14120" s="58">
        <v>48000</v>
      </c>
      <c r="F14120" s="58"/>
      <c r="G14120" s="126">
        <f t="shared" si="226"/>
        <v>-48000</v>
      </c>
      <c r="H14120" s="705" t="s">
        <v>8973</v>
      </c>
    </row>
    <row r="14121" spans="1:8" ht="15" x14ac:dyDescent="0.2">
      <c r="A14121" s="734">
        <v>44950</v>
      </c>
      <c r="B14121" s="41" t="s">
        <v>16</v>
      </c>
      <c r="C14121" s="41" t="s">
        <v>392</v>
      </c>
      <c r="D14121" s="108" t="s">
        <v>9228</v>
      </c>
      <c r="E14121" s="58">
        <v>2670</v>
      </c>
      <c r="F14121" s="58"/>
      <c r="G14121" s="126">
        <f t="shared" si="226"/>
        <v>-2670</v>
      </c>
      <c r="H14121" s="705" t="s">
        <v>8973</v>
      </c>
    </row>
    <row r="14122" spans="1:8" ht="15" x14ac:dyDescent="0.2">
      <c r="A14122" s="734">
        <v>44950</v>
      </c>
      <c r="B14122" s="41" t="s">
        <v>8339</v>
      </c>
      <c r="C14122" s="41" t="s">
        <v>392</v>
      </c>
      <c r="D14122" s="108" t="s">
        <v>9229</v>
      </c>
      <c r="E14122" s="58">
        <v>1700</v>
      </c>
      <c r="F14122" s="58"/>
      <c r="G14122" s="126">
        <f t="shared" si="226"/>
        <v>-1700</v>
      </c>
      <c r="H14122" s="705" t="s">
        <v>8973</v>
      </c>
    </row>
    <row r="14123" spans="1:8" ht="15" x14ac:dyDescent="0.2">
      <c r="A14123" s="734">
        <v>44950</v>
      </c>
      <c r="B14123" s="41" t="s">
        <v>8876</v>
      </c>
      <c r="C14123" s="41" t="s">
        <v>3145</v>
      </c>
      <c r="D14123" s="108" t="s">
        <v>9223</v>
      </c>
      <c r="E14123" s="58">
        <v>7860</v>
      </c>
      <c r="F14123" s="58"/>
      <c r="G14123" s="126">
        <f t="shared" si="226"/>
        <v>-7860</v>
      </c>
      <c r="H14123" s="705" t="s">
        <v>8973</v>
      </c>
    </row>
    <row r="14124" spans="1:8" ht="15" x14ac:dyDescent="0.2">
      <c r="A14124" s="734">
        <v>44950</v>
      </c>
      <c r="B14124" s="41" t="s">
        <v>8876</v>
      </c>
      <c r="C14124" s="41" t="s">
        <v>3145</v>
      </c>
      <c r="D14124" s="108" t="s">
        <v>9224</v>
      </c>
      <c r="E14124" s="58">
        <v>5700</v>
      </c>
      <c r="F14124" s="58"/>
      <c r="G14124" s="126">
        <f t="shared" si="226"/>
        <v>-5700</v>
      </c>
      <c r="H14124" s="705" t="s">
        <v>8973</v>
      </c>
    </row>
    <row r="14125" spans="1:8" ht="15" x14ac:dyDescent="0.2">
      <c r="A14125" s="734">
        <v>44951</v>
      </c>
      <c r="B14125" s="41" t="s">
        <v>8559</v>
      </c>
      <c r="C14125" s="41" t="s">
        <v>3145</v>
      </c>
      <c r="D14125" s="108" t="s">
        <v>4878</v>
      </c>
      <c r="E14125" s="58">
        <v>33100</v>
      </c>
      <c r="F14125" s="58"/>
      <c r="G14125" s="126">
        <f t="shared" si="226"/>
        <v>-33100</v>
      </c>
      <c r="H14125" s="705" t="s">
        <v>8973</v>
      </c>
    </row>
    <row r="14126" spans="1:8" ht="15" x14ac:dyDescent="0.2">
      <c r="A14126" s="734">
        <v>44951</v>
      </c>
      <c r="B14126" s="41" t="s">
        <v>7555</v>
      </c>
      <c r="C14126" s="629" t="s">
        <v>3145</v>
      </c>
      <c r="D14126" s="895" t="s">
        <v>4878</v>
      </c>
      <c r="E14126" s="630">
        <v>5480</v>
      </c>
      <c r="F14126" s="58"/>
      <c r="G14126" s="126">
        <f t="shared" si="226"/>
        <v>-5480</v>
      </c>
      <c r="H14126" s="705" t="s">
        <v>8973</v>
      </c>
    </row>
    <row r="14127" spans="1:8" ht="15" x14ac:dyDescent="0.2">
      <c r="A14127" s="734">
        <v>44951</v>
      </c>
      <c r="B14127" s="41" t="s">
        <v>8559</v>
      </c>
      <c r="C14127" s="629" t="s">
        <v>3145</v>
      </c>
      <c r="D14127" s="895" t="s">
        <v>4878</v>
      </c>
      <c r="E14127" s="630">
        <v>30880</v>
      </c>
      <c r="F14127" s="58"/>
      <c r="G14127" s="126">
        <f t="shared" si="226"/>
        <v>-30880</v>
      </c>
      <c r="H14127" s="705" t="s">
        <v>8973</v>
      </c>
    </row>
    <row r="14128" spans="1:8" ht="15" x14ac:dyDescent="0.2">
      <c r="A14128" s="734">
        <v>44952</v>
      </c>
      <c r="B14128" s="41" t="s">
        <v>8657</v>
      </c>
      <c r="C14128" s="41" t="s">
        <v>8087</v>
      </c>
      <c r="D14128" s="108" t="s">
        <v>9225</v>
      </c>
      <c r="E14128" s="58">
        <v>4800</v>
      </c>
      <c r="F14128" s="58"/>
      <c r="G14128" s="126">
        <f t="shared" si="226"/>
        <v>-4800</v>
      </c>
      <c r="H14128" s="705" t="s">
        <v>8973</v>
      </c>
    </row>
    <row r="14129" spans="1:8" ht="15" x14ac:dyDescent="0.2">
      <c r="A14129" s="734">
        <v>44952</v>
      </c>
      <c r="B14129" s="41" t="s">
        <v>2933</v>
      </c>
      <c r="C14129" s="41" t="s">
        <v>3145</v>
      </c>
      <c r="D14129" s="108" t="s">
        <v>6486</v>
      </c>
      <c r="E14129" s="58">
        <v>2460</v>
      </c>
      <c r="F14129" s="58"/>
      <c r="G14129" s="126">
        <f t="shared" si="226"/>
        <v>-2460</v>
      </c>
      <c r="H14129" s="705" t="s">
        <v>8973</v>
      </c>
    </row>
    <row r="14130" spans="1:8" ht="15" x14ac:dyDescent="0.2">
      <c r="A14130" s="734">
        <v>44952</v>
      </c>
      <c r="B14130" s="41" t="s">
        <v>8339</v>
      </c>
      <c r="C14130" s="41" t="s">
        <v>3145</v>
      </c>
      <c r="D14130" s="108" t="s">
        <v>9226</v>
      </c>
      <c r="E14130" s="58">
        <v>800</v>
      </c>
      <c r="F14130" s="58"/>
      <c r="G14130" s="126">
        <f t="shared" si="226"/>
        <v>-800</v>
      </c>
      <c r="H14130" s="705" t="s">
        <v>8973</v>
      </c>
    </row>
    <row r="14131" spans="1:8" ht="15" x14ac:dyDescent="0.2">
      <c r="A14131" s="734">
        <v>44952</v>
      </c>
      <c r="B14131" s="41" t="s">
        <v>8339</v>
      </c>
      <c r="C14131" s="41" t="s">
        <v>392</v>
      </c>
      <c r="D14131" s="108" t="s">
        <v>9230</v>
      </c>
      <c r="E14131" s="58">
        <v>7000</v>
      </c>
      <c r="F14131" s="58"/>
      <c r="G14131" s="126">
        <f t="shared" ref="G14131:G14194" si="227">F14131-E14131</f>
        <v>-7000</v>
      </c>
      <c r="H14131" s="705" t="s">
        <v>8973</v>
      </c>
    </row>
    <row r="14132" spans="1:8" ht="15" x14ac:dyDescent="0.2">
      <c r="A14132" s="734">
        <v>44952</v>
      </c>
      <c r="B14132" s="41" t="s">
        <v>14</v>
      </c>
      <c r="C14132" s="41" t="s">
        <v>5341</v>
      </c>
      <c r="D14132" s="108" t="s">
        <v>9231</v>
      </c>
      <c r="E14132" s="58">
        <v>10000</v>
      </c>
      <c r="F14132" s="58"/>
      <c r="G14132" s="126">
        <f t="shared" si="227"/>
        <v>-10000</v>
      </c>
      <c r="H14132" s="705" t="s">
        <v>8973</v>
      </c>
    </row>
    <row r="14133" spans="1:8" ht="15" x14ac:dyDescent="0.2">
      <c r="A14133" s="734">
        <v>44952</v>
      </c>
      <c r="B14133" s="41" t="s">
        <v>2933</v>
      </c>
      <c r="C14133" s="41" t="s">
        <v>4876</v>
      </c>
      <c r="D14133" s="108" t="s">
        <v>9232</v>
      </c>
      <c r="E14133" s="58">
        <v>5000</v>
      </c>
      <c r="F14133" s="58"/>
      <c r="G14133" s="126">
        <f t="shared" si="227"/>
        <v>-5000</v>
      </c>
      <c r="H14133" s="705" t="s">
        <v>8973</v>
      </c>
    </row>
    <row r="14134" spans="1:8" ht="15" x14ac:dyDescent="0.2">
      <c r="A14134" s="734">
        <v>44952</v>
      </c>
      <c r="B14134" s="41" t="s">
        <v>8559</v>
      </c>
      <c r="C14134" s="41" t="s">
        <v>286</v>
      </c>
      <c r="D14134" s="108" t="s">
        <v>6386</v>
      </c>
      <c r="E14134" s="58">
        <v>700</v>
      </c>
      <c r="F14134" s="58"/>
      <c r="G14134" s="126">
        <f t="shared" si="227"/>
        <v>-700</v>
      </c>
      <c r="H14134" s="705" t="s">
        <v>8973</v>
      </c>
    </row>
    <row r="14135" spans="1:8" ht="15" x14ac:dyDescent="0.2">
      <c r="A14135" s="734">
        <v>44952</v>
      </c>
      <c r="B14135" s="41" t="s">
        <v>16</v>
      </c>
      <c r="C14135" s="41" t="s">
        <v>392</v>
      </c>
      <c r="D14135" s="108" t="s">
        <v>9233</v>
      </c>
      <c r="E14135" s="58">
        <v>1000</v>
      </c>
      <c r="F14135" s="58"/>
      <c r="G14135" s="126">
        <f t="shared" si="227"/>
        <v>-1000</v>
      </c>
      <c r="H14135" s="705" t="s">
        <v>8973</v>
      </c>
    </row>
    <row r="14136" spans="1:8" ht="15" x14ac:dyDescent="0.2">
      <c r="A14136" s="734">
        <v>44952</v>
      </c>
      <c r="B14136" s="41" t="s">
        <v>8559</v>
      </c>
      <c r="C14136" s="41" t="s">
        <v>392</v>
      </c>
      <c r="D14136" s="108" t="s">
        <v>9244</v>
      </c>
      <c r="E14136" s="58">
        <v>5000</v>
      </c>
      <c r="F14136" s="58"/>
      <c r="G14136" s="126">
        <f t="shared" si="227"/>
        <v>-5000</v>
      </c>
      <c r="H14136" s="705" t="s">
        <v>8973</v>
      </c>
    </row>
    <row r="14137" spans="1:8" ht="15" x14ac:dyDescent="0.2">
      <c r="A14137" s="734">
        <v>44952</v>
      </c>
      <c r="B14137" s="41" t="s">
        <v>25</v>
      </c>
      <c r="C14137" s="41" t="s">
        <v>4065</v>
      </c>
      <c r="D14137" s="108" t="s">
        <v>9234</v>
      </c>
      <c r="E14137" s="58">
        <v>2250</v>
      </c>
      <c r="F14137" s="58"/>
      <c r="G14137" s="126">
        <f t="shared" si="227"/>
        <v>-2250</v>
      </c>
      <c r="H14137" s="705" t="s">
        <v>8973</v>
      </c>
    </row>
    <row r="14138" spans="1:8" ht="15" x14ac:dyDescent="0.2">
      <c r="A14138" s="734">
        <v>44952</v>
      </c>
      <c r="B14138" s="41" t="s">
        <v>8043</v>
      </c>
      <c r="C14138" s="41" t="s">
        <v>392</v>
      </c>
      <c r="D14138" s="108" t="s">
        <v>9026</v>
      </c>
      <c r="E14138" s="58">
        <v>500</v>
      </c>
      <c r="F14138" s="58"/>
      <c r="G14138" s="126">
        <f t="shared" si="227"/>
        <v>-500</v>
      </c>
      <c r="H14138" s="705" t="s">
        <v>8973</v>
      </c>
    </row>
    <row r="14139" spans="1:8" ht="15" x14ac:dyDescent="0.2">
      <c r="A14139" s="734">
        <v>44952</v>
      </c>
      <c r="B14139" s="41" t="s">
        <v>8876</v>
      </c>
      <c r="C14139" s="41" t="s">
        <v>5741</v>
      </c>
      <c r="D14139" s="108" t="s">
        <v>9235</v>
      </c>
      <c r="E14139" s="58">
        <v>5000</v>
      </c>
      <c r="F14139" s="58"/>
      <c r="G14139" s="126">
        <f t="shared" si="227"/>
        <v>-5000</v>
      </c>
      <c r="H14139" s="705" t="s">
        <v>8973</v>
      </c>
    </row>
    <row r="14140" spans="1:8" ht="15" x14ac:dyDescent="0.2">
      <c r="A14140" s="734">
        <v>44952</v>
      </c>
      <c r="B14140" s="41" t="s">
        <v>8657</v>
      </c>
      <c r="C14140" s="41" t="s">
        <v>5741</v>
      </c>
      <c r="D14140" s="108" t="s">
        <v>9236</v>
      </c>
      <c r="E14140" s="58">
        <v>1800</v>
      </c>
      <c r="F14140" s="58"/>
      <c r="G14140" s="126">
        <f t="shared" si="227"/>
        <v>-1800</v>
      </c>
      <c r="H14140" s="705" t="s">
        <v>8973</v>
      </c>
    </row>
    <row r="14141" spans="1:8" ht="15" x14ac:dyDescent="0.2">
      <c r="A14141" s="734">
        <v>44952</v>
      </c>
      <c r="B14141" s="41" t="s">
        <v>16</v>
      </c>
      <c r="C14141" s="41" t="s">
        <v>3843</v>
      </c>
      <c r="D14141" s="108" t="s">
        <v>8712</v>
      </c>
      <c r="E14141" s="58">
        <v>2620</v>
      </c>
      <c r="F14141" s="58"/>
      <c r="G14141" s="126">
        <f t="shared" si="227"/>
        <v>-2620</v>
      </c>
      <c r="H14141" s="705" t="s">
        <v>8973</v>
      </c>
    </row>
    <row r="14142" spans="1:8" ht="15" x14ac:dyDescent="0.2">
      <c r="A14142" s="734">
        <v>44952</v>
      </c>
      <c r="B14142" s="41" t="s">
        <v>16</v>
      </c>
      <c r="C14142" s="41" t="s">
        <v>3843</v>
      </c>
      <c r="D14142" s="108" t="s">
        <v>8712</v>
      </c>
      <c r="E14142" s="58">
        <v>3900</v>
      </c>
      <c r="F14142" s="58"/>
      <c r="G14142" s="126">
        <f t="shared" si="227"/>
        <v>-3900</v>
      </c>
      <c r="H14142" s="705" t="s">
        <v>8973</v>
      </c>
    </row>
    <row r="14143" spans="1:8" ht="15" x14ac:dyDescent="0.2">
      <c r="A14143" s="734">
        <v>44952</v>
      </c>
      <c r="B14143" s="41" t="s">
        <v>8559</v>
      </c>
      <c r="C14143" s="41" t="s">
        <v>5741</v>
      </c>
      <c r="D14143" s="108" t="s">
        <v>9237</v>
      </c>
      <c r="E14143" s="58">
        <v>2000</v>
      </c>
      <c r="F14143" s="58"/>
      <c r="G14143" s="126">
        <f t="shared" si="227"/>
        <v>-2000</v>
      </c>
      <c r="H14143" s="705" t="s">
        <v>8973</v>
      </c>
    </row>
    <row r="14144" spans="1:8" ht="15" x14ac:dyDescent="0.2">
      <c r="A14144" s="734">
        <v>44952</v>
      </c>
      <c r="B14144" s="41" t="s">
        <v>8339</v>
      </c>
      <c r="C14144" s="41" t="s">
        <v>392</v>
      </c>
      <c r="D14144" s="108" t="s">
        <v>9026</v>
      </c>
      <c r="E14144" s="58">
        <v>2000</v>
      </c>
      <c r="F14144" s="58"/>
      <c r="G14144" s="126">
        <f t="shared" si="227"/>
        <v>-2000</v>
      </c>
      <c r="H14144" s="705" t="s">
        <v>8973</v>
      </c>
    </row>
    <row r="14145" spans="1:8" ht="15" customHeight="1" x14ac:dyDescent="0.2">
      <c r="A14145" s="734">
        <v>44952</v>
      </c>
      <c r="B14145" s="41" t="s">
        <v>16</v>
      </c>
      <c r="C14145" s="41" t="s">
        <v>3843</v>
      </c>
      <c r="D14145" s="108" t="s">
        <v>8712</v>
      </c>
      <c r="E14145" s="58">
        <v>4930</v>
      </c>
      <c r="F14145" s="58"/>
      <c r="G14145" s="126">
        <f t="shared" si="227"/>
        <v>-4930</v>
      </c>
      <c r="H14145" s="705" t="s">
        <v>8973</v>
      </c>
    </row>
    <row r="14146" spans="1:8" ht="15" x14ac:dyDescent="0.2">
      <c r="A14146" s="734">
        <v>44952</v>
      </c>
      <c r="B14146" s="41" t="s">
        <v>8339</v>
      </c>
      <c r="C14146" s="41" t="s">
        <v>286</v>
      </c>
      <c r="D14146" s="108" t="s">
        <v>8163</v>
      </c>
      <c r="E14146" s="58">
        <v>500</v>
      </c>
      <c r="F14146" s="58"/>
      <c r="G14146" s="126">
        <f t="shared" si="227"/>
        <v>-500</v>
      </c>
      <c r="H14146" s="705" t="s">
        <v>8973</v>
      </c>
    </row>
    <row r="14147" spans="1:8" ht="15" x14ac:dyDescent="0.2">
      <c r="A14147" s="734">
        <v>44952</v>
      </c>
      <c r="B14147" s="41" t="s">
        <v>8876</v>
      </c>
      <c r="C14147" s="41" t="s">
        <v>286</v>
      </c>
      <c r="D14147" s="108" t="s">
        <v>8448</v>
      </c>
      <c r="E14147" s="58">
        <v>300</v>
      </c>
      <c r="F14147" s="58"/>
      <c r="G14147" s="126">
        <f t="shared" si="227"/>
        <v>-300</v>
      </c>
      <c r="H14147" s="705" t="s">
        <v>8973</v>
      </c>
    </row>
    <row r="14148" spans="1:8" ht="15" x14ac:dyDescent="0.2">
      <c r="A14148" s="734">
        <v>44952</v>
      </c>
      <c r="B14148" s="41" t="s">
        <v>8876</v>
      </c>
      <c r="C14148" s="41" t="s">
        <v>5741</v>
      </c>
      <c r="D14148" s="108" t="s">
        <v>9238</v>
      </c>
      <c r="E14148" s="58">
        <v>1500</v>
      </c>
      <c r="F14148" s="58"/>
      <c r="G14148" s="126">
        <f t="shared" si="227"/>
        <v>-1500</v>
      </c>
      <c r="H14148" s="705" t="s">
        <v>8973</v>
      </c>
    </row>
    <row r="14149" spans="1:8" ht="15" x14ac:dyDescent="0.2">
      <c r="A14149" s="734">
        <v>44952</v>
      </c>
      <c r="B14149" s="41" t="s">
        <v>8657</v>
      </c>
      <c r="C14149" s="41" t="s">
        <v>5741</v>
      </c>
      <c r="D14149" s="108" t="s">
        <v>9239</v>
      </c>
      <c r="E14149" s="58">
        <v>1000</v>
      </c>
      <c r="F14149" s="58"/>
      <c r="G14149" s="126">
        <f t="shared" si="227"/>
        <v>-1000</v>
      </c>
      <c r="H14149" s="705" t="s">
        <v>8973</v>
      </c>
    </row>
    <row r="14150" spans="1:8" ht="15" x14ac:dyDescent="0.2">
      <c r="A14150" s="734">
        <v>44952</v>
      </c>
      <c r="B14150" s="41" t="s">
        <v>16</v>
      </c>
      <c r="C14150" s="41" t="s">
        <v>3843</v>
      </c>
      <c r="D14150" s="108" t="s">
        <v>8712</v>
      </c>
      <c r="E14150" s="58">
        <v>7855</v>
      </c>
      <c r="F14150" s="58"/>
      <c r="G14150" s="126">
        <f t="shared" si="227"/>
        <v>-7855</v>
      </c>
      <c r="H14150" s="705" t="s">
        <v>8973</v>
      </c>
    </row>
    <row r="14151" spans="1:8" ht="15" x14ac:dyDescent="0.2">
      <c r="A14151" s="734">
        <v>44952</v>
      </c>
      <c r="B14151" s="41" t="s">
        <v>25</v>
      </c>
      <c r="C14151" s="41" t="s">
        <v>8150</v>
      </c>
      <c r="D14151" s="108" t="s">
        <v>8714</v>
      </c>
      <c r="E14151" s="58">
        <v>23682</v>
      </c>
      <c r="F14151" s="58"/>
      <c r="G14151" s="126">
        <f t="shared" si="227"/>
        <v>-23682</v>
      </c>
      <c r="H14151" s="705" t="s">
        <v>8973</v>
      </c>
    </row>
    <row r="14152" spans="1:8" ht="15" x14ac:dyDescent="0.2">
      <c r="A14152" s="734">
        <v>44952</v>
      </c>
      <c r="B14152" s="41" t="s">
        <v>16</v>
      </c>
      <c r="C14152" s="41" t="s">
        <v>8150</v>
      </c>
      <c r="D14152" s="108" t="s">
        <v>8714</v>
      </c>
      <c r="E14152" s="58">
        <v>10398</v>
      </c>
      <c r="F14152" s="58"/>
      <c r="G14152" s="126">
        <f t="shared" si="227"/>
        <v>-10398</v>
      </c>
      <c r="H14152" s="705" t="s">
        <v>8973</v>
      </c>
    </row>
    <row r="14153" spans="1:8" ht="15" x14ac:dyDescent="0.2">
      <c r="A14153" s="734">
        <v>44952</v>
      </c>
      <c r="B14153" s="41" t="s">
        <v>8339</v>
      </c>
      <c r="C14153" s="41" t="s">
        <v>392</v>
      </c>
      <c r="D14153" s="108" t="s">
        <v>9226</v>
      </c>
      <c r="E14153" s="58">
        <v>800</v>
      </c>
      <c r="F14153" s="58"/>
      <c r="G14153" s="126">
        <f t="shared" si="227"/>
        <v>-800</v>
      </c>
      <c r="H14153" s="705" t="s">
        <v>8973</v>
      </c>
    </row>
    <row r="14154" spans="1:8" ht="15" x14ac:dyDescent="0.2">
      <c r="A14154" s="734">
        <v>44952</v>
      </c>
      <c r="B14154" s="41" t="s">
        <v>16</v>
      </c>
      <c r="C14154" s="41" t="s">
        <v>103</v>
      </c>
      <c r="D14154" s="108" t="s">
        <v>9240</v>
      </c>
      <c r="E14154" s="58">
        <v>6000</v>
      </c>
      <c r="F14154" s="58"/>
      <c r="G14154" s="126">
        <f t="shared" si="227"/>
        <v>-6000</v>
      </c>
      <c r="H14154" s="705" t="s">
        <v>8973</v>
      </c>
    </row>
    <row r="14155" spans="1:8" ht="15" x14ac:dyDescent="0.2">
      <c r="A14155" s="734">
        <v>44952</v>
      </c>
      <c r="B14155" s="41" t="s">
        <v>8657</v>
      </c>
      <c r="C14155" s="41" t="s">
        <v>5741</v>
      </c>
      <c r="D14155" s="108" t="s">
        <v>8980</v>
      </c>
      <c r="E14155" s="58">
        <v>1500</v>
      </c>
      <c r="F14155" s="58"/>
      <c r="G14155" s="126">
        <f t="shared" si="227"/>
        <v>-1500</v>
      </c>
      <c r="H14155" s="705" t="s">
        <v>8973</v>
      </c>
    </row>
    <row r="14156" spans="1:8" ht="15" x14ac:dyDescent="0.2">
      <c r="A14156" s="734">
        <v>44952</v>
      </c>
      <c r="B14156" s="41" t="s">
        <v>16</v>
      </c>
      <c r="C14156" s="41" t="s">
        <v>392</v>
      </c>
      <c r="D14156" s="108" t="s">
        <v>9241</v>
      </c>
      <c r="E14156" s="58">
        <v>300</v>
      </c>
      <c r="F14156" s="58"/>
      <c r="G14156" s="126">
        <f t="shared" si="227"/>
        <v>-300</v>
      </c>
      <c r="H14156" s="705" t="s">
        <v>8973</v>
      </c>
    </row>
    <row r="14157" spans="1:8" ht="15" x14ac:dyDescent="0.2">
      <c r="A14157" s="734">
        <v>44952</v>
      </c>
      <c r="B14157" s="41" t="s">
        <v>16</v>
      </c>
      <c r="C14157" s="41" t="s">
        <v>3843</v>
      </c>
      <c r="D14157" s="108" t="s">
        <v>8712</v>
      </c>
      <c r="E14157" s="58">
        <v>6125</v>
      </c>
      <c r="F14157" s="58"/>
      <c r="G14157" s="126">
        <f t="shared" si="227"/>
        <v>-6125</v>
      </c>
      <c r="H14157" s="705" t="s">
        <v>8973</v>
      </c>
    </row>
    <row r="14158" spans="1:8" ht="15" x14ac:dyDescent="0.2">
      <c r="A14158" s="734">
        <v>44952</v>
      </c>
      <c r="B14158" s="41" t="s">
        <v>16</v>
      </c>
      <c r="C14158" s="41" t="s">
        <v>392</v>
      </c>
      <c r="D14158" s="108" t="s">
        <v>9250</v>
      </c>
      <c r="E14158" s="58">
        <v>420</v>
      </c>
      <c r="F14158" s="58"/>
      <c r="G14158" s="126">
        <f t="shared" si="227"/>
        <v>-420</v>
      </c>
      <c r="H14158" s="705" t="s">
        <v>8973</v>
      </c>
    </row>
    <row r="14159" spans="1:8" ht="15" x14ac:dyDescent="0.2">
      <c r="A14159" s="734">
        <v>44953</v>
      </c>
      <c r="B14159" s="41" t="s">
        <v>16</v>
      </c>
      <c r="C14159" s="41" t="s">
        <v>392</v>
      </c>
      <c r="D14159" s="108" t="s">
        <v>9251</v>
      </c>
      <c r="E14159" s="58">
        <v>9000</v>
      </c>
      <c r="F14159" s="58"/>
      <c r="G14159" s="126">
        <f t="shared" si="227"/>
        <v>-9000</v>
      </c>
      <c r="H14159" s="705" t="s">
        <v>8973</v>
      </c>
    </row>
    <row r="14160" spans="1:8" ht="15" x14ac:dyDescent="0.2">
      <c r="A14160" s="734">
        <v>44953</v>
      </c>
      <c r="B14160" s="41" t="s">
        <v>16</v>
      </c>
      <c r="C14160" s="41" t="s">
        <v>392</v>
      </c>
      <c r="D14160" s="108" t="s">
        <v>9250</v>
      </c>
      <c r="E14160" s="58">
        <v>2520</v>
      </c>
      <c r="F14160" s="58"/>
      <c r="G14160" s="126">
        <f t="shared" si="227"/>
        <v>-2520</v>
      </c>
      <c r="H14160" s="705" t="s">
        <v>8973</v>
      </c>
    </row>
    <row r="14161" spans="1:8" ht="15" x14ac:dyDescent="0.2">
      <c r="A14161" s="734">
        <v>44953</v>
      </c>
      <c r="B14161" s="41" t="s">
        <v>25</v>
      </c>
      <c r="C14161" s="41" t="s">
        <v>392</v>
      </c>
      <c r="D14161" s="108" t="s">
        <v>9252</v>
      </c>
      <c r="E14161" s="58">
        <v>2300</v>
      </c>
      <c r="F14161" s="58"/>
      <c r="G14161" s="126">
        <f t="shared" si="227"/>
        <v>-2300</v>
      </c>
      <c r="H14161" s="705" t="s">
        <v>8973</v>
      </c>
    </row>
    <row r="14162" spans="1:8" ht="15" x14ac:dyDescent="0.2">
      <c r="A14162" s="734">
        <v>44953</v>
      </c>
      <c r="B14162" s="41" t="s">
        <v>8657</v>
      </c>
      <c r="C14162" s="41" t="s">
        <v>3145</v>
      </c>
      <c r="D14162" s="108" t="s">
        <v>9253</v>
      </c>
      <c r="E14162" s="58">
        <v>31000</v>
      </c>
      <c r="F14162" s="58"/>
      <c r="G14162" s="126">
        <f t="shared" si="227"/>
        <v>-31000</v>
      </c>
      <c r="H14162" s="705" t="s">
        <v>8973</v>
      </c>
    </row>
    <row r="14163" spans="1:8" ht="15" x14ac:dyDescent="0.2">
      <c r="A14163" s="734">
        <v>44953</v>
      </c>
      <c r="B14163" s="41" t="s">
        <v>8657</v>
      </c>
      <c r="C14163" s="41" t="s">
        <v>3145</v>
      </c>
      <c r="D14163" s="108" t="s">
        <v>9254</v>
      </c>
      <c r="E14163" s="58">
        <v>68000</v>
      </c>
      <c r="F14163" s="58"/>
      <c r="G14163" s="126">
        <f t="shared" si="227"/>
        <v>-68000</v>
      </c>
      <c r="H14163" s="705" t="s">
        <v>8973</v>
      </c>
    </row>
    <row r="14164" spans="1:8" s="682" customFormat="1" ht="36" customHeight="1" x14ac:dyDescent="0.25">
      <c r="A14164" s="734">
        <v>44957</v>
      </c>
      <c r="B14164" s="63" t="s">
        <v>7921</v>
      </c>
      <c r="C14164" s="63" t="s">
        <v>8243</v>
      </c>
      <c r="D14164" s="183" t="s">
        <v>9255</v>
      </c>
      <c r="E14164" s="126">
        <v>265000</v>
      </c>
      <c r="F14164" s="126"/>
      <c r="G14164" s="126">
        <f t="shared" si="227"/>
        <v>-265000</v>
      </c>
      <c r="H14164" s="705" t="s">
        <v>8973</v>
      </c>
    </row>
    <row r="14165" spans="1:8" ht="15" x14ac:dyDescent="0.2">
      <c r="A14165" s="734">
        <v>44957</v>
      </c>
      <c r="B14165" s="41" t="s">
        <v>16</v>
      </c>
      <c r="C14165" s="41" t="s">
        <v>392</v>
      </c>
      <c r="D14165" s="108" t="s">
        <v>9256</v>
      </c>
      <c r="E14165" s="58">
        <v>1500</v>
      </c>
      <c r="F14165" s="58"/>
      <c r="G14165" s="126">
        <f t="shared" si="227"/>
        <v>-1500</v>
      </c>
      <c r="H14165" s="705" t="s">
        <v>8973</v>
      </c>
    </row>
    <row r="14166" spans="1:8" ht="15" x14ac:dyDescent="0.2">
      <c r="A14166" s="734">
        <v>44957</v>
      </c>
      <c r="B14166" s="41" t="s">
        <v>1400</v>
      </c>
      <c r="C14166" s="41" t="s">
        <v>6706</v>
      </c>
      <c r="D14166" s="108" t="s">
        <v>9247</v>
      </c>
      <c r="E14166" s="58">
        <v>887205</v>
      </c>
      <c r="F14166" s="58"/>
      <c r="G14166" s="126">
        <f t="shared" si="227"/>
        <v>-887205</v>
      </c>
      <c r="H14166" s="705" t="s">
        <v>8973</v>
      </c>
    </row>
    <row r="14167" spans="1:8" ht="15" x14ac:dyDescent="0.2">
      <c r="A14167" s="734">
        <v>44957</v>
      </c>
      <c r="B14167" s="41" t="s">
        <v>8876</v>
      </c>
      <c r="C14167" s="41" t="s">
        <v>3145</v>
      </c>
      <c r="D14167" s="108" t="s">
        <v>9224</v>
      </c>
      <c r="E14167" s="58">
        <v>4290</v>
      </c>
      <c r="F14167" s="58"/>
      <c r="G14167" s="126">
        <f t="shared" si="227"/>
        <v>-4290</v>
      </c>
      <c r="H14167" s="705" t="s">
        <v>8973</v>
      </c>
    </row>
    <row r="14168" spans="1:8" ht="15" x14ac:dyDescent="0.2">
      <c r="A14168" s="734">
        <v>44957</v>
      </c>
      <c r="B14168" s="41" t="s">
        <v>8876</v>
      </c>
      <c r="C14168" s="41" t="s">
        <v>3145</v>
      </c>
      <c r="D14168" s="108" t="s">
        <v>9257</v>
      </c>
      <c r="E14168" s="58">
        <v>1900</v>
      </c>
      <c r="F14168" s="58"/>
      <c r="G14168" s="126">
        <f t="shared" si="227"/>
        <v>-1900</v>
      </c>
      <c r="H14168" s="705" t="s">
        <v>8973</v>
      </c>
    </row>
    <row r="14169" spans="1:8" ht="15" x14ac:dyDescent="0.2">
      <c r="A14169" s="734">
        <v>44957</v>
      </c>
      <c r="B14169" s="41" t="s">
        <v>6505</v>
      </c>
      <c r="C14169" s="41" t="s">
        <v>3145</v>
      </c>
      <c r="D14169" s="108" t="s">
        <v>9258</v>
      </c>
      <c r="E14169" s="58">
        <v>72000</v>
      </c>
      <c r="F14169" s="58"/>
      <c r="G14169" s="126">
        <f t="shared" si="227"/>
        <v>-72000</v>
      </c>
      <c r="H14169" s="705" t="s">
        <v>8973</v>
      </c>
    </row>
    <row r="14170" spans="1:8" ht="15" x14ac:dyDescent="0.2">
      <c r="A14170" s="734">
        <v>44957</v>
      </c>
      <c r="B14170" s="41" t="s">
        <v>8559</v>
      </c>
      <c r="C14170" s="41" t="s">
        <v>8890</v>
      </c>
      <c r="D14170" s="108" t="s">
        <v>9259</v>
      </c>
      <c r="E14170" s="58">
        <v>33000</v>
      </c>
      <c r="F14170" s="58"/>
      <c r="G14170" s="126">
        <f t="shared" si="227"/>
        <v>-33000</v>
      </c>
      <c r="H14170" s="705" t="s">
        <v>8973</v>
      </c>
    </row>
    <row r="14171" spans="1:8" ht="15" x14ac:dyDescent="0.2">
      <c r="A14171" s="733">
        <v>44932</v>
      </c>
      <c r="B14171" s="174" t="s">
        <v>8339</v>
      </c>
      <c r="C14171" s="174" t="s">
        <v>6706</v>
      </c>
      <c r="D14171" s="228" t="s">
        <v>8988</v>
      </c>
      <c r="E14171" s="236">
        <v>300000</v>
      </c>
      <c r="F14171" s="236"/>
      <c r="G14171" s="236">
        <f t="shared" si="227"/>
        <v>-300000</v>
      </c>
      <c r="H14171" s="709" t="s">
        <v>8973</v>
      </c>
    </row>
    <row r="14172" spans="1:8" ht="15" x14ac:dyDescent="0.2">
      <c r="A14172" s="733">
        <v>44932</v>
      </c>
      <c r="B14172" s="174" t="s">
        <v>8339</v>
      </c>
      <c r="C14172" s="174" t="s">
        <v>6706</v>
      </c>
      <c r="D14172" s="228" t="s">
        <v>8987</v>
      </c>
      <c r="E14172" s="236">
        <v>300000</v>
      </c>
      <c r="F14172" s="236"/>
      <c r="G14172" s="236">
        <f t="shared" si="227"/>
        <v>-300000</v>
      </c>
      <c r="H14172" s="709" t="s">
        <v>8973</v>
      </c>
    </row>
    <row r="14173" spans="1:8" ht="15" x14ac:dyDescent="0.2">
      <c r="A14173" s="733">
        <v>44932</v>
      </c>
      <c r="B14173" s="174" t="s">
        <v>8559</v>
      </c>
      <c r="C14173" s="174" t="s">
        <v>8900</v>
      </c>
      <c r="D14173" s="228" t="s">
        <v>8989</v>
      </c>
      <c r="E14173" s="236">
        <v>224000</v>
      </c>
      <c r="F14173" s="236"/>
      <c r="G14173" s="236">
        <f t="shared" si="227"/>
        <v>-224000</v>
      </c>
      <c r="H14173" s="709" t="s">
        <v>8973</v>
      </c>
    </row>
    <row r="14174" spans="1:8" ht="15" x14ac:dyDescent="0.2">
      <c r="A14174" s="733">
        <v>44933</v>
      </c>
      <c r="B14174" s="174" t="s">
        <v>8043</v>
      </c>
      <c r="C14174" s="174" t="s">
        <v>8030</v>
      </c>
      <c r="D14174" s="228" t="s">
        <v>8989</v>
      </c>
      <c r="E14174" s="236">
        <v>58000</v>
      </c>
      <c r="F14174" s="236"/>
      <c r="G14174" s="236">
        <f t="shared" si="227"/>
        <v>-58000</v>
      </c>
      <c r="H14174" s="709" t="s">
        <v>8973</v>
      </c>
    </row>
    <row r="14175" spans="1:8" ht="15" x14ac:dyDescent="0.2">
      <c r="A14175" s="733">
        <v>44933</v>
      </c>
      <c r="B14175" s="174" t="s">
        <v>7921</v>
      </c>
      <c r="C14175" s="174" t="s">
        <v>8030</v>
      </c>
      <c r="D14175" s="228" t="s">
        <v>8989</v>
      </c>
      <c r="E14175" s="236">
        <v>42000</v>
      </c>
      <c r="F14175" s="236"/>
      <c r="G14175" s="236">
        <f t="shared" si="227"/>
        <v>-42000</v>
      </c>
      <c r="H14175" s="709" t="s">
        <v>8973</v>
      </c>
    </row>
    <row r="14176" spans="1:8" ht="15" x14ac:dyDescent="0.2">
      <c r="A14176" s="733">
        <v>44937</v>
      </c>
      <c r="B14176" s="174" t="s">
        <v>8657</v>
      </c>
      <c r="C14176" s="174" t="s">
        <v>7477</v>
      </c>
      <c r="D14176" s="228" t="s">
        <v>9013</v>
      </c>
      <c r="E14176" s="236">
        <v>30000</v>
      </c>
      <c r="F14176" s="236"/>
      <c r="G14176" s="236">
        <f t="shared" si="227"/>
        <v>-30000</v>
      </c>
      <c r="H14176" s="709" t="s">
        <v>8973</v>
      </c>
    </row>
    <row r="14177" spans="1:8" ht="15" x14ac:dyDescent="0.2">
      <c r="A14177" s="733">
        <v>44942</v>
      </c>
      <c r="B14177" s="174" t="s">
        <v>7921</v>
      </c>
      <c r="C14177" s="174" t="s">
        <v>8037</v>
      </c>
      <c r="D14177" s="228" t="s">
        <v>9033</v>
      </c>
      <c r="E14177" s="236">
        <v>100000</v>
      </c>
      <c r="F14177" s="236"/>
      <c r="G14177" s="236">
        <f t="shared" si="227"/>
        <v>-100000</v>
      </c>
      <c r="H14177" s="709" t="s">
        <v>8973</v>
      </c>
    </row>
    <row r="14178" spans="1:8" ht="24" x14ac:dyDescent="0.2">
      <c r="A14178" s="733">
        <v>44942</v>
      </c>
      <c r="B14178" s="174" t="s">
        <v>6505</v>
      </c>
      <c r="C14178" s="551" t="s">
        <v>166</v>
      </c>
      <c r="D14178" s="740" t="s">
        <v>9034</v>
      </c>
      <c r="E14178" s="552">
        <v>21400</v>
      </c>
      <c r="F14178" s="236"/>
      <c r="G14178" s="236">
        <f t="shared" si="227"/>
        <v>-21400</v>
      </c>
      <c r="H14178" s="709" t="s">
        <v>8973</v>
      </c>
    </row>
    <row r="14179" spans="1:8" ht="24" x14ac:dyDescent="0.2">
      <c r="A14179" s="733">
        <v>44942</v>
      </c>
      <c r="B14179" s="174" t="s">
        <v>7921</v>
      </c>
      <c r="C14179" s="551" t="s">
        <v>166</v>
      </c>
      <c r="D14179" s="740" t="s">
        <v>9034</v>
      </c>
      <c r="E14179" s="552">
        <v>25000</v>
      </c>
      <c r="F14179" s="236"/>
      <c r="G14179" s="236">
        <f t="shared" si="227"/>
        <v>-25000</v>
      </c>
      <c r="H14179" s="709" t="s">
        <v>8973</v>
      </c>
    </row>
    <row r="14180" spans="1:8" ht="24" x14ac:dyDescent="0.2">
      <c r="A14180" s="733">
        <v>44942</v>
      </c>
      <c r="B14180" s="174" t="s">
        <v>8339</v>
      </c>
      <c r="C14180" s="551" t="s">
        <v>166</v>
      </c>
      <c r="D14180" s="740" t="s">
        <v>9034</v>
      </c>
      <c r="E14180" s="552">
        <v>69000</v>
      </c>
      <c r="F14180" s="236"/>
      <c r="G14180" s="236">
        <f t="shared" si="227"/>
        <v>-69000</v>
      </c>
      <c r="H14180" s="709" t="s">
        <v>8973</v>
      </c>
    </row>
    <row r="14181" spans="1:8" ht="24" x14ac:dyDescent="0.2">
      <c r="A14181" s="733">
        <v>44942</v>
      </c>
      <c r="B14181" s="174" t="s">
        <v>8559</v>
      </c>
      <c r="C14181" s="551" t="s">
        <v>166</v>
      </c>
      <c r="D14181" s="740" t="s">
        <v>9034</v>
      </c>
      <c r="E14181" s="552">
        <v>15282</v>
      </c>
      <c r="F14181" s="236"/>
      <c r="G14181" s="236">
        <f t="shared" si="227"/>
        <v>-15282</v>
      </c>
      <c r="H14181" s="709" t="s">
        <v>8973</v>
      </c>
    </row>
    <row r="14182" spans="1:8" ht="24" x14ac:dyDescent="0.2">
      <c r="A14182" s="733">
        <v>44942</v>
      </c>
      <c r="B14182" s="174" t="s">
        <v>8532</v>
      </c>
      <c r="C14182" s="551" t="s">
        <v>166</v>
      </c>
      <c r="D14182" s="740" t="s">
        <v>9034</v>
      </c>
      <c r="E14182" s="552">
        <v>47891</v>
      </c>
      <c r="F14182" s="236"/>
      <c r="G14182" s="236">
        <f t="shared" si="227"/>
        <v>-47891</v>
      </c>
      <c r="H14182" s="709" t="s">
        <v>8973</v>
      </c>
    </row>
    <row r="14183" spans="1:8" ht="15" x14ac:dyDescent="0.2">
      <c r="A14183" s="733">
        <v>44942</v>
      </c>
      <c r="B14183" s="174" t="s">
        <v>8657</v>
      </c>
      <c r="C14183" s="174" t="s">
        <v>7223</v>
      </c>
      <c r="D14183" s="228" t="s">
        <v>9035</v>
      </c>
      <c r="E14183" s="236">
        <v>150000</v>
      </c>
      <c r="F14183" s="236"/>
      <c r="G14183" s="236">
        <f t="shared" si="227"/>
        <v>-150000</v>
      </c>
      <c r="H14183" s="709" t="s">
        <v>8973</v>
      </c>
    </row>
    <row r="14184" spans="1:8" ht="15" x14ac:dyDescent="0.2">
      <c r="A14184" s="733">
        <v>44943</v>
      </c>
      <c r="B14184" s="174" t="s">
        <v>8559</v>
      </c>
      <c r="C14184" s="174" t="s">
        <v>8900</v>
      </c>
      <c r="D14184" s="228" t="s">
        <v>9058</v>
      </c>
      <c r="E14184" s="236">
        <v>300000</v>
      </c>
      <c r="F14184" s="236"/>
      <c r="G14184" s="236">
        <f t="shared" si="227"/>
        <v>-300000</v>
      </c>
      <c r="H14184" s="709" t="s">
        <v>8973</v>
      </c>
    </row>
    <row r="14185" spans="1:8" ht="15" x14ac:dyDescent="0.2">
      <c r="A14185" s="733">
        <v>44943</v>
      </c>
      <c r="B14185" s="174" t="s">
        <v>7921</v>
      </c>
      <c r="C14185" s="174" t="s">
        <v>6624</v>
      </c>
      <c r="D14185" s="228" t="s">
        <v>9059</v>
      </c>
      <c r="E14185" s="236">
        <v>70000</v>
      </c>
      <c r="F14185" s="236"/>
      <c r="G14185" s="236">
        <f t="shared" si="227"/>
        <v>-70000</v>
      </c>
      <c r="H14185" s="709" t="s">
        <v>8973</v>
      </c>
    </row>
    <row r="14186" spans="1:8" ht="15" x14ac:dyDescent="0.2">
      <c r="A14186" s="733">
        <v>44945</v>
      </c>
      <c r="B14186" s="174" t="s">
        <v>8657</v>
      </c>
      <c r="C14186" s="174" t="s">
        <v>8251</v>
      </c>
      <c r="D14186" s="228" t="s">
        <v>9071</v>
      </c>
      <c r="E14186" s="236">
        <v>109000</v>
      </c>
      <c r="F14186" s="236"/>
      <c r="G14186" s="236">
        <f t="shared" si="227"/>
        <v>-109000</v>
      </c>
      <c r="H14186" s="709" t="s">
        <v>8973</v>
      </c>
    </row>
    <row r="14187" spans="1:8" ht="15" x14ac:dyDescent="0.2">
      <c r="A14187" s="733">
        <v>44945</v>
      </c>
      <c r="B14187" s="174" t="s">
        <v>8043</v>
      </c>
      <c r="C14187" s="174" t="s">
        <v>8030</v>
      </c>
      <c r="D14187" s="228" t="s">
        <v>9072</v>
      </c>
      <c r="E14187" s="236">
        <v>120000</v>
      </c>
      <c r="F14187" s="236"/>
      <c r="G14187" s="236">
        <f t="shared" si="227"/>
        <v>-120000</v>
      </c>
      <c r="H14187" s="709" t="s">
        <v>8973</v>
      </c>
    </row>
    <row r="14188" spans="1:8" ht="15" x14ac:dyDescent="0.2">
      <c r="A14188" s="733">
        <v>44945</v>
      </c>
      <c r="B14188" s="174" t="s">
        <v>8868</v>
      </c>
      <c r="C14188" s="174" t="s">
        <v>8502</v>
      </c>
      <c r="D14188" s="228" t="s">
        <v>9073</v>
      </c>
      <c r="E14188" s="236">
        <v>50000</v>
      </c>
      <c r="F14188" s="236"/>
      <c r="G14188" s="236">
        <f t="shared" si="227"/>
        <v>-50000</v>
      </c>
      <c r="H14188" s="709" t="s">
        <v>8973</v>
      </c>
    </row>
    <row r="14189" spans="1:8" ht="15" x14ac:dyDescent="0.2">
      <c r="A14189" s="733">
        <v>44949</v>
      </c>
      <c r="B14189" s="174" t="s">
        <v>8657</v>
      </c>
      <c r="C14189" s="174" t="s">
        <v>318</v>
      </c>
      <c r="D14189" s="228" t="s">
        <v>7720</v>
      </c>
      <c r="E14189" s="236">
        <v>173000</v>
      </c>
      <c r="F14189" s="236"/>
      <c r="G14189" s="236">
        <f t="shared" si="227"/>
        <v>-173000</v>
      </c>
      <c r="H14189" s="709" t="s">
        <v>8973</v>
      </c>
    </row>
    <row r="14190" spans="1:8" ht="15" x14ac:dyDescent="0.2">
      <c r="A14190" s="733">
        <v>44949</v>
      </c>
      <c r="B14190" s="174" t="s">
        <v>7921</v>
      </c>
      <c r="C14190" s="174" t="s">
        <v>705</v>
      </c>
      <c r="D14190" s="228" t="s">
        <v>9074</v>
      </c>
      <c r="E14190" s="236">
        <v>34773</v>
      </c>
      <c r="F14190" s="236"/>
      <c r="G14190" s="236">
        <f t="shared" si="227"/>
        <v>-34773</v>
      </c>
      <c r="H14190" s="709" t="s">
        <v>8973</v>
      </c>
    </row>
    <row r="14191" spans="1:8" ht="15" x14ac:dyDescent="0.2">
      <c r="A14191" s="733">
        <v>44949</v>
      </c>
      <c r="B14191" s="174" t="s">
        <v>8339</v>
      </c>
      <c r="C14191" s="174" t="s">
        <v>705</v>
      </c>
      <c r="D14191" s="228" t="s">
        <v>9074</v>
      </c>
      <c r="E14191" s="236">
        <v>65227</v>
      </c>
      <c r="F14191" s="236"/>
      <c r="G14191" s="236">
        <f t="shared" si="227"/>
        <v>-65227</v>
      </c>
      <c r="H14191" s="709" t="s">
        <v>8973</v>
      </c>
    </row>
    <row r="14192" spans="1:8" ht="15" x14ac:dyDescent="0.2">
      <c r="A14192" s="733">
        <v>44949</v>
      </c>
      <c r="B14192" s="174" t="s">
        <v>8339</v>
      </c>
      <c r="C14192" s="174" t="s">
        <v>1063</v>
      </c>
      <c r="D14192" s="228" t="s">
        <v>7720</v>
      </c>
      <c r="E14192" s="236">
        <v>100000</v>
      </c>
      <c r="F14192" s="236"/>
      <c r="G14192" s="236">
        <f t="shared" si="227"/>
        <v>-100000</v>
      </c>
      <c r="H14192" s="709" t="s">
        <v>8973</v>
      </c>
    </row>
    <row r="14193" spans="1:8" ht="15" x14ac:dyDescent="0.2">
      <c r="A14193" s="733">
        <v>44949</v>
      </c>
      <c r="B14193" s="174" t="s">
        <v>8657</v>
      </c>
      <c r="C14193" s="174" t="s">
        <v>8691</v>
      </c>
      <c r="D14193" s="228" t="s">
        <v>9076</v>
      </c>
      <c r="E14193" s="236">
        <v>36500</v>
      </c>
      <c r="F14193" s="236"/>
      <c r="G14193" s="236">
        <f t="shared" si="227"/>
        <v>-36500</v>
      </c>
      <c r="H14193" s="709" t="s">
        <v>8973</v>
      </c>
    </row>
    <row r="14194" spans="1:8" ht="15" x14ac:dyDescent="0.2">
      <c r="A14194" s="733">
        <v>44950</v>
      </c>
      <c r="B14194" s="174" t="s">
        <v>8876</v>
      </c>
      <c r="C14194" s="174" t="s">
        <v>8792</v>
      </c>
      <c r="D14194" s="228" t="s">
        <v>9077</v>
      </c>
      <c r="E14194" s="236">
        <v>250000</v>
      </c>
      <c r="F14194" s="236"/>
      <c r="G14194" s="236">
        <f t="shared" si="227"/>
        <v>-250000</v>
      </c>
      <c r="H14194" s="709" t="s">
        <v>8973</v>
      </c>
    </row>
    <row r="14195" spans="1:8" ht="15" x14ac:dyDescent="0.2">
      <c r="A14195" s="733">
        <v>44950</v>
      </c>
      <c r="B14195" s="174" t="s">
        <v>8876</v>
      </c>
      <c r="C14195" s="551" t="s">
        <v>8792</v>
      </c>
      <c r="D14195" s="740" t="s">
        <v>9078</v>
      </c>
      <c r="E14195" s="552">
        <v>235000</v>
      </c>
      <c r="F14195" s="236"/>
      <c r="G14195" s="236">
        <f t="shared" ref="G14195:G14258" si="228">F14195-E14195</f>
        <v>-235000</v>
      </c>
      <c r="H14195" s="709" t="s">
        <v>8973</v>
      </c>
    </row>
    <row r="14196" spans="1:8" ht="24" x14ac:dyDescent="0.2">
      <c r="A14196" s="733">
        <v>44950</v>
      </c>
      <c r="B14196" s="174" t="s">
        <v>8339</v>
      </c>
      <c r="C14196" s="551" t="s">
        <v>8792</v>
      </c>
      <c r="D14196" s="740" t="s">
        <v>9079</v>
      </c>
      <c r="E14196" s="552">
        <v>7500</v>
      </c>
      <c r="F14196" s="236"/>
      <c r="G14196" s="236">
        <f t="shared" si="228"/>
        <v>-7500</v>
      </c>
      <c r="H14196" s="709" t="s">
        <v>8973</v>
      </c>
    </row>
    <row r="14197" spans="1:8" ht="24" x14ac:dyDescent="0.2">
      <c r="A14197" s="733">
        <v>44950</v>
      </c>
      <c r="B14197" s="174" t="s">
        <v>8876</v>
      </c>
      <c r="C14197" s="174" t="s">
        <v>9080</v>
      </c>
      <c r="D14197" s="228" t="s">
        <v>9081</v>
      </c>
      <c r="E14197" s="236">
        <v>440396</v>
      </c>
      <c r="F14197" s="236"/>
      <c r="G14197" s="236">
        <f t="shared" si="228"/>
        <v>-440396</v>
      </c>
      <c r="H14197" s="709" t="s">
        <v>8973</v>
      </c>
    </row>
    <row r="14198" spans="1:8" ht="15" x14ac:dyDescent="0.2">
      <c r="A14198" s="733">
        <v>44951</v>
      </c>
      <c r="B14198" s="174" t="s">
        <v>8339</v>
      </c>
      <c r="C14198" s="174" t="s">
        <v>3446</v>
      </c>
      <c r="D14198" s="228" t="s">
        <v>9242</v>
      </c>
      <c r="E14198" s="236">
        <v>25000</v>
      </c>
      <c r="F14198" s="236"/>
      <c r="G14198" s="236">
        <f t="shared" si="228"/>
        <v>-25000</v>
      </c>
      <c r="H14198" s="709" t="s">
        <v>8973</v>
      </c>
    </row>
    <row r="14199" spans="1:8" ht="15" x14ac:dyDescent="0.2">
      <c r="A14199" s="730">
        <v>44928</v>
      </c>
      <c r="B14199" s="91" t="s">
        <v>3945</v>
      </c>
      <c r="C14199" s="175" t="s">
        <v>559</v>
      </c>
      <c r="D14199" s="892" t="s">
        <v>8938</v>
      </c>
      <c r="E14199" s="701"/>
      <c r="F14199" s="92">
        <v>337081</v>
      </c>
      <c r="G14199" s="92">
        <f t="shared" si="228"/>
        <v>337081</v>
      </c>
      <c r="H14199" s="702" t="s">
        <v>8973</v>
      </c>
    </row>
    <row r="14200" spans="1:8" ht="15" customHeight="1" x14ac:dyDescent="0.2">
      <c r="A14200" s="730">
        <v>44940</v>
      </c>
      <c r="B14200" s="94" t="s">
        <v>37</v>
      </c>
      <c r="C14200" s="175" t="s">
        <v>559</v>
      </c>
      <c r="D14200" s="892" t="s">
        <v>8938</v>
      </c>
      <c r="E14200" s="701"/>
      <c r="F14200" s="92">
        <v>188568</v>
      </c>
      <c r="G14200" s="92">
        <f t="shared" si="228"/>
        <v>188568</v>
      </c>
      <c r="H14200" s="702" t="s">
        <v>8973</v>
      </c>
    </row>
    <row r="14201" spans="1:8" s="682" customFormat="1" ht="24" customHeight="1" x14ac:dyDescent="0.25">
      <c r="A14201" s="730">
        <v>44942</v>
      </c>
      <c r="B14201" s="94" t="s">
        <v>6408</v>
      </c>
      <c r="C14201" s="175" t="s">
        <v>559</v>
      </c>
      <c r="D14201" s="802" t="s">
        <v>9032</v>
      </c>
      <c r="E14201" s="701"/>
      <c r="F14201" s="176">
        <v>178573</v>
      </c>
      <c r="G14201" s="176">
        <f t="shared" si="228"/>
        <v>178573</v>
      </c>
      <c r="H14201" s="702" t="s">
        <v>8973</v>
      </c>
    </row>
    <row r="14202" spans="1:8" ht="36" customHeight="1" x14ac:dyDescent="0.2">
      <c r="A14202" s="730">
        <v>44942</v>
      </c>
      <c r="B14202" s="94" t="s">
        <v>8828</v>
      </c>
      <c r="C14202" s="94" t="s">
        <v>559</v>
      </c>
      <c r="D14202" s="802" t="s">
        <v>8843</v>
      </c>
      <c r="E14202" s="176"/>
      <c r="F14202" s="176">
        <v>70646</v>
      </c>
      <c r="G14202" s="176">
        <f t="shared" si="228"/>
        <v>70646</v>
      </c>
      <c r="H14202" s="702" t="s">
        <v>8973</v>
      </c>
    </row>
    <row r="14203" spans="1:8" ht="15" customHeight="1" x14ac:dyDescent="0.2">
      <c r="A14203" s="730">
        <v>44942</v>
      </c>
      <c r="B14203" s="94" t="s">
        <v>8828</v>
      </c>
      <c r="C14203" s="94" t="s">
        <v>8852</v>
      </c>
      <c r="D14203" s="802" t="s">
        <v>8853</v>
      </c>
      <c r="E14203" s="176">
        <v>70646</v>
      </c>
      <c r="F14203" s="176"/>
      <c r="G14203" s="176">
        <f t="shared" si="228"/>
        <v>-70646</v>
      </c>
      <c r="H14203" s="702" t="s">
        <v>8973</v>
      </c>
    </row>
    <row r="14204" spans="1:8" ht="15" customHeight="1" x14ac:dyDescent="0.2">
      <c r="A14204" s="730">
        <v>44945</v>
      </c>
      <c r="B14204" s="94" t="s">
        <v>37</v>
      </c>
      <c r="C14204" s="175" t="s">
        <v>559</v>
      </c>
      <c r="D14204" s="892" t="s">
        <v>9248</v>
      </c>
      <c r="E14204" s="701"/>
      <c r="F14204" s="92">
        <v>188568</v>
      </c>
      <c r="G14204" s="176">
        <f t="shared" si="228"/>
        <v>188568</v>
      </c>
      <c r="H14204" s="702" t="s">
        <v>8973</v>
      </c>
    </row>
    <row r="14205" spans="1:8" ht="15" customHeight="1" x14ac:dyDescent="0.2">
      <c r="A14205" s="730">
        <v>44951</v>
      </c>
      <c r="B14205" s="91" t="s">
        <v>8339</v>
      </c>
      <c r="C14205" s="94" t="s">
        <v>559</v>
      </c>
      <c r="D14205" s="801" t="s">
        <v>9069</v>
      </c>
      <c r="E14205" s="176"/>
      <c r="F14205" s="92">
        <v>2500369</v>
      </c>
      <c r="G14205" s="176">
        <f t="shared" si="228"/>
        <v>2500369</v>
      </c>
      <c r="H14205" s="702" t="s">
        <v>8973</v>
      </c>
    </row>
    <row r="14206" spans="1:8" ht="15" customHeight="1" x14ac:dyDescent="0.2">
      <c r="A14206" s="730">
        <v>44951</v>
      </c>
      <c r="B14206" s="91" t="s">
        <v>8339</v>
      </c>
      <c r="C14206" s="94" t="s">
        <v>559</v>
      </c>
      <c r="D14206" s="801" t="s">
        <v>8543</v>
      </c>
      <c r="E14206" s="176">
        <v>25004</v>
      </c>
      <c r="F14206" s="176"/>
      <c r="G14206" s="176">
        <f t="shared" si="228"/>
        <v>-25004</v>
      </c>
      <c r="H14206" s="702" t="s">
        <v>8973</v>
      </c>
    </row>
    <row r="14207" spans="1:8" ht="15" x14ac:dyDescent="0.2">
      <c r="A14207" s="730">
        <v>44951</v>
      </c>
      <c r="B14207" s="91" t="s">
        <v>8339</v>
      </c>
      <c r="C14207" s="94" t="s">
        <v>559</v>
      </c>
      <c r="D14207" s="801" t="s">
        <v>9070</v>
      </c>
      <c r="E14207" s="92"/>
      <c r="F14207" s="92">
        <v>440396</v>
      </c>
      <c r="G14207" s="92">
        <f t="shared" si="228"/>
        <v>440396</v>
      </c>
      <c r="H14207" s="702" t="s">
        <v>8973</v>
      </c>
    </row>
    <row r="14208" spans="1:8" ht="15" x14ac:dyDescent="0.2">
      <c r="A14208" s="730">
        <v>44953</v>
      </c>
      <c r="B14208" s="91" t="s">
        <v>7555</v>
      </c>
      <c r="C14208" s="94" t="s">
        <v>559</v>
      </c>
      <c r="D14208" s="801" t="s">
        <v>9243</v>
      </c>
      <c r="E14208" s="92"/>
      <c r="F14208" s="92">
        <v>486827</v>
      </c>
      <c r="G14208" s="92">
        <f t="shared" si="228"/>
        <v>486827</v>
      </c>
      <c r="H14208" s="702" t="s">
        <v>8973</v>
      </c>
    </row>
    <row r="14209" spans="1:8" ht="15" x14ac:dyDescent="0.2">
      <c r="A14209" s="730">
        <v>44953</v>
      </c>
      <c r="B14209" s="91" t="s">
        <v>14</v>
      </c>
      <c r="C14209" s="94" t="s">
        <v>559</v>
      </c>
      <c r="D14209" s="801" t="s">
        <v>9247</v>
      </c>
      <c r="E14209" s="92"/>
      <c r="F14209" s="92">
        <v>887205</v>
      </c>
      <c r="G14209" s="92">
        <f t="shared" si="228"/>
        <v>887205</v>
      </c>
      <c r="H14209" s="702" t="s">
        <v>8973</v>
      </c>
    </row>
    <row r="14210" spans="1:8" ht="15" x14ac:dyDescent="0.2">
      <c r="A14210" s="734">
        <v>44958</v>
      </c>
      <c r="B14210" s="41" t="s">
        <v>8876</v>
      </c>
      <c r="C14210" s="63" t="s">
        <v>2503</v>
      </c>
      <c r="D14210" s="108" t="s">
        <v>7097</v>
      </c>
      <c r="E14210" s="58">
        <v>25000</v>
      </c>
      <c r="F14210" s="58"/>
      <c r="G14210" s="58">
        <f t="shared" si="228"/>
        <v>-25000</v>
      </c>
      <c r="H14210" s="705" t="s">
        <v>9433</v>
      </c>
    </row>
    <row r="14211" spans="1:8" ht="15" x14ac:dyDescent="0.2">
      <c r="A14211" s="734">
        <v>44958</v>
      </c>
      <c r="B14211" s="41" t="s">
        <v>8868</v>
      </c>
      <c r="C14211" s="63" t="s">
        <v>2503</v>
      </c>
      <c r="D14211" s="108" t="s">
        <v>7097</v>
      </c>
      <c r="E14211" s="58">
        <v>25000</v>
      </c>
      <c r="F14211" s="58"/>
      <c r="G14211" s="58">
        <f t="shared" si="228"/>
        <v>-25000</v>
      </c>
      <c r="H14211" s="705" t="s">
        <v>9433</v>
      </c>
    </row>
    <row r="14212" spans="1:8" ht="15" x14ac:dyDescent="0.2">
      <c r="A14212" s="734">
        <v>44958</v>
      </c>
      <c r="B14212" s="41" t="s">
        <v>6505</v>
      </c>
      <c r="C14212" s="63" t="s">
        <v>2503</v>
      </c>
      <c r="D14212" s="108" t="s">
        <v>141</v>
      </c>
      <c r="E14212" s="58">
        <v>25000</v>
      </c>
      <c r="F14212" s="58"/>
      <c r="G14212" s="58">
        <f t="shared" si="228"/>
        <v>-25000</v>
      </c>
      <c r="H14212" s="705" t="s">
        <v>9433</v>
      </c>
    </row>
    <row r="14213" spans="1:8" ht="15" x14ac:dyDescent="0.2">
      <c r="A14213" s="734">
        <v>44958</v>
      </c>
      <c r="B14213" s="41" t="s">
        <v>8657</v>
      </c>
      <c r="C14213" s="63" t="s">
        <v>2503</v>
      </c>
      <c r="D14213" s="108" t="s">
        <v>141</v>
      </c>
      <c r="E14213" s="58">
        <v>25000</v>
      </c>
      <c r="F14213" s="58"/>
      <c r="G14213" s="58">
        <f t="shared" si="228"/>
        <v>-25000</v>
      </c>
      <c r="H14213" s="705" t="s">
        <v>9433</v>
      </c>
    </row>
    <row r="14214" spans="1:8" ht="15" x14ac:dyDescent="0.2">
      <c r="A14214" s="734">
        <v>44958</v>
      </c>
      <c r="B14214" s="41" t="s">
        <v>25</v>
      </c>
      <c r="C14214" s="63" t="s">
        <v>2503</v>
      </c>
      <c r="D14214" s="108" t="s">
        <v>8609</v>
      </c>
      <c r="E14214" s="58">
        <v>80000</v>
      </c>
      <c r="F14214" s="58"/>
      <c r="G14214" s="58">
        <f t="shared" si="228"/>
        <v>-80000</v>
      </c>
      <c r="H14214" s="705" t="s">
        <v>9433</v>
      </c>
    </row>
    <row r="14215" spans="1:8" ht="15" x14ac:dyDescent="0.2">
      <c r="A14215" s="734">
        <v>44958</v>
      </c>
      <c r="B14215" s="41" t="s">
        <v>16</v>
      </c>
      <c r="C14215" s="63" t="s">
        <v>2503</v>
      </c>
      <c r="D14215" s="108" t="s">
        <v>8610</v>
      </c>
      <c r="E14215" s="58">
        <v>136000</v>
      </c>
      <c r="F14215" s="58"/>
      <c r="G14215" s="58">
        <f t="shared" si="228"/>
        <v>-136000</v>
      </c>
      <c r="H14215" s="705" t="s">
        <v>9433</v>
      </c>
    </row>
    <row r="14216" spans="1:8" ht="15" x14ac:dyDescent="0.2">
      <c r="A14216" s="734">
        <v>44958</v>
      </c>
      <c r="B14216" s="41" t="s">
        <v>3945</v>
      </c>
      <c r="C14216" s="63" t="s">
        <v>2503</v>
      </c>
      <c r="D14216" s="108" t="s">
        <v>9010</v>
      </c>
      <c r="E14216" s="58">
        <v>86383.92857142858</v>
      </c>
      <c r="F14216" s="58"/>
      <c r="G14216" s="58">
        <f t="shared" si="228"/>
        <v>-86383.92857142858</v>
      </c>
      <c r="H14216" s="705" t="s">
        <v>9433</v>
      </c>
    </row>
    <row r="14217" spans="1:8" ht="15" x14ac:dyDescent="0.2">
      <c r="A14217" s="734">
        <v>44958</v>
      </c>
      <c r="B14217" s="41" t="s">
        <v>3945</v>
      </c>
      <c r="C14217" s="63" t="s">
        <v>2503</v>
      </c>
      <c r="D14217" s="108" t="s">
        <v>9011</v>
      </c>
      <c r="E14217" s="58">
        <v>117073.66071428571</v>
      </c>
      <c r="F14217" s="58"/>
      <c r="G14217" s="58">
        <f t="shared" si="228"/>
        <v>-117073.66071428571</v>
      </c>
      <c r="H14217" s="705" t="s">
        <v>9433</v>
      </c>
    </row>
    <row r="14218" spans="1:8" ht="15" x14ac:dyDescent="0.2">
      <c r="A14218" s="734">
        <v>44958</v>
      </c>
      <c r="B14218" s="41" t="s">
        <v>6505</v>
      </c>
      <c r="C14218" s="63" t="s">
        <v>2503</v>
      </c>
      <c r="D14218" s="108" t="s">
        <v>8427</v>
      </c>
      <c r="E14218" s="58">
        <v>317133.92857142858</v>
      </c>
      <c r="F14218" s="58"/>
      <c r="G14218" s="58">
        <f t="shared" si="228"/>
        <v>-317133.92857142858</v>
      </c>
      <c r="H14218" s="705" t="s">
        <v>9433</v>
      </c>
    </row>
    <row r="14219" spans="1:8" ht="15" x14ac:dyDescent="0.2">
      <c r="A14219" s="734">
        <v>44958</v>
      </c>
      <c r="B14219" s="41" t="s">
        <v>37</v>
      </c>
      <c r="C14219" s="63" t="s">
        <v>2503</v>
      </c>
      <c r="D14219" s="108" t="s">
        <v>8428</v>
      </c>
      <c r="E14219" s="58">
        <v>149397.32142857142</v>
      </c>
      <c r="F14219" s="58"/>
      <c r="G14219" s="58">
        <f t="shared" si="228"/>
        <v>-149397.32142857142</v>
      </c>
      <c r="H14219" s="705" t="s">
        <v>9433</v>
      </c>
    </row>
    <row r="14220" spans="1:8" ht="15" x14ac:dyDescent="0.2">
      <c r="A14220" s="734">
        <v>44958</v>
      </c>
      <c r="B14220" s="41" t="s">
        <v>2933</v>
      </c>
      <c r="C14220" s="63" t="s">
        <v>2503</v>
      </c>
      <c r="D14220" s="108" t="s">
        <v>8429</v>
      </c>
      <c r="E14220" s="58">
        <v>106603.57142857142</v>
      </c>
      <c r="F14220" s="58"/>
      <c r="G14220" s="58">
        <f t="shared" si="228"/>
        <v>-106603.57142857142</v>
      </c>
      <c r="H14220" s="705" t="s">
        <v>9433</v>
      </c>
    </row>
    <row r="14221" spans="1:8" ht="15" x14ac:dyDescent="0.2">
      <c r="A14221" s="734">
        <v>44958</v>
      </c>
      <c r="B14221" s="41" t="s">
        <v>8876</v>
      </c>
      <c r="C14221" s="63" t="s">
        <v>2503</v>
      </c>
      <c r="D14221" s="108" t="s">
        <v>8822</v>
      </c>
      <c r="E14221" s="58">
        <v>78692</v>
      </c>
      <c r="F14221" s="58"/>
      <c r="G14221" s="58">
        <f t="shared" si="228"/>
        <v>-78692</v>
      </c>
      <c r="H14221" s="705" t="s">
        <v>9433</v>
      </c>
    </row>
    <row r="14222" spans="1:8" ht="15" x14ac:dyDescent="0.2">
      <c r="A14222" s="734">
        <v>44958</v>
      </c>
      <c r="B14222" s="41" t="s">
        <v>8339</v>
      </c>
      <c r="C14222" s="63" t="s">
        <v>2503</v>
      </c>
      <c r="D14222" s="108" t="s">
        <v>8822</v>
      </c>
      <c r="E14222" s="58">
        <v>50000</v>
      </c>
      <c r="F14222" s="58"/>
      <c r="G14222" s="58">
        <f t="shared" si="228"/>
        <v>-50000</v>
      </c>
      <c r="H14222" s="705" t="s">
        <v>9433</v>
      </c>
    </row>
    <row r="14223" spans="1:8" ht="15" x14ac:dyDescent="0.2">
      <c r="A14223" s="734">
        <v>44958</v>
      </c>
      <c r="B14223" s="41" t="s">
        <v>8043</v>
      </c>
      <c r="C14223" s="63" t="s">
        <v>2503</v>
      </c>
      <c r="D14223" s="108" t="s">
        <v>8822</v>
      </c>
      <c r="E14223" s="58">
        <v>50000</v>
      </c>
      <c r="F14223" s="58"/>
      <c r="G14223" s="58">
        <f t="shared" si="228"/>
        <v>-50000</v>
      </c>
      <c r="H14223" s="705" t="s">
        <v>9433</v>
      </c>
    </row>
    <row r="14224" spans="1:8" ht="15" x14ac:dyDescent="0.2">
      <c r="A14224" s="734">
        <v>44958</v>
      </c>
      <c r="B14224" s="41" t="s">
        <v>8868</v>
      </c>
      <c r="C14224" s="63" t="s">
        <v>2503</v>
      </c>
      <c r="D14224" s="108" t="s">
        <v>8822</v>
      </c>
      <c r="E14224" s="58">
        <v>50000</v>
      </c>
      <c r="F14224" s="58"/>
      <c r="G14224" s="58">
        <f t="shared" si="228"/>
        <v>-50000</v>
      </c>
      <c r="H14224" s="705" t="s">
        <v>9433</v>
      </c>
    </row>
    <row r="14225" spans="1:8" ht="15" x14ac:dyDescent="0.2">
      <c r="A14225" s="734">
        <v>44958</v>
      </c>
      <c r="B14225" s="41" t="s">
        <v>3945</v>
      </c>
      <c r="C14225" s="63" t="s">
        <v>2503</v>
      </c>
      <c r="D14225" s="108" t="s">
        <v>8430</v>
      </c>
      <c r="E14225" s="58">
        <v>28000</v>
      </c>
      <c r="F14225" s="58"/>
      <c r="G14225" s="58">
        <f t="shared" si="228"/>
        <v>-28000</v>
      </c>
      <c r="H14225" s="705" t="s">
        <v>9433</v>
      </c>
    </row>
    <row r="14226" spans="1:8" ht="15" x14ac:dyDescent="0.2">
      <c r="A14226" s="734">
        <v>44958</v>
      </c>
      <c r="B14226" s="41" t="s">
        <v>11</v>
      </c>
      <c r="C14226" s="63" t="s">
        <v>2503</v>
      </c>
      <c r="D14226" s="108" t="s">
        <v>9012</v>
      </c>
      <c r="E14226" s="58">
        <v>5000</v>
      </c>
      <c r="F14226" s="58"/>
      <c r="G14226" s="58">
        <f t="shared" si="228"/>
        <v>-5000</v>
      </c>
      <c r="H14226" s="705" t="s">
        <v>9433</v>
      </c>
    </row>
    <row r="14227" spans="1:8" ht="15" x14ac:dyDescent="0.2">
      <c r="A14227" s="734">
        <v>44959</v>
      </c>
      <c r="B14227" s="41" t="s">
        <v>7921</v>
      </c>
      <c r="C14227" s="41" t="s">
        <v>9263</v>
      </c>
      <c r="D14227" s="108" t="s">
        <v>9264</v>
      </c>
      <c r="E14227" s="58">
        <v>34450</v>
      </c>
      <c r="F14227" s="58"/>
      <c r="G14227" s="58">
        <f t="shared" si="228"/>
        <v>-34450</v>
      </c>
      <c r="H14227" s="705" t="s">
        <v>9260</v>
      </c>
    </row>
    <row r="14228" spans="1:8" ht="15" customHeight="1" x14ac:dyDescent="0.2">
      <c r="A14228" s="734">
        <v>44960</v>
      </c>
      <c r="B14228" s="41" t="s">
        <v>7555</v>
      </c>
      <c r="C14228" s="41" t="s">
        <v>267</v>
      </c>
      <c r="D14228" s="108" t="s">
        <v>9265</v>
      </c>
      <c r="E14228" s="58">
        <v>18000</v>
      </c>
      <c r="F14228" s="58"/>
      <c r="G14228" s="58">
        <f t="shared" si="228"/>
        <v>-18000</v>
      </c>
      <c r="H14228" s="705" t="s">
        <v>9260</v>
      </c>
    </row>
    <row r="14229" spans="1:8" ht="15" x14ac:dyDescent="0.2">
      <c r="A14229" s="734">
        <v>44960</v>
      </c>
      <c r="B14229" s="41" t="s">
        <v>6505</v>
      </c>
      <c r="C14229" s="41" t="s">
        <v>3145</v>
      </c>
      <c r="D14229" s="108" t="s">
        <v>4450</v>
      </c>
      <c r="E14229" s="58">
        <v>21260</v>
      </c>
      <c r="F14229" s="58"/>
      <c r="G14229" s="58">
        <f t="shared" si="228"/>
        <v>-21260</v>
      </c>
      <c r="H14229" s="705" t="s">
        <v>9260</v>
      </c>
    </row>
    <row r="14230" spans="1:8" ht="15" x14ac:dyDescent="0.2">
      <c r="A14230" s="734">
        <v>44960</v>
      </c>
      <c r="B14230" s="41" t="s">
        <v>8559</v>
      </c>
      <c r="C14230" s="41" t="s">
        <v>3145</v>
      </c>
      <c r="D14230" s="108" t="s">
        <v>9266</v>
      </c>
      <c r="E14230" s="58">
        <v>200</v>
      </c>
      <c r="F14230" s="58"/>
      <c r="G14230" s="58">
        <f t="shared" si="228"/>
        <v>-200</v>
      </c>
      <c r="H14230" s="705" t="s">
        <v>9260</v>
      </c>
    </row>
    <row r="14231" spans="1:8" ht="15" x14ac:dyDescent="0.2">
      <c r="A14231" s="734">
        <v>44960</v>
      </c>
      <c r="B14231" s="41" t="s">
        <v>2933</v>
      </c>
      <c r="C14231" s="41" t="s">
        <v>3145</v>
      </c>
      <c r="D14231" s="108" t="s">
        <v>9267</v>
      </c>
      <c r="E14231" s="58">
        <v>2550</v>
      </c>
      <c r="F14231" s="58"/>
      <c r="G14231" s="58">
        <f t="shared" si="228"/>
        <v>-2550</v>
      </c>
      <c r="H14231" s="705" t="s">
        <v>9260</v>
      </c>
    </row>
    <row r="14232" spans="1:8" ht="15" x14ac:dyDescent="0.2">
      <c r="A14232" s="734">
        <v>44960</v>
      </c>
      <c r="B14232" s="41" t="s">
        <v>8559</v>
      </c>
      <c r="C14232" s="41" t="s">
        <v>3145</v>
      </c>
      <c r="D14232" s="108" t="s">
        <v>7797</v>
      </c>
      <c r="E14232" s="58">
        <v>2000</v>
      </c>
      <c r="F14232" s="58"/>
      <c r="G14232" s="58">
        <f t="shared" si="228"/>
        <v>-2000</v>
      </c>
      <c r="H14232" s="705" t="s">
        <v>9260</v>
      </c>
    </row>
    <row r="14233" spans="1:8" ht="15" x14ac:dyDescent="0.2">
      <c r="A14233" s="734">
        <v>44960</v>
      </c>
      <c r="B14233" s="41" t="s">
        <v>8657</v>
      </c>
      <c r="C14233" s="41" t="s">
        <v>3145</v>
      </c>
      <c r="D14233" s="108" t="s">
        <v>7797</v>
      </c>
      <c r="E14233" s="58">
        <v>3930</v>
      </c>
      <c r="F14233" s="58"/>
      <c r="G14233" s="58">
        <f t="shared" si="228"/>
        <v>-3930</v>
      </c>
      <c r="H14233" s="705" t="s">
        <v>9260</v>
      </c>
    </row>
    <row r="14234" spans="1:8" ht="15" x14ac:dyDescent="0.2">
      <c r="A14234" s="734">
        <v>44960</v>
      </c>
      <c r="B14234" s="41" t="s">
        <v>6505</v>
      </c>
      <c r="C14234" s="41" t="s">
        <v>3145</v>
      </c>
      <c r="D14234" s="108" t="s">
        <v>7797</v>
      </c>
      <c r="E14234" s="58">
        <v>1000</v>
      </c>
      <c r="F14234" s="58"/>
      <c r="G14234" s="58">
        <f t="shared" si="228"/>
        <v>-1000</v>
      </c>
      <c r="H14234" s="705" t="s">
        <v>9260</v>
      </c>
    </row>
    <row r="14235" spans="1:8" ht="15" x14ac:dyDescent="0.2">
      <c r="A14235" s="734">
        <v>44960</v>
      </c>
      <c r="B14235" s="41" t="s">
        <v>8339</v>
      </c>
      <c r="C14235" s="41" t="s">
        <v>3145</v>
      </c>
      <c r="D14235" s="108" t="s">
        <v>7797</v>
      </c>
      <c r="E14235" s="58">
        <v>2000</v>
      </c>
      <c r="F14235" s="58"/>
      <c r="G14235" s="58">
        <f t="shared" si="228"/>
        <v>-2000</v>
      </c>
      <c r="H14235" s="705" t="s">
        <v>9260</v>
      </c>
    </row>
    <row r="14236" spans="1:8" ht="15" x14ac:dyDescent="0.2">
      <c r="A14236" s="734">
        <v>44960</v>
      </c>
      <c r="B14236" s="41" t="s">
        <v>37</v>
      </c>
      <c r="C14236" s="41" t="s">
        <v>3145</v>
      </c>
      <c r="D14236" s="108" t="s">
        <v>7797</v>
      </c>
      <c r="E14236" s="58">
        <v>1000</v>
      </c>
      <c r="F14236" s="58"/>
      <c r="G14236" s="58">
        <f t="shared" si="228"/>
        <v>-1000</v>
      </c>
      <c r="H14236" s="705" t="s">
        <v>9260</v>
      </c>
    </row>
    <row r="14237" spans="1:8" ht="15" x14ac:dyDescent="0.2">
      <c r="A14237" s="734">
        <v>44961</v>
      </c>
      <c r="B14237" s="41" t="s">
        <v>8339</v>
      </c>
      <c r="C14237" s="41" t="s">
        <v>3145</v>
      </c>
      <c r="D14237" s="108" t="s">
        <v>9268</v>
      </c>
      <c r="E14237" s="58">
        <v>1000</v>
      </c>
      <c r="F14237" s="58"/>
      <c r="G14237" s="58">
        <f t="shared" si="228"/>
        <v>-1000</v>
      </c>
      <c r="H14237" s="705" t="s">
        <v>9260</v>
      </c>
    </row>
    <row r="14238" spans="1:8" ht="15" x14ac:dyDescent="0.2">
      <c r="A14238" s="734">
        <v>44961</v>
      </c>
      <c r="B14238" s="41" t="s">
        <v>16</v>
      </c>
      <c r="C14238" s="41" t="s">
        <v>3843</v>
      </c>
      <c r="D14238" s="108" t="s">
        <v>8712</v>
      </c>
      <c r="E14238" s="58">
        <v>7455</v>
      </c>
      <c r="F14238" s="58"/>
      <c r="G14238" s="58">
        <f t="shared" si="228"/>
        <v>-7455</v>
      </c>
      <c r="H14238" s="705" t="s">
        <v>9260</v>
      </c>
    </row>
    <row r="14239" spans="1:8" ht="15" x14ac:dyDescent="0.2">
      <c r="A14239" s="734">
        <v>44961</v>
      </c>
      <c r="B14239" s="41" t="s">
        <v>25</v>
      </c>
      <c r="C14239" s="41" t="s">
        <v>4065</v>
      </c>
      <c r="D14239" s="108" t="s">
        <v>7939</v>
      </c>
      <c r="E14239" s="58">
        <v>750</v>
      </c>
      <c r="F14239" s="58"/>
      <c r="G14239" s="58">
        <f t="shared" si="228"/>
        <v>-750</v>
      </c>
      <c r="H14239" s="705" t="s">
        <v>9260</v>
      </c>
    </row>
    <row r="14240" spans="1:8" ht="15" x14ac:dyDescent="0.2">
      <c r="A14240" s="734">
        <v>44961</v>
      </c>
      <c r="B14240" s="41" t="s">
        <v>8876</v>
      </c>
      <c r="C14240" s="41" t="s">
        <v>392</v>
      </c>
      <c r="D14240" s="108" t="s">
        <v>9269</v>
      </c>
      <c r="E14240" s="58">
        <v>1000</v>
      </c>
      <c r="F14240" s="58"/>
      <c r="G14240" s="58">
        <f t="shared" si="228"/>
        <v>-1000</v>
      </c>
      <c r="H14240" s="705" t="s">
        <v>9260</v>
      </c>
    </row>
    <row r="14241" spans="1:8" ht="15" x14ac:dyDescent="0.2">
      <c r="A14241" s="734">
        <v>44961</v>
      </c>
      <c r="B14241" s="41" t="s">
        <v>6505</v>
      </c>
      <c r="C14241" s="41" t="s">
        <v>392</v>
      </c>
      <c r="D14241" s="108" t="s">
        <v>9269</v>
      </c>
      <c r="E14241" s="58">
        <v>1000</v>
      </c>
      <c r="F14241" s="58"/>
      <c r="G14241" s="58">
        <f t="shared" si="228"/>
        <v>-1000</v>
      </c>
      <c r="H14241" s="705" t="s">
        <v>9260</v>
      </c>
    </row>
    <row r="14242" spans="1:8" ht="15" x14ac:dyDescent="0.2">
      <c r="A14242" s="734">
        <v>44961</v>
      </c>
      <c r="B14242" s="41" t="s">
        <v>16</v>
      </c>
      <c r="C14242" s="41" t="s">
        <v>392</v>
      </c>
      <c r="D14242" s="108" t="s">
        <v>3119</v>
      </c>
      <c r="E14242" s="58">
        <v>1000</v>
      </c>
      <c r="F14242" s="58"/>
      <c r="G14242" s="58">
        <f t="shared" si="228"/>
        <v>-1000</v>
      </c>
      <c r="H14242" s="705" t="s">
        <v>9260</v>
      </c>
    </row>
    <row r="14243" spans="1:8" ht="15" x14ac:dyDescent="0.2">
      <c r="A14243" s="734">
        <v>44961</v>
      </c>
      <c r="B14243" s="41" t="s">
        <v>25</v>
      </c>
      <c r="C14243" s="41" t="s">
        <v>8150</v>
      </c>
      <c r="D14243" s="108" t="s">
        <v>9270</v>
      </c>
      <c r="E14243" s="58">
        <v>250</v>
      </c>
      <c r="F14243" s="58"/>
      <c r="G14243" s="58">
        <f t="shared" si="228"/>
        <v>-250</v>
      </c>
      <c r="H14243" s="705" t="s">
        <v>9260</v>
      </c>
    </row>
    <row r="14244" spans="1:8" ht="15" x14ac:dyDescent="0.2">
      <c r="A14244" s="734">
        <v>44961</v>
      </c>
      <c r="B14244" s="41" t="s">
        <v>16</v>
      </c>
      <c r="C14244" s="41" t="s">
        <v>8150</v>
      </c>
      <c r="D14244" s="108" t="s">
        <v>9270</v>
      </c>
      <c r="E14244" s="58">
        <v>250</v>
      </c>
      <c r="F14244" s="58"/>
      <c r="G14244" s="58">
        <f t="shared" si="228"/>
        <v>-250</v>
      </c>
      <c r="H14244" s="705" t="s">
        <v>9260</v>
      </c>
    </row>
    <row r="14245" spans="1:8" ht="15" x14ac:dyDescent="0.2">
      <c r="A14245" s="734">
        <v>44961</v>
      </c>
      <c r="B14245" s="41" t="s">
        <v>8876</v>
      </c>
      <c r="C14245" s="41" t="s">
        <v>286</v>
      </c>
      <c r="D14245" s="108" t="s">
        <v>8163</v>
      </c>
      <c r="E14245" s="58">
        <v>500</v>
      </c>
      <c r="F14245" s="58"/>
      <c r="G14245" s="58">
        <f t="shared" si="228"/>
        <v>-500</v>
      </c>
      <c r="H14245" s="705" t="s">
        <v>9260</v>
      </c>
    </row>
    <row r="14246" spans="1:8" ht="15" x14ac:dyDescent="0.2">
      <c r="A14246" s="734">
        <v>44961</v>
      </c>
      <c r="B14246" s="41" t="s">
        <v>16</v>
      </c>
      <c r="C14246" s="41" t="s">
        <v>3843</v>
      </c>
      <c r="D14246" s="108" t="s">
        <v>8712</v>
      </c>
      <c r="E14246" s="58">
        <v>6188</v>
      </c>
      <c r="F14246" s="58"/>
      <c r="G14246" s="58">
        <f t="shared" si="228"/>
        <v>-6188</v>
      </c>
      <c r="H14246" s="705" t="s">
        <v>9260</v>
      </c>
    </row>
    <row r="14247" spans="1:8" ht="15" x14ac:dyDescent="0.2">
      <c r="A14247" s="734">
        <v>44961</v>
      </c>
      <c r="B14247" s="41" t="s">
        <v>82</v>
      </c>
      <c r="C14247" s="41" t="s">
        <v>392</v>
      </c>
      <c r="D14247" s="108" t="s">
        <v>9271</v>
      </c>
      <c r="E14247" s="58">
        <v>230</v>
      </c>
      <c r="F14247" s="58"/>
      <c r="G14247" s="58">
        <f t="shared" si="228"/>
        <v>-230</v>
      </c>
      <c r="H14247" s="705" t="s">
        <v>9260</v>
      </c>
    </row>
    <row r="14248" spans="1:8" s="682" customFormat="1" ht="48" customHeight="1" x14ac:dyDescent="0.25">
      <c r="A14248" s="734">
        <v>44961</v>
      </c>
      <c r="B14248" s="63" t="s">
        <v>8876</v>
      </c>
      <c r="C14248" s="63" t="s">
        <v>6706</v>
      </c>
      <c r="D14248" s="183" t="s">
        <v>9272</v>
      </c>
      <c r="E14248" s="126">
        <v>393200</v>
      </c>
      <c r="F14248" s="126"/>
      <c r="G14248" s="126">
        <f t="shared" si="228"/>
        <v>-393200</v>
      </c>
      <c r="H14248" s="705" t="s">
        <v>9260</v>
      </c>
    </row>
    <row r="14249" spans="1:8" s="682" customFormat="1" ht="15" customHeight="1" x14ac:dyDescent="0.25">
      <c r="A14249" s="734">
        <v>44961</v>
      </c>
      <c r="B14249" s="63" t="s">
        <v>8339</v>
      </c>
      <c r="C14249" s="63" t="s">
        <v>392</v>
      </c>
      <c r="D14249" s="183" t="s">
        <v>9026</v>
      </c>
      <c r="E14249" s="126">
        <v>3300</v>
      </c>
      <c r="F14249" s="126"/>
      <c r="G14249" s="126">
        <f t="shared" si="228"/>
        <v>-3300</v>
      </c>
      <c r="H14249" s="705" t="s">
        <v>9260</v>
      </c>
    </row>
    <row r="14250" spans="1:8" s="682" customFormat="1" ht="15" customHeight="1" x14ac:dyDescent="0.25">
      <c r="A14250" s="734">
        <v>44961</v>
      </c>
      <c r="B14250" s="63" t="s">
        <v>8868</v>
      </c>
      <c r="C14250" s="63" t="s">
        <v>3145</v>
      </c>
      <c r="D14250" s="183" t="s">
        <v>8873</v>
      </c>
      <c r="E14250" s="126">
        <v>2380</v>
      </c>
      <c r="F14250" s="126"/>
      <c r="G14250" s="126">
        <f t="shared" si="228"/>
        <v>-2380</v>
      </c>
      <c r="H14250" s="705" t="s">
        <v>9260</v>
      </c>
    </row>
    <row r="14251" spans="1:8" s="682" customFormat="1" ht="15" customHeight="1" x14ac:dyDescent="0.25">
      <c r="A14251" s="734">
        <v>44961</v>
      </c>
      <c r="B14251" s="63" t="s">
        <v>8876</v>
      </c>
      <c r="C14251" s="63" t="s">
        <v>3145</v>
      </c>
      <c r="D14251" s="183" t="s">
        <v>9293</v>
      </c>
      <c r="E14251" s="126">
        <v>650</v>
      </c>
      <c r="F14251" s="126"/>
      <c r="G14251" s="126">
        <f t="shared" si="228"/>
        <v>-650</v>
      </c>
      <c r="H14251" s="705" t="s">
        <v>9260</v>
      </c>
    </row>
    <row r="14252" spans="1:8" s="682" customFormat="1" ht="15" customHeight="1" x14ac:dyDescent="0.25">
      <c r="A14252" s="734">
        <v>44961</v>
      </c>
      <c r="B14252" s="63" t="s">
        <v>8868</v>
      </c>
      <c r="C14252" s="63" t="s">
        <v>3145</v>
      </c>
      <c r="D14252" s="183" t="s">
        <v>9292</v>
      </c>
      <c r="E14252" s="126">
        <v>17000</v>
      </c>
      <c r="F14252" s="126"/>
      <c r="G14252" s="126">
        <f t="shared" si="228"/>
        <v>-17000</v>
      </c>
      <c r="H14252" s="705" t="s">
        <v>9260</v>
      </c>
    </row>
    <row r="14253" spans="1:8" s="682" customFormat="1" ht="15" customHeight="1" x14ac:dyDescent="0.25">
      <c r="A14253" s="734">
        <v>44961</v>
      </c>
      <c r="B14253" s="63" t="s">
        <v>25</v>
      </c>
      <c r="C14253" s="63" t="s">
        <v>2428</v>
      </c>
      <c r="D14253" s="183" t="s">
        <v>9294</v>
      </c>
      <c r="E14253" s="126">
        <v>41000</v>
      </c>
      <c r="F14253" s="126"/>
      <c r="G14253" s="126">
        <f t="shared" si="228"/>
        <v>-41000</v>
      </c>
      <c r="H14253" s="705" t="s">
        <v>9260</v>
      </c>
    </row>
    <row r="14254" spans="1:8" s="682" customFormat="1" ht="15" customHeight="1" x14ac:dyDescent="0.25">
      <c r="A14254" s="734">
        <v>44961</v>
      </c>
      <c r="B14254" s="63" t="s">
        <v>25</v>
      </c>
      <c r="C14254" s="63" t="s">
        <v>2428</v>
      </c>
      <c r="D14254" s="183" t="s">
        <v>9295</v>
      </c>
      <c r="E14254" s="126">
        <v>38974</v>
      </c>
      <c r="F14254" s="126"/>
      <c r="G14254" s="126">
        <f t="shared" si="228"/>
        <v>-38974</v>
      </c>
      <c r="H14254" s="705" t="s">
        <v>9260</v>
      </c>
    </row>
    <row r="14255" spans="1:8" s="682" customFormat="1" ht="15" customHeight="1" x14ac:dyDescent="0.25">
      <c r="A14255" s="734">
        <v>44961</v>
      </c>
      <c r="B14255" s="63" t="s">
        <v>8043</v>
      </c>
      <c r="C14255" s="63" t="s">
        <v>790</v>
      </c>
      <c r="D14255" s="183"/>
      <c r="E14255" s="126">
        <v>720</v>
      </c>
      <c r="F14255" s="126"/>
      <c r="G14255" s="126">
        <f t="shared" si="228"/>
        <v>-720</v>
      </c>
      <c r="H14255" s="705" t="s">
        <v>9260</v>
      </c>
    </row>
    <row r="14256" spans="1:8" s="682" customFormat="1" ht="15" customHeight="1" x14ac:dyDescent="0.25">
      <c r="A14256" s="734">
        <v>44961</v>
      </c>
      <c r="B14256" s="63" t="s">
        <v>8876</v>
      </c>
      <c r="C14256" s="63" t="s">
        <v>790</v>
      </c>
      <c r="D14256" s="183"/>
      <c r="E14256" s="126">
        <v>2240</v>
      </c>
      <c r="F14256" s="126"/>
      <c r="G14256" s="126">
        <f t="shared" si="228"/>
        <v>-2240</v>
      </c>
      <c r="H14256" s="705" t="s">
        <v>9260</v>
      </c>
    </row>
    <row r="14257" spans="1:8" s="682" customFormat="1" ht="15" customHeight="1" x14ac:dyDescent="0.25">
      <c r="A14257" s="734">
        <v>44961</v>
      </c>
      <c r="B14257" s="63" t="s">
        <v>8868</v>
      </c>
      <c r="C14257" s="63" t="s">
        <v>790</v>
      </c>
      <c r="D14257" s="183"/>
      <c r="E14257" s="126">
        <v>90</v>
      </c>
      <c r="F14257" s="126"/>
      <c r="G14257" s="126">
        <f t="shared" si="228"/>
        <v>-90</v>
      </c>
      <c r="H14257" s="705" t="s">
        <v>9260</v>
      </c>
    </row>
    <row r="14258" spans="1:8" s="682" customFormat="1" ht="15" customHeight="1" x14ac:dyDescent="0.25">
      <c r="A14258" s="734">
        <v>44961</v>
      </c>
      <c r="B14258" s="63" t="s">
        <v>7921</v>
      </c>
      <c r="C14258" s="63" t="s">
        <v>790</v>
      </c>
      <c r="D14258" s="183"/>
      <c r="E14258" s="126">
        <v>2730</v>
      </c>
      <c r="F14258" s="126"/>
      <c r="G14258" s="126">
        <f t="shared" si="228"/>
        <v>-2730</v>
      </c>
      <c r="H14258" s="705" t="s">
        <v>9260</v>
      </c>
    </row>
    <row r="14259" spans="1:8" s="682" customFormat="1" ht="15" customHeight="1" x14ac:dyDescent="0.25">
      <c r="A14259" s="734">
        <v>44961</v>
      </c>
      <c r="B14259" s="63" t="s">
        <v>8559</v>
      </c>
      <c r="C14259" s="63" t="s">
        <v>790</v>
      </c>
      <c r="D14259" s="183"/>
      <c r="E14259" s="126">
        <v>680</v>
      </c>
      <c r="F14259" s="126"/>
      <c r="G14259" s="126">
        <f t="shared" ref="G14259:G14322" si="229">F14259-E14259</f>
        <v>-680</v>
      </c>
      <c r="H14259" s="705" t="s">
        <v>9260</v>
      </c>
    </row>
    <row r="14260" spans="1:8" s="682" customFormat="1" ht="15" customHeight="1" x14ac:dyDescent="0.25">
      <c r="A14260" s="734">
        <v>44961</v>
      </c>
      <c r="B14260" s="63" t="s">
        <v>37</v>
      </c>
      <c r="C14260" s="63" t="s">
        <v>392</v>
      </c>
      <c r="D14260" s="183" t="s">
        <v>9313</v>
      </c>
      <c r="E14260" s="126">
        <v>3000</v>
      </c>
      <c r="F14260" s="126"/>
      <c r="G14260" s="126">
        <f t="shared" si="229"/>
        <v>-3000</v>
      </c>
      <c r="H14260" s="705" t="s">
        <v>9260</v>
      </c>
    </row>
    <row r="14261" spans="1:8" s="682" customFormat="1" ht="15" customHeight="1" x14ac:dyDescent="0.25">
      <c r="A14261" s="734">
        <v>44961</v>
      </c>
      <c r="B14261" s="63" t="s">
        <v>16</v>
      </c>
      <c r="C14261" s="63" t="s">
        <v>3843</v>
      </c>
      <c r="D14261" s="183" t="s">
        <v>8712</v>
      </c>
      <c r="E14261" s="126">
        <v>7120</v>
      </c>
      <c r="F14261" s="126"/>
      <c r="G14261" s="126">
        <f t="shared" si="229"/>
        <v>-7120</v>
      </c>
      <c r="H14261" s="705" t="s">
        <v>9260</v>
      </c>
    </row>
    <row r="14262" spans="1:8" s="682" customFormat="1" ht="15" customHeight="1" x14ac:dyDescent="0.25">
      <c r="A14262" s="734">
        <v>44963</v>
      </c>
      <c r="B14262" s="63" t="s">
        <v>8043</v>
      </c>
      <c r="C14262" s="63" t="s">
        <v>3145</v>
      </c>
      <c r="D14262" s="183" t="s">
        <v>9296</v>
      </c>
      <c r="E14262" s="126">
        <v>9460</v>
      </c>
      <c r="F14262" s="126"/>
      <c r="G14262" s="126">
        <f t="shared" si="229"/>
        <v>-9460</v>
      </c>
      <c r="H14262" s="705" t="s">
        <v>9260</v>
      </c>
    </row>
    <row r="14263" spans="1:8" s="682" customFormat="1" ht="15" customHeight="1" x14ac:dyDescent="0.25">
      <c r="A14263" s="734">
        <v>44963</v>
      </c>
      <c r="B14263" s="63" t="s">
        <v>8339</v>
      </c>
      <c r="C14263" s="63" t="s">
        <v>3145</v>
      </c>
      <c r="D14263" s="183" t="s">
        <v>9297</v>
      </c>
      <c r="E14263" s="126">
        <v>350</v>
      </c>
      <c r="F14263" s="126"/>
      <c r="G14263" s="126">
        <f t="shared" si="229"/>
        <v>-350</v>
      </c>
      <c r="H14263" s="705" t="s">
        <v>9260</v>
      </c>
    </row>
    <row r="14264" spans="1:8" s="682" customFormat="1" ht="15" customHeight="1" x14ac:dyDescent="0.25">
      <c r="A14264" s="734">
        <v>44963</v>
      </c>
      <c r="B14264" s="63" t="s">
        <v>8876</v>
      </c>
      <c r="C14264" s="63" t="s">
        <v>286</v>
      </c>
      <c r="D14264" s="183" t="s">
        <v>9298</v>
      </c>
      <c r="E14264" s="126">
        <v>1100</v>
      </c>
      <c r="F14264" s="126"/>
      <c r="G14264" s="126">
        <f t="shared" si="229"/>
        <v>-1100</v>
      </c>
      <c r="H14264" s="705" t="s">
        <v>9260</v>
      </c>
    </row>
    <row r="14265" spans="1:8" s="682" customFormat="1" ht="15" customHeight="1" x14ac:dyDescent="0.25">
      <c r="A14265" s="734">
        <v>44963</v>
      </c>
      <c r="B14265" s="63" t="s">
        <v>16</v>
      </c>
      <c r="C14265" s="63" t="s">
        <v>1495</v>
      </c>
      <c r="D14265" s="183"/>
      <c r="E14265" s="126">
        <v>1100</v>
      </c>
      <c r="F14265" s="126"/>
      <c r="G14265" s="126">
        <f t="shared" si="229"/>
        <v>-1100</v>
      </c>
      <c r="H14265" s="705" t="s">
        <v>9260</v>
      </c>
    </row>
    <row r="14266" spans="1:8" s="682" customFormat="1" ht="15" customHeight="1" x14ac:dyDescent="0.25">
      <c r="A14266" s="734">
        <v>44963</v>
      </c>
      <c r="B14266" s="63" t="s">
        <v>8876</v>
      </c>
      <c r="C14266" s="63" t="s">
        <v>5741</v>
      </c>
      <c r="D14266" s="183" t="s">
        <v>9314</v>
      </c>
      <c r="E14266" s="126">
        <v>5000</v>
      </c>
      <c r="F14266" s="126"/>
      <c r="G14266" s="126">
        <f t="shared" si="229"/>
        <v>-5000</v>
      </c>
      <c r="H14266" s="705" t="s">
        <v>9260</v>
      </c>
    </row>
    <row r="14267" spans="1:8" s="682" customFormat="1" ht="15" customHeight="1" x14ac:dyDescent="0.25">
      <c r="A14267" s="734">
        <v>44963</v>
      </c>
      <c r="B14267" s="63" t="s">
        <v>16</v>
      </c>
      <c r="C14267" s="63" t="s">
        <v>3843</v>
      </c>
      <c r="D14267" s="183" t="s">
        <v>8712</v>
      </c>
      <c r="E14267" s="126">
        <v>7325</v>
      </c>
      <c r="F14267" s="126"/>
      <c r="G14267" s="126">
        <f t="shared" si="229"/>
        <v>-7325</v>
      </c>
      <c r="H14267" s="705" t="s">
        <v>9260</v>
      </c>
    </row>
    <row r="14268" spans="1:8" s="682" customFormat="1" ht="15" customHeight="1" x14ac:dyDescent="0.25">
      <c r="A14268" s="734">
        <v>44963</v>
      </c>
      <c r="B14268" s="63" t="s">
        <v>16</v>
      </c>
      <c r="C14268" s="63" t="s">
        <v>3364</v>
      </c>
      <c r="D14268" s="183"/>
      <c r="E14268" s="126">
        <v>5000</v>
      </c>
      <c r="F14268" s="126"/>
      <c r="G14268" s="126">
        <f t="shared" si="229"/>
        <v>-5000</v>
      </c>
      <c r="H14268" s="705" t="s">
        <v>9260</v>
      </c>
    </row>
    <row r="14269" spans="1:8" s="682" customFormat="1" ht="15" customHeight="1" x14ac:dyDescent="0.25">
      <c r="A14269" s="734">
        <v>44963</v>
      </c>
      <c r="B14269" s="63" t="s">
        <v>8043</v>
      </c>
      <c r="C14269" s="63" t="s">
        <v>3145</v>
      </c>
      <c r="D14269" s="183" t="s">
        <v>9359</v>
      </c>
      <c r="E14269" s="126">
        <v>2500</v>
      </c>
      <c r="F14269" s="126"/>
      <c r="G14269" s="126">
        <f t="shared" si="229"/>
        <v>-2500</v>
      </c>
      <c r="H14269" s="705" t="s">
        <v>9260</v>
      </c>
    </row>
    <row r="14270" spans="1:8" s="682" customFormat="1" ht="15" customHeight="1" x14ac:dyDescent="0.25">
      <c r="A14270" s="734">
        <v>44963</v>
      </c>
      <c r="B14270" s="63" t="s">
        <v>8339</v>
      </c>
      <c r="C14270" s="63" t="s">
        <v>3145</v>
      </c>
      <c r="D14270" s="183" t="s">
        <v>9359</v>
      </c>
      <c r="E14270" s="126">
        <v>2500</v>
      </c>
      <c r="F14270" s="126"/>
      <c r="G14270" s="126">
        <f t="shared" si="229"/>
        <v>-2500</v>
      </c>
      <c r="H14270" s="705" t="s">
        <v>9260</v>
      </c>
    </row>
    <row r="14271" spans="1:8" s="682" customFormat="1" ht="15" customHeight="1" x14ac:dyDescent="0.25">
      <c r="A14271" s="734">
        <v>44966</v>
      </c>
      <c r="B14271" s="63" t="s">
        <v>8559</v>
      </c>
      <c r="C14271" s="63" t="s">
        <v>3145</v>
      </c>
      <c r="D14271" s="183" t="s">
        <v>6057</v>
      </c>
      <c r="E14271" s="126">
        <v>27860</v>
      </c>
      <c r="F14271" s="126"/>
      <c r="G14271" s="126">
        <f t="shared" si="229"/>
        <v>-27860</v>
      </c>
      <c r="H14271" s="705" t="s">
        <v>9260</v>
      </c>
    </row>
    <row r="14272" spans="1:8" s="682" customFormat="1" ht="24" customHeight="1" x14ac:dyDescent="0.25">
      <c r="A14272" s="734">
        <v>44966</v>
      </c>
      <c r="B14272" s="63" t="s">
        <v>3945</v>
      </c>
      <c r="C14272" s="63" t="s">
        <v>3145</v>
      </c>
      <c r="D14272" s="183" t="s">
        <v>9299</v>
      </c>
      <c r="E14272" s="126">
        <v>30000</v>
      </c>
      <c r="F14272" s="126"/>
      <c r="G14272" s="126">
        <f t="shared" si="229"/>
        <v>-30000</v>
      </c>
      <c r="H14272" s="705" t="s">
        <v>9260</v>
      </c>
    </row>
    <row r="14273" spans="1:8" s="682" customFormat="1" ht="15" customHeight="1" x14ac:dyDescent="0.25">
      <c r="A14273" s="734">
        <v>44966</v>
      </c>
      <c r="B14273" s="63" t="s">
        <v>8876</v>
      </c>
      <c r="C14273" s="63" t="s">
        <v>8708</v>
      </c>
      <c r="D14273" s="2" t="s">
        <v>9311</v>
      </c>
      <c r="E14273" s="126">
        <v>100000</v>
      </c>
      <c r="F14273" s="126"/>
      <c r="G14273" s="126">
        <f t="shared" si="229"/>
        <v>-100000</v>
      </c>
      <c r="H14273" s="705" t="s">
        <v>9260</v>
      </c>
    </row>
    <row r="14274" spans="1:8" s="682" customFormat="1" ht="15" x14ac:dyDescent="0.2">
      <c r="A14274" s="734">
        <v>44967</v>
      </c>
      <c r="B14274" s="63" t="s">
        <v>3946</v>
      </c>
      <c r="C14274" s="629" t="s">
        <v>3003</v>
      </c>
      <c r="D14274" s="895" t="s">
        <v>9312</v>
      </c>
      <c r="E14274" s="630">
        <v>30152</v>
      </c>
      <c r="F14274" s="126"/>
      <c r="G14274" s="126">
        <f t="shared" si="229"/>
        <v>-30152</v>
      </c>
      <c r="H14274" s="705" t="s">
        <v>9260</v>
      </c>
    </row>
    <row r="14275" spans="1:8" s="682" customFormat="1" ht="15" x14ac:dyDescent="0.2">
      <c r="A14275" s="734">
        <v>44967</v>
      </c>
      <c r="B14275" s="63" t="s">
        <v>3945</v>
      </c>
      <c r="C14275" s="629" t="s">
        <v>3003</v>
      </c>
      <c r="D14275" s="895" t="s">
        <v>9312</v>
      </c>
      <c r="E14275" s="630">
        <v>32760</v>
      </c>
      <c r="F14275" s="126"/>
      <c r="G14275" s="126">
        <f t="shared" si="229"/>
        <v>-32760</v>
      </c>
      <c r="H14275" s="705" t="s">
        <v>9260</v>
      </c>
    </row>
    <row r="14276" spans="1:8" s="682" customFormat="1" ht="15" x14ac:dyDescent="0.2">
      <c r="A14276" s="734">
        <v>44967</v>
      </c>
      <c r="B14276" s="63" t="s">
        <v>37</v>
      </c>
      <c r="C14276" s="629" t="s">
        <v>3003</v>
      </c>
      <c r="D14276" s="895" t="s">
        <v>9312</v>
      </c>
      <c r="E14276" s="630">
        <v>15560</v>
      </c>
      <c r="F14276" s="126"/>
      <c r="G14276" s="126">
        <f t="shared" si="229"/>
        <v>-15560</v>
      </c>
      <c r="H14276" s="705" t="s">
        <v>9260</v>
      </c>
    </row>
    <row r="14277" spans="1:8" s="682" customFormat="1" ht="15" x14ac:dyDescent="0.2">
      <c r="A14277" s="734">
        <v>44967</v>
      </c>
      <c r="B14277" s="63" t="s">
        <v>7555</v>
      </c>
      <c r="C14277" s="629" t="s">
        <v>3003</v>
      </c>
      <c r="D14277" s="895" t="s">
        <v>9312</v>
      </c>
      <c r="E14277" s="630">
        <v>49400</v>
      </c>
      <c r="F14277" s="126"/>
      <c r="G14277" s="126">
        <f t="shared" si="229"/>
        <v>-49400</v>
      </c>
      <c r="H14277" s="705" t="s">
        <v>9260</v>
      </c>
    </row>
    <row r="14278" spans="1:8" s="682" customFormat="1" ht="15" x14ac:dyDescent="0.2">
      <c r="A14278" s="734">
        <v>44967</v>
      </c>
      <c r="B14278" s="63" t="s">
        <v>2933</v>
      </c>
      <c r="C14278" s="41" t="s">
        <v>392</v>
      </c>
      <c r="D14278" s="108" t="s">
        <v>9318</v>
      </c>
      <c r="E14278" s="58">
        <v>765</v>
      </c>
      <c r="F14278" s="126"/>
      <c r="G14278" s="126">
        <f t="shared" si="229"/>
        <v>-765</v>
      </c>
      <c r="H14278" s="705" t="s">
        <v>9260</v>
      </c>
    </row>
    <row r="14279" spans="1:8" s="682" customFormat="1" ht="15" x14ac:dyDescent="0.2">
      <c r="A14279" s="734">
        <v>44967</v>
      </c>
      <c r="B14279" s="63" t="s">
        <v>8876</v>
      </c>
      <c r="C14279" s="41" t="s">
        <v>3145</v>
      </c>
      <c r="D14279" s="108" t="s">
        <v>4309</v>
      </c>
      <c r="E14279" s="58">
        <v>2600</v>
      </c>
      <c r="F14279" s="126"/>
      <c r="G14279" s="126">
        <f t="shared" si="229"/>
        <v>-2600</v>
      </c>
      <c r="H14279" s="705" t="s">
        <v>9260</v>
      </c>
    </row>
    <row r="14280" spans="1:8" s="682" customFormat="1" ht="15" x14ac:dyDescent="0.2">
      <c r="A14280" s="734">
        <v>44967</v>
      </c>
      <c r="B14280" s="63" t="s">
        <v>2933</v>
      </c>
      <c r="C14280" s="41" t="s">
        <v>3145</v>
      </c>
      <c r="D14280" s="108" t="s">
        <v>6486</v>
      </c>
      <c r="E14280" s="58">
        <v>2550</v>
      </c>
      <c r="F14280" s="126"/>
      <c r="G14280" s="126">
        <f t="shared" si="229"/>
        <v>-2550</v>
      </c>
      <c r="H14280" s="705" t="s">
        <v>9260</v>
      </c>
    </row>
    <row r="14281" spans="1:8" s="682" customFormat="1" ht="15" customHeight="1" x14ac:dyDescent="0.2">
      <c r="A14281" s="734">
        <v>44967</v>
      </c>
      <c r="B14281" s="63" t="s">
        <v>2933</v>
      </c>
      <c r="C14281" s="41" t="s">
        <v>3145</v>
      </c>
      <c r="D14281" s="108" t="s">
        <v>6486</v>
      </c>
      <c r="E14281" s="58">
        <v>920</v>
      </c>
      <c r="F14281" s="126"/>
      <c r="G14281" s="126">
        <f t="shared" si="229"/>
        <v>-920</v>
      </c>
      <c r="H14281" s="705" t="s">
        <v>9260</v>
      </c>
    </row>
    <row r="14282" spans="1:8" s="682" customFormat="1" ht="15" x14ac:dyDescent="0.2">
      <c r="A14282" s="734">
        <v>44967</v>
      </c>
      <c r="B14282" s="63" t="s">
        <v>2933</v>
      </c>
      <c r="C14282" s="629" t="s">
        <v>3003</v>
      </c>
      <c r="D14282" s="895" t="s">
        <v>9319</v>
      </c>
      <c r="E14282" s="630">
        <v>59613</v>
      </c>
      <c r="F14282" s="126"/>
      <c r="G14282" s="126">
        <f t="shared" si="229"/>
        <v>-59613</v>
      </c>
      <c r="H14282" s="705" t="s">
        <v>9260</v>
      </c>
    </row>
    <row r="14283" spans="1:8" s="682" customFormat="1" ht="15" x14ac:dyDescent="0.2">
      <c r="A14283" s="734">
        <v>44968</v>
      </c>
      <c r="B14283" s="63" t="s">
        <v>8876</v>
      </c>
      <c r="C14283" s="41" t="s">
        <v>286</v>
      </c>
      <c r="D14283" s="108" t="s">
        <v>9320</v>
      </c>
      <c r="E14283" s="58">
        <v>1050</v>
      </c>
      <c r="F14283" s="126"/>
      <c r="G14283" s="126">
        <f t="shared" si="229"/>
        <v>-1050</v>
      </c>
      <c r="H14283" s="705" t="s">
        <v>9260</v>
      </c>
    </row>
    <row r="14284" spans="1:8" s="682" customFormat="1" ht="15" x14ac:dyDescent="0.2">
      <c r="A14284" s="734">
        <v>44968</v>
      </c>
      <c r="B14284" s="63" t="s">
        <v>8876</v>
      </c>
      <c r="C14284" s="41" t="s">
        <v>392</v>
      </c>
      <c r="D14284" s="108" t="s">
        <v>9321</v>
      </c>
      <c r="E14284" s="58">
        <v>1050</v>
      </c>
      <c r="F14284" s="126"/>
      <c r="G14284" s="126">
        <f t="shared" si="229"/>
        <v>-1050</v>
      </c>
      <c r="H14284" s="705" t="s">
        <v>9260</v>
      </c>
    </row>
    <row r="14285" spans="1:8" s="682" customFormat="1" ht="15" x14ac:dyDescent="0.2">
      <c r="A14285" s="734">
        <v>44968</v>
      </c>
      <c r="B14285" s="63" t="s">
        <v>8876</v>
      </c>
      <c r="C14285" s="41" t="s">
        <v>392</v>
      </c>
      <c r="D14285" s="108" t="s">
        <v>9322</v>
      </c>
      <c r="E14285" s="58">
        <v>800</v>
      </c>
      <c r="F14285" s="126"/>
      <c r="G14285" s="126">
        <f t="shared" si="229"/>
        <v>-800</v>
      </c>
      <c r="H14285" s="705" t="s">
        <v>9260</v>
      </c>
    </row>
    <row r="14286" spans="1:8" s="682" customFormat="1" ht="15" x14ac:dyDescent="0.2">
      <c r="A14286" s="734">
        <v>44968</v>
      </c>
      <c r="B14286" s="63" t="s">
        <v>25</v>
      </c>
      <c r="C14286" s="41" t="s">
        <v>2428</v>
      </c>
      <c r="D14286" s="108" t="s">
        <v>9323</v>
      </c>
      <c r="E14286" s="58">
        <v>4000</v>
      </c>
      <c r="F14286" s="126"/>
      <c r="G14286" s="126">
        <f t="shared" si="229"/>
        <v>-4000</v>
      </c>
      <c r="H14286" s="705" t="s">
        <v>9260</v>
      </c>
    </row>
    <row r="14287" spans="1:8" s="682" customFormat="1" ht="15" x14ac:dyDescent="0.2">
      <c r="A14287" s="734">
        <v>44968</v>
      </c>
      <c r="B14287" s="63" t="s">
        <v>16</v>
      </c>
      <c r="C14287" s="41" t="s">
        <v>3843</v>
      </c>
      <c r="D14287" s="108" t="s">
        <v>9340</v>
      </c>
      <c r="E14287" s="58">
        <v>1280</v>
      </c>
      <c r="F14287" s="126"/>
      <c r="G14287" s="126">
        <f t="shared" si="229"/>
        <v>-1280</v>
      </c>
      <c r="H14287" s="705" t="s">
        <v>9260</v>
      </c>
    </row>
    <row r="14288" spans="1:8" s="682" customFormat="1" ht="15" x14ac:dyDescent="0.2">
      <c r="A14288" s="734">
        <v>44968</v>
      </c>
      <c r="B14288" s="63" t="s">
        <v>16</v>
      </c>
      <c r="C14288" s="41" t="s">
        <v>3843</v>
      </c>
      <c r="D14288" s="108" t="s">
        <v>9341</v>
      </c>
      <c r="E14288" s="58">
        <v>3529</v>
      </c>
      <c r="F14288" s="126"/>
      <c r="G14288" s="126">
        <f t="shared" si="229"/>
        <v>-3529</v>
      </c>
      <c r="H14288" s="705" t="s">
        <v>9260</v>
      </c>
    </row>
    <row r="14289" spans="1:8" s="682" customFormat="1" ht="15" x14ac:dyDescent="0.2">
      <c r="A14289" s="734">
        <v>44970</v>
      </c>
      <c r="B14289" s="63" t="s">
        <v>8876</v>
      </c>
      <c r="C14289" s="582" t="s">
        <v>3145</v>
      </c>
      <c r="D14289" s="893" t="s">
        <v>6979</v>
      </c>
      <c r="E14289" s="583">
        <v>7000</v>
      </c>
      <c r="F14289" s="126"/>
      <c r="G14289" s="126">
        <f t="shared" si="229"/>
        <v>-7000</v>
      </c>
      <c r="H14289" s="705" t="s">
        <v>9260</v>
      </c>
    </row>
    <row r="14290" spans="1:8" s="682" customFormat="1" ht="15" x14ac:dyDescent="0.2">
      <c r="A14290" s="734">
        <v>44970</v>
      </c>
      <c r="B14290" s="63" t="s">
        <v>8043</v>
      </c>
      <c r="C14290" s="582" t="s">
        <v>3145</v>
      </c>
      <c r="D14290" s="893" t="s">
        <v>6979</v>
      </c>
      <c r="E14290" s="583">
        <v>5900</v>
      </c>
      <c r="F14290" s="126"/>
      <c r="G14290" s="126">
        <f t="shared" si="229"/>
        <v>-5900</v>
      </c>
      <c r="H14290" s="705" t="s">
        <v>9260</v>
      </c>
    </row>
    <row r="14291" spans="1:8" s="682" customFormat="1" ht="15" x14ac:dyDescent="0.2">
      <c r="A14291" s="734">
        <v>44970</v>
      </c>
      <c r="B14291" s="63" t="s">
        <v>8657</v>
      </c>
      <c r="C14291" s="41" t="s">
        <v>392</v>
      </c>
      <c r="D14291" s="108" t="s">
        <v>4426</v>
      </c>
      <c r="E14291" s="58">
        <v>4000</v>
      </c>
      <c r="F14291" s="126"/>
      <c r="G14291" s="126">
        <f t="shared" si="229"/>
        <v>-4000</v>
      </c>
      <c r="H14291" s="705" t="s">
        <v>9260</v>
      </c>
    </row>
    <row r="14292" spans="1:8" s="682" customFormat="1" ht="15" x14ac:dyDescent="0.2">
      <c r="A14292" s="734">
        <v>44970</v>
      </c>
      <c r="B14292" s="63" t="s">
        <v>8559</v>
      </c>
      <c r="C14292" s="41" t="s">
        <v>392</v>
      </c>
      <c r="D14292" s="108" t="s">
        <v>4426</v>
      </c>
      <c r="E14292" s="58">
        <v>3000</v>
      </c>
      <c r="F14292" s="126"/>
      <c r="G14292" s="126">
        <f t="shared" si="229"/>
        <v>-3000</v>
      </c>
      <c r="H14292" s="705" t="s">
        <v>9260</v>
      </c>
    </row>
    <row r="14293" spans="1:8" s="682" customFormat="1" ht="15" x14ac:dyDescent="0.2">
      <c r="A14293" s="734">
        <v>44970</v>
      </c>
      <c r="B14293" s="63" t="s">
        <v>37</v>
      </c>
      <c r="C14293" s="41" t="s">
        <v>392</v>
      </c>
      <c r="D14293" s="108" t="s">
        <v>4426</v>
      </c>
      <c r="E14293" s="58">
        <v>2000</v>
      </c>
      <c r="F14293" s="126"/>
      <c r="G14293" s="126">
        <f t="shared" si="229"/>
        <v>-2000</v>
      </c>
      <c r="H14293" s="705" t="s">
        <v>9260</v>
      </c>
    </row>
    <row r="14294" spans="1:8" s="682" customFormat="1" ht="15" x14ac:dyDescent="0.2">
      <c r="A14294" s="734">
        <v>44971</v>
      </c>
      <c r="B14294" s="63" t="s">
        <v>8876</v>
      </c>
      <c r="C14294" s="41" t="s">
        <v>1063</v>
      </c>
      <c r="D14294" s="108" t="s">
        <v>1157</v>
      </c>
      <c r="E14294" s="58">
        <v>100000</v>
      </c>
      <c r="F14294" s="126"/>
      <c r="G14294" s="126">
        <f t="shared" si="229"/>
        <v>-100000</v>
      </c>
      <c r="H14294" s="705" t="s">
        <v>9260</v>
      </c>
    </row>
    <row r="14295" spans="1:8" s="682" customFormat="1" ht="15" x14ac:dyDescent="0.2">
      <c r="A14295" s="734">
        <v>44971</v>
      </c>
      <c r="B14295" s="63" t="s">
        <v>8339</v>
      </c>
      <c r="C14295" s="41" t="s">
        <v>6706</v>
      </c>
      <c r="D14295" s="108" t="s">
        <v>9336</v>
      </c>
      <c r="E14295" s="58">
        <v>400000</v>
      </c>
      <c r="F14295" s="126"/>
      <c r="G14295" s="126">
        <f t="shared" si="229"/>
        <v>-400000</v>
      </c>
      <c r="H14295" s="705" t="s">
        <v>9260</v>
      </c>
    </row>
    <row r="14296" spans="1:8" s="682" customFormat="1" ht="15" x14ac:dyDescent="0.2">
      <c r="A14296" s="734">
        <v>44971</v>
      </c>
      <c r="B14296" s="63" t="s">
        <v>8657</v>
      </c>
      <c r="C14296" s="41" t="s">
        <v>8394</v>
      </c>
      <c r="D14296" s="108" t="s">
        <v>9336</v>
      </c>
      <c r="E14296" s="58">
        <v>650000</v>
      </c>
      <c r="F14296" s="126"/>
      <c r="G14296" s="126">
        <f t="shared" si="229"/>
        <v>-650000</v>
      </c>
      <c r="H14296" s="705" t="s">
        <v>9260</v>
      </c>
    </row>
    <row r="14297" spans="1:8" s="682" customFormat="1" ht="15" x14ac:dyDescent="0.2">
      <c r="A14297" s="734">
        <v>44971</v>
      </c>
      <c r="B14297" s="63" t="s">
        <v>2933</v>
      </c>
      <c r="C14297" s="41" t="s">
        <v>3145</v>
      </c>
      <c r="D14297" s="108" t="s">
        <v>9337</v>
      </c>
      <c r="E14297" s="58">
        <v>3600</v>
      </c>
      <c r="F14297" s="126"/>
      <c r="G14297" s="126">
        <f t="shared" si="229"/>
        <v>-3600</v>
      </c>
      <c r="H14297" s="705" t="s">
        <v>9260</v>
      </c>
    </row>
    <row r="14298" spans="1:8" s="682" customFormat="1" ht="15" x14ac:dyDescent="0.2">
      <c r="A14298" s="734">
        <v>44971</v>
      </c>
      <c r="B14298" s="63" t="s">
        <v>8876</v>
      </c>
      <c r="C14298" s="41" t="s">
        <v>3145</v>
      </c>
      <c r="D14298" s="108" t="s">
        <v>9339</v>
      </c>
      <c r="E14298" s="58">
        <v>9000</v>
      </c>
      <c r="F14298" s="126"/>
      <c r="G14298" s="126">
        <f t="shared" si="229"/>
        <v>-9000</v>
      </c>
      <c r="H14298" s="705" t="s">
        <v>9260</v>
      </c>
    </row>
    <row r="14299" spans="1:8" s="682" customFormat="1" ht="15" x14ac:dyDescent="0.2">
      <c r="A14299" s="734">
        <v>44971</v>
      </c>
      <c r="B14299" s="63" t="s">
        <v>16</v>
      </c>
      <c r="C14299" s="41" t="s">
        <v>3843</v>
      </c>
      <c r="D14299" s="108" t="s">
        <v>8158</v>
      </c>
      <c r="E14299" s="58">
        <v>5500</v>
      </c>
      <c r="F14299" s="126"/>
      <c r="G14299" s="126">
        <f t="shared" si="229"/>
        <v>-5500</v>
      </c>
      <c r="H14299" s="705" t="s">
        <v>9260</v>
      </c>
    </row>
    <row r="14300" spans="1:8" s="682" customFormat="1" ht="15" x14ac:dyDescent="0.2">
      <c r="A14300" s="734">
        <v>44971</v>
      </c>
      <c r="B14300" s="63" t="s">
        <v>8043</v>
      </c>
      <c r="C14300" s="41" t="s">
        <v>3145</v>
      </c>
      <c r="D14300" s="108" t="s">
        <v>9342</v>
      </c>
      <c r="E14300" s="58">
        <v>6450</v>
      </c>
      <c r="F14300" s="126"/>
      <c r="G14300" s="126">
        <f t="shared" si="229"/>
        <v>-6450</v>
      </c>
      <c r="H14300" s="705" t="s">
        <v>9260</v>
      </c>
    </row>
    <row r="14301" spans="1:8" s="682" customFormat="1" ht="15" x14ac:dyDescent="0.2">
      <c r="A14301" s="734">
        <v>44972</v>
      </c>
      <c r="B14301" s="63" t="s">
        <v>8876</v>
      </c>
      <c r="C14301" s="41" t="s">
        <v>286</v>
      </c>
      <c r="D14301" s="108" t="s">
        <v>3150</v>
      </c>
      <c r="E14301" s="58">
        <v>400</v>
      </c>
      <c r="F14301" s="126"/>
      <c r="G14301" s="126">
        <f t="shared" si="229"/>
        <v>-400</v>
      </c>
      <c r="H14301" s="705" t="s">
        <v>9260</v>
      </c>
    </row>
    <row r="14302" spans="1:8" s="682" customFormat="1" ht="15" x14ac:dyDescent="0.2">
      <c r="A14302" s="734">
        <v>44972</v>
      </c>
      <c r="B14302" s="63" t="s">
        <v>8657</v>
      </c>
      <c r="C14302" s="41" t="s">
        <v>3145</v>
      </c>
      <c r="D14302" s="108" t="s">
        <v>9343</v>
      </c>
      <c r="E14302" s="58">
        <v>41200</v>
      </c>
      <c r="F14302" s="126"/>
      <c r="G14302" s="126">
        <f t="shared" si="229"/>
        <v>-41200</v>
      </c>
      <c r="H14302" s="705" t="s">
        <v>9260</v>
      </c>
    </row>
    <row r="14303" spans="1:8" s="682" customFormat="1" ht="15" x14ac:dyDescent="0.2">
      <c r="A14303" s="734">
        <v>44972</v>
      </c>
      <c r="B14303" s="63" t="s">
        <v>8339</v>
      </c>
      <c r="C14303" s="41" t="s">
        <v>6624</v>
      </c>
      <c r="D14303" s="108" t="s">
        <v>1157</v>
      </c>
      <c r="E14303" s="58">
        <v>30000</v>
      </c>
      <c r="F14303" s="126"/>
      <c r="G14303" s="126">
        <f t="shared" si="229"/>
        <v>-30000</v>
      </c>
      <c r="H14303" s="705" t="s">
        <v>9260</v>
      </c>
    </row>
    <row r="14304" spans="1:8" s="682" customFormat="1" ht="15" x14ac:dyDescent="0.2">
      <c r="A14304" s="734">
        <v>44972</v>
      </c>
      <c r="B14304" s="63" t="s">
        <v>6505</v>
      </c>
      <c r="C14304" s="41" t="s">
        <v>3145</v>
      </c>
      <c r="D14304" s="108" t="s">
        <v>9344</v>
      </c>
      <c r="E14304" s="58">
        <v>57800</v>
      </c>
      <c r="F14304" s="126"/>
      <c r="G14304" s="126">
        <f t="shared" si="229"/>
        <v>-57800</v>
      </c>
      <c r="H14304" s="705" t="s">
        <v>9260</v>
      </c>
    </row>
    <row r="14305" spans="1:8" s="682" customFormat="1" ht="15" x14ac:dyDescent="0.2">
      <c r="A14305" s="734">
        <v>44972</v>
      </c>
      <c r="B14305" s="63" t="s">
        <v>6505</v>
      </c>
      <c r="C14305" s="41" t="s">
        <v>3145</v>
      </c>
      <c r="D14305" s="108" t="s">
        <v>9345</v>
      </c>
      <c r="E14305" s="58">
        <v>53000</v>
      </c>
      <c r="F14305" s="126"/>
      <c r="G14305" s="126">
        <f t="shared" si="229"/>
        <v>-53000</v>
      </c>
      <c r="H14305" s="705" t="s">
        <v>9260</v>
      </c>
    </row>
    <row r="14306" spans="1:8" s="682" customFormat="1" ht="15" x14ac:dyDescent="0.2">
      <c r="A14306" s="734">
        <v>44972</v>
      </c>
      <c r="B14306" s="63" t="s">
        <v>6505</v>
      </c>
      <c r="C14306" s="41" t="s">
        <v>3145</v>
      </c>
      <c r="D14306" s="108" t="s">
        <v>9346</v>
      </c>
      <c r="E14306" s="58">
        <v>25000</v>
      </c>
      <c r="F14306" s="126"/>
      <c r="G14306" s="126">
        <f t="shared" si="229"/>
        <v>-25000</v>
      </c>
      <c r="H14306" s="705" t="s">
        <v>9260</v>
      </c>
    </row>
    <row r="14307" spans="1:8" s="682" customFormat="1" ht="15" x14ac:dyDescent="0.2">
      <c r="A14307" s="734">
        <v>44972</v>
      </c>
      <c r="B14307" s="63" t="s">
        <v>6505</v>
      </c>
      <c r="C14307" s="41" t="s">
        <v>3145</v>
      </c>
      <c r="D14307" s="108" t="s">
        <v>4222</v>
      </c>
      <c r="E14307" s="58">
        <v>30610</v>
      </c>
      <c r="F14307" s="126"/>
      <c r="G14307" s="126">
        <f t="shared" si="229"/>
        <v>-30610</v>
      </c>
      <c r="H14307" s="705" t="s">
        <v>9260</v>
      </c>
    </row>
    <row r="14308" spans="1:8" s="682" customFormat="1" ht="15" x14ac:dyDescent="0.2">
      <c r="A14308" s="734">
        <v>44972</v>
      </c>
      <c r="B14308" s="63" t="s">
        <v>16</v>
      </c>
      <c r="C14308" s="41" t="s">
        <v>3843</v>
      </c>
      <c r="D14308" s="108" t="s">
        <v>8158</v>
      </c>
      <c r="E14308" s="58">
        <v>4330</v>
      </c>
      <c r="F14308" s="126"/>
      <c r="G14308" s="126">
        <f t="shared" si="229"/>
        <v>-4330</v>
      </c>
      <c r="H14308" s="705" t="s">
        <v>9260</v>
      </c>
    </row>
    <row r="14309" spans="1:8" s="682" customFormat="1" ht="15" x14ac:dyDescent="0.2">
      <c r="A14309" s="734">
        <v>44972</v>
      </c>
      <c r="B14309" s="63" t="s">
        <v>25</v>
      </c>
      <c r="C14309" s="41" t="s">
        <v>8150</v>
      </c>
      <c r="D14309" s="108" t="s">
        <v>6343</v>
      </c>
      <c r="E14309" s="58">
        <v>6010</v>
      </c>
      <c r="F14309" s="126"/>
      <c r="G14309" s="126">
        <f t="shared" si="229"/>
        <v>-6010</v>
      </c>
      <c r="H14309" s="705" t="s">
        <v>9260</v>
      </c>
    </row>
    <row r="14310" spans="1:8" s="682" customFormat="1" ht="15" x14ac:dyDescent="0.2">
      <c r="A14310" s="734">
        <v>44972</v>
      </c>
      <c r="B14310" s="63" t="s">
        <v>16</v>
      </c>
      <c r="C14310" s="41" t="s">
        <v>8150</v>
      </c>
      <c r="D14310" s="108" t="s">
        <v>6343</v>
      </c>
      <c r="E14310" s="58">
        <v>2140</v>
      </c>
      <c r="F14310" s="126"/>
      <c r="G14310" s="126">
        <f t="shared" si="229"/>
        <v>-2140</v>
      </c>
      <c r="H14310" s="705" t="s">
        <v>9260</v>
      </c>
    </row>
    <row r="14311" spans="1:8" s="682" customFormat="1" ht="15" customHeight="1" x14ac:dyDescent="0.2">
      <c r="A14311" s="734">
        <v>44972</v>
      </c>
      <c r="B14311" s="63" t="s">
        <v>8559</v>
      </c>
      <c r="C14311" s="41" t="s">
        <v>3145</v>
      </c>
      <c r="D14311" s="108" t="s">
        <v>9347</v>
      </c>
      <c r="E14311" s="58">
        <v>33724</v>
      </c>
      <c r="F14311" s="126"/>
      <c r="G14311" s="126">
        <f t="shared" si="229"/>
        <v>-33724</v>
      </c>
      <c r="H14311" s="705" t="s">
        <v>9260</v>
      </c>
    </row>
    <row r="14312" spans="1:8" s="682" customFormat="1" ht="24" customHeight="1" x14ac:dyDescent="0.25">
      <c r="A14312" s="734">
        <v>44972</v>
      </c>
      <c r="B14312" s="63" t="s">
        <v>7921</v>
      </c>
      <c r="C14312" s="551" t="s">
        <v>7223</v>
      </c>
      <c r="D14312" s="740" t="s">
        <v>9351</v>
      </c>
      <c r="E14312" s="552">
        <v>37944</v>
      </c>
      <c r="F14312" s="126"/>
      <c r="G14312" s="126">
        <f t="shared" si="229"/>
        <v>-37944</v>
      </c>
      <c r="H14312" s="705" t="s">
        <v>9260</v>
      </c>
    </row>
    <row r="14313" spans="1:8" s="682" customFormat="1" ht="24" customHeight="1" x14ac:dyDescent="0.25">
      <c r="A14313" s="734">
        <v>44972</v>
      </c>
      <c r="B14313" s="63" t="s">
        <v>8077</v>
      </c>
      <c r="C14313" s="551" t="s">
        <v>7223</v>
      </c>
      <c r="D14313" s="740" t="s">
        <v>9351</v>
      </c>
      <c r="E14313" s="552">
        <v>63132</v>
      </c>
      <c r="F14313" s="126"/>
      <c r="G14313" s="126">
        <f t="shared" si="229"/>
        <v>-63132</v>
      </c>
      <c r="H14313" s="705" t="s">
        <v>9260</v>
      </c>
    </row>
    <row r="14314" spans="1:8" s="682" customFormat="1" ht="24" customHeight="1" x14ac:dyDescent="0.25">
      <c r="A14314" s="734">
        <v>44972</v>
      </c>
      <c r="B14314" s="63" t="s">
        <v>8339</v>
      </c>
      <c r="C14314" s="551" t="s">
        <v>7223</v>
      </c>
      <c r="D14314" s="740" t="s">
        <v>9351</v>
      </c>
      <c r="E14314" s="552">
        <v>98924</v>
      </c>
      <c r="F14314" s="126"/>
      <c r="G14314" s="126">
        <f t="shared" si="229"/>
        <v>-98924</v>
      </c>
      <c r="H14314" s="705" t="s">
        <v>9260</v>
      </c>
    </row>
    <row r="14315" spans="1:8" s="682" customFormat="1" ht="15" x14ac:dyDescent="0.2">
      <c r="A14315" s="734">
        <v>44973</v>
      </c>
      <c r="B14315" s="63" t="s">
        <v>8339</v>
      </c>
      <c r="C14315" s="41" t="s">
        <v>7467</v>
      </c>
      <c r="D14315" s="108" t="s">
        <v>9348</v>
      </c>
      <c r="E14315" s="58">
        <v>400000</v>
      </c>
      <c r="F14315" s="126"/>
      <c r="G14315" s="126">
        <f t="shared" si="229"/>
        <v>-400000</v>
      </c>
      <c r="H14315" s="705" t="s">
        <v>9260</v>
      </c>
    </row>
    <row r="14316" spans="1:8" s="682" customFormat="1" ht="15" x14ac:dyDescent="0.2">
      <c r="A14316" s="734">
        <v>44973</v>
      </c>
      <c r="B14316" s="63" t="s">
        <v>8657</v>
      </c>
      <c r="C14316" s="41" t="s">
        <v>8691</v>
      </c>
      <c r="D14316" s="108" t="s">
        <v>9348</v>
      </c>
      <c r="E14316" s="58">
        <v>65250</v>
      </c>
      <c r="F14316" s="126"/>
      <c r="G14316" s="126">
        <f t="shared" si="229"/>
        <v>-65250</v>
      </c>
      <c r="H14316" s="705" t="s">
        <v>9260</v>
      </c>
    </row>
    <row r="14317" spans="1:8" s="682" customFormat="1" ht="15" x14ac:dyDescent="0.2">
      <c r="A14317" s="734">
        <v>44973</v>
      </c>
      <c r="B14317" s="63" t="s">
        <v>16</v>
      </c>
      <c r="C14317" s="41" t="s">
        <v>3843</v>
      </c>
      <c r="D14317" s="108" t="s">
        <v>8158</v>
      </c>
      <c r="E14317" s="58">
        <v>3000</v>
      </c>
      <c r="F14317" s="126"/>
      <c r="G14317" s="126">
        <f t="shared" si="229"/>
        <v>-3000</v>
      </c>
      <c r="H14317" s="705" t="s">
        <v>9260</v>
      </c>
    </row>
    <row r="14318" spans="1:8" s="682" customFormat="1" ht="15" x14ac:dyDescent="0.2">
      <c r="A14318" s="734">
        <v>44974</v>
      </c>
      <c r="B14318" s="63" t="s">
        <v>7921</v>
      </c>
      <c r="C14318" s="41" t="s">
        <v>392</v>
      </c>
      <c r="D14318" s="108" t="s">
        <v>9354</v>
      </c>
      <c r="E14318" s="58">
        <v>125000</v>
      </c>
      <c r="F14318" s="126"/>
      <c r="G14318" s="126">
        <f t="shared" si="229"/>
        <v>-125000</v>
      </c>
      <c r="H14318" s="705" t="s">
        <v>9260</v>
      </c>
    </row>
    <row r="14319" spans="1:8" s="682" customFormat="1" ht="15" x14ac:dyDescent="0.2">
      <c r="A14319" s="734">
        <v>44974</v>
      </c>
      <c r="B14319" s="63" t="s">
        <v>2933</v>
      </c>
      <c r="C14319" s="41" t="s">
        <v>7546</v>
      </c>
      <c r="D14319" s="108" t="s">
        <v>9355</v>
      </c>
      <c r="E14319" s="58">
        <v>45000</v>
      </c>
      <c r="F14319" s="126"/>
      <c r="G14319" s="126">
        <f t="shared" si="229"/>
        <v>-45000</v>
      </c>
      <c r="H14319" s="705" t="s">
        <v>9260</v>
      </c>
    </row>
    <row r="14320" spans="1:8" s="682" customFormat="1" ht="15" x14ac:dyDescent="0.2">
      <c r="A14320" s="734">
        <v>44974</v>
      </c>
      <c r="B14320" s="63" t="s">
        <v>25</v>
      </c>
      <c r="C14320" s="41" t="s">
        <v>2428</v>
      </c>
      <c r="D14320" s="108" t="s">
        <v>9353</v>
      </c>
      <c r="E14320" s="58">
        <v>250000</v>
      </c>
      <c r="F14320" s="126"/>
      <c r="G14320" s="126">
        <f t="shared" si="229"/>
        <v>-250000</v>
      </c>
      <c r="H14320" s="705" t="s">
        <v>9260</v>
      </c>
    </row>
    <row r="14321" spans="1:8" s="682" customFormat="1" ht="15" x14ac:dyDescent="0.2">
      <c r="A14321" s="734">
        <v>44974</v>
      </c>
      <c r="B14321" s="63" t="s">
        <v>8876</v>
      </c>
      <c r="C14321" s="41" t="s">
        <v>286</v>
      </c>
      <c r="D14321" s="108" t="s">
        <v>3150</v>
      </c>
      <c r="E14321" s="58">
        <v>200</v>
      </c>
      <c r="F14321" s="126"/>
      <c r="G14321" s="126">
        <f t="shared" si="229"/>
        <v>-200</v>
      </c>
      <c r="H14321" s="705" t="s">
        <v>9260</v>
      </c>
    </row>
    <row r="14322" spans="1:8" s="682" customFormat="1" ht="15" x14ac:dyDescent="0.2">
      <c r="A14322" s="734">
        <v>44974</v>
      </c>
      <c r="B14322" s="63" t="s">
        <v>16</v>
      </c>
      <c r="C14322" s="41" t="s">
        <v>3843</v>
      </c>
      <c r="D14322" s="108" t="s">
        <v>8158</v>
      </c>
      <c r="E14322" s="58">
        <v>5000</v>
      </c>
      <c r="F14322" s="126"/>
      <c r="G14322" s="126">
        <f t="shared" si="229"/>
        <v>-5000</v>
      </c>
      <c r="H14322" s="705" t="s">
        <v>9260</v>
      </c>
    </row>
    <row r="14323" spans="1:8" s="682" customFormat="1" ht="15" x14ac:dyDescent="0.2">
      <c r="A14323" s="734">
        <v>44975</v>
      </c>
      <c r="B14323" s="63" t="s">
        <v>8043</v>
      </c>
      <c r="C14323" s="41" t="s">
        <v>392</v>
      </c>
      <c r="D14323" s="108" t="s">
        <v>5755</v>
      </c>
      <c r="E14323" s="58">
        <v>1650</v>
      </c>
      <c r="F14323" s="126"/>
      <c r="G14323" s="126">
        <f t="shared" ref="G14323:G14386" si="230">F14323-E14323</f>
        <v>-1650</v>
      </c>
      <c r="H14323" s="705" t="s">
        <v>9260</v>
      </c>
    </row>
    <row r="14324" spans="1:8" s="682" customFormat="1" ht="15" x14ac:dyDescent="0.2">
      <c r="A14324" s="734">
        <v>44975</v>
      </c>
      <c r="B14324" s="63" t="s">
        <v>8876</v>
      </c>
      <c r="C14324" s="41" t="s">
        <v>286</v>
      </c>
      <c r="D14324" s="108" t="s">
        <v>8663</v>
      </c>
      <c r="E14324" s="58">
        <v>1050</v>
      </c>
      <c r="F14324" s="126"/>
      <c r="G14324" s="126">
        <f t="shared" si="230"/>
        <v>-1050</v>
      </c>
      <c r="H14324" s="705" t="s">
        <v>9260</v>
      </c>
    </row>
    <row r="14325" spans="1:8" s="682" customFormat="1" ht="15" customHeight="1" x14ac:dyDescent="0.2">
      <c r="A14325" s="734">
        <v>44975</v>
      </c>
      <c r="B14325" s="63" t="s">
        <v>9356</v>
      </c>
      <c r="C14325" s="41" t="s">
        <v>9357</v>
      </c>
      <c r="D14325" s="108" t="s">
        <v>9358</v>
      </c>
      <c r="E14325" s="58">
        <v>1986500</v>
      </c>
      <c r="F14325" s="126"/>
      <c r="G14325" s="126">
        <f t="shared" si="230"/>
        <v>-1986500</v>
      </c>
      <c r="H14325" s="705" t="s">
        <v>9260</v>
      </c>
    </row>
    <row r="14326" spans="1:8" s="682" customFormat="1" ht="15" x14ac:dyDescent="0.2">
      <c r="A14326" s="734">
        <v>44975</v>
      </c>
      <c r="B14326" s="63" t="s">
        <v>8559</v>
      </c>
      <c r="C14326" s="41" t="s">
        <v>3145</v>
      </c>
      <c r="D14326" s="108" t="s">
        <v>9360</v>
      </c>
      <c r="E14326" s="58">
        <v>520</v>
      </c>
      <c r="F14326" s="126"/>
      <c r="G14326" s="126">
        <f t="shared" si="230"/>
        <v>-520</v>
      </c>
      <c r="H14326" s="705" t="s">
        <v>9260</v>
      </c>
    </row>
    <row r="14327" spans="1:8" s="682" customFormat="1" ht="15" x14ac:dyDescent="0.2">
      <c r="A14327" s="734">
        <v>44975</v>
      </c>
      <c r="B14327" s="63" t="s">
        <v>8876</v>
      </c>
      <c r="C14327" s="41" t="s">
        <v>5741</v>
      </c>
      <c r="D14327" s="108" t="s">
        <v>9361</v>
      </c>
      <c r="E14327" s="58">
        <v>500</v>
      </c>
      <c r="F14327" s="126"/>
      <c r="G14327" s="126">
        <f t="shared" si="230"/>
        <v>-500</v>
      </c>
      <c r="H14327" s="705" t="s">
        <v>9260</v>
      </c>
    </row>
    <row r="14328" spans="1:8" s="682" customFormat="1" ht="15" customHeight="1" x14ac:dyDescent="0.2">
      <c r="A14328" s="734">
        <v>44977</v>
      </c>
      <c r="B14328" s="63" t="s">
        <v>8559</v>
      </c>
      <c r="C14328" s="41" t="s">
        <v>392</v>
      </c>
      <c r="D14328" s="108" t="s">
        <v>9362</v>
      </c>
      <c r="E14328" s="58">
        <v>100</v>
      </c>
      <c r="F14328" s="126"/>
      <c r="G14328" s="126">
        <f t="shared" si="230"/>
        <v>-100</v>
      </c>
      <c r="H14328" s="705" t="s">
        <v>9260</v>
      </c>
    </row>
    <row r="14329" spans="1:8" s="682" customFormat="1" ht="15" customHeight="1" x14ac:dyDescent="0.2">
      <c r="A14329" s="734">
        <v>44977</v>
      </c>
      <c r="B14329" s="63" t="s">
        <v>8876</v>
      </c>
      <c r="C14329" s="41" t="s">
        <v>3145</v>
      </c>
      <c r="D14329" s="108" t="s">
        <v>4309</v>
      </c>
      <c r="E14329" s="58">
        <v>6710</v>
      </c>
      <c r="F14329" s="126"/>
      <c r="G14329" s="126">
        <f t="shared" si="230"/>
        <v>-6710</v>
      </c>
      <c r="H14329" s="705" t="s">
        <v>9260</v>
      </c>
    </row>
    <row r="14330" spans="1:8" s="682" customFormat="1" ht="15" x14ac:dyDescent="0.2">
      <c r="A14330" s="734">
        <v>44978</v>
      </c>
      <c r="B14330" s="63" t="s">
        <v>16</v>
      </c>
      <c r="C14330" s="41" t="s">
        <v>5341</v>
      </c>
      <c r="D14330" s="108" t="s">
        <v>9375</v>
      </c>
      <c r="E14330" s="58">
        <v>10000</v>
      </c>
      <c r="F14330" s="126"/>
      <c r="G14330" s="126">
        <f t="shared" si="230"/>
        <v>-10000</v>
      </c>
      <c r="H14330" s="705" t="s">
        <v>9260</v>
      </c>
    </row>
    <row r="14331" spans="1:8" s="682" customFormat="1" ht="15" x14ac:dyDescent="0.2">
      <c r="A14331" s="734">
        <v>44978</v>
      </c>
      <c r="B14331" s="63" t="s">
        <v>6505</v>
      </c>
      <c r="C14331" s="41" t="s">
        <v>392</v>
      </c>
      <c r="D14331" s="108" t="s">
        <v>2108</v>
      </c>
      <c r="E14331" s="58">
        <v>1000</v>
      </c>
      <c r="F14331" s="126"/>
      <c r="G14331" s="126">
        <f t="shared" si="230"/>
        <v>-1000</v>
      </c>
      <c r="H14331" s="705" t="s">
        <v>9260</v>
      </c>
    </row>
    <row r="14332" spans="1:8" s="682" customFormat="1" ht="15" x14ac:dyDescent="0.2">
      <c r="A14332" s="734">
        <v>44978</v>
      </c>
      <c r="B14332" s="63" t="s">
        <v>8043</v>
      </c>
      <c r="C14332" s="582" t="s">
        <v>3145</v>
      </c>
      <c r="D14332" s="893" t="s">
        <v>9376</v>
      </c>
      <c r="E14332" s="583">
        <v>7500</v>
      </c>
      <c r="F14332" s="126"/>
      <c r="G14332" s="126">
        <f t="shared" si="230"/>
        <v>-7500</v>
      </c>
      <c r="H14332" s="705" t="s">
        <v>9260</v>
      </c>
    </row>
    <row r="14333" spans="1:8" s="682" customFormat="1" ht="15" x14ac:dyDescent="0.2">
      <c r="A14333" s="734">
        <v>44978</v>
      </c>
      <c r="B14333" s="63" t="s">
        <v>8876</v>
      </c>
      <c r="C14333" s="582" t="s">
        <v>3145</v>
      </c>
      <c r="D14333" s="893" t="s">
        <v>9376</v>
      </c>
      <c r="E14333" s="583">
        <v>28850</v>
      </c>
      <c r="F14333" s="126"/>
      <c r="G14333" s="126">
        <f t="shared" si="230"/>
        <v>-28850</v>
      </c>
      <c r="H14333" s="705" t="s">
        <v>9260</v>
      </c>
    </row>
    <row r="14334" spans="1:8" s="682" customFormat="1" ht="15" x14ac:dyDescent="0.2">
      <c r="A14334" s="734">
        <v>44979</v>
      </c>
      <c r="B14334" s="63" t="s">
        <v>8657</v>
      </c>
      <c r="C14334" s="41" t="s">
        <v>8691</v>
      </c>
      <c r="D14334" s="108" t="s">
        <v>9377</v>
      </c>
      <c r="E14334" s="58">
        <v>65250</v>
      </c>
      <c r="F14334" s="126"/>
      <c r="G14334" s="126">
        <f t="shared" si="230"/>
        <v>-65250</v>
      </c>
      <c r="H14334" s="705" t="s">
        <v>9260</v>
      </c>
    </row>
    <row r="14335" spans="1:8" s="682" customFormat="1" ht="15" x14ac:dyDescent="0.2">
      <c r="A14335" s="734">
        <v>44979</v>
      </c>
      <c r="B14335" s="63" t="s">
        <v>25</v>
      </c>
      <c r="C14335" s="41" t="s">
        <v>8150</v>
      </c>
      <c r="D14335" s="108" t="s">
        <v>9380</v>
      </c>
      <c r="E14335" s="58">
        <v>36216</v>
      </c>
      <c r="F14335" s="126"/>
      <c r="G14335" s="126">
        <f t="shared" si="230"/>
        <v>-36216</v>
      </c>
      <c r="H14335" s="705" t="s">
        <v>9260</v>
      </c>
    </row>
    <row r="14336" spans="1:8" s="682" customFormat="1" ht="15" x14ac:dyDescent="0.2">
      <c r="A14336" s="734">
        <v>44979</v>
      </c>
      <c r="B14336" s="63" t="s">
        <v>16</v>
      </c>
      <c r="C14336" s="41" t="s">
        <v>8150</v>
      </c>
      <c r="D14336" s="108" t="s">
        <v>9380</v>
      </c>
      <c r="E14336" s="58">
        <v>9419</v>
      </c>
      <c r="F14336" s="126"/>
      <c r="G14336" s="126">
        <f t="shared" si="230"/>
        <v>-9419</v>
      </c>
      <c r="H14336" s="705" t="s">
        <v>9260</v>
      </c>
    </row>
    <row r="14337" spans="1:8" s="682" customFormat="1" ht="15" x14ac:dyDescent="0.2">
      <c r="A14337" s="734">
        <v>44979</v>
      </c>
      <c r="B14337" s="63" t="s">
        <v>25</v>
      </c>
      <c r="C14337" s="41" t="s">
        <v>4065</v>
      </c>
      <c r="D14337" s="108" t="s">
        <v>9378</v>
      </c>
      <c r="E14337" s="58">
        <v>1500</v>
      </c>
      <c r="F14337" s="126"/>
      <c r="G14337" s="126">
        <f t="shared" si="230"/>
        <v>-1500</v>
      </c>
      <c r="H14337" s="705" t="s">
        <v>9260</v>
      </c>
    </row>
    <row r="14338" spans="1:8" s="682" customFormat="1" ht="15" x14ac:dyDescent="0.2">
      <c r="A14338" s="734">
        <v>44979</v>
      </c>
      <c r="B14338" s="63" t="s">
        <v>16</v>
      </c>
      <c r="C14338" s="41" t="s">
        <v>3843</v>
      </c>
      <c r="D14338" s="108" t="s">
        <v>9379</v>
      </c>
      <c r="E14338" s="58">
        <v>4000</v>
      </c>
      <c r="F14338" s="126"/>
      <c r="G14338" s="126">
        <f t="shared" si="230"/>
        <v>-4000</v>
      </c>
      <c r="H14338" s="705" t="s">
        <v>9260</v>
      </c>
    </row>
    <row r="14339" spans="1:8" s="682" customFormat="1" ht="15" x14ac:dyDescent="0.2">
      <c r="A14339" s="734">
        <v>44980</v>
      </c>
      <c r="B14339" s="63" t="s">
        <v>8876</v>
      </c>
      <c r="C14339" s="41" t="s">
        <v>3145</v>
      </c>
      <c r="D14339" s="108" t="s">
        <v>9382</v>
      </c>
      <c r="E14339" s="58">
        <v>500</v>
      </c>
      <c r="F14339" s="126"/>
      <c r="G14339" s="126">
        <f t="shared" si="230"/>
        <v>-500</v>
      </c>
      <c r="H14339" s="705" t="s">
        <v>9260</v>
      </c>
    </row>
    <row r="14340" spans="1:8" s="682" customFormat="1" ht="15" x14ac:dyDescent="0.2">
      <c r="A14340" s="734">
        <v>44980</v>
      </c>
      <c r="B14340" s="63" t="s">
        <v>8043</v>
      </c>
      <c r="C14340" s="41" t="s">
        <v>5741</v>
      </c>
      <c r="D14340" s="108" t="s">
        <v>9361</v>
      </c>
      <c r="E14340" s="58">
        <v>500</v>
      </c>
      <c r="F14340" s="126"/>
      <c r="G14340" s="126">
        <f t="shared" si="230"/>
        <v>-500</v>
      </c>
      <c r="H14340" s="705" t="s">
        <v>9260</v>
      </c>
    </row>
    <row r="14341" spans="1:8" s="682" customFormat="1" ht="15" x14ac:dyDescent="0.2">
      <c r="A14341" s="734">
        <v>44980</v>
      </c>
      <c r="B14341" s="63" t="s">
        <v>6508</v>
      </c>
      <c r="C14341" s="41" t="s">
        <v>5741</v>
      </c>
      <c r="D14341" s="108" t="s">
        <v>9383</v>
      </c>
      <c r="E14341" s="58">
        <v>1000</v>
      </c>
      <c r="F14341" s="126"/>
      <c r="G14341" s="126">
        <f t="shared" si="230"/>
        <v>-1000</v>
      </c>
      <c r="H14341" s="705" t="s">
        <v>9260</v>
      </c>
    </row>
    <row r="14342" spans="1:8" s="682" customFormat="1" ht="15" x14ac:dyDescent="0.2">
      <c r="A14342" s="734">
        <v>44980</v>
      </c>
      <c r="B14342" s="63" t="s">
        <v>8876</v>
      </c>
      <c r="C14342" s="41" t="s">
        <v>392</v>
      </c>
      <c r="D14342" s="108" t="s">
        <v>9384</v>
      </c>
      <c r="E14342" s="58">
        <v>750</v>
      </c>
      <c r="F14342" s="126"/>
      <c r="G14342" s="126">
        <f t="shared" si="230"/>
        <v>-750</v>
      </c>
      <c r="H14342" s="705" t="s">
        <v>9260</v>
      </c>
    </row>
    <row r="14343" spans="1:8" s="682" customFormat="1" ht="15" x14ac:dyDescent="0.2">
      <c r="A14343" s="734">
        <v>44980</v>
      </c>
      <c r="B14343" s="63" t="s">
        <v>8043</v>
      </c>
      <c r="C14343" s="41" t="s">
        <v>392</v>
      </c>
      <c r="D14343" s="108" t="s">
        <v>9387</v>
      </c>
      <c r="E14343" s="58">
        <v>1560</v>
      </c>
      <c r="F14343" s="126"/>
      <c r="G14343" s="126">
        <f t="shared" si="230"/>
        <v>-1560</v>
      </c>
      <c r="H14343" s="705" t="s">
        <v>9260</v>
      </c>
    </row>
    <row r="14344" spans="1:8" s="682" customFormat="1" ht="15" x14ac:dyDescent="0.2">
      <c r="A14344" s="734">
        <v>44980</v>
      </c>
      <c r="B14344" s="63" t="s">
        <v>16</v>
      </c>
      <c r="C14344" s="41" t="s">
        <v>3843</v>
      </c>
      <c r="D14344" s="108" t="s">
        <v>8158</v>
      </c>
      <c r="E14344" s="58">
        <v>2700</v>
      </c>
      <c r="F14344" s="126"/>
      <c r="G14344" s="126">
        <f t="shared" si="230"/>
        <v>-2700</v>
      </c>
      <c r="H14344" s="705" t="s">
        <v>9260</v>
      </c>
    </row>
    <row r="14345" spans="1:8" s="682" customFormat="1" ht="15" x14ac:dyDescent="0.2">
      <c r="A14345" s="734">
        <v>44981</v>
      </c>
      <c r="B14345" s="63" t="s">
        <v>16</v>
      </c>
      <c r="C14345" s="41" t="s">
        <v>2996</v>
      </c>
      <c r="D14345" s="108" t="s">
        <v>9386</v>
      </c>
      <c r="E14345" s="58">
        <v>4650</v>
      </c>
      <c r="F14345" s="126"/>
      <c r="G14345" s="126">
        <f t="shared" si="230"/>
        <v>-4650</v>
      </c>
      <c r="H14345" s="705" t="s">
        <v>9260</v>
      </c>
    </row>
    <row r="14346" spans="1:8" s="682" customFormat="1" ht="15" x14ac:dyDescent="0.2">
      <c r="A14346" s="734">
        <v>44981</v>
      </c>
      <c r="B14346" s="63" t="s">
        <v>16</v>
      </c>
      <c r="C14346" s="41" t="s">
        <v>2996</v>
      </c>
      <c r="D14346" s="108" t="s">
        <v>9388</v>
      </c>
      <c r="E14346" s="58">
        <v>4650</v>
      </c>
      <c r="F14346" s="126"/>
      <c r="G14346" s="126">
        <f t="shared" si="230"/>
        <v>-4650</v>
      </c>
      <c r="H14346" s="705" t="s">
        <v>9260</v>
      </c>
    </row>
    <row r="14347" spans="1:8" s="682" customFormat="1" ht="15" x14ac:dyDescent="0.2">
      <c r="A14347" s="734">
        <v>44982</v>
      </c>
      <c r="B14347" s="63" t="s">
        <v>8876</v>
      </c>
      <c r="C14347" s="41" t="s">
        <v>286</v>
      </c>
      <c r="D14347" s="108" t="s">
        <v>8663</v>
      </c>
      <c r="E14347" s="58">
        <v>1550</v>
      </c>
      <c r="F14347" s="126"/>
      <c r="G14347" s="126">
        <f t="shared" si="230"/>
        <v>-1550</v>
      </c>
      <c r="H14347" s="705" t="s">
        <v>9260</v>
      </c>
    </row>
    <row r="14348" spans="1:8" s="682" customFormat="1" ht="15" x14ac:dyDescent="0.2">
      <c r="A14348" s="734">
        <v>44982</v>
      </c>
      <c r="B14348" s="63" t="s">
        <v>6505</v>
      </c>
      <c r="C14348" s="41" t="s">
        <v>5741</v>
      </c>
      <c r="D14348" s="108" t="s">
        <v>9389</v>
      </c>
      <c r="E14348" s="58">
        <v>300</v>
      </c>
      <c r="F14348" s="126"/>
      <c r="G14348" s="126">
        <f t="shared" si="230"/>
        <v>-300</v>
      </c>
      <c r="H14348" s="705" t="s">
        <v>9260</v>
      </c>
    </row>
    <row r="14349" spans="1:8" s="682" customFormat="1" ht="15" x14ac:dyDescent="0.2">
      <c r="A14349" s="734">
        <v>44982</v>
      </c>
      <c r="B14349" s="63" t="s">
        <v>6505</v>
      </c>
      <c r="C14349" s="41" t="s">
        <v>392</v>
      </c>
      <c r="D14349" s="108" t="s">
        <v>7397</v>
      </c>
      <c r="E14349" s="58">
        <v>850</v>
      </c>
      <c r="F14349" s="126"/>
      <c r="G14349" s="126">
        <f t="shared" si="230"/>
        <v>-850</v>
      </c>
      <c r="H14349" s="705" t="s">
        <v>9260</v>
      </c>
    </row>
    <row r="14350" spans="1:8" s="682" customFormat="1" ht="15" x14ac:dyDescent="0.2">
      <c r="A14350" s="734">
        <v>44982</v>
      </c>
      <c r="B14350" s="63" t="s">
        <v>16</v>
      </c>
      <c r="C14350" s="41" t="s">
        <v>3843</v>
      </c>
      <c r="D14350" s="108" t="s">
        <v>8158</v>
      </c>
      <c r="E14350" s="58">
        <v>4000</v>
      </c>
      <c r="F14350" s="126"/>
      <c r="G14350" s="126">
        <f t="shared" si="230"/>
        <v>-4000</v>
      </c>
      <c r="H14350" s="705" t="s">
        <v>9260</v>
      </c>
    </row>
    <row r="14351" spans="1:8" s="682" customFormat="1" ht="15" x14ac:dyDescent="0.2">
      <c r="A14351" s="734">
        <v>44984</v>
      </c>
      <c r="B14351" s="63" t="s">
        <v>8657</v>
      </c>
      <c r="C14351" s="41" t="s">
        <v>5741</v>
      </c>
      <c r="D14351" s="108" t="s">
        <v>9390</v>
      </c>
      <c r="E14351" s="58">
        <v>2200</v>
      </c>
      <c r="F14351" s="126"/>
      <c r="G14351" s="126">
        <f t="shared" si="230"/>
        <v>-2200</v>
      </c>
      <c r="H14351" s="705" t="s">
        <v>9260</v>
      </c>
    </row>
    <row r="14352" spans="1:8" s="682" customFormat="1" ht="15" x14ac:dyDescent="0.2">
      <c r="A14352" s="734">
        <v>44984</v>
      </c>
      <c r="B14352" s="63" t="s">
        <v>8043</v>
      </c>
      <c r="C14352" s="41" t="s">
        <v>286</v>
      </c>
      <c r="D14352" s="108" t="s">
        <v>9391</v>
      </c>
      <c r="E14352" s="58">
        <v>1000</v>
      </c>
      <c r="F14352" s="126"/>
      <c r="G14352" s="126">
        <f t="shared" si="230"/>
        <v>-1000</v>
      </c>
      <c r="H14352" s="705" t="s">
        <v>9260</v>
      </c>
    </row>
    <row r="14353" spans="1:8" s="682" customFormat="1" ht="15" x14ac:dyDescent="0.2">
      <c r="A14353" s="734">
        <v>44985</v>
      </c>
      <c r="B14353" s="63" t="s">
        <v>8657</v>
      </c>
      <c r="C14353" s="41" t="s">
        <v>5741</v>
      </c>
      <c r="D14353" s="108" t="s">
        <v>9392</v>
      </c>
      <c r="E14353" s="58">
        <v>1000</v>
      </c>
      <c r="F14353" s="126"/>
      <c r="G14353" s="126">
        <f t="shared" si="230"/>
        <v>-1000</v>
      </c>
      <c r="H14353" s="705" t="s">
        <v>9260</v>
      </c>
    </row>
    <row r="14354" spans="1:8" s="682" customFormat="1" ht="15" x14ac:dyDescent="0.2">
      <c r="A14354" s="734">
        <v>44985</v>
      </c>
      <c r="B14354" s="63" t="s">
        <v>9356</v>
      </c>
      <c r="C14354" s="41" t="s">
        <v>5741</v>
      </c>
      <c r="D14354" s="108" t="s">
        <v>9393</v>
      </c>
      <c r="E14354" s="58">
        <v>300</v>
      </c>
      <c r="F14354" s="126"/>
      <c r="G14354" s="126">
        <f t="shared" si="230"/>
        <v>-300</v>
      </c>
      <c r="H14354" s="705" t="s">
        <v>9260</v>
      </c>
    </row>
    <row r="14355" spans="1:8" s="682" customFormat="1" ht="15" x14ac:dyDescent="0.2">
      <c r="A14355" s="734">
        <v>44985</v>
      </c>
      <c r="B14355" s="63" t="s">
        <v>8043</v>
      </c>
      <c r="C14355" s="41" t="s">
        <v>3145</v>
      </c>
      <c r="D14355" s="108" t="s">
        <v>8833</v>
      </c>
      <c r="E14355" s="58">
        <v>2990</v>
      </c>
      <c r="F14355" s="126"/>
      <c r="G14355" s="126">
        <f t="shared" si="230"/>
        <v>-2990</v>
      </c>
      <c r="H14355" s="705" t="s">
        <v>9260</v>
      </c>
    </row>
    <row r="14356" spans="1:8" s="682" customFormat="1" ht="15" x14ac:dyDescent="0.2">
      <c r="A14356" s="734">
        <v>44985</v>
      </c>
      <c r="B14356" s="63" t="s">
        <v>2933</v>
      </c>
      <c r="C14356" s="41" t="s">
        <v>3145</v>
      </c>
      <c r="D14356" s="108" t="s">
        <v>9394</v>
      </c>
      <c r="E14356" s="58">
        <v>3000</v>
      </c>
      <c r="F14356" s="126"/>
      <c r="G14356" s="126">
        <f t="shared" si="230"/>
        <v>-3000</v>
      </c>
      <c r="H14356" s="705" t="s">
        <v>9260</v>
      </c>
    </row>
    <row r="14357" spans="1:8" ht="15" x14ac:dyDescent="0.2">
      <c r="A14357" s="733">
        <v>44958</v>
      </c>
      <c r="B14357" s="174" t="s">
        <v>8876</v>
      </c>
      <c r="C14357" s="174" t="s">
        <v>431</v>
      </c>
      <c r="D14357" s="228" t="s">
        <v>9261</v>
      </c>
      <c r="E14357" s="236">
        <v>300000</v>
      </c>
      <c r="F14357" s="236"/>
      <c r="G14357" s="123">
        <f t="shared" si="230"/>
        <v>-300000</v>
      </c>
      <c r="H14357" s="709" t="s">
        <v>9260</v>
      </c>
    </row>
    <row r="14358" spans="1:8" ht="15" x14ac:dyDescent="0.2">
      <c r="A14358" s="733">
        <v>44958</v>
      </c>
      <c r="B14358" s="174" t="s">
        <v>8876</v>
      </c>
      <c r="C14358" s="174" t="s">
        <v>431</v>
      </c>
      <c r="D14358" s="228" t="s">
        <v>9262</v>
      </c>
      <c r="E14358" s="236">
        <v>310000</v>
      </c>
      <c r="F14358" s="236"/>
      <c r="G14358" s="123">
        <f t="shared" si="230"/>
        <v>-310000</v>
      </c>
      <c r="H14358" s="709" t="s">
        <v>9260</v>
      </c>
    </row>
    <row r="14359" spans="1:8" ht="15" x14ac:dyDescent="0.2">
      <c r="A14359" s="733">
        <v>44961</v>
      </c>
      <c r="B14359" s="174" t="s">
        <v>8339</v>
      </c>
      <c r="C14359" s="174" t="s">
        <v>8030</v>
      </c>
      <c r="D14359" s="228" t="s">
        <v>9300</v>
      </c>
      <c r="E14359" s="236">
        <v>100000</v>
      </c>
      <c r="F14359" s="236"/>
      <c r="G14359" s="123">
        <f t="shared" si="230"/>
        <v>-100000</v>
      </c>
      <c r="H14359" s="709" t="s">
        <v>9260</v>
      </c>
    </row>
    <row r="14360" spans="1:8" ht="15" x14ac:dyDescent="0.2">
      <c r="A14360" s="733">
        <v>44961</v>
      </c>
      <c r="B14360" s="174" t="s">
        <v>8339</v>
      </c>
      <c r="C14360" s="174" t="s">
        <v>8030</v>
      </c>
      <c r="D14360" s="228" t="s">
        <v>9301</v>
      </c>
      <c r="E14360" s="236">
        <v>130000</v>
      </c>
      <c r="F14360" s="236"/>
      <c r="G14360" s="123">
        <f t="shared" si="230"/>
        <v>-130000</v>
      </c>
      <c r="H14360" s="709" t="s">
        <v>9260</v>
      </c>
    </row>
    <row r="14361" spans="1:8" ht="15" x14ac:dyDescent="0.2">
      <c r="A14361" s="733">
        <v>44963</v>
      </c>
      <c r="B14361" s="174" t="s">
        <v>8657</v>
      </c>
      <c r="C14361" s="174" t="s">
        <v>1509</v>
      </c>
      <c r="D14361" s="228" t="s">
        <v>9302</v>
      </c>
      <c r="E14361" s="236">
        <v>175000</v>
      </c>
      <c r="F14361" s="236"/>
      <c r="G14361" s="123">
        <f t="shared" si="230"/>
        <v>-175000</v>
      </c>
      <c r="H14361" s="709" t="s">
        <v>9260</v>
      </c>
    </row>
    <row r="14362" spans="1:8" ht="15" x14ac:dyDescent="0.2">
      <c r="A14362" s="733">
        <v>44965</v>
      </c>
      <c r="B14362" s="174" t="s">
        <v>8876</v>
      </c>
      <c r="C14362" s="174" t="s">
        <v>9303</v>
      </c>
      <c r="D14362" s="228" t="s">
        <v>9304</v>
      </c>
      <c r="E14362" s="236">
        <v>262000</v>
      </c>
      <c r="F14362" s="236"/>
      <c r="G14362" s="123">
        <f t="shared" si="230"/>
        <v>-262000</v>
      </c>
      <c r="H14362" s="709" t="s">
        <v>9260</v>
      </c>
    </row>
    <row r="14363" spans="1:8" ht="15" x14ac:dyDescent="0.2">
      <c r="A14363" s="733">
        <v>44965</v>
      </c>
      <c r="B14363" s="174" t="s">
        <v>8868</v>
      </c>
      <c r="C14363" s="174" t="s">
        <v>8251</v>
      </c>
      <c r="D14363" s="228" t="s">
        <v>9305</v>
      </c>
      <c r="E14363" s="236">
        <v>49000</v>
      </c>
      <c r="F14363" s="236"/>
      <c r="G14363" s="123">
        <f t="shared" si="230"/>
        <v>-49000</v>
      </c>
      <c r="H14363" s="709" t="s">
        <v>9260</v>
      </c>
    </row>
    <row r="14364" spans="1:8" ht="15" x14ac:dyDescent="0.2">
      <c r="A14364" s="733">
        <v>44965</v>
      </c>
      <c r="B14364" s="174" t="s">
        <v>8876</v>
      </c>
      <c r="C14364" s="174" t="s">
        <v>8251</v>
      </c>
      <c r="D14364" s="228" t="s">
        <v>9306</v>
      </c>
      <c r="E14364" s="236">
        <v>30000</v>
      </c>
      <c r="F14364" s="236"/>
      <c r="G14364" s="123">
        <f t="shared" si="230"/>
        <v>-30000</v>
      </c>
      <c r="H14364" s="709" t="s">
        <v>9260</v>
      </c>
    </row>
    <row r="14365" spans="1:8" ht="15" x14ac:dyDescent="0.2">
      <c r="A14365" s="733">
        <v>44965</v>
      </c>
      <c r="B14365" s="174" t="s">
        <v>8043</v>
      </c>
      <c r="C14365" s="551" t="s">
        <v>705</v>
      </c>
      <c r="D14365" s="740" t="s">
        <v>9309</v>
      </c>
      <c r="E14365" s="552">
        <v>56000</v>
      </c>
      <c r="F14365" s="236"/>
      <c r="G14365" s="123">
        <f t="shared" si="230"/>
        <v>-56000</v>
      </c>
      <c r="H14365" s="709" t="s">
        <v>9260</v>
      </c>
    </row>
    <row r="14366" spans="1:8" ht="15" x14ac:dyDescent="0.2">
      <c r="A14366" s="733">
        <v>44965</v>
      </c>
      <c r="B14366" s="174" t="s">
        <v>8339</v>
      </c>
      <c r="C14366" s="551" t="s">
        <v>705</v>
      </c>
      <c r="D14366" s="740" t="s">
        <v>9309</v>
      </c>
      <c r="E14366" s="552">
        <v>10173</v>
      </c>
      <c r="F14366" s="236"/>
      <c r="G14366" s="123">
        <f t="shared" si="230"/>
        <v>-10173</v>
      </c>
      <c r="H14366" s="709" t="s">
        <v>9260</v>
      </c>
    </row>
    <row r="14367" spans="1:8" ht="15" x14ac:dyDescent="0.2">
      <c r="A14367" s="733">
        <v>44965</v>
      </c>
      <c r="B14367" s="174" t="s">
        <v>8876</v>
      </c>
      <c r="C14367" s="551" t="s">
        <v>705</v>
      </c>
      <c r="D14367" s="740" t="s">
        <v>9309</v>
      </c>
      <c r="E14367" s="552">
        <v>23827</v>
      </c>
      <c r="F14367" s="236"/>
      <c r="G14367" s="123">
        <f t="shared" si="230"/>
        <v>-23827</v>
      </c>
      <c r="H14367" s="709" t="s">
        <v>9260</v>
      </c>
    </row>
    <row r="14368" spans="1:8" ht="15" x14ac:dyDescent="0.2">
      <c r="A14368" s="733">
        <v>44965</v>
      </c>
      <c r="B14368" s="174" t="s">
        <v>8876</v>
      </c>
      <c r="C14368" s="174" t="s">
        <v>705</v>
      </c>
      <c r="D14368" s="228" t="s">
        <v>9310</v>
      </c>
      <c r="E14368" s="236">
        <v>110000</v>
      </c>
      <c r="F14368" s="236"/>
      <c r="G14368" s="123">
        <f t="shared" si="230"/>
        <v>-110000</v>
      </c>
      <c r="H14368" s="709" t="s">
        <v>9260</v>
      </c>
    </row>
    <row r="14369" spans="1:8" ht="15" x14ac:dyDescent="0.2">
      <c r="A14369" s="733">
        <v>44968</v>
      </c>
      <c r="B14369" s="174" t="s">
        <v>8876</v>
      </c>
      <c r="C14369" s="174" t="s">
        <v>8792</v>
      </c>
      <c r="D14369" s="228" t="s">
        <v>9324</v>
      </c>
      <c r="E14369" s="236">
        <v>245000</v>
      </c>
      <c r="F14369" s="236"/>
      <c r="G14369" s="123">
        <f t="shared" si="230"/>
        <v>-245000</v>
      </c>
      <c r="H14369" s="709" t="s">
        <v>9260</v>
      </c>
    </row>
    <row r="14370" spans="1:8" ht="15" customHeight="1" x14ac:dyDescent="0.2">
      <c r="A14370" s="733">
        <v>44971</v>
      </c>
      <c r="B14370" s="174" t="s">
        <v>8657</v>
      </c>
      <c r="C14370" s="174" t="s">
        <v>5681</v>
      </c>
      <c r="D14370" s="228" t="s">
        <v>9338</v>
      </c>
      <c r="E14370" s="236">
        <v>250000</v>
      </c>
      <c r="F14370" s="236"/>
      <c r="G14370" s="123">
        <f t="shared" si="230"/>
        <v>-250000</v>
      </c>
      <c r="H14370" s="709" t="s">
        <v>9260</v>
      </c>
    </row>
    <row r="14371" spans="1:8" ht="15" customHeight="1" x14ac:dyDescent="0.2">
      <c r="A14371" s="733">
        <v>44971</v>
      </c>
      <c r="B14371" s="174" t="s">
        <v>8657</v>
      </c>
      <c r="C14371" s="174" t="s">
        <v>5681</v>
      </c>
      <c r="D14371" s="228" t="s">
        <v>9338</v>
      </c>
      <c r="E14371" s="236">
        <v>60000</v>
      </c>
      <c r="F14371" s="236"/>
      <c r="G14371" s="123">
        <f t="shared" si="230"/>
        <v>-60000</v>
      </c>
      <c r="H14371" s="709" t="s">
        <v>9260</v>
      </c>
    </row>
    <row r="14372" spans="1:8" ht="15" customHeight="1" x14ac:dyDescent="0.2">
      <c r="A14372" s="733">
        <v>44971</v>
      </c>
      <c r="B14372" s="174" t="s">
        <v>8339</v>
      </c>
      <c r="C14372" s="174" t="s">
        <v>7467</v>
      </c>
      <c r="D14372" s="228" t="s">
        <v>9338</v>
      </c>
      <c r="E14372" s="236">
        <v>600000</v>
      </c>
      <c r="F14372" s="236"/>
      <c r="G14372" s="123">
        <f t="shared" si="230"/>
        <v>-600000</v>
      </c>
      <c r="H14372" s="709" t="s">
        <v>9260</v>
      </c>
    </row>
    <row r="14373" spans="1:8" ht="15" customHeight="1" x14ac:dyDescent="0.2">
      <c r="A14373" s="733">
        <v>44978</v>
      </c>
      <c r="B14373" s="174" t="s">
        <v>8043</v>
      </c>
      <c r="C14373" s="174" t="s">
        <v>7223</v>
      </c>
      <c r="D14373" s="228" t="s">
        <v>9374</v>
      </c>
      <c r="E14373" s="236">
        <v>50000</v>
      </c>
      <c r="F14373" s="236"/>
      <c r="G14373" s="123">
        <f t="shared" si="230"/>
        <v>-50000</v>
      </c>
      <c r="H14373" s="709" t="s">
        <v>9260</v>
      </c>
    </row>
    <row r="14374" spans="1:8" s="682" customFormat="1" ht="24" customHeight="1" x14ac:dyDescent="0.25">
      <c r="A14374" s="733">
        <v>44981</v>
      </c>
      <c r="B14374" s="174" t="s">
        <v>6505</v>
      </c>
      <c r="C14374" s="174" t="s">
        <v>3145</v>
      </c>
      <c r="D14374" s="228" t="s">
        <v>9381</v>
      </c>
      <c r="E14374" s="236">
        <v>128000</v>
      </c>
      <c r="F14374" s="236"/>
      <c r="G14374" s="236">
        <f t="shared" si="230"/>
        <v>-128000</v>
      </c>
      <c r="H14374" s="709" t="s">
        <v>9260</v>
      </c>
    </row>
    <row r="14375" spans="1:8" ht="15" x14ac:dyDescent="0.2">
      <c r="A14375" s="730">
        <v>44958</v>
      </c>
      <c r="B14375" s="91" t="s">
        <v>3945</v>
      </c>
      <c r="C14375" s="94" t="s">
        <v>559</v>
      </c>
      <c r="D14375" s="892" t="s">
        <v>9248</v>
      </c>
      <c r="E14375" s="92"/>
      <c r="F14375" s="92">
        <v>337081</v>
      </c>
      <c r="G14375" s="92">
        <f t="shared" si="230"/>
        <v>337081</v>
      </c>
      <c r="H14375" s="702" t="s">
        <v>9260</v>
      </c>
    </row>
    <row r="14376" spans="1:8" ht="15" x14ac:dyDescent="0.2">
      <c r="A14376" s="730">
        <v>44964</v>
      </c>
      <c r="B14376" s="91" t="s">
        <v>8876</v>
      </c>
      <c r="C14376" s="91" t="s">
        <v>559</v>
      </c>
      <c r="D14376" s="801" t="s">
        <v>9275</v>
      </c>
      <c r="E14376" s="92"/>
      <c r="F14376" s="92">
        <v>3593187</v>
      </c>
      <c r="G14376" s="92">
        <f t="shared" si="230"/>
        <v>3593187</v>
      </c>
      <c r="H14376" s="702" t="s">
        <v>9260</v>
      </c>
    </row>
    <row r="14377" spans="1:8" ht="15" x14ac:dyDescent="0.2">
      <c r="A14377" s="730">
        <v>44964</v>
      </c>
      <c r="B14377" s="91" t="s">
        <v>8876</v>
      </c>
      <c r="C14377" s="94" t="s">
        <v>559</v>
      </c>
      <c r="D14377" s="801" t="s">
        <v>8543</v>
      </c>
      <c r="E14377" s="176">
        <v>35932</v>
      </c>
      <c r="F14377" s="176"/>
      <c r="G14377" s="92">
        <f t="shared" si="230"/>
        <v>-35932</v>
      </c>
      <c r="H14377" s="702" t="s">
        <v>9260</v>
      </c>
    </row>
    <row r="14378" spans="1:8" ht="15" x14ac:dyDescent="0.2">
      <c r="A14378" s="730">
        <v>44967</v>
      </c>
      <c r="B14378" s="91" t="s">
        <v>3946</v>
      </c>
      <c r="C14378" s="175" t="s">
        <v>559</v>
      </c>
      <c r="D14378" s="892" t="s">
        <v>9315</v>
      </c>
      <c r="E14378" s="701"/>
      <c r="F14378" s="92">
        <v>620658</v>
      </c>
      <c r="G14378" s="92">
        <f t="shared" si="230"/>
        <v>620658</v>
      </c>
      <c r="H14378" s="702" t="s">
        <v>9260</v>
      </c>
    </row>
    <row r="14379" spans="1:8" ht="15" x14ac:dyDescent="0.2">
      <c r="A14379" s="730">
        <v>44968</v>
      </c>
      <c r="B14379" s="91" t="s">
        <v>8868</v>
      </c>
      <c r="C14379" s="175" t="s">
        <v>559</v>
      </c>
      <c r="D14379" s="801" t="s">
        <v>9317</v>
      </c>
      <c r="E14379" s="92"/>
      <c r="F14379" s="92">
        <v>2300000</v>
      </c>
      <c r="G14379" s="92">
        <f t="shared" si="230"/>
        <v>2300000</v>
      </c>
      <c r="H14379" s="702" t="s">
        <v>9260</v>
      </c>
    </row>
    <row r="14380" spans="1:8" ht="15" customHeight="1" x14ac:dyDescent="0.2">
      <c r="A14380" s="730">
        <v>44968</v>
      </c>
      <c r="B14380" s="91" t="s">
        <v>8868</v>
      </c>
      <c r="C14380" s="94" t="s">
        <v>559</v>
      </c>
      <c r="D14380" s="801" t="s">
        <v>8543</v>
      </c>
      <c r="E14380" s="176">
        <v>3135</v>
      </c>
      <c r="F14380" s="176"/>
      <c r="G14380" s="92">
        <f t="shared" si="230"/>
        <v>-3135</v>
      </c>
      <c r="H14380" s="702" t="s">
        <v>9260</v>
      </c>
    </row>
    <row r="14381" spans="1:8" ht="15" customHeight="1" x14ac:dyDescent="0.2">
      <c r="A14381" s="730">
        <v>44973</v>
      </c>
      <c r="B14381" s="91" t="s">
        <v>37</v>
      </c>
      <c r="C14381" s="94" t="s">
        <v>559</v>
      </c>
      <c r="D14381" s="801" t="s">
        <v>9443</v>
      </c>
      <c r="E14381" s="176"/>
      <c r="F14381" s="176">
        <v>188568</v>
      </c>
      <c r="G14381" s="92">
        <f t="shared" si="230"/>
        <v>188568</v>
      </c>
      <c r="H14381" s="702" t="s">
        <v>9260</v>
      </c>
    </row>
    <row r="14382" spans="1:8" ht="15" customHeight="1" x14ac:dyDescent="0.2">
      <c r="A14382" s="734">
        <v>44986</v>
      </c>
      <c r="B14382" s="63" t="s">
        <v>8876</v>
      </c>
      <c r="C14382" s="41" t="s">
        <v>2503</v>
      </c>
      <c r="D14382" s="108" t="s">
        <v>939</v>
      </c>
      <c r="E14382" s="58">
        <v>25000</v>
      </c>
      <c r="F14382" s="126"/>
      <c r="G14382" s="126">
        <f t="shared" si="230"/>
        <v>-25000</v>
      </c>
      <c r="H14382" s="705" t="s">
        <v>9395</v>
      </c>
    </row>
    <row r="14383" spans="1:8" ht="15" customHeight="1" x14ac:dyDescent="0.2">
      <c r="A14383" s="734">
        <v>44986</v>
      </c>
      <c r="B14383" s="63" t="s">
        <v>9409</v>
      </c>
      <c r="C14383" s="41" t="s">
        <v>2503</v>
      </c>
      <c r="D14383" s="108" t="s">
        <v>939</v>
      </c>
      <c r="E14383" s="58">
        <v>25000</v>
      </c>
      <c r="F14383" s="126"/>
      <c r="G14383" s="126">
        <f t="shared" si="230"/>
        <v>-25000</v>
      </c>
      <c r="H14383" s="705" t="s">
        <v>9395</v>
      </c>
    </row>
    <row r="14384" spans="1:8" ht="15" customHeight="1" x14ac:dyDescent="0.2">
      <c r="A14384" s="734">
        <v>44986</v>
      </c>
      <c r="B14384" s="63" t="s">
        <v>9402</v>
      </c>
      <c r="C14384" s="41" t="s">
        <v>2503</v>
      </c>
      <c r="D14384" s="108" t="s">
        <v>141</v>
      </c>
      <c r="E14384" s="58">
        <v>25000</v>
      </c>
      <c r="F14384" s="126"/>
      <c r="G14384" s="126">
        <f t="shared" si="230"/>
        <v>-25000</v>
      </c>
      <c r="H14384" s="705" t="s">
        <v>9395</v>
      </c>
    </row>
    <row r="14385" spans="1:8" ht="15" customHeight="1" x14ac:dyDescent="0.2">
      <c r="A14385" s="734">
        <v>44986</v>
      </c>
      <c r="B14385" s="63" t="s">
        <v>9356</v>
      </c>
      <c r="C14385" s="41" t="s">
        <v>2503</v>
      </c>
      <c r="D14385" s="108" t="s">
        <v>141</v>
      </c>
      <c r="E14385" s="58">
        <v>25000</v>
      </c>
      <c r="F14385" s="126"/>
      <c r="G14385" s="126">
        <f t="shared" si="230"/>
        <v>-25000</v>
      </c>
      <c r="H14385" s="705" t="s">
        <v>9395</v>
      </c>
    </row>
    <row r="14386" spans="1:8" ht="15" customHeight="1" x14ac:dyDescent="0.2">
      <c r="A14386" s="734">
        <v>44986</v>
      </c>
      <c r="B14386" s="63" t="s">
        <v>25</v>
      </c>
      <c r="C14386" s="41" t="s">
        <v>2503</v>
      </c>
      <c r="D14386" s="108" t="s">
        <v>158</v>
      </c>
      <c r="E14386" s="58">
        <v>80000</v>
      </c>
      <c r="F14386" s="126"/>
      <c r="G14386" s="126">
        <f t="shared" si="230"/>
        <v>-80000</v>
      </c>
      <c r="H14386" s="705" t="s">
        <v>9395</v>
      </c>
    </row>
    <row r="14387" spans="1:8" ht="15" customHeight="1" x14ac:dyDescent="0.2">
      <c r="A14387" s="734">
        <v>44986</v>
      </c>
      <c r="B14387" s="63" t="s">
        <v>16</v>
      </c>
      <c r="C14387" s="41" t="s">
        <v>2503</v>
      </c>
      <c r="D14387" s="108" t="s">
        <v>158</v>
      </c>
      <c r="E14387" s="58">
        <v>194870.96774193548</v>
      </c>
      <c r="F14387" s="126"/>
      <c r="G14387" s="126">
        <f t="shared" ref="G14387:G14450" si="231">F14387-E14387</f>
        <v>-194870.96774193548</v>
      </c>
      <c r="H14387" s="705" t="s">
        <v>9395</v>
      </c>
    </row>
    <row r="14388" spans="1:8" ht="15" customHeight="1" x14ac:dyDescent="0.2">
      <c r="A14388" s="734">
        <v>44986</v>
      </c>
      <c r="B14388" s="63" t="s">
        <v>3945</v>
      </c>
      <c r="C14388" s="41" t="s">
        <v>2503</v>
      </c>
      <c r="D14388" s="108" t="s">
        <v>158</v>
      </c>
      <c r="E14388" s="58">
        <v>115538</v>
      </c>
      <c r="F14388" s="126"/>
      <c r="G14388" s="126">
        <f t="shared" si="231"/>
        <v>-115538</v>
      </c>
      <c r="H14388" s="705" t="s">
        <v>9395</v>
      </c>
    </row>
    <row r="14389" spans="1:8" ht="15" customHeight="1" x14ac:dyDescent="0.2">
      <c r="A14389" s="734">
        <v>44986</v>
      </c>
      <c r="B14389" s="63" t="s">
        <v>3946</v>
      </c>
      <c r="C14389" s="41" t="s">
        <v>2503</v>
      </c>
      <c r="D14389" s="108" t="s">
        <v>158</v>
      </c>
      <c r="E14389" s="58">
        <v>119235.8870967742</v>
      </c>
      <c r="F14389" s="126"/>
      <c r="G14389" s="126">
        <f t="shared" si="231"/>
        <v>-119235.8870967742</v>
      </c>
      <c r="H14389" s="705" t="s">
        <v>9395</v>
      </c>
    </row>
    <row r="14390" spans="1:8" ht="15" customHeight="1" x14ac:dyDescent="0.2">
      <c r="A14390" s="734">
        <v>44986</v>
      </c>
      <c r="B14390" s="63" t="s">
        <v>6505</v>
      </c>
      <c r="C14390" s="41" t="s">
        <v>2503</v>
      </c>
      <c r="D14390" s="108" t="s">
        <v>158</v>
      </c>
      <c r="E14390" s="58">
        <v>275972</v>
      </c>
      <c r="F14390" s="126"/>
      <c r="G14390" s="126">
        <f t="shared" si="231"/>
        <v>-275972</v>
      </c>
      <c r="H14390" s="705" t="s">
        <v>9395</v>
      </c>
    </row>
    <row r="14391" spans="1:8" ht="15" x14ac:dyDescent="0.2">
      <c r="A14391" s="734">
        <v>44986</v>
      </c>
      <c r="B14391" s="63" t="s">
        <v>9356</v>
      </c>
      <c r="C14391" s="41" t="s">
        <v>2503</v>
      </c>
      <c r="D14391" s="108" t="s">
        <v>158</v>
      </c>
      <c r="E14391" s="58">
        <v>40000</v>
      </c>
      <c r="F14391" s="126"/>
      <c r="G14391" s="126">
        <f t="shared" si="231"/>
        <v>-40000</v>
      </c>
      <c r="H14391" s="705" t="s">
        <v>9395</v>
      </c>
    </row>
    <row r="14392" spans="1:8" ht="15" x14ac:dyDescent="0.2">
      <c r="A14392" s="734">
        <v>44986</v>
      </c>
      <c r="B14392" s="63" t="s">
        <v>37</v>
      </c>
      <c r="C14392" s="41" t="s">
        <v>2503</v>
      </c>
      <c r="D14392" s="108" t="s">
        <v>158</v>
      </c>
      <c r="E14392" s="58">
        <v>119616.93548387097</v>
      </c>
      <c r="F14392" s="126"/>
      <c r="G14392" s="126">
        <f t="shared" si="231"/>
        <v>-119616.93548387097</v>
      </c>
      <c r="H14392" s="705" t="s">
        <v>9395</v>
      </c>
    </row>
    <row r="14393" spans="1:8" ht="15" x14ac:dyDescent="0.2">
      <c r="A14393" s="734">
        <v>44986</v>
      </c>
      <c r="B14393" s="63" t="s">
        <v>2933</v>
      </c>
      <c r="C14393" s="41" t="s">
        <v>2503</v>
      </c>
      <c r="D14393" s="108" t="s">
        <v>158</v>
      </c>
      <c r="E14393" s="58">
        <v>115561.29032258064</v>
      </c>
      <c r="F14393" s="126"/>
      <c r="G14393" s="126">
        <f t="shared" si="231"/>
        <v>-115561.29032258064</v>
      </c>
      <c r="H14393" s="705" t="s">
        <v>9395</v>
      </c>
    </row>
    <row r="14394" spans="1:8" ht="15" x14ac:dyDescent="0.2">
      <c r="A14394" s="734">
        <v>44986</v>
      </c>
      <c r="B14394" s="63" t="s">
        <v>8876</v>
      </c>
      <c r="C14394" s="41" t="s">
        <v>2503</v>
      </c>
      <c r="D14394" s="108" t="s">
        <v>158</v>
      </c>
      <c r="E14394" s="58">
        <v>128246</v>
      </c>
      <c r="F14394" s="126"/>
      <c r="G14394" s="126">
        <f t="shared" si="231"/>
        <v>-128246</v>
      </c>
      <c r="H14394" s="705" t="s">
        <v>9395</v>
      </c>
    </row>
    <row r="14395" spans="1:8" ht="15" x14ac:dyDescent="0.2">
      <c r="A14395" s="734">
        <v>44986</v>
      </c>
      <c r="B14395" s="63" t="s">
        <v>9402</v>
      </c>
      <c r="C14395" s="41" t="s">
        <v>2503</v>
      </c>
      <c r="D14395" s="108" t="s">
        <v>158</v>
      </c>
      <c r="E14395" s="58">
        <v>128246</v>
      </c>
      <c r="F14395" s="126"/>
      <c r="G14395" s="126">
        <f t="shared" si="231"/>
        <v>-128246</v>
      </c>
      <c r="H14395" s="705" t="s">
        <v>9395</v>
      </c>
    </row>
    <row r="14396" spans="1:8" ht="15" x14ac:dyDescent="0.2">
      <c r="A14396" s="734">
        <v>44986</v>
      </c>
      <c r="B14396" s="63" t="s">
        <v>3946</v>
      </c>
      <c r="C14396" s="41" t="s">
        <v>2503</v>
      </c>
      <c r="D14396" s="108" t="s">
        <v>158</v>
      </c>
      <c r="E14396" s="58">
        <v>28000</v>
      </c>
      <c r="F14396" s="126"/>
      <c r="G14396" s="126">
        <f t="shared" si="231"/>
        <v>-28000</v>
      </c>
      <c r="H14396" s="705" t="s">
        <v>9395</v>
      </c>
    </row>
    <row r="14397" spans="1:8" ht="15" x14ac:dyDescent="0.2">
      <c r="A14397" s="734">
        <v>44986</v>
      </c>
      <c r="B14397" s="63" t="s">
        <v>11</v>
      </c>
      <c r="C14397" s="41" t="s">
        <v>2503</v>
      </c>
      <c r="D14397" s="108" t="s">
        <v>158</v>
      </c>
      <c r="E14397" s="58">
        <v>5000</v>
      </c>
      <c r="F14397" s="126"/>
      <c r="G14397" s="126">
        <f t="shared" si="231"/>
        <v>-5000</v>
      </c>
      <c r="H14397" s="705" t="s">
        <v>9395</v>
      </c>
    </row>
    <row r="14398" spans="1:8" ht="15" x14ac:dyDescent="0.2">
      <c r="A14398" s="734">
        <v>44986</v>
      </c>
      <c r="B14398" s="63" t="s">
        <v>16</v>
      </c>
      <c r="C14398" s="41" t="s">
        <v>3843</v>
      </c>
      <c r="D14398" s="108" t="s">
        <v>8158</v>
      </c>
      <c r="E14398" s="58">
        <v>4000</v>
      </c>
      <c r="F14398" s="126"/>
      <c r="G14398" s="126">
        <f t="shared" si="231"/>
        <v>-4000</v>
      </c>
      <c r="H14398" s="705" t="s">
        <v>9395</v>
      </c>
    </row>
    <row r="14399" spans="1:8" ht="15" x14ac:dyDescent="0.2">
      <c r="A14399" s="734">
        <v>44986</v>
      </c>
      <c r="B14399" s="63" t="s">
        <v>8876</v>
      </c>
      <c r="C14399" s="41" t="s">
        <v>286</v>
      </c>
      <c r="D14399" s="108" t="s">
        <v>9397</v>
      </c>
      <c r="E14399" s="58">
        <v>900</v>
      </c>
      <c r="F14399" s="126"/>
      <c r="G14399" s="126">
        <f t="shared" si="231"/>
        <v>-900</v>
      </c>
      <c r="H14399" s="705" t="s">
        <v>9395</v>
      </c>
    </row>
    <row r="14400" spans="1:8" ht="15" x14ac:dyDescent="0.2">
      <c r="A14400" s="734">
        <v>44986</v>
      </c>
      <c r="B14400" s="63" t="s">
        <v>8657</v>
      </c>
      <c r="C14400" s="41" t="s">
        <v>3145</v>
      </c>
      <c r="D14400" s="108" t="s">
        <v>9398</v>
      </c>
      <c r="E14400" s="58">
        <v>17000</v>
      </c>
      <c r="F14400" s="126"/>
      <c r="G14400" s="126">
        <f t="shared" si="231"/>
        <v>-17000</v>
      </c>
      <c r="H14400" s="705" t="s">
        <v>9395</v>
      </c>
    </row>
    <row r="14401" spans="1:8" ht="15" x14ac:dyDescent="0.2">
      <c r="A14401" s="734">
        <v>44986</v>
      </c>
      <c r="B14401" s="63" t="s">
        <v>25</v>
      </c>
      <c r="C14401" s="41" t="s">
        <v>392</v>
      </c>
      <c r="D14401" s="108" t="s">
        <v>1917</v>
      </c>
      <c r="E14401" s="58">
        <v>750</v>
      </c>
      <c r="F14401" s="126"/>
      <c r="G14401" s="126">
        <f t="shared" si="231"/>
        <v>-750</v>
      </c>
      <c r="H14401" s="705" t="s">
        <v>9395</v>
      </c>
    </row>
    <row r="14402" spans="1:8" ht="15" x14ac:dyDescent="0.2">
      <c r="A14402" s="734">
        <v>44986</v>
      </c>
      <c r="B14402" s="63" t="s">
        <v>16</v>
      </c>
      <c r="C14402" s="41" t="s">
        <v>3843</v>
      </c>
      <c r="D14402" s="108" t="s">
        <v>8158</v>
      </c>
      <c r="E14402" s="58">
        <v>4500</v>
      </c>
      <c r="F14402" s="126"/>
      <c r="G14402" s="126">
        <f t="shared" si="231"/>
        <v>-4500</v>
      </c>
      <c r="H14402" s="705" t="s">
        <v>9395</v>
      </c>
    </row>
    <row r="14403" spans="1:8" ht="15" x14ac:dyDescent="0.2">
      <c r="A14403" s="734">
        <v>44987</v>
      </c>
      <c r="B14403" s="63" t="s">
        <v>8043</v>
      </c>
      <c r="C14403" s="41" t="s">
        <v>392</v>
      </c>
      <c r="D14403" s="108" t="s">
        <v>9399</v>
      </c>
      <c r="E14403" s="58">
        <v>2570</v>
      </c>
      <c r="F14403" s="126"/>
      <c r="G14403" s="126">
        <f t="shared" si="231"/>
        <v>-2570</v>
      </c>
      <c r="H14403" s="705" t="s">
        <v>9395</v>
      </c>
    </row>
    <row r="14404" spans="1:8" ht="15" x14ac:dyDescent="0.2">
      <c r="A14404" s="734">
        <v>44987</v>
      </c>
      <c r="B14404" s="63" t="s">
        <v>8657</v>
      </c>
      <c r="C14404" s="41" t="s">
        <v>3145</v>
      </c>
      <c r="D14404" s="108" t="s">
        <v>9400</v>
      </c>
      <c r="E14404" s="58">
        <v>2100</v>
      </c>
      <c r="F14404" s="126"/>
      <c r="G14404" s="126">
        <f t="shared" si="231"/>
        <v>-2100</v>
      </c>
      <c r="H14404" s="705" t="s">
        <v>9395</v>
      </c>
    </row>
    <row r="14405" spans="1:8" ht="15" x14ac:dyDescent="0.2">
      <c r="A14405" s="734">
        <v>44987</v>
      </c>
      <c r="B14405" s="63" t="s">
        <v>16</v>
      </c>
      <c r="C14405" s="41" t="s">
        <v>103</v>
      </c>
      <c r="D14405" s="108" t="s">
        <v>9401</v>
      </c>
      <c r="E14405" s="58">
        <v>600</v>
      </c>
      <c r="F14405" s="126"/>
      <c r="G14405" s="126">
        <f t="shared" si="231"/>
        <v>-600</v>
      </c>
      <c r="H14405" s="705" t="s">
        <v>9395</v>
      </c>
    </row>
    <row r="14406" spans="1:8" ht="15" x14ac:dyDescent="0.2">
      <c r="A14406" s="734">
        <v>44987</v>
      </c>
      <c r="B14406" s="63" t="s">
        <v>16</v>
      </c>
      <c r="C14406" s="41" t="s">
        <v>3843</v>
      </c>
      <c r="D14406" s="108" t="s">
        <v>8117</v>
      </c>
      <c r="E14406" s="58">
        <v>1000</v>
      </c>
      <c r="F14406" s="126"/>
      <c r="G14406" s="126">
        <f t="shared" si="231"/>
        <v>-1000</v>
      </c>
      <c r="H14406" s="705" t="s">
        <v>9395</v>
      </c>
    </row>
    <row r="14407" spans="1:8" ht="15" x14ac:dyDescent="0.2">
      <c r="A14407" s="734">
        <v>44988</v>
      </c>
      <c r="B14407" s="63" t="s">
        <v>9402</v>
      </c>
      <c r="C14407" s="41" t="s">
        <v>3145</v>
      </c>
      <c r="D14407" s="108" t="s">
        <v>9403</v>
      </c>
      <c r="E14407" s="58">
        <v>10000</v>
      </c>
      <c r="F14407" s="126"/>
      <c r="G14407" s="126">
        <f t="shared" si="231"/>
        <v>-10000</v>
      </c>
      <c r="H14407" s="705" t="s">
        <v>9395</v>
      </c>
    </row>
    <row r="14408" spans="1:8" ht="15" x14ac:dyDescent="0.2">
      <c r="A14408" s="734">
        <v>44988</v>
      </c>
      <c r="B14408" s="63" t="s">
        <v>9402</v>
      </c>
      <c r="C14408" s="41" t="s">
        <v>3145</v>
      </c>
      <c r="D14408" s="108" t="s">
        <v>9404</v>
      </c>
      <c r="E14408" s="58">
        <v>64000</v>
      </c>
      <c r="F14408" s="126"/>
      <c r="G14408" s="126">
        <f t="shared" si="231"/>
        <v>-64000</v>
      </c>
      <c r="H14408" s="705" t="s">
        <v>9395</v>
      </c>
    </row>
    <row r="14409" spans="1:8" ht="15" x14ac:dyDescent="0.2">
      <c r="A14409" s="734">
        <v>44988</v>
      </c>
      <c r="B14409" s="63" t="s">
        <v>16</v>
      </c>
      <c r="C14409" s="41" t="s">
        <v>3364</v>
      </c>
      <c r="E14409" s="58">
        <v>4960</v>
      </c>
      <c r="F14409" s="126"/>
      <c r="G14409" s="126">
        <f t="shared" si="231"/>
        <v>-4960</v>
      </c>
      <c r="H14409" s="705" t="s">
        <v>9395</v>
      </c>
    </row>
    <row r="14410" spans="1:8" ht="15" x14ac:dyDescent="0.2">
      <c r="A14410" s="734">
        <v>44988</v>
      </c>
      <c r="B14410" s="63" t="s">
        <v>6508</v>
      </c>
      <c r="C14410" s="41" t="s">
        <v>392</v>
      </c>
      <c r="D14410" s="108" t="s">
        <v>9405</v>
      </c>
      <c r="E14410" s="58">
        <v>1000</v>
      </c>
      <c r="F14410" s="126"/>
      <c r="G14410" s="126">
        <f t="shared" si="231"/>
        <v>-1000</v>
      </c>
      <c r="H14410" s="705" t="s">
        <v>9395</v>
      </c>
    </row>
    <row r="14411" spans="1:8" ht="15" x14ac:dyDescent="0.2">
      <c r="A14411" s="734">
        <v>44988</v>
      </c>
      <c r="B14411" s="63" t="s">
        <v>25</v>
      </c>
      <c r="C14411" s="41" t="s">
        <v>8150</v>
      </c>
      <c r="D14411" s="108" t="s">
        <v>9270</v>
      </c>
      <c r="E14411" s="58">
        <v>250</v>
      </c>
      <c r="F14411" s="126"/>
      <c r="G14411" s="126">
        <f t="shared" si="231"/>
        <v>-250</v>
      </c>
      <c r="H14411" s="705" t="s">
        <v>9395</v>
      </c>
    </row>
    <row r="14412" spans="1:8" ht="15" x14ac:dyDescent="0.2">
      <c r="A14412" s="734">
        <v>44988</v>
      </c>
      <c r="B14412" s="63" t="s">
        <v>16</v>
      </c>
      <c r="C14412" s="41" t="s">
        <v>8150</v>
      </c>
      <c r="D14412" s="108" t="s">
        <v>9270</v>
      </c>
      <c r="E14412" s="58">
        <v>250</v>
      </c>
      <c r="F14412" s="126"/>
      <c r="G14412" s="126">
        <f t="shared" si="231"/>
        <v>-250</v>
      </c>
      <c r="H14412" s="705" t="s">
        <v>9395</v>
      </c>
    </row>
    <row r="14413" spans="1:8" ht="15" x14ac:dyDescent="0.2">
      <c r="A14413" s="734">
        <v>44988</v>
      </c>
      <c r="B14413" s="63" t="s">
        <v>16</v>
      </c>
      <c r="C14413" s="41" t="s">
        <v>3843</v>
      </c>
      <c r="D14413" s="108" t="s">
        <v>8158</v>
      </c>
      <c r="E14413" s="58">
        <v>1500</v>
      </c>
      <c r="F14413" s="126"/>
      <c r="G14413" s="126">
        <f t="shared" si="231"/>
        <v>-1500</v>
      </c>
      <c r="H14413" s="705" t="s">
        <v>9395</v>
      </c>
    </row>
    <row r="14414" spans="1:8" ht="15" x14ac:dyDescent="0.2">
      <c r="A14414" s="734">
        <v>44989</v>
      </c>
      <c r="B14414" s="63" t="s">
        <v>8876</v>
      </c>
      <c r="C14414" s="41" t="s">
        <v>3145</v>
      </c>
      <c r="D14414" s="108" t="s">
        <v>9408</v>
      </c>
      <c r="E14414" s="58">
        <v>167500</v>
      </c>
      <c r="F14414" s="126"/>
      <c r="G14414" s="126">
        <f t="shared" si="231"/>
        <v>-167500</v>
      </c>
      <c r="H14414" s="705" t="s">
        <v>9395</v>
      </c>
    </row>
    <row r="14415" spans="1:8" ht="15" x14ac:dyDescent="0.2">
      <c r="A14415" s="734">
        <v>44991</v>
      </c>
      <c r="B14415" s="63" t="s">
        <v>9402</v>
      </c>
      <c r="C14415" s="41" t="s">
        <v>286</v>
      </c>
      <c r="D14415" s="108" t="s">
        <v>8534</v>
      </c>
      <c r="E14415" s="58">
        <v>1000</v>
      </c>
      <c r="F14415" s="126"/>
      <c r="G14415" s="126">
        <f t="shared" si="231"/>
        <v>-1000</v>
      </c>
      <c r="H14415" s="705" t="s">
        <v>9395</v>
      </c>
    </row>
    <row r="14416" spans="1:8" ht="15" x14ac:dyDescent="0.2">
      <c r="A14416" s="734">
        <v>44991</v>
      </c>
      <c r="B14416" s="63" t="s">
        <v>6508</v>
      </c>
      <c r="C14416" s="41" t="s">
        <v>392</v>
      </c>
      <c r="D14416" s="108" t="s">
        <v>9406</v>
      </c>
      <c r="E14416" s="58">
        <v>13000</v>
      </c>
      <c r="F14416" s="126"/>
      <c r="G14416" s="126">
        <f t="shared" si="231"/>
        <v>-13000</v>
      </c>
      <c r="H14416" s="705" t="s">
        <v>9395</v>
      </c>
    </row>
    <row r="14417" spans="1:8" ht="15" x14ac:dyDescent="0.2">
      <c r="A14417" s="734">
        <v>44991</v>
      </c>
      <c r="B14417" s="63" t="s">
        <v>9409</v>
      </c>
      <c r="C14417" s="41" t="s">
        <v>3145</v>
      </c>
      <c r="D14417" s="108" t="s">
        <v>4450</v>
      </c>
      <c r="E14417" s="58">
        <v>73175</v>
      </c>
      <c r="F14417" s="126"/>
      <c r="G14417" s="126">
        <f t="shared" si="231"/>
        <v>-73175</v>
      </c>
      <c r="H14417" s="705" t="s">
        <v>9395</v>
      </c>
    </row>
    <row r="14418" spans="1:8" ht="15" x14ac:dyDescent="0.2">
      <c r="A14418" s="734">
        <v>44991</v>
      </c>
      <c r="B14418" s="63" t="s">
        <v>16</v>
      </c>
      <c r="C14418" s="41" t="s">
        <v>3843</v>
      </c>
      <c r="D14418" s="108" t="s">
        <v>8158</v>
      </c>
      <c r="E14418" s="58">
        <v>3000</v>
      </c>
      <c r="F14418" s="126"/>
      <c r="G14418" s="126">
        <f t="shared" si="231"/>
        <v>-3000</v>
      </c>
      <c r="H14418" s="705" t="s">
        <v>9395</v>
      </c>
    </row>
    <row r="14419" spans="1:8" ht="15" x14ac:dyDescent="0.2">
      <c r="A14419" s="734">
        <v>44991</v>
      </c>
      <c r="B14419" s="63" t="s">
        <v>9402</v>
      </c>
      <c r="C14419" s="41" t="s">
        <v>3145</v>
      </c>
      <c r="D14419" s="108" t="s">
        <v>9410</v>
      </c>
      <c r="E14419" s="58">
        <v>72200</v>
      </c>
      <c r="F14419" s="126"/>
      <c r="G14419" s="126">
        <f t="shared" si="231"/>
        <v>-72200</v>
      </c>
      <c r="H14419" s="705" t="s">
        <v>9395</v>
      </c>
    </row>
    <row r="14420" spans="1:8" ht="15" x14ac:dyDescent="0.2">
      <c r="A14420" s="734">
        <v>44991</v>
      </c>
      <c r="B14420" s="63" t="s">
        <v>9356</v>
      </c>
      <c r="C14420" s="41" t="s">
        <v>3145</v>
      </c>
      <c r="D14420" s="108" t="s">
        <v>9411</v>
      </c>
      <c r="E14420" s="58">
        <v>12600</v>
      </c>
      <c r="F14420" s="126"/>
      <c r="G14420" s="126">
        <f t="shared" si="231"/>
        <v>-12600</v>
      </c>
      <c r="H14420" s="705" t="s">
        <v>9395</v>
      </c>
    </row>
    <row r="14421" spans="1:8" ht="15" x14ac:dyDescent="0.2">
      <c r="A14421" s="734">
        <v>44991</v>
      </c>
      <c r="B14421" s="63" t="s">
        <v>8876</v>
      </c>
      <c r="C14421" s="41" t="s">
        <v>3145</v>
      </c>
      <c r="D14421" s="108" t="s">
        <v>9412</v>
      </c>
      <c r="E14421" s="58">
        <v>19900</v>
      </c>
      <c r="F14421" s="126"/>
      <c r="G14421" s="126">
        <f t="shared" si="231"/>
        <v>-19900</v>
      </c>
      <c r="H14421" s="705" t="s">
        <v>9395</v>
      </c>
    </row>
    <row r="14422" spans="1:8" ht="15" x14ac:dyDescent="0.2">
      <c r="A14422" s="734">
        <v>44991</v>
      </c>
      <c r="B14422" s="63" t="s">
        <v>8043</v>
      </c>
      <c r="C14422" s="41" t="s">
        <v>3145</v>
      </c>
      <c r="D14422" s="108" t="s">
        <v>9413</v>
      </c>
      <c r="E14422" s="58">
        <v>27785</v>
      </c>
      <c r="F14422" s="126"/>
      <c r="G14422" s="126">
        <f t="shared" si="231"/>
        <v>-27785</v>
      </c>
      <c r="H14422" s="705" t="s">
        <v>9395</v>
      </c>
    </row>
    <row r="14423" spans="1:8" ht="15" x14ac:dyDescent="0.2">
      <c r="A14423" s="734">
        <v>44991</v>
      </c>
      <c r="B14423" s="63" t="s">
        <v>8043</v>
      </c>
      <c r="C14423" s="41" t="s">
        <v>3145</v>
      </c>
      <c r="D14423" s="108" t="s">
        <v>9414</v>
      </c>
      <c r="E14423" s="58">
        <v>28150</v>
      </c>
      <c r="F14423" s="126"/>
      <c r="G14423" s="126">
        <f t="shared" si="231"/>
        <v>-28150</v>
      </c>
      <c r="H14423" s="705" t="s">
        <v>9395</v>
      </c>
    </row>
    <row r="14424" spans="1:8" ht="15" x14ac:dyDescent="0.2">
      <c r="A14424" s="734">
        <v>44991</v>
      </c>
      <c r="B14424" s="63" t="s">
        <v>9356</v>
      </c>
      <c r="C14424" s="41" t="s">
        <v>3145</v>
      </c>
      <c r="D14424" s="108" t="s">
        <v>9417</v>
      </c>
      <c r="E14424" s="58">
        <v>20000</v>
      </c>
      <c r="F14424" s="126"/>
      <c r="G14424" s="126">
        <f t="shared" si="231"/>
        <v>-20000</v>
      </c>
      <c r="H14424" s="705" t="s">
        <v>9395</v>
      </c>
    </row>
    <row r="14425" spans="1:8" ht="15" x14ac:dyDescent="0.2">
      <c r="A14425" s="734">
        <v>44991</v>
      </c>
      <c r="B14425" s="63" t="s">
        <v>9402</v>
      </c>
      <c r="C14425" s="41" t="s">
        <v>392</v>
      </c>
      <c r="D14425" s="108" t="s">
        <v>8372</v>
      </c>
      <c r="E14425" s="58">
        <v>2000</v>
      </c>
      <c r="F14425" s="126"/>
      <c r="G14425" s="126">
        <f t="shared" si="231"/>
        <v>-2000</v>
      </c>
      <c r="H14425" s="705" t="s">
        <v>9395</v>
      </c>
    </row>
    <row r="14426" spans="1:8" ht="15" x14ac:dyDescent="0.2">
      <c r="A14426" s="734">
        <v>44991</v>
      </c>
      <c r="B14426" s="63" t="s">
        <v>16</v>
      </c>
      <c r="C14426" s="41" t="s">
        <v>103</v>
      </c>
      <c r="D14426" s="108" t="s">
        <v>9418</v>
      </c>
      <c r="E14426" s="58">
        <v>1000</v>
      </c>
      <c r="F14426" s="126"/>
      <c r="G14426" s="126">
        <f t="shared" si="231"/>
        <v>-1000</v>
      </c>
      <c r="H14426" s="705" t="s">
        <v>9395</v>
      </c>
    </row>
    <row r="14427" spans="1:8" ht="15" x14ac:dyDescent="0.2">
      <c r="A14427" s="734">
        <v>44991</v>
      </c>
      <c r="B14427" s="63" t="s">
        <v>16</v>
      </c>
      <c r="C14427" s="41" t="s">
        <v>3843</v>
      </c>
      <c r="D14427" s="108" t="s">
        <v>8158</v>
      </c>
      <c r="E14427" s="58">
        <v>2500</v>
      </c>
      <c r="F14427" s="126"/>
      <c r="G14427" s="126">
        <f t="shared" si="231"/>
        <v>-2500</v>
      </c>
      <c r="H14427" s="705" t="s">
        <v>9395</v>
      </c>
    </row>
    <row r="14428" spans="1:8" ht="15" x14ac:dyDescent="0.2">
      <c r="A14428" s="734">
        <v>44991</v>
      </c>
      <c r="B14428" s="63" t="s">
        <v>7067</v>
      </c>
      <c r="C14428" s="41" t="s">
        <v>3145</v>
      </c>
      <c r="D14428" s="108" t="s">
        <v>9419</v>
      </c>
      <c r="E14428" s="58">
        <v>26800</v>
      </c>
      <c r="F14428" s="126"/>
      <c r="G14428" s="126">
        <f t="shared" si="231"/>
        <v>-26800</v>
      </c>
      <c r="H14428" s="705" t="s">
        <v>9395</v>
      </c>
    </row>
    <row r="14429" spans="1:8" ht="15" x14ac:dyDescent="0.2">
      <c r="A14429" s="734">
        <v>44991</v>
      </c>
      <c r="B14429" s="63" t="s">
        <v>9356</v>
      </c>
      <c r="C14429" s="41" t="s">
        <v>286</v>
      </c>
      <c r="D14429" s="108" t="s">
        <v>9397</v>
      </c>
      <c r="E14429" s="58">
        <v>1000</v>
      </c>
      <c r="F14429" s="126"/>
      <c r="G14429" s="126">
        <f t="shared" si="231"/>
        <v>-1000</v>
      </c>
      <c r="H14429" s="705" t="s">
        <v>9395</v>
      </c>
    </row>
    <row r="14430" spans="1:8" ht="15" x14ac:dyDescent="0.2">
      <c r="A14430" s="734">
        <v>44991</v>
      </c>
      <c r="B14430" s="63" t="s">
        <v>16</v>
      </c>
      <c r="C14430" s="41" t="s">
        <v>3843</v>
      </c>
      <c r="D14430" s="108" t="s">
        <v>8158</v>
      </c>
      <c r="E14430" s="58">
        <v>4500</v>
      </c>
      <c r="F14430" s="126"/>
      <c r="G14430" s="126">
        <f t="shared" si="231"/>
        <v>-4500</v>
      </c>
      <c r="H14430" s="705" t="s">
        <v>9395</v>
      </c>
    </row>
    <row r="14431" spans="1:8" ht="15" x14ac:dyDescent="0.2">
      <c r="A14431" s="734">
        <v>44994</v>
      </c>
      <c r="B14431" s="63" t="s">
        <v>9356</v>
      </c>
      <c r="C14431" s="41" t="s">
        <v>3145</v>
      </c>
      <c r="D14431" s="108" t="s">
        <v>9415</v>
      </c>
      <c r="E14431" s="58">
        <v>5500</v>
      </c>
      <c r="F14431" s="126"/>
      <c r="G14431" s="126">
        <f t="shared" si="231"/>
        <v>-5500</v>
      </c>
      <c r="H14431" s="705" t="s">
        <v>9395</v>
      </c>
    </row>
    <row r="14432" spans="1:8" ht="15" x14ac:dyDescent="0.2">
      <c r="A14432" s="734">
        <v>44994</v>
      </c>
      <c r="B14432" s="63" t="s">
        <v>3945</v>
      </c>
      <c r="C14432" s="41" t="s">
        <v>3145</v>
      </c>
      <c r="D14432" s="108" t="s">
        <v>9416</v>
      </c>
      <c r="E14432" s="58">
        <v>1300</v>
      </c>
      <c r="F14432" s="126"/>
      <c r="G14432" s="126">
        <f t="shared" si="231"/>
        <v>-1300</v>
      </c>
      <c r="H14432" s="705" t="s">
        <v>9395</v>
      </c>
    </row>
    <row r="14433" spans="1:8" ht="15" x14ac:dyDescent="0.2">
      <c r="A14433" s="734">
        <v>44994</v>
      </c>
      <c r="B14433" s="63" t="s">
        <v>8657</v>
      </c>
      <c r="C14433" s="41" t="s">
        <v>790</v>
      </c>
      <c r="E14433" s="58">
        <v>2280</v>
      </c>
      <c r="F14433" s="126"/>
      <c r="G14433" s="126">
        <f t="shared" si="231"/>
        <v>-2280</v>
      </c>
      <c r="H14433" s="705" t="s">
        <v>9395</v>
      </c>
    </row>
    <row r="14434" spans="1:8" ht="15" x14ac:dyDescent="0.2">
      <c r="A14434" s="734">
        <v>44994</v>
      </c>
      <c r="B14434" s="63" t="s">
        <v>8876</v>
      </c>
      <c r="C14434" s="41" t="s">
        <v>790</v>
      </c>
      <c r="E14434" s="58">
        <v>815</v>
      </c>
      <c r="F14434" s="126"/>
      <c r="G14434" s="126">
        <f t="shared" si="231"/>
        <v>-815</v>
      </c>
      <c r="H14434" s="705" t="s">
        <v>9395</v>
      </c>
    </row>
    <row r="14435" spans="1:8" ht="15" x14ac:dyDescent="0.2">
      <c r="A14435" s="734">
        <v>44994</v>
      </c>
      <c r="B14435" s="63" t="s">
        <v>8339</v>
      </c>
      <c r="C14435" s="41" t="s">
        <v>790</v>
      </c>
      <c r="E14435" s="58">
        <v>1980</v>
      </c>
      <c r="F14435" s="126"/>
      <c r="G14435" s="126">
        <f t="shared" si="231"/>
        <v>-1980</v>
      </c>
      <c r="H14435" s="705" t="s">
        <v>9395</v>
      </c>
    </row>
    <row r="14436" spans="1:8" ht="15" x14ac:dyDescent="0.2">
      <c r="A14436" s="734">
        <v>44994</v>
      </c>
      <c r="B14436" s="63" t="s">
        <v>9356</v>
      </c>
      <c r="C14436" s="41" t="s">
        <v>790</v>
      </c>
      <c r="E14436" s="58">
        <v>1160</v>
      </c>
      <c r="F14436" s="126"/>
      <c r="G14436" s="126">
        <f t="shared" si="231"/>
        <v>-1160</v>
      </c>
      <c r="H14436" s="705" t="s">
        <v>9395</v>
      </c>
    </row>
    <row r="14437" spans="1:8" ht="15" x14ac:dyDescent="0.2">
      <c r="A14437" s="734">
        <v>44994</v>
      </c>
      <c r="B14437" s="63" t="s">
        <v>9356</v>
      </c>
      <c r="C14437" s="41" t="s">
        <v>392</v>
      </c>
      <c r="D14437" s="108" t="s">
        <v>9420</v>
      </c>
      <c r="E14437" s="58">
        <v>3500</v>
      </c>
      <c r="F14437" s="126"/>
      <c r="G14437" s="126">
        <f t="shared" si="231"/>
        <v>-3500</v>
      </c>
      <c r="H14437" s="705" t="s">
        <v>9395</v>
      </c>
    </row>
    <row r="14438" spans="1:8" ht="15" x14ac:dyDescent="0.2">
      <c r="A14438" s="734">
        <v>44994</v>
      </c>
      <c r="B14438" s="63" t="s">
        <v>9402</v>
      </c>
      <c r="C14438" s="41" t="s">
        <v>7927</v>
      </c>
      <c r="D14438" s="108" t="s">
        <v>9428</v>
      </c>
      <c r="E14438" s="58">
        <v>69000</v>
      </c>
      <c r="F14438" s="126"/>
      <c r="G14438" s="126">
        <f t="shared" si="231"/>
        <v>-69000</v>
      </c>
      <c r="H14438" s="705" t="s">
        <v>9395</v>
      </c>
    </row>
    <row r="14439" spans="1:8" ht="15" x14ac:dyDescent="0.2">
      <c r="A14439" s="734">
        <v>44994</v>
      </c>
      <c r="B14439" s="63" t="s">
        <v>8876</v>
      </c>
      <c r="C14439" s="41" t="s">
        <v>5741</v>
      </c>
      <c r="D14439" s="108" t="s">
        <v>9421</v>
      </c>
      <c r="E14439" s="58">
        <v>4000</v>
      </c>
      <c r="F14439" s="126"/>
      <c r="G14439" s="126">
        <f t="shared" si="231"/>
        <v>-4000</v>
      </c>
      <c r="H14439" s="705" t="s">
        <v>9395</v>
      </c>
    </row>
    <row r="14440" spans="1:8" ht="15" x14ac:dyDescent="0.2">
      <c r="A14440" s="734">
        <v>44994</v>
      </c>
      <c r="B14440" s="63" t="s">
        <v>8876</v>
      </c>
      <c r="C14440" s="41" t="s">
        <v>5741</v>
      </c>
      <c r="D14440" s="108" t="s">
        <v>9422</v>
      </c>
      <c r="E14440" s="58">
        <v>1500</v>
      </c>
      <c r="F14440" s="126"/>
      <c r="G14440" s="126">
        <f t="shared" si="231"/>
        <v>-1500</v>
      </c>
      <c r="H14440" s="705" t="s">
        <v>9395</v>
      </c>
    </row>
    <row r="14441" spans="1:8" ht="15" x14ac:dyDescent="0.2">
      <c r="A14441" s="734">
        <v>44994</v>
      </c>
      <c r="B14441" s="63" t="s">
        <v>37</v>
      </c>
      <c r="C14441" s="41" t="s">
        <v>392</v>
      </c>
      <c r="D14441" s="108" t="s">
        <v>9423</v>
      </c>
      <c r="E14441" s="58">
        <v>3000</v>
      </c>
      <c r="F14441" s="126"/>
      <c r="G14441" s="126">
        <f t="shared" si="231"/>
        <v>-3000</v>
      </c>
      <c r="H14441" s="705" t="s">
        <v>9395</v>
      </c>
    </row>
    <row r="14442" spans="1:8" ht="15" customHeight="1" x14ac:dyDescent="0.2">
      <c r="A14442" s="734">
        <v>44994</v>
      </c>
      <c r="B14442" s="63" t="s">
        <v>9402</v>
      </c>
      <c r="C14442" s="41" t="s">
        <v>286</v>
      </c>
      <c r="D14442" s="108" t="s">
        <v>8448</v>
      </c>
      <c r="E14442" s="58">
        <v>1000</v>
      </c>
      <c r="F14442" s="126"/>
      <c r="G14442" s="126">
        <f t="shared" si="231"/>
        <v>-1000</v>
      </c>
      <c r="H14442" s="705" t="s">
        <v>9395</v>
      </c>
    </row>
    <row r="14443" spans="1:8" ht="15" customHeight="1" x14ac:dyDescent="0.2">
      <c r="A14443" s="734">
        <v>44994</v>
      </c>
      <c r="B14443" s="63" t="s">
        <v>16</v>
      </c>
      <c r="C14443" s="41" t="s">
        <v>103</v>
      </c>
      <c r="D14443" s="108" t="s">
        <v>9424</v>
      </c>
      <c r="E14443" s="58">
        <v>880</v>
      </c>
      <c r="F14443" s="126"/>
      <c r="G14443" s="126">
        <f t="shared" si="231"/>
        <v>-880</v>
      </c>
      <c r="H14443" s="705" t="s">
        <v>9395</v>
      </c>
    </row>
    <row r="14444" spans="1:8" ht="15" x14ac:dyDescent="0.2">
      <c r="A14444" s="734">
        <v>44994</v>
      </c>
      <c r="B14444" s="63" t="s">
        <v>37</v>
      </c>
      <c r="C14444" s="41" t="s">
        <v>286</v>
      </c>
      <c r="D14444" s="108" t="s">
        <v>2431</v>
      </c>
      <c r="E14444" s="58">
        <v>550</v>
      </c>
      <c r="F14444" s="126"/>
      <c r="G14444" s="126">
        <f t="shared" si="231"/>
        <v>-550</v>
      </c>
      <c r="H14444" s="705" t="s">
        <v>9395</v>
      </c>
    </row>
    <row r="14445" spans="1:8" ht="15" x14ac:dyDescent="0.2">
      <c r="A14445" s="734">
        <v>44994</v>
      </c>
      <c r="B14445" s="63" t="s">
        <v>9409</v>
      </c>
      <c r="C14445" s="41" t="s">
        <v>286</v>
      </c>
      <c r="D14445" s="108" t="s">
        <v>2431</v>
      </c>
      <c r="E14445" s="58">
        <v>250</v>
      </c>
      <c r="F14445" s="126"/>
      <c r="G14445" s="126">
        <f t="shared" si="231"/>
        <v>-250</v>
      </c>
      <c r="H14445" s="705" t="s">
        <v>9395</v>
      </c>
    </row>
    <row r="14446" spans="1:8" ht="15" x14ac:dyDescent="0.2">
      <c r="A14446" s="734">
        <v>44994</v>
      </c>
      <c r="B14446" s="63" t="s">
        <v>9356</v>
      </c>
      <c r="C14446" s="41" t="s">
        <v>3145</v>
      </c>
      <c r="D14446" s="108" t="s">
        <v>9429</v>
      </c>
      <c r="E14446" s="58">
        <v>1000</v>
      </c>
      <c r="F14446" s="126"/>
      <c r="G14446" s="126">
        <f t="shared" si="231"/>
        <v>-1000</v>
      </c>
      <c r="H14446" s="705" t="s">
        <v>9395</v>
      </c>
    </row>
    <row r="14447" spans="1:8" ht="15" x14ac:dyDescent="0.2">
      <c r="A14447" s="734">
        <v>44994</v>
      </c>
      <c r="B14447" s="63" t="s">
        <v>16</v>
      </c>
      <c r="C14447" s="41" t="s">
        <v>103</v>
      </c>
      <c r="D14447" s="108" t="s">
        <v>9425</v>
      </c>
      <c r="E14447" s="58">
        <v>2500</v>
      </c>
      <c r="F14447" s="126"/>
      <c r="G14447" s="126">
        <f t="shared" si="231"/>
        <v>-2500</v>
      </c>
      <c r="H14447" s="705" t="s">
        <v>9395</v>
      </c>
    </row>
    <row r="14448" spans="1:8" ht="15" x14ac:dyDescent="0.2">
      <c r="A14448" s="734">
        <v>44994</v>
      </c>
      <c r="B14448" s="63" t="s">
        <v>8657</v>
      </c>
      <c r="C14448" s="41" t="s">
        <v>5741</v>
      </c>
      <c r="D14448" s="108" t="s">
        <v>9426</v>
      </c>
      <c r="E14448" s="58">
        <v>900</v>
      </c>
      <c r="F14448" s="126"/>
      <c r="G14448" s="126">
        <f t="shared" si="231"/>
        <v>-900</v>
      </c>
      <c r="H14448" s="705" t="s">
        <v>9395</v>
      </c>
    </row>
    <row r="14449" spans="1:8" ht="15" x14ac:dyDescent="0.2">
      <c r="A14449" s="734">
        <v>44994</v>
      </c>
      <c r="B14449" s="63" t="s">
        <v>9356</v>
      </c>
      <c r="C14449" s="41" t="s">
        <v>392</v>
      </c>
      <c r="D14449" s="108" t="s">
        <v>9430</v>
      </c>
      <c r="E14449" s="58">
        <v>500</v>
      </c>
      <c r="F14449" s="126"/>
      <c r="G14449" s="126">
        <f t="shared" si="231"/>
        <v>-500</v>
      </c>
      <c r="H14449" s="705" t="s">
        <v>9395</v>
      </c>
    </row>
    <row r="14450" spans="1:8" ht="15" x14ac:dyDescent="0.2">
      <c r="A14450" s="734">
        <v>44994</v>
      </c>
      <c r="B14450" s="63" t="s">
        <v>9356</v>
      </c>
      <c r="C14450" s="41" t="s">
        <v>5741</v>
      </c>
      <c r="D14450" s="108" t="s">
        <v>9427</v>
      </c>
      <c r="E14450" s="58">
        <v>300</v>
      </c>
      <c r="F14450" s="126"/>
      <c r="G14450" s="126">
        <f t="shared" si="231"/>
        <v>-300</v>
      </c>
      <c r="H14450" s="705" t="s">
        <v>9395</v>
      </c>
    </row>
    <row r="14451" spans="1:8" ht="15" x14ac:dyDescent="0.2">
      <c r="A14451" s="734">
        <v>44994</v>
      </c>
      <c r="B14451" s="63" t="s">
        <v>16</v>
      </c>
      <c r="C14451" s="41" t="s">
        <v>392</v>
      </c>
      <c r="D14451" s="108" t="s">
        <v>9431</v>
      </c>
      <c r="E14451" s="58">
        <v>1000</v>
      </c>
      <c r="F14451" s="126"/>
      <c r="G14451" s="126">
        <f t="shared" ref="G14451:G14514" si="232">F14451-E14451</f>
        <v>-1000</v>
      </c>
      <c r="H14451" s="705" t="s">
        <v>9395</v>
      </c>
    </row>
    <row r="14452" spans="1:8" ht="15" x14ac:dyDescent="0.2">
      <c r="A14452" s="734">
        <v>44994</v>
      </c>
      <c r="B14452" s="63" t="s">
        <v>16</v>
      </c>
      <c r="C14452" s="41" t="s">
        <v>392</v>
      </c>
      <c r="D14452" s="108" t="s">
        <v>7937</v>
      </c>
      <c r="E14452" s="58">
        <v>500</v>
      </c>
      <c r="F14452" s="126"/>
      <c r="G14452" s="126">
        <f t="shared" si="232"/>
        <v>-500</v>
      </c>
      <c r="H14452" s="705" t="s">
        <v>9395</v>
      </c>
    </row>
    <row r="14453" spans="1:8" ht="15" x14ac:dyDescent="0.2">
      <c r="A14453" s="734">
        <v>44994</v>
      </c>
      <c r="B14453" s="63" t="s">
        <v>8876</v>
      </c>
      <c r="C14453" s="41" t="s">
        <v>3145</v>
      </c>
      <c r="D14453" s="108" t="s">
        <v>4309</v>
      </c>
      <c r="E14453" s="58">
        <v>2500</v>
      </c>
      <c r="F14453" s="126"/>
      <c r="G14453" s="126">
        <f t="shared" si="232"/>
        <v>-2500</v>
      </c>
      <c r="H14453" s="705" t="s">
        <v>9395</v>
      </c>
    </row>
    <row r="14454" spans="1:8" ht="15" x14ac:dyDescent="0.2">
      <c r="A14454" s="734">
        <v>44996</v>
      </c>
      <c r="B14454" s="63" t="s">
        <v>16</v>
      </c>
      <c r="C14454" s="41" t="s">
        <v>103</v>
      </c>
      <c r="D14454" s="108" t="s">
        <v>9425</v>
      </c>
      <c r="E14454" s="58">
        <v>3500</v>
      </c>
      <c r="F14454" s="126"/>
      <c r="G14454" s="126">
        <f t="shared" si="232"/>
        <v>-3500</v>
      </c>
      <c r="H14454" s="705" t="s">
        <v>9395</v>
      </c>
    </row>
    <row r="14455" spans="1:8" ht="15" x14ac:dyDescent="0.2">
      <c r="A14455" s="734">
        <v>44996</v>
      </c>
      <c r="B14455" s="63" t="s">
        <v>8043</v>
      </c>
      <c r="C14455" s="41" t="s">
        <v>6967</v>
      </c>
      <c r="D14455" s="108" t="s">
        <v>9445</v>
      </c>
      <c r="E14455" s="58">
        <v>1600</v>
      </c>
      <c r="F14455" s="126"/>
      <c r="G14455" s="126">
        <f t="shared" si="232"/>
        <v>-1600</v>
      </c>
      <c r="H14455" s="705" t="s">
        <v>9395</v>
      </c>
    </row>
    <row r="14456" spans="1:8" ht="15" x14ac:dyDescent="0.2">
      <c r="A14456" s="734">
        <v>44996</v>
      </c>
      <c r="B14456" s="63" t="s">
        <v>16</v>
      </c>
      <c r="C14456" s="41" t="s">
        <v>103</v>
      </c>
      <c r="D14456" s="108" t="s">
        <v>9446</v>
      </c>
      <c r="E14456" s="58">
        <v>1000</v>
      </c>
      <c r="F14456" s="126"/>
      <c r="G14456" s="126">
        <f t="shared" si="232"/>
        <v>-1000</v>
      </c>
      <c r="H14456" s="705" t="s">
        <v>9395</v>
      </c>
    </row>
    <row r="14457" spans="1:8" ht="15" x14ac:dyDescent="0.2">
      <c r="A14457" s="734">
        <v>44996</v>
      </c>
      <c r="B14457" s="63" t="s">
        <v>6508</v>
      </c>
      <c r="C14457" s="41" t="s">
        <v>392</v>
      </c>
      <c r="D14457" s="108" t="s">
        <v>9447</v>
      </c>
      <c r="E14457" s="58">
        <v>7000</v>
      </c>
      <c r="F14457" s="126"/>
      <c r="G14457" s="126">
        <f t="shared" si="232"/>
        <v>-7000</v>
      </c>
      <c r="H14457" s="705" t="s">
        <v>9395</v>
      </c>
    </row>
    <row r="14458" spans="1:8" ht="15" x14ac:dyDescent="0.2">
      <c r="A14458" s="734">
        <v>44996</v>
      </c>
      <c r="B14458" s="63" t="s">
        <v>6508</v>
      </c>
      <c r="C14458" s="41" t="s">
        <v>392</v>
      </c>
      <c r="D14458" s="108" t="s">
        <v>9448</v>
      </c>
      <c r="E14458" s="58">
        <v>500</v>
      </c>
      <c r="F14458" s="126"/>
      <c r="G14458" s="126">
        <f t="shared" si="232"/>
        <v>-500</v>
      </c>
      <c r="H14458" s="705" t="s">
        <v>9395</v>
      </c>
    </row>
    <row r="14459" spans="1:8" ht="15" x14ac:dyDescent="0.2">
      <c r="A14459" s="734">
        <v>44996</v>
      </c>
      <c r="B14459" s="63" t="s">
        <v>9356</v>
      </c>
      <c r="C14459" s="41" t="s">
        <v>286</v>
      </c>
      <c r="D14459" s="108" t="s">
        <v>8334</v>
      </c>
      <c r="E14459" s="58">
        <v>1000</v>
      </c>
      <c r="F14459" s="126"/>
      <c r="G14459" s="126">
        <f t="shared" si="232"/>
        <v>-1000</v>
      </c>
      <c r="H14459" s="705" t="s">
        <v>9395</v>
      </c>
    </row>
    <row r="14460" spans="1:8" ht="15" x14ac:dyDescent="0.2">
      <c r="A14460" s="734">
        <v>44998</v>
      </c>
      <c r="B14460" s="63" t="s">
        <v>25</v>
      </c>
      <c r="C14460" s="41" t="s">
        <v>2428</v>
      </c>
      <c r="D14460" s="108" t="s">
        <v>9449</v>
      </c>
      <c r="E14460" s="58">
        <v>51000</v>
      </c>
      <c r="F14460" s="126"/>
      <c r="G14460" s="126">
        <f t="shared" si="232"/>
        <v>-51000</v>
      </c>
      <c r="H14460" s="705" t="s">
        <v>9395</v>
      </c>
    </row>
    <row r="14461" spans="1:8" ht="15" x14ac:dyDescent="0.2">
      <c r="A14461" s="734">
        <v>44998</v>
      </c>
      <c r="B14461" s="63" t="s">
        <v>9402</v>
      </c>
      <c r="C14461" s="41" t="s">
        <v>3145</v>
      </c>
      <c r="D14461" s="108" t="s">
        <v>7376</v>
      </c>
      <c r="E14461" s="58">
        <v>17125</v>
      </c>
      <c r="F14461" s="126"/>
      <c r="G14461" s="126">
        <f t="shared" si="232"/>
        <v>-17125</v>
      </c>
      <c r="H14461" s="705" t="s">
        <v>9395</v>
      </c>
    </row>
    <row r="14462" spans="1:8" ht="15" x14ac:dyDescent="0.2">
      <c r="A14462" s="734">
        <v>44998</v>
      </c>
      <c r="B14462" s="63" t="s">
        <v>9356</v>
      </c>
      <c r="C14462" s="41" t="s">
        <v>3145</v>
      </c>
      <c r="D14462" s="108" t="s">
        <v>9450</v>
      </c>
      <c r="E14462" s="58">
        <v>64400</v>
      </c>
      <c r="F14462" s="126"/>
      <c r="G14462" s="126">
        <f t="shared" si="232"/>
        <v>-64400</v>
      </c>
      <c r="H14462" s="705" t="s">
        <v>9395</v>
      </c>
    </row>
    <row r="14463" spans="1:8" ht="15" x14ac:dyDescent="0.2">
      <c r="A14463" s="734">
        <v>44998</v>
      </c>
      <c r="B14463" s="63" t="s">
        <v>2933</v>
      </c>
      <c r="C14463" s="41" t="s">
        <v>3145</v>
      </c>
      <c r="D14463" s="108" t="s">
        <v>4452</v>
      </c>
      <c r="E14463" s="58">
        <v>6100</v>
      </c>
      <c r="F14463" s="126"/>
      <c r="G14463" s="126">
        <f t="shared" si="232"/>
        <v>-6100</v>
      </c>
      <c r="H14463" s="705" t="s">
        <v>9395</v>
      </c>
    </row>
    <row r="14464" spans="1:8" ht="15" x14ac:dyDescent="0.2">
      <c r="A14464" s="734">
        <v>44998</v>
      </c>
      <c r="B14464" s="63" t="s">
        <v>37</v>
      </c>
      <c r="C14464" s="41" t="s">
        <v>3145</v>
      </c>
      <c r="D14464" s="108" t="s">
        <v>4452</v>
      </c>
      <c r="E14464" s="58">
        <v>3050</v>
      </c>
      <c r="F14464" s="126"/>
      <c r="G14464" s="126">
        <f t="shared" si="232"/>
        <v>-3050</v>
      </c>
      <c r="H14464" s="705" t="s">
        <v>9395</v>
      </c>
    </row>
    <row r="14465" spans="1:8" ht="15" x14ac:dyDescent="0.2">
      <c r="A14465" s="734">
        <v>44998</v>
      </c>
      <c r="B14465" s="63" t="s">
        <v>6505</v>
      </c>
      <c r="C14465" s="41" t="s">
        <v>3145</v>
      </c>
      <c r="D14465" s="108" t="s">
        <v>4452</v>
      </c>
      <c r="E14465" s="58">
        <v>4000</v>
      </c>
      <c r="F14465" s="126"/>
      <c r="G14465" s="126">
        <f t="shared" si="232"/>
        <v>-4000</v>
      </c>
      <c r="H14465" s="705" t="s">
        <v>9395</v>
      </c>
    </row>
    <row r="14466" spans="1:8" ht="15" x14ac:dyDescent="0.2">
      <c r="A14466" s="734">
        <v>44998</v>
      </c>
      <c r="B14466" s="63" t="s">
        <v>16</v>
      </c>
      <c r="C14466" s="41" t="s">
        <v>3145</v>
      </c>
      <c r="D14466" s="108" t="s">
        <v>4452</v>
      </c>
      <c r="E14466" s="58">
        <v>5000</v>
      </c>
      <c r="F14466" s="126"/>
      <c r="G14466" s="126">
        <f t="shared" si="232"/>
        <v>-5000</v>
      </c>
      <c r="H14466" s="705" t="s">
        <v>9395</v>
      </c>
    </row>
    <row r="14467" spans="1:8" ht="15" x14ac:dyDescent="0.2">
      <c r="A14467" s="734">
        <v>44998</v>
      </c>
      <c r="B14467" s="63" t="s">
        <v>9409</v>
      </c>
      <c r="C14467" s="41" t="s">
        <v>3145</v>
      </c>
      <c r="D14467" s="108" t="s">
        <v>4452</v>
      </c>
      <c r="E14467" s="58">
        <v>7000</v>
      </c>
      <c r="F14467" s="126"/>
      <c r="G14467" s="126">
        <f t="shared" si="232"/>
        <v>-7000</v>
      </c>
      <c r="H14467" s="705" t="s">
        <v>9395</v>
      </c>
    </row>
    <row r="14468" spans="1:8" ht="15" x14ac:dyDescent="0.2">
      <c r="A14468" s="734">
        <v>44998</v>
      </c>
      <c r="B14468" s="63" t="s">
        <v>9356</v>
      </c>
      <c r="C14468" s="41" t="s">
        <v>286</v>
      </c>
      <c r="D14468" s="108" t="s">
        <v>8334</v>
      </c>
      <c r="E14468" s="58">
        <v>1000</v>
      </c>
      <c r="F14468" s="126"/>
      <c r="G14468" s="126">
        <f t="shared" si="232"/>
        <v>-1000</v>
      </c>
      <c r="H14468" s="705" t="s">
        <v>9395</v>
      </c>
    </row>
    <row r="14469" spans="1:8" ht="15" x14ac:dyDescent="0.2">
      <c r="A14469" s="734">
        <v>44998</v>
      </c>
      <c r="B14469" s="63" t="s">
        <v>6505</v>
      </c>
      <c r="C14469" s="41" t="s">
        <v>9451</v>
      </c>
      <c r="D14469" s="108" t="s">
        <v>9452</v>
      </c>
      <c r="E14469" s="58">
        <v>25000</v>
      </c>
      <c r="F14469" s="126"/>
      <c r="G14469" s="126">
        <f t="shared" si="232"/>
        <v>-25000</v>
      </c>
      <c r="H14469" s="705" t="s">
        <v>9395</v>
      </c>
    </row>
    <row r="14470" spans="1:8" ht="15" x14ac:dyDescent="0.2">
      <c r="A14470" s="734">
        <v>44998</v>
      </c>
      <c r="B14470" s="63" t="s">
        <v>9356</v>
      </c>
      <c r="C14470" s="41" t="s">
        <v>3145</v>
      </c>
      <c r="D14470" s="108" t="s">
        <v>9029</v>
      </c>
      <c r="E14470" s="58">
        <v>2950</v>
      </c>
      <c r="F14470" s="126"/>
      <c r="G14470" s="126">
        <f t="shared" si="232"/>
        <v>-2950</v>
      </c>
      <c r="H14470" s="705" t="s">
        <v>9395</v>
      </c>
    </row>
    <row r="14471" spans="1:8" ht="15" x14ac:dyDescent="0.2">
      <c r="A14471" s="734">
        <v>45000</v>
      </c>
      <c r="B14471" s="63" t="s">
        <v>2933</v>
      </c>
      <c r="C14471" s="41" t="s">
        <v>3145</v>
      </c>
      <c r="D14471" s="108" t="s">
        <v>6486</v>
      </c>
      <c r="E14471" s="58">
        <v>2200</v>
      </c>
      <c r="F14471" s="126"/>
      <c r="G14471" s="126">
        <f t="shared" si="232"/>
        <v>-2200</v>
      </c>
      <c r="H14471" s="705" t="s">
        <v>9395</v>
      </c>
    </row>
    <row r="14472" spans="1:8" ht="15" x14ac:dyDescent="0.2">
      <c r="A14472" s="734">
        <v>45000</v>
      </c>
      <c r="B14472" s="63" t="s">
        <v>9356</v>
      </c>
      <c r="C14472" s="41" t="s">
        <v>286</v>
      </c>
      <c r="D14472" s="108" t="s">
        <v>9459</v>
      </c>
      <c r="E14472" s="58">
        <v>550</v>
      </c>
      <c r="F14472" s="126"/>
      <c r="G14472" s="126">
        <f t="shared" si="232"/>
        <v>-550</v>
      </c>
      <c r="H14472" s="705" t="s">
        <v>9395</v>
      </c>
    </row>
    <row r="14473" spans="1:8" ht="15" x14ac:dyDescent="0.2">
      <c r="A14473" s="734">
        <v>45000</v>
      </c>
      <c r="B14473" s="63" t="s">
        <v>4553</v>
      </c>
      <c r="C14473" s="41" t="s">
        <v>9460</v>
      </c>
      <c r="D14473" s="108" t="s">
        <v>9461</v>
      </c>
      <c r="E14473" s="58">
        <v>12000</v>
      </c>
      <c r="F14473" s="126"/>
      <c r="G14473" s="126">
        <f t="shared" si="232"/>
        <v>-12000</v>
      </c>
      <c r="H14473" s="705" t="s">
        <v>9395</v>
      </c>
    </row>
    <row r="14474" spans="1:8" ht="15" x14ac:dyDescent="0.2">
      <c r="A14474" s="734">
        <v>45000</v>
      </c>
      <c r="B14474" s="63" t="s">
        <v>8876</v>
      </c>
      <c r="C14474" s="41" t="s">
        <v>3145</v>
      </c>
      <c r="D14474" s="108" t="s">
        <v>9462</v>
      </c>
      <c r="E14474" s="58">
        <v>5100</v>
      </c>
      <c r="F14474" s="126"/>
      <c r="G14474" s="126">
        <f t="shared" si="232"/>
        <v>-5100</v>
      </c>
      <c r="H14474" s="705" t="s">
        <v>9395</v>
      </c>
    </row>
    <row r="14475" spans="1:8" ht="15" x14ac:dyDescent="0.2">
      <c r="A14475" s="734">
        <v>45001</v>
      </c>
      <c r="B14475" s="63" t="s">
        <v>6505</v>
      </c>
      <c r="C14475" s="41" t="s">
        <v>6852</v>
      </c>
      <c r="D14475" s="108" t="s">
        <v>9463</v>
      </c>
      <c r="E14475" s="58">
        <v>6000</v>
      </c>
      <c r="F14475" s="126"/>
      <c r="G14475" s="126">
        <f t="shared" si="232"/>
        <v>-6000</v>
      </c>
      <c r="H14475" s="705" t="s">
        <v>9395</v>
      </c>
    </row>
    <row r="14476" spans="1:8" ht="15" customHeight="1" x14ac:dyDescent="0.2">
      <c r="A14476" s="734">
        <v>45001</v>
      </c>
      <c r="B14476" s="63" t="s">
        <v>9464</v>
      </c>
      <c r="C14476" s="41" t="s">
        <v>6852</v>
      </c>
      <c r="D14476" s="108" t="s">
        <v>9463</v>
      </c>
      <c r="E14476" s="58">
        <v>5000</v>
      </c>
      <c r="F14476" s="126"/>
      <c r="G14476" s="126">
        <f t="shared" si="232"/>
        <v>-5000</v>
      </c>
      <c r="H14476" s="705" t="s">
        <v>9395</v>
      </c>
    </row>
    <row r="14477" spans="1:8" ht="15" customHeight="1" x14ac:dyDescent="0.2">
      <c r="A14477" s="734">
        <v>45001</v>
      </c>
      <c r="B14477" s="63" t="s">
        <v>9356</v>
      </c>
      <c r="C14477" s="41" t="s">
        <v>392</v>
      </c>
      <c r="D14477" s="108" t="s">
        <v>9465</v>
      </c>
      <c r="E14477" s="58">
        <v>1000</v>
      </c>
      <c r="F14477" s="126"/>
      <c r="G14477" s="126">
        <f t="shared" si="232"/>
        <v>-1000</v>
      </c>
      <c r="H14477" s="705" t="s">
        <v>9395</v>
      </c>
    </row>
    <row r="14478" spans="1:8" ht="15" x14ac:dyDescent="0.2">
      <c r="A14478" s="734">
        <v>45001</v>
      </c>
      <c r="B14478" s="63" t="s">
        <v>8657</v>
      </c>
      <c r="C14478" s="41" t="s">
        <v>853</v>
      </c>
      <c r="D14478" s="108" t="s">
        <v>9466</v>
      </c>
      <c r="E14478" s="58">
        <v>77500</v>
      </c>
      <c r="F14478" s="126"/>
      <c r="G14478" s="126">
        <f t="shared" si="232"/>
        <v>-77500</v>
      </c>
      <c r="H14478" s="705" t="s">
        <v>9395</v>
      </c>
    </row>
    <row r="14479" spans="1:8" s="682" customFormat="1" ht="15" customHeight="1" x14ac:dyDescent="0.25">
      <c r="A14479" s="734">
        <v>45001</v>
      </c>
      <c r="B14479" s="63" t="s">
        <v>6505</v>
      </c>
      <c r="C14479" s="63" t="s">
        <v>4334</v>
      </c>
      <c r="D14479" s="791" t="s">
        <v>9467</v>
      </c>
      <c r="E14479" s="126">
        <v>40000</v>
      </c>
      <c r="F14479" s="126"/>
      <c r="G14479" s="126">
        <f t="shared" si="232"/>
        <v>-40000</v>
      </c>
      <c r="H14479" s="705" t="s">
        <v>9395</v>
      </c>
    </row>
    <row r="14480" spans="1:8" s="682" customFormat="1" ht="15" customHeight="1" x14ac:dyDescent="0.25">
      <c r="A14480" s="734">
        <v>45002</v>
      </c>
      <c r="B14480" s="63" t="s">
        <v>8043</v>
      </c>
      <c r="C14480" s="63" t="s">
        <v>4984</v>
      </c>
      <c r="D14480" s="791" t="s">
        <v>9472</v>
      </c>
      <c r="E14480" s="126">
        <v>5000</v>
      </c>
      <c r="F14480" s="126"/>
      <c r="G14480" s="126">
        <f t="shared" si="232"/>
        <v>-5000</v>
      </c>
      <c r="H14480" s="705" t="s">
        <v>9395</v>
      </c>
    </row>
    <row r="14481" spans="1:8" s="682" customFormat="1" ht="15" customHeight="1" x14ac:dyDescent="0.25">
      <c r="A14481" s="734">
        <v>45002</v>
      </c>
      <c r="B14481" s="63" t="s">
        <v>16</v>
      </c>
      <c r="C14481" s="63" t="s">
        <v>3843</v>
      </c>
      <c r="D14481" s="791" t="s">
        <v>1157</v>
      </c>
      <c r="E14481" s="126">
        <v>4500</v>
      </c>
      <c r="F14481" s="126"/>
      <c r="G14481" s="126">
        <f t="shared" si="232"/>
        <v>-4500</v>
      </c>
      <c r="H14481" s="705" t="s">
        <v>9395</v>
      </c>
    </row>
    <row r="14482" spans="1:8" s="682" customFormat="1" ht="15" customHeight="1" x14ac:dyDescent="0.25">
      <c r="A14482" s="734">
        <v>45002</v>
      </c>
      <c r="B14482" s="63" t="s">
        <v>2933</v>
      </c>
      <c r="C14482" s="63" t="s">
        <v>392</v>
      </c>
      <c r="D14482" s="791" t="s">
        <v>9023</v>
      </c>
      <c r="E14482" s="126">
        <v>4000</v>
      </c>
      <c r="F14482" s="126"/>
      <c r="G14482" s="126">
        <f t="shared" si="232"/>
        <v>-4000</v>
      </c>
      <c r="H14482" s="705" t="s">
        <v>9395</v>
      </c>
    </row>
    <row r="14483" spans="1:8" s="682" customFormat="1" ht="15" customHeight="1" x14ac:dyDescent="0.25">
      <c r="A14483" s="734">
        <v>45002</v>
      </c>
      <c r="B14483" s="63" t="s">
        <v>9356</v>
      </c>
      <c r="C14483" s="63" t="s">
        <v>5741</v>
      </c>
      <c r="D14483" s="791" t="s">
        <v>9468</v>
      </c>
      <c r="E14483" s="126">
        <v>10000</v>
      </c>
      <c r="F14483" s="126"/>
      <c r="G14483" s="126">
        <f t="shared" si="232"/>
        <v>-10000</v>
      </c>
      <c r="H14483" s="705" t="s">
        <v>9395</v>
      </c>
    </row>
    <row r="14484" spans="1:8" s="682" customFormat="1" ht="15" customHeight="1" x14ac:dyDescent="0.25">
      <c r="A14484" s="734">
        <v>45002</v>
      </c>
      <c r="B14484" s="63" t="s">
        <v>16</v>
      </c>
      <c r="C14484" s="63" t="s">
        <v>3843</v>
      </c>
      <c r="D14484" s="791" t="s">
        <v>1157</v>
      </c>
      <c r="E14484" s="126">
        <v>5000</v>
      </c>
      <c r="F14484" s="126"/>
      <c r="G14484" s="126">
        <f t="shared" si="232"/>
        <v>-5000</v>
      </c>
      <c r="H14484" s="705" t="s">
        <v>9395</v>
      </c>
    </row>
    <row r="14485" spans="1:8" s="682" customFormat="1" ht="15" customHeight="1" x14ac:dyDescent="0.25">
      <c r="A14485" s="734">
        <v>45002</v>
      </c>
      <c r="B14485" s="63" t="s">
        <v>25</v>
      </c>
      <c r="C14485" s="63" t="s">
        <v>2428</v>
      </c>
      <c r="D14485" s="791" t="s">
        <v>9469</v>
      </c>
      <c r="E14485" s="126">
        <v>325000</v>
      </c>
      <c r="F14485" s="126"/>
      <c r="G14485" s="126">
        <f t="shared" si="232"/>
        <v>-325000</v>
      </c>
      <c r="H14485" s="705" t="s">
        <v>9395</v>
      </c>
    </row>
    <row r="14486" spans="1:8" s="682" customFormat="1" ht="15" customHeight="1" x14ac:dyDescent="0.25">
      <c r="A14486" s="734">
        <v>45002</v>
      </c>
      <c r="B14486" s="63" t="s">
        <v>25</v>
      </c>
      <c r="C14486" s="63" t="s">
        <v>4065</v>
      </c>
      <c r="D14486" s="791" t="s">
        <v>9470</v>
      </c>
      <c r="E14486" s="126">
        <v>50000</v>
      </c>
      <c r="F14486" s="126"/>
      <c r="G14486" s="126">
        <f t="shared" si="232"/>
        <v>-50000</v>
      </c>
      <c r="H14486" s="705" t="s">
        <v>9395</v>
      </c>
    </row>
    <row r="14487" spans="1:8" s="682" customFormat="1" ht="15" customHeight="1" x14ac:dyDescent="0.25">
      <c r="A14487" s="734">
        <v>45003</v>
      </c>
      <c r="B14487" s="63" t="s">
        <v>9409</v>
      </c>
      <c r="C14487" s="63" t="s">
        <v>9474</v>
      </c>
      <c r="D14487" s="791" t="s">
        <v>9475</v>
      </c>
      <c r="E14487" s="126">
        <v>5000</v>
      </c>
      <c r="F14487" s="126"/>
      <c r="G14487" s="126">
        <f t="shared" si="232"/>
        <v>-5000</v>
      </c>
      <c r="H14487" s="705" t="s">
        <v>9395</v>
      </c>
    </row>
    <row r="14488" spans="1:8" s="682" customFormat="1" ht="24" customHeight="1" x14ac:dyDescent="0.25">
      <c r="A14488" s="734">
        <v>45003</v>
      </c>
      <c r="B14488" s="63" t="s">
        <v>1400</v>
      </c>
      <c r="C14488" s="551" t="s">
        <v>438</v>
      </c>
      <c r="D14488" s="740" t="s">
        <v>9476</v>
      </c>
      <c r="E14488" s="552">
        <v>28596</v>
      </c>
      <c r="F14488" s="126"/>
      <c r="G14488" s="126">
        <f t="shared" si="232"/>
        <v>-28596</v>
      </c>
      <c r="H14488" s="705" t="s">
        <v>9395</v>
      </c>
    </row>
    <row r="14489" spans="1:8" s="682" customFormat="1" ht="24" customHeight="1" x14ac:dyDescent="0.25">
      <c r="A14489" s="734">
        <v>45003</v>
      </c>
      <c r="B14489" s="63" t="s">
        <v>4553</v>
      </c>
      <c r="C14489" s="551" t="s">
        <v>438</v>
      </c>
      <c r="D14489" s="740" t="s">
        <v>9477</v>
      </c>
      <c r="E14489" s="552">
        <v>63245</v>
      </c>
      <c r="F14489" s="126"/>
      <c r="G14489" s="126">
        <f t="shared" si="232"/>
        <v>-63245</v>
      </c>
      <c r="H14489" s="705" t="s">
        <v>9395</v>
      </c>
    </row>
    <row r="14490" spans="1:8" s="682" customFormat="1" ht="24" customHeight="1" x14ac:dyDescent="0.25">
      <c r="A14490" s="734">
        <v>45003</v>
      </c>
      <c r="B14490" s="63" t="s">
        <v>8657</v>
      </c>
      <c r="C14490" s="63" t="s">
        <v>1509</v>
      </c>
      <c r="D14490" s="183" t="s">
        <v>9478</v>
      </c>
      <c r="E14490" s="126">
        <v>100000</v>
      </c>
      <c r="F14490" s="126"/>
      <c r="G14490" s="126">
        <f t="shared" si="232"/>
        <v>-100000</v>
      </c>
      <c r="H14490" s="705" t="s">
        <v>9395</v>
      </c>
    </row>
    <row r="14491" spans="1:8" s="682" customFormat="1" ht="24" customHeight="1" x14ac:dyDescent="0.25">
      <c r="A14491" s="734">
        <v>45003</v>
      </c>
      <c r="B14491" s="63" t="s">
        <v>8876</v>
      </c>
      <c r="C14491" s="551" t="s">
        <v>256</v>
      </c>
      <c r="D14491" s="740" t="s">
        <v>9479</v>
      </c>
      <c r="E14491" s="552">
        <v>411820</v>
      </c>
      <c r="F14491" s="126"/>
      <c r="G14491" s="126">
        <f t="shared" si="232"/>
        <v>-411820</v>
      </c>
      <c r="H14491" s="705" t="s">
        <v>9395</v>
      </c>
    </row>
    <row r="14492" spans="1:8" s="682" customFormat="1" ht="24" customHeight="1" x14ac:dyDescent="0.25">
      <c r="A14492" s="734">
        <v>45003</v>
      </c>
      <c r="B14492" s="63" t="s">
        <v>8868</v>
      </c>
      <c r="C14492" s="551" t="s">
        <v>256</v>
      </c>
      <c r="D14492" s="740" t="s">
        <v>9479</v>
      </c>
      <c r="E14492" s="552">
        <v>164160</v>
      </c>
      <c r="F14492" s="126"/>
      <c r="G14492" s="126">
        <f t="shared" si="232"/>
        <v>-164160</v>
      </c>
      <c r="H14492" s="705" t="s">
        <v>9395</v>
      </c>
    </row>
    <row r="14493" spans="1:8" s="682" customFormat="1" ht="15" customHeight="1" x14ac:dyDescent="0.25">
      <c r="A14493" s="734">
        <v>45003</v>
      </c>
      <c r="B14493" s="63" t="s">
        <v>9356</v>
      </c>
      <c r="C14493" s="63" t="s">
        <v>3145</v>
      </c>
      <c r="D14493" s="791" t="s">
        <v>7198</v>
      </c>
      <c r="E14493" s="126">
        <v>7500</v>
      </c>
      <c r="F14493" s="126"/>
      <c r="G14493" s="126">
        <f t="shared" si="232"/>
        <v>-7500</v>
      </c>
      <c r="H14493" s="705" t="s">
        <v>9395</v>
      </c>
    </row>
    <row r="14494" spans="1:8" s="682" customFormat="1" ht="15" customHeight="1" x14ac:dyDescent="0.25">
      <c r="A14494" s="734">
        <v>45003</v>
      </c>
      <c r="B14494" s="63" t="s">
        <v>8043</v>
      </c>
      <c r="C14494" s="63" t="s">
        <v>3145</v>
      </c>
      <c r="D14494" s="791" t="s">
        <v>7198</v>
      </c>
      <c r="E14494" s="126">
        <v>5960</v>
      </c>
      <c r="F14494" s="126"/>
      <c r="G14494" s="126">
        <f t="shared" si="232"/>
        <v>-5960</v>
      </c>
      <c r="H14494" s="705" t="s">
        <v>9395</v>
      </c>
    </row>
    <row r="14495" spans="1:8" s="682" customFormat="1" ht="15" customHeight="1" x14ac:dyDescent="0.25">
      <c r="A14495" s="734">
        <v>45002</v>
      </c>
      <c r="B14495" s="63" t="s">
        <v>8657</v>
      </c>
      <c r="C14495" s="63" t="s">
        <v>3145</v>
      </c>
      <c r="D14495" s="791" t="s">
        <v>9480</v>
      </c>
      <c r="E14495" s="126">
        <v>44400</v>
      </c>
      <c r="F14495" s="126"/>
      <c r="G14495" s="126">
        <f t="shared" si="232"/>
        <v>-44400</v>
      </c>
      <c r="H14495" s="705" t="s">
        <v>9395</v>
      </c>
    </row>
    <row r="14496" spans="1:8" s="682" customFormat="1" ht="15" customHeight="1" x14ac:dyDescent="0.25">
      <c r="A14496" s="734">
        <v>45002</v>
      </c>
      <c r="B14496" s="63" t="s">
        <v>8868</v>
      </c>
      <c r="C14496" s="63" t="s">
        <v>3145</v>
      </c>
      <c r="D14496" s="791" t="s">
        <v>4309</v>
      </c>
      <c r="E14496" s="126">
        <v>4500</v>
      </c>
      <c r="F14496" s="126"/>
      <c r="G14496" s="126">
        <f t="shared" si="232"/>
        <v>-4500</v>
      </c>
      <c r="H14496" s="705" t="s">
        <v>9395</v>
      </c>
    </row>
    <row r="14497" spans="1:8" s="682" customFormat="1" ht="15" customHeight="1" x14ac:dyDescent="0.25">
      <c r="A14497" s="734">
        <v>45002</v>
      </c>
      <c r="B14497" s="63" t="s">
        <v>8868</v>
      </c>
      <c r="C14497" s="63" t="s">
        <v>3145</v>
      </c>
      <c r="D14497" s="791" t="s">
        <v>4309</v>
      </c>
      <c r="E14497" s="126">
        <v>120</v>
      </c>
      <c r="F14497" s="126"/>
      <c r="G14497" s="126">
        <f t="shared" si="232"/>
        <v>-120</v>
      </c>
      <c r="H14497" s="705" t="s">
        <v>9395</v>
      </c>
    </row>
    <row r="14498" spans="1:8" s="682" customFormat="1" ht="15" customHeight="1" x14ac:dyDescent="0.25">
      <c r="A14498" s="734">
        <v>45002</v>
      </c>
      <c r="B14498" s="63" t="s">
        <v>9464</v>
      </c>
      <c r="C14498" s="63" t="s">
        <v>790</v>
      </c>
      <c r="D14498" s="791"/>
      <c r="E14498" s="126">
        <v>400</v>
      </c>
      <c r="F14498" s="126"/>
      <c r="G14498" s="126">
        <f t="shared" si="232"/>
        <v>-400</v>
      </c>
      <c r="H14498" s="705" t="s">
        <v>9395</v>
      </c>
    </row>
    <row r="14499" spans="1:8" s="682" customFormat="1" ht="15" customHeight="1" x14ac:dyDescent="0.25">
      <c r="A14499" s="734">
        <v>45002</v>
      </c>
      <c r="B14499" s="63" t="s">
        <v>9356</v>
      </c>
      <c r="C14499" s="63" t="s">
        <v>790</v>
      </c>
      <c r="D14499" s="791"/>
      <c r="E14499" s="126">
        <v>2930</v>
      </c>
      <c r="F14499" s="126"/>
      <c r="G14499" s="126">
        <f t="shared" si="232"/>
        <v>-2930</v>
      </c>
      <c r="H14499" s="705" t="s">
        <v>9395</v>
      </c>
    </row>
    <row r="14500" spans="1:8" s="682" customFormat="1" ht="15" customHeight="1" x14ac:dyDescent="0.25">
      <c r="A14500" s="734">
        <v>45002</v>
      </c>
      <c r="B14500" s="63" t="s">
        <v>8876</v>
      </c>
      <c r="C14500" s="63" t="s">
        <v>790</v>
      </c>
      <c r="D14500" s="791"/>
      <c r="E14500" s="126">
        <v>500</v>
      </c>
      <c r="F14500" s="126"/>
      <c r="G14500" s="126">
        <f t="shared" si="232"/>
        <v>-500</v>
      </c>
      <c r="H14500" s="705" t="s">
        <v>9395</v>
      </c>
    </row>
    <row r="14501" spans="1:8" s="682" customFormat="1" ht="15" customHeight="1" x14ac:dyDescent="0.25">
      <c r="A14501" s="734">
        <v>45002</v>
      </c>
      <c r="B14501" s="63" t="s">
        <v>8043</v>
      </c>
      <c r="C14501" s="63" t="s">
        <v>790</v>
      </c>
      <c r="D14501" s="791"/>
      <c r="E14501" s="126">
        <v>1760</v>
      </c>
      <c r="F14501" s="126"/>
      <c r="G14501" s="126">
        <f t="shared" si="232"/>
        <v>-1760</v>
      </c>
      <c r="H14501" s="705" t="s">
        <v>9395</v>
      </c>
    </row>
    <row r="14502" spans="1:8" s="682" customFormat="1" ht="15" customHeight="1" x14ac:dyDescent="0.25">
      <c r="A14502" s="734">
        <v>45002</v>
      </c>
      <c r="B14502" s="63" t="s">
        <v>3946</v>
      </c>
      <c r="C14502" s="63" t="s">
        <v>790</v>
      </c>
      <c r="D14502" s="791"/>
      <c r="E14502" s="126">
        <v>1110</v>
      </c>
      <c r="F14502" s="126"/>
      <c r="G14502" s="126">
        <f t="shared" si="232"/>
        <v>-1110</v>
      </c>
      <c r="H14502" s="705" t="s">
        <v>9395</v>
      </c>
    </row>
    <row r="14503" spans="1:8" s="682" customFormat="1" ht="15" customHeight="1" x14ac:dyDescent="0.25">
      <c r="A14503" s="734">
        <v>45002</v>
      </c>
      <c r="B14503" s="63" t="s">
        <v>2933</v>
      </c>
      <c r="C14503" s="63" t="s">
        <v>790</v>
      </c>
      <c r="D14503" s="791"/>
      <c r="E14503" s="126">
        <v>1300</v>
      </c>
      <c r="F14503" s="126"/>
      <c r="G14503" s="126">
        <f t="shared" si="232"/>
        <v>-1300</v>
      </c>
      <c r="H14503" s="705" t="s">
        <v>9395</v>
      </c>
    </row>
    <row r="14504" spans="1:8" s="682" customFormat="1" ht="15" customHeight="1" x14ac:dyDescent="0.25">
      <c r="A14504" s="734">
        <v>45002</v>
      </c>
      <c r="B14504" s="63" t="s">
        <v>16</v>
      </c>
      <c r="C14504" s="63" t="s">
        <v>790</v>
      </c>
      <c r="D14504" s="791"/>
      <c r="E14504" s="126">
        <v>500</v>
      </c>
      <c r="F14504" s="126"/>
      <c r="G14504" s="126">
        <f t="shared" si="232"/>
        <v>-500</v>
      </c>
      <c r="H14504" s="705" t="s">
        <v>9395</v>
      </c>
    </row>
    <row r="14505" spans="1:8" s="682" customFormat="1" ht="15" customHeight="1" x14ac:dyDescent="0.25">
      <c r="A14505" s="734">
        <v>45002</v>
      </c>
      <c r="B14505" s="63" t="s">
        <v>8868</v>
      </c>
      <c r="C14505" s="63" t="s">
        <v>790</v>
      </c>
      <c r="D14505" s="791"/>
      <c r="E14505" s="126">
        <v>440</v>
      </c>
      <c r="F14505" s="126"/>
      <c r="G14505" s="126">
        <f t="shared" si="232"/>
        <v>-440</v>
      </c>
      <c r="H14505" s="705" t="s">
        <v>9395</v>
      </c>
    </row>
    <row r="14506" spans="1:8" ht="15" x14ac:dyDescent="0.2">
      <c r="A14506" s="734">
        <v>45002</v>
      </c>
      <c r="B14506" s="63" t="s">
        <v>2933</v>
      </c>
      <c r="C14506" s="63" t="s">
        <v>286</v>
      </c>
      <c r="D14506" s="108" t="s">
        <v>9481</v>
      </c>
      <c r="E14506" s="58">
        <v>700</v>
      </c>
      <c r="F14506" s="126"/>
      <c r="G14506" s="126">
        <f t="shared" si="232"/>
        <v>-700</v>
      </c>
      <c r="H14506" s="705" t="s">
        <v>9395</v>
      </c>
    </row>
    <row r="14507" spans="1:8" ht="15" x14ac:dyDescent="0.2">
      <c r="A14507" s="734">
        <v>45002</v>
      </c>
      <c r="B14507" s="63" t="s">
        <v>9356</v>
      </c>
      <c r="C14507" s="63" t="s">
        <v>5741</v>
      </c>
      <c r="D14507" s="108" t="s">
        <v>9421</v>
      </c>
      <c r="E14507" s="58">
        <v>1000</v>
      </c>
      <c r="F14507" s="126"/>
      <c r="G14507" s="126">
        <f t="shared" si="232"/>
        <v>-1000</v>
      </c>
      <c r="H14507" s="705" t="s">
        <v>9395</v>
      </c>
    </row>
    <row r="14508" spans="1:8" ht="15" x14ac:dyDescent="0.2">
      <c r="A14508" s="734">
        <v>45002</v>
      </c>
      <c r="B14508" s="63" t="s">
        <v>8868</v>
      </c>
      <c r="C14508" s="63" t="s">
        <v>5741</v>
      </c>
      <c r="D14508" s="108" t="s">
        <v>9483</v>
      </c>
      <c r="E14508" s="58">
        <v>1400</v>
      </c>
      <c r="F14508" s="126"/>
      <c r="G14508" s="126">
        <f t="shared" si="232"/>
        <v>-1400</v>
      </c>
      <c r="H14508" s="705" t="s">
        <v>9395</v>
      </c>
    </row>
    <row r="14509" spans="1:8" ht="15" x14ac:dyDescent="0.2">
      <c r="A14509" s="734">
        <v>45002</v>
      </c>
      <c r="B14509" s="63" t="s">
        <v>16</v>
      </c>
      <c r="C14509" s="63" t="s">
        <v>3843</v>
      </c>
      <c r="D14509" s="108" t="s">
        <v>9487</v>
      </c>
      <c r="E14509" s="58">
        <v>3600</v>
      </c>
      <c r="F14509" s="126"/>
      <c r="G14509" s="126">
        <f t="shared" si="232"/>
        <v>-3600</v>
      </c>
      <c r="H14509" s="705" t="s">
        <v>9395</v>
      </c>
    </row>
    <row r="14510" spans="1:8" ht="15" x14ac:dyDescent="0.2">
      <c r="A14510" s="734">
        <v>45002</v>
      </c>
      <c r="B14510" s="63" t="s">
        <v>9356</v>
      </c>
      <c r="C14510" s="63" t="s">
        <v>5741</v>
      </c>
      <c r="D14510" s="108" t="s">
        <v>9484</v>
      </c>
      <c r="E14510" s="58">
        <v>2000</v>
      </c>
      <c r="F14510" s="126"/>
      <c r="G14510" s="126">
        <f t="shared" si="232"/>
        <v>-2000</v>
      </c>
      <c r="H14510" s="705" t="s">
        <v>9395</v>
      </c>
    </row>
    <row r="14511" spans="1:8" ht="15" x14ac:dyDescent="0.2">
      <c r="A14511" s="734">
        <v>45002</v>
      </c>
      <c r="B14511" s="63" t="s">
        <v>25</v>
      </c>
      <c r="C14511" s="63" t="s">
        <v>8150</v>
      </c>
      <c r="D14511" s="108" t="s">
        <v>6343</v>
      </c>
      <c r="E14511" s="58">
        <v>2340</v>
      </c>
      <c r="F14511" s="126"/>
      <c r="G14511" s="126">
        <f t="shared" si="232"/>
        <v>-2340</v>
      </c>
      <c r="H14511" s="705" t="s">
        <v>9395</v>
      </c>
    </row>
    <row r="14512" spans="1:8" ht="15" x14ac:dyDescent="0.2">
      <c r="A14512" s="734">
        <v>45002</v>
      </c>
      <c r="B14512" s="63" t="s">
        <v>16</v>
      </c>
      <c r="C14512" s="63" t="s">
        <v>8150</v>
      </c>
      <c r="D14512" s="108" t="s">
        <v>6343</v>
      </c>
      <c r="E14512" s="58">
        <v>6340</v>
      </c>
      <c r="F14512" s="126"/>
      <c r="G14512" s="126">
        <f t="shared" si="232"/>
        <v>-6340</v>
      </c>
      <c r="H14512" s="705" t="s">
        <v>9395</v>
      </c>
    </row>
    <row r="14513" spans="1:8" ht="15" x14ac:dyDescent="0.2">
      <c r="A14513" s="734">
        <v>45002</v>
      </c>
      <c r="B14513" s="63" t="s">
        <v>9409</v>
      </c>
      <c r="C14513" s="63" t="s">
        <v>5741</v>
      </c>
      <c r="D14513" s="108" t="s">
        <v>9485</v>
      </c>
      <c r="E14513" s="58">
        <v>500</v>
      </c>
      <c r="F14513" s="126"/>
      <c r="G14513" s="126">
        <f t="shared" si="232"/>
        <v>-500</v>
      </c>
      <c r="H14513" s="705" t="s">
        <v>9395</v>
      </c>
    </row>
    <row r="14514" spans="1:8" ht="15" x14ac:dyDescent="0.2">
      <c r="A14514" s="734">
        <v>45002</v>
      </c>
      <c r="B14514" s="63" t="s">
        <v>8876</v>
      </c>
      <c r="C14514" s="63" t="s">
        <v>5741</v>
      </c>
      <c r="D14514" s="108" t="s">
        <v>9486</v>
      </c>
      <c r="E14514" s="58">
        <v>500</v>
      </c>
      <c r="F14514" s="126"/>
      <c r="G14514" s="126">
        <f t="shared" si="232"/>
        <v>-500</v>
      </c>
      <c r="H14514" s="705" t="s">
        <v>9395</v>
      </c>
    </row>
    <row r="14515" spans="1:8" ht="15" x14ac:dyDescent="0.2">
      <c r="A14515" s="734">
        <v>45003</v>
      </c>
      <c r="B14515" s="63" t="s">
        <v>16</v>
      </c>
      <c r="C14515" s="63" t="s">
        <v>9538</v>
      </c>
      <c r="D14515" s="108" t="s">
        <v>9539</v>
      </c>
      <c r="E14515" s="58">
        <v>4100</v>
      </c>
      <c r="F14515" s="126"/>
      <c r="G14515" s="126">
        <f t="shared" ref="G14515:G14578" si="233">F14515-E14515</f>
        <v>-4100</v>
      </c>
      <c r="H14515" s="705" t="s">
        <v>9395</v>
      </c>
    </row>
    <row r="14516" spans="1:8" ht="15" x14ac:dyDescent="0.2">
      <c r="A14516" s="734">
        <v>45005</v>
      </c>
      <c r="B14516" s="63" t="s">
        <v>8876</v>
      </c>
      <c r="C14516" s="41" t="s">
        <v>3145</v>
      </c>
      <c r="D14516" s="108" t="s">
        <v>9482</v>
      </c>
      <c r="E14516" s="58">
        <v>4560</v>
      </c>
      <c r="F14516" s="126"/>
      <c r="G14516" s="126">
        <f t="shared" si="233"/>
        <v>-4560</v>
      </c>
      <c r="H14516" s="705" t="s">
        <v>9395</v>
      </c>
    </row>
    <row r="14517" spans="1:8" ht="15" x14ac:dyDescent="0.2">
      <c r="A14517" s="734">
        <v>45005</v>
      </c>
      <c r="B14517" s="63" t="s">
        <v>9507</v>
      </c>
      <c r="C14517" s="41" t="s">
        <v>3145</v>
      </c>
      <c r="D14517" s="108" t="s">
        <v>9508</v>
      </c>
      <c r="E14517" s="58">
        <v>370000</v>
      </c>
      <c r="F14517" s="126"/>
      <c r="G14517" s="126">
        <f t="shared" si="233"/>
        <v>-370000</v>
      </c>
      <c r="H14517" s="705" t="s">
        <v>9395</v>
      </c>
    </row>
    <row r="14518" spans="1:8" s="682" customFormat="1" ht="24" customHeight="1" x14ac:dyDescent="0.25">
      <c r="A14518" s="734">
        <v>45005</v>
      </c>
      <c r="B14518" s="63" t="s">
        <v>8043</v>
      </c>
      <c r="C14518" s="551" t="s">
        <v>8394</v>
      </c>
      <c r="D14518" s="740" t="s">
        <v>9509</v>
      </c>
      <c r="E14518" s="552">
        <v>128554</v>
      </c>
      <c r="F14518" s="126"/>
      <c r="G14518" s="126">
        <f t="shared" si="233"/>
        <v>-128554</v>
      </c>
      <c r="H14518" s="705" t="s">
        <v>9395</v>
      </c>
    </row>
    <row r="14519" spans="1:8" s="682" customFormat="1" ht="24" customHeight="1" x14ac:dyDescent="0.25">
      <c r="A14519" s="734">
        <v>45005</v>
      </c>
      <c r="B14519" s="63" t="s">
        <v>8657</v>
      </c>
      <c r="C14519" s="551" t="s">
        <v>8394</v>
      </c>
      <c r="D14519" s="740" t="s">
        <v>9509</v>
      </c>
      <c r="E14519" s="552">
        <v>371446</v>
      </c>
      <c r="F14519" s="126"/>
      <c r="G14519" s="126">
        <f t="shared" si="233"/>
        <v>-371446</v>
      </c>
      <c r="H14519" s="705" t="s">
        <v>9395</v>
      </c>
    </row>
    <row r="14520" spans="1:8" ht="15" x14ac:dyDescent="0.2">
      <c r="A14520" s="734">
        <v>45005</v>
      </c>
      <c r="B14520" s="63" t="s">
        <v>8043</v>
      </c>
      <c r="C14520" s="41" t="s">
        <v>392</v>
      </c>
      <c r="D14520" s="108" t="s">
        <v>9510</v>
      </c>
      <c r="E14520" s="58">
        <v>6160</v>
      </c>
      <c r="F14520" s="126"/>
      <c r="G14520" s="126">
        <f t="shared" si="233"/>
        <v>-6160</v>
      </c>
      <c r="H14520" s="705" t="s">
        <v>9395</v>
      </c>
    </row>
    <row r="14521" spans="1:8" ht="15" x14ac:dyDescent="0.2">
      <c r="A14521" s="734">
        <v>45005</v>
      </c>
      <c r="B14521" s="63" t="s">
        <v>8657</v>
      </c>
      <c r="C14521" s="41" t="s">
        <v>5741</v>
      </c>
      <c r="D14521" s="108" t="s">
        <v>9511</v>
      </c>
      <c r="E14521" s="58">
        <v>700</v>
      </c>
      <c r="F14521" s="126"/>
      <c r="G14521" s="126">
        <f t="shared" si="233"/>
        <v>-700</v>
      </c>
      <c r="H14521" s="705" t="s">
        <v>9395</v>
      </c>
    </row>
    <row r="14522" spans="1:8" ht="15" x14ac:dyDescent="0.2">
      <c r="A14522" s="734">
        <v>45005</v>
      </c>
      <c r="B14522" s="63" t="s">
        <v>3946</v>
      </c>
      <c r="C14522" s="41" t="s">
        <v>286</v>
      </c>
      <c r="D14522" s="108" t="s">
        <v>9512</v>
      </c>
      <c r="E14522" s="58">
        <v>1500</v>
      </c>
      <c r="F14522" s="126"/>
      <c r="G14522" s="126">
        <f t="shared" si="233"/>
        <v>-1500</v>
      </c>
      <c r="H14522" s="705" t="s">
        <v>9395</v>
      </c>
    </row>
    <row r="14523" spans="1:8" ht="15" x14ac:dyDescent="0.2">
      <c r="A14523" s="734">
        <v>45005</v>
      </c>
      <c r="B14523" s="63" t="s">
        <v>9356</v>
      </c>
      <c r="C14523" s="41" t="s">
        <v>392</v>
      </c>
      <c r="D14523" s="108" t="s">
        <v>9513</v>
      </c>
      <c r="E14523" s="58">
        <v>1000</v>
      </c>
      <c r="F14523" s="126"/>
      <c r="G14523" s="126">
        <f t="shared" si="233"/>
        <v>-1000</v>
      </c>
      <c r="H14523" s="705" t="s">
        <v>9395</v>
      </c>
    </row>
    <row r="14524" spans="1:8" ht="15" x14ac:dyDescent="0.2">
      <c r="A14524" s="734">
        <v>45005</v>
      </c>
      <c r="B14524" s="63" t="s">
        <v>9356</v>
      </c>
      <c r="C14524" s="41" t="s">
        <v>392</v>
      </c>
      <c r="D14524" s="108" t="s">
        <v>9514</v>
      </c>
      <c r="E14524" s="58">
        <v>900</v>
      </c>
      <c r="F14524" s="126"/>
      <c r="G14524" s="126">
        <f t="shared" si="233"/>
        <v>-900</v>
      </c>
      <c r="H14524" s="705" t="s">
        <v>9395</v>
      </c>
    </row>
    <row r="14525" spans="1:8" ht="15" x14ac:dyDescent="0.2">
      <c r="A14525" s="734">
        <v>45005</v>
      </c>
      <c r="B14525" s="63" t="s">
        <v>16</v>
      </c>
      <c r="C14525" s="41" t="s">
        <v>5410</v>
      </c>
      <c r="D14525" s="108" t="s">
        <v>9540</v>
      </c>
      <c r="E14525" s="58">
        <v>5000</v>
      </c>
      <c r="F14525" s="126"/>
      <c r="G14525" s="126">
        <f t="shared" si="233"/>
        <v>-5000</v>
      </c>
      <c r="H14525" s="705" t="s">
        <v>9395</v>
      </c>
    </row>
    <row r="14526" spans="1:8" ht="15" x14ac:dyDescent="0.2">
      <c r="A14526" s="734">
        <v>45005</v>
      </c>
      <c r="B14526" s="63" t="s">
        <v>9507</v>
      </c>
      <c r="C14526" s="41" t="s">
        <v>9636</v>
      </c>
      <c r="D14526" s="108" t="s">
        <v>9637</v>
      </c>
      <c r="E14526" s="58">
        <v>100000</v>
      </c>
      <c r="F14526" s="126"/>
      <c r="G14526" s="126">
        <f t="shared" si="233"/>
        <v>-100000</v>
      </c>
      <c r="H14526" s="705" t="s">
        <v>9395</v>
      </c>
    </row>
    <row r="14527" spans="1:8" ht="15" x14ac:dyDescent="0.2">
      <c r="A14527" s="734">
        <v>45006</v>
      </c>
      <c r="B14527" s="63" t="s">
        <v>16</v>
      </c>
      <c r="C14527" s="41" t="s">
        <v>3843</v>
      </c>
      <c r="D14527" s="108" t="s">
        <v>1157</v>
      </c>
      <c r="E14527" s="58">
        <v>3500</v>
      </c>
      <c r="F14527" s="126"/>
      <c r="G14527" s="126">
        <f t="shared" si="233"/>
        <v>-3500</v>
      </c>
      <c r="H14527" s="705" t="s">
        <v>9395</v>
      </c>
    </row>
    <row r="14528" spans="1:8" ht="15" x14ac:dyDescent="0.2">
      <c r="A14528" s="734">
        <v>45006</v>
      </c>
      <c r="B14528" s="63" t="s">
        <v>9515</v>
      </c>
      <c r="C14528" s="41" t="s">
        <v>3145</v>
      </c>
      <c r="D14528" s="108" t="s">
        <v>9516</v>
      </c>
      <c r="E14528" s="58">
        <v>45500</v>
      </c>
      <c r="F14528" s="126"/>
      <c r="G14528" s="126">
        <f t="shared" si="233"/>
        <v>-45500</v>
      </c>
      <c r="H14528" s="705" t="s">
        <v>9395</v>
      </c>
    </row>
    <row r="14529" spans="1:8" ht="15" x14ac:dyDescent="0.2">
      <c r="A14529" s="734">
        <v>45006</v>
      </c>
      <c r="B14529" s="63" t="s">
        <v>9515</v>
      </c>
      <c r="C14529" s="41" t="s">
        <v>3145</v>
      </c>
      <c r="D14529" s="108" t="s">
        <v>9516</v>
      </c>
      <c r="E14529" s="58">
        <v>42500</v>
      </c>
      <c r="F14529" s="126"/>
      <c r="G14529" s="126">
        <f t="shared" si="233"/>
        <v>-42500</v>
      </c>
      <c r="H14529" s="705" t="s">
        <v>9395</v>
      </c>
    </row>
    <row r="14530" spans="1:8" ht="15" x14ac:dyDescent="0.2">
      <c r="A14530" s="734">
        <v>45006</v>
      </c>
      <c r="B14530" s="63" t="s">
        <v>9515</v>
      </c>
      <c r="C14530" s="41" t="s">
        <v>9460</v>
      </c>
      <c r="D14530" s="108" t="s">
        <v>9517</v>
      </c>
      <c r="E14530" s="58">
        <v>40000</v>
      </c>
      <c r="F14530" s="126"/>
      <c r="G14530" s="126">
        <f t="shared" si="233"/>
        <v>-40000</v>
      </c>
      <c r="H14530" s="705" t="s">
        <v>9395</v>
      </c>
    </row>
    <row r="14531" spans="1:8" ht="15" x14ac:dyDescent="0.2">
      <c r="A14531" s="734">
        <v>45006</v>
      </c>
      <c r="B14531" s="63" t="s">
        <v>9507</v>
      </c>
      <c r="C14531" s="41" t="s">
        <v>3145</v>
      </c>
      <c r="D14531" s="108" t="s">
        <v>9519</v>
      </c>
      <c r="E14531" s="58">
        <v>57950</v>
      </c>
      <c r="F14531" s="126"/>
      <c r="G14531" s="126">
        <f t="shared" si="233"/>
        <v>-57950</v>
      </c>
      <c r="H14531" s="705" t="s">
        <v>9395</v>
      </c>
    </row>
    <row r="14532" spans="1:8" ht="15" x14ac:dyDescent="0.2">
      <c r="A14532" s="734">
        <v>45006</v>
      </c>
      <c r="B14532" s="63" t="s">
        <v>9507</v>
      </c>
      <c r="C14532" s="41" t="s">
        <v>3145</v>
      </c>
      <c r="D14532" s="108" t="s">
        <v>9520</v>
      </c>
      <c r="E14532" s="58">
        <v>16440</v>
      </c>
      <c r="F14532" s="126"/>
      <c r="G14532" s="126">
        <f t="shared" si="233"/>
        <v>-16440</v>
      </c>
      <c r="H14532" s="705" t="s">
        <v>9395</v>
      </c>
    </row>
    <row r="14533" spans="1:8" ht="15" customHeight="1" x14ac:dyDescent="0.2">
      <c r="A14533" s="734">
        <v>45006</v>
      </c>
      <c r="B14533" s="63" t="s">
        <v>2933</v>
      </c>
      <c r="C14533" s="41" t="s">
        <v>3145</v>
      </c>
      <c r="D14533" s="108" t="s">
        <v>9521</v>
      </c>
      <c r="E14533" s="58">
        <v>2000</v>
      </c>
      <c r="F14533" s="126"/>
      <c r="G14533" s="126">
        <f t="shared" si="233"/>
        <v>-2000</v>
      </c>
      <c r="H14533" s="705" t="s">
        <v>9395</v>
      </c>
    </row>
    <row r="14534" spans="1:8" ht="15" x14ac:dyDescent="0.2">
      <c r="A14534" s="734">
        <v>45006</v>
      </c>
      <c r="B14534" s="63" t="s">
        <v>16</v>
      </c>
      <c r="C14534" s="41" t="s">
        <v>3843</v>
      </c>
      <c r="D14534" s="108" t="s">
        <v>1157</v>
      </c>
      <c r="E14534" s="58">
        <v>4000</v>
      </c>
      <c r="F14534" s="126"/>
      <c r="G14534" s="126">
        <f t="shared" si="233"/>
        <v>-4000</v>
      </c>
      <c r="H14534" s="705" t="s">
        <v>9395</v>
      </c>
    </row>
    <row r="14535" spans="1:8" ht="15" x14ac:dyDescent="0.2">
      <c r="A14535" s="734">
        <v>45006</v>
      </c>
      <c r="B14535" s="63" t="s">
        <v>9515</v>
      </c>
      <c r="C14535" s="41" t="s">
        <v>3145</v>
      </c>
      <c r="D14535" s="108" t="s">
        <v>9522</v>
      </c>
      <c r="E14535" s="58">
        <v>136000</v>
      </c>
      <c r="F14535" s="126"/>
      <c r="G14535" s="126">
        <f t="shared" si="233"/>
        <v>-136000</v>
      </c>
      <c r="H14535" s="705" t="s">
        <v>9395</v>
      </c>
    </row>
    <row r="14536" spans="1:8" ht="15" x14ac:dyDescent="0.2">
      <c r="A14536" s="734">
        <v>45007</v>
      </c>
      <c r="B14536" s="63" t="s">
        <v>9515</v>
      </c>
      <c r="C14536" s="41" t="s">
        <v>3145</v>
      </c>
      <c r="D14536" s="108" t="s">
        <v>9523</v>
      </c>
      <c r="E14536" s="58">
        <v>42000</v>
      </c>
      <c r="F14536" s="126"/>
      <c r="G14536" s="126">
        <f t="shared" si="233"/>
        <v>-42000</v>
      </c>
      <c r="H14536" s="705" t="s">
        <v>9395</v>
      </c>
    </row>
    <row r="14537" spans="1:8" ht="15" x14ac:dyDescent="0.2">
      <c r="A14537" s="734">
        <v>45007</v>
      </c>
      <c r="B14537" s="63" t="s">
        <v>9507</v>
      </c>
      <c r="C14537" s="41" t="s">
        <v>5741</v>
      </c>
      <c r="D14537" s="108" t="s">
        <v>9524</v>
      </c>
      <c r="E14537" s="58">
        <v>300</v>
      </c>
      <c r="F14537" s="126"/>
      <c r="G14537" s="126">
        <f t="shared" si="233"/>
        <v>-300</v>
      </c>
      <c r="H14537" s="705" t="s">
        <v>9395</v>
      </c>
    </row>
    <row r="14538" spans="1:8" ht="15" x14ac:dyDescent="0.2">
      <c r="A14538" s="734">
        <v>45007</v>
      </c>
      <c r="B14538" s="63" t="s">
        <v>9507</v>
      </c>
      <c r="C14538" s="41" t="s">
        <v>3145</v>
      </c>
      <c r="D14538" s="108" t="s">
        <v>9638</v>
      </c>
      <c r="E14538" s="58">
        <v>1000</v>
      </c>
      <c r="F14538" s="126"/>
      <c r="G14538" s="126">
        <f t="shared" si="233"/>
        <v>-1000</v>
      </c>
      <c r="H14538" s="705" t="s">
        <v>9395</v>
      </c>
    </row>
    <row r="14539" spans="1:8" ht="15" x14ac:dyDescent="0.2">
      <c r="A14539" s="734">
        <v>45007</v>
      </c>
      <c r="B14539" s="63" t="s">
        <v>8043</v>
      </c>
      <c r="C14539" s="41" t="s">
        <v>8030</v>
      </c>
      <c r="D14539" s="108" t="s">
        <v>9526</v>
      </c>
      <c r="E14539" s="58">
        <v>100000</v>
      </c>
      <c r="F14539" s="126"/>
      <c r="G14539" s="126">
        <f t="shared" si="233"/>
        <v>-100000</v>
      </c>
      <c r="H14539" s="705" t="s">
        <v>9395</v>
      </c>
    </row>
    <row r="14540" spans="1:8" ht="15" x14ac:dyDescent="0.2">
      <c r="A14540" s="734">
        <v>45007</v>
      </c>
      <c r="B14540" s="63" t="s">
        <v>9356</v>
      </c>
      <c r="C14540" s="41" t="s">
        <v>286</v>
      </c>
      <c r="D14540" s="108" t="s">
        <v>8334</v>
      </c>
      <c r="E14540" s="58">
        <v>1500</v>
      </c>
      <c r="F14540" s="126"/>
      <c r="G14540" s="126">
        <f t="shared" si="233"/>
        <v>-1500</v>
      </c>
      <c r="H14540" s="705" t="s">
        <v>9395</v>
      </c>
    </row>
    <row r="14541" spans="1:8" ht="15" x14ac:dyDescent="0.2">
      <c r="A14541" s="734">
        <v>45007</v>
      </c>
      <c r="B14541" s="63" t="s">
        <v>9507</v>
      </c>
      <c r="C14541" s="41" t="s">
        <v>286</v>
      </c>
      <c r="D14541" s="108" t="s">
        <v>8334</v>
      </c>
      <c r="E14541" s="58">
        <v>1200</v>
      </c>
      <c r="F14541" s="126"/>
      <c r="G14541" s="126">
        <f t="shared" si="233"/>
        <v>-1200</v>
      </c>
      <c r="H14541" s="705" t="s">
        <v>9395</v>
      </c>
    </row>
    <row r="14542" spans="1:8" ht="15" x14ac:dyDescent="0.2">
      <c r="A14542" s="734">
        <v>45007</v>
      </c>
      <c r="B14542" s="63" t="s">
        <v>9507</v>
      </c>
      <c r="C14542" s="41" t="s">
        <v>6784</v>
      </c>
      <c r="D14542" s="108" t="s">
        <v>9525</v>
      </c>
      <c r="E14542" s="58">
        <v>100000</v>
      </c>
      <c r="F14542" s="126"/>
      <c r="G14542" s="126">
        <f t="shared" si="233"/>
        <v>-100000</v>
      </c>
      <c r="H14542" s="705" t="s">
        <v>9395</v>
      </c>
    </row>
    <row r="14543" spans="1:8" ht="15" x14ac:dyDescent="0.2">
      <c r="A14543" s="734">
        <v>45007</v>
      </c>
      <c r="B14543" s="63" t="s">
        <v>9507</v>
      </c>
      <c r="C14543" s="41" t="s">
        <v>3145</v>
      </c>
      <c r="D14543" s="108" t="s">
        <v>9527</v>
      </c>
      <c r="E14543" s="58">
        <v>6000</v>
      </c>
      <c r="F14543" s="126"/>
      <c r="G14543" s="126">
        <f t="shared" si="233"/>
        <v>-6000</v>
      </c>
      <c r="H14543" s="705" t="s">
        <v>9395</v>
      </c>
    </row>
    <row r="14544" spans="1:8" ht="15" x14ac:dyDescent="0.2">
      <c r="A14544" s="734">
        <v>45007</v>
      </c>
      <c r="B14544" s="63" t="s">
        <v>37</v>
      </c>
      <c r="C14544" s="41" t="s">
        <v>2503</v>
      </c>
      <c r="D14544" s="108" t="s">
        <v>9528</v>
      </c>
      <c r="E14544" s="58">
        <v>31050</v>
      </c>
      <c r="F14544" s="126"/>
      <c r="G14544" s="126">
        <f t="shared" si="233"/>
        <v>-31050</v>
      </c>
      <c r="H14544" s="705" t="s">
        <v>9395</v>
      </c>
    </row>
    <row r="14545" spans="1:8" ht="15" x14ac:dyDescent="0.2">
      <c r="A14545" s="734">
        <v>45007</v>
      </c>
      <c r="B14545" s="63" t="s">
        <v>9409</v>
      </c>
      <c r="C14545" s="41" t="s">
        <v>3145</v>
      </c>
      <c r="D14545" s="108" t="s">
        <v>5136</v>
      </c>
      <c r="E14545" s="58">
        <v>103998</v>
      </c>
      <c r="F14545" s="126"/>
      <c r="G14545" s="126">
        <f t="shared" si="233"/>
        <v>-103998</v>
      </c>
      <c r="H14545" s="705" t="s">
        <v>9395</v>
      </c>
    </row>
    <row r="14546" spans="1:8" ht="15" x14ac:dyDescent="0.2">
      <c r="A14546" s="734">
        <v>45007</v>
      </c>
      <c r="B14546" s="63" t="s">
        <v>9409</v>
      </c>
      <c r="C14546" s="41" t="s">
        <v>9474</v>
      </c>
      <c r="D14546" s="108" t="s">
        <v>9529</v>
      </c>
      <c r="E14546" s="58">
        <v>10000</v>
      </c>
      <c r="F14546" s="126"/>
      <c r="G14546" s="126">
        <f t="shared" si="233"/>
        <v>-10000</v>
      </c>
      <c r="H14546" s="705" t="s">
        <v>9395</v>
      </c>
    </row>
    <row r="14547" spans="1:8" ht="15" x14ac:dyDescent="0.2">
      <c r="A14547" s="734">
        <v>45007</v>
      </c>
      <c r="B14547" s="63" t="s">
        <v>9356</v>
      </c>
      <c r="C14547" s="41" t="s">
        <v>286</v>
      </c>
      <c r="D14547" s="108" t="s">
        <v>9532</v>
      </c>
      <c r="E14547" s="58">
        <v>5000</v>
      </c>
      <c r="F14547" s="126"/>
      <c r="G14547" s="126">
        <f t="shared" si="233"/>
        <v>-5000</v>
      </c>
      <c r="H14547" s="705" t="s">
        <v>9395</v>
      </c>
    </row>
    <row r="14548" spans="1:8" ht="15" x14ac:dyDescent="0.2">
      <c r="A14548" s="734">
        <v>45007</v>
      </c>
      <c r="B14548" s="63" t="s">
        <v>6508</v>
      </c>
      <c r="C14548" s="41" t="s">
        <v>392</v>
      </c>
      <c r="D14548" s="108" t="s">
        <v>9530</v>
      </c>
      <c r="E14548" s="58">
        <v>5000</v>
      </c>
      <c r="F14548" s="126"/>
      <c r="G14548" s="126">
        <f t="shared" si="233"/>
        <v>-5000</v>
      </c>
      <c r="H14548" s="705" t="s">
        <v>9395</v>
      </c>
    </row>
    <row r="14549" spans="1:8" ht="15" x14ac:dyDescent="0.2">
      <c r="A14549" s="734">
        <v>45008</v>
      </c>
      <c r="B14549" s="63" t="s">
        <v>25</v>
      </c>
      <c r="C14549" s="41" t="s">
        <v>8150</v>
      </c>
      <c r="D14549" s="108" t="s">
        <v>9531</v>
      </c>
      <c r="E14549" s="58">
        <v>49804</v>
      </c>
      <c r="F14549" s="126"/>
      <c r="G14549" s="126">
        <f t="shared" si="233"/>
        <v>-49804</v>
      </c>
      <c r="H14549" s="705" t="s">
        <v>9395</v>
      </c>
    </row>
    <row r="14550" spans="1:8" ht="15" x14ac:dyDescent="0.2">
      <c r="A14550" s="734">
        <v>45008</v>
      </c>
      <c r="B14550" s="63" t="s">
        <v>16</v>
      </c>
      <c r="C14550" s="41" t="s">
        <v>8150</v>
      </c>
      <c r="D14550" s="108" t="s">
        <v>9531</v>
      </c>
      <c r="E14550" s="58">
        <v>15613</v>
      </c>
      <c r="F14550" s="126"/>
      <c r="G14550" s="126">
        <f t="shared" si="233"/>
        <v>-15613</v>
      </c>
      <c r="H14550" s="705" t="s">
        <v>9395</v>
      </c>
    </row>
    <row r="14551" spans="1:8" ht="15" x14ac:dyDescent="0.2">
      <c r="A14551" s="734">
        <v>45008</v>
      </c>
      <c r="B14551" s="63" t="s">
        <v>25</v>
      </c>
      <c r="C14551" s="41" t="s">
        <v>8150</v>
      </c>
      <c r="D14551" s="108" t="s">
        <v>9582</v>
      </c>
      <c r="E14551" s="58">
        <v>500</v>
      </c>
      <c r="F14551" s="126"/>
      <c r="G14551" s="126">
        <f t="shared" si="233"/>
        <v>-500</v>
      </c>
      <c r="H14551" s="705" t="s">
        <v>9395</v>
      </c>
    </row>
    <row r="14552" spans="1:8" ht="15" x14ac:dyDescent="0.2">
      <c r="A14552" s="734">
        <v>45008</v>
      </c>
      <c r="B14552" s="63" t="s">
        <v>9356</v>
      </c>
      <c r="C14552" s="41" t="s">
        <v>778</v>
      </c>
      <c r="D14552" s="108" t="s">
        <v>9533</v>
      </c>
      <c r="E14552" s="58">
        <v>11000</v>
      </c>
      <c r="F14552" s="126"/>
      <c r="G14552" s="126">
        <f t="shared" si="233"/>
        <v>-11000</v>
      </c>
      <c r="H14552" s="705" t="s">
        <v>9395</v>
      </c>
    </row>
    <row r="14553" spans="1:8" ht="15" x14ac:dyDescent="0.2">
      <c r="A14553" s="734">
        <v>45008</v>
      </c>
      <c r="B14553" s="63" t="s">
        <v>9356</v>
      </c>
      <c r="C14553" s="41" t="s">
        <v>5741</v>
      </c>
      <c r="D14553" s="108" t="s">
        <v>9534</v>
      </c>
      <c r="E14553" s="58">
        <v>2500</v>
      </c>
      <c r="F14553" s="126"/>
      <c r="G14553" s="126">
        <f t="shared" si="233"/>
        <v>-2500</v>
      </c>
      <c r="H14553" s="705" t="s">
        <v>9395</v>
      </c>
    </row>
    <row r="14554" spans="1:8" ht="15" x14ac:dyDescent="0.2">
      <c r="A14554" s="734">
        <v>45008</v>
      </c>
      <c r="B14554" s="63" t="s">
        <v>9507</v>
      </c>
      <c r="C14554" s="41" t="s">
        <v>3145</v>
      </c>
      <c r="D14554" s="108" t="s">
        <v>9535</v>
      </c>
      <c r="E14554" s="58">
        <v>5800</v>
      </c>
      <c r="F14554" s="126"/>
      <c r="G14554" s="126">
        <f t="shared" si="233"/>
        <v>-5800</v>
      </c>
      <c r="H14554" s="705" t="s">
        <v>9395</v>
      </c>
    </row>
    <row r="14555" spans="1:8" ht="15" x14ac:dyDescent="0.2">
      <c r="A14555" s="734">
        <v>45008</v>
      </c>
      <c r="B14555" s="63" t="s">
        <v>9507</v>
      </c>
      <c r="C14555" s="41" t="s">
        <v>3145</v>
      </c>
      <c r="D14555" s="108" t="s">
        <v>9536</v>
      </c>
      <c r="E14555" s="58">
        <v>9000</v>
      </c>
      <c r="F14555" s="126"/>
      <c r="G14555" s="126">
        <f t="shared" si="233"/>
        <v>-9000</v>
      </c>
      <c r="H14555" s="705" t="s">
        <v>9395</v>
      </c>
    </row>
    <row r="14556" spans="1:8" ht="15" x14ac:dyDescent="0.2">
      <c r="A14556" s="734">
        <v>45008</v>
      </c>
      <c r="B14556" s="63" t="s">
        <v>16</v>
      </c>
      <c r="C14556" s="41" t="s">
        <v>5410</v>
      </c>
      <c r="D14556" s="108" t="s">
        <v>9537</v>
      </c>
      <c r="E14556" s="58">
        <v>8000</v>
      </c>
      <c r="F14556" s="126"/>
      <c r="G14556" s="126">
        <f t="shared" si="233"/>
        <v>-8000</v>
      </c>
      <c r="H14556" s="705" t="s">
        <v>9395</v>
      </c>
    </row>
    <row r="14557" spans="1:8" ht="15" x14ac:dyDescent="0.2">
      <c r="A14557" s="734">
        <v>45008</v>
      </c>
      <c r="B14557" s="63" t="s">
        <v>9409</v>
      </c>
      <c r="C14557" s="41" t="s">
        <v>3145</v>
      </c>
      <c r="D14557" s="108" t="s">
        <v>4450</v>
      </c>
      <c r="E14557" s="58">
        <v>47730</v>
      </c>
      <c r="F14557" s="126"/>
      <c r="G14557" s="126">
        <f t="shared" si="233"/>
        <v>-47730</v>
      </c>
      <c r="H14557" s="705" t="s">
        <v>9395</v>
      </c>
    </row>
    <row r="14558" spans="1:8" ht="15" x14ac:dyDescent="0.2">
      <c r="A14558" s="734">
        <v>45012</v>
      </c>
      <c r="B14558" s="174" t="s">
        <v>9507</v>
      </c>
      <c r="C14558" s="122" t="s">
        <v>9544</v>
      </c>
      <c r="D14558" s="812" t="s">
        <v>9545</v>
      </c>
      <c r="E14558" s="123">
        <v>200000</v>
      </c>
      <c r="F14558" s="236"/>
      <c r="G14558" s="236">
        <f t="shared" si="233"/>
        <v>-200000</v>
      </c>
      <c r="H14558" s="709" t="s">
        <v>9395</v>
      </c>
    </row>
    <row r="14559" spans="1:8" ht="15" x14ac:dyDescent="0.2">
      <c r="A14559" s="734">
        <v>45012</v>
      </c>
      <c r="B14559" s="63" t="s">
        <v>8876</v>
      </c>
      <c r="C14559" s="41" t="s">
        <v>3145</v>
      </c>
      <c r="D14559" s="108" t="s">
        <v>9546</v>
      </c>
      <c r="E14559" s="58">
        <v>14975</v>
      </c>
      <c r="F14559" s="126"/>
      <c r="G14559" s="126">
        <f t="shared" si="233"/>
        <v>-14975</v>
      </c>
      <c r="H14559" s="705" t="s">
        <v>9395</v>
      </c>
    </row>
    <row r="14560" spans="1:8" ht="15" x14ac:dyDescent="0.2">
      <c r="A14560" s="734">
        <v>45012</v>
      </c>
      <c r="B14560" s="63" t="s">
        <v>8876</v>
      </c>
      <c r="C14560" s="41" t="s">
        <v>3145</v>
      </c>
      <c r="D14560" s="108" t="s">
        <v>9547</v>
      </c>
      <c r="E14560" s="58">
        <v>37000</v>
      </c>
      <c r="F14560" s="126"/>
      <c r="G14560" s="126">
        <f t="shared" si="233"/>
        <v>-37000</v>
      </c>
      <c r="H14560" s="705" t="s">
        <v>9395</v>
      </c>
    </row>
    <row r="14561" spans="1:8" ht="15" x14ac:dyDescent="0.2">
      <c r="A14561" s="734">
        <v>45012</v>
      </c>
      <c r="B14561" s="63" t="s">
        <v>8868</v>
      </c>
      <c r="C14561" s="41" t="s">
        <v>3145</v>
      </c>
      <c r="D14561" s="108" t="s">
        <v>9548</v>
      </c>
      <c r="E14561" s="58">
        <v>880</v>
      </c>
      <c r="F14561" s="126"/>
      <c r="G14561" s="126">
        <f t="shared" si="233"/>
        <v>-880</v>
      </c>
      <c r="H14561" s="705" t="s">
        <v>9395</v>
      </c>
    </row>
    <row r="14562" spans="1:8" ht="15" x14ac:dyDescent="0.2">
      <c r="A14562" s="734">
        <v>45012</v>
      </c>
      <c r="B14562" s="63" t="s">
        <v>9507</v>
      </c>
      <c r="C14562" s="41" t="s">
        <v>9549</v>
      </c>
      <c r="D14562" s="108" t="s">
        <v>9525</v>
      </c>
      <c r="E14562" s="58">
        <v>5000</v>
      </c>
      <c r="F14562" s="126"/>
      <c r="G14562" s="126">
        <f t="shared" si="233"/>
        <v>-5000</v>
      </c>
      <c r="H14562" s="705" t="s">
        <v>9395</v>
      </c>
    </row>
    <row r="14563" spans="1:8" ht="15" x14ac:dyDescent="0.2">
      <c r="A14563" s="734">
        <v>45012</v>
      </c>
      <c r="B14563" s="63" t="s">
        <v>16</v>
      </c>
      <c r="C14563" s="41" t="s">
        <v>392</v>
      </c>
      <c r="D14563" s="108" t="s">
        <v>9550</v>
      </c>
      <c r="E14563" s="58">
        <v>760</v>
      </c>
      <c r="F14563" s="126"/>
      <c r="G14563" s="126">
        <f t="shared" si="233"/>
        <v>-760</v>
      </c>
      <c r="H14563" s="705" t="s">
        <v>9395</v>
      </c>
    </row>
    <row r="14564" spans="1:8" ht="15" x14ac:dyDescent="0.2">
      <c r="A14564" s="734">
        <v>45012</v>
      </c>
      <c r="B14564" s="63" t="s">
        <v>3946</v>
      </c>
      <c r="C14564" s="41" t="s">
        <v>3145</v>
      </c>
      <c r="D14564" s="108" t="s">
        <v>9552</v>
      </c>
      <c r="E14564" s="58">
        <v>72000</v>
      </c>
      <c r="F14564" s="126"/>
      <c r="G14564" s="126">
        <f t="shared" si="233"/>
        <v>-72000</v>
      </c>
      <c r="H14564" s="705" t="s">
        <v>9395</v>
      </c>
    </row>
    <row r="14565" spans="1:8" ht="15" x14ac:dyDescent="0.2">
      <c r="A14565" s="734">
        <v>45012</v>
      </c>
      <c r="B14565" s="63" t="s">
        <v>9507</v>
      </c>
      <c r="C14565" s="41" t="s">
        <v>9551</v>
      </c>
      <c r="D14565" s="108" t="s">
        <v>9553</v>
      </c>
      <c r="E14565" s="58">
        <v>78000</v>
      </c>
      <c r="F14565" s="126"/>
      <c r="G14565" s="126">
        <f t="shared" si="233"/>
        <v>-78000</v>
      </c>
      <c r="H14565" s="705" t="s">
        <v>9395</v>
      </c>
    </row>
    <row r="14566" spans="1:8" ht="15" x14ac:dyDescent="0.2">
      <c r="A14566" s="734">
        <v>45012</v>
      </c>
      <c r="B14566" s="63" t="s">
        <v>3946</v>
      </c>
      <c r="C14566" s="41" t="s">
        <v>286</v>
      </c>
      <c r="D14566" s="108" t="s">
        <v>9555</v>
      </c>
      <c r="E14566" s="58">
        <v>1000</v>
      </c>
      <c r="F14566" s="126"/>
      <c r="G14566" s="126">
        <f t="shared" si="233"/>
        <v>-1000</v>
      </c>
      <c r="H14566" s="705" t="s">
        <v>9395</v>
      </c>
    </row>
    <row r="14567" spans="1:8" ht="15" x14ac:dyDescent="0.2">
      <c r="A14567" s="734">
        <v>45012</v>
      </c>
      <c r="B14567" s="63" t="s">
        <v>3946</v>
      </c>
      <c r="C14567" s="41" t="s">
        <v>5741</v>
      </c>
      <c r="D14567" s="108" t="s">
        <v>370</v>
      </c>
      <c r="E14567" s="58">
        <v>500</v>
      </c>
      <c r="F14567" s="126"/>
      <c r="G14567" s="126">
        <f t="shared" si="233"/>
        <v>-500</v>
      </c>
      <c r="H14567" s="705" t="s">
        <v>9395</v>
      </c>
    </row>
    <row r="14568" spans="1:8" ht="15" x14ac:dyDescent="0.2">
      <c r="A14568" s="734">
        <v>45012</v>
      </c>
      <c r="B14568" s="63" t="s">
        <v>9402</v>
      </c>
      <c r="C14568" s="41" t="s">
        <v>392</v>
      </c>
      <c r="D14568" s="108" t="s">
        <v>9554</v>
      </c>
      <c r="E14568" s="58">
        <v>1280</v>
      </c>
      <c r="F14568" s="126"/>
      <c r="G14568" s="126">
        <f t="shared" si="233"/>
        <v>-1280</v>
      </c>
      <c r="H14568" s="705" t="s">
        <v>9395</v>
      </c>
    </row>
    <row r="14569" spans="1:8" ht="15" x14ac:dyDescent="0.2">
      <c r="A14569" s="734">
        <v>45012</v>
      </c>
      <c r="B14569" s="63" t="s">
        <v>9464</v>
      </c>
      <c r="C14569" s="41" t="s">
        <v>392</v>
      </c>
      <c r="D14569" s="108" t="s">
        <v>9420</v>
      </c>
      <c r="E14569" s="58">
        <v>1900</v>
      </c>
      <c r="F14569" s="126"/>
      <c r="G14569" s="126">
        <f t="shared" si="233"/>
        <v>-1900</v>
      </c>
      <c r="H14569" s="705" t="s">
        <v>9395</v>
      </c>
    </row>
    <row r="14570" spans="1:8" ht="15" x14ac:dyDescent="0.2">
      <c r="A14570" s="734">
        <v>45012</v>
      </c>
      <c r="B14570" s="63" t="s">
        <v>3946</v>
      </c>
      <c r="C14570" s="41" t="s">
        <v>7271</v>
      </c>
      <c r="D14570" s="108" t="s">
        <v>2711</v>
      </c>
      <c r="E14570" s="58">
        <v>30000</v>
      </c>
      <c r="F14570" s="126"/>
      <c r="G14570" s="126">
        <f t="shared" si="233"/>
        <v>-30000</v>
      </c>
      <c r="H14570" s="705" t="s">
        <v>9395</v>
      </c>
    </row>
    <row r="14571" spans="1:8" ht="15" x14ac:dyDescent="0.2">
      <c r="A14571" s="734">
        <v>45013</v>
      </c>
      <c r="B14571" s="63" t="s">
        <v>8876</v>
      </c>
      <c r="C14571" s="41" t="s">
        <v>3145</v>
      </c>
      <c r="D14571" s="108" t="s">
        <v>9556</v>
      </c>
      <c r="E14571" s="58">
        <v>8290</v>
      </c>
      <c r="F14571" s="126"/>
      <c r="G14571" s="126">
        <f t="shared" si="233"/>
        <v>-8290</v>
      </c>
      <c r="H14571" s="705" t="s">
        <v>9395</v>
      </c>
    </row>
    <row r="14572" spans="1:8" ht="15" x14ac:dyDescent="0.2">
      <c r="A14572" s="734">
        <v>45013</v>
      </c>
      <c r="B14572" s="63" t="s">
        <v>8876</v>
      </c>
      <c r="C14572" s="41" t="s">
        <v>3145</v>
      </c>
      <c r="D14572" s="108" t="s">
        <v>9557</v>
      </c>
      <c r="E14572" s="58">
        <v>7940</v>
      </c>
      <c r="F14572" s="126"/>
      <c r="G14572" s="126">
        <f t="shared" si="233"/>
        <v>-7940</v>
      </c>
      <c r="H14572" s="705" t="s">
        <v>9395</v>
      </c>
    </row>
    <row r="14573" spans="1:8" ht="15" x14ac:dyDescent="0.2">
      <c r="A14573" s="734">
        <v>45013</v>
      </c>
      <c r="B14573" s="63" t="s">
        <v>8876</v>
      </c>
      <c r="C14573" s="41" t="s">
        <v>3145</v>
      </c>
      <c r="D14573" s="108" t="s">
        <v>9556</v>
      </c>
      <c r="E14573" s="58">
        <v>540</v>
      </c>
      <c r="F14573" s="126"/>
      <c r="G14573" s="126">
        <f t="shared" si="233"/>
        <v>-540</v>
      </c>
      <c r="H14573" s="705" t="s">
        <v>9395</v>
      </c>
    </row>
    <row r="14574" spans="1:8" ht="15" x14ac:dyDescent="0.2">
      <c r="A14574" s="734">
        <v>45013</v>
      </c>
      <c r="B14574" s="63" t="s">
        <v>8876</v>
      </c>
      <c r="C14574" s="41" t="s">
        <v>3145</v>
      </c>
      <c r="D14574" s="108" t="s">
        <v>9408</v>
      </c>
      <c r="E14574" s="58">
        <v>148000</v>
      </c>
      <c r="F14574" s="126"/>
      <c r="G14574" s="126">
        <f t="shared" si="233"/>
        <v>-148000</v>
      </c>
      <c r="H14574" s="705" t="s">
        <v>9395</v>
      </c>
    </row>
    <row r="14575" spans="1:8" ht="132" x14ac:dyDescent="0.2">
      <c r="A14575" s="734">
        <v>45013</v>
      </c>
      <c r="B14575" s="63" t="s">
        <v>16</v>
      </c>
      <c r="C14575" s="63" t="s">
        <v>7703</v>
      </c>
      <c r="D14575" s="183" t="s">
        <v>9558</v>
      </c>
      <c r="E14575" s="126">
        <v>100000</v>
      </c>
      <c r="F14575" s="126"/>
      <c r="G14575" s="126">
        <f t="shared" si="233"/>
        <v>-100000</v>
      </c>
      <c r="H14575" s="705" t="s">
        <v>9395</v>
      </c>
    </row>
    <row r="14576" spans="1:8" ht="15" x14ac:dyDescent="0.2">
      <c r="A14576" s="734">
        <v>45014</v>
      </c>
      <c r="B14576" s="63" t="s">
        <v>8559</v>
      </c>
      <c r="C14576" s="41" t="s">
        <v>3145</v>
      </c>
      <c r="D14576" s="108" t="s">
        <v>9559</v>
      </c>
      <c r="E14576" s="58">
        <v>4000</v>
      </c>
      <c r="F14576" s="126"/>
      <c r="G14576" s="126">
        <f t="shared" si="233"/>
        <v>-4000</v>
      </c>
      <c r="H14576" s="705" t="s">
        <v>9395</v>
      </c>
    </row>
    <row r="14577" spans="1:8" ht="15" x14ac:dyDescent="0.2">
      <c r="A14577" s="734">
        <v>45014</v>
      </c>
      <c r="B14577" s="63" t="s">
        <v>16</v>
      </c>
      <c r="C14577" s="41" t="s">
        <v>8377</v>
      </c>
      <c r="D14577" s="108" t="s">
        <v>9560</v>
      </c>
      <c r="E14577" s="58">
        <v>1980</v>
      </c>
      <c r="F14577" s="126"/>
      <c r="G14577" s="126">
        <f t="shared" si="233"/>
        <v>-1980</v>
      </c>
      <c r="H14577" s="705" t="s">
        <v>9395</v>
      </c>
    </row>
    <row r="14578" spans="1:8" ht="15" x14ac:dyDescent="0.2">
      <c r="A14578" s="734">
        <v>45014</v>
      </c>
      <c r="B14578" s="63" t="s">
        <v>16</v>
      </c>
      <c r="C14578" s="41" t="s">
        <v>2996</v>
      </c>
      <c r="D14578" s="108" t="s">
        <v>370</v>
      </c>
      <c r="E14578" s="58">
        <v>4600</v>
      </c>
      <c r="F14578" s="126"/>
      <c r="G14578" s="126">
        <f t="shared" si="233"/>
        <v>-4600</v>
      </c>
      <c r="H14578" s="705" t="s">
        <v>9395</v>
      </c>
    </row>
    <row r="14579" spans="1:8" ht="15" x14ac:dyDescent="0.2">
      <c r="A14579" s="734">
        <v>45014</v>
      </c>
      <c r="B14579" s="63" t="s">
        <v>16</v>
      </c>
      <c r="C14579" s="41" t="s">
        <v>9562</v>
      </c>
      <c r="D14579" s="108" t="s">
        <v>4876</v>
      </c>
      <c r="E14579" s="58">
        <v>2000</v>
      </c>
      <c r="F14579" s="126"/>
      <c r="G14579" s="126">
        <f t="shared" ref="G14579:G14642" si="234">F14579-E14579</f>
        <v>-2000</v>
      </c>
      <c r="H14579" s="705" t="s">
        <v>9395</v>
      </c>
    </row>
    <row r="14580" spans="1:8" ht="15" x14ac:dyDescent="0.2">
      <c r="A14580" s="734">
        <v>45014</v>
      </c>
      <c r="B14580" s="63" t="s">
        <v>16</v>
      </c>
      <c r="C14580" s="41" t="s">
        <v>3843</v>
      </c>
      <c r="D14580" s="108" t="s">
        <v>1157</v>
      </c>
      <c r="E14580" s="58">
        <v>2000</v>
      </c>
      <c r="F14580" s="126"/>
      <c r="G14580" s="126">
        <f t="shared" si="234"/>
        <v>-2000</v>
      </c>
      <c r="H14580" s="705" t="s">
        <v>9395</v>
      </c>
    </row>
    <row r="14581" spans="1:8" ht="15" x14ac:dyDescent="0.2">
      <c r="A14581" s="734">
        <v>45014</v>
      </c>
      <c r="B14581" s="63" t="s">
        <v>16</v>
      </c>
      <c r="C14581" s="41" t="s">
        <v>286</v>
      </c>
      <c r="D14581" s="108" t="s">
        <v>9561</v>
      </c>
      <c r="E14581" s="58">
        <v>300</v>
      </c>
      <c r="F14581" s="126"/>
      <c r="G14581" s="126">
        <f t="shared" si="234"/>
        <v>-300</v>
      </c>
      <c r="H14581" s="705" t="s">
        <v>9395</v>
      </c>
    </row>
    <row r="14582" spans="1:8" ht="15" x14ac:dyDescent="0.2">
      <c r="A14582" s="734">
        <v>45014</v>
      </c>
      <c r="B14582" s="63" t="s">
        <v>8559</v>
      </c>
      <c r="C14582" s="41" t="s">
        <v>9565</v>
      </c>
      <c r="D14582" s="108" t="s">
        <v>9563</v>
      </c>
      <c r="E14582" s="58">
        <v>8000</v>
      </c>
      <c r="F14582" s="126"/>
      <c r="G14582" s="126">
        <f t="shared" si="234"/>
        <v>-8000</v>
      </c>
      <c r="H14582" s="705" t="s">
        <v>9395</v>
      </c>
    </row>
    <row r="14583" spans="1:8" ht="15" x14ac:dyDescent="0.2">
      <c r="A14583" s="734">
        <v>45014</v>
      </c>
      <c r="B14583" s="63" t="s">
        <v>16</v>
      </c>
      <c r="C14583" s="41" t="s">
        <v>9562</v>
      </c>
      <c r="D14583" s="108" t="s">
        <v>9564</v>
      </c>
      <c r="E14583" s="58">
        <v>1000</v>
      </c>
      <c r="F14583" s="126"/>
      <c r="G14583" s="126">
        <f t="shared" si="234"/>
        <v>-1000</v>
      </c>
      <c r="H14583" s="705" t="s">
        <v>9395</v>
      </c>
    </row>
    <row r="14584" spans="1:8" ht="15" x14ac:dyDescent="0.2">
      <c r="A14584" s="734">
        <v>45014</v>
      </c>
      <c r="B14584" s="63" t="s">
        <v>8876</v>
      </c>
      <c r="C14584" s="41" t="s">
        <v>8251</v>
      </c>
      <c r="D14584" s="108" t="s">
        <v>9566</v>
      </c>
      <c r="E14584" s="58">
        <v>50000</v>
      </c>
      <c r="F14584" s="126"/>
      <c r="G14584" s="126">
        <f t="shared" si="234"/>
        <v>-50000</v>
      </c>
      <c r="H14584" s="705" t="s">
        <v>9395</v>
      </c>
    </row>
    <row r="14585" spans="1:8" ht="15" x14ac:dyDescent="0.2">
      <c r="A14585" s="734">
        <v>45014</v>
      </c>
      <c r="B14585" s="63" t="s">
        <v>9409</v>
      </c>
      <c r="C14585" s="41" t="s">
        <v>9474</v>
      </c>
      <c r="D14585" s="108" t="s">
        <v>9567</v>
      </c>
      <c r="E14585" s="58">
        <v>20000</v>
      </c>
      <c r="F14585" s="126"/>
      <c r="G14585" s="126">
        <f t="shared" si="234"/>
        <v>-20000</v>
      </c>
      <c r="H14585" s="705" t="s">
        <v>9395</v>
      </c>
    </row>
    <row r="14586" spans="1:8" ht="15" x14ac:dyDescent="0.2">
      <c r="A14586" s="734">
        <v>45014</v>
      </c>
      <c r="B14586" s="63" t="s">
        <v>9507</v>
      </c>
      <c r="C14586" s="41" t="s">
        <v>3145</v>
      </c>
      <c r="D14586" s="108" t="s">
        <v>9568</v>
      </c>
      <c r="E14586" s="58">
        <v>1200</v>
      </c>
      <c r="F14586" s="126"/>
      <c r="G14586" s="126">
        <f t="shared" si="234"/>
        <v>-1200</v>
      </c>
      <c r="H14586" s="705" t="s">
        <v>9395</v>
      </c>
    </row>
    <row r="14587" spans="1:8" ht="15" x14ac:dyDescent="0.2">
      <c r="A14587" s="734">
        <v>45015</v>
      </c>
      <c r="B14587" s="63" t="s">
        <v>9409</v>
      </c>
      <c r="C14587" s="41" t="s">
        <v>3145</v>
      </c>
      <c r="D14587" s="108" t="s">
        <v>9570</v>
      </c>
      <c r="E14587" s="58">
        <v>512000</v>
      </c>
      <c r="F14587" s="126"/>
      <c r="G14587" s="126">
        <f t="shared" si="234"/>
        <v>-512000</v>
      </c>
      <c r="H14587" s="705" t="s">
        <v>9395</v>
      </c>
    </row>
    <row r="14588" spans="1:8" ht="15" x14ac:dyDescent="0.2">
      <c r="A14588" s="734">
        <v>45015</v>
      </c>
      <c r="B14588" s="63" t="s">
        <v>25</v>
      </c>
      <c r="C14588" s="41" t="s">
        <v>4065</v>
      </c>
      <c r="D14588" s="108" t="s">
        <v>1917</v>
      </c>
      <c r="E14588" s="58">
        <v>750</v>
      </c>
      <c r="F14588" s="126"/>
      <c r="G14588" s="126">
        <f t="shared" si="234"/>
        <v>-750</v>
      </c>
      <c r="H14588" s="705" t="s">
        <v>9395</v>
      </c>
    </row>
    <row r="14589" spans="1:8" ht="15" x14ac:dyDescent="0.2">
      <c r="A14589" s="734">
        <v>45015</v>
      </c>
      <c r="B14589" s="63" t="s">
        <v>4553</v>
      </c>
      <c r="C14589" s="41" t="s">
        <v>9460</v>
      </c>
      <c r="D14589" s="108" t="s">
        <v>9569</v>
      </c>
      <c r="E14589" s="58">
        <v>8000</v>
      </c>
      <c r="F14589" s="126"/>
      <c r="G14589" s="126">
        <f t="shared" si="234"/>
        <v>-8000</v>
      </c>
      <c r="H14589" s="705" t="s">
        <v>9395</v>
      </c>
    </row>
    <row r="14590" spans="1:8" ht="15" x14ac:dyDescent="0.2">
      <c r="A14590" s="734">
        <v>45015</v>
      </c>
      <c r="B14590" s="63" t="s">
        <v>8559</v>
      </c>
      <c r="C14590" s="41" t="s">
        <v>8900</v>
      </c>
      <c r="D14590" s="108" t="s">
        <v>4436</v>
      </c>
      <c r="E14590" s="58">
        <v>144000</v>
      </c>
      <c r="F14590" s="126"/>
      <c r="G14590" s="126">
        <f t="shared" si="234"/>
        <v>-144000</v>
      </c>
      <c r="H14590" s="705" t="s">
        <v>9395</v>
      </c>
    </row>
    <row r="14591" spans="1:8" ht="15" x14ac:dyDescent="0.2">
      <c r="A14591" s="734">
        <v>45015</v>
      </c>
      <c r="B14591" s="63" t="s">
        <v>16</v>
      </c>
      <c r="C14591" s="41" t="s">
        <v>8377</v>
      </c>
      <c r="D14591" s="108" t="s">
        <v>9571</v>
      </c>
      <c r="E14591" s="58">
        <v>30000</v>
      </c>
      <c r="F14591" s="126"/>
      <c r="G14591" s="126">
        <f t="shared" si="234"/>
        <v>-30000</v>
      </c>
      <c r="H14591" s="705" t="s">
        <v>9395</v>
      </c>
    </row>
    <row r="14592" spans="1:8" ht="15" x14ac:dyDescent="0.2">
      <c r="A14592" s="734">
        <v>45015</v>
      </c>
      <c r="B14592" s="63" t="s">
        <v>16</v>
      </c>
      <c r="C14592" s="41" t="s">
        <v>9562</v>
      </c>
      <c r="D14592" s="108" t="s">
        <v>9572</v>
      </c>
      <c r="E14592" s="58">
        <v>1000</v>
      </c>
      <c r="F14592" s="126"/>
      <c r="G14592" s="126">
        <f t="shared" si="234"/>
        <v>-1000</v>
      </c>
      <c r="H14592" s="705" t="s">
        <v>9395</v>
      </c>
    </row>
    <row r="14593" spans="1:8" ht="15" x14ac:dyDescent="0.2">
      <c r="A14593" s="734">
        <v>45015</v>
      </c>
      <c r="B14593" s="63" t="s">
        <v>8876</v>
      </c>
      <c r="C14593" s="41" t="s">
        <v>7477</v>
      </c>
      <c r="D14593" s="108" t="s">
        <v>7918</v>
      </c>
      <c r="E14593" s="58">
        <v>30000</v>
      </c>
      <c r="F14593" s="126"/>
      <c r="G14593" s="126">
        <f t="shared" si="234"/>
        <v>-30000</v>
      </c>
      <c r="H14593" s="705" t="s">
        <v>9395</v>
      </c>
    </row>
    <row r="14594" spans="1:8" ht="15" x14ac:dyDescent="0.2">
      <c r="A14594" s="734">
        <v>45016</v>
      </c>
      <c r="B14594" s="63" t="s">
        <v>16</v>
      </c>
      <c r="C14594" s="41" t="s">
        <v>8377</v>
      </c>
      <c r="D14594" s="108" t="s">
        <v>9573</v>
      </c>
      <c r="E14594" s="58">
        <v>750</v>
      </c>
      <c r="F14594" s="126"/>
      <c r="G14594" s="126">
        <f t="shared" si="234"/>
        <v>-750</v>
      </c>
      <c r="H14594" s="705" t="s">
        <v>9395</v>
      </c>
    </row>
    <row r="14595" spans="1:8" ht="15" x14ac:dyDescent="0.2">
      <c r="A14595" s="734">
        <v>45016</v>
      </c>
      <c r="B14595" s="63" t="s">
        <v>16</v>
      </c>
      <c r="C14595" s="41" t="s">
        <v>286</v>
      </c>
      <c r="D14595" s="108" t="s">
        <v>9561</v>
      </c>
      <c r="E14595" s="58">
        <v>300</v>
      </c>
      <c r="F14595" s="126"/>
      <c r="G14595" s="126">
        <f t="shared" si="234"/>
        <v>-300</v>
      </c>
      <c r="H14595" s="705" t="s">
        <v>9395</v>
      </c>
    </row>
    <row r="14596" spans="1:8" ht="15" x14ac:dyDescent="0.2">
      <c r="A14596" s="734">
        <v>45016</v>
      </c>
      <c r="B14596" s="63" t="s">
        <v>16</v>
      </c>
      <c r="C14596" s="41" t="s">
        <v>5741</v>
      </c>
      <c r="D14596" s="108" t="s">
        <v>9576</v>
      </c>
      <c r="E14596" s="58">
        <v>1000</v>
      </c>
      <c r="F14596" s="126"/>
      <c r="G14596" s="126">
        <f t="shared" si="234"/>
        <v>-1000</v>
      </c>
      <c r="H14596" s="705" t="s">
        <v>9395</v>
      </c>
    </row>
    <row r="14597" spans="1:8" ht="15" x14ac:dyDescent="0.2">
      <c r="A14597" s="734">
        <v>45016</v>
      </c>
      <c r="B14597" s="63" t="s">
        <v>16</v>
      </c>
      <c r="C14597" s="41" t="s">
        <v>8377</v>
      </c>
      <c r="D14597" s="108" t="s">
        <v>9574</v>
      </c>
      <c r="E14597" s="58">
        <v>550</v>
      </c>
      <c r="F14597" s="126"/>
      <c r="G14597" s="126">
        <f t="shared" si="234"/>
        <v>-550</v>
      </c>
      <c r="H14597" s="705" t="s">
        <v>9395</v>
      </c>
    </row>
    <row r="14598" spans="1:8" ht="15" x14ac:dyDescent="0.2">
      <c r="A14598" s="734">
        <v>45016</v>
      </c>
      <c r="B14598" s="63" t="s">
        <v>8876</v>
      </c>
      <c r="C14598" s="41" t="s">
        <v>286</v>
      </c>
      <c r="D14598" s="108" t="s">
        <v>3629</v>
      </c>
      <c r="E14598" s="58">
        <v>500</v>
      </c>
      <c r="F14598" s="126"/>
      <c r="G14598" s="126">
        <f t="shared" si="234"/>
        <v>-500</v>
      </c>
      <c r="H14598" s="705" t="s">
        <v>9395</v>
      </c>
    </row>
    <row r="14599" spans="1:8" ht="15" x14ac:dyDescent="0.2">
      <c r="A14599" s="734">
        <v>45016</v>
      </c>
      <c r="B14599" s="63" t="s">
        <v>8657</v>
      </c>
      <c r="C14599" s="41" t="s">
        <v>3145</v>
      </c>
      <c r="D14599" s="108" t="s">
        <v>9577</v>
      </c>
      <c r="E14599" s="58">
        <v>74000</v>
      </c>
      <c r="F14599" s="126"/>
      <c r="G14599" s="126">
        <f t="shared" si="234"/>
        <v>-74000</v>
      </c>
      <c r="H14599" s="705" t="s">
        <v>9395</v>
      </c>
    </row>
    <row r="14600" spans="1:8" ht="15" x14ac:dyDescent="0.2">
      <c r="A14600" s="734">
        <v>45016</v>
      </c>
      <c r="B14600" s="63" t="s">
        <v>9507</v>
      </c>
      <c r="C14600" s="41" t="s">
        <v>5741</v>
      </c>
      <c r="D14600" s="108" t="s">
        <v>9575</v>
      </c>
      <c r="E14600" s="58">
        <v>500</v>
      </c>
      <c r="F14600" s="126"/>
      <c r="G14600" s="126">
        <f t="shared" si="234"/>
        <v>-500</v>
      </c>
      <c r="H14600" s="705" t="s">
        <v>9395</v>
      </c>
    </row>
    <row r="14601" spans="1:8" ht="15" x14ac:dyDescent="0.2">
      <c r="A14601" s="734">
        <v>45016</v>
      </c>
      <c r="B14601" s="63" t="s">
        <v>16</v>
      </c>
      <c r="C14601" s="41" t="s">
        <v>3843</v>
      </c>
      <c r="D14601" s="108" t="s">
        <v>1157</v>
      </c>
      <c r="E14601" s="58">
        <v>2250</v>
      </c>
      <c r="F14601" s="126"/>
      <c r="G14601" s="126">
        <f t="shared" si="234"/>
        <v>-2250</v>
      </c>
      <c r="H14601" s="705" t="s">
        <v>9395</v>
      </c>
    </row>
    <row r="14602" spans="1:8" ht="15" x14ac:dyDescent="0.2">
      <c r="A14602" s="734">
        <v>45016</v>
      </c>
      <c r="B14602" s="63" t="s">
        <v>16</v>
      </c>
      <c r="C14602" s="41" t="s">
        <v>286</v>
      </c>
      <c r="D14602" s="108" t="s">
        <v>9561</v>
      </c>
      <c r="E14602" s="58">
        <v>300</v>
      </c>
      <c r="F14602" s="126"/>
      <c r="G14602" s="126">
        <f t="shared" si="234"/>
        <v>-300</v>
      </c>
      <c r="H14602" s="705" t="s">
        <v>9395</v>
      </c>
    </row>
    <row r="14603" spans="1:8" ht="15" x14ac:dyDescent="0.2">
      <c r="A14603" s="734">
        <v>45016</v>
      </c>
      <c r="B14603" s="63" t="s">
        <v>16</v>
      </c>
      <c r="D14603" s="108" t="s">
        <v>9572</v>
      </c>
      <c r="E14603" s="58">
        <v>1000</v>
      </c>
      <c r="F14603" s="126"/>
      <c r="G14603" s="126">
        <f t="shared" si="234"/>
        <v>-1000</v>
      </c>
      <c r="H14603" s="705" t="s">
        <v>9395</v>
      </c>
    </row>
    <row r="14604" spans="1:8" ht="15" x14ac:dyDescent="0.2">
      <c r="A14604" s="734">
        <v>45016</v>
      </c>
      <c r="B14604" s="63" t="s">
        <v>8559</v>
      </c>
      <c r="C14604" s="41" t="s">
        <v>3446</v>
      </c>
      <c r="D14604" s="108" t="s">
        <v>9578</v>
      </c>
      <c r="E14604" s="58">
        <v>10000</v>
      </c>
      <c r="F14604" s="126"/>
      <c r="G14604" s="126">
        <f t="shared" si="234"/>
        <v>-10000</v>
      </c>
      <c r="H14604" s="705" t="s">
        <v>9395</v>
      </c>
    </row>
    <row r="14605" spans="1:8" ht="15" x14ac:dyDescent="0.2">
      <c r="A14605" s="733">
        <v>44991</v>
      </c>
      <c r="B14605" s="174" t="s">
        <v>8043</v>
      </c>
      <c r="C14605" s="174" t="s">
        <v>8251</v>
      </c>
      <c r="D14605" s="228" t="s">
        <v>9407</v>
      </c>
      <c r="E14605" s="236">
        <v>58000</v>
      </c>
      <c r="F14605" s="236"/>
      <c r="G14605" s="236">
        <f t="shared" si="234"/>
        <v>-58000</v>
      </c>
      <c r="H14605" s="709" t="s">
        <v>9395</v>
      </c>
    </row>
    <row r="14606" spans="1:8" ht="15" x14ac:dyDescent="0.2">
      <c r="A14606" s="733">
        <v>44995</v>
      </c>
      <c r="B14606" s="174" t="s">
        <v>3946</v>
      </c>
      <c r="C14606" s="174" t="s">
        <v>3003</v>
      </c>
      <c r="D14606" s="228" t="s">
        <v>9432</v>
      </c>
      <c r="E14606" s="236">
        <v>30152</v>
      </c>
      <c r="F14606" s="236"/>
      <c r="G14606" s="236">
        <f t="shared" si="234"/>
        <v>-30152</v>
      </c>
      <c r="H14606" s="709" t="s">
        <v>9395</v>
      </c>
    </row>
    <row r="14607" spans="1:8" ht="15" x14ac:dyDescent="0.2">
      <c r="A14607" s="733">
        <v>44995</v>
      </c>
      <c r="B14607" s="174" t="s">
        <v>3945</v>
      </c>
      <c r="C14607" s="174" t="s">
        <v>3003</v>
      </c>
      <c r="D14607" s="228" t="s">
        <v>9432</v>
      </c>
      <c r="E14607" s="236">
        <v>32760</v>
      </c>
      <c r="F14607" s="236"/>
      <c r="G14607" s="236">
        <f t="shared" si="234"/>
        <v>-32760</v>
      </c>
      <c r="H14607" s="709" t="s">
        <v>9395</v>
      </c>
    </row>
    <row r="14608" spans="1:8" ht="15" x14ac:dyDescent="0.2">
      <c r="A14608" s="733">
        <v>44995</v>
      </c>
      <c r="B14608" s="174" t="s">
        <v>37</v>
      </c>
      <c r="C14608" s="174" t="s">
        <v>3003</v>
      </c>
      <c r="D14608" s="228" t="s">
        <v>9432</v>
      </c>
      <c r="E14608" s="236">
        <v>15560</v>
      </c>
      <c r="F14608" s="236"/>
      <c r="G14608" s="236">
        <f t="shared" si="234"/>
        <v>-15560</v>
      </c>
      <c r="H14608" s="709" t="s">
        <v>9395</v>
      </c>
    </row>
    <row r="14609" spans="1:8" ht="15" x14ac:dyDescent="0.2">
      <c r="A14609" s="733">
        <v>45000</v>
      </c>
      <c r="B14609" s="174" t="s">
        <v>9356</v>
      </c>
      <c r="C14609" s="174" t="s">
        <v>256</v>
      </c>
      <c r="D14609" s="228" t="s">
        <v>9456</v>
      </c>
      <c r="E14609" s="236">
        <v>852739</v>
      </c>
      <c r="F14609" s="236"/>
      <c r="G14609" s="236">
        <f t="shared" si="234"/>
        <v>-852739</v>
      </c>
      <c r="H14609" s="709" t="s">
        <v>9395</v>
      </c>
    </row>
    <row r="14610" spans="1:8" ht="15" x14ac:dyDescent="0.2">
      <c r="A14610" s="733">
        <v>45000</v>
      </c>
      <c r="B14610" s="174" t="s">
        <v>8657</v>
      </c>
      <c r="C14610" s="174" t="s">
        <v>1509</v>
      </c>
      <c r="D14610" s="228" t="s">
        <v>9457</v>
      </c>
      <c r="E14610" s="236">
        <v>300000</v>
      </c>
      <c r="F14610" s="236"/>
      <c r="G14610" s="236">
        <f t="shared" si="234"/>
        <v>-300000</v>
      </c>
      <c r="H14610" s="709" t="s">
        <v>9395</v>
      </c>
    </row>
    <row r="14611" spans="1:8" ht="24" x14ac:dyDescent="0.2">
      <c r="A14611" s="733">
        <v>45001</v>
      </c>
      <c r="B14611" s="174" t="s">
        <v>8559</v>
      </c>
      <c r="C14611" s="551" t="s">
        <v>166</v>
      </c>
      <c r="D14611" s="740" t="s">
        <v>9458</v>
      </c>
      <c r="E14611" s="552">
        <v>6915</v>
      </c>
      <c r="F14611" s="236"/>
      <c r="G14611" s="236">
        <f t="shared" si="234"/>
        <v>-6915</v>
      </c>
      <c r="H14611" s="709" t="s">
        <v>9395</v>
      </c>
    </row>
    <row r="14612" spans="1:8" ht="24" x14ac:dyDescent="0.2">
      <c r="A14612" s="733">
        <v>45001</v>
      </c>
      <c r="B14612" s="174" t="s">
        <v>8532</v>
      </c>
      <c r="C14612" s="551" t="s">
        <v>166</v>
      </c>
      <c r="D14612" s="740" t="s">
        <v>9458</v>
      </c>
      <c r="E14612" s="552">
        <v>15069</v>
      </c>
      <c r="F14612" s="236"/>
      <c r="G14612" s="236">
        <f t="shared" si="234"/>
        <v>-15069</v>
      </c>
      <c r="H14612" s="709" t="s">
        <v>9395</v>
      </c>
    </row>
    <row r="14613" spans="1:8" ht="24" x14ac:dyDescent="0.2">
      <c r="A14613" s="733">
        <v>45001</v>
      </c>
      <c r="B14613" s="174" t="s">
        <v>8657</v>
      </c>
      <c r="C14613" s="551" t="s">
        <v>166</v>
      </c>
      <c r="D14613" s="740" t="s">
        <v>9458</v>
      </c>
      <c r="E14613" s="552">
        <v>848690</v>
      </c>
      <c r="F14613" s="236"/>
      <c r="G14613" s="236">
        <f t="shared" si="234"/>
        <v>-848690</v>
      </c>
      <c r="H14613" s="709" t="s">
        <v>9395</v>
      </c>
    </row>
    <row r="14614" spans="1:8" ht="24" x14ac:dyDescent="0.2">
      <c r="A14614" s="733">
        <v>45001</v>
      </c>
      <c r="B14614" s="174" t="s">
        <v>8868</v>
      </c>
      <c r="C14614" s="551" t="s">
        <v>166</v>
      </c>
      <c r="D14614" s="740" t="s">
        <v>9458</v>
      </c>
      <c r="E14614" s="552">
        <v>78000</v>
      </c>
      <c r="F14614" s="236"/>
      <c r="G14614" s="236">
        <f t="shared" si="234"/>
        <v>-78000</v>
      </c>
      <c r="H14614" s="709" t="s">
        <v>9395</v>
      </c>
    </row>
    <row r="14615" spans="1:8" ht="24" x14ac:dyDescent="0.2">
      <c r="A14615" s="733">
        <v>45001</v>
      </c>
      <c r="B14615" s="174" t="s">
        <v>8876</v>
      </c>
      <c r="C14615" s="551" t="s">
        <v>166</v>
      </c>
      <c r="D14615" s="740" t="s">
        <v>9458</v>
      </c>
      <c r="E14615" s="552">
        <v>115000</v>
      </c>
      <c r="F14615" s="236"/>
      <c r="G14615" s="236">
        <f t="shared" si="234"/>
        <v>-115000</v>
      </c>
      <c r="H14615" s="709" t="s">
        <v>9395</v>
      </c>
    </row>
    <row r="14616" spans="1:8" ht="15" customHeight="1" x14ac:dyDescent="0.2">
      <c r="A14616" s="733">
        <v>45003</v>
      </c>
      <c r="B14616" s="174" t="s">
        <v>9356</v>
      </c>
      <c r="C14616" s="174" t="s">
        <v>7906</v>
      </c>
      <c r="D14616" s="228" t="s">
        <v>9488</v>
      </c>
      <c r="E14616" s="236">
        <v>556158</v>
      </c>
      <c r="F14616" s="236"/>
      <c r="G14616" s="236">
        <f t="shared" si="234"/>
        <v>-556158</v>
      </c>
      <c r="H14616" s="709" t="s">
        <v>9395</v>
      </c>
    </row>
    <row r="14617" spans="1:8" ht="15" customHeight="1" x14ac:dyDescent="0.2">
      <c r="A14617" s="733">
        <v>45015</v>
      </c>
      <c r="B14617" s="174" t="s">
        <v>8043</v>
      </c>
      <c r="C14617" s="670" t="s">
        <v>6624</v>
      </c>
      <c r="D14617" s="907" t="s">
        <v>9581</v>
      </c>
      <c r="E14617" s="672">
        <v>61000</v>
      </c>
      <c r="F14617" s="236"/>
      <c r="G14617" s="236">
        <f t="shared" si="234"/>
        <v>-61000</v>
      </c>
      <c r="H14617" s="709" t="s">
        <v>9395</v>
      </c>
    </row>
    <row r="14618" spans="1:8" ht="15" customHeight="1" x14ac:dyDescent="0.2">
      <c r="A14618" s="733">
        <v>45015</v>
      </c>
      <c r="B14618" s="174" t="s">
        <v>8339</v>
      </c>
      <c r="C14618" s="670" t="s">
        <v>6624</v>
      </c>
      <c r="D14618" s="907" t="s">
        <v>9581</v>
      </c>
      <c r="E14618" s="672">
        <v>10000</v>
      </c>
      <c r="F14618" s="236"/>
      <c r="G14618" s="236">
        <f t="shared" si="234"/>
        <v>-10000</v>
      </c>
      <c r="H14618" s="709" t="s">
        <v>9395</v>
      </c>
    </row>
    <row r="14619" spans="1:8" ht="15" x14ac:dyDescent="0.2">
      <c r="A14619" s="730">
        <v>44986</v>
      </c>
      <c r="B14619" s="91" t="s">
        <v>3945</v>
      </c>
      <c r="C14619" s="94" t="s">
        <v>559</v>
      </c>
      <c r="D14619" s="892" t="s">
        <v>9396</v>
      </c>
      <c r="E14619" s="92"/>
      <c r="F14619" s="92">
        <v>337081</v>
      </c>
      <c r="G14619" s="92">
        <f t="shared" si="234"/>
        <v>337081</v>
      </c>
      <c r="H14619" s="702" t="s">
        <v>9395</v>
      </c>
    </row>
    <row r="14620" spans="1:8" ht="24" x14ac:dyDescent="0.2">
      <c r="A14620" s="730">
        <v>44986</v>
      </c>
      <c r="B14620" s="94" t="s">
        <v>8891</v>
      </c>
      <c r="C14620" s="94" t="s">
        <v>559</v>
      </c>
      <c r="D14620" s="802" t="s">
        <v>8892</v>
      </c>
      <c r="E14620" s="176"/>
      <c r="F14620" s="176">
        <v>49804</v>
      </c>
      <c r="G14620" s="92">
        <f t="shared" si="234"/>
        <v>49804</v>
      </c>
      <c r="H14620" s="702" t="s">
        <v>9395</v>
      </c>
    </row>
    <row r="14621" spans="1:8" ht="15" customHeight="1" x14ac:dyDescent="0.2">
      <c r="A14621" s="730">
        <v>44986</v>
      </c>
      <c r="B14621" s="94" t="s">
        <v>8891</v>
      </c>
      <c r="C14621" s="94" t="s">
        <v>8852</v>
      </c>
      <c r="D14621" s="802" t="s">
        <v>9471</v>
      </c>
      <c r="E14621" s="176">
        <v>45000</v>
      </c>
      <c r="F14621" s="176"/>
      <c r="G14621" s="92">
        <f t="shared" si="234"/>
        <v>-45000</v>
      </c>
      <c r="H14621" s="702" t="s">
        <v>9395</v>
      </c>
    </row>
    <row r="14622" spans="1:8" ht="15" customHeight="1" x14ac:dyDescent="0.2">
      <c r="A14622" s="730">
        <v>44993</v>
      </c>
      <c r="B14622" s="91" t="s">
        <v>3946</v>
      </c>
      <c r="C14622" s="94" t="s">
        <v>559</v>
      </c>
      <c r="D14622" s="801" t="s">
        <v>9434</v>
      </c>
      <c r="E14622" s="176"/>
      <c r="F14622" s="176">
        <v>310329</v>
      </c>
      <c r="G14622" s="92">
        <f t="shared" si="234"/>
        <v>310329</v>
      </c>
      <c r="H14622" s="702" t="s">
        <v>9395</v>
      </c>
    </row>
    <row r="14623" spans="1:8" ht="15" customHeight="1" x14ac:dyDescent="0.2">
      <c r="A14623" s="730">
        <v>44998</v>
      </c>
      <c r="B14623" s="91" t="s">
        <v>6508</v>
      </c>
      <c r="C14623" s="94" t="s">
        <v>559</v>
      </c>
      <c r="D14623" s="801" t="s">
        <v>9441</v>
      </c>
      <c r="E14623" s="92"/>
      <c r="F14623" s="92">
        <v>45000</v>
      </c>
      <c r="G14623" s="92">
        <f t="shared" si="234"/>
        <v>45000</v>
      </c>
      <c r="H14623" s="702" t="s">
        <v>9395</v>
      </c>
    </row>
    <row r="14624" spans="1:8" ht="15" customHeight="1" x14ac:dyDescent="0.2">
      <c r="A14624" s="730">
        <v>44998</v>
      </c>
      <c r="B14624" s="91" t="s">
        <v>7921</v>
      </c>
      <c r="C14624" s="94" t="s">
        <v>559</v>
      </c>
      <c r="D14624" s="801" t="s">
        <v>9444</v>
      </c>
      <c r="E14624" s="92"/>
      <c r="F14624" s="92">
        <v>3000000</v>
      </c>
      <c r="G14624" s="92">
        <f t="shared" si="234"/>
        <v>3000000</v>
      </c>
      <c r="H14624" s="702" t="s">
        <v>9395</v>
      </c>
    </row>
    <row r="14625" spans="1:8" ht="15" customHeight="1" x14ac:dyDescent="0.2">
      <c r="A14625" s="730">
        <v>44998</v>
      </c>
      <c r="B14625" s="91" t="s">
        <v>7921</v>
      </c>
      <c r="C14625" s="94" t="s">
        <v>559</v>
      </c>
      <c r="D14625" s="801" t="s">
        <v>8543</v>
      </c>
      <c r="E14625" s="176">
        <v>25000</v>
      </c>
      <c r="F14625" s="176"/>
      <c r="G14625" s="92">
        <f t="shared" si="234"/>
        <v>-25000</v>
      </c>
      <c r="H14625" s="702" t="s">
        <v>9395</v>
      </c>
    </row>
    <row r="14626" spans="1:8" ht="15" customHeight="1" x14ac:dyDescent="0.2">
      <c r="A14626" s="730">
        <v>45000</v>
      </c>
      <c r="B14626" s="91" t="s">
        <v>9356</v>
      </c>
      <c r="C14626" s="94" t="s">
        <v>559</v>
      </c>
      <c r="D14626" s="801" t="s">
        <v>9711</v>
      </c>
      <c r="E14626" s="92"/>
      <c r="F14626" s="92">
        <v>852739</v>
      </c>
      <c r="G14626" s="92">
        <f t="shared" si="234"/>
        <v>852739</v>
      </c>
      <c r="H14626" s="702" t="s">
        <v>9395</v>
      </c>
    </row>
    <row r="14627" spans="1:8" ht="15" customHeight="1" x14ac:dyDescent="0.2">
      <c r="A14627" s="730">
        <v>45000</v>
      </c>
      <c r="B14627" s="91" t="s">
        <v>37</v>
      </c>
      <c r="C14627" s="94" t="s">
        <v>559</v>
      </c>
      <c r="D14627" s="801" t="s">
        <v>9455</v>
      </c>
      <c r="E14627" s="176"/>
      <c r="F14627" s="176">
        <v>188568</v>
      </c>
      <c r="G14627" s="92">
        <f t="shared" si="234"/>
        <v>188568</v>
      </c>
      <c r="H14627" s="702" t="s">
        <v>9395</v>
      </c>
    </row>
    <row r="14628" spans="1:8" s="682" customFormat="1" ht="60" customHeight="1" x14ac:dyDescent="0.25">
      <c r="A14628" s="730">
        <v>45000</v>
      </c>
      <c r="B14628" s="94" t="s">
        <v>6508</v>
      </c>
      <c r="C14628" s="94" t="s">
        <v>559</v>
      </c>
      <c r="D14628" s="802" t="s">
        <v>9453</v>
      </c>
      <c r="E14628" s="176"/>
      <c r="F14628" s="176">
        <v>426116</v>
      </c>
      <c r="G14628" s="176">
        <f t="shared" si="234"/>
        <v>426116</v>
      </c>
      <c r="H14628" s="702" t="s">
        <v>9395</v>
      </c>
    </row>
    <row r="14629" spans="1:8" s="682" customFormat="1" ht="72" customHeight="1" x14ac:dyDescent="0.25">
      <c r="A14629" s="730">
        <v>45000</v>
      </c>
      <c r="B14629" s="94" t="s">
        <v>6505</v>
      </c>
      <c r="C14629" s="94" t="s">
        <v>559</v>
      </c>
      <c r="D14629" s="802" t="s">
        <v>9454</v>
      </c>
      <c r="E14629" s="176"/>
      <c r="F14629" s="176">
        <v>473884</v>
      </c>
      <c r="G14629" s="176">
        <f t="shared" si="234"/>
        <v>473884</v>
      </c>
      <c r="H14629" s="702" t="s">
        <v>9395</v>
      </c>
    </row>
    <row r="14630" spans="1:8" ht="36" x14ac:dyDescent="0.2">
      <c r="A14630" s="730">
        <v>45000</v>
      </c>
      <c r="B14630" s="94" t="s">
        <v>1400</v>
      </c>
      <c r="C14630" s="94" t="s">
        <v>559</v>
      </c>
      <c r="D14630" s="802" t="s">
        <v>9473</v>
      </c>
      <c r="E14630" s="176"/>
      <c r="F14630" s="176">
        <v>1063674</v>
      </c>
      <c r="G14630" s="176">
        <f t="shared" si="234"/>
        <v>1063674</v>
      </c>
      <c r="H14630" s="702" t="s">
        <v>9395</v>
      </c>
    </row>
    <row r="14631" spans="1:8" ht="15" customHeight="1" x14ac:dyDescent="0.2">
      <c r="A14631" s="730">
        <v>45000</v>
      </c>
      <c r="B14631" s="91" t="s">
        <v>9356</v>
      </c>
      <c r="C14631" s="94" t="s">
        <v>559</v>
      </c>
      <c r="D14631" s="801" t="s">
        <v>9712</v>
      </c>
      <c r="E14631" s="176"/>
      <c r="F14631" s="92">
        <v>556158</v>
      </c>
      <c r="G14631" s="92">
        <f t="shared" si="234"/>
        <v>556158</v>
      </c>
      <c r="H14631" s="702" t="s">
        <v>9395</v>
      </c>
    </row>
    <row r="14632" spans="1:8" ht="15" customHeight="1" x14ac:dyDescent="0.2">
      <c r="A14632" s="730">
        <v>45003</v>
      </c>
      <c r="B14632" s="91" t="s">
        <v>6508</v>
      </c>
      <c r="C14632" s="94" t="s">
        <v>559</v>
      </c>
      <c r="D14632" s="801" t="s">
        <v>9441</v>
      </c>
      <c r="E14632" s="92"/>
      <c r="F14632" s="92">
        <v>5000</v>
      </c>
      <c r="G14632" s="92">
        <f t="shared" si="234"/>
        <v>5000</v>
      </c>
      <c r="H14632" s="702" t="s">
        <v>9395</v>
      </c>
    </row>
    <row r="14633" spans="1:8" ht="15" customHeight="1" x14ac:dyDescent="0.2">
      <c r="A14633" s="730">
        <v>45007</v>
      </c>
      <c r="B14633" s="91" t="s">
        <v>9402</v>
      </c>
      <c r="C14633" s="94" t="s">
        <v>559</v>
      </c>
      <c r="D14633" s="801" t="s">
        <v>9518</v>
      </c>
      <c r="E14633" s="176"/>
      <c r="F14633" s="92">
        <v>2358850</v>
      </c>
      <c r="G14633" s="92">
        <f t="shared" si="234"/>
        <v>2358850</v>
      </c>
      <c r="H14633" s="702" t="s">
        <v>9395</v>
      </c>
    </row>
    <row r="14634" spans="1:8" ht="15" customHeight="1" x14ac:dyDescent="0.2">
      <c r="A14634" s="730">
        <v>45007</v>
      </c>
      <c r="B14634" s="91" t="s">
        <v>9402</v>
      </c>
      <c r="C14634" s="94" t="s">
        <v>559</v>
      </c>
      <c r="D14634" s="801" t="s">
        <v>8543</v>
      </c>
      <c r="E14634" s="176">
        <v>23589</v>
      </c>
      <c r="F14634" s="92"/>
      <c r="G14634" s="92">
        <f t="shared" si="234"/>
        <v>-23589</v>
      </c>
      <c r="H14634" s="702" t="s">
        <v>9395</v>
      </c>
    </row>
    <row r="14635" spans="1:8" ht="15" customHeight="1" x14ac:dyDescent="0.2">
      <c r="A14635" s="730">
        <v>45007</v>
      </c>
      <c r="B14635" s="91" t="s">
        <v>9507</v>
      </c>
      <c r="C14635" s="94" t="s">
        <v>559</v>
      </c>
      <c r="D14635" s="801" t="s">
        <v>9518</v>
      </c>
      <c r="E14635" s="92"/>
      <c r="F14635" s="92">
        <v>800000</v>
      </c>
      <c r="G14635" s="92">
        <f t="shared" si="234"/>
        <v>800000</v>
      </c>
      <c r="H14635" s="702" t="s">
        <v>9395</v>
      </c>
    </row>
    <row r="14636" spans="1:8" ht="15" customHeight="1" x14ac:dyDescent="0.2">
      <c r="A14636" s="730">
        <v>45007</v>
      </c>
      <c r="B14636" s="91" t="s">
        <v>9507</v>
      </c>
      <c r="C14636" s="94" t="s">
        <v>559</v>
      </c>
      <c r="D14636" s="801" t="s">
        <v>8543</v>
      </c>
      <c r="E14636" s="92">
        <v>8000</v>
      </c>
      <c r="F14636" s="92"/>
      <c r="G14636" s="92">
        <f t="shared" si="234"/>
        <v>-8000</v>
      </c>
      <c r="H14636" s="702" t="s">
        <v>9395</v>
      </c>
    </row>
    <row r="14637" spans="1:8" ht="15" customHeight="1" x14ac:dyDescent="0.2">
      <c r="A14637" s="730">
        <v>45012</v>
      </c>
      <c r="B14637" s="91" t="s">
        <v>3945</v>
      </c>
      <c r="C14637" s="94" t="s">
        <v>559</v>
      </c>
      <c r="D14637" s="892" t="s">
        <v>9543</v>
      </c>
      <c r="E14637" s="92"/>
      <c r="F14637" s="92">
        <v>337081</v>
      </c>
      <c r="G14637" s="92">
        <f t="shared" si="234"/>
        <v>337081</v>
      </c>
      <c r="H14637" s="702" t="s">
        <v>9395</v>
      </c>
    </row>
    <row r="14638" spans="1:8" ht="15" customHeight="1" x14ac:dyDescent="0.2">
      <c r="A14638" s="730">
        <v>45013</v>
      </c>
      <c r="B14638" s="91" t="s">
        <v>3946</v>
      </c>
      <c r="C14638" s="94" t="s">
        <v>559</v>
      </c>
      <c r="D14638" s="801" t="s">
        <v>9710</v>
      </c>
      <c r="E14638" s="92"/>
      <c r="F14638" s="92">
        <v>105000</v>
      </c>
      <c r="G14638" s="92">
        <f t="shared" si="234"/>
        <v>105000</v>
      </c>
      <c r="H14638" s="702" t="s">
        <v>9395</v>
      </c>
    </row>
    <row r="14639" spans="1:8" ht="15" customHeight="1" x14ac:dyDescent="0.2">
      <c r="A14639" s="734">
        <v>45017</v>
      </c>
      <c r="B14639" s="63" t="s">
        <v>8876</v>
      </c>
      <c r="C14639" s="41" t="s">
        <v>2503</v>
      </c>
      <c r="D14639" s="108" t="s">
        <v>939</v>
      </c>
      <c r="E14639" s="58">
        <v>25000</v>
      </c>
      <c r="F14639" s="126"/>
      <c r="G14639" s="126">
        <f t="shared" si="234"/>
        <v>-25000</v>
      </c>
      <c r="H14639" s="705" t="s">
        <v>9587</v>
      </c>
    </row>
    <row r="14640" spans="1:8" ht="15" customHeight="1" x14ac:dyDescent="0.2">
      <c r="A14640" s="734">
        <v>45017</v>
      </c>
      <c r="B14640" s="63" t="s">
        <v>9409</v>
      </c>
      <c r="C14640" s="41" t="s">
        <v>2503</v>
      </c>
      <c r="D14640" s="108" t="s">
        <v>939</v>
      </c>
      <c r="E14640" s="58">
        <v>25000</v>
      </c>
      <c r="F14640" s="126"/>
      <c r="G14640" s="126">
        <f t="shared" si="234"/>
        <v>-25000</v>
      </c>
      <c r="H14640" s="705" t="s">
        <v>9587</v>
      </c>
    </row>
    <row r="14641" spans="1:8" ht="15" customHeight="1" x14ac:dyDescent="0.2">
      <c r="A14641" s="734">
        <v>45017</v>
      </c>
      <c r="B14641" s="63" t="s">
        <v>9661</v>
      </c>
      <c r="C14641" s="41" t="s">
        <v>2503</v>
      </c>
      <c r="D14641" s="108" t="s">
        <v>141</v>
      </c>
      <c r="E14641" s="58">
        <v>25000</v>
      </c>
      <c r="F14641" s="126"/>
      <c r="G14641" s="126">
        <f t="shared" si="234"/>
        <v>-25000</v>
      </c>
      <c r="H14641" s="705" t="s">
        <v>9587</v>
      </c>
    </row>
    <row r="14642" spans="1:8" ht="15" customHeight="1" x14ac:dyDescent="0.2">
      <c r="A14642" s="734">
        <v>45017</v>
      </c>
      <c r="B14642" s="63" t="s">
        <v>9356</v>
      </c>
      <c r="C14642" s="41" t="s">
        <v>2503</v>
      </c>
      <c r="D14642" s="108" t="s">
        <v>141</v>
      </c>
      <c r="E14642" s="58">
        <v>25000</v>
      </c>
      <c r="F14642" s="126"/>
      <c r="G14642" s="126">
        <f t="shared" si="234"/>
        <v>-25000</v>
      </c>
      <c r="H14642" s="705" t="s">
        <v>9587</v>
      </c>
    </row>
    <row r="14643" spans="1:8" ht="15" customHeight="1" x14ac:dyDescent="0.2">
      <c r="A14643" s="734">
        <v>45017</v>
      </c>
      <c r="B14643" s="63" t="s">
        <v>25</v>
      </c>
      <c r="C14643" s="41" t="s">
        <v>2503</v>
      </c>
      <c r="D14643" s="108" t="s">
        <v>158</v>
      </c>
      <c r="E14643" s="58">
        <v>80000</v>
      </c>
      <c r="F14643" s="126"/>
      <c r="G14643" s="126">
        <f t="shared" ref="G14643:G14706" si="235">F14643-E14643</f>
        <v>-80000</v>
      </c>
      <c r="H14643" s="705" t="s">
        <v>9587</v>
      </c>
    </row>
    <row r="14644" spans="1:8" ht="15" customHeight="1" x14ac:dyDescent="0.2">
      <c r="A14644" s="734">
        <v>45017</v>
      </c>
      <c r="B14644" s="63" t="s">
        <v>16</v>
      </c>
      <c r="C14644" s="41" t="s">
        <v>2503</v>
      </c>
      <c r="D14644" s="108" t="s">
        <v>158</v>
      </c>
      <c r="E14644" s="58">
        <f>161730+65000</f>
        <v>226730</v>
      </c>
      <c r="F14644" s="126"/>
      <c r="G14644" s="126">
        <f t="shared" si="235"/>
        <v>-226730</v>
      </c>
      <c r="H14644" s="705" t="s">
        <v>9587</v>
      </c>
    </row>
    <row r="14645" spans="1:8" ht="15" customHeight="1" x14ac:dyDescent="0.2">
      <c r="A14645" s="734">
        <v>45017</v>
      </c>
      <c r="B14645" s="63" t="s">
        <v>3945</v>
      </c>
      <c r="C14645" s="41" t="s">
        <v>2503</v>
      </c>
      <c r="D14645" s="108" t="s">
        <v>158</v>
      </c>
      <c r="E14645" s="58">
        <v>150485</v>
      </c>
      <c r="F14645" s="126"/>
      <c r="G14645" s="126">
        <f t="shared" si="235"/>
        <v>-150485</v>
      </c>
      <c r="H14645" s="705" t="s">
        <v>9587</v>
      </c>
    </row>
    <row r="14646" spans="1:8" ht="15" customHeight="1" x14ac:dyDescent="0.2">
      <c r="A14646" s="734">
        <v>45017</v>
      </c>
      <c r="B14646" s="63" t="s">
        <v>3946</v>
      </c>
      <c r="C14646" s="41" t="s">
        <v>2503</v>
      </c>
      <c r="D14646" s="108" t="s">
        <v>158</v>
      </c>
      <c r="E14646" s="58">
        <v>126252.08333333334</v>
      </c>
      <c r="F14646" s="126"/>
      <c r="G14646" s="126">
        <f t="shared" si="235"/>
        <v>-126252.08333333334</v>
      </c>
      <c r="H14646" s="705" t="s">
        <v>9587</v>
      </c>
    </row>
    <row r="14647" spans="1:8" ht="15" x14ac:dyDescent="0.2">
      <c r="A14647" s="734">
        <v>45017</v>
      </c>
      <c r="B14647" s="63" t="s">
        <v>9409</v>
      </c>
      <c r="C14647" s="41" t="s">
        <v>2503</v>
      </c>
      <c r="D14647" s="108" t="s">
        <v>158</v>
      </c>
      <c r="E14647" s="58">
        <v>176056</v>
      </c>
      <c r="F14647" s="126"/>
      <c r="G14647" s="126">
        <f t="shared" si="235"/>
        <v>-176056</v>
      </c>
      <c r="H14647" s="705" t="s">
        <v>9587</v>
      </c>
    </row>
    <row r="14648" spans="1:8" ht="15" x14ac:dyDescent="0.2">
      <c r="A14648" s="734">
        <v>45017</v>
      </c>
      <c r="B14648" s="63" t="s">
        <v>6505</v>
      </c>
      <c r="C14648" s="41" t="s">
        <v>2503</v>
      </c>
      <c r="D14648" s="108" t="s">
        <v>158</v>
      </c>
      <c r="E14648" s="58">
        <v>35000</v>
      </c>
      <c r="F14648" s="126"/>
      <c r="G14648" s="126">
        <f t="shared" si="235"/>
        <v>-35000</v>
      </c>
      <c r="H14648" s="705" t="s">
        <v>9587</v>
      </c>
    </row>
    <row r="14649" spans="1:8" ht="15" x14ac:dyDescent="0.2">
      <c r="A14649" s="734">
        <v>45017</v>
      </c>
      <c r="B14649" s="63" t="s">
        <v>9356</v>
      </c>
      <c r="C14649" s="41" t="s">
        <v>2503</v>
      </c>
      <c r="D14649" s="108" t="s">
        <v>158</v>
      </c>
      <c r="E14649" s="58">
        <v>83542</v>
      </c>
      <c r="F14649" s="126"/>
      <c r="G14649" s="126">
        <f t="shared" si="235"/>
        <v>-83542</v>
      </c>
      <c r="H14649" s="705" t="s">
        <v>9587</v>
      </c>
    </row>
    <row r="14650" spans="1:8" ht="15" x14ac:dyDescent="0.2">
      <c r="A14650" s="734">
        <v>45017</v>
      </c>
      <c r="B14650" s="63" t="s">
        <v>9464</v>
      </c>
      <c r="C14650" s="41" t="s">
        <v>2503</v>
      </c>
      <c r="D14650" s="108" t="s">
        <v>158</v>
      </c>
      <c r="E14650" s="58">
        <v>30000</v>
      </c>
      <c r="F14650" s="126"/>
      <c r="G14650" s="126">
        <f t="shared" si="235"/>
        <v>-30000</v>
      </c>
      <c r="H14650" s="705" t="s">
        <v>9587</v>
      </c>
    </row>
    <row r="14651" spans="1:8" ht="15" x14ac:dyDescent="0.2">
      <c r="A14651" s="734">
        <v>45017</v>
      </c>
      <c r="B14651" s="63" t="s">
        <v>37</v>
      </c>
      <c r="C14651" s="41" t="s">
        <v>2503</v>
      </c>
      <c r="D14651" s="108" t="s">
        <v>158</v>
      </c>
      <c r="E14651" s="58">
        <v>132929.16666666669</v>
      </c>
      <c r="F14651" s="126"/>
      <c r="G14651" s="126">
        <f t="shared" si="235"/>
        <v>-132929.16666666669</v>
      </c>
      <c r="H14651" s="705" t="s">
        <v>9587</v>
      </c>
    </row>
    <row r="14652" spans="1:8" ht="15" x14ac:dyDescent="0.2">
      <c r="A14652" s="734">
        <v>45017</v>
      </c>
      <c r="B14652" s="63" t="s">
        <v>2933</v>
      </c>
      <c r="C14652" s="41" t="s">
        <v>2503</v>
      </c>
      <c r="D14652" s="108" t="s">
        <v>158</v>
      </c>
      <c r="E14652" s="58">
        <v>100004.16666666666</v>
      </c>
      <c r="F14652" s="126"/>
      <c r="G14652" s="126">
        <f t="shared" si="235"/>
        <v>-100004.16666666666</v>
      </c>
      <c r="H14652" s="705" t="s">
        <v>9587</v>
      </c>
    </row>
    <row r="14653" spans="1:8" ht="15" customHeight="1" x14ac:dyDescent="0.2">
      <c r="A14653" s="734">
        <v>45017</v>
      </c>
      <c r="B14653" s="63" t="s">
        <v>8876</v>
      </c>
      <c r="C14653" s="41" t="s">
        <v>2503</v>
      </c>
      <c r="D14653" s="108" t="s">
        <v>158</v>
      </c>
      <c r="E14653" s="58">
        <f>91455+40521</f>
        <v>131976</v>
      </c>
      <c r="F14653" s="126"/>
      <c r="G14653" s="126">
        <f t="shared" si="235"/>
        <v>-131976</v>
      </c>
      <c r="H14653" s="705" t="s">
        <v>9587</v>
      </c>
    </row>
    <row r="14654" spans="1:8" ht="15" x14ac:dyDescent="0.2">
      <c r="A14654" s="734">
        <v>45017</v>
      </c>
      <c r="B14654" s="63" t="s">
        <v>9661</v>
      </c>
      <c r="C14654" s="41" t="s">
        <v>2503</v>
      </c>
      <c r="D14654" s="108" t="s">
        <v>158</v>
      </c>
      <c r="E14654" s="58">
        <f>40000+35625</f>
        <v>75625</v>
      </c>
      <c r="F14654" s="126"/>
      <c r="G14654" s="126">
        <f t="shared" si="235"/>
        <v>-75625</v>
      </c>
      <c r="H14654" s="705" t="s">
        <v>9587</v>
      </c>
    </row>
    <row r="14655" spans="1:8" ht="15" customHeight="1" x14ac:dyDescent="0.2">
      <c r="A14655" s="734">
        <v>45017</v>
      </c>
      <c r="B14655" s="63" t="s">
        <v>3946</v>
      </c>
      <c r="C14655" s="41" t="s">
        <v>2503</v>
      </c>
      <c r="D14655" s="108" t="s">
        <v>158</v>
      </c>
      <c r="E14655" s="58">
        <v>28000</v>
      </c>
      <c r="F14655" s="126"/>
      <c r="G14655" s="126">
        <f t="shared" si="235"/>
        <v>-28000</v>
      </c>
      <c r="H14655" s="705" t="s">
        <v>9587</v>
      </c>
    </row>
    <row r="14656" spans="1:8" ht="15" x14ac:dyDescent="0.2">
      <c r="A14656" s="734">
        <v>45017</v>
      </c>
      <c r="B14656" s="63" t="s">
        <v>11</v>
      </c>
      <c r="C14656" s="41" t="s">
        <v>2503</v>
      </c>
      <c r="D14656" s="108" t="s">
        <v>158</v>
      </c>
      <c r="E14656" s="58">
        <v>5000</v>
      </c>
      <c r="F14656" s="126"/>
      <c r="G14656" s="126">
        <f t="shared" si="235"/>
        <v>-5000</v>
      </c>
      <c r="H14656" s="705" t="s">
        <v>9587</v>
      </c>
    </row>
    <row r="14657" spans="1:8" ht="15" x14ac:dyDescent="0.2">
      <c r="A14657" s="734">
        <v>45017</v>
      </c>
      <c r="B14657" s="63" t="s">
        <v>8876</v>
      </c>
      <c r="C14657" s="41" t="s">
        <v>3145</v>
      </c>
      <c r="D14657" s="108" t="s">
        <v>9579</v>
      </c>
      <c r="E14657" s="58">
        <v>3500</v>
      </c>
      <c r="F14657" s="126"/>
      <c r="G14657" s="126">
        <f t="shared" si="235"/>
        <v>-3500</v>
      </c>
      <c r="H14657" s="705" t="s">
        <v>9587</v>
      </c>
    </row>
    <row r="14658" spans="1:8" ht="15" x14ac:dyDescent="0.2">
      <c r="A14658" s="734">
        <v>45017</v>
      </c>
      <c r="B14658" s="63" t="s">
        <v>3946</v>
      </c>
      <c r="C14658" s="582" t="s">
        <v>3003</v>
      </c>
      <c r="D14658" s="893" t="s">
        <v>9659</v>
      </c>
      <c r="E14658" s="583">
        <v>30152</v>
      </c>
      <c r="F14658" s="126"/>
      <c r="G14658" s="126">
        <f t="shared" si="235"/>
        <v>-30152</v>
      </c>
      <c r="H14658" s="705" t="s">
        <v>9587</v>
      </c>
    </row>
    <row r="14659" spans="1:8" ht="15" x14ac:dyDescent="0.2">
      <c r="A14659" s="734">
        <v>45017</v>
      </c>
      <c r="B14659" s="63" t="s">
        <v>3945</v>
      </c>
      <c r="C14659" s="582" t="s">
        <v>3003</v>
      </c>
      <c r="D14659" s="893" t="s">
        <v>9659</v>
      </c>
      <c r="E14659" s="583">
        <v>32760</v>
      </c>
      <c r="F14659" s="126"/>
      <c r="G14659" s="126">
        <f t="shared" si="235"/>
        <v>-32760</v>
      </c>
      <c r="H14659" s="705" t="s">
        <v>9587</v>
      </c>
    </row>
    <row r="14660" spans="1:8" ht="15" x14ac:dyDescent="0.2">
      <c r="A14660" s="734">
        <v>45017</v>
      </c>
      <c r="B14660" s="63" t="s">
        <v>37</v>
      </c>
      <c r="C14660" s="582" t="s">
        <v>3003</v>
      </c>
      <c r="D14660" s="893" t="s">
        <v>9659</v>
      </c>
      <c r="E14660" s="583">
        <v>15560</v>
      </c>
      <c r="F14660" s="126"/>
      <c r="G14660" s="126">
        <f t="shared" si="235"/>
        <v>-15560</v>
      </c>
      <c r="H14660" s="705" t="s">
        <v>9587</v>
      </c>
    </row>
    <row r="14661" spans="1:8" ht="15" customHeight="1" x14ac:dyDescent="0.2">
      <c r="A14661" s="734">
        <v>45017</v>
      </c>
      <c r="B14661" s="63" t="s">
        <v>7067</v>
      </c>
      <c r="C14661" s="582" t="s">
        <v>3003</v>
      </c>
      <c r="D14661" s="893" t="s">
        <v>9659</v>
      </c>
      <c r="E14661" s="583">
        <v>19452</v>
      </c>
      <c r="F14661" s="126"/>
      <c r="G14661" s="126">
        <f t="shared" si="235"/>
        <v>-19452</v>
      </c>
      <c r="H14661" s="705" t="s">
        <v>9587</v>
      </c>
    </row>
    <row r="14662" spans="1:8" ht="15" customHeight="1" x14ac:dyDescent="0.2">
      <c r="A14662" s="734">
        <v>45017</v>
      </c>
      <c r="B14662" s="63" t="s">
        <v>8876</v>
      </c>
      <c r="C14662" s="41" t="s">
        <v>3145</v>
      </c>
      <c r="D14662" s="108" t="s">
        <v>9580</v>
      </c>
      <c r="E14662" s="58">
        <v>8260</v>
      </c>
      <c r="F14662" s="126"/>
      <c r="G14662" s="126">
        <f t="shared" si="235"/>
        <v>-8260</v>
      </c>
      <c r="H14662" s="705" t="s">
        <v>9587</v>
      </c>
    </row>
    <row r="14663" spans="1:8" ht="15" x14ac:dyDescent="0.2">
      <c r="A14663" s="734">
        <v>45017</v>
      </c>
      <c r="B14663" s="41" t="s">
        <v>9409</v>
      </c>
      <c r="C14663" s="41" t="s">
        <v>3145</v>
      </c>
      <c r="D14663" s="108" t="s">
        <v>4450</v>
      </c>
      <c r="E14663" s="42">
        <v>86890</v>
      </c>
      <c r="G14663" s="126">
        <f t="shared" si="235"/>
        <v>-86890</v>
      </c>
      <c r="H14663" s="705" t="s">
        <v>9587</v>
      </c>
    </row>
    <row r="14664" spans="1:8" ht="15" x14ac:dyDescent="0.2">
      <c r="A14664" s="734">
        <v>45017</v>
      </c>
      <c r="B14664" s="41" t="s">
        <v>8876</v>
      </c>
      <c r="C14664" s="41" t="s">
        <v>3145</v>
      </c>
      <c r="D14664" s="108" t="s">
        <v>4291</v>
      </c>
      <c r="E14664" s="42">
        <v>6090</v>
      </c>
      <c r="G14664" s="42">
        <f t="shared" si="235"/>
        <v>-6090</v>
      </c>
      <c r="H14664" s="705" t="s">
        <v>9587</v>
      </c>
    </row>
    <row r="14665" spans="1:8" ht="15" x14ac:dyDescent="0.2">
      <c r="A14665" s="734">
        <v>45017</v>
      </c>
      <c r="B14665" s="41" t="s">
        <v>8876</v>
      </c>
      <c r="C14665" s="41" t="s">
        <v>9303</v>
      </c>
      <c r="D14665" s="108" t="s">
        <v>9583</v>
      </c>
      <c r="E14665" s="42">
        <v>30000</v>
      </c>
      <c r="G14665" s="42">
        <f t="shared" si="235"/>
        <v>-30000</v>
      </c>
      <c r="H14665" s="705" t="s">
        <v>9587</v>
      </c>
    </row>
    <row r="14666" spans="1:8" ht="15" x14ac:dyDescent="0.2">
      <c r="A14666" s="734">
        <v>45017</v>
      </c>
      <c r="B14666" s="41" t="s">
        <v>9507</v>
      </c>
      <c r="C14666" s="41" t="s">
        <v>3145</v>
      </c>
      <c r="D14666" s="108" t="s">
        <v>9584</v>
      </c>
      <c r="E14666" s="42">
        <v>149000</v>
      </c>
      <c r="G14666" s="42">
        <f t="shared" si="235"/>
        <v>-149000</v>
      </c>
      <c r="H14666" s="705" t="s">
        <v>9587</v>
      </c>
    </row>
    <row r="14667" spans="1:8" ht="15" x14ac:dyDescent="0.2">
      <c r="A14667" s="734">
        <v>45017</v>
      </c>
      <c r="B14667" s="41" t="s">
        <v>9356</v>
      </c>
      <c r="C14667" s="41" t="s">
        <v>778</v>
      </c>
      <c r="D14667" s="108" t="s">
        <v>9588</v>
      </c>
      <c r="E14667" s="42">
        <v>13000</v>
      </c>
      <c r="G14667" s="42">
        <f t="shared" si="235"/>
        <v>-13000</v>
      </c>
      <c r="H14667" s="705" t="s">
        <v>9587</v>
      </c>
    </row>
    <row r="14668" spans="1:8" ht="15" x14ac:dyDescent="0.2">
      <c r="A14668" s="734">
        <v>45017</v>
      </c>
      <c r="B14668" s="41" t="s">
        <v>16</v>
      </c>
      <c r="C14668" s="41" t="s">
        <v>3843</v>
      </c>
      <c r="D14668" s="108" t="s">
        <v>1157</v>
      </c>
      <c r="E14668" s="42">
        <v>2000</v>
      </c>
      <c r="G14668" s="42">
        <f t="shared" si="235"/>
        <v>-2000</v>
      </c>
      <c r="H14668" s="705" t="s">
        <v>9587</v>
      </c>
    </row>
    <row r="14669" spans="1:8" ht="15" x14ac:dyDescent="0.2">
      <c r="A14669" s="734">
        <v>45017</v>
      </c>
      <c r="B14669" s="41" t="s">
        <v>16</v>
      </c>
      <c r="C14669" s="41" t="s">
        <v>9562</v>
      </c>
      <c r="D14669" s="108" t="s">
        <v>9589</v>
      </c>
      <c r="E14669" s="42">
        <v>1000</v>
      </c>
      <c r="G14669" s="42">
        <f t="shared" si="235"/>
        <v>-1000</v>
      </c>
      <c r="H14669" s="705" t="s">
        <v>9587</v>
      </c>
    </row>
    <row r="14670" spans="1:8" ht="15" x14ac:dyDescent="0.2">
      <c r="A14670" s="734">
        <v>45019</v>
      </c>
      <c r="B14670" s="41" t="s">
        <v>16</v>
      </c>
      <c r="C14670" s="41" t="s">
        <v>8377</v>
      </c>
      <c r="D14670" s="108" t="s">
        <v>9585</v>
      </c>
      <c r="E14670" s="42">
        <v>520</v>
      </c>
      <c r="G14670" s="42">
        <f t="shared" si="235"/>
        <v>-520</v>
      </c>
      <c r="H14670" s="705" t="s">
        <v>9587</v>
      </c>
    </row>
    <row r="14671" spans="1:8" ht="15" x14ac:dyDescent="0.2">
      <c r="A14671" s="734">
        <v>45019</v>
      </c>
      <c r="B14671" s="41" t="s">
        <v>8876</v>
      </c>
      <c r="C14671" s="41" t="s">
        <v>4876</v>
      </c>
      <c r="D14671" s="108" t="s">
        <v>9586</v>
      </c>
      <c r="E14671" s="42">
        <v>2000</v>
      </c>
      <c r="G14671" s="42">
        <f t="shared" si="235"/>
        <v>-2000</v>
      </c>
      <c r="H14671" s="705" t="s">
        <v>9587</v>
      </c>
    </row>
    <row r="14672" spans="1:8" ht="15" x14ac:dyDescent="0.2">
      <c r="A14672" s="734">
        <v>45019</v>
      </c>
      <c r="B14672" s="41" t="s">
        <v>8876</v>
      </c>
      <c r="C14672" s="41" t="s">
        <v>5741</v>
      </c>
      <c r="D14672" s="108" t="s">
        <v>9591</v>
      </c>
      <c r="E14672" s="42">
        <v>500</v>
      </c>
      <c r="G14672" s="42">
        <f t="shared" si="235"/>
        <v>-500</v>
      </c>
      <c r="H14672" s="705" t="s">
        <v>9587</v>
      </c>
    </row>
    <row r="14673" spans="1:8" ht="15" x14ac:dyDescent="0.2">
      <c r="A14673" s="734">
        <v>45019</v>
      </c>
      <c r="B14673" s="41" t="s">
        <v>16</v>
      </c>
      <c r="C14673" s="41" t="s">
        <v>9562</v>
      </c>
      <c r="D14673" s="108" t="s">
        <v>9590</v>
      </c>
      <c r="E14673" s="42">
        <v>1500</v>
      </c>
      <c r="G14673" s="42">
        <f t="shared" si="235"/>
        <v>-1500</v>
      </c>
      <c r="H14673" s="705" t="s">
        <v>9587</v>
      </c>
    </row>
    <row r="14674" spans="1:8" ht="15" x14ac:dyDescent="0.2">
      <c r="A14674" s="734">
        <v>45019</v>
      </c>
      <c r="B14674" s="41" t="s">
        <v>16</v>
      </c>
      <c r="C14674" s="41" t="s">
        <v>392</v>
      </c>
      <c r="D14674" s="108" t="s">
        <v>9592</v>
      </c>
      <c r="E14674" s="42">
        <v>1000</v>
      </c>
      <c r="G14674" s="42">
        <f t="shared" si="235"/>
        <v>-1000</v>
      </c>
      <c r="H14674" s="705" t="s">
        <v>9587</v>
      </c>
    </row>
    <row r="14675" spans="1:8" ht="15" x14ac:dyDescent="0.2">
      <c r="A14675" s="734">
        <v>45020</v>
      </c>
      <c r="B14675" s="41" t="s">
        <v>9507</v>
      </c>
      <c r="D14675" s="108" t="s">
        <v>9605</v>
      </c>
      <c r="E14675" s="42">
        <v>800</v>
      </c>
      <c r="G14675" s="42">
        <f t="shared" si="235"/>
        <v>-800</v>
      </c>
      <c r="H14675" s="705" t="s">
        <v>9587</v>
      </c>
    </row>
    <row r="14676" spans="1:8" ht="15" x14ac:dyDescent="0.2">
      <c r="A14676" s="734">
        <v>45020</v>
      </c>
      <c r="B14676" s="41" t="s">
        <v>16</v>
      </c>
      <c r="C14676" s="41" t="s">
        <v>3843</v>
      </c>
      <c r="D14676" s="108" t="s">
        <v>1157</v>
      </c>
      <c r="E14676" s="42">
        <v>2000</v>
      </c>
      <c r="G14676" s="42">
        <f t="shared" si="235"/>
        <v>-2000</v>
      </c>
      <c r="H14676" s="705" t="s">
        <v>9587</v>
      </c>
    </row>
    <row r="14677" spans="1:8" ht="15" x14ac:dyDescent="0.2">
      <c r="A14677" s="734">
        <v>45020</v>
      </c>
      <c r="B14677" s="41" t="s">
        <v>9409</v>
      </c>
      <c r="C14677" s="41" t="s">
        <v>1754</v>
      </c>
      <c r="D14677" s="108" t="s">
        <v>9606</v>
      </c>
      <c r="E14677" s="42">
        <v>30000</v>
      </c>
      <c r="G14677" s="42">
        <f t="shared" si="235"/>
        <v>-30000</v>
      </c>
      <c r="H14677" s="705" t="s">
        <v>9587</v>
      </c>
    </row>
    <row r="14678" spans="1:8" ht="15" x14ac:dyDescent="0.2">
      <c r="A14678" s="734">
        <v>45020</v>
      </c>
      <c r="B14678" s="41" t="s">
        <v>2933</v>
      </c>
      <c r="C14678" s="41" t="s">
        <v>392</v>
      </c>
      <c r="D14678" s="108" t="s">
        <v>8372</v>
      </c>
      <c r="E14678" s="42">
        <v>2200</v>
      </c>
      <c r="G14678" s="42">
        <f t="shared" si="235"/>
        <v>-2200</v>
      </c>
      <c r="H14678" s="705" t="s">
        <v>9587</v>
      </c>
    </row>
    <row r="14679" spans="1:8" ht="15" x14ac:dyDescent="0.2">
      <c r="A14679" s="734">
        <v>45020</v>
      </c>
      <c r="B14679" s="41" t="s">
        <v>16</v>
      </c>
      <c r="C14679" s="41" t="s">
        <v>8377</v>
      </c>
      <c r="D14679" s="108" t="s">
        <v>9585</v>
      </c>
      <c r="E14679" s="42">
        <v>300</v>
      </c>
      <c r="G14679" s="42">
        <f t="shared" si="235"/>
        <v>-300</v>
      </c>
      <c r="H14679" s="705" t="s">
        <v>9587</v>
      </c>
    </row>
    <row r="14680" spans="1:8" ht="15" x14ac:dyDescent="0.2">
      <c r="A14680" s="734">
        <v>45020</v>
      </c>
      <c r="B14680" s="41" t="s">
        <v>16</v>
      </c>
      <c r="C14680" s="41" t="s">
        <v>3364</v>
      </c>
      <c r="D14680" s="108" t="s">
        <v>4436</v>
      </c>
      <c r="E14680" s="42">
        <v>160</v>
      </c>
      <c r="G14680" s="42">
        <f t="shared" si="235"/>
        <v>-160</v>
      </c>
      <c r="H14680" s="705" t="s">
        <v>9587</v>
      </c>
    </row>
    <row r="14681" spans="1:8" ht="15" x14ac:dyDescent="0.2">
      <c r="A14681" s="734">
        <v>45020</v>
      </c>
      <c r="B14681" s="41" t="s">
        <v>8657</v>
      </c>
      <c r="C14681" s="41" t="s">
        <v>5741</v>
      </c>
      <c r="D14681" s="108" t="s">
        <v>9607</v>
      </c>
      <c r="E14681" s="42">
        <v>1600</v>
      </c>
      <c r="G14681" s="42">
        <f t="shared" si="235"/>
        <v>-1600</v>
      </c>
      <c r="H14681" s="705" t="s">
        <v>9587</v>
      </c>
    </row>
    <row r="14682" spans="1:8" ht="15" x14ac:dyDescent="0.2">
      <c r="A14682" s="734">
        <v>45020</v>
      </c>
      <c r="B14682" s="41" t="s">
        <v>16</v>
      </c>
      <c r="C14682" s="41" t="s">
        <v>9562</v>
      </c>
      <c r="D14682" s="108" t="s">
        <v>9608</v>
      </c>
      <c r="E14682" s="42">
        <v>1000</v>
      </c>
      <c r="G14682" s="42">
        <f t="shared" si="235"/>
        <v>-1000</v>
      </c>
      <c r="H14682" s="705" t="s">
        <v>9587</v>
      </c>
    </row>
    <row r="14683" spans="1:8" ht="15" x14ac:dyDescent="0.2">
      <c r="A14683" s="734">
        <v>45020</v>
      </c>
      <c r="B14683" s="41" t="s">
        <v>16</v>
      </c>
      <c r="C14683" s="41" t="s">
        <v>392</v>
      </c>
      <c r="D14683" s="108" t="s">
        <v>9609</v>
      </c>
      <c r="E14683" s="42">
        <v>360</v>
      </c>
      <c r="G14683" s="42">
        <f t="shared" si="235"/>
        <v>-360</v>
      </c>
      <c r="H14683" s="705" t="s">
        <v>9587</v>
      </c>
    </row>
    <row r="14684" spans="1:8" ht="15" x14ac:dyDescent="0.2">
      <c r="A14684" s="734">
        <v>45020</v>
      </c>
      <c r="B14684" s="41" t="s">
        <v>9402</v>
      </c>
      <c r="C14684" s="41" t="s">
        <v>392</v>
      </c>
      <c r="D14684" s="108" t="s">
        <v>8936</v>
      </c>
      <c r="E14684" s="42">
        <v>750</v>
      </c>
      <c r="G14684" s="42">
        <f t="shared" si="235"/>
        <v>-750</v>
      </c>
      <c r="H14684" s="705" t="s">
        <v>9587</v>
      </c>
    </row>
    <row r="14685" spans="1:8" ht="15" x14ac:dyDescent="0.2">
      <c r="A14685" s="734">
        <v>45020</v>
      </c>
      <c r="B14685" s="41" t="s">
        <v>16</v>
      </c>
      <c r="C14685" s="41" t="s">
        <v>1495</v>
      </c>
      <c r="D14685" s="108" t="s">
        <v>9610</v>
      </c>
      <c r="E14685" s="42">
        <v>1400</v>
      </c>
      <c r="G14685" s="42">
        <f t="shared" si="235"/>
        <v>-1400</v>
      </c>
      <c r="H14685" s="705" t="s">
        <v>9587</v>
      </c>
    </row>
    <row r="14686" spans="1:8" ht="15" x14ac:dyDescent="0.2">
      <c r="A14686" s="734">
        <v>45020</v>
      </c>
      <c r="B14686" s="41" t="s">
        <v>16</v>
      </c>
      <c r="C14686" s="41" t="s">
        <v>103</v>
      </c>
      <c r="D14686" s="108" t="s">
        <v>9611</v>
      </c>
      <c r="E14686" s="42">
        <v>300</v>
      </c>
      <c r="G14686" s="42">
        <f t="shared" si="235"/>
        <v>-300</v>
      </c>
      <c r="H14686" s="705" t="s">
        <v>9587</v>
      </c>
    </row>
    <row r="14687" spans="1:8" ht="15" x14ac:dyDescent="0.2">
      <c r="A14687" s="734">
        <v>45020</v>
      </c>
      <c r="B14687" s="41" t="s">
        <v>9402</v>
      </c>
      <c r="C14687" s="41" t="s">
        <v>5741</v>
      </c>
      <c r="D14687" s="108" t="s">
        <v>9612</v>
      </c>
      <c r="E14687" s="42">
        <v>300</v>
      </c>
      <c r="G14687" s="42">
        <f t="shared" si="235"/>
        <v>-300</v>
      </c>
      <c r="H14687" s="705" t="s">
        <v>9587</v>
      </c>
    </row>
    <row r="14688" spans="1:8" ht="15" x14ac:dyDescent="0.2">
      <c r="A14688" s="734">
        <v>45020</v>
      </c>
      <c r="B14688" s="41" t="s">
        <v>37</v>
      </c>
      <c r="C14688" s="41" t="s">
        <v>392</v>
      </c>
      <c r="D14688" s="108" t="s">
        <v>9613</v>
      </c>
      <c r="E14688" s="42">
        <v>3000</v>
      </c>
      <c r="G14688" s="42">
        <f t="shared" si="235"/>
        <v>-3000</v>
      </c>
      <c r="H14688" s="705" t="s">
        <v>9587</v>
      </c>
    </row>
    <row r="14689" spans="1:8" ht="15" x14ac:dyDescent="0.2">
      <c r="A14689" s="734">
        <v>45020</v>
      </c>
      <c r="B14689" s="41" t="s">
        <v>9507</v>
      </c>
      <c r="C14689" s="41" t="s">
        <v>3145</v>
      </c>
      <c r="D14689" s="108" t="s">
        <v>392</v>
      </c>
      <c r="E14689" s="42">
        <v>990</v>
      </c>
      <c r="G14689" s="42">
        <f t="shared" si="235"/>
        <v>-990</v>
      </c>
      <c r="H14689" s="705" t="s">
        <v>9587</v>
      </c>
    </row>
    <row r="14690" spans="1:8" ht="15" x14ac:dyDescent="0.2">
      <c r="A14690" s="734">
        <v>45021</v>
      </c>
      <c r="B14690" s="41" t="s">
        <v>9507</v>
      </c>
      <c r="C14690" s="41" t="s">
        <v>6967</v>
      </c>
      <c r="D14690" s="108" t="s">
        <v>9525</v>
      </c>
      <c r="E14690" s="42">
        <v>5000</v>
      </c>
      <c r="G14690" s="42">
        <f t="shared" si="235"/>
        <v>-5000</v>
      </c>
      <c r="H14690" s="705" t="s">
        <v>9587</v>
      </c>
    </row>
    <row r="14691" spans="1:8" ht="15" x14ac:dyDescent="0.2">
      <c r="A14691" s="734">
        <v>45021</v>
      </c>
      <c r="B14691" s="41" t="s">
        <v>16</v>
      </c>
      <c r="C14691" s="41" t="s">
        <v>3843</v>
      </c>
      <c r="D14691" s="108" t="s">
        <v>1157</v>
      </c>
      <c r="E14691" s="42">
        <v>3000</v>
      </c>
      <c r="G14691" s="42">
        <f t="shared" si="235"/>
        <v>-3000</v>
      </c>
      <c r="H14691" s="705" t="s">
        <v>9587</v>
      </c>
    </row>
    <row r="14692" spans="1:8" ht="15" x14ac:dyDescent="0.2">
      <c r="A14692" s="734">
        <v>45021</v>
      </c>
      <c r="B14692" s="41" t="s">
        <v>9507</v>
      </c>
      <c r="C14692" s="41" t="s">
        <v>5741</v>
      </c>
      <c r="D14692" s="108" t="s">
        <v>9524</v>
      </c>
      <c r="E14692" s="42">
        <v>900</v>
      </c>
      <c r="G14692" s="42">
        <f t="shared" si="235"/>
        <v>-900</v>
      </c>
      <c r="H14692" s="705" t="s">
        <v>9587</v>
      </c>
    </row>
    <row r="14693" spans="1:8" ht="15" x14ac:dyDescent="0.2">
      <c r="A14693" s="734">
        <v>45021</v>
      </c>
      <c r="B14693" s="41" t="s">
        <v>9409</v>
      </c>
      <c r="C14693" s="41" t="s">
        <v>9562</v>
      </c>
      <c r="D14693" s="108" t="s">
        <v>9614</v>
      </c>
      <c r="E14693" s="42">
        <v>3000</v>
      </c>
      <c r="G14693" s="42">
        <f t="shared" si="235"/>
        <v>-3000</v>
      </c>
      <c r="H14693" s="705" t="s">
        <v>9587</v>
      </c>
    </row>
    <row r="14694" spans="1:8" ht="15" x14ac:dyDescent="0.2">
      <c r="A14694" s="734">
        <v>45021</v>
      </c>
      <c r="B14694" s="41" t="s">
        <v>8876</v>
      </c>
      <c r="C14694" s="41" t="s">
        <v>286</v>
      </c>
      <c r="D14694" s="108" t="s">
        <v>9615</v>
      </c>
      <c r="E14694" s="42">
        <v>1250</v>
      </c>
      <c r="G14694" s="42">
        <f t="shared" si="235"/>
        <v>-1250</v>
      </c>
      <c r="H14694" s="705" t="s">
        <v>9587</v>
      </c>
    </row>
    <row r="14695" spans="1:8" ht="15" x14ac:dyDescent="0.2">
      <c r="A14695" s="734">
        <v>45022</v>
      </c>
      <c r="B14695" s="41" t="s">
        <v>8876</v>
      </c>
      <c r="C14695" s="41" t="s">
        <v>392</v>
      </c>
      <c r="D14695" s="108" t="s">
        <v>9617</v>
      </c>
      <c r="E14695" s="42">
        <v>2900</v>
      </c>
      <c r="G14695" s="42">
        <f t="shared" si="235"/>
        <v>-2900</v>
      </c>
      <c r="H14695" s="705" t="s">
        <v>9587</v>
      </c>
    </row>
    <row r="14696" spans="1:8" ht="15" x14ac:dyDescent="0.2">
      <c r="A14696" s="734">
        <v>45022</v>
      </c>
      <c r="B14696" s="41" t="s">
        <v>9409</v>
      </c>
      <c r="C14696" s="41" t="s">
        <v>9624</v>
      </c>
      <c r="D14696" s="108" t="s">
        <v>9625</v>
      </c>
      <c r="E14696" s="42">
        <v>150000</v>
      </c>
      <c r="G14696" s="42">
        <f t="shared" si="235"/>
        <v>-150000</v>
      </c>
      <c r="H14696" s="705" t="s">
        <v>9587</v>
      </c>
    </row>
    <row r="14697" spans="1:8" ht="15" x14ac:dyDescent="0.2">
      <c r="A14697" s="734">
        <v>45022</v>
      </c>
      <c r="B14697" s="41" t="s">
        <v>16</v>
      </c>
      <c r="C14697" s="41" t="s">
        <v>8377</v>
      </c>
      <c r="D14697" s="108" t="s">
        <v>9616</v>
      </c>
      <c r="E14697" s="42">
        <v>700</v>
      </c>
      <c r="G14697" s="42">
        <f t="shared" si="235"/>
        <v>-700</v>
      </c>
      <c r="H14697" s="705" t="s">
        <v>9587</v>
      </c>
    </row>
    <row r="14698" spans="1:8" ht="15" x14ac:dyDescent="0.2">
      <c r="A14698" s="734">
        <v>45022</v>
      </c>
      <c r="B14698" s="41" t="s">
        <v>9356</v>
      </c>
      <c r="C14698" s="41" t="s">
        <v>392</v>
      </c>
      <c r="D14698" s="108" t="s">
        <v>9618</v>
      </c>
      <c r="E14698" s="42">
        <v>250</v>
      </c>
      <c r="G14698" s="42">
        <f t="shared" si="235"/>
        <v>-250</v>
      </c>
      <c r="H14698" s="705" t="s">
        <v>9587</v>
      </c>
    </row>
    <row r="14699" spans="1:8" ht="15" x14ac:dyDescent="0.2">
      <c r="A14699" s="734">
        <v>45022</v>
      </c>
      <c r="B14699" s="41" t="s">
        <v>16</v>
      </c>
      <c r="C14699" s="41" t="s">
        <v>3843</v>
      </c>
      <c r="D14699" s="108" t="s">
        <v>1157</v>
      </c>
      <c r="E14699" s="42">
        <v>2000</v>
      </c>
      <c r="G14699" s="42">
        <f t="shared" si="235"/>
        <v>-2000</v>
      </c>
      <c r="H14699" s="705" t="s">
        <v>9587</v>
      </c>
    </row>
    <row r="14700" spans="1:8" ht="15" x14ac:dyDescent="0.2">
      <c r="A14700" s="734">
        <v>45024</v>
      </c>
      <c r="B14700" s="41" t="s">
        <v>9409</v>
      </c>
      <c r="C14700" s="41" t="s">
        <v>3145</v>
      </c>
      <c r="D14700" s="108" t="s">
        <v>9619</v>
      </c>
      <c r="E14700" s="42">
        <v>10000</v>
      </c>
      <c r="G14700" s="42">
        <f t="shared" si="235"/>
        <v>-10000</v>
      </c>
      <c r="H14700" s="705" t="s">
        <v>9587</v>
      </c>
    </row>
    <row r="14701" spans="1:8" ht="15" x14ac:dyDescent="0.2">
      <c r="A14701" s="734">
        <v>45024</v>
      </c>
      <c r="B14701" s="41" t="s">
        <v>8876</v>
      </c>
      <c r="C14701" s="41" t="s">
        <v>286</v>
      </c>
      <c r="D14701" s="108" t="s">
        <v>3629</v>
      </c>
      <c r="E14701" s="42">
        <v>1500</v>
      </c>
      <c r="G14701" s="42">
        <f t="shared" si="235"/>
        <v>-1500</v>
      </c>
      <c r="H14701" s="705" t="s">
        <v>9587</v>
      </c>
    </row>
    <row r="14702" spans="1:8" ht="15" x14ac:dyDescent="0.2">
      <c r="A14702" s="734">
        <v>45024</v>
      </c>
      <c r="B14702" s="41" t="s">
        <v>8657</v>
      </c>
      <c r="C14702" s="41" t="s">
        <v>3145</v>
      </c>
      <c r="D14702" s="108" t="s">
        <v>9620</v>
      </c>
      <c r="E14702" s="42">
        <v>22500</v>
      </c>
      <c r="G14702" s="42">
        <f t="shared" si="235"/>
        <v>-22500</v>
      </c>
      <c r="H14702" s="705" t="s">
        <v>9587</v>
      </c>
    </row>
    <row r="14703" spans="1:8" ht="15" x14ac:dyDescent="0.2">
      <c r="A14703" s="734">
        <v>45026</v>
      </c>
      <c r="B14703" s="41" t="s">
        <v>9409</v>
      </c>
      <c r="C14703" s="41" t="s">
        <v>3145</v>
      </c>
      <c r="D14703" s="108" t="s">
        <v>3588</v>
      </c>
      <c r="E14703" s="42">
        <v>75100</v>
      </c>
      <c r="G14703" s="42">
        <f t="shared" si="235"/>
        <v>-75100</v>
      </c>
      <c r="H14703" s="705" t="s">
        <v>9587</v>
      </c>
    </row>
    <row r="14704" spans="1:8" ht="15" x14ac:dyDescent="0.2">
      <c r="A14704" s="734">
        <v>45026</v>
      </c>
      <c r="B14704" s="41" t="s">
        <v>16</v>
      </c>
      <c r="C14704" s="41" t="s">
        <v>9562</v>
      </c>
      <c r="D14704" s="108" t="s">
        <v>9621</v>
      </c>
      <c r="E14704" s="42">
        <v>1000</v>
      </c>
      <c r="G14704" s="42">
        <f t="shared" si="235"/>
        <v>-1000</v>
      </c>
      <c r="H14704" s="705" t="s">
        <v>9587</v>
      </c>
    </row>
    <row r="14705" spans="1:8" ht="15" x14ac:dyDescent="0.2">
      <c r="A14705" s="734">
        <v>45026</v>
      </c>
      <c r="B14705" s="41" t="s">
        <v>16</v>
      </c>
      <c r="C14705" s="41" t="s">
        <v>103</v>
      </c>
      <c r="D14705" s="108" t="s">
        <v>9622</v>
      </c>
      <c r="E14705" s="42">
        <v>1990</v>
      </c>
      <c r="G14705" s="42">
        <f t="shared" si="235"/>
        <v>-1990</v>
      </c>
      <c r="H14705" s="705" t="s">
        <v>9587</v>
      </c>
    </row>
    <row r="14706" spans="1:8" ht="15" x14ac:dyDescent="0.2">
      <c r="A14706" s="734">
        <v>45026</v>
      </c>
      <c r="B14706" s="41" t="s">
        <v>9409</v>
      </c>
      <c r="C14706" s="41" t="s">
        <v>6967</v>
      </c>
      <c r="D14706" s="108" t="s">
        <v>9623</v>
      </c>
      <c r="E14706" s="42">
        <v>5000</v>
      </c>
      <c r="G14706" s="42">
        <f t="shared" si="235"/>
        <v>-5000</v>
      </c>
      <c r="H14706" s="705" t="s">
        <v>9587</v>
      </c>
    </row>
    <row r="14707" spans="1:8" ht="15" x14ac:dyDescent="0.2">
      <c r="A14707" s="734">
        <v>45026</v>
      </c>
      <c r="B14707" s="41" t="s">
        <v>16</v>
      </c>
      <c r="C14707" s="41" t="s">
        <v>9562</v>
      </c>
      <c r="D14707" s="108" t="s">
        <v>9626</v>
      </c>
      <c r="E14707" s="42">
        <v>500</v>
      </c>
      <c r="G14707" s="42">
        <f t="shared" ref="G14707:G14770" si="236">F14707-E14707</f>
        <v>-500</v>
      </c>
      <c r="H14707" s="705" t="s">
        <v>9587</v>
      </c>
    </row>
    <row r="14708" spans="1:8" ht="15" x14ac:dyDescent="0.2">
      <c r="A14708" s="734">
        <v>45026</v>
      </c>
      <c r="B14708" s="41" t="s">
        <v>9507</v>
      </c>
      <c r="C14708" s="41" t="s">
        <v>9629</v>
      </c>
      <c r="D14708" s="108" t="s">
        <v>9627</v>
      </c>
      <c r="E14708" s="42">
        <v>2250</v>
      </c>
      <c r="G14708" s="42">
        <f t="shared" si="236"/>
        <v>-2250</v>
      </c>
      <c r="H14708" s="705" t="s">
        <v>9587</v>
      </c>
    </row>
    <row r="14709" spans="1:8" ht="15" x14ac:dyDescent="0.2">
      <c r="A14709" s="734">
        <v>45026</v>
      </c>
      <c r="B14709" s="41" t="s">
        <v>16</v>
      </c>
      <c r="C14709" s="41" t="s">
        <v>286</v>
      </c>
      <c r="D14709" s="108" t="s">
        <v>9628</v>
      </c>
      <c r="E14709" s="42">
        <v>100</v>
      </c>
      <c r="G14709" s="42">
        <f t="shared" si="236"/>
        <v>-100</v>
      </c>
      <c r="H14709" s="705" t="s">
        <v>9587</v>
      </c>
    </row>
    <row r="14710" spans="1:8" ht="15" x14ac:dyDescent="0.2">
      <c r="A14710" s="734">
        <v>45026</v>
      </c>
      <c r="B14710" s="41" t="s">
        <v>16</v>
      </c>
      <c r="C14710" s="41" t="s">
        <v>8150</v>
      </c>
      <c r="D14710" s="108" t="s">
        <v>9270</v>
      </c>
      <c r="E14710" s="42">
        <v>300</v>
      </c>
      <c r="G14710" s="42">
        <f t="shared" si="236"/>
        <v>-300</v>
      </c>
      <c r="H14710" s="705" t="s">
        <v>9587</v>
      </c>
    </row>
    <row r="14711" spans="1:8" ht="15" x14ac:dyDescent="0.2">
      <c r="A14711" s="734">
        <v>45026</v>
      </c>
      <c r="B14711" s="41" t="s">
        <v>25</v>
      </c>
      <c r="C14711" s="41" t="s">
        <v>8150</v>
      </c>
      <c r="D14711" s="108" t="s">
        <v>9270</v>
      </c>
      <c r="E14711" s="42">
        <v>560</v>
      </c>
      <c r="G14711" s="42">
        <f t="shared" si="236"/>
        <v>-560</v>
      </c>
      <c r="H14711" s="705" t="s">
        <v>9587</v>
      </c>
    </row>
    <row r="14712" spans="1:8" ht="15" x14ac:dyDescent="0.2">
      <c r="A14712" s="734">
        <v>45026</v>
      </c>
      <c r="B14712" s="41" t="s">
        <v>16</v>
      </c>
      <c r="C14712" s="41" t="s">
        <v>8377</v>
      </c>
      <c r="D14712" s="108" t="s">
        <v>9622</v>
      </c>
      <c r="E14712" s="42">
        <v>1450</v>
      </c>
      <c r="G14712" s="42">
        <f t="shared" si="236"/>
        <v>-1450</v>
      </c>
      <c r="H14712" s="705" t="s">
        <v>9587</v>
      </c>
    </row>
    <row r="14713" spans="1:8" ht="15" x14ac:dyDescent="0.2">
      <c r="A14713" s="734">
        <v>45026</v>
      </c>
      <c r="B14713" s="41" t="s">
        <v>2933</v>
      </c>
      <c r="C14713" s="41" t="s">
        <v>286</v>
      </c>
      <c r="D14713" s="108" t="s">
        <v>9632</v>
      </c>
      <c r="E14713" s="42">
        <v>700</v>
      </c>
      <c r="G14713" s="42">
        <f t="shared" si="236"/>
        <v>-700</v>
      </c>
      <c r="H14713" s="705" t="s">
        <v>9587</v>
      </c>
    </row>
    <row r="14714" spans="1:8" ht="15" x14ac:dyDescent="0.2">
      <c r="A14714" s="734">
        <v>45026</v>
      </c>
      <c r="B14714" s="41" t="s">
        <v>16</v>
      </c>
      <c r="C14714" s="41" t="s">
        <v>8377</v>
      </c>
      <c r="D14714" s="108" t="s">
        <v>9630</v>
      </c>
      <c r="E14714" s="42">
        <v>400</v>
      </c>
      <c r="G14714" s="42">
        <f t="shared" si="236"/>
        <v>-400</v>
      </c>
      <c r="H14714" s="705" t="s">
        <v>9587</v>
      </c>
    </row>
    <row r="14715" spans="1:8" ht="15" x14ac:dyDescent="0.2">
      <c r="A14715" s="734">
        <v>45026</v>
      </c>
      <c r="B14715" s="41" t="s">
        <v>8043</v>
      </c>
      <c r="C14715" s="41" t="s">
        <v>6967</v>
      </c>
      <c r="D14715" s="108" t="s">
        <v>9631</v>
      </c>
      <c r="E14715" s="42">
        <v>6000</v>
      </c>
      <c r="G14715" s="42">
        <f t="shared" si="236"/>
        <v>-6000</v>
      </c>
      <c r="H14715" s="705" t="s">
        <v>9587</v>
      </c>
    </row>
    <row r="14716" spans="1:8" ht="15" x14ac:dyDescent="0.2">
      <c r="A14716" s="734">
        <v>45027</v>
      </c>
      <c r="B14716" s="41" t="s">
        <v>8043</v>
      </c>
      <c r="C14716" s="582" t="s">
        <v>7223</v>
      </c>
      <c r="D14716" s="893" t="s">
        <v>9633</v>
      </c>
      <c r="E14716" s="583">
        <v>94550</v>
      </c>
      <c r="G14716" s="42">
        <f t="shared" si="236"/>
        <v>-94550</v>
      </c>
      <c r="H14716" s="705" t="s">
        <v>9587</v>
      </c>
    </row>
    <row r="14717" spans="1:8" ht="15" x14ac:dyDescent="0.2">
      <c r="A14717" s="734">
        <v>45027</v>
      </c>
      <c r="B14717" s="41" t="s">
        <v>8339</v>
      </c>
      <c r="C14717" s="582" t="s">
        <v>7223</v>
      </c>
      <c r="D14717" s="893" t="s">
        <v>9633</v>
      </c>
      <c r="E14717" s="583">
        <v>20624</v>
      </c>
      <c r="G14717" s="42">
        <f t="shared" si="236"/>
        <v>-20624</v>
      </c>
      <c r="H14717" s="705" t="s">
        <v>9587</v>
      </c>
    </row>
    <row r="14718" spans="1:8" ht="15" x14ac:dyDescent="0.2">
      <c r="A14718" s="734">
        <v>45027</v>
      </c>
      <c r="B14718" s="41" t="s">
        <v>8876</v>
      </c>
      <c r="C14718" s="582" t="s">
        <v>7223</v>
      </c>
      <c r="D14718" s="893" t="s">
        <v>9633</v>
      </c>
      <c r="E14718" s="583">
        <v>34826</v>
      </c>
      <c r="G14718" s="42">
        <f t="shared" si="236"/>
        <v>-34826</v>
      </c>
      <c r="H14718" s="705" t="s">
        <v>9587</v>
      </c>
    </row>
    <row r="14719" spans="1:8" ht="15" x14ac:dyDescent="0.2">
      <c r="A14719" s="734">
        <v>45027</v>
      </c>
      <c r="B14719" s="41" t="s">
        <v>8657</v>
      </c>
      <c r="C14719" s="41" t="s">
        <v>8394</v>
      </c>
      <c r="D14719" s="108" t="s">
        <v>9007</v>
      </c>
      <c r="E14719" s="42">
        <v>300000</v>
      </c>
      <c r="G14719" s="42">
        <f t="shared" si="236"/>
        <v>-300000</v>
      </c>
      <c r="H14719" s="705" t="s">
        <v>9587</v>
      </c>
    </row>
    <row r="14720" spans="1:8" ht="15" x14ac:dyDescent="0.2">
      <c r="A14720" s="734">
        <v>45027</v>
      </c>
      <c r="B14720" s="41" t="s">
        <v>6505</v>
      </c>
      <c r="C14720" s="41" t="s">
        <v>6852</v>
      </c>
      <c r="D14720" s="108" t="s">
        <v>1157</v>
      </c>
      <c r="E14720" s="42">
        <v>7000</v>
      </c>
      <c r="G14720" s="42">
        <f t="shared" si="236"/>
        <v>-7000</v>
      </c>
      <c r="H14720" s="705" t="s">
        <v>9587</v>
      </c>
    </row>
    <row r="14721" spans="1:8" ht="15" x14ac:dyDescent="0.2">
      <c r="A14721" s="734">
        <v>45027</v>
      </c>
      <c r="B14721" s="41" t="s">
        <v>16</v>
      </c>
      <c r="C14721" s="41" t="s">
        <v>3843</v>
      </c>
      <c r="D14721" s="108" t="s">
        <v>2711</v>
      </c>
      <c r="E14721" s="42">
        <v>2000</v>
      </c>
      <c r="G14721" s="42">
        <f t="shared" si="236"/>
        <v>-2000</v>
      </c>
      <c r="H14721" s="705" t="s">
        <v>9587</v>
      </c>
    </row>
    <row r="14722" spans="1:8" ht="15" x14ac:dyDescent="0.2">
      <c r="A14722" s="734">
        <v>45027</v>
      </c>
      <c r="B14722" s="41" t="s">
        <v>8876</v>
      </c>
      <c r="C14722" s="41" t="s">
        <v>286</v>
      </c>
      <c r="D14722" s="108" t="s">
        <v>9628</v>
      </c>
      <c r="E14722" s="42">
        <v>250</v>
      </c>
      <c r="G14722" s="42">
        <f t="shared" si="236"/>
        <v>-250</v>
      </c>
      <c r="H14722" s="705" t="s">
        <v>9587</v>
      </c>
    </row>
    <row r="14723" spans="1:8" ht="15" x14ac:dyDescent="0.2">
      <c r="A14723" s="734">
        <v>45027</v>
      </c>
      <c r="B14723" s="41" t="s">
        <v>16</v>
      </c>
      <c r="C14723" s="41" t="s">
        <v>286</v>
      </c>
      <c r="D14723" s="108" t="s">
        <v>9635</v>
      </c>
      <c r="E14723" s="42">
        <v>1000</v>
      </c>
      <c r="G14723" s="42">
        <f t="shared" si="236"/>
        <v>-1000</v>
      </c>
      <c r="H14723" s="705" t="s">
        <v>9587</v>
      </c>
    </row>
    <row r="14724" spans="1:8" ht="15" x14ac:dyDescent="0.2">
      <c r="A14724" s="734">
        <v>45027</v>
      </c>
      <c r="B14724" s="41" t="s">
        <v>8876</v>
      </c>
      <c r="C14724" s="41" t="s">
        <v>286</v>
      </c>
      <c r="D14724" s="108" t="s">
        <v>8163</v>
      </c>
      <c r="E14724" s="42">
        <v>300</v>
      </c>
      <c r="G14724" s="42">
        <f t="shared" si="236"/>
        <v>-300</v>
      </c>
      <c r="H14724" s="705" t="s">
        <v>9587</v>
      </c>
    </row>
    <row r="14725" spans="1:8" ht="15" x14ac:dyDescent="0.2">
      <c r="A14725" s="734">
        <v>45027</v>
      </c>
      <c r="B14725" s="41" t="s">
        <v>16</v>
      </c>
      <c r="C14725" s="41" t="s">
        <v>3843</v>
      </c>
      <c r="D14725" s="108" t="s">
        <v>1157</v>
      </c>
      <c r="E14725" s="42">
        <v>2000</v>
      </c>
      <c r="G14725" s="42">
        <f t="shared" si="236"/>
        <v>-2000</v>
      </c>
      <c r="H14725" s="705" t="s">
        <v>9587</v>
      </c>
    </row>
    <row r="14726" spans="1:8" ht="15" x14ac:dyDescent="0.2">
      <c r="A14726" s="734">
        <v>45028</v>
      </c>
      <c r="B14726" s="41" t="s">
        <v>8876</v>
      </c>
      <c r="C14726" s="41" t="s">
        <v>7477</v>
      </c>
      <c r="D14726" s="108" t="s">
        <v>9634</v>
      </c>
      <c r="E14726" s="42">
        <v>50000</v>
      </c>
      <c r="G14726" s="42">
        <f t="shared" si="236"/>
        <v>-50000</v>
      </c>
      <c r="H14726" s="705" t="s">
        <v>9587</v>
      </c>
    </row>
    <row r="14727" spans="1:8" ht="15" x14ac:dyDescent="0.2">
      <c r="A14727" s="734">
        <v>45028</v>
      </c>
      <c r="B14727" s="41" t="s">
        <v>8876</v>
      </c>
      <c r="C14727" s="41" t="s">
        <v>5741</v>
      </c>
      <c r="D14727" s="108" t="s">
        <v>9524</v>
      </c>
      <c r="E14727" s="42">
        <v>400</v>
      </c>
      <c r="G14727" s="42">
        <f t="shared" si="236"/>
        <v>-400</v>
      </c>
      <c r="H14727" s="705" t="s">
        <v>9587</v>
      </c>
    </row>
    <row r="14728" spans="1:8" ht="15" x14ac:dyDescent="0.2">
      <c r="A14728" s="734">
        <v>45028</v>
      </c>
      <c r="B14728" s="41" t="s">
        <v>8657</v>
      </c>
      <c r="C14728" s="41" t="s">
        <v>5741</v>
      </c>
      <c r="D14728" s="108" t="s">
        <v>9524</v>
      </c>
      <c r="E14728" s="42">
        <v>900</v>
      </c>
      <c r="G14728" s="42">
        <f t="shared" si="236"/>
        <v>-900</v>
      </c>
      <c r="H14728" s="705" t="s">
        <v>9587</v>
      </c>
    </row>
    <row r="14729" spans="1:8" ht="15" x14ac:dyDescent="0.2">
      <c r="A14729" s="734">
        <v>45028</v>
      </c>
      <c r="B14729" s="41" t="s">
        <v>9661</v>
      </c>
      <c r="C14729" s="41" t="s">
        <v>3145</v>
      </c>
      <c r="D14729" s="108" t="s">
        <v>9662</v>
      </c>
      <c r="E14729" s="42">
        <v>18030</v>
      </c>
      <c r="G14729" s="42">
        <f t="shared" si="236"/>
        <v>-18030</v>
      </c>
      <c r="H14729" s="705" t="s">
        <v>9587</v>
      </c>
    </row>
    <row r="14730" spans="1:8" ht="15" x14ac:dyDescent="0.2">
      <c r="A14730" s="734">
        <v>45029</v>
      </c>
      <c r="B14730" s="41" t="s">
        <v>8876</v>
      </c>
      <c r="C14730" s="41" t="s">
        <v>3145</v>
      </c>
      <c r="D14730" s="108" t="s">
        <v>9663</v>
      </c>
      <c r="E14730" s="42">
        <v>50000</v>
      </c>
      <c r="G14730" s="42">
        <f t="shared" si="236"/>
        <v>-50000</v>
      </c>
      <c r="H14730" s="705" t="s">
        <v>9587</v>
      </c>
    </row>
    <row r="14731" spans="1:8" ht="15" x14ac:dyDescent="0.2">
      <c r="A14731" s="734">
        <v>45029</v>
      </c>
      <c r="B14731" s="41" t="s">
        <v>9356</v>
      </c>
      <c r="C14731" s="41" t="s">
        <v>9460</v>
      </c>
      <c r="D14731" s="108" t="s">
        <v>9665</v>
      </c>
      <c r="E14731" s="42">
        <v>50000</v>
      </c>
      <c r="G14731" s="42">
        <f t="shared" si="236"/>
        <v>-50000</v>
      </c>
      <c r="H14731" s="705" t="s">
        <v>9587</v>
      </c>
    </row>
    <row r="14732" spans="1:8" ht="15" x14ac:dyDescent="0.2">
      <c r="A14732" s="734">
        <v>45029</v>
      </c>
      <c r="B14732" s="41" t="s">
        <v>1400</v>
      </c>
      <c r="C14732" s="41" t="s">
        <v>3145</v>
      </c>
      <c r="D14732" s="108" t="s">
        <v>9664</v>
      </c>
      <c r="E14732" s="42">
        <v>50000</v>
      </c>
      <c r="G14732" s="42">
        <f t="shared" si="236"/>
        <v>-50000</v>
      </c>
      <c r="H14732" s="705" t="s">
        <v>9587</v>
      </c>
    </row>
    <row r="14733" spans="1:8" ht="15" x14ac:dyDescent="0.2">
      <c r="A14733" s="734">
        <v>45029</v>
      </c>
      <c r="B14733" s="41" t="s">
        <v>8876</v>
      </c>
      <c r="C14733" s="41" t="s">
        <v>286</v>
      </c>
      <c r="D14733" s="108" t="s">
        <v>2431</v>
      </c>
      <c r="E14733" s="42">
        <v>200</v>
      </c>
      <c r="G14733" s="42">
        <f t="shared" si="236"/>
        <v>-200</v>
      </c>
      <c r="H14733" s="705" t="s">
        <v>9587</v>
      </c>
    </row>
    <row r="14734" spans="1:8" ht="15" x14ac:dyDescent="0.2">
      <c r="A14734" s="734">
        <v>45029</v>
      </c>
      <c r="B14734" s="41" t="s">
        <v>25</v>
      </c>
      <c r="C14734" s="41" t="s">
        <v>8150</v>
      </c>
      <c r="D14734" s="108" t="s">
        <v>6343</v>
      </c>
      <c r="E14734" s="42">
        <v>5200</v>
      </c>
      <c r="G14734" s="42">
        <f t="shared" si="236"/>
        <v>-5200</v>
      </c>
      <c r="H14734" s="705" t="s">
        <v>9587</v>
      </c>
    </row>
    <row r="14735" spans="1:8" ht="15" x14ac:dyDescent="0.2">
      <c r="A14735" s="734">
        <v>45029</v>
      </c>
      <c r="B14735" s="41" t="s">
        <v>16</v>
      </c>
      <c r="C14735" s="41" t="s">
        <v>8150</v>
      </c>
      <c r="D14735" s="108" t="s">
        <v>6343</v>
      </c>
      <c r="E14735" s="42">
        <v>1970</v>
      </c>
      <c r="G14735" s="42">
        <f t="shared" si="236"/>
        <v>-1970</v>
      </c>
      <c r="H14735" s="705" t="s">
        <v>9587</v>
      </c>
    </row>
    <row r="14736" spans="1:8" ht="15" x14ac:dyDescent="0.2">
      <c r="A14736" s="734">
        <v>45029</v>
      </c>
      <c r="B14736" s="41" t="s">
        <v>9409</v>
      </c>
      <c r="C14736" s="41" t="s">
        <v>9474</v>
      </c>
      <c r="D14736" s="108" t="s">
        <v>9666</v>
      </c>
      <c r="E14736" s="42">
        <v>40000</v>
      </c>
      <c r="G14736" s="42">
        <f t="shared" si="236"/>
        <v>-40000</v>
      </c>
      <c r="H14736" s="705" t="s">
        <v>9587</v>
      </c>
    </row>
    <row r="14737" spans="1:8" ht="15" x14ac:dyDescent="0.2">
      <c r="A14737" s="734">
        <v>45029</v>
      </c>
      <c r="B14737" s="41" t="s">
        <v>9409</v>
      </c>
      <c r="C14737" s="41" t="s">
        <v>2515</v>
      </c>
      <c r="D14737" s="108" t="s">
        <v>9668</v>
      </c>
      <c r="E14737" s="42">
        <v>10000</v>
      </c>
      <c r="G14737" s="42">
        <f t="shared" si="236"/>
        <v>-10000</v>
      </c>
      <c r="H14737" s="705" t="s">
        <v>9587</v>
      </c>
    </row>
    <row r="14738" spans="1:8" ht="15" x14ac:dyDescent="0.2">
      <c r="A14738" s="734">
        <v>45029</v>
      </c>
      <c r="B14738" s="41" t="s">
        <v>8876</v>
      </c>
      <c r="C14738" s="41" t="s">
        <v>3145</v>
      </c>
      <c r="D14738" s="108" t="s">
        <v>9667</v>
      </c>
      <c r="E14738" s="42">
        <v>3030</v>
      </c>
      <c r="G14738" s="42">
        <f t="shared" si="236"/>
        <v>-3030</v>
      </c>
      <c r="H14738" s="705" t="s">
        <v>9587</v>
      </c>
    </row>
    <row r="14739" spans="1:8" ht="15" x14ac:dyDescent="0.2">
      <c r="A14739" s="734">
        <v>45029</v>
      </c>
      <c r="B14739" s="41" t="s">
        <v>25</v>
      </c>
      <c r="C14739" s="41" t="s">
        <v>9674</v>
      </c>
      <c r="D14739" s="108" t="s">
        <v>9675</v>
      </c>
      <c r="E14739" s="42">
        <v>35000</v>
      </c>
      <c r="G14739" s="42">
        <f t="shared" si="236"/>
        <v>-35000</v>
      </c>
      <c r="H14739" s="705" t="s">
        <v>9587</v>
      </c>
    </row>
    <row r="14740" spans="1:8" ht="15" x14ac:dyDescent="0.2">
      <c r="A14740" s="734">
        <v>45029</v>
      </c>
      <c r="B14740" s="41" t="s">
        <v>25</v>
      </c>
      <c r="C14740" s="41" t="s">
        <v>7595</v>
      </c>
      <c r="D14740" s="108" t="s">
        <v>9676</v>
      </c>
      <c r="E14740" s="42">
        <v>40000</v>
      </c>
      <c r="G14740" s="42">
        <f t="shared" si="236"/>
        <v>-40000</v>
      </c>
      <c r="H14740" s="705" t="s">
        <v>9587</v>
      </c>
    </row>
    <row r="14741" spans="1:8" ht="15" x14ac:dyDescent="0.2">
      <c r="A14741" s="734">
        <v>45029</v>
      </c>
      <c r="B14741" s="41" t="s">
        <v>25</v>
      </c>
      <c r="C14741" s="41" t="s">
        <v>392</v>
      </c>
      <c r="D14741" s="108" t="s">
        <v>9677</v>
      </c>
      <c r="E14741" s="42">
        <v>50000</v>
      </c>
      <c r="G14741" s="42">
        <f t="shared" si="236"/>
        <v>-50000</v>
      </c>
      <c r="H14741" s="705" t="s">
        <v>9587</v>
      </c>
    </row>
    <row r="14742" spans="1:8" ht="15" x14ac:dyDescent="0.2">
      <c r="A14742" s="734">
        <v>45030</v>
      </c>
      <c r="B14742" s="41" t="s">
        <v>16</v>
      </c>
      <c r="C14742" s="41" t="s">
        <v>9562</v>
      </c>
      <c r="D14742" s="108" t="s">
        <v>9669</v>
      </c>
      <c r="E14742" s="42">
        <v>5000</v>
      </c>
      <c r="G14742" s="42">
        <f t="shared" si="236"/>
        <v>-5000</v>
      </c>
      <c r="H14742" s="705" t="s">
        <v>9587</v>
      </c>
    </row>
    <row r="14743" spans="1:8" ht="15" x14ac:dyDescent="0.2">
      <c r="A14743" s="734">
        <v>45031</v>
      </c>
      <c r="B14743" s="41" t="s">
        <v>8876</v>
      </c>
      <c r="C14743" s="41" t="s">
        <v>6901</v>
      </c>
      <c r="D14743" s="108" t="s">
        <v>9670</v>
      </c>
      <c r="E14743" s="42">
        <v>3750</v>
      </c>
      <c r="G14743" s="42">
        <f t="shared" si="236"/>
        <v>-3750</v>
      </c>
      <c r="H14743" s="705" t="s">
        <v>9587</v>
      </c>
    </row>
    <row r="14744" spans="1:8" ht="15" x14ac:dyDescent="0.2">
      <c r="A14744" s="734">
        <v>45031</v>
      </c>
      <c r="B14744" s="41" t="s">
        <v>8043</v>
      </c>
      <c r="C14744" s="41" t="s">
        <v>6901</v>
      </c>
      <c r="D14744" s="108" t="s">
        <v>9670</v>
      </c>
      <c r="E14744" s="42">
        <v>3750</v>
      </c>
      <c r="G14744" s="42">
        <f t="shared" si="236"/>
        <v>-3750</v>
      </c>
      <c r="H14744" s="705" t="s">
        <v>9587</v>
      </c>
    </row>
    <row r="14745" spans="1:8" ht="15" x14ac:dyDescent="0.2">
      <c r="A14745" s="734">
        <v>45031</v>
      </c>
      <c r="B14745" s="41" t="s">
        <v>8868</v>
      </c>
      <c r="C14745" s="41" t="s">
        <v>6901</v>
      </c>
      <c r="D14745" s="108" t="s">
        <v>9670</v>
      </c>
      <c r="E14745" s="42">
        <v>3750</v>
      </c>
      <c r="G14745" s="42">
        <f t="shared" si="236"/>
        <v>-3750</v>
      </c>
      <c r="H14745" s="705" t="s">
        <v>9587</v>
      </c>
    </row>
    <row r="14746" spans="1:8" ht="15" x14ac:dyDescent="0.2">
      <c r="A14746" s="734">
        <v>45031</v>
      </c>
      <c r="B14746" s="41" t="s">
        <v>7921</v>
      </c>
      <c r="C14746" s="41" t="s">
        <v>6901</v>
      </c>
      <c r="D14746" s="108" t="s">
        <v>9670</v>
      </c>
      <c r="E14746" s="42">
        <v>3750</v>
      </c>
      <c r="G14746" s="42">
        <f t="shared" si="236"/>
        <v>-3750</v>
      </c>
      <c r="H14746" s="705" t="s">
        <v>9587</v>
      </c>
    </row>
    <row r="14747" spans="1:8" ht="15" x14ac:dyDescent="0.2">
      <c r="A14747" s="734">
        <v>45031</v>
      </c>
      <c r="B14747" s="41" t="s">
        <v>9507</v>
      </c>
      <c r="C14747" s="41" t="s">
        <v>3446</v>
      </c>
      <c r="D14747" s="108" t="s">
        <v>9671</v>
      </c>
      <c r="E14747" s="42">
        <v>5000</v>
      </c>
      <c r="G14747" s="42">
        <f t="shared" si="236"/>
        <v>-5000</v>
      </c>
      <c r="H14747" s="705" t="s">
        <v>9587</v>
      </c>
    </row>
    <row r="14748" spans="1:8" ht="15" x14ac:dyDescent="0.2">
      <c r="A14748" s="734">
        <v>45031</v>
      </c>
      <c r="B14748" s="41" t="s">
        <v>9719</v>
      </c>
      <c r="C14748" s="41" t="s">
        <v>6852</v>
      </c>
      <c r="D14748" s="108" t="s">
        <v>370</v>
      </c>
      <c r="E14748" s="42">
        <v>8000</v>
      </c>
      <c r="G14748" s="42">
        <f t="shared" si="236"/>
        <v>-8000</v>
      </c>
      <c r="H14748" s="705" t="s">
        <v>9587</v>
      </c>
    </row>
    <row r="14749" spans="1:8" ht="15" x14ac:dyDescent="0.2">
      <c r="A14749" s="734">
        <v>45031</v>
      </c>
      <c r="B14749" s="41" t="s">
        <v>8657</v>
      </c>
      <c r="C14749" s="41" t="s">
        <v>3145</v>
      </c>
      <c r="D14749" s="108" t="s">
        <v>9720</v>
      </c>
      <c r="E14749" s="42">
        <v>115500</v>
      </c>
      <c r="G14749" s="42">
        <f t="shared" si="236"/>
        <v>-115500</v>
      </c>
      <c r="H14749" s="705" t="s">
        <v>9587</v>
      </c>
    </row>
    <row r="14750" spans="1:8" ht="15" x14ac:dyDescent="0.2">
      <c r="A14750" s="734">
        <v>45031</v>
      </c>
      <c r="B14750" s="41" t="s">
        <v>8876</v>
      </c>
      <c r="C14750" s="41" t="s">
        <v>286</v>
      </c>
      <c r="D14750" s="108" t="s">
        <v>6921</v>
      </c>
      <c r="E14750" s="42">
        <v>900</v>
      </c>
      <c r="G14750" s="42">
        <f t="shared" si="236"/>
        <v>-900</v>
      </c>
      <c r="H14750" s="705" t="s">
        <v>9587</v>
      </c>
    </row>
    <row r="14751" spans="1:8" ht="15" x14ac:dyDescent="0.2">
      <c r="A14751" s="734">
        <v>45031</v>
      </c>
      <c r="B14751" s="41" t="s">
        <v>9356</v>
      </c>
      <c r="C14751" s="41" t="s">
        <v>3145</v>
      </c>
      <c r="D14751" s="108" t="s">
        <v>9672</v>
      </c>
      <c r="E14751" s="42">
        <v>16500</v>
      </c>
      <c r="G14751" s="42">
        <f t="shared" si="236"/>
        <v>-16500</v>
      </c>
      <c r="H14751" s="705" t="s">
        <v>9587</v>
      </c>
    </row>
    <row r="14752" spans="1:8" ht="15" x14ac:dyDescent="0.2">
      <c r="A14752" s="734">
        <v>45031</v>
      </c>
      <c r="B14752" s="41" t="s">
        <v>9356</v>
      </c>
      <c r="C14752" s="41" t="s">
        <v>5741</v>
      </c>
      <c r="D14752" s="108" t="s">
        <v>370</v>
      </c>
      <c r="E14752" s="42">
        <v>500</v>
      </c>
      <c r="G14752" s="42">
        <f t="shared" si="236"/>
        <v>-500</v>
      </c>
      <c r="H14752" s="705" t="s">
        <v>9587</v>
      </c>
    </row>
    <row r="14753" spans="1:8" ht="15" x14ac:dyDescent="0.2">
      <c r="A14753" s="734">
        <v>45031</v>
      </c>
      <c r="B14753" s="41" t="s">
        <v>9507</v>
      </c>
      <c r="C14753" s="41" t="s">
        <v>5741</v>
      </c>
      <c r="D14753" s="108" t="s">
        <v>9673</v>
      </c>
      <c r="E14753" s="42">
        <v>900</v>
      </c>
      <c r="G14753" s="42">
        <f t="shared" si="236"/>
        <v>-900</v>
      </c>
      <c r="H14753" s="705" t="s">
        <v>9587</v>
      </c>
    </row>
    <row r="14754" spans="1:8" ht="15" x14ac:dyDescent="0.2">
      <c r="A14754" s="734">
        <v>45031</v>
      </c>
      <c r="B14754" s="41" t="s">
        <v>9661</v>
      </c>
      <c r="C14754" s="41" t="s">
        <v>5741</v>
      </c>
      <c r="D14754" s="108" t="s">
        <v>1886</v>
      </c>
      <c r="E14754" s="42">
        <v>1000</v>
      </c>
      <c r="G14754" s="42">
        <f t="shared" si="236"/>
        <v>-1000</v>
      </c>
      <c r="H14754" s="705" t="s">
        <v>9587</v>
      </c>
    </row>
    <row r="14755" spans="1:8" ht="15" x14ac:dyDescent="0.2">
      <c r="A14755" s="734">
        <v>45031</v>
      </c>
      <c r="B14755" s="41" t="s">
        <v>8657</v>
      </c>
      <c r="C14755" s="41" t="s">
        <v>5741</v>
      </c>
      <c r="D14755" s="108" t="s">
        <v>9682</v>
      </c>
      <c r="E14755" s="42">
        <v>4300</v>
      </c>
      <c r="G14755" s="42">
        <f t="shared" si="236"/>
        <v>-4300</v>
      </c>
      <c r="H14755" s="705" t="s">
        <v>9587</v>
      </c>
    </row>
    <row r="14756" spans="1:8" ht="15" x14ac:dyDescent="0.2">
      <c r="A14756" s="734">
        <v>45031</v>
      </c>
      <c r="B14756" s="41" t="s">
        <v>9507</v>
      </c>
      <c r="C14756" s="41" t="s">
        <v>3145</v>
      </c>
      <c r="D14756" s="108" t="s">
        <v>9683</v>
      </c>
      <c r="E14756" s="42">
        <v>1000</v>
      </c>
      <c r="G14756" s="42">
        <f t="shared" si="236"/>
        <v>-1000</v>
      </c>
      <c r="H14756" s="705" t="s">
        <v>9587</v>
      </c>
    </row>
    <row r="14757" spans="1:8" ht="15" x14ac:dyDescent="0.2">
      <c r="A14757" s="734">
        <v>45031</v>
      </c>
      <c r="B14757" s="41" t="s">
        <v>8043</v>
      </c>
      <c r="C14757" s="41" t="s">
        <v>286</v>
      </c>
      <c r="D14757" s="108" t="s">
        <v>9684</v>
      </c>
      <c r="E14757" s="42">
        <v>1100</v>
      </c>
      <c r="G14757" s="42">
        <f t="shared" si="236"/>
        <v>-1100</v>
      </c>
      <c r="H14757" s="705" t="s">
        <v>9587</v>
      </c>
    </row>
    <row r="14758" spans="1:8" ht="15" x14ac:dyDescent="0.2">
      <c r="A14758" s="734">
        <v>45031</v>
      </c>
      <c r="B14758" s="41" t="s">
        <v>16</v>
      </c>
      <c r="C14758" s="41" t="s">
        <v>103</v>
      </c>
      <c r="D14758" s="108" t="s">
        <v>9685</v>
      </c>
      <c r="E14758" s="42">
        <v>1500</v>
      </c>
      <c r="G14758" s="42">
        <f t="shared" si="236"/>
        <v>-1500</v>
      </c>
      <c r="H14758" s="705" t="s">
        <v>9587</v>
      </c>
    </row>
    <row r="14759" spans="1:8" ht="15" x14ac:dyDescent="0.2">
      <c r="A14759" s="734">
        <v>45031</v>
      </c>
      <c r="B14759" s="41" t="s">
        <v>25</v>
      </c>
      <c r="C14759" s="41" t="s">
        <v>4065</v>
      </c>
      <c r="D14759" s="108" t="s">
        <v>9686</v>
      </c>
      <c r="E14759" s="42">
        <v>3750</v>
      </c>
      <c r="G14759" s="42">
        <f t="shared" si="236"/>
        <v>-3750</v>
      </c>
      <c r="H14759" s="705" t="s">
        <v>9587</v>
      </c>
    </row>
    <row r="14760" spans="1:8" ht="15" x14ac:dyDescent="0.2">
      <c r="A14760" s="734">
        <v>45031</v>
      </c>
      <c r="B14760" s="41" t="s">
        <v>8657</v>
      </c>
      <c r="C14760" s="41" t="s">
        <v>5741</v>
      </c>
      <c r="D14760" s="108" t="s">
        <v>9687</v>
      </c>
      <c r="E14760" s="42">
        <v>1300</v>
      </c>
      <c r="G14760" s="42">
        <f t="shared" si="236"/>
        <v>-1300</v>
      </c>
      <c r="H14760" s="705" t="s">
        <v>9587</v>
      </c>
    </row>
    <row r="14761" spans="1:8" ht="15" x14ac:dyDescent="0.2">
      <c r="A14761" s="734">
        <v>45031</v>
      </c>
      <c r="B14761" s="41" t="s">
        <v>8876</v>
      </c>
      <c r="C14761" s="41" t="s">
        <v>5741</v>
      </c>
      <c r="D14761" s="108" t="s">
        <v>1886</v>
      </c>
      <c r="E14761" s="42">
        <v>1000</v>
      </c>
      <c r="G14761" s="42">
        <f t="shared" si="236"/>
        <v>-1000</v>
      </c>
      <c r="H14761" s="705" t="s">
        <v>9587</v>
      </c>
    </row>
    <row r="14762" spans="1:8" ht="15" x14ac:dyDescent="0.2">
      <c r="A14762" s="734">
        <v>45031</v>
      </c>
      <c r="B14762" s="41" t="s">
        <v>9356</v>
      </c>
      <c r="C14762" s="41" t="s">
        <v>5741</v>
      </c>
      <c r="D14762" s="108" t="s">
        <v>9688</v>
      </c>
      <c r="E14762" s="42">
        <v>650</v>
      </c>
      <c r="G14762" s="42">
        <f t="shared" si="236"/>
        <v>-650</v>
      </c>
      <c r="H14762" s="705" t="s">
        <v>9587</v>
      </c>
    </row>
    <row r="14763" spans="1:8" ht="15" x14ac:dyDescent="0.2">
      <c r="A14763" s="734">
        <v>45034</v>
      </c>
      <c r="B14763" s="41" t="s">
        <v>9661</v>
      </c>
      <c r="C14763" s="41" t="s">
        <v>6967</v>
      </c>
      <c r="D14763" s="108" t="s">
        <v>9689</v>
      </c>
      <c r="E14763" s="42">
        <v>70000</v>
      </c>
      <c r="G14763" s="42">
        <f t="shared" si="236"/>
        <v>-70000</v>
      </c>
      <c r="H14763" s="705" t="s">
        <v>9587</v>
      </c>
    </row>
    <row r="14764" spans="1:8" ht="15" x14ac:dyDescent="0.2">
      <c r="A14764" s="734">
        <v>45034</v>
      </c>
      <c r="B14764" s="41" t="s">
        <v>8876</v>
      </c>
      <c r="C14764" s="41" t="s">
        <v>3145</v>
      </c>
      <c r="D14764" s="108" t="s">
        <v>9690</v>
      </c>
      <c r="E14764" s="42">
        <v>4000</v>
      </c>
      <c r="G14764" s="42">
        <f t="shared" si="236"/>
        <v>-4000</v>
      </c>
      <c r="H14764" s="705" t="s">
        <v>9587</v>
      </c>
    </row>
    <row r="14765" spans="1:8" ht="15" x14ac:dyDescent="0.2">
      <c r="A14765" s="734">
        <v>45034</v>
      </c>
      <c r="B14765" s="41" t="s">
        <v>8657</v>
      </c>
      <c r="C14765" s="41" t="s">
        <v>5741</v>
      </c>
      <c r="D14765" s="108" t="s">
        <v>9691</v>
      </c>
      <c r="E14765" s="42">
        <v>1500</v>
      </c>
      <c r="G14765" s="42">
        <f t="shared" si="236"/>
        <v>-1500</v>
      </c>
      <c r="H14765" s="705" t="s">
        <v>9587</v>
      </c>
    </row>
    <row r="14766" spans="1:8" ht="15" x14ac:dyDescent="0.2">
      <c r="A14766" s="734">
        <v>45034</v>
      </c>
      <c r="B14766" s="41" t="s">
        <v>8876</v>
      </c>
      <c r="C14766" s="41" t="s">
        <v>392</v>
      </c>
      <c r="D14766" s="108" t="s">
        <v>9694</v>
      </c>
      <c r="E14766" s="42">
        <v>1000</v>
      </c>
      <c r="G14766" s="42">
        <f t="shared" si="236"/>
        <v>-1000</v>
      </c>
      <c r="H14766" s="705" t="s">
        <v>9587</v>
      </c>
    </row>
    <row r="14767" spans="1:8" ht="15" x14ac:dyDescent="0.2">
      <c r="A14767" s="734">
        <v>45034</v>
      </c>
      <c r="B14767" s="41" t="s">
        <v>16</v>
      </c>
      <c r="C14767" s="41" t="s">
        <v>9695</v>
      </c>
      <c r="D14767" s="108" t="s">
        <v>9692</v>
      </c>
      <c r="E14767" s="42">
        <v>17000</v>
      </c>
      <c r="G14767" s="42">
        <f t="shared" si="236"/>
        <v>-17000</v>
      </c>
      <c r="H14767" s="705" t="s">
        <v>9587</v>
      </c>
    </row>
    <row r="14768" spans="1:8" ht="15" x14ac:dyDescent="0.2">
      <c r="A14768" s="734">
        <v>45034</v>
      </c>
      <c r="B14768" s="41" t="s">
        <v>8043</v>
      </c>
      <c r="C14768" s="41" t="s">
        <v>8251</v>
      </c>
      <c r="D14768" s="108" t="s">
        <v>2711</v>
      </c>
      <c r="E14768" s="42">
        <v>2500</v>
      </c>
      <c r="G14768" s="42">
        <f t="shared" si="236"/>
        <v>-2500</v>
      </c>
      <c r="H14768" s="705" t="s">
        <v>9587</v>
      </c>
    </row>
    <row r="14769" spans="1:8" ht="15" x14ac:dyDescent="0.2">
      <c r="A14769" s="734">
        <v>45034</v>
      </c>
      <c r="B14769" s="41" t="s">
        <v>16</v>
      </c>
      <c r="C14769" s="41" t="s">
        <v>8150</v>
      </c>
      <c r="D14769" s="108" t="s">
        <v>9693</v>
      </c>
      <c r="E14769" s="42">
        <v>15638</v>
      </c>
      <c r="G14769" s="42">
        <f t="shared" si="236"/>
        <v>-15638</v>
      </c>
      <c r="H14769" s="705" t="s">
        <v>9587</v>
      </c>
    </row>
    <row r="14770" spans="1:8" ht="15" x14ac:dyDescent="0.2">
      <c r="A14770" s="734">
        <v>45034</v>
      </c>
      <c r="B14770" s="41" t="s">
        <v>25</v>
      </c>
      <c r="C14770" s="41" t="s">
        <v>8150</v>
      </c>
      <c r="D14770" s="108" t="s">
        <v>9693</v>
      </c>
      <c r="E14770" s="42">
        <v>43516</v>
      </c>
      <c r="G14770" s="42">
        <f t="shared" si="236"/>
        <v>-43516</v>
      </c>
      <c r="H14770" s="705" t="s">
        <v>9587</v>
      </c>
    </row>
    <row r="14771" spans="1:8" ht="15" x14ac:dyDescent="0.2">
      <c r="A14771" s="734">
        <v>45034</v>
      </c>
      <c r="B14771" s="41" t="s">
        <v>8559</v>
      </c>
      <c r="C14771" s="41" t="s">
        <v>6706</v>
      </c>
      <c r="D14771" s="108" t="s">
        <v>9696</v>
      </c>
      <c r="E14771" s="42">
        <v>300000</v>
      </c>
      <c r="G14771" s="42">
        <f t="shared" ref="G14771:G14834" si="237">F14771-E14771</f>
        <v>-300000</v>
      </c>
      <c r="H14771" s="705" t="s">
        <v>9587</v>
      </c>
    </row>
    <row r="14772" spans="1:8" ht="15" x14ac:dyDescent="0.2">
      <c r="A14772" s="734">
        <v>45034</v>
      </c>
      <c r="B14772" s="41" t="s">
        <v>8657</v>
      </c>
      <c r="C14772" s="41" t="s">
        <v>1509</v>
      </c>
      <c r="D14772" s="108" t="s">
        <v>2711</v>
      </c>
      <c r="E14772" s="42">
        <v>316600</v>
      </c>
      <c r="G14772" s="42">
        <f t="shared" si="237"/>
        <v>-316600</v>
      </c>
      <c r="H14772" s="705" t="s">
        <v>9587</v>
      </c>
    </row>
    <row r="14773" spans="1:8" ht="15" x14ac:dyDescent="0.2">
      <c r="A14773" s="734">
        <v>45034</v>
      </c>
      <c r="B14773" s="41" t="s">
        <v>8657</v>
      </c>
      <c r="C14773" s="41" t="s">
        <v>3145</v>
      </c>
      <c r="D14773" s="108" t="s">
        <v>9698</v>
      </c>
      <c r="E14773" s="42">
        <v>570</v>
      </c>
      <c r="G14773" s="42">
        <f t="shared" si="237"/>
        <v>-570</v>
      </c>
      <c r="H14773" s="705" t="s">
        <v>9587</v>
      </c>
    </row>
    <row r="14774" spans="1:8" ht="15" x14ac:dyDescent="0.2">
      <c r="A14774" s="734">
        <v>45034</v>
      </c>
      <c r="B14774" s="41" t="s">
        <v>8876</v>
      </c>
      <c r="C14774" s="41" t="s">
        <v>4876</v>
      </c>
      <c r="D14774" s="108" t="s">
        <v>9697</v>
      </c>
      <c r="E14774" s="42">
        <v>2000</v>
      </c>
      <c r="G14774" s="42">
        <f t="shared" si="237"/>
        <v>-2000</v>
      </c>
      <c r="H14774" s="705" t="s">
        <v>9587</v>
      </c>
    </row>
    <row r="14775" spans="1:8" ht="15" x14ac:dyDescent="0.2">
      <c r="A14775" s="734">
        <v>45034</v>
      </c>
      <c r="B14775" s="41" t="s">
        <v>3946</v>
      </c>
      <c r="C14775" s="41" t="s">
        <v>392</v>
      </c>
      <c r="D14775" s="108" t="s">
        <v>9699</v>
      </c>
      <c r="E14775" s="42">
        <v>2800</v>
      </c>
      <c r="G14775" s="42">
        <f t="shared" si="237"/>
        <v>-2800</v>
      </c>
      <c r="H14775" s="705" t="s">
        <v>9587</v>
      </c>
    </row>
    <row r="14776" spans="1:8" ht="15" x14ac:dyDescent="0.2">
      <c r="A14776" s="734">
        <v>45034</v>
      </c>
      <c r="B14776" s="41" t="s">
        <v>9402</v>
      </c>
      <c r="C14776" s="41" t="s">
        <v>3145</v>
      </c>
      <c r="D14776" s="108" t="s">
        <v>9700</v>
      </c>
      <c r="E14776" s="42">
        <v>1350</v>
      </c>
      <c r="G14776" s="42">
        <f t="shared" si="237"/>
        <v>-1350</v>
      </c>
      <c r="H14776" s="705" t="s">
        <v>9587</v>
      </c>
    </row>
    <row r="14777" spans="1:8" ht="15" x14ac:dyDescent="0.2">
      <c r="A14777" s="734">
        <v>45034</v>
      </c>
      <c r="B14777" s="41" t="s">
        <v>9661</v>
      </c>
      <c r="C14777" s="41" t="s">
        <v>3145</v>
      </c>
      <c r="D14777" s="108" t="s">
        <v>9701</v>
      </c>
      <c r="E14777" s="42">
        <v>6000</v>
      </c>
      <c r="G14777" s="42">
        <f t="shared" si="237"/>
        <v>-6000</v>
      </c>
      <c r="H14777" s="705" t="s">
        <v>9587</v>
      </c>
    </row>
    <row r="14778" spans="1:8" ht="15" x14ac:dyDescent="0.2">
      <c r="A14778" s="734">
        <v>45034</v>
      </c>
      <c r="B14778" s="41" t="s">
        <v>9661</v>
      </c>
      <c r="C14778" s="41" t="s">
        <v>3145</v>
      </c>
      <c r="D14778" s="108" t="s">
        <v>9605</v>
      </c>
      <c r="E14778" s="42">
        <v>800</v>
      </c>
      <c r="G14778" s="42">
        <f t="shared" si="237"/>
        <v>-800</v>
      </c>
      <c r="H14778" s="705" t="s">
        <v>9587</v>
      </c>
    </row>
    <row r="14779" spans="1:8" ht="15" x14ac:dyDescent="0.2">
      <c r="A14779" s="734">
        <v>45034</v>
      </c>
      <c r="B14779" s="41" t="s">
        <v>9507</v>
      </c>
      <c r="C14779" s="41" t="s">
        <v>6784</v>
      </c>
      <c r="D14779" s="108" t="s">
        <v>9517</v>
      </c>
      <c r="E14779" s="42">
        <v>250000</v>
      </c>
      <c r="G14779" s="42">
        <f t="shared" si="237"/>
        <v>-250000</v>
      </c>
      <c r="H14779" s="705" t="s">
        <v>9587</v>
      </c>
    </row>
    <row r="14780" spans="1:8" ht="15" x14ac:dyDescent="0.2">
      <c r="A14780" s="734">
        <v>45034</v>
      </c>
      <c r="B14780" s="41" t="s">
        <v>9507</v>
      </c>
      <c r="C14780" s="41" t="s">
        <v>3145</v>
      </c>
      <c r="D14780" s="108" t="s">
        <v>9702</v>
      </c>
      <c r="E14780" s="42">
        <v>29000</v>
      </c>
      <c r="G14780" s="42">
        <f t="shared" si="237"/>
        <v>-29000</v>
      </c>
      <c r="H14780" s="705" t="s">
        <v>9587</v>
      </c>
    </row>
    <row r="14781" spans="1:8" ht="24" x14ac:dyDescent="0.2">
      <c r="A14781" s="734">
        <v>45034</v>
      </c>
      <c r="B14781" s="41" t="s">
        <v>8657</v>
      </c>
      <c r="C14781" s="41" t="s">
        <v>8087</v>
      </c>
      <c r="D14781" s="129" t="s">
        <v>9703</v>
      </c>
      <c r="E14781" s="42">
        <v>27000</v>
      </c>
      <c r="G14781" s="42">
        <f t="shared" si="237"/>
        <v>-27000</v>
      </c>
      <c r="H14781" s="705" t="s">
        <v>9587</v>
      </c>
    </row>
    <row r="14782" spans="1:8" ht="15" x14ac:dyDescent="0.2">
      <c r="A14782" s="734">
        <v>45035</v>
      </c>
      <c r="B14782" s="41" t="s">
        <v>9661</v>
      </c>
      <c r="C14782" s="41" t="s">
        <v>9549</v>
      </c>
      <c r="D14782" s="108" t="s">
        <v>9578</v>
      </c>
      <c r="E14782" s="42">
        <v>35000</v>
      </c>
      <c r="G14782" s="42">
        <f t="shared" si="237"/>
        <v>-35000</v>
      </c>
      <c r="H14782" s="705" t="s">
        <v>9587</v>
      </c>
    </row>
    <row r="14783" spans="1:8" ht="15" x14ac:dyDescent="0.2">
      <c r="A14783" s="734">
        <v>45035</v>
      </c>
      <c r="B14783" s="41" t="s">
        <v>9356</v>
      </c>
      <c r="C14783" s="41" t="s">
        <v>9706</v>
      </c>
      <c r="D14783" s="108" t="s">
        <v>9704</v>
      </c>
      <c r="E14783" s="42">
        <v>600000</v>
      </c>
      <c r="G14783" s="42">
        <f t="shared" si="237"/>
        <v>-600000</v>
      </c>
      <c r="H14783" s="705" t="s">
        <v>9587</v>
      </c>
    </row>
    <row r="14784" spans="1:8" ht="15" x14ac:dyDescent="0.2">
      <c r="A14784" s="734">
        <v>45035</v>
      </c>
      <c r="B14784" s="41" t="s">
        <v>9507</v>
      </c>
      <c r="C14784" s="41" t="s">
        <v>8792</v>
      </c>
      <c r="D14784" s="108" t="s">
        <v>9707</v>
      </c>
      <c r="E14784" s="42">
        <v>100000</v>
      </c>
      <c r="G14784" s="42">
        <f t="shared" si="237"/>
        <v>-100000</v>
      </c>
      <c r="H14784" s="705" t="s">
        <v>9587</v>
      </c>
    </row>
    <row r="14785" spans="1:8" ht="15" x14ac:dyDescent="0.2">
      <c r="A14785" s="734">
        <v>45035</v>
      </c>
      <c r="B14785" s="41" t="s">
        <v>9356</v>
      </c>
      <c r="C14785" s="41" t="s">
        <v>5741</v>
      </c>
      <c r="D14785" s="108" t="s">
        <v>9705</v>
      </c>
      <c r="E14785" s="42">
        <v>500</v>
      </c>
      <c r="G14785" s="42">
        <f t="shared" si="237"/>
        <v>-500</v>
      </c>
      <c r="H14785" s="705" t="s">
        <v>9587</v>
      </c>
    </row>
    <row r="14786" spans="1:8" ht="15" x14ac:dyDescent="0.2">
      <c r="A14786" s="734">
        <v>45035</v>
      </c>
      <c r="B14786" s="41" t="s">
        <v>9402</v>
      </c>
      <c r="C14786" s="41" t="s">
        <v>3145</v>
      </c>
      <c r="D14786" s="108" t="s">
        <v>9721</v>
      </c>
      <c r="E14786" s="42">
        <v>24000</v>
      </c>
      <c r="G14786" s="42">
        <f t="shared" si="237"/>
        <v>-24000</v>
      </c>
      <c r="H14786" s="705" t="s">
        <v>9587</v>
      </c>
    </row>
    <row r="14787" spans="1:8" ht="24" x14ac:dyDescent="0.2">
      <c r="A14787" s="734">
        <v>45035</v>
      </c>
      <c r="B14787" s="41" t="s">
        <v>9409</v>
      </c>
      <c r="C14787" s="41" t="s">
        <v>2515</v>
      </c>
      <c r="D14787" s="129" t="s">
        <v>9722</v>
      </c>
      <c r="E14787" s="42">
        <v>25000</v>
      </c>
      <c r="G14787" s="42">
        <f t="shared" si="237"/>
        <v>-25000</v>
      </c>
      <c r="H14787" s="705" t="s">
        <v>9587</v>
      </c>
    </row>
    <row r="14788" spans="1:8" s="682" customFormat="1" ht="15" customHeight="1" x14ac:dyDescent="0.25">
      <c r="A14788" s="734">
        <v>45035</v>
      </c>
      <c r="B14788" s="63" t="s">
        <v>8876</v>
      </c>
      <c r="C14788" s="63" t="s">
        <v>431</v>
      </c>
      <c r="D14788" s="183" t="s">
        <v>9723</v>
      </c>
      <c r="E14788" s="75">
        <v>100000</v>
      </c>
      <c r="F14788" s="75"/>
      <c r="G14788" s="75">
        <f t="shared" si="237"/>
        <v>-100000</v>
      </c>
      <c r="H14788" s="705" t="s">
        <v>9587</v>
      </c>
    </row>
    <row r="14789" spans="1:8" s="682" customFormat="1" ht="15" customHeight="1" x14ac:dyDescent="0.25">
      <c r="A14789" s="734">
        <v>45035</v>
      </c>
      <c r="B14789" s="63" t="s">
        <v>9356</v>
      </c>
      <c r="C14789" s="63" t="s">
        <v>392</v>
      </c>
      <c r="D14789" s="183" t="s">
        <v>2108</v>
      </c>
      <c r="E14789" s="75">
        <v>250</v>
      </c>
      <c r="F14789" s="75"/>
      <c r="G14789" s="75">
        <f t="shared" si="237"/>
        <v>-250</v>
      </c>
      <c r="H14789" s="705" t="s">
        <v>9587</v>
      </c>
    </row>
    <row r="14790" spans="1:8" s="682" customFormat="1" ht="15" customHeight="1" x14ac:dyDescent="0.25">
      <c r="A14790" s="734">
        <v>45035</v>
      </c>
      <c r="B14790" s="63" t="s">
        <v>16</v>
      </c>
      <c r="C14790" s="63" t="s">
        <v>9733</v>
      </c>
      <c r="D14790" s="183" t="s">
        <v>9734</v>
      </c>
      <c r="E14790" s="75">
        <v>70000</v>
      </c>
      <c r="F14790" s="75"/>
      <c r="G14790" s="75">
        <f t="shared" si="237"/>
        <v>-70000</v>
      </c>
      <c r="H14790" s="705" t="s">
        <v>9587</v>
      </c>
    </row>
    <row r="14791" spans="1:8" s="682" customFormat="1" ht="15" customHeight="1" x14ac:dyDescent="0.25">
      <c r="A14791" s="734">
        <v>45035</v>
      </c>
      <c r="B14791" s="63" t="s">
        <v>8876</v>
      </c>
      <c r="C14791" s="63" t="s">
        <v>7477</v>
      </c>
      <c r="D14791" s="183" t="s">
        <v>9724</v>
      </c>
      <c r="E14791" s="75">
        <v>45000</v>
      </c>
      <c r="F14791" s="75"/>
      <c r="G14791" s="75">
        <f t="shared" si="237"/>
        <v>-45000</v>
      </c>
      <c r="H14791" s="705" t="s">
        <v>9587</v>
      </c>
    </row>
    <row r="14792" spans="1:8" s="682" customFormat="1" ht="15" customHeight="1" x14ac:dyDescent="0.25">
      <c r="A14792" s="734">
        <v>45035</v>
      </c>
      <c r="B14792" s="63" t="s">
        <v>9356</v>
      </c>
      <c r="C14792" s="63" t="s">
        <v>8251</v>
      </c>
      <c r="D14792" s="183" t="s">
        <v>9725</v>
      </c>
      <c r="E14792" s="75">
        <v>30000</v>
      </c>
      <c r="F14792" s="75"/>
      <c r="G14792" s="75">
        <f t="shared" si="237"/>
        <v>-30000</v>
      </c>
      <c r="H14792" s="705" t="s">
        <v>9587</v>
      </c>
    </row>
    <row r="14793" spans="1:8" s="682" customFormat="1" ht="24" customHeight="1" x14ac:dyDescent="0.25">
      <c r="A14793" s="734">
        <v>45035</v>
      </c>
      <c r="B14793" s="63" t="s">
        <v>3946</v>
      </c>
      <c r="C14793" s="551" t="s">
        <v>8394</v>
      </c>
      <c r="D14793" s="740" t="s">
        <v>9726</v>
      </c>
      <c r="E14793" s="552">
        <v>8745</v>
      </c>
      <c r="F14793" s="75"/>
      <c r="G14793" s="75">
        <f t="shared" si="237"/>
        <v>-8745</v>
      </c>
      <c r="H14793" s="705" t="s">
        <v>9587</v>
      </c>
    </row>
    <row r="14794" spans="1:8" s="682" customFormat="1" ht="24" customHeight="1" x14ac:dyDescent="0.25">
      <c r="A14794" s="734">
        <v>45035</v>
      </c>
      <c r="B14794" s="63" t="s">
        <v>8657</v>
      </c>
      <c r="C14794" s="551" t="s">
        <v>8394</v>
      </c>
      <c r="D14794" s="740" t="s">
        <v>9726</v>
      </c>
      <c r="E14794" s="552">
        <v>51861</v>
      </c>
      <c r="F14794" s="75"/>
      <c r="G14794" s="75">
        <f t="shared" si="237"/>
        <v>-51861</v>
      </c>
      <c r="H14794" s="705" t="s">
        <v>9587</v>
      </c>
    </row>
    <row r="14795" spans="1:8" s="682" customFormat="1" ht="24" customHeight="1" x14ac:dyDescent="0.25">
      <c r="A14795" s="734">
        <v>45035</v>
      </c>
      <c r="B14795" s="63" t="s">
        <v>8876</v>
      </c>
      <c r="C14795" s="551" t="s">
        <v>8394</v>
      </c>
      <c r="D14795" s="740" t="s">
        <v>9726</v>
      </c>
      <c r="E14795" s="552">
        <v>17015</v>
      </c>
      <c r="F14795" s="75"/>
      <c r="G14795" s="75">
        <f t="shared" si="237"/>
        <v>-17015</v>
      </c>
      <c r="H14795" s="705" t="s">
        <v>9587</v>
      </c>
    </row>
    <row r="14796" spans="1:8" s="682" customFormat="1" ht="24" customHeight="1" x14ac:dyDescent="0.25">
      <c r="A14796" s="734">
        <v>45035</v>
      </c>
      <c r="B14796" s="63" t="s">
        <v>9507</v>
      </c>
      <c r="C14796" s="551" t="s">
        <v>8394</v>
      </c>
      <c r="D14796" s="740" t="s">
        <v>9726</v>
      </c>
      <c r="E14796" s="552">
        <v>28496</v>
      </c>
      <c r="F14796" s="75"/>
      <c r="G14796" s="75">
        <f t="shared" si="237"/>
        <v>-28496</v>
      </c>
      <c r="H14796" s="705" t="s">
        <v>9587</v>
      </c>
    </row>
    <row r="14797" spans="1:8" s="682" customFormat="1" ht="24" customHeight="1" x14ac:dyDescent="0.25">
      <c r="A14797" s="734">
        <v>45035</v>
      </c>
      <c r="B14797" s="63" t="s">
        <v>9356</v>
      </c>
      <c r="C14797" s="551" t="s">
        <v>8394</v>
      </c>
      <c r="D14797" s="740" t="s">
        <v>9726</v>
      </c>
      <c r="E14797" s="552">
        <v>93883</v>
      </c>
      <c r="F14797" s="75"/>
      <c r="G14797" s="75">
        <f t="shared" si="237"/>
        <v>-93883</v>
      </c>
      <c r="H14797" s="705" t="s">
        <v>9587</v>
      </c>
    </row>
    <row r="14798" spans="1:8" s="682" customFormat="1" ht="15" customHeight="1" x14ac:dyDescent="0.25">
      <c r="A14798" s="734">
        <v>45036</v>
      </c>
      <c r="B14798" s="63" t="s">
        <v>16</v>
      </c>
      <c r="C14798" s="63" t="s">
        <v>9731</v>
      </c>
      <c r="D14798" s="183" t="s">
        <v>8610</v>
      </c>
      <c r="E14798" s="126">
        <v>75000</v>
      </c>
      <c r="F14798" s="126"/>
      <c r="G14798" s="126">
        <f t="shared" si="237"/>
        <v>-75000</v>
      </c>
      <c r="H14798" s="705" t="s">
        <v>9587</v>
      </c>
    </row>
    <row r="14799" spans="1:8" s="682" customFormat="1" ht="15" customHeight="1" x14ac:dyDescent="0.25">
      <c r="A14799" s="734">
        <v>45036</v>
      </c>
      <c r="B14799" s="63" t="s">
        <v>3945</v>
      </c>
      <c r="C14799" s="63" t="s">
        <v>9731</v>
      </c>
      <c r="D14799" s="183" t="s">
        <v>9802</v>
      </c>
      <c r="E14799" s="126">
        <v>36000</v>
      </c>
      <c r="F14799" s="126"/>
      <c r="G14799" s="126">
        <f t="shared" si="237"/>
        <v>-36000</v>
      </c>
      <c r="H14799" s="705" t="s">
        <v>9587</v>
      </c>
    </row>
    <row r="14800" spans="1:8" s="682" customFormat="1" ht="15" customHeight="1" x14ac:dyDescent="0.25">
      <c r="A14800" s="734">
        <v>45036</v>
      </c>
      <c r="B14800" s="63" t="s">
        <v>3946</v>
      </c>
      <c r="C14800" s="63" t="s">
        <v>9731</v>
      </c>
      <c r="D14800" s="183" t="s">
        <v>9802</v>
      </c>
      <c r="E14800" s="126">
        <v>45000</v>
      </c>
      <c r="F14800" s="126"/>
      <c r="G14800" s="126">
        <f t="shared" si="237"/>
        <v>-45000</v>
      </c>
      <c r="H14800" s="705" t="s">
        <v>9587</v>
      </c>
    </row>
    <row r="14801" spans="1:8" s="682" customFormat="1" ht="15" customHeight="1" x14ac:dyDescent="0.25">
      <c r="A14801" s="734">
        <v>45036</v>
      </c>
      <c r="B14801" s="63" t="s">
        <v>6505</v>
      </c>
      <c r="C14801" s="63" t="s">
        <v>9731</v>
      </c>
      <c r="D14801" s="183" t="s">
        <v>9802</v>
      </c>
      <c r="E14801" s="126">
        <v>80000</v>
      </c>
      <c r="F14801" s="126"/>
      <c r="G14801" s="126">
        <f t="shared" si="237"/>
        <v>-80000</v>
      </c>
      <c r="H14801" s="705" t="s">
        <v>9587</v>
      </c>
    </row>
    <row r="14802" spans="1:8" s="682" customFormat="1" ht="15" customHeight="1" x14ac:dyDescent="0.25">
      <c r="A14802" s="734">
        <v>45036</v>
      </c>
      <c r="B14802" s="63" t="s">
        <v>1400</v>
      </c>
      <c r="C14802" s="63" t="s">
        <v>9731</v>
      </c>
      <c r="D14802" s="183" t="s">
        <v>9802</v>
      </c>
      <c r="E14802" s="126">
        <v>30000</v>
      </c>
      <c r="F14802" s="126"/>
      <c r="G14802" s="126">
        <f t="shared" si="237"/>
        <v>-30000</v>
      </c>
      <c r="H14802" s="705" t="s">
        <v>9587</v>
      </c>
    </row>
    <row r="14803" spans="1:8" s="682" customFormat="1" ht="15" customHeight="1" x14ac:dyDescent="0.25">
      <c r="A14803" s="734">
        <v>45036</v>
      </c>
      <c r="B14803" s="63" t="s">
        <v>9409</v>
      </c>
      <c r="C14803" s="63" t="s">
        <v>9731</v>
      </c>
      <c r="D14803" s="183" t="s">
        <v>9802</v>
      </c>
      <c r="E14803" s="126">
        <v>15000</v>
      </c>
      <c r="F14803" s="126"/>
      <c r="G14803" s="126">
        <f t="shared" si="237"/>
        <v>-15000</v>
      </c>
      <c r="H14803" s="705" t="s">
        <v>9587</v>
      </c>
    </row>
    <row r="14804" spans="1:8" s="682" customFormat="1" ht="15" customHeight="1" x14ac:dyDescent="0.25">
      <c r="A14804" s="734">
        <v>45036</v>
      </c>
      <c r="B14804" s="63" t="s">
        <v>37</v>
      </c>
      <c r="C14804" s="63" t="s">
        <v>9731</v>
      </c>
      <c r="D14804" s="183" t="s">
        <v>9802</v>
      </c>
      <c r="E14804" s="126">
        <v>57500</v>
      </c>
      <c r="F14804" s="126"/>
      <c r="G14804" s="126">
        <f t="shared" si="237"/>
        <v>-57500</v>
      </c>
      <c r="H14804" s="705" t="s">
        <v>9587</v>
      </c>
    </row>
    <row r="14805" spans="1:8" s="682" customFormat="1" ht="15" customHeight="1" x14ac:dyDescent="0.25">
      <c r="A14805" s="734">
        <v>45036</v>
      </c>
      <c r="B14805" s="63" t="s">
        <v>2933</v>
      </c>
      <c r="C14805" s="63" t="s">
        <v>9731</v>
      </c>
      <c r="D14805" s="183" t="s">
        <v>9802</v>
      </c>
      <c r="E14805" s="126">
        <v>55000</v>
      </c>
      <c r="F14805" s="126"/>
      <c r="G14805" s="126">
        <f t="shared" si="237"/>
        <v>-55000</v>
      </c>
      <c r="H14805" s="705" t="s">
        <v>9587</v>
      </c>
    </row>
    <row r="14806" spans="1:8" s="682" customFormat="1" ht="15" customHeight="1" x14ac:dyDescent="0.25">
      <c r="A14806" s="734">
        <v>45036</v>
      </c>
      <c r="B14806" s="63" t="s">
        <v>8876</v>
      </c>
      <c r="C14806" s="63" t="s">
        <v>9731</v>
      </c>
      <c r="D14806" s="183" t="s">
        <v>9802</v>
      </c>
      <c r="E14806" s="126">
        <v>50000</v>
      </c>
      <c r="F14806" s="126"/>
      <c r="G14806" s="126">
        <f t="shared" si="237"/>
        <v>-50000</v>
      </c>
      <c r="H14806" s="705" t="s">
        <v>9587</v>
      </c>
    </row>
    <row r="14807" spans="1:8" s="682" customFormat="1" ht="15" customHeight="1" x14ac:dyDescent="0.25">
      <c r="A14807" s="734">
        <v>45036</v>
      </c>
      <c r="B14807" s="63" t="s">
        <v>7921</v>
      </c>
      <c r="C14807" s="63" t="s">
        <v>9731</v>
      </c>
      <c r="D14807" s="183" t="s">
        <v>9802</v>
      </c>
      <c r="E14807" s="126">
        <v>30000</v>
      </c>
      <c r="F14807" s="126"/>
      <c r="G14807" s="126">
        <f t="shared" si="237"/>
        <v>-30000</v>
      </c>
      <c r="H14807" s="705" t="s">
        <v>9587</v>
      </c>
    </row>
    <row r="14808" spans="1:8" s="682" customFormat="1" ht="15" customHeight="1" x14ac:dyDescent="0.25">
      <c r="A14808" s="734">
        <v>45041</v>
      </c>
      <c r="B14808" s="63" t="s">
        <v>8868</v>
      </c>
      <c r="C14808" s="63" t="s">
        <v>3446</v>
      </c>
      <c r="D14808" s="183" t="s">
        <v>9727</v>
      </c>
      <c r="E14808" s="126">
        <v>45000</v>
      </c>
      <c r="F14808" s="126"/>
      <c r="G14808" s="126">
        <f t="shared" si="237"/>
        <v>-45000</v>
      </c>
      <c r="H14808" s="705" t="s">
        <v>9587</v>
      </c>
    </row>
    <row r="14809" spans="1:8" s="682" customFormat="1" ht="15" customHeight="1" x14ac:dyDescent="0.25">
      <c r="A14809" s="734">
        <v>45041</v>
      </c>
      <c r="B14809" s="63" t="s">
        <v>16</v>
      </c>
      <c r="C14809" s="63" t="s">
        <v>103</v>
      </c>
      <c r="D14809" s="183" t="s">
        <v>9425</v>
      </c>
      <c r="E14809" s="126">
        <v>1630</v>
      </c>
      <c r="F14809" s="126"/>
      <c r="G14809" s="126">
        <f t="shared" si="237"/>
        <v>-1630</v>
      </c>
      <c r="H14809" s="705" t="s">
        <v>9587</v>
      </c>
    </row>
    <row r="14810" spans="1:8" s="682" customFormat="1" ht="15" customHeight="1" x14ac:dyDescent="0.25">
      <c r="A14810" s="734">
        <v>45041</v>
      </c>
      <c r="B14810" s="63" t="s">
        <v>9507</v>
      </c>
      <c r="C14810" s="63" t="s">
        <v>5741</v>
      </c>
      <c r="D14810" s="183" t="s">
        <v>370</v>
      </c>
      <c r="E14810" s="126">
        <v>1000</v>
      </c>
      <c r="F14810" s="126"/>
      <c r="G14810" s="126">
        <f t="shared" si="237"/>
        <v>-1000</v>
      </c>
      <c r="H14810" s="705" t="s">
        <v>9587</v>
      </c>
    </row>
    <row r="14811" spans="1:8" s="682" customFormat="1" ht="15" customHeight="1" x14ac:dyDescent="0.25">
      <c r="A14811" s="734">
        <v>45041</v>
      </c>
      <c r="B14811" s="63" t="s">
        <v>8657</v>
      </c>
      <c r="C14811" s="63" t="s">
        <v>392</v>
      </c>
      <c r="D14811" s="183" t="s">
        <v>9728</v>
      </c>
      <c r="E14811" s="126">
        <v>50000</v>
      </c>
      <c r="F14811" s="126"/>
      <c r="G14811" s="126">
        <f t="shared" si="237"/>
        <v>-50000</v>
      </c>
      <c r="H14811" s="705" t="s">
        <v>9587</v>
      </c>
    </row>
    <row r="14812" spans="1:8" s="682" customFormat="1" ht="15" customHeight="1" x14ac:dyDescent="0.25">
      <c r="A14812" s="734">
        <v>45041</v>
      </c>
      <c r="B14812" s="63" t="s">
        <v>8043</v>
      </c>
      <c r="C14812" s="63" t="s">
        <v>9731</v>
      </c>
      <c r="D14812" s="183" t="s">
        <v>9730</v>
      </c>
      <c r="E14812" s="126">
        <v>25000</v>
      </c>
      <c r="F14812" s="126"/>
      <c r="G14812" s="126">
        <f t="shared" si="237"/>
        <v>-25000</v>
      </c>
      <c r="H14812" s="705" t="s">
        <v>9587</v>
      </c>
    </row>
    <row r="14813" spans="1:8" s="682" customFormat="1" ht="15" customHeight="1" x14ac:dyDescent="0.25">
      <c r="A14813" s="734">
        <v>45041</v>
      </c>
      <c r="B14813" s="63" t="s">
        <v>8876</v>
      </c>
      <c r="C14813" s="63" t="s">
        <v>286</v>
      </c>
      <c r="D14813" s="183" t="s">
        <v>8663</v>
      </c>
      <c r="E14813" s="126">
        <v>1100</v>
      </c>
      <c r="F14813" s="126"/>
      <c r="G14813" s="126">
        <f t="shared" si="237"/>
        <v>-1100</v>
      </c>
      <c r="H14813" s="705" t="s">
        <v>9587</v>
      </c>
    </row>
    <row r="14814" spans="1:8" s="682" customFormat="1" ht="15" customHeight="1" x14ac:dyDescent="0.25">
      <c r="A14814" s="734">
        <v>45041</v>
      </c>
      <c r="B14814" s="63" t="s">
        <v>9661</v>
      </c>
      <c r="C14814" s="63" t="s">
        <v>3145</v>
      </c>
      <c r="D14814" s="183" t="s">
        <v>9732</v>
      </c>
      <c r="E14814" s="126">
        <v>3000</v>
      </c>
      <c r="F14814" s="126"/>
      <c r="G14814" s="126">
        <f t="shared" si="237"/>
        <v>-3000</v>
      </c>
      <c r="H14814" s="705" t="s">
        <v>9587</v>
      </c>
    </row>
    <row r="14815" spans="1:8" s="682" customFormat="1" ht="15" customHeight="1" x14ac:dyDescent="0.25">
      <c r="A14815" s="734">
        <v>45041</v>
      </c>
      <c r="B14815" s="63" t="s">
        <v>16</v>
      </c>
      <c r="C14815" s="63" t="s">
        <v>392</v>
      </c>
      <c r="D14815" s="183" t="s">
        <v>9735</v>
      </c>
      <c r="E14815" s="126">
        <v>500</v>
      </c>
      <c r="F14815" s="126"/>
      <c r="G14815" s="126">
        <f t="shared" si="237"/>
        <v>-500</v>
      </c>
      <c r="H14815" s="705" t="s">
        <v>9587</v>
      </c>
    </row>
    <row r="14816" spans="1:8" s="682" customFormat="1" ht="15" customHeight="1" x14ac:dyDescent="0.25">
      <c r="A14816" s="734">
        <v>45041</v>
      </c>
      <c r="B14816" s="63" t="s">
        <v>16</v>
      </c>
      <c r="C14816" s="63" t="s">
        <v>392</v>
      </c>
      <c r="D14816" s="183" t="s">
        <v>9425</v>
      </c>
      <c r="E14816" s="126">
        <v>2500</v>
      </c>
      <c r="F14816" s="126"/>
      <c r="G14816" s="126">
        <f t="shared" si="237"/>
        <v>-2500</v>
      </c>
      <c r="H14816" s="705" t="s">
        <v>9587</v>
      </c>
    </row>
    <row r="14817" spans="1:8" s="682" customFormat="1" ht="15" customHeight="1" x14ac:dyDescent="0.25">
      <c r="A14817" s="734">
        <v>45042</v>
      </c>
      <c r="B14817" s="63" t="s">
        <v>16</v>
      </c>
      <c r="C14817" s="63" t="s">
        <v>392</v>
      </c>
      <c r="D14817" s="183" t="s">
        <v>370</v>
      </c>
      <c r="E14817" s="126">
        <v>70</v>
      </c>
      <c r="F14817" s="126"/>
      <c r="G14817" s="126">
        <f t="shared" si="237"/>
        <v>-70</v>
      </c>
      <c r="H14817" s="705" t="s">
        <v>9587</v>
      </c>
    </row>
    <row r="14818" spans="1:8" s="682" customFormat="1" ht="15" customHeight="1" x14ac:dyDescent="0.25">
      <c r="A14818" s="734">
        <v>45042</v>
      </c>
      <c r="B14818" s="63" t="s">
        <v>16</v>
      </c>
      <c r="C14818" s="63" t="s">
        <v>103</v>
      </c>
      <c r="D14818" s="183" t="s">
        <v>9425</v>
      </c>
      <c r="E14818" s="126">
        <v>1680</v>
      </c>
      <c r="F14818" s="126"/>
      <c r="G14818" s="126">
        <f t="shared" si="237"/>
        <v>-1680</v>
      </c>
      <c r="H14818" s="705" t="s">
        <v>9587</v>
      </c>
    </row>
    <row r="14819" spans="1:8" s="682" customFormat="1" ht="15" customHeight="1" x14ac:dyDescent="0.25">
      <c r="A14819" s="734">
        <v>45042</v>
      </c>
      <c r="B14819" s="63" t="s">
        <v>9661</v>
      </c>
      <c r="C14819" s="551" t="s">
        <v>8394</v>
      </c>
      <c r="D14819" s="740" t="s">
        <v>9738</v>
      </c>
      <c r="E14819" s="552">
        <v>315888</v>
      </c>
      <c r="F14819" s="126"/>
      <c r="G14819" s="126">
        <f t="shared" si="237"/>
        <v>-315888</v>
      </c>
      <c r="H14819" s="705" t="s">
        <v>9587</v>
      </c>
    </row>
    <row r="14820" spans="1:8" s="682" customFormat="1" ht="15" customHeight="1" x14ac:dyDescent="0.25">
      <c r="A14820" s="734">
        <v>45042</v>
      </c>
      <c r="B14820" s="63" t="s">
        <v>8657</v>
      </c>
      <c r="C14820" s="551" t="s">
        <v>8394</v>
      </c>
      <c r="D14820" s="740" t="s">
        <v>9738</v>
      </c>
      <c r="E14820" s="552">
        <v>447612</v>
      </c>
      <c r="F14820" s="126"/>
      <c r="G14820" s="126">
        <f t="shared" si="237"/>
        <v>-447612</v>
      </c>
      <c r="H14820" s="705" t="s">
        <v>9587</v>
      </c>
    </row>
    <row r="14821" spans="1:8" s="682" customFormat="1" ht="15" customHeight="1" x14ac:dyDescent="0.25">
      <c r="A14821" s="734">
        <v>45042</v>
      </c>
      <c r="B14821" s="63" t="s">
        <v>9409</v>
      </c>
      <c r="C14821" s="63" t="s">
        <v>392</v>
      </c>
      <c r="D14821" s="183" t="s">
        <v>9739</v>
      </c>
      <c r="E14821" s="126">
        <v>100000</v>
      </c>
      <c r="F14821" s="126"/>
      <c r="G14821" s="126">
        <f t="shared" si="237"/>
        <v>-100000</v>
      </c>
      <c r="H14821" s="705" t="s">
        <v>9587</v>
      </c>
    </row>
    <row r="14822" spans="1:8" s="682" customFormat="1" ht="15" customHeight="1" x14ac:dyDescent="0.25">
      <c r="A14822" s="734">
        <v>45042</v>
      </c>
      <c r="B14822" s="63" t="s">
        <v>9661</v>
      </c>
      <c r="C14822" s="63" t="s">
        <v>6967</v>
      </c>
      <c r="D14822" s="183" t="s">
        <v>9740</v>
      </c>
      <c r="E14822" s="126">
        <v>16000</v>
      </c>
      <c r="F14822" s="126"/>
      <c r="G14822" s="126">
        <f t="shared" si="237"/>
        <v>-16000</v>
      </c>
      <c r="H14822" s="705" t="s">
        <v>9587</v>
      </c>
    </row>
    <row r="14823" spans="1:8" s="682" customFormat="1" ht="15" customHeight="1" x14ac:dyDescent="0.25">
      <c r="A14823" s="734">
        <v>45044</v>
      </c>
      <c r="B14823" s="63" t="s">
        <v>9661</v>
      </c>
      <c r="C14823" s="63" t="s">
        <v>9549</v>
      </c>
      <c r="D14823" s="183" t="s">
        <v>9741</v>
      </c>
      <c r="E14823" s="126">
        <v>15000</v>
      </c>
      <c r="F14823" s="126"/>
      <c r="G14823" s="126">
        <f t="shared" si="237"/>
        <v>-15000</v>
      </c>
      <c r="H14823" s="705" t="s">
        <v>9587</v>
      </c>
    </row>
    <row r="14824" spans="1:8" s="682" customFormat="1" ht="15" customHeight="1" x14ac:dyDescent="0.25">
      <c r="A14824" s="734">
        <v>45044</v>
      </c>
      <c r="B14824" s="63" t="s">
        <v>9661</v>
      </c>
      <c r="C14824" s="63" t="s">
        <v>3145</v>
      </c>
      <c r="D14824" s="183" t="s">
        <v>9742</v>
      </c>
      <c r="E14824" s="126">
        <v>35000</v>
      </c>
      <c r="F14824" s="126"/>
      <c r="G14824" s="126">
        <f t="shared" si="237"/>
        <v>-35000</v>
      </c>
      <c r="H14824" s="705" t="s">
        <v>9587</v>
      </c>
    </row>
    <row r="14825" spans="1:8" s="682" customFormat="1" ht="15" customHeight="1" x14ac:dyDescent="0.25">
      <c r="A14825" s="734">
        <v>45044</v>
      </c>
      <c r="B14825" s="63" t="s">
        <v>9661</v>
      </c>
      <c r="C14825" s="63" t="s">
        <v>3145</v>
      </c>
      <c r="D14825" s="183" t="s">
        <v>9752</v>
      </c>
      <c r="E14825" s="126">
        <v>70500</v>
      </c>
      <c r="F14825" s="126"/>
      <c r="G14825" s="126">
        <f t="shared" si="237"/>
        <v>-70500</v>
      </c>
      <c r="H14825" s="705" t="s">
        <v>9587</v>
      </c>
    </row>
    <row r="14826" spans="1:8" s="682" customFormat="1" ht="15" customHeight="1" x14ac:dyDescent="0.25">
      <c r="A14826" s="734">
        <v>45044</v>
      </c>
      <c r="B14826" s="63" t="s">
        <v>2933</v>
      </c>
      <c r="C14826" s="63" t="s">
        <v>286</v>
      </c>
      <c r="D14826" s="183" t="s">
        <v>9753</v>
      </c>
      <c r="E14826" s="126">
        <v>700</v>
      </c>
      <c r="F14826" s="126"/>
      <c r="G14826" s="126">
        <f t="shared" si="237"/>
        <v>-700</v>
      </c>
      <c r="H14826" s="705" t="s">
        <v>9587</v>
      </c>
    </row>
    <row r="14827" spans="1:8" s="682" customFormat="1" ht="15" customHeight="1" x14ac:dyDescent="0.25">
      <c r="A14827" s="734">
        <v>45044</v>
      </c>
      <c r="B14827" s="63" t="s">
        <v>9409</v>
      </c>
      <c r="C14827" s="63" t="s">
        <v>3145</v>
      </c>
      <c r="D14827" s="183" t="s">
        <v>9754</v>
      </c>
      <c r="E14827" s="126">
        <v>52940</v>
      </c>
      <c r="F14827" s="126"/>
      <c r="G14827" s="126">
        <f t="shared" si="237"/>
        <v>-52940</v>
      </c>
      <c r="H14827" s="705" t="s">
        <v>9587</v>
      </c>
    </row>
    <row r="14828" spans="1:8" s="682" customFormat="1" ht="15" customHeight="1" x14ac:dyDescent="0.25">
      <c r="A14828" s="734">
        <v>45044</v>
      </c>
      <c r="B14828" s="63" t="s">
        <v>2933</v>
      </c>
      <c r="C14828" s="63" t="s">
        <v>392</v>
      </c>
      <c r="D14828" s="183" t="s">
        <v>9755</v>
      </c>
      <c r="E14828" s="126">
        <v>13600</v>
      </c>
      <c r="F14828" s="126"/>
      <c r="G14828" s="126">
        <f t="shared" si="237"/>
        <v>-13600</v>
      </c>
      <c r="H14828" s="705" t="s">
        <v>9587</v>
      </c>
    </row>
    <row r="14829" spans="1:8" s="682" customFormat="1" ht="15" customHeight="1" x14ac:dyDescent="0.25">
      <c r="A14829" s="734">
        <v>45044</v>
      </c>
      <c r="B14829" s="63" t="s">
        <v>9356</v>
      </c>
      <c r="C14829" s="63" t="s">
        <v>392</v>
      </c>
      <c r="D14829" s="183" t="s">
        <v>4426</v>
      </c>
      <c r="E14829" s="126">
        <v>5000</v>
      </c>
      <c r="F14829" s="126"/>
      <c r="G14829" s="126">
        <f t="shared" si="237"/>
        <v>-5000</v>
      </c>
      <c r="H14829" s="705" t="s">
        <v>9587</v>
      </c>
    </row>
    <row r="14830" spans="1:8" s="682" customFormat="1" ht="15" customHeight="1" x14ac:dyDescent="0.25">
      <c r="A14830" s="734">
        <v>45044</v>
      </c>
      <c r="B14830" s="63" t="s">
        <v>6505</v>
      </c>
      <c r="C14830" s="63" t="s">
        <v>392</v>
      </c>
      <c r="D14830" s="183" t="s">
        <v>4426</v>
      </c>
      <c r="E14830" s="126">
        <v>5000</v>
      </c>
      <c r="F14830" s="126"/>
      <c r="G14830" s="126">
        <f t="shared" si="237"/>
        <v>-5000</v>
      </c>
      <c r="H14830" s="705" t="s">
        <v>9587</v>
      </c>
    </row>
    <row r="14831" spans="1:8" s="682" customFormat="1" ht="15" customHeight="1" x14ac:dyDescent="0.25">
      <c r="A14831" s="734">
        <v>45044</v>
      </c>
      <c r="B14831" s="63" t="s">
        <v>9409</v>
      </c>
      <c r="C14831" s="63" t="s">
        <v>3145</v>
      </c>
      <c r="D14831" s="183" t="s">
        <v>9756</v>
      </c>
      <c r="E14831" s="126">
        <v>31000</v>
      </c>
      <c r="F14831" s="126"/>
      <c r="G14831" s="126">
        <f t="shared" si="237"/>
        <v>-31000</v>
      </c>
      <c r="H14831" s="705" t="s">
        <v>9587</v>
      </c>
    </row>
    <row r="14832" spans="1:8" s="682" customFormat="1" ht="15" customHeight="1" x14ac:dyDescent="0.25">
      <c r="A14832" s="734">
        <v>45044</v>
      </c>
      <c r="B14832" s="63" t="s">
        <v>37</v>
      </c>
      <c r="C14832" s="63" t="s">
        <v>3145</v>
      </c>
      <c r="D14832" s="183" t="s">
        <v>4426</v>
      </c>
      <c r="E14832" s="126">
        <v>5500</v>
      </c>
      <c r="F14832" s="126"/>
      <c r="G14832" s="126">
        <f t="shared" si="237"/>
        <v>-5500</v>
      </c>
      <c r="H14832" s="705" t="s">
        <v>9587</v>
      </c>
    </row>
    <row r="14833" spans="1:8" s="682" customFormat="1" ht="15" customHeight="1" x14ac:dyDescent="0.25">
      <c r="A14833" s="734">
        <v>45045</v>
      </c>
      <c r="B14833" s="63" t="s">
        <v>9661</v>
      </c>
      <c r="C14833" s="63" t="s">
        <v>3145</v>
      </c>
      <c r="D14833" s="183" t="s">
        <v>9757</v>
      </c>
      <c r="E14833" s="126">
        <v>10450</v>
      </c>
      <c r="F14833" s="126"/>
      <c r="G14833" s="126">
        <f t="shared" si="237"/>
        <v>-10450</v>
      </c>
      <c r="H14833" s="705" t="s">
        <v>9587</v>
      </c>
    </row>
    <row r="14834" spans="1:8" s="682" customFormat="1" ht="15" customHeight="1" x14ac:dyDescent="0.25">
      <c r="A14834" s="734">
        <v>45045</v>
      </c>
      <c r="B14834" s="63" t="s">
        <v>8868</v>
      </c>
      <c r="C14834" s="63" t="s">
        <v>3145</v>
      </c>
      <c r="D14834" s="183" t="s">
        <v>9757</v>
      </c>
      <c r="E14834" s="126">
        <v>10450</v>
      </c>
      <c r="F14834" s="126"/>
      <c r="G14834" s="126">
        <f t="shared" si="237"/>
        <v>-10450</v>
      </c>
      <c r="H14834" s="705" t="s">
        <v>9587</v>
      </c>
    </row>
    <row r="14835" spans="1:8" s="682" customFormat="1" ht="15" customHeight="1" x14ac:dyDescent="0.25">
      <c r="A14835" s="734">
        <v>45045</v>
      </c>
      <c r="B14835" s="63" t="s">
        <v>9661</v>
      </c>
      <c r="C14835" s="63" t="s">
        <v>3145</v>
      </c>
      <c r="D14835" s="183" t="s">
        <v>9266</v>
      </c>
      <c r="E14835" s="126">
        <v>850</v>
      </c>
      <c r="F14835" s="126"/>
      <c r="G14835" s="126">
        <f t="shared" ref="G14835:G14891" si="238">F14835-E14835</f>
        <v>-850</v>
      </c>
      <c r="H14835" s="705" t="s">
        <v>9587</v>
      </c>
    </row>
    <row r="14836" spans="1:8" s="682" customFormat="1" ht="15" customHeight="1" x14ac:dyDescent="0.25">
      <c r="A14836" s="734">
        <v>45045</v>
      </c>
      <c r="B14836" s="63" t="s">
        <v>8876</v>
      </c>
      <c r="C14836" s="63" t="s">
        <v>286</v>
      </c>
      <c r="D14836" s="183" t="s">
        <v>8163</v>
      </c>
      <c r="E14836" s="126">
        <v>320</v>
      </c>
      <c r="F14836" s="126"/>
      <c r="G14836" s="126">
        <f t="shared" si="238"/>
        <v>-320</v>
      </c>
      <c r="H14836" s="705" t="s">
        <v>9587</v>
      </c>
    </row>
    <row r="14837" spans="1:8" s="682" customFormat="1" ht="15" customHeight="1" x14ac:dyDescent="0.25">
      <c r="A14837" s="734">
        <v>45045</v>
      </c>
      <c r="B14837" s="63" t="s">
        <v>8876</v>
      </c>
      <c r="C14837" s="63" t="s">
        <v>392</v>
      </c>
      <c r="D14837" s="183" t="s">
        <v>8936</v>
      </c>
      <c r="E14837" s="126">
        <v>750</v>
      </c>
      <c r="F14837" s="126"/>
      <c r="G14837" s="126">
        <f t="shared" si="238"/>
        <v>-750</v>
      </c>
      <c r="H14837" s="705" t="s">
        <v>9587</v>
      </c>
    </row>
    <row r="14838" spans="1:8" s="682" customFormat="1" ht="15" customHeight="1" x14ac:dyDescent="0.25">
      <c r="A14838" s="734">
        <v>45045</v>
      </c>
      <c r="B14838" s="63" t="s">
        <v>8043</v>
      </c>
      <c r="C14838" s="63" t="s">
        <v>790</v>
      </c>
      <c r="D14838" s="183" t="s">
        <v>9758</v>
      </c>
      <c r="E14838" s="126">
        <v>1500</v>
      </c>
      <c r="F14838" s="126"/>
      <c r="G14838" s="126">
        <f t="shared" si="238"/>
        <v>-1500</v>
      </c>
      <c r="H14838" s="705" t="s">
        <v>9587</v>
      </c>
    </row>
    <row r="14839" spans="1:8" s="682" customFormat="1" ht="15" customHeight="1" x14ac:dyDescent="0.25">
      <c r="A14839" s="734">
        <v>45045</v>
      </c>
      <c r="B14839" s="63" t="s">
        <v>8876</v>
      </c>
      <c r="C14839" s="63" t="s">
        <v>3145</v>
      </c>
      <c r="D14839" s="183" t="s">
        <v>9759</v>
      </c>
      <c r="E14839" s="126">
        <v>8500</v>
      </c>
      <c r="F14839" s="126"/>
      <c r="G14839" s="126">
        <f t="shared" si="238"/>
        <v>-8500</v>
      </c>
      <c r="H14839" s="705" t="s">
        <v>9587</v>
      </c>
    </row>
    <row r="14840" spans="1:8" s="682" customFormat="1" ht="15" customHeight="1" x14ac:dyDescent="0.25">
      <c r="A14840" s="734">
        <v>45045</v>
      </c>
      <c r="B14840" s="63" t="s">
        <v>8876</v>
      </c>
      <c r="C14840" s="63" t="s">
        <v>286</v>
      </c>
      <c r="D14840" s="183" t="s">
        <v>9391</v>
      </c>
      <c r="E14840" s="126">
        <v>500</v>
      </c>
      <c r="F14840" s="126"/>
      <c r="G14840" s="126">
        <f t="shared" si="238"/>
        <v>-500</v>
      </c>
      <c r="H14840" s="705" t="s">
        <v>9587</v>
      </c>
    </row>
    <row r="14841" spans="1:8" s="682" customFormat="1" ht="15" customHeight="1" x14ac:dyDescent="0.25">
      <c r="A14841" s="734">
        <v>45045</v>
      </c>
      <c r="B14841" s="63" t="s">
        <v>9661</v>
      </c>
      <c r="C14841" s="63" t="s">
        <v>3145</v>
      </c>
      <c r="D14841" s="183" t="s">
        <v>4309</v>
      </c>
      <c r="E14841" s="126">
        <v>4855</v>
      </c>
      <c r="F14841" s="126"/>
      <c r="G14841" s="126">
        <f t="shared" si="238"/>
        <v>-4855</v>
      </c>
      <c r="H14841" s="705" t="s">
        <v>9587</v>
      </c>
    </row>
    <row r="14842" spans="1:8" s="682" customFormat="1" ht="15" customHeight="1" x14ac:dyDescent="0.25">
      <c r="A14842" s="734">
        <v>45045</v>
      </c>
      <c r="B14842" s="63" t="s">
        <v>9356</v>
      </c>
      <c r="C14842" s="63" t="s">
        <v>9460</v>
      </c>
      <c r="D14842" s="183" t="s">
        <v>9760</v>
      </c>
      <c r="E14842" s="126">
        <v>5000</v>
      </c>
      <c r="F14842" s="126"/>
      <c r="G14842" s="126">
        <f t="shared" si="238"/>
        <v>-5000</v>
      </c>
      <c r="H14842" s="705" t="s">
        <v>9587</v>
      </c>
    </row>
    <row r="14843" spans="1:8" s="682" customFormat="1" ht="15" customHeight="1" x14ac:dyDescent="0.25">
      <c r="A14843" s="734">
        <v>45045</v>
      </c>
      <c r="B14843" s="63" t="s">
        <v>16</v>
      </c>
      <c r="C14843" s="63" t="s">
        <v>103</v>
      </c>
      <c r="D14843" s="183" t="s">
        <v>9425</v>
      </c>
      <c r="E14843" s="126">
        <v>1000</v>
      </c>
      <c r="F14843" s="126"/>
      <c r="G14843" s="126">
        <f t="shared" si="238"/>
        <v>-1000</v>
      </c>
      <c r="H14843" s="705" t="s">
        <v>9587</v>
      </c>
    </row>
    <row r="14844" spans="1:8" s="682" customFormat="1" ht="15" customHeight="1" x14ac:dyDescent="0.25">
      <c r="A14844" s="734">
        <v>45045</v>
      </c>
      <c r="B14844" s="63" t="s">
        <v>9356</v>
      </c>
      <c r="C14844" s="63" t="s">
        <v>392</v>
      </c>
      <c r="D14844" s="183" t="s">
        <v>9761</v>
      </c>
      <c r="E14844" s="126">
        <v>2000</v>
      </c>
      <c r="F14844" s="126"/>
      <c r="G14844" s="126">
        <f t="shared" si="238"/>
        <v>-2000</v>
      </c>
      <c r="H14844" s="705" t="s">
        <v>9587</v>
      </c>
    </row>
    <row r="14845" spans="1:8" s="682" customFormat="1" ht="15" customHeight="1" x14ac:dyDescent="0.25">
      <c r="A14845" s="734">
        <v>45045</v>
      </c>
      <c r="B14845" s="63" t="s">
        <v>16</v>
      </c>
      <c r="C14845" s="63" t="s">
        <v>103</v>
      </c>
      <c r="D14845" s="183" t="s">
        <v>9425</v>
      </c>
      <c r="E14845" s="126">
        <v>1000</v>
      </c>
      <c r="F14845" s="126"/>
      <c r="G14845" s="126">
        <f t="shared" si="238"/>
        <v>-1000</v>
      </c>
      <c r="H14845" s="705" t="s">
        <v>9587</v>
      </c>
    </row>
    <row r="14846" spans="1:8" ht="15" x14ac:dyDescent="0.2">
      <c r="A14846" s="733">
        <v>45022</v>
      </c>
      <c r="B14846" s="174" t="s">
        <v>8868</v>
      </c>
      <c r="C14846" s="174" t="s">
        <v>9549</v>
      </c>
      <c r="D14846" s="228" t="s">
        <v>9640</v>
      </c>
      <c r="E14846" s="236">
        <v>20000</v>
      </c>
      <c r="F14846" s="123"/>
      <c r="G14846" s="123">
        <f t="shared" si="238"/>
        <v>-20000</v>
      </c>
      <c r="H14846" s="709" t="s">
        <v>9587</v>
      </c>
    </row>
    <row r="14847" spans="1:8" ht="15" x14ac:dyDescent="0.2">
      <c r="A14847" s="733">
        <v>45022</v>
      </c>
      <c r="B14847" s="174" t="s">
        <v>9507</v>
      </c>
      <c r="C14847" s="174" t="s">
        <v>9549</v>
      </c>
      <c r="D14847" s="228" t="s">
        <v>9640</v>
      </c>
      <c r="E14847" s="236">
        <v>25000</v>
      </c>
      <c r="F14847" s="123"/>
      <c r="G14847" s="123">
        <f t="shared" si="238"/>
        <v>-25000</v>
      </c>
      <c r="H14847" s="709" t="s">
        <v>9587</v>
      </c>
    </row>
    <row r="14848" spans="1:8" ht="24" x14ac:dyDescent="0.2">
      <c r="A14848" s="733">
        <v>45026</v>
      </c>
      <c r="B14848" s="174" t="s">
        <v>9507</v>
      </c>
      <c r="C14848" s="174" t="s">
        <v>9636</v>
      </c>
      <c r="D14848" s="228" t="s">
        <v>9641</v>
      </c>
      <c r="E14848" s="236">
        <v>161500</v>
      </c>
      <c r="F14848" s="123"/>
      <c r="G14848" s="123">
        <f t="shared" si="238"/>
        <v>-161500</v>
      </c>
      <c r="H14848" s="709" t="s">
        <v>9587</v>
      </c>
    </row>
    <row r="14849" spans="1:8" ht="24" x14ac:dyDescent="0.2">
      <c r="A14849" s="733">
        <v>45026</v>
      </c>
      <c r="B14849" s="174" t="s">
        <v>9507</v>
      </c>
      <c r="C14849" s="174" t="s">
        <v>9544</v>
      </c>
      <c r="D14849" s="228" t="s">
        <v>9642</v>
      </c>
      <c r="E14849" s="236">
        <v>191500</v>
      </c>
      <c r="F14849" s="236"/>
      <c r="G14849" s="236">
        <f t="shared" si="238"/>
        <v>-191500</v>
      </c>
      <c r="H14849" s="709" t="s">
        <v>9587</v>
      </c>
    </row>
    <row r="14850" spans="1:8" ht="15" x14ac:dyDescent="0.2">
      <c r="A14850" s="733">
        <v>45027</v>
      </c>
      <c r="B14850" s="174" t="s">
        <v>8339</v>
      </c>
      <c r="C14850" s="174" t="s">
        <v>7467</v>
      </c>
      <c r="D14850" s="228" t="s">
        <v>9654</v>
      </c>
      <c r="E14850" s="236">
        <v>800000</v>
      </c>
      <c r="F14850" s="123"/>
      <c r="G14850" s="123">
        <f t="shared" si="238"/>
        <v>-800000</v>
      </c>
      <c r="H14850" s="709" t="s">
        <v>9587</v>
      </c>
    </row>
    <row r="14851" spans="1:8" ht="15" x14ac:dyDescent="0.2">
      <c r="A14851" s="733">
        <v>45027</v>
      </c>
      <c r="B14851" s="174" t="s">
        <v>8876</v>
      </c>
      <c r="C14851" s="174" t="s">
        <v>431</v>
      </c>
      <c r="D14851" s="228" t="s">
        <v>9655</v>
      </c>
      <c r="E14851" s="236">
        <v>300000</v>
      </c>
      <c r="F14851" s="123"/>
      <c r="G14851" s="123">
        <f t="shared" si="238"/>
        <v>-300000</v>
      </c>
      <c r="H14851" s="709" t="s">
        <v>9587</v>
      </c>
    </row>
    <row r="14852" spans="1:8" ht="15" x14ac:dyDescent="0.2">
      <c r="A14852" s="733">
        <v>45029</v>
      </c>
      <c r="B14852" s="174" t="s">
        <v>1400</v>
      </c>
      <c r="C14852" s="551" t="s">
        <v>5681</v>
      </c>
      <c r="D14852" s="740" t="s">
        <v>9657</v>
      </c>
      <c r="E14852" s="552">
        <v>208180</v>
      </c>
      <c r="F14852" s="123"/>
      <c r="G14852" s="123">
        <f t="shared" si="238"/>
        <v>-208180</v>
      </c>
      <c r="H14852" s="709" t="s">
        <v>9587</v>
      </c>
    </row>
    <row r="14853" spans="1:8" ht="15" x14ac:dyDescent="0.2">
      <c r="A14853" s="733">
        <v>45029</v>
      </c>
      <c r="B14853" s="174" t="s">
        <v>7657</v>
      </c>
      <c r="C14853" s="551" t="s">
        <v>5681</v>
      </c>
      <c r="D14853" s="740" t="s">
        <v>9657</v>
      </c>
      <c r="E14853" s="552">
        <v>40900</v>
      </c>
      <c r="F14853" s="123"/>
      <c r="G14853" s="123">
        <f t="shared" si="238"/>
        <v>-40900</v>
      </c>
      <c r="H14853" s="709" t="s">
        <v>9587</v>
      </c>
    </row>
    <row r="14854" spans="1:8" ht="15" x14ac:dyDescent="0.2">
      <c r="A14854" s="733">
        <v>45029</v>
      </c>
      <c r="B14854" s="174" t="s">
        <v>7555</v>
      </c>
      <c r="C14854" s="551" t="s">
        <v>5681</v>
      </c>
      <c r="D14854" s="740" t="s">
        <v>9657</v>
      </c>
      <c r="E14854" s="552">
        <v>5400</v>
      </c>
      <c r="F14854" s="123"/>
      <c r="G14854" s="123">
        <f t="shared" si="238"/>
        <v>-5400</v>
      </c>
      <c r="H14854" s="709" t="s">
        <v>9587</v>
      </c>
    </row>
    <row r="14855" spans="1:8" ht="15" x14ac:dyDescent="0.2">
      <c r="A14855" s="733">
        <v>45029</v>
      </c>
      <c r="B14855" s="174" t="s">
        <v>8657</v>
      </c>
      <c r="C14855" s="551" t="s">
        <v>5681</v>
      </c>
      <c r="D14855" s="740" t="s">
        <v>9657</v>
      </c>
      <c r="E14855" s="552">
        <v>40520</v>
      </c>
      <c r="F14855" s="123"/>
      <c r="G14855" s="123">
        <f t="shared" si="238"/>
        <v>-40520</v>
      </c>
      <c r="H14855" s="709" t="s">
        <v>9587</v>
      </c>
    </row>
    <row r="14856" spans="1:8" ht="15" x14ac:dyDescent="0.2">
      <c r="A14856" s="733">
        <v>45029</v>
      </c>
      <c r="B14856" s="174" t="s">
        <v>9356</v>
      </c>
      <c r="C14856" s="174" t="s">
        <v>256</v>
      </c>
      <c r="D14856" s="228" t="s">
        <v>9658</v>
      </c>
      <c r="E14856" s="236">
        <v>743276</v>
      </c>
      <c r="F14856" s="123"/>
      <c r="G14856" s="123">
        <f t="shared" si="238"/>
        <v>-743276</v>
      </c>
      <c r="H14856" s="709" t="s">
        <v>9587</v>
      </c>
    </row>
    <row r="14857" spans="1:8" ht="15" x14ac:dyDescent="0.2">
      <c r="A14857" s="733">
        <v>45031</v>
      </c>
      <c r="B14857" s="174" t="s">
        <v>8043</v>
      </c>
      <c r="C14857" s="551" t="s">
        <v>705</v>
      </c>
      <c r="D14857" s="740" t="s">
        <v>9678</v>
      </c>
      <c r="E14857" s="552">
        <v>67000</v>
      </c>
      <c r="F14857" s="123"/>
      <c r="G14857" s="123">
        <f t="shared" si="238"/>
        <v>-67000</v>
      </c>
      <c r="H14857" s="709" t="s">
        <v>9587</v>
      </c>
    </row>
    <row r="14858" spans="1:8" ht="15" x14ac:dyDescent="0.2">
      <c r="A14858" s="733">
        <v>45031</v>
      </c>
      <c r="B14858" s="174" t="s">
        <v>8876</v>
      </c>
      <c r="C14858" s="551" t="s">
        <v>705</v>
      </c>
      <c r="D14858" s="740" t="s">
        <v>9678</v>
      </c>
      <c r="E14858" s="552">
        <v>18365</v>
      </c>
      <c r="F14858" s="123"/>
      <c r="G14858" s="123">
        <f t="shared" si="238"/>
        <v>-18365</v>
      </c>
      <c r="H14858" s="709" t="s">
        <v>9587</v>
      </c>
    </row>
    <row r="14859" spans="1:8" ht="15" x14ac:dyDescent="0.2">
      <c r="A14859" s="733">
        <v>45031</v>
      </c>
      <c r="B14859" s="174" t="s">
        <v>9409</v>
      </c>
      <c r="C14859" s="551" t="s">
        <v>705</v>
      </c>
      <c r="D14859" s="740" t="s">
        <v>9678</v>
      </c>
      <c r="E14859" s="552">
        <v>20500</v>
      </c>
      <c r="F14859" s="123"/>
      <c r="G14859" s="123">
        <f t="shared" si="238"/>
        <v>-20500</v>
      </c>
      <c r="H14859" s="709" t="s">
        <v>9587</v>
      </c>
    </row>
    <row r="14860" spans="1:8" ht="15" x14ac:dyDescent="0.2">
      <c r="A14860" s="733">
        <v>45031</v>
      </c>
      <c r="B14860" s="174" t="s">
        <v>9409</v>
      </c>
      <c r="C14860" s="551" t="s">
        <v>705</v>
      </c>
      <c r="D14860" s="740" t="s">
        <v>9678</v>
      </c>
      <c r="E14860" s="552">
        <v>4135</v>
      </c>
      <c r="F14860" s="123"/>
      <c r="G14860" s="123">
        <f t="shared" si="238"/>
        <v>-4135</v>
      </c>
      <c r="H14860" s="709" t="s">
        <v>9587</v>
      </c>
    </row>
    <row r="14861" spans="1:8" ht="15" x14ac:dyDescent="0.2">
      <c r="A14861" s="733">
        <v>45034</v>
      </c>
      <c r="B14861" s="174" t="s">
        <v>8657</v>
      </c>
      <c r="C14861" s="174" t="s">
        <v>166</v>
      </c>
      <c r="D14861" s="228" t="s">
        <v>9708</v>
      </c>
      <c r="E14861" s="236">
        <v>500000</v>
      </c>
      <c r="F14861" s="123"/>
      <c r="G14861" s="123">
        <f t="shared" si="238"/>
        <v>-500000</v>
      </c>
      <c r="H14861" s="709" t="s">
        <v>9587</v>
      </c>
    </row>
    <row r="14862" spans="1:8" ht="15" x14ac:dyDescent="0.2">
      <c r="A14862" s="733">
        <v>45034</v>
      </c>
      <c r="B14862" s="174" t="s">
        <v>9464</v>
      </c>
      <c r="C14862" s="174" t="s">
        <v>7906</v>
      </c>
      <c r="D14862" s="228" t="s">
        <v>9718</v>
      </c>
      <c r="E14862" s="236">
        <v>252496</v>
      </c>
      <c r="F14862" s="123"/>
      <c r="G14862" s="123">
        <f t="shared" si="238"/>
        <v>-252496</v>
      </c>
      <c r="H14862" s="709" t="s">
        <v>9587</v>
      </c>
    </row>
    <row r="14863" spans="1:8" ht="15" x14ac:dyDescent="0.2">
      <c r="A14863" s="730">
        <v>45021</v>
      </c>
      <c r="B14863" s="91" t="s">
        <v>7921</v>
      </c>
      <c r="C14863" s="94" t="s">
        <v>559</v>
      </c>
      <c r="D14863" s="801" t="s">
        <v>9598</v>
      </c>
      <c r="E14863" s="92"/>
      <c r="F14863" s="92">
        <v>3000000</v>
      </c>
      <c r="G14863" s="92">
        <f t="shared" si="238"/>
        <v>3000000</v>
      </c>
      <c r="H14863" s="702" t="s">
        <v>9587</v>
      </c>
    </row>
    <row r="14864" spans="1:8" ht="15" x14ac:dyDescent="0.2">
      <c r="A14864" s="730">
        <v>45021</v>
      </c>
      <c r="B14864" s="91" t="s">
        <v>7921</v>
      </c>
      <c r="C14864" s="94" t="s">
        <v>559</v>
      </c>
      <c r="D14864" s="801" t="s">
        <v>8543</v>
      </c>
      <c r="E14864" s="92">
        <v>27000</v>
      </c>
      <c r="F14864" s="92"/>
      <c r="G14864" s="92">
        <f t="shared" si="238"/>
        <v>-27000</v>
      </c>
      <c r="H14864" s="702" t="s">
        <v>9587</v>
      </c>
    </row>
    <row r="14865" spans="1:8" ht="15" x14ac:dyDescent="0.2">
      <c r="A14865" s="730">
        <v>45022</v>
      </c>
      <c r="B14865" s="91" t="s">
        <v>6505</v>
      </c>
      <c r="C14865" s="94" t="s">
        <v>559</v>
      </c>
      <c r="D14865" s="801" t="s">
        <v>9599</v>
      </c>
      <c r="E14865" s="92"/>
      <c r="F14865" s="92">
        <v>1500000</v>
      </c>
      <c r="G14865" s="92">
        <f t="shared" si="238"/>
        <v>1500000</v>
      </c>
      <c r="H14865" s="702" t="s">
        <v>9587</v>
      </c>
    </row>
    <row r="14866" spans="1:8" ht="15" x14ac:dyDescent="0.2">
      <c r="A14866" s="730">
        <v>45022</v>
      </c>
      <c r="B14866" s="91" t="s">
        <v>6505</v>
      </c>
      <c r="C14866" s="94" t="s">
        <v>559</v>
      </c>
      <c r="D14866" s="801" t="s">
        <v>8543</v>
      </c>
      <c r="E14866" s="92">
        <v>15000</v>
      </c>
      <c r="F14866" s="92"/>
      <c r="G14866" s="92">
        <f t="shared" si="238"/>
        <v>-15000</v>
      </c>
      <c r="H14866" s="702" t="s">
        <v>9587</v>
      </c>
    </row>
    <row r="14867" spans="1:8" ht="15" x14ac:dyDescent="0.2">
      <c r="A14867" s="730">
        <v>45022</v>
      </c>
      <c r="B14867" s="91" t="s">
        <v>6505</v>
      </c>
      <c r="C14867" s="94" t="s">
        <v>559</v>
      </c>
      <c r="D14867" s="801" t="s">
        <v>9599</v>
      </c>
      <c r="E14867" s="92"/>
      <c r="F14867" s="92">
        <v>1500000</v>
      </c>
      <c r="G14867" s="92">
        <f t="shared" si="238"/>
        <v>1500000</v>
      </c>
      <c r="H14867" s="702" t="s">
        <v>9587</v>
      </c>
    </row>
    <row r="14868" spans="1:8" ht="15" x14ac:dyDescent="0.2">
      <c r="A14868" s="730">
        <v>45022</v>
      </c>
      <c r="B14868" s="91" t="s">
        <v>6505</v>
      </c>
      <c r="C14868" s="94" t="s">
        <v>559</v>
      </c>
      <c r="D14868" s="801" t="s">
        <v>8543</v>
      </c>
      <c r="E14868" s="92">
        <v>15000</v>
      </c>
      <c r="F14868" s="92"/>
      <c r="G14868" s="92">
        <f t="shared" si="238"/>
        <v>-15000</v>
      </c>
      <c r="H14868" s="702" t="s">
        <v>9587</v>
      </c>
    </row>
    <row r="14869" spans="1:8" ht="15" x14ac:dyDescent="0.2">
      <c r="A14869" s="730">
        <v>45023</v>
      </c>
      <c r="B14869" s="91" t="s">
        <v>4553</v>
      </c>
      <c r="C14869" s="94" t="s">
        <v>559</v>
      </c>
      <c r="D14869" s="801" t="s">
        <v>9709</v>
      </c>
      <c r="E14869" s="92"/>
      <c r="F14869" s="92">
        <v>63250</v>
      </c>
      <c r="G14869" s="92">
        <f t="shared" si="238"/>
        <v>63250</v>
      </c>
      <c r="H14869" s="702" t="s">
        <v>9587</v>
      </c>
    </row>
    <row r="14870" spans="1:8" ht="15" x14ac:dyDescent="0.2">
      <c r="A14870" s="730">
        <v>45023</v>
      </c>
      <c r="B14870" s="91" t="s">
        <v>9464</v>
      </c>
      <c r="C14870" s="94" t="s">
        <v>559</v>
      </c>
      <c r="D14870" s="801" t="s">
        <v>9660</v>
      </c>
      <c r="E14870" s="92"/>
      <c r="F14870" s="92">
        <v>700000</v>
      </c>
      <c r="G14870" s="92">
        <f t="shared" si="238"/>
        <v>700000</v>
      </c>
      <c r="H14870" s="702" t="s">
        <v>9587</v>
      </c>
    </row>
    <row r="14871" spans="1:8" ht="15" x14ac:dyDescent="0.2">
      <c r="A14871" s="730">
        <v>45023</v>
      </c>
      <c r="B14871" s="91" t="s">
        <v>7067</v>
      </c>
      <c r="C14871" s="94" t="s">
        <v>559</v>
      </c>
      <c r="D14871" s="801" t="s">
        <v>9601</v>
      </c>
      <c r="E14871" s="92"/>
      <c r="F14871" s="92">
        <v>200148</v>
      </c>
      <c r="G14871" s="92">
        <f t="shared" si="238"/>
        <v>200148</v>
      </c>
      <c r="H14871" s="702" t="s">
        <v>9587</v>
      </c>
    </row>
    <row r="14872" spans="1:8" ht="15" x14ac:dyDescent="0.2">
      <c r="A14872" s="730">
        <v>45023</v>
      </c>
      <c r="B14872" s="91" t="s">
        <v>9507</v>
      </c>
      <c r="C14872" s="94" t="s">
        <v>559</v>
      </c>
      <c r="D14872" s="801" t="s">
        <v>9604</v>
      </c>
      <c r="E14872" s="92"/>
      <c r="F14872" s="92">
        <v>500000</v>
      </c>
      <c r="G14872" s="92">
        <f t="shared" si="238"/>
        <v>500000</v>
      </c>
      <c r="H14872" s="702" t="s">
        <v>9587</v>
      </c>
    </row>
    <row r="14873" spans="1:8" ht="15" x14ac:dyDescent="0.2">
      <c r="A14873" s="730">
        <v>45028</v>
      </c>
      <c r="B14873" s="91" t="s">
        <v>37</v>
      </c>
      <c r="C14873" s="94" t="s">
        <v>559</v>
      </c>
      <c r="D14873" s="801" t="s">
        <v>9639</v>
      </c>
      <c r="E14873" s="176"/>
      <c r="F14873" s="176">
        <v>188568</v>
      </c>
      <c r="G14873" s="92">
        <f t="shared" si="238"/>
        <v>188568</v>
      </c>
      <c r="H14873" s="702" t="s">
        <v>9587</v>
      </c>
    </row>
    <row r="14874" spans="1:8" ht="15" x14ac:dyDescent="0.2">
      <c r="A14874" s="730">
        <v>45028</v>
      </c>
      <c r="B14874" s="91" t="s">
        <v>9356</v>
      </c>
      <c r="C14874" s="94" t="s">
        <v>559</v>
      </c>
      <c r="D14874" s="801" t="s">
        <v>9713</v>
      </c>
      <c r="E14874" s="176"/>
      <c r="F14874" s="92">
        <v>743276</v>
      </c>
      <c r="G14874" s="92">
        <f t="shared" si="238"/>
        <v>743276</v>
      </c>
      <c r="H14874" s="702" t="s">
        <v>9587</v>
      </c>
    </row>
    <row r="14875" spans="1:8" s="682" customFormat="1" ht="15" customHeight="1" x14ac:dyDescent="0.25">
      <c r="A14875" s="730">
        <v>45029</v>
      </c>
      <c r="B14875" s="94" t="s">
        <v>8657</v>
      </c>
      <c r="C14875" s="94" t="s">
        <v>559</v>
      </c>
      <c r="D14875" s="892" t="s">
        <v>9830</v>
      </c>
      <c r="E14875" s="176"/>
      <c r="F14875" s="176">
        <v>3509561</v>
      </c>
      <c r="G14875" s="176">
        <f t="shared" si="238"/>
        <v>3509561</v>
      </c>
      <c r="H14875" s="702" t="s">
        <v>9587</v>
      </c>
    </row>
    <row r="14876" spans="1:8" ht="15" x14ac:dyDescent="0.2">
      <c r="A14876" s="730">
        <v>45029</v>
      </c>
      <c r="B14876" s="91" t="s">
        <v>3946</v>
      </c>
      <c r="C14876" s="94" t="s">
        <v>559</v>
      </c>
      <c r="D14876" s="801" t="s">
        <v>9645</v>
      </c>
      <c r="E14876" s="176"/>
      <c r="F14876" s="176">
        <v>310329</v>
      </c>
      <c r="G14876" s="176">
        <f t="shared" si="238"/>
        <v>310329</v>
      </c>
      <c r="H14876" s="702" t="s">
        <v>9587</v>
      </c>
    </row>
    <row r="14877" spans="1:8" ht="15" x14ac:dyDescent="0.2">
      <c r="A14877" s="730">
        <v>45031</v>
      </c>
      <c r="B14877" s="91" t="s">
        <v>9464</v>
      </c>
      <c r="C14877" s="94" t="s">
        <v>559</v>
      </c>
      <c r="D14877" s="801" t="s">
        <v>9679</v>
      </c>
      <c r="E14877" s="92"/>
      <c r="F14877" s="92">
        <v>1022000</v>
      </c>
      <c r="G14877" s="176">
        <f t="shared" si="238"/>
        <v>1022000</v>
      </c>
      <c r="H14877" s="702" t="s">
        <v>9587</v>
      </c>
    </row>
    <row r="14878" spans="1:8" ht="15" x14ac:dyDescent="0.2">
      <c r="A14878" s="730">
        <v>45033</v>
      </c>
      <c r="B14878" s="94" t="s">
        <v>8657</v>
      </c>
      <c r="C14878" s="94" t="s">
        <v>559</v>
      </c>
      <c r="D14878" s="892" t="s">
        <v>9829</v>
      </c>
      <c r="E14878" s="176"/>
      <c r="F14878" s="176">
        <v>3509561</v>
      </c>
      <c r="G14878" s="176">
        <f t="shared" si="238"/>
        <v>3509561</v>
      </c>
      <c r="H14878" s="702" t="s">
        <v>9587</v>
      </c>
    </row>
    <row r="14879" spans="1:8" ht="15" x14ac:dyDescent="0.2">
      <c r="A14879" s="730">
        <v>45034</v>
      </c>
      <c r="B14879" s="94" t="s">
        <v>8657</v>
      </c>
      <c r="C14879" s="94" t="s">
        <v>559</v>
      </c>
      <c r="D14879" s="892" t="s">
        <v>9828</v>
      </c>
      <c r="E14879" s="176"/>
      <c r="F14879" s="176">
        <v>3509561</v>
      </c>
      <c r="G14879" s="176">
        <f t="shared" si="238"/>
        <v>3509561</v>
      </c>
      <c r="H14879" s="702" t="s">
        <v>9587</v>
      </c>
    </row>
    <row r="14880" spans="1:8" ht="24" x14ac:dyDescent="0.2">
      <c r="A14880" s="730">
        <v>45034</v>
      </c>
      <c r="B14880" s="91" t="s">
        <v>9356</v>
      </c>
      <c r="C14880" s="94" t="s">
        <v>559</v>
      </c>
      <c r="D14880" s="802" t="s">
        <v>9714</v>
      </c>
      <c r="E14880" s="176"/>
      <c r="F14880" s="92">
        <v>500000</v>
      </c>
      <c r="G14880" s="176">
        <f t="shared" si="238"/>
        <v>500000</v>
      </c>
      <c r="H14880" s="702" t="s">
        <v>9587</v>
      </c>
    </row>
    <row r="14881" spans="1:8" ht="24" x14ac:dyDescent="0.2">
      <c r="A14881" s="730">
        <v>45034</v>
      </c>
      <c r="B14881" s="91" t="s">
        <v>9356</v>
      </c>
      <c r="C14881" s="94" t="s">
        <v>559</v>
      </c>
      <c r="D14881" s="802" t="s">
        <v>9715</v>
      </c>
      <c r="E14881" s="92"/>
      <c r="F14881" s="92">
        <v>500000</v>
      </c>
      <c r="G14881" s="176">
        <f t="shared" si="238"/>
        <v>500000</v>
      </c>
      <c r="H14881" s="702" t="s">
        <v>9587</v>
      </c>
    </row>
    <row r="14882" spans="1:8" ht="24" x14ac:dyDescent="0.2">
      <c r="A14882" s="730">
        <v>45034</v>
      </c>
      <c r="B14882" s="91" t="s">
        <v>9356</v>
      </c>
      <c r="C14882" s="94" t="s">
        <v>559</v>
      </c>
      <c r="D14882" s="802" t="s">
        <v>9716</v>
      </c>
      <c r="E14882" s="92"/>
      <c r="F14882" s="92">
        <v>500000</v>
      </c>
      <c r="G14882" s="176">
        <f t="shared" si="238"/>
        <v>500000</v>
      </c>
      <c r="H14882" s="702" t="s">
        <v>9587</v>
      </c>
    </row>
    <row r="14883" spans="1:8" ht="24" x14ac:dyDescent="0.2">
      <c r="A14883" s="730">
        <v>45035</v>
      </c>
      <c r="B14883" s="91" t="s">
        <v>9356</v>
      </c>
      <c r="C14883" s="94" t="s">
        <v>559</v>
      </c>
      <c r="D14883" s="802" t="s">
        <v>9717</v>
      </c>
      <c r="E14883" s="176"/>
      <c r="F14883" s="92">
        <v>252496</v>
      </c>
      <c r="G14883" s="176">
        <f t="shared" si="238"/>
        <v>252496</v>
      </c>
      <c r="H14883" s="702" t="s">
        <v>9587</v>
      </c>
    </row>
    <row r="14884" spans="1:8" ht="24" x14ac:dyDescent="0.2">
      <c r="A14884" s="730">
        <v>45035</v>
      </c>
      <c r="B14884" s="91" t="s">
        <v>8876</v>
      </c>
      <c r="C14884" s="94" t="s">
        <v>559</v>
      </c>
      <c r="D14884" s="802" t="s">
        <v>9729</v>
      </c>
      <c r="E14884" s="92"/>
      <c r="F14884" s="92">
        <v>4000000</v>
      </c>
      <c r="G14884" s="92">
        <f t="shared" si="238"/>
        <v>4000000</v>
      </c>
      <c r="H14884" s="702" t="s">
        <v>9587</v>
      </c>
    </row>
    <row r="14885" spans="1:8" ht="15" x14ac:dyDescent="0.2">
      <c r="A14885" s="730">
        <v>45035</v>
      </c>
      <c r="B14885" s="91" t="s">
        <v>8876</v>
      </c>
      <c r="C14885" s="94" t="s">
        <v>559</v>
      </c>
      <c r="D14885" s="801" t="s">
        <v>8543</v>
      </c>
      <c r="E14885" s="92">
        <v>40000</v>
      </c>
      <c r="F14885" s="92"/>
      <c r="G14885" s="92">
        <f t="shared" si="238"/>
        <v>-40000</v>
      </c>
      <c r="H14885" s="702" t="s">
        <v>9587</v>
      </c>
    </row>
    <row r="14886" spans="1:8" ht="15" x14ac:dyDescent="0.2">
      <c r="A14886" s="734">
        <v>45048</v>
      </c>
      <c r="B14886" s="63" t="s">
        <v>9832</v>
      </c>
      <c r="C14886" s="63" t="s">
        <v>794</v>
      </c>
      <c r="D14886" s="183" t="s">
        <v>372</v>
      </c>
      <c r="E14886" s="126">
        <v>25000</v>
      </c>
      <c r="F14886" s="58"/>
      <c r="G14886" s="126">
        <f t="shared" si="238"/>
        <v>-25000</v>
      </c>
      <c r="H14886" s="705" t="s">
        <v>9743</v>
      </c>
    </row>
    <row r="14887" spans="1:8" ht="15" x14ac:dyDescent="0.2">
      <c r="A14887" s="734">
        <v>45048</v>
      </c>
      <c r="B14887" s="63" t="s">
        <v>10144</v>
      </c>
      <c r="C14887" s="63" t="s">
        <v>794</v>
      </c>
      <c r="D14887" s="183" t="s">
        <v>372</v>
      </c>
      <c r="E14887" s="126">
        <v>25000</v>
      </c>
      <c r="F14887" s="58"/>
      <c r="G14887" s="126">
        <f t="shared" si="238"/>
        <v>-25000</v>
      </c>
      <c r="H14887" s="705" t="s">
        <v>9743</v>
      </c>
    </row>
    <row r="14888" spans="1:8" ht="15" x14ac:dyDescent="0.2">
      <c r="A14888" s="734">
        <v>45048</v>
      </c>
      <c r="B14888" s="63" t="s">
        <v>8876</v>
      </c>
      <c r="C14888" s="63" t="s">
        <v>794</v>
      </c>
      <c r="D14888" s="183" t="s">
        <v>141</v>
      </c>
      <c r="E14888" s="126">
        <v>25000</v>
      </c>
      <c r="F14888" s="58"/>
      <c r="G14888" s="126">
        <f t="shared" si="238"/>
        <v>-25000</v>
      </c>
      <c r="H14888" s="705" t="s">
        <v>9743</v>
      </c>
    </row>
    <row r="14889" spans="1:8" ht="15" x14ac:dyDescent="0.2">
      <c r="A14889" s="734">
        <v>45048</v>
      </c>
      <c r="B14889" s="63" t="s">
        <v>9661</v>
      </c>
      <c r="C14889" s="63" t="s">
        <v>794</v>
      </c>
      <c r="D14889" s="183" t="s">
        <v>141</v>
      </c>
      <c r="E14889" s="126">
        <v>25000</v>
      </c>
      <c r="F14889" s="58"/>
      <c r="G14889" s="126">
        <f t="shared" si="238"/>
        <v>-25000</v>
      </c>
      <c r="H14889" s="705" t="s">
        <v>9743</v>
      </c>
    </row>
    <row r="14890" spans="1:8" ht="15" x14ac:dyDescent="0.2">
      <c r="A14890" s="734">
        <v>45048</v>
      </c>
      <c r="B14890" s="63" t="s">
        <v>25</v>
      </c>
      <c r="C14890" s="63" t="s">
        <v>794</v>
      </c>
      <c r="D14890" s="183" t="s">
        <v>10183</v>
      </c>
      <c r="E14890" s="126">
        <v>80000</v>
      </c>
      <c r="F14890" s="58"/>
      <c r="G14890" s="126">
        <f t="shared" si="238"/>
        <v>-80000</v>
      </c>
      <c r="H14890" s="705" t="s">
        <v>9743</v>
      </c>
    </row>
    <row r="14891" spans="1:8" ht="15" x14ac:dyDescent="0.2">
      <c r="A14891" s="734">
        <v>45048</v>
      </c>
      <c r="B14891" s="63" t="s">
        <v>16</v>
      </c>
      <c r="C14891" s="63" t="s">
        <v>794</v>
      </c>
      <c r="D14891" s="183" t="s">
        <v>10137</v>
      </c>
      <c r="E14891" s="126">
        <v>213550</v>
      </c>
      <c r="F14891" s="58"/>
      <c r="G14891" s="126">
        <f t="shared" si="238"/>
        <v>-213550</v>
      </c>
      <c r="H14891" s="705" t="s">
        <v>9743</v>
      </c>
    </row>
    <row r="14892" spans="1:8" ht="15" x14ac:dyDescent="0.2">
      <c r="A14892" s="734">
        <v>45048</v>
      </c>
      <c r="B14892" s="63" t="s">
        <v>3946</v>
      </c>
      <c r="C14892" s="63" t="s">
        <v>794</v>
      </c>
      <c r="D14892" s="183" t="s">
        <v>10088</v>
      </c>
      <c r="E14892" s="126">
        <v>120772.17741935499</v>
      </c>
      <c r="F14892" s="58"/>
      <c r="G14892" s="58">
        <v>-120772.17741935499</v>
      </c>
      <c r="H14892" s="705" t="s">
        <v>9743</v>
      </c>
    </row>
    <row r="14893" spans="1:8" ht="15" x14ac:dyDescent="0.2">
      <c r="A14893" s="734">
        <v>45048</v>
      </c>
      <c r="B14893" s="63" t="s">
        <v>2933</v>
      </c>
      <c r="C14893" s="63" t="s">
        <v>794</v>
      </c>
      <c r="D14893" s="183" t="s">
        <v>8429</v>
      </c>
      <c r="E14893" s="126">
        <v>129908</v>
      </c>
      <c r="F14893" s="58"/>
      <c r="G14893" s="58">
        <v>-129908</v>
      </c>
      <c r="H14893" s="705" t="s">
        <v>9743</v>
      </c>
    </row>
    <row r="14894" spans="1:8" ht="15" x14ac:dyDescent="0.2">
      <c r="A14894" s="734">
        <v>45048</v>
      </c>
      <c r="B14894" s="63" t="s">
        <v>37</v>
      </c>
      <c r="C14894" s="63" t="s">
        <v>794</v>
      </c>
      <c r="D14894" s="183" t="s">
        <v>10097</v>
      </c>
      <c r="E14894" s="126">
        <v>131016.12903225806</v>
      </c>
      <c r="F14894" s="58"/>
      <c r="G14894" s="58">
        <v>-131016.12903225806</v>
      </c>
      <c r="H14894" s="705" t="s">
        <v>9743</v>
      </c>
    </row>
    <row r="14895" spans="1:8" ht="15" x14ac:dyDescent="0.2">
      <c r="A14895" s="734">
        <v>45048</v>
      </c>
      <c r="B14895" s="63" t="s">
        <v>9409</v>
      </c>
      <c r="C14895" s="63" t="s">
        <v>794</v>
      </c>
      <c r="D14895" s="183" t="s">
        <v>10103</v>
      </c>
      <c r="E14895" s="126">
        <v>81540</v>
      </c>
      <c r="F14895" s="58"/>
      <c r="G14895" s="58">
        <v>-81540</v>
      </c>
      <c r="H14895" s="705" t="s">
        <v>9743</v>
      </c>
    </row>
    <row r="14896" spans="1:8" ht="15" x14ac:dyDescent="0.2">
      <c r="A14896" s="734">
        <v>45048</v>
      </c>
      <c r="B14896" s="63" t="s">
        <v>9356</v>
      </c>
      <c r="C14896" s="63" t="s">
        <v>794</v>
      </c>
      <c r="D14896" s="183" t="s">
        <v>10104</v>
      </c>
      <c r="E14896" s="126">
        <v>40028</v>
      </c>
      <c r="F14896" s="58"/>
      <c r="G14896" s="58">
        <v>-40028</v>
      </c>
      <c r="H14896" s="705" t="s">
        <v>9743</v>
      </c>
    </row>
    <row r="14897" spans="1:8" ht="15" x14ac:dyDescent="0.2">
      <c r="A14897" s="734">
        <v>45048</v>
      </c>
      <c r="B14897" s="63" t="s">
        <v>8876</v>
      </c>
      <c r="C14897" s="63" t="s">
        <v>794</v>
      </c>
      <c r="D14897" s="183" t="s">
        <v>10106</v>
      </c>
      <c r="E14897" s="126">
        <v>57900</v>
      </c>
      <c r="F14897" s="58"/>
      <c r="G14897" s="58">
        <v>-57900</v>
      </c>
      <c r="H14897" s="705" t="s">
        <v>9743</v>
      </c>
    </row>
    <row r="14898" spans="1:8" ht="15" x14ac:dyDescent="0.2">
      <c r="A14898" s="734">
        <v>45048</v>
      </c>
      <c r="B14898" s="63" t="s">
        <v>9661</v>
      </c>
      <c r="C14898" s="63" t="s">
        <v>794</v>
      </c>
      <c r="D14898" s="183" t="s">
        <v>10107</v>
      </c>
      <c r="E14898" s="126">
        <v>62399</v>
      </c>
      <c r="F14898" s="58"/>
      <c r="G14898" s="58">
        <v>-62399</v>
      </c>
      <c r="H14898" s="705" t="s">
        <v>9743</v>
      </c>
    </row>
    <row r="14899" spans="1:8" ht="15" x14ac:dyDescent="0.2">
      <c r="A14899" s="734">
        <v>45048</v>
      </c>
      <c r="B14899" s="63" t="s">
        <v>9409</v>
      </c>
      <c r="C14899" s="63" t="s">
        <v>794</v>
      </c>
      <c r="D14899" s="183" t="s">
        <v>10110</v>
      </c>
      <c r="E14899" s="126">
        <v>73850</v>
      </c>
      <c r="F14899" s="58"/>
      <c r="G14899" s="58">
        <v>-73850</v>
      </c>
      <c r="H14899" s="705" t="s">
        <v>9743</v>
      </c>
    </row>
    <row r="14900" spans="1:8" ht="15" x14ac:dyDescent="0.2">
      <c r="A14900" s="734">
        <v>45048</v>
      </c>
      <c r="B14900" s="63" t="s">
        <v>9356</v>
      </c>
      <c r="C14900" s="63" t="s">
        <v>794</v>
      </c>
      <c r="D14900" s="183" t="s">
        <v>10113</v>
      </c>
      <c r="E14900" s="126">
        <v>53780</v>
      </c>
      <c r="F14900" s="58"/>
      <c r="G14900" s="58">
        <v>-53780</v>
      </c>
      <c r="H14900" s="705" t="s">
        <v>9743</v>
      </c>
    </row>
    <row r="14901" spans="1:8" ht="15" x14ac:dyDescent="0.2">
      <c r="A14901" s="734">
        <v>45048</v>
      </c>
      <c r="B14901" s="63" t="s">
        <v>9409</v>
      </c>
      <c r="C14901" s="63" t="s">
        <v>794</v>
      </c>
      <c r="D14901" s="183" t="s">
        <v>10117</v>
      </c>
      <c r="E14901" s="126">
        <v>82340</v>
      </c>
      <c r="F14901" s="58"/>
      <c r="G14901" s="58">
        <v>-82340</v>
      </c>
      <c r="H14901" s="705" t="s">
        <v>9743</v>
      </c>
    </row>
    <row r="14902" spans="1:8" ht="15" customHeight="1" x14ac:dyDescent="0.2">
      <c r="A14902" s="734">
        <v>45048</v>
      </c>
      <c r="B14902" s="63" t="s">
        <v>9661</v>
      </c>
      <c r="C14902" s="63" t="s">
        <v>794</v>
      </c>
      <c r="D14902" s="183" t="s">
        <v>10119</v>
      </c>
      <c r="E14902" s="126">
        <v>29862.903225806454</v>
      </c>
      <c r="F14902" s="58"/>
      <c r="G14902" s="58">
        <v>-29862.903225806454</v>
      </c>
      <c r="H14902" s="705" t="s">
        <v>9743</v>
      </c>
    </row>
    <row r="14903" spans="1:8" ht="15" customHeight="1" x14ac:dyDescent="0.2">
      <c r="A14903" s="734">
        <v>45048</v>
      </c>
      <c r="B14903" s="63" t="s">
        <v>8876</v>
      </c>
      <c r="C14903" s="63" t="s">
        <v>794</v>
      </c>
      <c r="D14903" s="183" t="s">
        <v>1554</v>
      </c>
      <c r="E14903" s="126">
        <v>29919.354838709674</v>
      </c>
      <c r="F14903" s="58"/>
      <c r="G14903" s="58">
        <v>-29919.354838709674</v>
      </c>
      <c r="H14903" s="705" t="s">
        <v>9743</v>
      </c>
    </row>
    <row r="14904" spans="1:8" ht="15" customHeight="1" x14ac:dyDescent="0.2">
      <c r="A14904" s="734">
        <v>45048</v>
      </c>
      <c r="B14904" s="63" t="s">
        <v>10144</v>
      </c>
      <c r="C14904" s="63" t="s">
        <v>794</v>
      </c>
      <c r="D14904" s="183" t="s">
        <v>10118</v>
      </c>
      <c r="E14904" s="126">
        <v>35000</v>
      </c>
      <c r="F14904" s="58"/>
      <c r="G14904" s="58">
        <v>-35000</v>
      </c>
      <c r="H14904" s="705" t="s">
        <v>9743</v>
      </c>
    </row>
    <row r="14905" spans="1:8" ht="15" customHeight="1" x14ac:dyDescent="0.2">
      <c r="A14905" s="734">
        <v>45048</v>
      </c>
      <c r="B14905" s="63" t="s">
        <v>3945</v>
      </c>
      <c r="C14905" s="63" t="s">
        <v>794</v>
      </c>
      <c r="D14905" s="183" t="s">
        <v>10138</v>
      </c>
      <c r="E14905" s="126">
        <v>127744</v>
      </c>
      <c r="F14905" s="58"/>
      <c r="G14905" s="58">
        <v>-127744</v>
      </c>
      <c r="H14905" s="705" t="s">
        <v>9743</v>
      </c>
    </row>
    <row r="14906" spans="1:8" ht="15" customHeight="1" x14ac:dyDescent="0.2">
      <c r="A14906" s="734">
        <v>45048</v>
      </c>
      <c r="B14906" s="63" t="s">
        <v>3946</v>
      </c>
      <c r="C14906" s="63" t="s">
        <v>794</v>
      </c>
      <c r="D14906" s="183" t="s">
        <v>10139</v>
      </c>
      <c r="E14906" s="126">
        <v>28000</v>
      </c>
      <c r="F14906" s="58"/>
      <c r="G14906" s="58">
        <v>-28000</v>
      </c>
      <c r="H14906" s="705" t="s">
        <v>9743</v>
      </c>
    </row>
    <row r="14907" spans="1:8" ht="15" customHeight="1" x14ac:dyDescent="0.2">
      <c r="A14907" s="734">
        <v>45048</v>
      </c>
      <c r="B14907" s="63" t="s">
        <v>8876</v>
      </c>
      <c r="C14907" s="63" t="s">
        <v>794</v>
      </c>
      <c r="D14907" s="183" t="s">
        <v>10143</v>
      </c>
      <c r="E14907" s="126">
        <v>60360</v>
      </c>
      <c r="F14907" s="58"/>
      <c r="G14907" s="58">
        <f t="shared" ref="G14907:G14970" si="239">F14907-E14907</f>
        <v>-60360</v>
      </c>
      <c r="H14907" s="705" t="s">
        <v>9743</v>
      </c>
    </row>
    <row r="14908" spans="1:8" ht="15" x14ac:dyDescent="0.2">
      <c r="A14908" s="734">
        <v>45048</v>
      </c>
      <c r="B14908" s="63" t="s">
        <v>10179</v>
      </c>
      <c r="C14908" s="63" t="s">
        <v>794</v>
      </c>
      <c r="D14908" s="183" t="s">
        <v>9012</v>
      </c>
      <c r="E14908" s="126">
        <v>5000</v>
      </c>
      <c r="F14908" s="58"/>
      <c r="G14908" s="58">
        <f t="shared" si="239"/>
        <v>-5000</v>
      </c>
      <c r="H14908" s="705" t="s">
        <v>9743</v>
      </c>
    </row>
    <row r="14909" spans="1:8" ht="15" x14ac:dyDescent="0.2">
      <c r="A14909" s="734">
        <v>45048</v>
      </c>
      <c r="B14909" s="41" t="s">
        <v>9356</v>
      </c>
      <c r="C14909" s="63" t="s">
        <v>5741</v>
      </c>
      <c r="D14909" s="108" t="s">
        <v>370</v>
      </c>
      <c r="E14909" s="58">
        <v>800</v>
      </c>
      <c r="F14909" s="58"/>
      <c r="G14909" s="58">
        <f t="shared" si="239"/>
        <v>-800</v>
      </c>
      <c r="H14909" s="705" t="s">
        <v>9743</v>
      </c>
    </row>
    <row r="14910" spans="1:8" ht="15" x14ac:dyDescent="0.2">
      <c r="A14910" s="734">
        <v>45048</v>
      </c>
      <c r="B14910" s="41" t="s">
        <v>9464</v>
      </c>
      <c r="C14910" s="63" t="s">
        <v>5741</v>
      </c>
      <c r="D14910" s="108" t="s">
        <v>370</v>
      </c>
      <c r="E14910" s="58">
        <v>700</v>
      </c>
      <c r="F14910" s="58"/>
      <c r="G14910" s="58">
        <f t="shared" si="239"/>
        <v>-700</v>
      </c>
      <c r="H14910" s="705" t="s">
        <v>9743</v>
      </c>
    </row>
    <row r="14911" spans="1:8" ht="15" x14ac:dyDescent="0.2">
      <c r="A14911" s="734">
        <v>45048</v>
      </c>
      <c r="B14911" s="41" t="s">
        <v>8657</v>
      </c>
      <c r="C14911" s="63" t="s">
        <v>5741</v>
      </c>
      <c r="D14911" s="108" t="s">
        <v>370</v>
      </c>
      <c r="E14911" s="58">
        <v>1700</v>
      </c>
      <c r="F14911" s="58"/>
      <c r="G14911" s="58">
        <f t="shared" si="239"/>
        <v>-1700</v>
      </c>
      <c r="H14911" s="705" t="s">
        <v>9743</v>
      </c>
    </row>
    <row r="14912" spans="1:8" ht="15" x14ac:dyDescent="0.2">
      <c r="A14912" s="734">
        <v>45048</v>
      </c>
      <c r="B14912" s="41" t="s">
        <v>25</v>
      </c>
      <c r="C14912" s="63" t="s">
        <v>8150</v>
      </c>
      <c r="D14912" s="108" t="s">
        <v>9270</v>
      </c>
      <c r="E14912" s="58">
        <v>300</v>
      </c>
      <c r="F14912" s="58"/>
      <c r="G14912" s="58">
        <f t="shared" si="239"/>
        <v>-300</v>
      </c>
      <c r="H14912" s="705" t="s">
        <v>9743</v>
      </c>
    </row>
    <row r="14913" spans="1:8" ht="15" x14ac:dyDescent="0.2">
      <c r="A14913" s="734">
        <v>45048</v>
      </c>
      <c r="B14913" s="41" t="s">
        <v>16</v>
      </c>
      <c r="C14913" s="63" t="s">
        <v>8150</v>
      </c>
      <c r="D14913" s="108" t="s">
        <v>9270</v>
      </c>
      <c r="E14913" s="58">
        <v>240</v>
      </c>
      <c r="F14913" s="58"/>
      <c r="G14913" s="58">
        <f t="shared" si="239"/>
        <v>-240</v>
      </c>
      <c r="H14913" s="705" t="s">
        <v>9743</v>
      </c>
    </row>
    <row r="14914" spans="1:8" ht="15" x14ac:dyDescent="0.2">
      <c r="A14914" s="734">
        <v>45048</v>
      </c>
      <c r="B14914" s="41" t="s">
        <v>25</v>
      </c>
      <c r="C14914" s="63" t="s">
        <v>2428</v>
      </c>
      <c r="D14914" s="108" t="s">
        <v>9762</v>
      </c>
      <c r="E14914" s="58">
        <v>3000</v>
      </c>
      <c r="F14914" s="58"/>
      <c r="G14914" s="58">
        <f t="shared" si="239"/>
        <v>-3000</v>
      </c>
      <c r="H14914" s="705" t="s">
        <v>9743</v>
      </c>
    </row>
    <row r="14915" spans="1:8" ht="15" x14ac:dyDescent="0.2">
      <c r="A14915" s="734">
        <v>45048</v>
      </c>
      <c r="B14915" s="41" t="s">
        <v>16</v>
      </c>
      <c r="C14915" s="63" t="s">
        <v>3843</v>
      </c>
      <c r="D14915" s="108" t="s">
        <v>9425</v>
      </c>
      <c r="E14915" s="58">
        <v>3000</v>
      </c>
      <c r="F14915" s="58"/>
      <c r="G14915" s="58">
        <f t="shared" si="239"/>
        <v>-3000</v>
      </c>
      <c r="H14915" s="705" t="s">
        <v>9743</v>
      </c>
    </row>
    <row r="14916" spans="1:8" ht="15" x14ac:dyDescent="0.2">
      <c r="A14916" s="734">
        <v>45048</v>
      </c>
      <c r="B14916" s="41" t="s">
        <v>9661</v>
      </c>
      <c r="C14916" s="63" t="s">
        <v>9764</v>
      </c>
      <c r="D14916" s="108" t="s">
        <v>9763</v>
      </c>
      <c r="E14916" s="58">
        <v>43500</v>
      </c>
      <c r="F14916" s="58"/>
      <c r="G14916" s="58">
        <f t="shared" si="239"/>
        <v>-43500</v>
      </c>
      <c r="H14916" s="705" t="s">
        <v>9743</v>
      </c>
    </row>
    <row r="14917" spans="1:8" ht="15" x14ac:dyDescent="0.2">
      <c r="A14917" s="734">
        <v>45048</v>
      </c>
      <c r="B14917" s="63" t="s">
        <v>3946</v>
      </c>
      <c r="C14917" s="551" t="s">
        <v>3003</v>
      </c>
      <c r="D14917" s="740" t="s">
        <v>9804</v>
      </c>
      <c r="E14917" s="552">
        <v>30152</v>
      </c>
      <c r="F14917" s="58"/>
      <c r="G14917" s="58">
        <f t="shared" si="239"/>
        <v>-30152</v>
      </c>
      <c r="H14917" s="705" t="s">
        <v>9743</v>
      </c>
    </row>
    <row r="14918" spans="1:8" ht="15" x14ac:dyDescent="0.2">
      <c r="A14918" s="734">
        <v>45048</v>
      </c>
      <c r="B14918" s="63" t="s">
        <v>3945</v>
      </c>
      <c r="C14918" s="551" t="s">
        <v>3003</v>
      </c>
      <c r="D14918" s="740" t="s">
        <v>9804</v>
      </c>
      <c r="E14918" s="552">
        <v>32760</v>
      </c>
      <c r="F14918" s="58"/>
      <c r="G14918" s="58">
        <f t="shared" si="239"/>
        <v>-32760</v>
      </c>
      <c r="H14918" s="705" t="s">
        <v>9743</v>
      </c>
    </row>
    <row r="14919" spans="1:8" ht="15" x14ac:dyDescent="0.2">
      <c r="A14919" s="734">
        <v>45048</v>
      </c>
      <c r="B14919" s="63" t="s">
        <v>37</v>
      </c>
      <c r="C14919" s="551" t="s">
        <v>3003</v>
      </c>
      <c r="D14919" s="740" t="s">
        <v>9804</v>
      </c>
      <c r="E14919" s="552">
        <v>15560</v>
      </c>
      <c r="F14919" s="58"/>
      <c r="G14919" s="58">
        <f t="shared" si="239"/>
        <v>-15560</v>
      </c>
      <c r="H14919" s="705" t="s">
        <v>9743</v>
      </c>
    </row>
    <row r="14920" spans="1:8" ht="15" x14ac:dyDescent="0.2">
      <c r="A14920" s="734">
        <v>45048</v>
      </c>
      <c r="B14920" s="63" t="s">
        <v>9409</v>
      </c>
      <c r="C14920" s="551" t="s">
        <v>3003</v>
      </c>
      <c r="D14920" s="740" t="s">
        <v>9804</v>
      </c>
      <c r="E14920" s="552">
        <v>81954</v>
      </c>
      <c r="F14920" s="58"/>
      <c r="G14920" s="58">
        <f t="shared" si="239"/>
        <v>-81954</v>
      </c>
      <c r="H14920" s="705" t="s">
        <v>9743</v>
      </c>
    </row>
    <row r="14921" spans="1:8" ht="15" x14ac:dyDescent="0.2">
      <c r="A14921" s="734">
        <v>45048</v>
      </c>
      <c r="B14921" s="41" t="s">
        <v>9661</v>
      </c>
      <c r="C14921" s="63" t="s">
        <v>5741</v>
      </c>
      <c r="D14921" s="108" t="s">
        <v>370</v>
      </c>
      <c r="E14921" s="58">
        <v>1000</v>
      </c>
      <c r="F14921" s="58"/>
      <c r="G14921" s="58">
        <f t="shared" si="239"/>
        <v>-1000</v>
      </c>
      <c r="H14921" s="705" t="s">
        <v>9743</v>
      </c>
    </row>
    <row r="14922" spans="1:8" ht="15" x14ac:dyDescent="0.2">
      <c r="A14922" s="734">
        <v>45048</v>
      </c>
      <c r="B14922" s="41" t="s">
        <v>9661</v>
      </c>
      <c r="C14922" s="63" t="s">
        <v>5741</v>
      </c>
      <c r="D14922" s="108" t="s">
        <v>370</v>
      </c>
      <c r="E14922" s="58">
        <v>800</v>
      </c>
      <c r="F14922" s="58"/>
      <c r="G14922" s="58">
        <f t="shared" si="239"/>
        <v>-800</v>
      </c>
      <c r="H14922" s="705" t="s">
        <v>9743</v>
      </c>
    </row>
    <row r="14923" spans="1:8" ht="15" x14ac:dyDescent="0.2">
      <c r="A14923" s="734">
        <v>45049</v>
      </c>
      <c r="B14923" s="41" t="s">
        <v>9356</v>
      </c>
      <c r="C14923" s="551" t="s">
        <v>3145</v>
      </c>
      <c r="D14923" s="893" t="s">
        <v>9765</v>
      </c>
      <c r="E14923" s="583">
        <v>5500</v>
      </c>
      <c r="F14923" s="58"/>
      <c r="G14923" s="58">
        <f t="shared" si="239"/>
        <v>-5500</v>
      </c>
      <c r="H14923" s="705" t="s">
        <v>9743</v>
      </c>
    </row>
    <row r="14924" spans="1:8" ht="15" x14ac:dyDescent="0.2">
      <c r="A14924" s="734">
        <v>45049</v>
      </c>
      <c r="B14924" s="41" t="s">
        <v>9661</v>
      </c>
      <c r="C14924" s="551" t="s">
        <v>3145</v>
      </c>
      <c r="D14924" s="893" t="s">
        <v>9765</v>
      </c>
      <c r="E14924" s="583">
        <v>5500</v>
      </c>
      <c r="F14924" s="58"/>
      <c r="G14924" s="58">
        <f t="shared" si="239"/>
        <v>-5500</v>
      </c>
      <c r="H14924" s="705" t="s">
        <v>9743</v>
      </c>
    </row>
    <row r="14925" spans="1:8" ht="15" x14ac:dyDescent="0.2">
      <c r="A14925" s="734">
        <v>45049</v>
      </c>
      <c r="B14925" s="41" t="s">
        <v>9769</v>
      </c>
      <c r="C14925" s="63" t="s">
        <v>3145</v>
      </c>
      <c r="D14925" s="108" t="s">
        <v>9766</v>
      </c>
      <c r="E14925" s="58">
        <v>21100</v>
      </c>
      <c r="F14925" s="58"/>
      <c r="G14925" s="58">
        <f t="shared" si="239"/>
        <v>-21100</v>
      </c>
      <c r="H14925" s="705" t="s">
        <v>9743</v>
      </c>
    </row>
    <row r="14926" spans="1:8" ht="15" x14ac:dyDescent="0.2">
      <c r="A14926" s="734">
        <v>45049</v>
      </c>
      <c r="B14926" s="41" t="s">
        <v>9769</v>
      </c>
      <c r="C14926" s="63" t="s">
        <v>5741</v>
      </c>
      <c r="D14926" s="108" t="s">
        <v>9767</v>
      </c>
      <c r="E14926" s="58">
        <v>16050</v>
      </c>
      <c r="F14926" s="58"/>
      <c r="G14926" s="58">
        <f t="shared" si="239"/>
        <v>-16050</v>
      </c>
      <c r="H14926" s="705" t="s">
        <v>9743</v>
      </c>
    </row>
    <row r="14927" spans="1:8" ht="15" x14ac:dyDescent="0.2">
      <c r="A14927" s="734">
        <v>45049</v>
      </c>
      <c r="B14927" s="41" t="s">
        <v>9769</v>
      </c>
      <c r="C14927" s="63" t="s">
        <v>5741</v>
      </c>
      <c r="D14927" s="108" t="s">
        <v>9768</v>
      </c>
      <c r="E14927" s="58">
        <v>1500</v>
      </c>
      <c r="F14927" s="58"/>
      <c r="G14927" s="58">
        <f t="shared" si="239"/>
        <v>-1500</v>
      </c>
      <c r="H14927" s="705" t="s">
        <v>9743</v>
      </c>
    </row>
    <row r="14928" spans="1:8" ht="15" x14ac:dyDescent="0.2">
      <c r="A14928" s="734">
        <v>45049</v>
      </c>
      <c r="B14928" s="41" t="s">
        <v>9661</v>
      </c>
      <c r="C14928" s="63" t="s">
        <v>5741</v>
      </c>
      <c r="D14928" s="108" t="s">
        <v>370</v>
      </c>
      <c r="E14928" s="58">
        <v>1500</v>
      </c>
      <c r="F14928" s="58"/>
      <c r="G14928" s="58">
        <f t="shared" si="239"/>
        <v>-1500</v>
      </c>
      <c r="H14928" s="705" t="s">
        <v>9743</v>
      </c>
    </row>
    <row r="14929" spans="1:8" ht="15" x14ac:dyDescent="0.2">
      <c r="A14929" s="734">
        <v>45049</v>
      </c>
      <c r="B14929" s="41" t="s">
        <v>3946</v>
      </c>
      <c r="C14929" s="63" t="s">
        <v>286</v>
      </c>
      <c r="D14929" s="108" t="s">
        <v>9555</v>
      </c>
      <c r="E14929" s="58">
        <v>1500</v>
      </c>
      <c r="F14929" s="58"/>
      <c r="G14929" s="58">
        <f t="shared" si="239"/>
        <v>-1500</v>
      </c>
      <c r="H14929" s="705" t="s">
        <v>9743</v>
      </c>
    </row>
    <row r="14930" spans="1:8" ht="15" x14ac:dyDescent="0.2">
      <c r="A14930" s="734">
        <v>45049</v>
      </c>
      <c r="B14930" s="41" t="s">
        <v>9356</v>
      </c>
      <c r="C14930" s="63" t="s">
        <v>286</v>
      </c>
      <c r="D14930" s="108" t="s">
        <v>9770</v>
      </c>
      <c r="E14930" s="58">
        <v>1000</v>
      </c>
      <c r="F14930" s="58"/>
      <c r="G14930" s="58">
        <f t="shared" si="239"/>
        <v>-1000</v>
      </c>
      <c r="H14930" s="705" t="s">
        <v>9743</v>
      </c>
    </row>
    <row r="14931" spans="1:8" ht="15" x14ac:dyDescent="0.2">
      <c r="A14931" s="734">
        <v>45049</v>
      </c>
      <c r="B14931" s="41" t="s">
        <v>9769</v>
      </c>
      <c r="C14931" s="63" t="s">
        <v>3145</v>
      </c>
      <c r="D14931" s="108" t="s">
        <v>9771</v>
      </c>
      <c r="E14931" s="58">
        <v>42500</v>
      </c>
      <c r="F14931" s="58"/>
      <c r="G14931" s="58">
        <f t="shared" si="239"/>
        <v>-42500</v>
      </c>
      <c r="H14931" s="705" t="s">
        <v>9743</v>
      </c>
    </row>
    <row r="14932" spans="1:8" ht="15" x14ac:dyDescent="0.2">
      <c r="A14932" s="734">
        <v>45049</v>
      </c>
      <c r="B14932" s="41" t="s">
        <v>9769</v>
      </c>
      <c r="C14932" s="63" t="s">
        <v>3145</v>
      </c>
      <c r="D14932" s="108" t="s">
        <v>9772</v>
      </c>
      <c r="E14932" s="58">
        <v>31080</v>
      </c>
      <c r="F14932" s="58"/>
      <c r="G14932" s="58">
        <f t="shared" si="239"/>
        <v>-31080</v>
      </c>
      <c r="H14932" s="705" t="s">
        <v>9743</v>
      </c>
    </row>
    <row r="14933" spans="1:8" ht="15" x14ac:dyDescent="0.2">
      <c r="A14933" s="734">
        <v>45049</v>
      </c>
      <c r="B14933" s="41" t="s">
        <v>9356</v>
      </c>
      <c r="C14933" s="63" t="s">
        <v>9775</v>
      </c>
      <c r="D14933" s="108" t="s">
        <v>9776</v>
      </c>
      <c r="E14933" s="58">
        <v>200000</v>
      </c>
      <c r="F14933" s="58"/>
      <c r="G14933" s="58">
        <f t="shared" si="239"/>
        <v>-200000</v>
      </c>
      <c r="H14933" s="705" t="s">
        <v>9743</v>
      </c>
    </row>
    <row r="14934" spans="1:8" ht="15" x14ac:dyDescent="0.2">
      <c r="A14934" s="734">
        <v>45049</v>
      </c>
      <c r="B14934" s="41" t="s">
        <v>16</v>
      </c>
      <c r="C14934" s="63" t="s">
        <v>3843</v>
      </c>
      <c r="D14934" s="108" t="s">
        <v>9425</v>
      </c>
      <c r="E14934" s="58">
        <v>3500</v>
      </c>
      <c r="F14934" s="58"/>
      <c r="G14934" s="58">
        <f t="shared" si="239"/>
        <v>-3500</v>
      </c>
      <c r="H14934" s="705" t="s">
        <v>9743</v>
      </c>
    </row>
    <row r="14935" spans="1:8" ht="15" x14ac:dyDescent="0.2">
      <c r="A14935" s="734">
        <v>45049</v>
      </c>
      <c r="B14935" s="41" t="s">
        <v>9661</v>
      </c>
      <c r="C14935" s="63" t="s">
        <v>5741</v>
      </c>
      <c r="D14935" s="108" t="s">
        <v>9773</v>
      </c>
      <c r="E14935" s="58">
        <v>2000</v>
      </c>
      <c r="F14935" s="58"/>
      <c r="G14935" s="58">
        <f t="shared" si="239"/>
        <v>-2000</v>
      </c>
      <c r="H14935" s="705" t="s">
        <v>9743</v>
      </c>
    </row>
    <row r="14936" spans="1:8" ht="15" x14ac:dyDescent="0.2">
      <c r="A14936" s="734">
        <v>45049</v>
      </c>
      <c r="B14936" s="41" t="s">
        <v>9769</v>
      </c>
      <c r="C14936" s="63" t="s">
        <v>5741</v>
      </c>
      <c r="D14936" s="108" t="s">
        <v>9774</v>
      </c>
      <c r="E14936" s="58">
        <v>1000</v>
      </c>
      <c r="F14936" s="58"/>
      <c r="G14936" s="58">
        <f t="shared" si="239"/>
        <v>-1000</v>
      </c>
      <c r="H14936" s="705" t="s">
        <v>9743</v>
      </c>
    </row>
    <row r="14937" spans="1:8" ht="15" x14ac:dyDescent="0.2">
      <c r="A14937" s="734">
        <v>45049</v>
      </c>
      <c r="B14937" s="41" t="s">
        <v>8876</v>
      </c>
      <c r="C14937" s="63" t="s">
        <v>7477</v>
      </c>
      <c r="D14937" s="108" t="s">
        <v>9777</v>
      </c>
      <c r="E14937" s="58">
        <v>25000</v>
      </c>
      <c r="F14937" s="58"/>
      <c r="G14937" s="58">
        <f t="shared" si="239"/>
        <v>-25000</v>
      </c>
      <c r="H14937" s="705" t="s">
        <v>9743</v>
      </c>
    </row>
    <row r="14938" spans="1:8" ht="15" x14ac:dyDescent="0.2">
      <c r="A14938" s="734">
        <v>45049</v>
      </c>
      <c r="B14938" s="41" t="s">
        <v>8876</v>
      </c>
      <c r="C14938" s="63" t="s">
        <v>392</v>
      </c>
      <c r="D14938" s="108" t="s">
        <v>9779</v>
      </c>
      <c r="E14938" s="58">
        <v>1200</v>
      </c>
      <c r="F14938" s="58"/>
      <c r="G14938" s="58">
        <f t="shared" si="239"/>
        <v>-1200</v>
      </c>
      <c r="H14938" s="705" t="s">
        <v>9743</v>
      </c>
    </row>
    <row r="14939" spans="1:8" ht="15" x14ac:dyDescent="0.2">
      <c r="A14939" s="734">
        <v>45049</v>
      </c>
      <c r="B14939" s="41" t="s">
        <v>9661</v>
      </c>
      <c r="C14939" s="63" t="s">
        <v>3145</v>
      </c>
      <c r="D14939" s="108" t="s">
        <v>9778</v>
      </c>
      <c r="E14939" s="58">
        <v>13500</v>
      </c>
      <c r="F14939" s="58"/>
      <c r="G14939" s="58">
        <f t="shared" si="239"/>
        <v>-13500</v>
      </c>
      <c r="H14939" s="705" t="s">
        <v>9743</v>
      </c>
    </row>
    <row r="14940" spans="1:8" ht="15" x14ac:dyDescent="0.2">
      <c r="A14940" s="734">
        <v>45049</v>
      </c>
      <c r="B14940" s="41" t="s">
        <v>8657</v>
      </c>
      <c r="C14940" s="551" t="s">
        <v>8394</v>
      </c>
      <c r="D14940" s="740" t="s">
        <v>9800</v>
      </c>
      <c r="E14940" s="583">
        <v>494907</v>
      </c>
      <c r="F14940" s="58"/>
      <c r="G14940" s="58">
        <f t="shared" si="239"/>
        <v>-494907</v>
      </c>
      <c r="H14940" s="705" t="s">
        <v>9743</v>
      </c>
    </row>
    <row r="14941" spans="1:8" ht="15" x14ac:dyDescent="0.2">
      <c r="A14941" s="734">
        <v>45049</v>
      </c>
      <c r="B14941" s="41" t="s">
        <v>9661</v>
      </c>
      <c r="C14941" s="551" t="s">
        <v>8394</v>
      </c>
      <c r="D14941" s="740" t="s">
        <v>9800</v>
      </c>
      <c r="E14941" s="583">
        <v>235093</v>
      </c>
      <c r="F14941" s="58"/>
      <c r="G14941" s="58">
        <f t="shared" si="239"/>
        <v>-235093</v>
      </c>
      <c r="H14941" s="705" t="s">
        <v>9743</v>
      </c>
    </row>
    <row r="14942" spans="1:8" ht="15" x14ac:dyDescent="0.2">
      <c r="A14942" s="734">
        <v>45050</v>
      </c>
      <c r="B14942" s="41" t="s">
        <v>9769</v>
      </c>
      <c r="C14942" s="63" t="s">
        <v>9764</v>
      </c>
      <c r="D14942" s="108" t="s">
        <v>9780</v>
      </c>
      <c r="E14942" s="58">
        <v>102300</v>
      </c>
      <c r="F14942" s="58"/>
      <c r="G14942" s="58">
        <f t="shared" si="239"/>
        <v>-102300</v>
      </c>
      <c r="H14942" s="705" t="s">
        <v>9743</v>
      </c>
    </row>
    <row r="14943" spans="1:8" ht="15" x14ac:dyDescent="0.2">
      <c r="A14943" s="734">
        <v>45050</v>
      </c>
      <c r="B14943" s="41" t="s">
        <v>9356</v>
      </c>
      <c r="C14943" s="63" t="s">
        <v>9706</v>
      </c>
      <c r="D14943" s="108" t="s">
        <v>9781</v>
      </c>
      <c r="E14943" s="58">
        <v>150000</v>
      </c>
      <c r="F14943" s="58"/>
      <c r="G14943" s="58">
        <f t="shared" si="239"/>
        <v>-150000</v>
      </c>
      <c r="H14943" s="705" t="s">
        <v>9743</v>
      </c>
    </row>
    <row r="14944" spans="1:8" ht="15" x14ac:dyDescent="0.2">
      <c r="A14944" s="734">
        <v>45050</v>
      </c>
      <c r="B14944" s="41" t="s">
        <v>8876</v>
      </c>
      <c r="C14944" s="63" t="s">
        <v>9706</v>
      </c>
      <c r="D14944" s="108" t="s">
        <v>9782</v>
      </c>
      <c r="E14944" s="58">
        <v>46000</v>
      </c>
      <c r="F14944" s="58"/>
      <c r="G14944" s="58">
        <f t="shared" si="239"/>
        <v>-46000</v>
      </c>
      <c r="H14944" s="705" t="s">
        <v>9743</v>
      </c>
    </row>
    <row r="14945" spans="1:8" ht="15" x14ac:dyDescent="0.2">
      <c r="A14945" s="734">
        <v>45050</v>
      </c>
      <c r="B14945" s="41" t="s">
        <v>9661</v>
      </c>
      <c r="C14945" s="63" t="s">
        <v>6967</v>
      </c>
      <c r="D14945" s="108" t="s">
        <v>9784</v>
      </c>
      <c r="E14945" s="58">
        <v>15000</v>
      </c>
      <c r="F14945" s="58"/>
      <c r="G14945" s="58">
        <f t="shared" si="239"/>
        <v>-15000</v>
      </c>
      <c r="H14945" s="705" t="s">
        <v>9743</v>
      </c>
    </row>
    <row r="14946" spans="1:8" ht="15" x14ac:dyDescent="0.2">
      <c r="A14946" s="734">
        <v>45050</v>
      </c>
      <c r="B14946" s="41" t="s">
        <v>3946</v>
      </c>
      <c r="C14946" s="63" t="s">
        <v>3145</v>
      </c>
      <c r="D14946" s="108" t="s">
        <v>9785</v>
      </c>
      <c r="E14946" s="58">
        <v>3260</v>
      </c>
      <c r="F14946" s="58"/>
      <c r="G14946" s="58">
        <f t="shared" si="239"/>
        <v>-3260</v>
      </c>
      <c r="H14946" s="705" t="s">
        <v>9743</v>
      </c>
    </row>
    <row r="14947" spans="1:8" ht="15" x14ac:dyDescent="0.2">
      <c r="A14947" s="734">
        <v>45050</v>
      </c>
      <c r="B14947" s="41" t="s">
        <v>9409</v>
      </c>
      <c r="C14947" s="63" t="s">
        <v>2515</v>
      </c>
      <c r="D14947" s="108" t="s">
        <v>9783</v>
      </c>
      <c r="E14947" s="58">
        <v>25000</v>
      </c>
      <c r="F14947" s="58"/>
      <c r="G14947" s="58">
        <f t="shared" si="239"/>
        <v>-25000</v>
      </c>
      <c r="H14947" s="705" t="s">
        <v>9743</v>
      </c>
    </row>
    <row r="14948" spans="1:8" ht="15" x14ac:dyDescent="0.2">
      <c r="A14948" s="734">
        <v>45051</v>
      </c>
      <c r="B14948" s="41" t="s">
        <v>9661</v>
      </c>
      <c r="C14948" s="551" t="s">
        <v>9788</v>
      </c>
      <c r="D14948" s="893" t="s">
        <v>9789</v>
      </c>
      <c r="E14948" s="583">
        <v>37950</v>
      </c>
      <c r="F14948" s="58"/>
      <c r="G14948" s="58">
        <f t="shared" si="239"/>
        <v>-37950</v>
      </c>
      <c r="H14948" s="705" t="s">
        <v>9743</v>
      </c>
    </row>
    <row r="14949" spans="1:8" ht="15" x14ac:dyDescent="0.2">
      <c r="A14949" s="734">
        <v>45051</v>
      </c>
      <c r="B14949" s="41" t="s">
        <v>9769</v>
      </c>
      <c r="C14949" s="551" t="s">
        <v>9788</v>
      </c>
      <c r="D14949" s="893" t="s">
        <v>9789</v>
      </c>
      <c r="E14949" s="583">
        <v>37950</v>
      </c>
      <c r="F14949" s="58"/>
      <c r="G14949" s="58">
        <f t="shared" si="239"/>
        <v>-37950</v>
      </c>
      <c r="H14949" s="705" t="s">
        <v>9743</v>
      </c>
    </row>
    <row r="14950" spans="1:8" ht="15" x14ac:dyDescent="0.2">
      <c r="A14950" s="734">
        <v>45051</v>
      </c>
      <c r="B14950" s="41" t="s">
        <v>9356</v>
      </c>
      <c r="C14950" s="551" t="s">
        <v>9788</v>
      </c>
      <c r="D14950" s="893" t="s">
        <v>9789</v>
      </c>
      <c r="E14950" s="583">
        <v>37950</v>
      </c>
      <c r="F14950" s="58"/>
      <c r="G14950" s="58">
        <f t="shared" si="239"/>
        <v>-37950</v>
      </c>
      <c r="H14950" s="705" t="s">
        <v>9743</v>
      </c>
    </row>
    <row r="14951" spans="1:8" s="682" customFormat="1" ht="36" customHeight="1" x14ac:dyDescent="0.25">
      <c r="A14951" s="734">
        <v>45051</v>
      </c>
      <c r="B14951" s="63" t="s">
        <v>8657</v>
      </c>
      <c r="C14951" s="63" t="s">
        <v>9788</v>
      </c>
      <c r="D14951" s="183" t="s">
        <v>9805</v>
      </c>
      <c r="E14951" s="126">
        <v>480000</v>
      </c>
      <c r="F14951" s="126"/>
      <c r="G14951" s="126">
        <f t="shared" si="239"/>
        <v>-480000</v>
      </c>
      <c r="H14951" s="705" t="s">
        <v>9743</v>
      </c>
    </row>
    <row r="14952" spans="1:8" ht="15" x14ac:dyDescent="0.2">
      <c r="A14952" s="734">
        <v>45051</v>
      </c>
      <c r="B14952" s="41" t="s">
        <v>8657</v>
      </c>
      <c r="C14952" s="63" t="s">
        <v>5741</v>
      </c>
      <c r="D14952" s="108" t="s">
        <v>2002</v>
      </c>
      <c r="E14952" s="58">
        <v>1600</v>
      </c>
      <c r="F14952" s="58"/>
      <c r="G14952" s="58">
        <f t="shared" si="239"/>
        <v>-1600</v>
      </c>
      <c r="H14952" s="705" t="s">
        <v>9743</v>
      </c>
    </row>
    <row r="14953" spans="1:8" ht="15" x14ac:dyDescent="0.2">
      <c r="A14953" s="734">
        <v>45051</v>
      </c>
      <c r="B14953" s="41" t="s">
        <v>2933</v>
      </c>
      <c r="C14953" s="63" t="s">
        <v>4876</v>
      </c>
      <c r="D14953" s="108" t="s">
        <v>9786</v>
      </c>
      <c r="E14953" s="58">
        <v>9000</v>
      </c>
      <c r="F14953" s="58"/>
      <c r="G14953" s="58">
        <f t="shared" si="239"/>
        <v>-9000</v>
      </c>
      <c r="H14953" s="705" t="s">
        <v>9743</v>
      </c>
    </row>
    <row r="14954" spans="1:8" ht="15" x14ac:dyDescent="0.2">
      <c r="A14954" s="734">
        <v>45051</v>
      </c>
      <c r="B14954" s="41" t="s">
        <v>16</v>
      </c>
      <c r="C14954" s="63" t="s">
        <v>3843</v>
      </c>
      <c r="D14954" s="108" t="s">
        <v>9425</v>
      </c>
      <c r="E14954" s="58">
        <v>3000</v>
      </c>
      <c r="F14954" s="58"/>
      <c r="G14954" s="58">
        <f t="shared" si="239"/>
        <v>-3000</v>
      </c>
      <c r="H14954" s="705" t="s">
        <v>9743</v>
      </c>
    </row>
    <row r="14955" spans="1:8" ht="15" x14ac:dyDescent="0.2">
      <c r="A14955" s="734">
        <v>45051</v>
      </c>
      <c r="B14955" s="41" t="s">
        <v>9356</v>
      </c>
      <c r="C14955" s="63" t="s">
        <v>286</v>
      </c>
      <c r="D14955" s="108" t="s">
        <v>8448</v>
      </c>
      <c r="E14955" s="58">
        <v>1000</v>
      </c>
      <c r="F14955" s="58"/>
      <c r="G14955" s="58">
        <f t="shared" si="239"/>
        <v>-1000</v>
      </c>
      <c r="H14955" s="705" t="s">
        <v>9743</v>
      </c>
    </row>
    <row r="14956" spans="1:8" ht="15" x14ac:dyDescent="0.2">
      <c r="A14956" s="734">
        <v>45051</v>
      </c>
      <c r="B14956" s="41" t="s">
        <v>9356</v>
      </c>
      <c r="C14956" s="63" t="s">
        <v>286</v>
      </c>
      <c r="D14956" s="108" t="s">
        <v>9787</v>
      </c>
      <c r="E14956" s="58">
        <v>700</v>
      </c>
      <c r="F14956" s="58"/>
      <c r="G14956" s="58">
        <f t="shared" si="239"/>
        <v>-700</v>
      </c>
      <c r="H14956" s="705" t="s">
        <v>9743</v>
      </c>
    </row>
    <row r="14957" spans="1:8" ht="15" x14ac:dyDescent="0.2">
      <c r="A14957" s="734">
        <v>45052</v>
      </c>
      <c r="B14957" s="41" t="s">
        <v>8657</v>
      </c>
      <c r="C14957" s="63" t="s">
        <v>392</v>
      </c>
      <c r="D14957" s="108" t="s">
        <v>9023</v>
      </c>
      <c r="E14957" s="58">
        <v>500</v>
      </c>
      <c r="F14957" s="58"/>
      <c r="G14957" s="58">
        <f t="shared" si="239"/>
        <v>-500</v>
      </c>
      <c r="H14957" s="705" t="s">
        <v>9743</v>
      </c>
    </row>
    <row r="14958" spans="1:8" ht="15" x14ac:dyDescent="0.2">
      <c r="A14958" s="734">
        <v>45052</v>
      </c>
      <c r="B14958" s="41" t="s">
        <v>9409</v>
      </c>
      <c r="C14958" s="63" t="s">
        <v>9624</v>
      </c>
      <c r="D14958" s="108" t="s">
        <v>9790</v>
      </c>
      <c r="E14958" s="58">
        <v>50000</v>
      </c>
      <c r="F14958" s="58"/>
      <c r="G14958" s="58">
        <f t="shared" si="239"/>
        <v>-50000</v>
      </c>
      <c r="H14958" s="705" t="s">
        <v>9743</v>
      </c>
    </row>
    <row r="14959" spans="1:8" ht="15" x14ac:dyDescent="0.2">
      <c r="A14959" s="734">
        <v>45052</v>
      </c>
      <c r="B14959" s="41" t="s">
        <v>9356</v>
      </c>
      <c r="C14959" s="63" t="s">
        <v>3145</v>
      </c>
      <c r="D14959" s="108" t="s">
        <v>9796</v>
      </c>
      <c r="E14959" s="58">
        <v>25500</v>
      </c>
      <c r="F14959" s="58"/>
      <c r="G14959" s="58">
        <f t="shared" si="239"/>
        <v>-25500</v>
      </c>
      <c r="H14959" s="705" t="s">
        <v>9743</v>
      </c>
    </row>
    <row r="14960" spans="1:8" ht="15" x14ac:dyDescent="0.2">
      <c r="A14960" s="734">
        <v>45052</v>
      </c>
      <c r="B14960" s="41" t="s">
        <v>9356</v>
      </c>
      <c r="C14960" s="63" t="s">
        <v>9775</v>
      </c>
      <c r="D14960" s="108" t="s">
        <v>9791</v>
      </c>
      <c r="E14960" s="58">
        <v>100000</v>
      </c>
      <c r="F14960" s="58"/>
      <c r="G14960" s="58">
        <f t="shared" si="239"/>
        <v>-100000</v>
      </c>
      <c r="H14960" s="705" t="s">
        <v>9743</v>
      </c>
    </row>
    <row r="14961" spans="1:8" ht="15" x14ac:dyDescent="0.2">
      <c r="A14961" s="734">
        <v>45052</v>
      </c>
      <c r="B14961" s="41" t="s">
        <v>9356</v>
      </c>
      <c r="C14961" s="63" t="s">
        <v>3145</v>
      </c>
      <c r="D14961" s="108" t="s">
        <v>9797</v>
      </c>
      <c r="E14961" s="58">
        <v>10530</v>
      </c>
      <c r="F14961" s="58"/>
      <c r="G14961" s="58">
        <f t="shared" si="239"/>
        <v>-10530</v>
      </c>
      <c r="H14961" s="705" t="s">
        <v>9743</v>
      </c>
    </row>
    <row r="14962" spans="1:8" ht="15" x14ac:dyDescent="0.2">
      <c r="A14962" s="734">
        <v>45052</v>
      </c>
      <c r="B14962" s="41" t="s">
        <v>37</v>
      </c>
      <c r="C14962" s="63" t="s">
        <v>392</v>
      </c>
      <c r="D14962" s="108" t="s">
        <v>6429</v>
      </c>
      <c r="E14962" s="58">
        <v>3000</v>
      </c>
      <c r="F14962" s="58"/>
      <c r="G14962" s="58">
        <f t="shared" si="239"/>
        <v>-3000</v>
      </c>
      <c r="H14962" s="705" t="s">
        <v>9743</v>
      </c>
    </row>
    <row r="14963" spans="1:8" ht="15" x14ac:dyDescent="0.2">
      <c r="A14963" s="734">
        <v>45052</v>
      </c>
      <c r="B14963" s="41" t="s">
        <v>37</v>
      </c>
      <c r="C14963" s="63" t="s">
        <v>392</v>
      </c>
      <c r="D14963" s="108" t="s">
        <v>9798</v>
      </c>
      <c r="E14963" s="58">
        <v>500</v>
      </c>
      <c r="F14963" s="58"/>
      <c r="G14963" s="58">
        <f t="shared" si="239"/>
        <v>-500</v>
      </c>
      <c r="H14963" s="705" t="s">
        <v>9743</v>
      </c>
    </row>
    <row r="14964" spans="1:8" ht="15" x14ac:dyDescent="0.2">
      <c r="A14964" s="734">
        <v>45052</v>
      </c>
      <c r="B14964" s="41" t="s">
        <v>9356</v>
      </c>
      <c r="C14964" s="63" t="s">
        <v>5741</v>
      </c>
      <c r="D14964" s="108" t="s">
        <v>9792</v>
      </c>
      <c r="E14964" s="58">
        <v>800</v>
      </c>
      <c r="F14964" s="58"/>
      <c r="G14964" s="58">
        <f t="shared" si="239"/>
        <v>-800</v>
      </c>
      <c r="H14964" s="705" t="s">
        <v>9743</v>
      </c>
    </row>
    <row r="14965" spans="1:8" ht="15" x14ac:dyDescent="0.2">
      <c r="A14965" s="734">
        <v>45052</v>
      </c>
      <c r="B14965" s="41" t="s">
        <v>9356</v>
      </c>
      <c r="C14965" s="63" t="s">
        <v>5741</v>
      </c>
      <c r="D14965" s="108" t="s">
        <v>9793</v>
      </c>
      <c r="E14965" s="58">
        <v>2000</v>
      </c>
      <c r="F14965" s="58"/>
      <c r="G14965" s="58">
        <f t="shared" si="239"/>
        <v>-2000</v>
      </c>
      <c r="H14965" s="705" t="s">
        <v>9743</v>
      </c>
    </row>
    <row r="14966" spans="1:8" ht="15" x14ac:dyDescent="0.2">
      <c r="A14966" s="734">
        <v>45052</v>
      </c>
      <c r="B14966" s="41" t="s">
        <v>9356</v>
      </c>
      <c r="C14966" s="63" t="s">
        <v>9357</v>
      </c>
      <c r="D14966" s="108" t="s">
        <v>9799</v>
      </c>
      <c r="E14966" s="58">
        <v>395720</v>
      </c>
      <c r="F14966" s="58"/>
      <c r="G14966" s="58">
        <f t="shared" si="239"/>
        <v>-395720</v>
      </c>
      <c r="H14966" s="705" t="s">
        <v>9743</v>
      </c>
    </row>
    <row r="14967" spans="1:8" ht="15" x14ac:dyDescent="0.2">
      <c r="A14967" s="734">
        <v>45054</v>
      </c>
      <c r="B14967" s="41" t="s">
        <v>16</v>
      </c>
      <c r="C14967" s="63" t="s">
        <v>5410</v>
      </c>
      <c r="D14967" s="108" t="s">
        <v>9794</v>
      </c>
      <c r="E14967" s="58">
        <v>5000</v>
      </c>
      <c r="F14967" s="58"/>
      <c r="G14967" s="58">
        <f t="shared" si="239"/>
        <v>-5000</v>
      </c>
      <c r="H14967" s="705" t="s">
        <v>9743</v>
      </c>
    </row>
    <row r="14968" spans="1:8" ht="15" x14ac:dyDescent="0.2">
      <c r="A14968" s="734">
        <v>45054</v>
      </c>
      <c r="B14968" s="41" t="s">
        <v>8657</v>
      </c>
      <c r="C14968" s="63" t="s">
        <v>3145</v>
      </c>
      <c r="D14968" s="108" t="s">
        <v>9795</v>
      </c>
      <c r="E14968" s="58">
        <v>65500</v>
      </c>
      <c r="F14968" s="58"/>
      <c r="G14968" s="58">
        <f t="shared" si="239"/>
        <v>-65500</v>
      </c>
      <c r="H14968" s="705" t="s">
        <v>9743</v>
      </c>
    </row>
    <row r="14969" spans="1:8" ht="15" x14ac:dyDescent="0.2">
      <c r="A14969" s="734">
        <v>45054</v>
      </c>
      <c r="B14969" s="41" t="s">
        <v>8657</v>
      </c>
      <c r="C14969" s="63" t="s">
        <v>5741</v>
      </c>
      <c r="D14969" s="108" t="s">
        <v>370</v>
      </c>
      <c r="E14969" s="58">
        <v>2500</v>
      </c>
      <c r="F14969" s="58"/>
      <c r="G14969" s="58">
        <f t="shared" si="239"/>
        <v>-2500</v>
      </c>
      <c r="H14969" s="705" t="s">
        <v>9743</v>
      </c>
    </row>
    <row r="14970" spans="1:8" ht="15" x14ac:dyDescent="0.2">
      <c r="A14970" s="734">
        <v>45054</v>
      </c>
      <c r="B14970" s="41" t="s">
        <v>9409</v>
      </c>
      <c r="C14970" s="63" t="s">
        <v>3145</v>
      </c>
      <c r="D14970" s="108" t="s">
        <v>9806</v>
      </c>
      <c r="E14970" s="58">
        <v>3500</v>
      </c>
      <c r="F14970" s="58"/>
      <c r="G14970" s="58">
        <f t="shared" si="239"/>
        <v>-3500</v>
      </c>
      <c r="H14970" s="705" t="s">
        <v>9743</v>
      </c>
    </row>
    <row r="14971" spans="1:8" ht="15" x14ac:dyDescent="0.2">
      <c r="A14971" s="734">
        <v>45054</v>
      </c>
      <c r="B14971" s="41" t="s">
        <v>9769</v>
      </c>
      <c r="C14971" s="63" t="s">
        <v>286</v>
      </c>
      <c r="D14971" s="108" t="s">
        <v>9628</v>
      </c>
      <c r="E14971" s="58">
        <v>200</v>
      </c>
      <c r="F14971" s="58"/>
      <c r="G14971" s="58">
        <f t="shared" ref="G14971:G15034" si="240">F14971-E14971</f>
        <v>-200</v>
      </c>
      <c r="H14971" s="705" t="s">
        <v>9743</v>
      </c>
    </row>
    <row r="14972" spans="1:8" ht="15" x14ac:dyDescent="0.2">
      <c r="A14972" s="734">
        <v>45054</v>
      </c>
      <c r="B14972" s="41" t="s">
        <v>9409</v>
      </c>
      <c r="C14972" s="63" t="s">
        <v>3145</v>
      </c>
      <c r="D14972" s="108" t="s">
        <v>4450</v>
      </c>
      <c r="E14972" s="58">
        <v>69310</v>
      </c>
      <c r="F14972" s="58"/>
      <c r="G14972" s="58">
        <f t="shared" si="240"/>
        <v>-69310</v>
      </c>
      <c r="H14972" s="705" t="s">
        <v>9743</v>
      </c>
    </row>
    <row r="14973" spans="1:8" ht="15" x14ac:dyDescent="0.2">
      <c r="A14973" s="734">
        <v>45055</v>
      </c>
      <c r="B14973" s="41" t="s">
        <v>9769</v>
      </c>
      <c r="C14973" s="63" t="s">
        <v>8394</v>
      </c>
      <c r="D14973" s="108" t="s">
        <v>9834</v>
      </c>
      <c r="E14973" s="58">
        <v>400000</v>
      </c>
      <c r="F14973" s="58"/>
      <c r="G14973" s="58">
        <f t="shared" si="240"/>
        <v>-400000</v>
      </c>
      <c r="H14973" s="705" t="s">
        <v>9743</v>
      </c>
    </row>
    <row r="14974" spans="1:8" ht="15" x14ac:dyDescent="0.2">
      <c r="A14974" s="734">
        <v>45055</v>
      </c>
      <c r="B14974" s="41" t="s">
        <v>9356</v>
      </c>
      <c r="C14974" s="63" t="s">
        <v>9775</v>
      </c>
      <c r="D14974" s="108" t="s">
        <v>9835</v>
      </c>
      <c r="E14974" s="58">
        <v>113000</v>
      </c>
      <c r="F14974" s="58"/>
      <c r="G14974" s="58">
        <f t="shared" si="240"/>
        <v>-113000</v>
      </c>
      <c r="H14974" s="705" t="s">
        <v>9743</v>
      </c>
    </row>
    <row r="14975" spans="1:8" ht="15" x14ac:dyDescent="0.2">
      <c r="A14975" s="734">
        <v>45055</v>
      </c>
      <c r="B14975" s="41" t="s">
        <v>9661</v>
      </c>
      <c r="C14975" s="63" t="s">
        <v>3145</v>
      </c>
      <c r="D14975" s="108" t="s">
        <v>9836</v>
      </c>
      <c r="E14975" s="58">
        <v>150</v>
      </c>
      <c r="F14975" s="58"/>
      <c r="G14975" s="58">
        <f t="shared" si="240"/>
        <v>-150</v>
      </c>
      <c r="H14975" s="705" t="s">
        <v>9743</v>
      </c>
    </row>
    <row r="14976" spans="1:8" ht="15" x14ac:dyDescent="0.2">
      <c r="A14976" s="734">
        <v>45055</v>
      </c>
      <c r="B14976" s="41" t="s">
        <v>16</v>
      </c>
      <c r="C14976" s="63" t="s">
        <v>3843</v>
      </c>
      <c r="D14976" s="108" t="s">
        <v>9425</v>
      </c>
      <c r="E14976" s="58">
        <v>3000</v>
      </c>
      <c r="F14976" s="58"/>
      <c r="G14976" s="58">
        <f t="shared" si="240"/>
        <v>-3000</v>
      </c>
      <c r="H14976" s="705" t="s">
        <v>9743</v>
      </c>
    </row>
    <row r="14977" spans="1:8" ht="15" x14ac:dyDescent="0.2">
      <c r="A14977" s="734">
        <v>45056</v>
      </c>
      <c r="B14977" s="41" t="s">
        <v>9661</v>
      </c>
      <c r="C14977" s="63" t="s">
        <v>9549</v>
      </c>
      <c r="D14977" s="108" t="s">
        <v>9837</v>
      </c>
      <c r="E14977" s="58">
        <v>30000</v>
      </c>
      <c r="F14977" s="58"/>
      <c r="G14977" s="58">
        <f t="shared" si="240"/>
        <v>-30000</v>
      </c>
      <c r="H14977" s="705" t="s">
        <v>9743</v>
      </c>
    </row>
    <row r="14978" spans="1:8" ht="15" x14ac:dyDescent="0.2">
      <c r="A14978" s="734">
        <v>45056</v>
      </c>
      <c r="B14978" s="41" t="s">
        <v>9661</v>
      </c>
      <c r="C14978" s="63" t="s">
        <v>3145</v>
      </c>
      <c r="D14978" s="893" t="s">
        <v>9839</v>
      </c>
      <c r="E14978" s="583">
        <v>10370</v>
      </c>
      <c r="F14978" s="58"/>
      <c r="G14978" s="58">
        <f t="shared" si="240"/>
        <v>-10370</v>
      </c>
      <c r="H14978" s="705" t="s">
        <v>9743</v>
      </c>
    </row>
    <row r="14979" spans="1:8" ht="15" x14ac:dyDescent="0.2">
      <c r="A14979" s="734">
        <v>45056</v>
      </c>
      <c r="B14979" s="41" t="s">
        <v>9356</v>
      </c>
      <c r="C14979" s="63" t="s">
        <v>3145</v>
      </c>
      <c r="D14979" s="893" t="s">
        <v>9839</v>
      </c>
      <c r="E14979" s="583">
        <v>10370</v>
      </c>
      <c r="F14979" s="58"/>
      <c r="G14979" s="58">
        <f t="shared" si="240"/>
        <v>-10370</v>
      </c>
      <c r="H14979" s="705" t="s">
        <v>9743</v>
      </c>
    </row>
    <row r="14980" spans="1:8" ht="15" x14ac:dyDescent="0.2">
      <c r="A14980" s="734">
        <v>45056</v>
      </c>
      <c r="B14980" s="41" t="s">
        <v>9356</v>
      </c>
      <c r="C14980" s="63" t="s">
        <v>5741</v>
      </c>
      <c r="D14980" s="108" t="s">
        <v>9838</v>
      </c>
      <c r="E14980" s="58">
        <v>600</v>
      </c>
      <c r="F14980" s="58"/>
      <c r="G14980" s="58">
        <f t="shared" si="240"/>
        <v>-600</v>
      </c>
      <c r="H14980" s="705" t="s">
        <v>9743</v>
      </c>
    </row>
    <row r="14981" spans="1:8" ht="15" x14ac:dyDescent="0.2">
      <c r="A14981" s="734">
        <v>45056</v>
      </c>
      <c r="B14981" s="41" t="s">
        <v>9356</v>
      </c>
      <c r="C14981" s="63" t="s">
        <v>5741</v>
      </c>
      <c r="D14981" s="108" t="s">
        <v>370</v>
      </c>
      <c r="E14981" s="58">
        <v>1300</v>
      </c>
      <c r="F14981" s="58"/>
      <c r="G14981" s="58">
        <f t="shared" si="240"/>
        <v>-1300</v>
      </c>
      <c r="H14981" s="705" t="s">
        <v>9743</v>
      </c>
    </row>
    <row r="14982" spans="1:8" ht="15" x14ac:dyDescent="0.2">
      <c r="A14982" s="734">
        <v>45056</v>
      </c>
      <c r="B14982" s="41" t="s">
        <v>16</v>
      </c>
      <c r="C14982" s="63" t="s">
        <v>3843</v>
      </c>
      <c r="D14982" s="108" t="s">
        <v>3119</v>
      </c>
      <c r="E14982" s="58">
        <v>1000</v>
      </c>
      <c r="F14982" s="58"/>
      <c r="G14982" s="58">
        <f t="shared" si="240"/>
        <v>-1000</v>
      </c>
      <c r="H14982" s="705" t="s">
        <v>9743</v>
      </c>
    </row>
    <row r="14983" spans="1:8" ht="15" x14ac:dyDescent="0.2">
      <c r="A14983" s="734">
        <v>45056</v>
      </c>
      <c r="B14983" s="41" t="s">
        <v>9661</v>
      </c>
      <c r="C14983" s="63" t="s">
        <v>286</v>
      </c>
      <c r="D14983" s="108" t="s">
        <v>8448</v>
      </c>
      <c r="E14983" s="58">
        <v>1000</v>
      </c>
      <c r="F14983" s="58"/>
      <c r="G14983" s="58">
        <f t="shared" si="240"/>
        <v>-1000</v>
      </c>
      <c r="H14983" s="705" t="s">
        <v>9743</v>
      </c>
    </row>
    <row r="14984" spans="1:8" ht="15" x14ac:dyDescent="0.2">
      <c r="A14984" s="734">
        <v>45056</v>
      </c>
      <c r="B14984" s="41" t="s">
        <v>9409</v>
      </c>
      <c r="C14984" s="63" t="s">
        <v>705</v>
      </c>
      <c r="D14984" s="918" t="s">
        <v>9848</v>
      </c>
      <c r="E14984" s="735">
        <v>23301</v>
      </c>
      <c r="F14984" s="58"/>
      <c r="G14984" s="58">
        <f t="shared" si="240"/>
        <v>-23301</v>
      </c>
      <c r="H14984" s="705" t="s">
        <v>9743</v>
      </c>
    </row>
    <row r="14985" spans="1:8" ht="15" x14ac:dyDescent="0.2">
      <c r="A14985" s="734">
        <v>45056</v>
      </c>
      <c r="B14985" s="41" t="s">
        <v>9356</v>
      </c>
      <c r="C14985" s="63" t="s">
        <v>705</v>
      </c>
      <c r="D14985" s="918" t="s">
        <v>9848</v>
      </c>
      <c r="E14985" s="735">
        <v>124699</v>
      </c>
      <c r="F14985" s="58"/>
      <c r="G14985" s="58">
        <f t="shared" si="240"/>
        <v>-124699</v>
      </c>
      <c r="H14985" s="705" t="s">
        <v>9743</v>
      </c>
    </row>
    <row r="14986" spans="1:8" ht="15" x14ac:dyDescent="0.2">
      <c r="A14986" s="734">
        <v>45056</v>
      </c>
      <c r="B14986" s="41" t="s">
        <v>8876</v>
      </c>
      <c r="C14986" s="63" t="s">
        <v>256</v>
      </c>
      <c r="D14986" s="893" t="s">
        <v>9849</v>
      </c>
      <c r="E14986" s="583">
        <v>380920</v>
      </c>
      <c r="F14986" s="58"/>
      <c r="G14986" s="58">
        <f t="shared" si="240"/>
        <v>-380920</v>
      </c>
      <c r="H14986" s="705" t="s">
        <v>9743</v>
      </c>
    </row>
    <row r="14987" spans="1:8" ht="15" x14ac:dyDescent="0.2">
      <c r="A14987" s="734">
        <v>45056</v>
      </c>
      <c r="B14987" s="41" t="s">
        <v>9507</v>
      </c>
      <c r="C14987" s="63" t="s">
        <v>256</v>
      </c>
      <c r="D14987" s="893" t="s">
        <v>9849</v>
      </c>
      <c r="E14987" s="583">
        <v>192080</v>
      </c>
      <c r="F14987" s="58"/>
      <c r="G14987" s="58">
        <f t="shared" si="240"/>
        <v>-192080</v>
      </c>
      <c r="H14987" s="705" t="s">
        <v>9743</v>
      </c>
    </row>
    <row r="14988" spans="1:8" ht="15" x14ac:dyDescent="0.2">
      <c r="A14988" s="734">
        <v>45057</v>
      </c>
      <c r="B14988" s="41" t="s">
        <v>9356</v>
      </c>
      <c r="C14988" s="63" t="s">
        <v>3145</v>
      </c>
      <c r="D14988" s="108" t="s">
        <v>9840</v>
      </c>
      <c r="E14988" s="58">
        <v>78400</v>
      </c>
      <c r="F14988" s="58"/>
      <c r="G14988" s="58">
        <f t="shared" si="240"/>
        <v>-78400</v>
      </c>
      <c r="H14988" s="705" t="s">
        <v>9743</v>
      </c>
    </row>
    <row r="14989" spans="1:8" ht="15" x14ac:dyDescent="0.2">
      <c r="A14989" s="734">
        <v>45057</v>
      </c>
      <c r="B14989" s="41" t="s">
        <v>9356</v>
      </c>
      <c r="C14989" s="63" t="s">
        <v>5741</v>
      </c>
      <c r="D14989" s="108" t="s">
        <v>9841</v>
      </c>
      <c r="E14989" s="58">
        <v>1400</v>
      </c>
      <c r="F14989" s="58"/>
      <c r="G14989" s="58">
        <f t="shared" si="240"/>
        <v>-1400</v>
      </c>
      <c r="H14989" s="705" t="s">
        <v>9743</v>
      </c>
    </row>
    <row r="14990" spans="1:8" ht="15" x14ac:dyDescent="0.2">
      <c r="A14990" s="734">
        <v>45057</v>
      </c>
      <c r="B14990" s="41" t="s">
        <v>9356</v>
      </c>
      <c r="C14990" s="63" t="s">
        <v>3145</v>
      </c>
      <c r="D14990" s="108" t="s">
        <v>9844</v>
      </c>
      <c r="E14990" s="58">
        <v>2000</v>
      </c>
      <c r="F14990" s="58"/>
      <c r="G14990" s="58">
        <f t="shared" si="240"/>
        <v>-2000</v>
      </c>
      <c r="H14990" s="705" t="s">
        <v>9743</v>
      </c>
    </row>
    <row r="14991" spans="1:8" ht="15" x14ac:dyDescent="0.2">
      <c r="A14991" s="734">
        <v>45057</v>
      </c>
      <c r="B14991" s="41" t="s">
        <v>9356</v>
      </c>
      <c r="C14991" s="63" t="s">
        <v>5741</v>
      </c>
      <c r="D14991" s="108" t="s">
        <v>9842</v>
      </c>
      <c r="E14991" s="58">
        <v>2000</v>
      </c>
      <c r="F14991" s="58"/>
      <c r="G14991" s="58">
        <f t="shared" si="240"/>
        <v>-2000</v>
      </c>
      <c r="H14991" s="705" t="s">
        <v>9743</v>
      </c>
    </row>
    <row r="14992" spans="1:8" ht="15" x14ac:dyDescent="0.2">
      <c r="A14992" s="734">
        <v>45057</v>
      </c>
      <c r="B14992" s="41" t="s">
        <v>9356</v>
      </c>
      <c r="C14992" s="63" t="s">
        <v>5741</v>
      </c>
      <c r="D14992" s="108" t="s">
        <v>9843</v>
      </c>
      <c r="E14992" s="58">
        <v>1500</v>
      </c>
      <c r="F14992" s="58"/>
      <c r="G14992" s="58">
        <f t="shared" si="240"/>
        <v>-1500</v>
      </c>
      <c r="H14992" s="705" t="s">
        <v>9743</v>
      </c>
    </row>
    <row r="14993" spans="1:8" ht="15" x14ac:dyDescent="0.2">
      <c r="A14993" s="734">
        <v>45057</v>
      </c>
      <c r="B14993" s="41" t="s">
        <v>9356</v>
      </c>
      <c r="C14993" s="63" t="s">
        <v>103</v>
      </c>
      <c r="D14993" s="108" t="s">
        <v>9425</v>
      </c>
      <c r="E14993" s="58">
        <v>2500</v>
      </c>
      <c r="F14993" s="58"/>
      <c r="G14993" s="58">
        <f t="shared" si="240"/>
        <v>-2500</v>
      </c>
      <c r="H14993" s="705" t="s">
        <v>9743</v>
      </c>
    </row>
    <row r="14994" spans="1:8" ht="15" x14ac:dyDescent="0.2">
      <c r="A14994" s="734">
        <v>45057</v>
      </c>
      <c r="B14994" s="41" t="s">
        <v>8868</v>
      </c>
      <c r="C14994" s="63" t="s">
        <v>3145</v>
      </c>
      <c r="D14994" s="108" t="s">
        <v>9846</v>
      </c>
      <c r="E14994" s="58">
        <v>26350</v>
      </c>
      <c r="F14994" s="58"/>
      <c r="G14994" s="58">
        <f t="shared" si="240"/>
        <v>-26350</v>
      </c>
      <c r="H14994" s="705" t="s">
        <v>9743</v>
      </c>
    </row>
    <row r="14995" spans="1:8" ht="15" x14ac:dyDescent="0.2">
      <c r="A14995" s="734">
        <v>45057</v>
      </c>
      <c r="B14995" s="41" t="s">
        <v>9356</v>
      </c>
      <c r="C14995" s="63" t="s">
        <v>392</v>
      </c>
      <c r="D14995" s="108" t="s">
        <v>9845</v>
      </c>
      <c r="E14995" s="58">
        <v>1000</v>
      </c>
      <c r="F14995" s="58"/>
      <c r="G14995" s="58">
        <f t="shared" si="240"/>
        <v>-1000</v>
      </c>
      <c r="H14995" s="705" t="s">
        <v>9743</v>
      </c>
    </row>
    <row r="14996" spans="1:8" ht="15" x14ac:dyDescent="0.2">
      <c r="A14996" s="734">
        <v>45057</v>
      </c>
      <c r="B14996" s="41" t="s">
        <v>8876</v>
      </c>
      <c r="C14996" s="63" t="s">
        <v>8251</v>
      </c>
      <c r="D14996" s="108" t="s">
        <v>9851</v>
      </c>
      <c r="E14996" s="58">
        <v>66000</v>
      </c>
      <c r="F14996" s="58"/>
      <c r="G14996" s="58">
        <f t="shared" si="240"/>
        <v>-66000</v>
      </c>
      <c r="H14996" s="705" t="s">
        <v>9743</v>
      </c>
    </row>
    <row r="14997" spans="1:8" ht="15" x14ac:dyDescent="0.2">
      <c r="A14997" s="734">
        <v>45057</v>
      </c>
      <c r="B14997" s="41" t="s">
        <v>16</v>
      </c>
      <c r="C14997" s="63" t="s">
        <v>392</v>
      </c>
      <c r="D14997" s="108" t="s">
        <v>9852</v>
      </c>
      <c r="E14997" s="58">
        <v>10000</v>
      </c>
      <c r="F14997" s="58"/>
      <c r="G14997" s="58">
        <f t="shared" si="240"/>
        <v>-10000</v>
      </c>
      <c r="H14997" s="705" t="s">
        <v>9743</v>
      </c>
    </row>
    <row r="14998" spans="1:8" ht="15" x14ac:dyDescent="0.2">
      <c r="A14998" s="734">
        <v>45057</v>
      </c>
      <c r="B14998" s="41" t="s">
        <v>9661</v>
      </c>
      <c r="C14998" s="63" t="s">
        <v>3145</v>
      </c>
      <c r="D14998" s="108" t="s">
        <v>9853</v>
      </c>
      <c r="E14998" s="58">
        <v>17000</v>
      </c>
      <c r="F14998" s="58"/>
      <c r="G14998" s="58">
        <f t="shared" si="240"/>
        <v>-17000</v>
      </c>
      <c r="H14998" s="705" t="s">
        <v>9743</v>
      </c>
    </row>
    <row r="14999" spans="1:8" ht="15" x14ac:dyDescent="0.2">
      <c r="A14999" s="734">
        <v>45057</v>
      </c>
      <c r="B14999" s="41" t="s">
        <v>9661</v>
      </c>
      <c r="C14999" s="63" t="s">
        <v>5741</v>
      </c>
      <c r="D14999" s="108" t="s">
        <v>9854</v>
      </c>
      <c r="E14999" s="58">
        <v>4500</v>
      </c>
      <c r="F14999" s="58"/>
      <c r="G14999" s="58">
        <f t="shared" si="240"/>
        <v>-4500</v>
      </c>
      <c r="H14999" s="705" t="s">
        <v>9743</v>
      </c>
    </row>
    <row r="15000" spans="1:8" ht="15" x14ac:dyDescent="0.2">
      <c r="A15000" s="734">
        <v>45057</v>
      </c>
      <c r="B15000" s="41" t="s">
        <v>9769</v>
      </c>
      <c r="C15000" s="76" t="s">
        <v>8071</v>
      </c>
      <c r="D15000" s="108" t="s">
        <v>9857</v>
      </c>
      <c r="E15000" s="58">
        <v>50000</v>
      </c>
      <c r="F15000" s="58"/>
      <c r="G15000" s="58">
        <f t="shared" si="240"/>
        <v>-50000</v>
      </c>
      <c r="H15000" s="705" t="s">
        <v>9743</v>
      </c>
    </row>
    <row r="15001" spans="1:8" ht="15" x14ac:dyDescent="0.2">
      <c r="A15001" s="734">
        <v>45057</v>
      </c>
      <c r="B15001" s="41" t="s">
        <v>9356</v>
      </c>
      <c r="C15001" s="76" t="s">
        <v>2019</v>
      </c>
      <c r="D15001" s="108" t="s">
        <v>9868</v>
      </c>
      <c r="E15001" s="58">
        <v>180000</v>
      </c>
      <c r="F15001" s="58"/>
      <c r="G15001" s="58">
        <f t="shared" si="240"/>
        <v>-180000</v>
      </c>
      <c r="H15001" s="705" t="s">
        <v>9743</v>
      </c>
    </row>
    <row r="15002" spans="1:8" s="682" customFormat="1" ht="36" customHeight="1" x14ac:dyDescent="0.25">
      <c r="A15002" s="734">
        <v>45057</v>
      </c>
      <c r="B15002" s="63" t="s">
        <v>9356</v>
      </c>
      <c r="C15002" s="76" t="s">
        <v>2019</v>
      </c>
      <c r="D15002" s="183" t="s">
        <v>11310</v>
      </c>
      <c r="E15002" s="126">
        <v>-39000</v>
      </c>
      <c r="F15002" s="126"/>
      <c r="G15002" s="126">
        <f t="shared" si="240"/>
        <v>39000</v>
      </c>
      <c r="H15002" s="705" t="s">
        <v>9743</v>
      </c>
    </row>
    <row r="15003" spans="1:8" ht="15" x14ac:dyDescent="0.2">
      <c r="A15003" s="734">
        <v>45058</v>
      </c>
      <c r="B15003" s="41" t="s">
        <v>9661</v>
      </c>
      <c r="C15003" s="63" t="s">
        <v>5741</v>
      </c>
      <c r="D15003" s="108" t="s">
        <v>9855</v>
      </c>
      <c r="E15003" s="58">
        <v>1500</v>
      </c>
      <c r="F15003" s="58"/>
      <c r="G15003" s="58">
        <f t="shared" si="240"/>
        <v>-1500</v>
      </c>
      <c r="H15003" s="705" t="s">
        <v>9743</v>
      </c>
    </row>
    <row r="15004" spans="1:8" ht="15" x14ac:dyDescent="0.2">
      <c r="A15004" s="734">
        <v>45058</v>
      </c>
      <c r="B15004" s="41" t="s">
        <v>2933</v>
      </c>
      <c r="C15004" s="63" t="s">
        <v>3145</v>
      </c>
      <c r="D15004" s="108" t="s">
        <v>8353</v>
      </c>
      <c r="E15004" s="58">
        <v>11300</v>
      </c>
      <c r="F15004" s="58"/>
      <c r="G15004" s="58">
        <f t="shared" si="240"/>
        <v>-11300</v>
      </c>
      <c r="H15004" s="705" t="s">
        <v>9743</v>
      </c>
    </row>
    <row r="15005" spans="1:8" ht="15" x14ac:dyDescent="0.2">
      <c r="A15005" s="734">
        <v>45058</v>
      </c>
      <c r="B15005" s="41" t="s">
        <v>2933</v>
      </c>
      <c r="C15005" s="63" t="s">
        <v>3145</v>
      </c>
      <c r="D15005" s="108" t="s">
        <v>8353</v>
      </c>
      <c r="E15005" s="58">
        <v>9030</v>
      </c>
      <c r="F15005" s="58"/>
      <c r="G15005" s="58">
        <f t="shared" si="240"/>
        <v>-9030</v>
      </c>
      <c r="H15005" s="705" t="s">
        <v>9743</v>
      </c>
    </row>
    <row r="15006" spans="1:8" ht="15" x14ac:dyDescent="0.2">
      <c r="A15006" s="734">
        <v>45058</v>
      </c>
      <c r="B15006" s="41" t="s">
        <v>2933</v>
      </c>
      <c r="C15006" s="63" t="s">
        <v>3145</v>
      </c>
      <c r="D15006" s="108" t="s">
        <v>9856</v>
      </c>
      <c r="E15006" s="58">
        <v>3950</v>
      </c>
      <c r="F15006" s="58"/>
      <c r="G15006" s="58">
        <f t="shared" si="240"/>
        <v>-3950</v>
      </c>
      <c r="H15006" s="705" t="s">
        <v>9743</v>
      </c>
    </row>
    <row r="15007" spans="1:8" ht="15" x14ac:dyDescent="0.2">
      <c r="A15007" s="734">
        <v>45058</v>
      </c>
      <c r="B15007" s="41" t="s">
        <v>9769</v>
      </c>
      <c r="C15007" s="63" t="s">
        <v>3145</v>
      </c>
      <c r="D15007" s="108" t="s">
        <v>9865</v>
      </c>
      <c r="E15007" s="58">
        <v>20700</v>
      </c>
      <c r="F15007" s="58"/>
      <c r="G15007" s="58">
        <f t="shared" si="240"/>
        <v>-20700</v>
      </c>
      <c r="H15007" s="705" t="s">
        <v>9743</v>
      </c>
    </row>
    <row r="15008" spans="1:8" ht="15" x14ac:dyDescent="0.2">
      <c r="A15008" s="734">
        <v>45058</v>
      </c>
      <c r="B15008" s="41" t="s">
        <v>9769</v>
      </c>
      <c r="C15008" s="63" t="s">
        <v>3145</v>
      </c>
      <c r="D15008" s="108" t="s">
        <v>9862</v>
      </c>
      <c r="E15008" s="58">
        <v>20000</v>
      </c>
      <c r="F15008" s="58"/>
      <c r="G15008" s="58">
        <f t="shared" si="240"/>
        <v>-20000</v>
      </c>
      <c r="H15008" s="705" t="s">
        <v>9743</v>
      </c>
    </row>
    <row r="15009" spans="1:8" ht="15" x14ac:dyDescent="0.2">
      <c r="A15009" s="734">
        <v>45058</v>
      </c>
      <c r="B15009" s="41" t="s">
        <v>16</v>
      </c>
      <c r="C15009" s="63" t="s">
        <v>392</v>
      </c>
      <c r="D15009" s="108" t="s">
        <v>9863</v>
      </c>
      <c r="E15009" s="58">
        <v>300</v>
      </c>
      <c r="F15009" s="58"/>
      <c r="G15009" s="58">
        <f t="shared" si="240"/>
        <v>-300</v>
      </c>
      <c r="H15009" s="705" t="s">
        <v>9743</v>
      </c>
    </row>
    <row r="15010" spans="1:8" ht="15" x14ac:dyDescent="0.2">
      <c r="A15010" s="734">
        <v>45058</v>
      </c>
      <c r="B15010" s="41" t="s">
        <v>9769</v>
      </c>
      <c r="C15010" s="63" t="s">
        <v>3145</v>
      </c>
      <c r="D15010" s="108" t="s">
        <v>9864</v>
      </c>
      <c r="E15010" s="58">
        <v>1500</v>
      </c>
      <c r="F15010" s="58"/>
      <c r="G15010" s="58">
        <f t="shared" si="240"/>
        <v>-1500</v>
      </c>
      <c r="H15010" s="705" t="s">
        <v>9743</v>
      </c>
    </row>
    <row r="15011" spans="1:8" ht="15" x14ac:dyDescent="0.2">
      <c r="A15011" s="734">
        <v>45059</v>
      </c>
      <c r="B15011" s="41" t="s">
        <v>9769</v>
      </c>
      <c r="C15011" s="63" t="s">
        <v>3145</v>
      </c>
      <c r="D15011" s="108" t="s">
        <v>9866</v>
      </c>
      <c r="E15011" s="58">
        <v>11700</v>
      </c>
      <c r="F15011" s="58"/>
      <c r="G15011" s="58">
        <f t="shared" si="240"/>
        <v>-11700</v>
      </c>
      <c r="H15011" s="705" t="s">
        <v>9743</v>
      </c>
    </row>
    <row r="15012" spans="1:8" ht="15" x14ac:dyDescent="0.2">
      <c r="A15012" s="734">
        <v>45059</v>
      </c>
      <c r="B15012" s="41" t="s">
        <v>9769</v>
      </c>
      <c r="C15012" s="174" t="s">
        <v>3145</v>
      </c>
      <c r="D15012" s="812" t="s">
        <v>9947</v>
      </c>
      <c r="E15012" s="123">
        <v>134300</v>
      </c>
      <c r="F15012" s="58"/>
      <c r="G15012" s="58">
        <f t="shared" si="240"/>
        <v>-134300</v>
      </c>
      <c r="H15012" s="705" t="s">
        <v>9743</v>
      </c>
    </row>
    <row r="15013" spans="1:8" ht="15" x14ac:dyDescent="0.2">
      <c r="A15013" s="734">
        <v>45059</v>
      </c>
      <c r="B15013" s="41" t="s">
        <v>16</v>
      </c>
      <c r="C15013" s="63" t="s">
        <v>103</v>
      </c>
      <c r="D15013" s="108" t="s">
        <v>9425</v>
      </c>
      <c r="E15013" s="58">
        <v>3000</v>
      </c>
      <c r="F15013" s="58"/>
      <c r="G15013" s="58">
        <f t="shared" si="240"/>
        <v>-3000</v>
      </c>
      <c r="H15013" s="705" t="s">
        <v>9743</v>
      </c>
    </row>
    <row r="15014" spans="1:8" ht="15" x14ac:dyDescent="0.2">
      <c r="A15014" s="734">
        <v>45059</v>
      </c>
      <c r="B15014" s="41" t="s">
        <v>16</v>
      </c>
      <c r="C15014" s="63" t="s">
        <v>8230</v>
      </c>
      <c r="D15014" s="108" t="s">
        <v>9877</v>
      </c>
      <c r="E15014" s="58">
        <v>6000</v>
      </c>
      <c r="F15014" s="58"/>
      <c r="G15014" s="58">
        <f t="shared" si="240"/>
        <v>-6000</v>
      </c>
      <c r="H15014" s="705" t="s">
        <v>9743</v>
      </c>
    </row>
    <row r="15015" spans="1:8" ht="15" x14ac:dyDescent="0.2">
      <c r="A15015" s="734">
        <v>45059</v>
      </c>
      <c r="B15015" s="41" t="s">
        <v>9769</v>
      </c>
      <c r="C15015" s="63" t="s">
        <v>5741</v>
      </c>
      <c r="D15015" s="108" t="s">
        <v>9878</v>
      </c>
      <c r="E15015" s="58">
        <v>2000</v>
      </c>
      <c r="F15015" s="58"/>
      <c r="G15015" s="58">
        <f t="shared" si="240"/>
        <v>-2000</v>
      </c>
      <c r="H15015" s="705" t="s">
        <v>9743</v>
      </c>
    </row>
    <row r="15016" spans="1:8" ht="15" x14ac:dyDescent="0.2">
      <c r="A15016" s="734">
        <v>45059</v>
      </c>
      <c r="B15016" s="41" t="s">
        <v>9769</v>
      </c>
      <c r="C15016" s="63" t="s">
        <v>5741</v>
      </c>
      <c r="D15016" s="108" t="s">
        <v>9879</v>
      </c>
      <c r="E15016" s="58">
        <v>1200</v>
      </c>
      <c r="F15016" s="58"/>
      <c r="G15016" s="58">
        <f t="shared" si="240"/>
        <v>-1200</v>
      </c>
      <c r="H15016" s="705" t="s">
        <v>9743</v>
      </c>
    </row>
    <row r="15017" spans="1:8" ht="15" x14ac:dyDescent="0.2">
      <c r="A15017" s="734">
        <v>45059</v>
      </c>
      <c r="B15017" s="41" t="s">
        <v>16</v>
      </c>
      <c r="C15017" s="63" t="s">
        <v>2996</v>
      </c>
      <c r="D15017" s="108" t="s">
        <v>9880</v>
      </c>
      <c r="E15017" s="58">
        <v>4670</v>
      </c>
      <c r="F15017" s="58"/>
      <c r="G15017" s="58">
        <f t="shared" si="240"/>
        <v>-4670</v>
      </c>
      <c r="H15017" s="705" t="s">
        <v>9743</v>
      </c>
    </row>
    <row r="15018" spans="1:8" ht="15" x14ac:dyDescent="0.2">
      <c r="A15018" s="734">
        <v>45059</v>
      </c>
      <c r="B15018" s="41" t="s">
        <v>16</v>
      </c>
      <c r="C15018" s="63" t="s">
        <v>1495</v>
      </c>
      <c r="D15018" s="108" t="s">
        <v>370</v>
      </c>
      <c r="E15018" s="58">
        <v>500</v>
      </c>
      <c r="F15018" s="58"/>
      <c r="G15018" s="58">
        <f t="shared" si="240"/>
        <v>-500</v>
      </c>
      <c r="H15018" s="705" t="s">
        <v>9743</v>
      </c>
    </row>
    <row r="15019" spans="1:8" ht="15" x14ac:dyDescent="0.2">
      <c r="A15019" s="734">
        <v>45059</v>
      </c>
      <c r="B15019" s="41" t="s">
        <v>9769</v>
      </c>
      <c r="C15019" s="63" t="s">
        <v>3145</v>
      </c>
      <c r="D15019" s="108" t="s">
        <v>10073</v>
      </c>
      <c r="E15019" s="58">
        <v>365000</v>
      </c>
      <c r="F15019" s="58"/>
      <c r="G15019" s="58">
        <f t="shared" si="240"/>
        <v>-365000</v>
      </c>
      <c r="H15019" s="705" t="s">
        <v>9743</v>
      </c>
    </row>
    <row r="15020" spans="1:8" ht="15" x14ac:dyDescent="0.2">
      <c r="A15020" s="734">
        <v>45061</v>
      </c>
      <c r="B15020" s="41" t="s">
        <v>9769</v>
      </c>
      <c r="C15020" s="63" t="s">
        <v>3145</v>
      </c>
      <c r="D15020" s="108" t="s">
        <v>9883</v>
      </c>
      <c r="E15020" s="58">
        <v>64750</v>
      </c>
      <c r="F15020" s="58"/>
      <c r="G15020" s="58">
        <f t="shared" si="240"/>
        <v>-64750</v>
      </c>
      <c r="H15020" s="705" t="s">
        <v>9743</v>
      </c>
    </row>
    <row r="15021" spans="1:8" ht="15" x14ac:dyDescent="0.2">
      <c r="A15021" s="734">
        <v>45061</v>
      </c>
      <c r="B15021" s="41" t="s">
        <v>9769</v>
      </c>
      <c r="C15021" s="63" t="s">
        <v>3145</v>
      </c>
      <c r="D15021" s="108" t="s">
        <v>9881</v>
      </c>
      <c r="E15021" s="58">
        <v>43200</v>
      </c>
      <c r="F15021" s="58"/>
      <c r="G15021" s="58">
        <f t="shared" si="240"/>
        <v>-43200</v>
      </c>
      <c r="H15021" s="705" t="s">
        <v>9743</v>
      </c>
    </row>
    <row r="15022" spans="1:8" ht="15" x14ac:dyDescent="0.2">
      <c r="A15022" s="734">
        <v>45061</v>
      </c>
      <c r="B15022" s="41" t="s">
        <v>8657</v>
      </c>
      <c r="C15022" s="63" t="s">
        <v>3145</v>
      </c>
      <c r="D15022" s="108" t="s">
        <v>9882</v>
      </c>
      <c r="E15022" s="58">
        <v>14120</v>
      </c>
      <c r="F15022" s="58"/>
      <c r="G15022" s="58">
        <f t="shared" si="240"/>
        <v>-14120</v>
      </c>
      <c r="H15022" s="705" t="s">
        <v>9743</v>
      </c>
    </row>
    <row r="15023" spans="1:8" ht="15" customHeight="1" x14ac:dyDescent="0.2">
      <c r="A15023" s="734">
        <v>45061</v>
      </c>
      <c r="B15023" s="41" t="s">
        <v>9661</v>
      </c>
      <c r="C15023" s="63" t="s">
        <v>3145</v>
      </c>
      <c r="D15023" s="108" t="s">
        <v>2159</v>
      </c>
      <c r="E15023" s="58">
        <v>10040</v>
      </c>
      <c r="F15023" s="58"/>
      <c r="G15023" s="58">
        <f t="shared" si="240"/>
        <v>-10040</v>
      </c>
      <c r="H15023" s="705" t="s">
        <v>9743</v>
      </c>
    </row>
    <row r="15024" spans="1:8" ht="15" x14ac:dyDescent="0.2">
      <c r="A15024" s="734">
        <v>45061</v>
      </c>
      <c r="B15024" s="41" t="s">
        <v>9769</v>
      </c>
      <c r="C15024" s="63" t="s">
        <v>286</v>
      </c>
      <c r="D15024" s="108" t="s">
        <v>9561</v>
      </c>
      <c r="E15024" s="58">
        <v>330</v>
      </c>
      <c r="F15024" s="58"/>
      <c r="G15024" s="58">
        <f t="shared" si="240"/>
        <v>-330</v>
      </c>
      <c r="H15024" s="705" t="s">
        <v>9743</v>
      </c>
    </row>
    <row r="15025" spans="1:8" ht="15" x14ac:dyDescent="0.2">
      <c r="A15025" s="734">
        <v>45061</v>
      </c>
      <c r="B15025" s="41" t="s">
        <v>3946</v>
      </c>
      <c r="C15025" s="63" t="s">
        <v>6822</v>
      </c>
      <c r="D15025" s="108" t="s">
        <v>9884</v>
      </c>
      <c r="E15025" s="58">
        <v>150000</v>
      </c>
      <c r="F15025" s="58"/>
      <c r="G15025" s="58">
        <f t="shared" si="240"/>
        <v>-150000</v>
      </c>
      <c r="H15025" s="705" t="s">
        <v>9743</v>
      </c>
    </row>
    <row r="15026" spans="1:8" ht="15" x14ac:dyDescent="0.2">
      <c r="A15026" s="734">
        <v>45061</v>
      </c>
      <c r="B15026" s="41" t="s">
        <v>8876</v>
      </c>
      <c r="C15026" s="63" t="s">
        <v>6822</v>
      </c>
      <c r="D15026" s="108" t="s">
        <v>9885</v>
      </c>
      <c r="E15026" s="58">
        <v>50000</v>
      </c>
      <c r="F15026" s="58"/>
      <c r="G15026" s="58">
        <f t="shared" si="240"/>
        <v>-50000</v>
      </c>
      <c r="H15026" s="705" t="s">
        <v>9743</v>
      </c>
    </row>
    <row r="15027" spans="1:8" ht="15" x14ac:dyDescent="0.2">
      <c r="A15027" s="734">
        <v>45061</v>
      </c>
      <c r="B15027" s="41" t="s">
        <v>9507</v>
      </c>
      <c r="C15027" s="63" t="s">
        <v>6784</v>
      </c>
      <c r="D15027" s="108" t="s">
        <v>9886</v>
      </c>
      <c r="E15027" s="58">
        <v>20000</v>
      </c>
      <c r="F15027" s="58"/>
      <c r="G15027" s="58">
        <f t="shared" si="240"/>
        <v>-20000</v>
      </c>
      <c r="H15027" s="705" t="s">
        <v>9743</v>
      </c>
    </row>
    <row r="15028" spans="1:8" ht="15" x14ac:dyDescent="0.2">
      <c r="A15028" s="734">
        <v>45061</v>
      </c>
      <c r="B15028" s="41" t="s">
        <v>9661</v>
      </c>
      <c r="C15028" s="63" t="s">
        <v>9549</v>
      </c>
      <c r="D15028" s="108" t="s">
        <v>9887</v>
      </c>
      <c r="E15028" s="58">
        <v>30000</v>
      </c>
      <c r="F15028" s="58"/>
      <c r="G15028" s="58">
        <f t="shared" si="240"/>
        <v>-30000</v>
      </c>
      <c r="H15028" s="705" t="s">
        <v>9743</v>
      </c>
    </row>
    <row r="15029" spans="1:8" ht="15" x14ac:dyDescent="0.2">
      <c r="A15029" s="734">
        <v>45061</v>
      </c>
      <c r="B15029" s="41" t="s">
        <v>16</v>
      </c>
      <c r="C15029" s="63" t="s">
        <v>392</v>
      </c>
      <c r="D15029" s="108" t="s">
        <v>9888</v>
      </c>
      <c r="E15029" s="58">
        <v>400</v>
      </c>
      <c r="F15029" s="58"/>
      <c r="G15029" s="58">
        <f t="shared" si="240"/>
        <v>-400</v>
      </c>
      <c r="H15029" s="705" t="s">
        <v>9743</v>
      </c>
    </row>
    <row r="15030" spans="1:8" ht="15" x14ac:dyDescent="0.2">
      <c r="A15030" s="734">
        <v>45061</v>
      </c>
      <c r="B15030" s="41" t="s">
        <v>9769</v>
      </c>
      <c r="C15030" s="63" t="s">
        <v>3446</v>
      </c>
      <c r="D15030" s="108" t="s">
        <v>9578</v>
      </c>
      <c r="E15030" s="58">
        <v>16000</v>
      </c>
      <c r="F15030" s="58"/>
      <c r="G15030" s="58">
        <f t="shared" si="240"/>
        <v>-16000</v>
      </c>
      <c r="H15030" s="705" t="s">
        <v>9743</v>
      </c>
    </row>
    <row r="15031" spans="1:8" ht="15" x14ac:dyDescent="0.2">
      <c r="A15031" s="734">
        <v>45061</v>
      </c>
      <c r="B15031" s="41" t="s">
        <v>16</v>
      </c>
      <c r="C15031" s="63" t="s">
        <v>103</v>
      </c>
      <c r="D15031" s="108" t="s">
        <v>9425</v>
      </c>
      <c r="E15031" s="58">
        <v>2500</v>
      </c>
      <c r="F15031" s="58"/>
      <c r="G15031" s="58">
        <f t="shared" si="240"/>
        <v>-2500</v>
      </c>
      <c r="H15031" s="705" t="s">
        <v>9743</v>
      </c>
    </row>
    <row r="15032" spans="1:8" ht="15" x14ac:dyDescent="0.2">
      <c r="A15032" s="734">
        <v>45061</v>
      </c>
      <c r="B15032" s="41" t="s">
        <v>9507</v>
      </c>
      <c r="C15032" s="63" t="s">
        <v>6784</v>
      </c>
      <c r="D15032" s="108" t="s">
        <v>4436</v>
      </c>
      <c r="E15032" s="58">
        <v>14000</v>
      </c>
      <c r="F15032" s="58"/>
      <c r="G15032" s="58">
        <f t="shared" si="240"/>
        <v>-14000</v>
      </c>
      <c r="H15032" s="705" t="s">
        <v>9743</v>
      </c>
    </row>
    <row r="15033" spans="1:8" ht="15" x14ac:dyDescent="0.2">
      <c r="A15033" s="734">
        <v>45061</v>
      </c>
      <c r="B15033" s="41" t="s">
        <v>9769</v>
      </c>
      <c r="C15033" s="63" t="s">
        <v>5741</v>
      </c>
      <c r="D15033" s="108" t="s">
        <v>370</v>
      </c>
      <c r="E15033" s="58">
        <v>800</v>
      </c>
      <c r="F15033" s="58"/>
      <c r="G15033" s="58">
        <f t="shared" si="240"/>
        <v>-800</v>
      </c>
      <c r="H15033" s="705" t="s">
        <v>9743</v>
      </c>
    </row>
    <row r="15034" spans="1:8" ht="15" x14ac:dyDescent="0.2">
      <c r="A15034" s="734">
        <v>45062</v>
      </c>
      <c r="B15034" s="41" t="s">
        <v>9356</v>
      </c>
      <c r="C15034" s="63" t="s">
        <v>5741</v>
      </c>
      <c r="D15034" s="108" t="s">
        <v>2431</v>
      </c>
      <c r="E15034" s="58">
        <v>1000</v>
      </c>
      <c r="F15034" s="58"/>
      <c r="G15034" s="58">
        <f t="shared" si="240"/>
        <v>-1000</v>
      </c>
      <c r="H15034" s="705" t="s">
        <v>9743</v>
      </c>
    </row>
    <row r="15035" spans="1:8" ht="15" x14ac:dyDescent="0.2">
      <c r="A15035" s="734">
        <v>45062</v>
      </c>
      <c r="B15035" s="41" t="s">
        <v>9356</v>
      </c>
      <c r="C15035" s="63" t="s">
        <v>5741</v>
      </c>
      <c r="D15035" s="108" t="s">
        <v>9889</v>
      </c>
      <c r="E15035" s="58">
        <v>600</v>
      </c>
      <c r="F15035" s="58"/>
      <c r="G15035" s="58">
        <f t="shared" ref="G15035:G15098" si="241">F15035-E15035</f>
        <v>-600</v>
      </c>
      <c r="H15035" s="705" t="s">
        <v>9743</v>
      </c>
    </row>
    <row r="15036" spans="1:8" ht="15" x14ac:dyDescent="0.2">
      <c r="A15036" s="734">
        <v>45062</v>
      </c>
      <c r="B15036" s="41" t="s">
        <v>9356</v>
      </c>
      <c r="C15036" s="63" t="s">
        <v>5741</v>
      </c>
      <c r="D15036" s="108" t="s">
        <v>9890</v>
      </c>
      <c r="E15036" s="58">
        <v>600</v>
      </c>
      <c r="F15036" s="58"/>
      <c r="G15036" s="58">
        <f t="shared" si="241"/>
        <v>-600</v>
      </c>
      <c r="H15036" s="705" t="s">
        <v>9743</v>
      </c>
    </row>
    <row r="15037" spans="1:8" ht="15" x14ac:dyDescent="0.2">
      <c r="A15037" s="734">
        <v>45062</v>
      </c>
      <c r="B15037" s="41" t="s">
        <v>8657</v>
      </c>
      <c r="C15037" s="63" t="s">
        <v>5741</v>
      </c>
      <c r="D15037" s="108" t="s">
        <v>9890</v>
      </c>
      <c r="E15037" s="58">
        <v>800</v>
      </c>
      <c r="F15037" s="58"/>
      <c r="G15037" s="58">
        <f t="shared" si="241"/>
        <v>-800</v>
      </c>
      <c r="H15037" s="705" t="s">
        <v>9743</v>
      </c>
    </row>
    <row r="15038" spans="1:8" ht="15" x14ac:dyDescent="0.2">
      <c r="A15038" s="734">
        <v>45062</v>
      </c>
      <c r="B15038" s="41" t="s">
        <v>9356</v>
      </c>
      <c r="C15038" s="63" t="s">
        <v>3145</v>
      </c>
      <c r="D15038" s="108" t="s">
        <v>9891</v>
      </c>
      <c r="E15038" s="58">
        <v>1100</v>
      </c>
      <c r="F15038" s="58"/>
      <c r="G15038" s="58">
        <f t="shared" si="241"/>
        <v>-1100</v>
      </c>
      <c r="H15038" s="705" t="s">
        <v>9743</v>
      </c>
    </row>
    <row r="15039" spans="1:8" ht="15" x14ac:dyDescent="0.2">
      <c r="A15039" s="734">
        <v>45062</v>
      </c>
      <c r="B15039" s="41" t="s">
        <v>16</v>
      </c>
      <c r="C15039" s="551" t="s">
        <v>3145</v>
      </c>
      <c r="D15039" s="893" t="s">
        <v>9892</v>
      </c>
      <c r="E15039" s="583">
        <v>5000</v>
      </c>
      <c r="F15039" s="58"/>
      <c r="G15039" s="58">
        <f t="shared" si="241"/>
        <v>-5000</v>
      </c>
      <c r="H15039" s="705" t="s">
        <v>9743</v>
      </c>
    </row>
    <row r="15040" spans="1:8" ht="15" x14ac:dyDescent="0.2">
      <c r="A15040" s="734">
        <v>45062</v>
      </c>
      <c r="B15040" s="41" t="s">
        <v>8559</v>
      </c>
      <c r="C15040" s="551" t="s">
        <v>3145</v>
      </c>
      <c r="D15040" s="893" t="s">
        <v>9892</v>
      </c>
      <c r="E15040" s="583">
        <v>6670</v>
      </c>
      <c r="F15040" s="58"/>
      <c r="G15040" s="58">
        <f t="shared" si="241"/>
        <v>-6670</v>
      </c>
      <c r="H15040" s="705" t="s">
        <v>9743</v>
      </c>
    </row>
    <row r="15041" spans="1:8" ht="15" x14ac:dyDescent="0.2">
      <c r="A15041" s="734">
        <v>45062</v>
      </c>
      <c r="B15041" s="41" t="s">
        <v>8876</v>
      </c>
      <c r="C15041" s="63" t="s">
        <v>392</v>
      </c>
      <c r="D15041" s="108" t="s">
        <v>9893</v>
      </c>
      <c r="E15041" s="58">
        <v>300</v>
      </c>
      <c r="F15041" s="58"/>
      <c r="G15041" s="58">
        <f t="shared" si="241"/>
        <v>-300</v>
      </c>
      <c r="H15041" s="705" t="s">
        <v>9743</v>
      </c>
    </row>
    <row r="15042" spans="1:8" ht="15" x14ac:dyDescent="0.2">
      <c r="A15042" s="734">
        <v>45062</v>
      </c>
      <c r="B15042" s="41" t="s">
        <v>8876</v>
      </c>
      <c r="C15042" s="63" t="s">
        <v>286</v>
      </c>
      <c r="D15042" s="108" t="s">
        <v>9894</v>
      </c>
      <c r="E15042" s="58">
        <v>500</v>
      </c>
      <c r="F15042" s="58"/>
      <c r="G15042" s="58">
        <f t="shared" si="241"/>
        <v>-500</v>
      </c>
      <c r="H15042" s="705" t="s">
        <v>9743</v>
      </c>
    </row>
    <row r="15043" spans="1:8" ht="15" x14ac:dyDescent="0.2">
      <c r="A15043" s="734">
        <v>45062</v>
      </c>
      <c r="B15043" s="41" t="s">
        <v>9661</v>
      </c>
      <c r="C15043" s="63" t="s">
        <v>286</v>
      </c>
      <c r="D15043" s="108" t="s">
        <v>9895</v>
      </c>
      <c r="E15043" s="58">
        <v>350</v>
      </c>
      <c r="F15043" s="58"/>
      <c r="G15043" s="58">
        <f t="shared" si="241"/>
        <v>-350</v>
      </c>
      <c r="H15043" s="705" t="s">
        <v>9743</v>
      </c>
    </row>
    <row r="15044" spans="1:8" ht="15" x14ac:dyDescent="0.2">
      <c r="A15044" s="734">
        <v>45062</v>
      </c>
      <c r="B15044" s="41" t="s">
        <v>16</v>
      </c>
      <c r="C15044" s="63" t="s">
        <v>6053</v>
      </c>
      <c r="D15044" s="108" t="s">
        <v>9896</v>
      </c>
      <c r="E15044" s="58">
        <v>4000</v>
      </c>
      <c r="F15044" s="58"/>
      <c r="G15044" s="58">
        <f t="shared" si="241"/>
        <v>-4000</v>
      </c>
      <c r="H15044" s="705" t="s">
        <v>9743</v>
      </c>
    </row>
    <row r="15045" spans="1:8" ht="15" x14ac:dyDescent="0.2">
      <c r="A15045" s="734">
        <v>45062</v>
      </c>
      <c r="B15045" s="41" t="s">
        <v>16</v>
      </c>
      <c r="C15045" s="63" t="s">
        <v>103</v>
      </c>
      <c r="D15045" s="108" t="s">
        <v>9425</v>
      </c>
      <c r="E15045" s="58">
        <v>1500</v>
      </c>
      <c r="F15045" s="58"/>
      <c r="G15045" s="58">
        <f t="shared" si="241"/>
        <v>-1500</v>
      </c>
      <c r="H15045" s="705" t="s">
        <v>9743</v>
      </c>
    </row>
    <row r="15046" spans="1:8" ht="15" x14ac:dyDescent="0.2">
      <c r="A15046" s="734">
        <v>45062</v>
      </c>
      <c r="B15046" s="41" t="s">
        <v>9769</v>
      </c>
      <c r="C15046" s="63" t="s">
        <v>7223</v>
      </c>
      <c r="D15046" s="108" t="s">
        <v>9897</v>
      </c>
      <c r="E15046" s="58">
        <v>250000</v>
      </c>
      <c r="F15046" s="58"/>
      <c r="G15046" s="58">
        <f t="shared" si="241"/>
        <v>-250000</v>
      </c>
      <c r="H15046" s="705" t="s">
        <v>9743</v>
      </c>
    </row>
    <row r="15047" spans="1:8" ht="15" x14ac:dyDescent="0.2">
      <c r="A15047" s="734">
        <v>45062</v>
      </c>
      <c r="B15047" s="41" t="s">
        <v>9769</v>
      </c>
      <c r="C15047" s="63" t="s">
        <v>7223</v>
      </c>
      <c r="D15047" s="108" t="s">
        <v>9897</v>
      </c>
      <c r="E15047" s="58">
        <v>250000</v>
      </c>
      <c r="F15047" s="58"/>
      <c r="G15047" s="58">
        <f t="shared" si="241"/>
        <v>-250000</v>
      </c>
      <c r="H15047" s="705" t="s">
        <v>9743</v>
      </c>
    </row>
    <row r="15048" spans="1:8" s="682" customFormat="1" ht="17.25" customHeight="1" x14ac:dyDescent="0.25">
      <c r="A15048" s="733">
        <v>45064</v>
      </c>
      <c r="B15048" s="174" t="s">
        <v>9661</v>
      </c>
      <c r="C15048" s="174" t="s">
        <v>8394</v>
      </c>
      <c r="D15048" s="228" t="s">
        <v>9902</v>
      </c>
      <c r="E15048" s="236">
        <v>250000</v>
      </c>
      <c r="F15048" s="236"/>
      <c r="G15048" s="236">
        <f t="shared" si="241"/>
        <v>-250000</v>
      </c>
      <c r="H15048" s="709" t="s">
        <v>9743</v>
      </c>
    </row>
    <row r="15049" spans="1:8" s="682" customFormat="1" ht="17.25" customHeight="1" x14ac:dyDescent="0.25">
      <c r="A15049" s="733">
        <v>45064</v>
      </c>
      <c r="B15049" s="174" t="s">
        <v>9661</v>
      </c>
      <c r="C15049" s="174" t="s">
        <v>8394</v>
      </c>
      <c r="D15049" s="228" t="s">
        <v>9903</v>
      </c>
      <c r="E15049" s="236">
        <v>250000</v>
      </c>
      <c r="F15049" s="236"/>
      <c r="G15049" s="236">
        <f t="shared" si="241"/>
        <v>-250000</v>
      </c>
      <c r="H15049" s="709" t="s">
        <v>9743</v>
      </c>
    </row>
    <row r="15050" spans="1:8" ht="15" x14ac:dyDescent="0.2">
      <c r="A15050" s="734">
        <v>45064</v>
      </c>
      <c r="B15050" s="41" t="s">
        <v>9769</v>
      </c>
      <c r="C15050" s="63" t="s">
        <v>8953</v>
      </c>
      <c r="D15050" s="108" t="s">
        <v>9898</v>
      </c>
      <c r="E15050" s="58">
        <v>25000</v>
      </c>
      <c r="F15050" s="58"/>
      <c r="G15050" s="58">
        <f t="shared" si="241"/>
        <v>-25000</v>
      </c>
      <c r="H15050" s="705" t="s">
        <v>9743</v>
      </c>
    </row>
    <row r="15051" spans="1:8" ht="15" x14ac:dyDescent="0.2">
      <c r="A15051" s="734">
        <v>45064</v>
      </c>
      <c r="B15051" s="41" t="s">
        <v>8657</v>
      </c>
      <c r="C15051" s="63" t="s">
        <v>8953</v>
      </c>
      <c r="D15051" s="108" t="s">
        <v>9899</v>
      </c>
      <c r="E15051" s="58">
        <v>25000</v>
      </c>
      <c r="F15051" s="58"/>
      <c r="G15051" s="58">
        <f t="shared" si="241"/>
        <v>-25000</v>
      </c>
      <c r="H15051" s="705" t="s">
        <v>9743</v>
      </c>
    </row>
    <row r="15052" spans="1:8" ht="15" x14ac:dyDescent="0.2">
      <c r="A15052" s="734">
        <v>45064</v>
      </c>
      <c r="B15052" s="41" t="s">
        <v>9661</v>
      </c>
      <c r="C15052" s="63" t="s">
        <v>3145</v>
      </c>
      <c r="D15052" s="108" t="s">
        <v>9912</v>
      </c>
      <c r="E15052" s="58">
        <v>6300</v>
      </c>
      <c r="F15052" s="58"/>
      <c r="G15052" s="58">
        <f t="shared" si="241"/>
        <v>-6300</v>
      </c>
      <c r="H15052" s="705" t="s">
        <v>9743</v>
      </c>
    </row>
    <row r="15053" spans="1:8" ht="15" x14ac:dyDescent="0.2">
      <c r="A15053" s="734">
        <v>45064</v>
      </c>
      <c r="B15053" s="41" t="s">
        <v>3946</v>
      </c>
      <c r="C15053" s="63" t="s">
        <v>3145</v>
      </c>
      <c r="D15053" s="108" t="s">
        <v>9913</v>
      </c>
      <c r="E15053" s="58">
        <v>1500</v>
      </c>
      <c r="F15053" s="58"/>
      <c r="G15053" s="58">
        <f t="shared" si="241"/>
        <v>-1500</v>
      </c>
      <c r="H15053" s="705" t="s">
        <v>9743</v>
      </c>
    </row>
    <row r="15054" spans="1:8" ht="15" x14ac:dyDescent="0.2">
      <c r="A15054" s="734">
        <v>45064</v>
      </c>
      <c r="B15054" s="41" t="s">
        <v>9769</v>
      </c>
      <c r="C15054" s="63" t="s">
        <v>3145</v>
      </c>
      <c r="D15054" s="108" t="s">
        <v>9914</v>
      </c>
      <c r="E15054" s="58">
        <v>18630</v>
      </c>
      <c r="F15054" s="58"/>
      <c r="G15054" s="58">
        <f t="shared" si="241"/>
        <v>-18630</v>
      </c>
      <c r="H15054" s="705" t="s">
        <v>9743</v>
      </c>
    </row>
    <row r="15055" spans="1:8" ht="15" x14ac:dyDescent="0.2">
      <c r="A15055" s="734">
        <v>45064</v>
      </c>
      <c r="B15055" s="41" t="s">
        <v>9769</v>
      </c>
      <c r="C15055" s="63" t="s">
        <v>3145</v>
      </c>
      <c r="D15055" s="108" t="s">
        <v>9915</v>
      </c>
      <c r="E15055" s="58">
        <v>22500</v>
      </c>
      <c r="F15055" s="58"/>
      <c r="G15055" s="58">
        <f t="shared" si="241"/>
        <v>-22500</v>
      </c>
      <c r="H15055" s="705" t="s">
        <v>9743</v>
      </c>
    </row>
    <row r="15056" spans="1:8" ht="15" x14ac:dyDescent="0.2">
      <c r="A15056" s="734">
        <v>45064</v>
      </c>
      <c r="B15056" s="41" t="s">
        <v>25</v>
      </c>
      <c r="C15056" s="63" t="s">
        <v>8150</v>
      </c>
      <c r="D15056" s="108" t="s">
        <v>6343</v>
      </c>
      <c r="E15056" s="58">
        <v>4800</v>
      </c>
      <c r="F15056" s="58"/>
      <c r="G15056" s="58">
        <f t="shared" si="241"/>
        <v>-4800</v>
      </c>
      <c r="H15056" s="705" t="s">
        <v>9743</v>
      </c>
    </row>
    <row r="15057" spans="1:8" ht="15" x14ac:dyDescent="0.2">
      <c r="A15057" s="734">
        <v>45064</v>
      </c>
      <c r="B15057" s="41" t="s">
        <v>16</v>
      </c>
      <c r="C15057" s="63" t="s">
        <v>8150</v>
      </c>
      <c r="D15057" s="108" t="s">
        <v>6343</v>
      </c>
      <c r="E15057" s="58">
        <v>6100</v>
      </c>
      <c r="F15057" s="58"/>
      <c r="G15057" s="58">
        <f t="shared" si="241"/>
        <v>-6100</v>
      </c>
      <c r="H15057" s="705" t="s">
        <v>9743</v>
      </c>
    </row>
    <row r="15058" spans="1:8" ht="15" x14ac:dyDescent="0.2">
      <c r="A15058" s="734">
        <v>45064</v>
      </c>
      <c r="B15058" s="41" t="s">
        <v>9769</v>
      </c>
      <c r="C15058" s="63" t="s">
        <v>5741</v>
      </c>
      <c r="D15058" s="108" t="s">
        <v>9916</v>
      </c>
      <c r="E15058" s="58">
        <v>2150</v>
      </c>
      <c r="F15058" s="58"/>
      <c r="G15058" s="58">
        <f t="shared" si="241"/>
        <v>-2150</v>
      </c>
      <c r="H15058" s="705" t="s">
        <v>9743</v>
      </c>
    </row>
    <row r="15059" spans="1:8" ht="15" x14ac:dyDescent="0.2">
      <c r="A15059" s="734">
        <v>45064</v>
      </c>
      <c r="B15059" s="41" t="s">
        <v>9356</v>
      </c>
      <c r="C15059" s="63" t="s">
        <v>3145</v>
      </c>
      <c r="D15059" s="108" t="s">
        <v>9917</v>
      </c>
      <c r="E15059" s="58">
        <v>8000</v>
      </c>
      <c r="F15059" s="58"/>
      <c r="G15059" s="58">
        <f t="shared" si="241"/>
        <v>-8000</v>
      </c>
      <c r="H15059" s="705" t="s">
        <v>9743</v>
      </c>
    </row>
    <row r="15060" spans="1:8" ht="15" x14ac:dyDescent="0.2">
      <c r="A15060" s="734">
        <v>45064</v>
      </c>
      <c r="B15060" s="41" t="s">
        <v>3946</v>
      </c>
      <c r="C15060" s="63" t="s">
        <v>392</v>
      </c>
      <c r="D15060" s="108" t="s">
        <v>9918</v>
      </c>
      <c r="E15060" s="58">
        <v>9500</v>
      </c>
      <c r="F15060" s="58"/>
      <c r="G15060" s="58">
        <f t="shared" si="241"/>
        <v>-9500</v>
      </c>
      <c r="H15060" s="705" t="s">
        <v>9743</v>
      </c>
    </row>
    <row r="15061" spans="1:8" ht="15" x14ac:dyDescent="0.2">
      <c r="A15061" s="734">
        <v>45064</v>
      </c>
      <c r="B15061" s="41" t="s">
        <v>3946</v>
      </c>
      <c r="C15061" s="63" t="s">
        <v>286</v>
      </c>
      <c r="D15061" s="108" t="s">
        <v>9921</v>
      </c>
      <c r="E15061" s="58">
        <v>1000</v>
      </c>
      <c r="F15061" s="58"/>
      <c r="G15061" s="58">
        <f t="shared" si="241"/>
        <v>-1000</v>
      </c>
      <c r="H15061" s="705" t="s">
        <v>9743</v>
      </c>
    </row>
    <row r="15062" spans="1:8" ht="15" x14ac:dyDescent="0.2">
      <c r="A15062" s="734">
        <v>45064</v>
      </c>
      <c r="B15062" s="41" t="s">
        <v>9356</v>
      </c>
      <c r="C15062" s="63" t="s">
        <v>103</v>
      </c>
      <c r="D15062" s="108" t="s">
        <v>9919</v>
      </c>
      <c r="E15062" s="58">
        <v>2000</v>
      </c>
      <c r="F15062" s="58"/>
      <c r="G15062" s="58">
        <f t="shared" si="241"/>
        <v>-2000</v>
      </c>
      <c r="H15062" s="705" t="s">
        <v>9743</v>
      </c>
    </row>
    <row r="15063" spans="1:8" ht="15" x14ac:dyDescent="0.2">
      <c r="A15063" s="734">
        <v>45064</v>
      </c>
      <c r="B15063" s="41" t="s">
        <v>9769</v>
      </c>
      <c r="C15063" s="63" t="s">
        <v>5741</v>
      </c>
      <c r="D15063" s="108" t="s">
        <v>9920</v>
      </c>
      <c r="E15063" s="58">
        <v>2000</v>
      </c>
      <c r="F15063" s="58"/>
      <c r="G15063" s="58">
        <f t="shared" si="241"/>
        <v>-2000</v>
      </c>
      <c r="H15063" s="705" t="s">
        <v>9743</v>
      </c>
    </row>
    <row r="15064" spans="1:8" ht="15" x14ac:dyDescent="0.2">
      <c r="A15064" s="734">
        <v>45064</v>
      </c>
      <c r="B15064" s="41" t="s">
        <v>16</v>
      </c>
      <c r="C15064" s="63" t="s">
        <v>103</v>
      </c>
      <c r="D15064" s="108" t="s">
        <v>9425</v>
      </c>
      <c r="E15064" s="58">
        <v>3000</v>
      </c>
      <c r="F15064" s="58"/>
      <c r="G15064" s="58">
        <f t="shared" si="241"/>
        <v>-3000</v>
      </c>
      <c r="H15064" s="705" t="s">
        <v>9743</v>
      </c>
    </row>
    <row r="15065" spans="1:8" ht="15" x14ac:dyDescent="0.2">
      <c r="A15065" s="734">
        <v>45064</v>
      </c>
      <c r="B15065" s="41" t="s">
        <v>9464</v>
      </c>
      <c r="C15065" s="63" t="s">
        <v>1803</v>
      </c>
      <c r="D15065" s="108" t="s">
        <v>9922</v>
      </c>
      <c r="E15065" s="58">
        <v>209500</v>
      </c>
      <c r="F15065" s="58"/>
      <c r="G15065" s="58">
        <f t="shared" si="241"/>
        <v>-209500</v>
      </c>
      <c r="H15065" s="705" t="s">
        <v>9743</v>
      </c>
    </row>
    <row r="15066" spans="1:8" ht="15" x14ac:dyDescent="0.2">
      <c r="A15066" s="734">
        <v>45065</v>
      </c>
      <c r="B15066" s="41" t="s">
        <v>8876</v>
      </c>
      <c r="C15066" s="63" t="s">
        <v>5741</v>
      </c>
      <c r="D15066" s="108" t="s">
        <v>9923</v>
      </c>
      <c r="E15066" s="58">
        <v>400</v>
      </c>
      <c r="F15066" s="58"/>
      <c r="G15066" s="58">
        <f t="shared" si="241"/>
        <v>-400</v>
      </c>
      <c r="H15066" s="705" t="s">
        <v>9743</v>
      </c>
    </row>
    <row r="15067" spans="1:8" ht="15" x14ac:dyDescent="0.2">
      <c r="A15067" s="734">
        <v>45065</v>
      </c>
      <c r="B15067" s="41" t="s">
        <v>9409</v>
      </c>
      <c r="C15067" s="63" t="s">
        <v>9624</v>
      </c>
      <c r="D15067" s="108" t="s">
        <v>4436</v>
      </c>
      <c r="E15067" s="58">
        <v>90000</v>
      </c>
      <c r="F15067" s="58"/>
      <c r="G15067" s="58">
        <f t="shared" si="241"/>
        <v>-90000</v>
      </c>
      <c r="H15067" s="705" t="s">
        <v>9743</v>
      </c>
    </row>
    <row r="15068" spans="1:8" ht="15" x14ac:dyDescent="0.2">
      <c r="A15068" s="734">
        <v>45065</v>
      </c>
      <c r="B15068" s="41" t="s">
        <v>9661</v>
      </c>
      <c r="C15068" s="63" t="s">
        <v>5741</v>
      </c>
      <c r="D15068" s="108" t="s">
        <v>370</v>
      </c>
      <c r="E15068" s="58">
        <v>1700</v>
      </c>
      <c r="F15068" s="58"/>
      <c r="G15068" s="58">
        <f t="shared" si="241"/>
        <v>-1700</v>
      </c>
      <c r="H15068" s="705" t="s">
        <v>9743</v>
      </c>
    </row>
    <row r="15069" spans="1:8" ht="15" x14ac:dyDescent="0.2">
      <c r="A15069" s="734">
        <v>45065</v>
      </c>
      <c r="B15069" s="41" t="s">
        <v>8559</v>
      </c>
      <c r="C15069" s="63" t="s">
        <v>9928</v>
      </c>
      <c r="D15069" s="108" t="s">
        <v>9924</v>
      </c>
      <c r="E15069" s="58">
        <v>10000</v>
      </c>
      <c r="F15069" s="58"/>
      <c r="G15069" s="58">
        <f t="shared" si="241"/>
        <v>-10000</v>
      </c>
      <c r="H15069" s="705" t="s">
        <v>9743</v>
      </c>
    </row>
    <row r="15070" spans="1:8" ht="15" x14ac:dyDescent="0.2">
      <c r="A15070" s="734">
        <v>45065</v>
      </c>
      <c r="B15070" s="41" t="s">
        <v>9769</v>
      </c>
      <c r="C15070" s="63" t="s">
        <v>3292</v>
      </c>
      <c r="D15070" s="108" t="s">
        <v>9929</v>
      </c>
      <c r="E15070" s="58">
        <v>50000</v>
      </c>
      <c r="F15070" s="58"/>
      <c r="G15070" s="58">
        <f t="shared" si="241"/>
        <v>-50000</v>
      </c>
      <c r="H15070" s="705" t="s">
        <v>9743</v>
      </c>
    </row>
    <row r="15071" spans="1:8" ht="15" x14ac:dyDescent="0.2">
      <c r="A15071" s="734">
        <v>45065</v>
      </c>
      <c r="B15071" s="41" t="s">
        <v>9661</v>
      </c>
      <c r="C15071" s="63" t="s">
        <v>6967</v>
      </c>
      <c r="D15071" s="108" t="s">
        <v>9925</v>
      </c>
      <c r="E15071" s="58">
        <v>20000</v>
      </c>
      <c r="F15071" s="58"/>
      <c r="G15071" s="58">
        <f t="shared" si="241"/>
        <v>-20000</v>
      </c>
      <c r="H15071" s="705" t="s">
        <v>9743</v>
      </c>
    </row>
    <row r="15072" spans="1:8" ht="15" x14ac:dyDescent="0.2">
      <c r="A15072" s="734">
        <v>45065</v>
      </c>
      <c r="B15072" s="41" t="s">
        <v>9661</v>
      </c>
      <c r="C15072" s="63" t="s">
        <v>5741</v>
      </c>
      <c r="D15072" s="108" t="s">
        <v>9483</v>
      </c>
      <c r="E15072" s="58">
        <v>850</v>
      </c>
      <c r="F15072" s="58"/>
      <c r="G15072" s="58">
        <f t="shared" si="241"/>
        <v>-850</v>
      </c>
      <c r="H15072" s="705" t="s">
        <v>9743</v>
      </c>
    </row>
    <row r="15073" spans="1:8" ht="15" x14ac:dyDescent="0.2">
      <c r="A15073" s="734">
        <v>45065</v>
      </c>
      <c r="B15073" s="41" t="s">
        <v>9661</v>
      </c>
      <c r="C15073" s="63" t="s">
        <v>5741</v>
      </c>
      <c r="D15073" s="108" t="s">
        <v>9483</v>
      </c>
      <c r="E15073" s="58">
        <v>800</v>
      </c>
      <c r="F15073" s="58"/>
      <c r="G15073" s="58">
        <f t="shared" si="241"/>
        <v>-800</v>
      </c>
      <c r="H15073" s="705" t="s">
        <v>9743</v>
      </c>
    </row>
    <row r="15074" spans="1:8" ht="15" x14ac:dyDescent="0.2">
      <c r="A15074" s="734">
        <v>45065</v>
      </c>
      <c r="B15074" s="41" t="s">
        <v>9661</v>
      </c>
      <c r="C15074" s="63" t="s">
        <v>5741</v>
      </c>
      <c r="D15074" s="108" t="s">
        <v>9926</v>
      </c>
      <c r="E15074" s="58">
        <v>700</v>
      </c>
      <c r="F15074" s="58"/>
      <c r="G15074" s="58">
        <f t="shared" si="241"/>
        <v>-700</v>
      </c>
      <c r="H15074" s="705" t="s">
        <v>9743</v>
      </c>
    </row>
    <row r="15075" spans="1:8" ht="15" x14ac:dyDescent="0.2">
      <c r="A15075" s="734">
        <v>45065</v>
      </c>
      <c r="B15075" s="41" t="s">
        <v>9661</v>
      </c>
      <c r="C15075" s="63" t="s">
        <v>5741</v>
      </c>
      <c r="D15075" s="108" t="s">
        <v>9927</v>
      </c>
      <c r="E15075" s="58">
        <v>500</v>
      </c>
      <c r="F15075" s="58"/>
      <c r="G15075" s="58">
        <f t="shared" si="241"/>
        <v>-500</v>
      </c>
      <c r="H15075" s="705" t="s">
        <v>9743</v>
      </c>
    </row>
    <row r="15076" spans="1:8" ht="15" x14ac:dyDescent="0.2">
      <c r="A15076" s="734">
        <v>45065</v>
      </c>
      <c r="B15076" s="41" t="s">
        <v>9661</v>
      </c>
      <c r="C15076" s="63" t="s">
        <v>286</v>
      </c>
      <c r="D15076" s="108" t="s">
        <v>9895</v>
      </c>
      <c r="E15076" s="58">
        <v>200</v>
      </c>
      <c r="F15076" s="58"/>
      <c r="G15076" s="58">
        <f t="shared" si="241"/>
        <v>-200</v>
      </c>
      <c r="H15076" s="705" t="s">
        <v>9743</v>
      </c>
    </row>
    <row r="15077" spans="1:8" ht="15" x14ac:dyDescent="0.2">
      <c r="A15077" s="734">
        <v>45065</v>
      </c>
      <c r="B15077" s="41" t="s">
        <v>9769</v>
      </c>
      <c r="C15077" s="63" t="s">
        <v>8900</v>
      </c>
      <c r="D15077" s="108" t="s">
        <v>9930</v>
      </c>
      <c r="E15077" s="58">
        <v>500000</v>
      </c>
      <c r="F15077" s="58"/>
      <c r="G15077" s="58">
        <f t="shared" si="241"/>
        <v>-500000</v>
      </c>
      <c r="H15077" s="705" t="s">
        <v>9743</v>
      </c>
    </row>
    <row r="15078" spans="1:8" ht="15" x14ac:dyDescent="0.2">
      <c r="A15078" s="734">
        <v>45065</v>
      </c>
      <c r="B15078" s="41" t="s">
        <v>9356</v>
      </c>
      <c r="C15078" s="63" t="s">
        <v>3145</v>
      </c>
      <c r="D15078" s="108" t="s">
        <v>9931</v>
      </c>
      <c r="E15078" s="58">
        <v>3055</v>
      </c>
      <c r="F15078" s="58"/>
      <c r="G15078" s="58">
        <f t="shared" si="241"/>
        <v>-3055</v>
      </c>
      <c r="H15078" s="705" t="s">
        <v>9743</v>
      </c>
    </row>
    <row r="15079" spans="1:8" ht="15" x14ac:dyDescent="0.2">
      <c r="A15079" s="734">
        <v>45065</v>
      </c>
      <c r="B15079" s="41" t="s">
        <v>8559</v>
      </c>
      <c r="C15079" s="63" t="s">
        <v>3145</v>
      </c>
      <c r="D15079" s="108" t="s">
        <v>6486</v>
      </c>
      <c r="E15079" s="58">
        <v>3650</v>
      </c>
      <c r="F15079" s="58"/>
      <c r="G15079" s="58">
        <f t="shared" si="241"/>
        <v>-3650</v>
      </c>
      <c r="H15079" s="705" t="s">
        <v>9743</v>
      </c>
    </row>
    <row r="15080" spans="1:8" ht="15" x14ac:dyDescent="0.2">
      <c r="A15080" s="734">
        <v>45065</v>
      </c>
      <c r="B15080" s="41" t="s">
        <v>8876</v>
      </c>
      <c r="C15080" s="63" t="s">
        <v>3145</v>
      </c>
      <c r="D15080" s="108" t="s">
        <v>9029</v>
      </c>
      <c r="E15080" s="58">
        <v>9900</v>
      </c>
      <c r="F15080" s="58"/>
      <c r="G15080" s="58">
        <f t="shared" si="241"/>
        <v>-9900</v>
      </c>
      <c r="H15080" s="705" t="s">
        <v>9743</v>
      </c>
    </row>
    <row r="15081" spans="1:8" ht="15" x14ac:dyDescent="0.2">
      <c r="A15081" s="734">
        <v>45065</v>
      </c>
      <c r="B15081" s="41" t="s">
        <v>37</v>
      </c>
      <c r="C15081" s="63" t="s">
        <v>3145</v>
      </c>
      <c r="D15081" s="108" t="s">
        <v>4452</v>
      </c>
      <c r="E15081" s="58">
        <v>4100</v>
      </c>
      <c r="F15081" s="58"/>
      <c r="G15081" s="58">
        <f t="shared" si="241"/>
        <v>-4100</v>
      </c>
      <c r="H15081" s="705" t="s">
        <v>9743</v>
      </c>
    </row>
    <row r="15082" spans="1:8" ht="15" x14ac:dyDescent="0.2">
      <c r="A15082" s="734">
        <v>45065</v>
      </c>
      <c r="B15082" s="41" t="s">
        <v>9832</v>
      </c>
      <c r="C15082" s="63" t="s">
        <v>3145</v>
      </c>
      <c r="D15082" s="108" t="s">
        <v>4452</v>
      </c>
      <c r="E15082" s="58">
        <v>4100</v>
      </c>
      <c r="F15082" s="58"/>
      <c r="G15082" s="58">
        <f t="shared" si="241"/>
        <v>-4100</v>
      </c>
      <c r="H15082" s="705" t="s">
        <v>9743</v>
      </c>
    </row>
    <row r="15083" spans="1:8" ht="15" x14ac:dyDescent="0.2">
      <c r="A15083" s="734">
        <v>45065</v>
      </c>
      <c r="B15083" s="41" t="s">
        <v>9769</v>
      </c>
      <c r="C15083" s="63" t="s">
        <v>3145</v>
      </c>
      <c r="D15083" s="108" t="s">
        <v>4452</v>
      </c>
      <c r="E15083" s="58">
        <v>63100</v>
      </c>
      <c r="F15083" s="58"/>
      <c r="G15083" s="58">
        <f t="shared" si="241"/>
        <v>-63100</v>
      </c>
      <c r="H15083" s="705" t="s">
        <v>9743</v>
      </c>
    </row>
    <row r="15084" spans="1:8" ht="15" x14ac:dyDescent="0.2">
      <c r="A15084" s="734">
        <v>45065</v>
      </c>
      <c r="B15084" s="41" t="s">
        <v>9409</v>
      </c>
      <c r="C15084" s="63" t="s">
        <v>3145</v>
      </c>
      <c r="D15084" s="108" t="s">
        <v>4452</v>
      </c>
      <c r="E15084" s="58">
        <v>2000</v>
      </c>
      <c r="F15084" s="58"/>
      <c r="G15084" s="58">
        <f t="shared" si="241"/>
        <v>-2000</v>
      </c>
      <c r="H15084" s="705" t="s">
        <v>9743</v>
      </c>
    </row>
    <row r="15085" spans="1:8" ht="15" customHeight="1" x14ac:dyDescent="0.2">
      <c r="A15085" s="734">
        <v>45065</v>
      </c>
      <c r="B15085" s="41" t="s">
        <v>8657</v>
      </c>
      <c r="C15085" s="63" t="s">
        <v>3145</v>
      </c>
      <c r="D15085" s="108" t="s">
        <v>4452</v>
      </c>
      <c r="E15085" s="58">
        <v>2000</v>
      </c>
      <c r="F15085" s="58"/>
      <c r="G15085" s="58">
        <f t="shared" si="241"/>
        <v>-2000</v>
      </c>
      <c r="H15085" s="705" t="s">
        <v>9743</v>
      </c>
    </row>
    <row r="15086" spans="1:8" ht="15" x14ac:dyDescent="0.2">
      <c r="A15086" s="734">
        <v>45065</v>
      </c>
      <c r="B15086" s="41" t="s">
        <v>8876</v>
      </c>
      <c r="C15086" s="63" t="s">
        <v>3145</v>
      </c>
      <c r="D15086" s="108" t="s">
        <v>9932</v>
      </c>
      <c r="E15086" s="58">
        <v>96000</v>
      </c>
      <c r="F15086" s="58"/>
      <c r="G15086" s="58">
        <f t="shared" si="241"/>
        <v>-96000</v>
      </c>
      <c r="H15086" s="705" t="s">
        <v>9743</v>
      </c>
    </row>
    <row r="15087" spans="1:8" ht="15" x14ac:dyDescent="0.2">
      <c r="A15087" s="734">
        <v>45065</v>
      </c>
      <c r="B15087" s="41" t="s">
        <v>25</v>
      </c>
      <c r="C15087" s="63" t="s">
        <v>4065</v>
      </c>
      <c r="D15087" s="108" t="s">
        <v>9686</v>
      </c>
      <c r="E15087" s="58">
        <v>2250</v>
      </c>
      <c r="F15087" s="58"/>
      <c r="G15087" s="58">
        <f t="shared" si="241"/>
        <v>-2250</v>
      </c>
      <c r="H15087" s="705" t="s">
        <v>9743</v>
      </c>
    </row>
    <row r="15088" spans="1:8" ht="15" x14ac:dyDescent="0.2">
      <c r="A15088" s="734">
        <v>45065</v>
      </c>
      <c r="B15088" s="41" t="s">
        <v>8876</v>
      </c>
      <c r="C15088" s="63" t="s">
        <v>3145</v>
      </c>
      <c r="D15088" s="108" t="s">
        <v>9933</v>
      </c>
      <c r="E15088" s="58">
        <v>9900</v>
      </c>
      <c r="F15088" s="58"/>
      <c r="G15088" s="58">
        <f t="shared" si="241"/>
        <v>-9900</v>
      </c>
      <c r="H15088" s="705" t="s">
        <v>9743</v>
      </c>
    </row>
    <row r="15089" spans="1:8" ht="15" customHeight="1" x14ac:dyDescent="0.2">
      <c r="A15089" s="734">
        <v>45066</v>
      </c>
      <c r="B15089" s="41" t="s">
        <v>9409</v>
      </c>
      <c r="C15089" s="63" t="s">
        <v>3145</v>
      </c>
      <c r="D15089" s="108" t="s">
        <v>5136</v>
      </c>
      <c r="E15089" s="58">
        <v>163680</v>
      </c>
      <c r="F15089" s="58"/>
      <c r="G15089" s="58">
        <f t="shared" si="241"/>
        <v>-163680</v>
      </c>
      <c r="H15089" s="705" t="s">
        <v>9743</v>
      </c>
    </row>
    <row r="15090" spans="1:8" ht="15" customHeight="1" x14ac:dyDescent="0.2">
      <c r="A15090" s="734">
        <v>45066</v>
      </c>
      <c r="B15090" s="41" t="s">
        <v>9661</v>
      </c>
      <c r="C15090" s="63" t="s">
        <v>5741</v>
      </c>
      <c r="D15090" s="108" t="s">
        <v>9934</v>
      </c>
      <c r="E15090" s="58">
        <v>500</v>
      </c>
      <c r="F15090" s="58"/>
      <c r="G15090" s="58">
        <f t="shared" si="241"/>
        <v>-500</v>
      </c>
      <c r="H15090" s="705" t="s">
        <v>9743</v>
      </c>
    </row>
    <row r="15091" spans="1:8" ht="15" x14ac:dyDescent="0.2">
      <c r="A15091" s="734">
        <v>45066</v>
      </c>
      <c r="B15091" s="41" t="s">
        <v>9769</v>
      </c>
      <c r="C15091" s="63" t="s">
        <v>3145</v>
      </c>
      <c r="D15091" s="108" t="s">
        <v>9935</v>
      </c>
      <c r="E15091" s="58">
        <v>16600</v>
      </c>
      <c r="F15091" s="58"/>
      <c r="G15091" s="58">
        <f t="shared" si="241"/>
        <v>-16600</v>
      </c>
      <c r="H15091" s="705" t="s">
        <v>9743</v>
      </c>
    </row>
    <row r="15092" spans="1:8" ht="15" x14ac:dyDescent="0.2">
      <c r="A15092" s="734">
        <v>45066</v>
      </c>
      <c r="B15092" s="41" t="s">
        <v>16</v>
      </c>
      <c r="C15092" s="63" t="s">
        <v>103</v>
      </c>
      <c r="D15092" s="108" t="s">
        <v>9425</v>
      </c>
      <c r="E15092" s="58">
        <v>2500</v>
      </c>
      <c r="F15092" s="58"/>
      <c r="G15092" s="58">
        <f t="shared" si="241"/>
        <v>-2500</v>
      </c>
      <c r="H15092" s="705" t="s">
        <v>9743</v>
      </c>
    </row>
    <row r="15093" spans="1:8" ht="15" x14ac:dyDescent="0.2">
      <c r="A15093" s="734">
        <v>45066</v>
      </c>
      <c r="B15093" s="41" t="s">
        <v>9356</v>
      </c>
      <c r="C15093" s="63" t="s">
        <v>392</v>
      </c>
      <c r="D15093" s="108" t="s">
        <v>6077</v>
      </c>
      <c r="E15093" s="58">
        <v>900</v>
      </c>
      <c r="F15093" s="58"/>
      <c r="G15093" s="58">
        <f t="shared" si="241"/>
        <v>-900</v>
      </c>
      <c r="H15093" s="705" t="s">
        <v>9743</v>
      </c>
    </row>
    <row r="15094" spans="1:8" ht="15" x14ac:dyDescent="0.2">
      <c r="A15094" s="734">
        <v>45066</v>
      </c>
      <c r="B15094" s="41" t="s">
        <v>9769</v>
      </c>
      <c r="C15094" s="63" t="s">
        <v>5741</v>
      </c>
      <c r="D15094" s="108" t="s">
        <v>9936</v>
      </c>
      <c r="E15094" s="58">
        <v>3000</v>
      </c>
      <c r="F15094" s="58"/>
      <c r="G15094" s="58">
        <f t="shared" si="241"/>
        <v>-3000</v>
      </c>
      <c r="H15094" s="705" t="s">
        <v>9743</v>
      </c>
    </row>
    <row r="15095" spans="1:8" ht="15" x14ac:dyDescent="0.2">
      <c r="A15095" s="734">
        <v>45066</v>
      </c>
      <c r="B15095" s="41" t="s">
        <v>9356</v>
      </c>
      <c r="C15095" s="63" t="s">
        <v>3145</v>
      </c>
      <c r="D15095" s="108" t="s">
        <v>9937</v>
      </c>
      <c r="E15095" s="58">
        <v>2250</v>
      </c>
      <c r="F15095" s="58"/>
      <c r="G15095" s="58">
        <f t="shared" si="241"/>
        <v>-2250</v>
      </c>
      <c r="H15095" s="705" t="s">
        <v>9743</v>
      </c>
    </row>
    <row r="15096" spans="1:8" ht="15" customHeight="1" x14ac:dyDescent="0.2">
      <c r="A15096" s="734">
        <v>45068</v>
      </c>
      <c r="B15096" s="41" t="s">
        <v>9661</v>
      </c>
      <c r="C15096" s="551" t="s">
        <v>790</v>
      </c>
      <c r="D15096" s="893" t="s">
        <v>2190</v>
      </c>
      <c r="E15096" s="583">
        <v>240</v>
      </c>
      <c r="F15096" s="58"/>
      <c r="G15096" s="58">
        <f t="shared" si="241"/>
        <v>-240</v>
      </c>
      <c r="H15096" s="705" t="s">
        <v>9743</v>
      </c>
    </row>
    <row r="15097" spans="1:8" ht="15" x14ac:dyDescent="0.2">
      <c r="A15097" s="734">
        <v>45068</v>
      </c>
      <c r="B15097" s="41" t="s">
        <v>9402</v>
      </c>
      <c r="C15097" s="551" t="s">
        <v>790</v>
      </c>
      <c r="D15097" s="893"/>
      <c r="E15097" s="583">
        <v>2620</v>
      </c>
      <c r="F15097" s="58"/>
      <c r="G15097" s="58">
        <f t="shared" si="241"/>
        <v>-2620</v>
      </c>
      <c r="H15097" s="705" t="s">
        <v>9743</v>
      </c>
    </row>
    <row r="15098" spans="1:8" ht="15" x14ac:dyDescent="0.2">
      <c r="A15098" s="734">
        <v>45068</v>
      </c>
      <c r="B15098" s="41" t="s">
        <v>8876</v>
      </c>
      <c r="C15098" s="551" t="s">
        <v>790</v>
      </c>
      <c r="D15098" s="893"/>
      <c r="E15098" s="583">
        <v>580</v>
      </c>
      <c r="F15098" s="58"/>
      <c r="G15098" s="58">
        <f t="shared" si="241"/>
        <v>-580</v>
      </c>
      <c r="H15098" s="705" t="s">
        <v>9743</v>
      </c>
    </row>
    <row r="15099" spans="1:8" ht="15" x14ac:dyDescent="0.2">
      <c r="A15099" s="734">
        <v>45068</v>
      </c>
      <c r="B15099" s="41" t="s">
        <v>9356</v>
      </c>
      <c r="C15099" s="551" t="s">
        <v>790</v>
      </c>
      <c r="D15099" s="893"/>
      <c r="E15099" s="583">
        <v>2680</v>
      </c>
      <c r="F15099" s="58"/>
      <c r="G15099" s="58">
        <f t="shared" ref="G15099:G15162" si="242">F15099-E15099</f>
        <v>-2680</v>
      </c>
      <c r="H15099" s="705" t="s">
        <v>9743</v>
      </c>
    </row>
    <row r="15100" spans="1:8" ht="15" x14ac:dyDescent="0.2">
      <c r="A15100" s="734">
        <v>45068</v>
      </c>
      <c r="B15100" s="41" t="s">
        <v>9464</v>
      </c>
      <c r="C15100" s="551" t="s">
        <v>790</v>
      </c>
      <c r="D15100" s="893"/>
      <c r="E15100" s="583">
        <v>120</v>
      </c>
      <c r="F15100" s="58"/>
      <c r="G15100" s="58">
        <f t="shared" si="242"/>
        <v>-120</v>
      </c>
      <c r="H15100" s="705" t="s">
        <v>9743</v>
      </c>
    </row>
    <row r="15101" spans="1:8" ht="15" x14ac:dyDescent="0.2">
      <c r="A15101" s="734">
        <v>45068</v>
      </c>
      <c r="B15101" s="41" t="s">
        <v>8868</v>
      </c>
      <c r="C15101" s="551" t="s">
        <v>790</v>
      </c>
      <c r="D15101" s="893"/>
      <c r="E15101" s="583">
        <v>80</v>
      </c>
      <c r="F15101" s="58"/>
      <c r="G15101" s="58">
        <f t="shared" si="242"/>
        <v>-80</v>
      </c>
      <c r="H15101" s="705" t="s">
        <v>9743</v>
      </c>
    </row>
    <row r="15102" spans="1:8" ht="15" x14ac:dyDescent="0.2">
      <c r="A15102" s="734">
        <v>45068</v>
      </c>
      <c r="B15102" s="41" t="s">
        <v>8043</v>
      </c>
      <c r="C15102" s="551" t="s">
        <v>790</v>
      </c>
      <c r="D15102" s="893"/>
      <c r="E15102" s="583">
        <v>1320</v>
      </c>
      <c r="F15102" s="58"/>
      <c r="G15102" s="58">
        <f t="shared" si="242"/>
        <v>-1320</v>
      </c>
      <c r="H15102" s="705" t="s">
        <v>9743</v>
      </c>
    </row>
    <row r="15103" spans="1:8" ht="15" x14ac:dyDescent="0.2">
      <c r="A15103" s="734">
        <v>45068</v>
      </c>
      <c r="B15103" s="41" t="s">
        <v>16</v>
      </c>
      <c r="C15103" s="551" t="s">
        <v>790</v>
      </c>
      <c r="D15103" s="893"/>
      <c r="E15103" s="583">
        <v>500</v>
      </c>
      <c r="F15103" s="58"/>
      <c r="G15103" s="58">
        <f t="shared" si="242"/>
        <v>-500</v>
      </c>
      <c r="H15103" s="705" t="s">
        <v>9743</v>
      </c>
    </row>
    <row r="15104" spans="1:8" ht="15" x14ac:dyDescent="0.2">
      <c r="A15104" s="734">
        <v>45068</v>
      </c>
      <c r="B15104" s="41" t="s">
        <v>9769</v>
      </c>
      <c r="C15104" s="63" t="s">
        <v>392</v>
      </c>
      <c r="D15104" s="108" t="s">
        <v>9938</v>
      </c>
      <c r="E15104" s="58">
        <v>75000</v>
      </c>
      <c r="F15104" s="58"/>
      <c r="G15104" s="58">
        <f t="shared" si="242"/>
        <v>-75000</v>
      </c>
      <c r="H15104" s="705" t="s">
        <v>9743</v>
      </c>
    </row>
    <row r="15105" spans="1:8" ht="15" x14ac:dyDescent="0.2">
      <c r="A15105" s="734">
        <v>45068</v>
      </c>
      <c r="B15105" s="41" t="s">
        <v>9769</v>
      </c>
      <c r="C15105" s="63" t="s">
        <v>3145</v>
      </c>
      <c r="D15105" s="108" t="s">
        <v>9939</v>
      </c>
      <c r="E15105" s="58">
        <v>130000</v>
      </c>
      <c r="F15105" s="58"/>
      <c r="G15105" s="58">
        <f t="shared" si="242"/>
        <v>-130000</v>
      </c>
      <c r="H15105" s="705" t="s">
        <v>9743</v>
      </c>
    </row>
    <row r="15106" spans="1:8" ht="15" x14ac:dyDescent="0.2">
      <c r="A15106" s="734">
        <v>45068</v>
      </c>
      <c r="B15106" s="41" t="s">
        <v>9769</v>
      </c>
      <c r="C15106" s="63" t="s">
        <v>3145</v>
      </c>
      <c r="D15106" s="108" t="s">
        <v>10065</v>
      </c>
      <c r="E15106" s="58">
        <v>280000</v>
      </c>
      <c r="F15106" s="58"/>
      <c r="G15106" s="58">
        <f t="shared" si="242"/>
        <v>-280000</v>
      </c>
      <c r="H15106" s="705" t="s">
        <v>9743</v>
      </c>
    </row>
    <row r="15107" spans="1:8" ht="15" x14ac:dyDescent="0.2">
      <c r="A15107" s="734">
        <v>45068</v>
      </c>
      <c r="B15107" s="41" t="s">
        <v>9356</v>
      </c>
      <c r="C15107" s="63" t="s">
        <v>5741</v>
      </c>
      <c r="D15107" s="108" t="s">
        <v>370</v>
      </c>
      <c r="E15107" s="58">
        <v>500</v>
      </c>
      <c r="F15107" s="58"/>
      <c r="G15107" s="58">
        <f t="shared" si="242"/>
        <v>-500</v>
      </c>
      <c r="H15107" s="705" t="s">
        <v>9743</v>
      </c>
    </row>
    <row r="15108" spans="1:8" ht="15" x14ac:dyDescent="0.2">
      <c r="A15108" s="734">
        <v>45068</v>
      </c>
      <c r="B15108" s="41" t="s">
        <v>9769</v>
      </c>
      <c r="C15108" s="63" t="s">
        <v>3145</v>
      </c>
      <c r="D15108" s="108" t="s">
        <v>9940</v>
      </c>
      <c r="E15108" s="58">
        <v>17280</v>
      </c>
      <c r="F15108" s="58"/>
      <c r="G15108" s="58">
        <f t="shared" si="242"/>
        <v>-17280</v>
      </c>
      <c r="H15108" s="705" t="s">
        <v>9743</v>
      </c>
    </row>
    <row r="15109" spans="1:8" ht="15" x14ac:dyDescent="0.2">
      <c r="A15109" s="734">
        <v>45068</v>
      </c>
      <c r="B15109" s="41" t="s">
        <v>9769</v>
      </c>
      <c r="C15109" s="63" t="s">
        <v>3145</v>
      </c>
      <c r="D15109" s="108" t="s">
        <v>9941</v>
      </c>
      <c r="E15109" s="58">
        <v>20000</v>
      </c>
      <c r="F15109" s="58"/>
      <c r="G15109" s="58">
        <f t="shared" si="242"/>
        <v>-20000</v>
      </c>
      <c r="H15109" s="705" t="s">
        <v>9743</v>
      </c>
    </row>
    <row r="15110" spans="1:8" ht="15" x14ac:dyDescent="0.2">
      <c r="A15110" s="734">
        <v>45068</v>
      </c>
      <c r="B15110" s="41" t="s">
        <v>8559</v>
      </c>
      <c r="C15110" s="63" t="s">
        <v>3145</v>
      </c>
      <c r="D15110" s="108" t="s">
        <v>9942</v>
      </c>
      <c r="E15110" s="58">
        <v>2050</v>
      </c>
      <c r="F15110" s="58"/>
      <c r="G15110" s="58">
        <f t="shared" si="242"/>
        <v>-2050</v>
      </c>
      <c r="H15110" s="705" t="s">
        <v>9743</v>
      </c>
    </row>
    <row r="15111" spans="1:8" ht="15" x14ac:dyDescent="0.2">
      <c r="A15111" s="734">
        <v>45068</v>
      </c>
      <c r="B15111" s="41" t="s">
        <v>8559</v>
      </c>
      <c r="C15111" s="63" t="s">
        <v>4876</v>
      </c>
      <c r="D15111" s="108" t="s">
        <v>9943</v>
      </c>
      <c r="E15111" s="58">
        <v>14650</v>
      </c>
      <c r="F15111" s="58"/>
      <c r="G15111" s="58">
        <f t="shared" si="242"/>
        <v>-14650</v>
      </c>
      <c r="H15111" s="705" t="s">
        <v>9743</v>
      </c>
    </row>
    <row r="15112" spans="1:8" ht="15" customHeight="1" x14ac:dyDescent="0.2">
      <c r="A15112" s="734">
        <v>45068</v>
      </c>
      <c r="B15112" s="41" t="s">
        <v>2933</v>
      </c>
      <c r="C15112" s="63" t="s">
        <v>286</v>
      </c>
      <c r="D15112" s="108" t="s">
        <v>6386</v>
      </c>
      <c r="E15112" s="58">
        <v>1400</v>
      </c>
      <c r="F15112" s="58"/>
      <c r="G15112" s="58">
        <f t="shared" si="242"/>
        <v>-1400</v>
      </c>
      <c r="H15112" s="705" t="s">
        <v>9743</v>
      </c>
    </row>
    <row r="15113" spans="1:8" ht="15" customHeight="1" x14ac:dyDescent="0.2">
      <c r="A15113" s="734">
        <v>45068</v>
      </c>
      <c r="B15113" s="41" t="s">
        <v>9769</v>
      </c>
      <c r="C15113" s="63" t="s">
        <v>3145</v>
      </c>
      <c r="D15113" s="108" t="s">
        <v>5136</v>
      </c>
      <c r="E15113" s="58">
        <v>17000</v>
      </c>
      <c r="F15113" s="58"/>
      <c r="G15113" s="58">
        <f t="shared" si="242"/>
        <v>-17000</v>
      </c>
      <c r="H15113" s="705" t="s">
        <v>9743</v>
      </c>
    </row>
    <row r="15114" spans="1:8" ht="15" x14ac:dyDescent="0.2">
      <c r="A15114" s="734">
        <v>45068</v>
      </c>
      <c r="B15114" s="41" t="s">
        <v>9409</v>
      </c>
      <c r="C15114" s="63" t="s">
        <v>3145</v>
      </c>
      <c r="D15114" s="108" t="s">
        <v>5136</v>
      </c>
      <c r="E15114" s="58">
        <v>114172</v>
      </c>
      <c r="F15114" s="58"/>
      <c r="G15114" s="58">
        <f t="shared" si="242"/>
        <v>-114172</v>
      </c>
      <c r="H15114" s="705" t="s">
        <v>9743</v>
      </c>
    </row>
    <row r="15115" spans="1:8" ht="15" x14ac:dyDescent="0.2">
      <c r="A15115" s="734">
        <v>45068</v>
      </c>
      <c r="B15115" s="41" t="s">
        <v>9464</v>
      </c>
      <c r="C15115" s="63" t="s">
        <v>3145</v>
      </c>
      <c r="D15115" s="108" t="s">
        <v>5136</v>
      </c>
      <c r="E15115" s="58">
        <v>47719</v>
      </c>
      <c r="F15115" s="58"/>
      <c r="G15115" s="58">
        <f t="shared" si="242"/>
        <v>-47719</v>
      </c>
      <c r="H15115" s="705" t="s">
        <v>9743</v>
      </c>
    </row>
    <row r="15116" spans="1:8" ht="15" x14ac:dyDescent="0.2">
      <c r="A15116" s="734">
        <v>45068</v>
      </c>
      <c r="B15116" s="41" t="s">
        <v>9769</v>
      </c>
      <c r="C15116" s="63" t="s">
        <v>5741</v>
      </c>
      <c r="D15116" s="108" t="s">
        <v>9878</v>
      </c>
      <c r="E15116" s="58">
        <v>1700</v>
      </c>
      <c r="F15116" s="58"/>
      <c r="G15116" s="58">
        <f t="shared" si="242"/>
        <v>-1700</v>
      </c>
      <c r="H15116" s="705" t="s">
        <v>9743</v>
      </c>
    </row>
    <row r="15117" spans="1:8" ht="15" x14ac:dyDescent="0.2">
      <c r="A15117" s="734">
        <v>45068</v>
      </c>
      <c r="B15117" s="41" t="s">
        <v>9769</v>
      </c>
      <c r="C15117" s="63" t="s">
        <v>3145</v>
      </c>
      <c r="D15117" s="108" t="s">
        <v>9990</v>
      </c>
      <c r="E15117" s="58">
        <v>91170</v>
      </c>
      <c r="F15117" s="58"/>
      <c r="G15117" s="58">
        <f t="shared" si="242"/>
        <v>-91170</v>
      </c>
      <c r="H15117" s="705" t="s">
        <v>9743</v>
      </c>
    </row>
    <row r="15118" spans="1:8" ht="15" x14ac:dyDescent="0.2">
      <c r="A15118" s="734">
        <v>45068</v>
      </c>
      <c r="B15118" s="41" t="s">
        <v>9769</v>
      </c>
      <c r="C15118" s="63" t="s">
        <v>8087</v>
      </c>
      <c r="D15118" s="108" t="s">
        <v>9991</v>
      </c>
      <c r="E15118" s="58">
        <v>54400</v>
      </c>
      <c r="F15118" s="58"/>
      <c r="G15118" s="58">
        <f t="shared" si="242"/>
        <v>-54400</v>
      </c>
      <c r="H15118" s="705" t="s">
        <v>9743</v>
      </c>
    </row>
    <row r="15119" spans="1:8" ht="15" x14ac:dyDescent="0.2">
      <c r="A15119" s="734">
        <v>45068</v>
      </c>
      <c r="B15119" s="41" t="s">
        <v>16</v>
      </c>
      <c r="C15119" s="63" t="s">
        <v>392</v>
      </c>
      <c r="D15119" s="108" t="s">
        <v>9992</v>
      </c>
      <c r="E15119" s="58">
        <v>5000</v>
      </c>
      <c r="F15119" s="58"/>
      <c r="G15119" s="58">
        <f t="shared" si="242"/>
        <v>-5000</v>
      </c>
      <c r="H15119" s="705" t="s">
        <v>9743</v>
      </c>
    </row>
    <row r="15120" spans="1:8" ht="15" x14ac:dyDescent="0.2">
      <c r="A15120" s="734">
        <v>45068</v>
      </c>
      <c r="B15120" s="41" t="s">
        <v>16</v>
      </c>
      <c r="C15120" s="63" t="s">
        <v>103</v>
      </c>
      <c r="D15120" s="108" t="s">
        <v>9425</v>
      </c>
      <c r="E15120" s="58">
        <v>3000</v>
      </c>
      <c r="F15120" s="58"/>
      <c r="G15120" s="58">
        <f t="shared" si="242"/>
        <v>-3000</v>
      </c>
      <c r="H15120" s="705" t="s">
        <v>9743</v>
      </c>
    </row>
    <row r="15121" spans="1:8" ht="15" x14ac:dyDescent="0.2">
      <c r="A15121" s="734">
        <v>45068</v>
      </c>
      <c r="B15121" s="41" t="s">
        <v>9661</v>
      </c>
      <c r="C15121" s="63" t="s">
        <v>286</v>
      </c>
      <c r="D15121" s="108" t="s">
        <v>9628</v>
      </c>
      <c r="E15121" s="58">
        <v>500</v>
      </c>
      <c r="F15121" s="58"/>
      <c r="G15121" s="58">
        <f t="shared" si="242"/>
        <v>-500</v>
      </c>
      <c r="H15121" s="705" t="s">
        <v>9743</v>
      </c>
    </row>
    <row r="15122" spans="1:8" ht="15" x14ac:dyDescent="0.2">
      <c r="A15122" s="734">
        <v>45068</v>
      </c>
      <c r="B15122" s="41" t="s">
        <v>9661</v>
      </c>
      <c r="C15122" s="63" t="s">
        <v>286</v>
      </c>
      <c r="D15122" s="108" t="s">
        <v>8448</v>
      </c>
      <c r="E15122" s="58">
        <v>1000</v>
      </c>
      <c r="F15122" s="58"/>
      <c r="G15122" s="58">
        <f t="shared" si="242"/>
        <v>-1000</v>
      </c>
      <c r="H15122" s="705" t="s">
        <v>9743</v>
      </c>
    </row>
    <row r="15123" spans="1:8" ht="15" x14ac:dyDescent="0.2">
      <c r="A15123" s="734">
        <v>45068</v>
      </c>
      <c r="B15123" s="41" t="s">
        <v>16</v>
      </c>
      <c r="C15123" s="63" t="s">
        <v>5341</v>
      </c>
      <c r="D15123" s="108" t="s">
        <v>9993</v>
      </c>
      <c r="E15123" s="58">
        <v>7000</v>
      </c>
      <c r="F15123" s="58"/>
      <c r="G15123" s="58">
        <f t="shared" si="242"/>
        <v>-7000</v>
      </c>
      <c r="H15123" s="705" t="s">
        <v>9743</v>
      </c>
    </row>
    <row r="15124" spans="1:8" ht="15" x14ac:dyDescent="0.2">
      <c r="A15124" s="734">
        <v>45069</v>
      </c>
      <c r="B15124" s="41" t="s">
        <v>9769</v>
      </c>
      <c r="C15124" s="63" t="s">
        <v>3145</v>
      </c>
      <c r="D15124" s="108" t="s">
        <v>9996</v>
      </c>
      <c r="E15124" s="58">
        <v>25000</v>
      </c>
      <c r="F15124" s="58"/>
      <c r="G15124" s="58">
        <f t="shared" si="242"/>
        <v>-25000</v>
      </c>
      <c r="H15124" s="705" t="s">
        <v>9743</v>
      </c>
    </row>
    <row r="15125" spans="1:8" ht="15" x14ac:dyDescent="0.2">
      <c r="A15125" s="734">
        <v>45069</v>
      </c>
      <c r="B15125" s="41" t="s">
        <v>9769</v>
      </c>
      <c r="C15125" s="63" t="s">
        <v>3292</v>
      </c>
      <c r="D15125" s="108" t="s">
        <v>9994</v>
      </c>
      <c r="E15125" s="58">
        <v>25000</v>
      </c>
      <c r="F15125" s="58"/>
      <c r="G15125" s="58">
        <f t="shared" si="242"/>
        <v>-25000</v>
      </c>
      <c r="H15125" s="705" t="s">
        <v>9743</v>
      </c>
    </row>
    <row r="15126" spans="1:8" ht="15" x14ac:dyDescent="0.2">
      <c r="A15126" s="734">
        <v>45069</v>
      </c>
      <c r="B15126" s="41" t="s">
        <v>9409</v>
      </c>
      <c r="C15126" s="63" t="s">
        <v>10068</v>
      </c>
      <c r="D15126" s="108" t="s">
        <v>10069</v>
      </c>
      <c r="E15126" s="58">
        <v>100000</v>
      </c>
      <c r="F15126" s="58"/>
      <c r="G15126" s="58">
        <f t="shared" si="242"/>
        <v>-100000</v>
      </c>
      <c r="H15126" s="705" t="s">
        <v>9743</v>
      </c>
    </row>
    <row r="15127" spans="1:8" ht="15" x14ac:dyDescent="0.2">
      <c r="A15127" s="734">
        <v>45069</v>
      </c>
      <c r="B15127" s="41" t="s">
        <v>8876</v>
      </c>
      <c r="C15127" s="63" t="s">
        <v>431</v>
      </c>
      <c r="D15127" s="108" t="s">
        <v>10070</v>
      </c>
      <c r="E15127" s="58">
        <v>5000</v>
      </c>
      <c r="F15127" s="58"/>
      <c r="G15127" s="58">
        <f t="shared" si="242"/>
        <v>-5000</v>
      </c>
      <c r="H15127" s="705" t="s">
        <v>9743</v>
      </c>
    </row>
    <row r="15128" spans="1:8" ht="15" x14ac:dyDescent="0.2">
      <c r="A15128" s="734">
        <v>45069</v>
      </c>
      <c r="B15128" s="41" t="s">
        <v>7921</v>
      </c>
      <c r="C15128" s="63" t="s">
        <v>10067</v>
      </c>
      <c r="D15128" s="108" t="s">
        <v>10071</v>
      </c>
      <c r="E15128" s="58">
        <v>975000</v>
      </c>
      <c r="F15128" s="58"/>
      <c r="G15128" s="58">
        <f t="shared" si="242"/>
        <v>-975000</v>
      </c>
      <c r="H15128" s="705" t="s">
        <v>9743</v>
      </c>
    </row>
    <row r="15129" spans="1:8" ht="15" x14ac:dyDescent="0.2">
      <c r="A15129" s="734">
        <v>45069</v>
      </c>
      <c r="B15129" s="41" t="s">
        <v>9356</v>
      </c>
      <c r="C15129" s="63" t="s">
        <v>5741</v>
      </c>
      <c r="D15129" s="108" t="s">
        <v>370</v>
      </c>
      <c r="E15129" s="58">
        <v>500</v>
      </c>
      <c r="F15129" s="58"/>
      <c r="G15129" s="58">
        <f t="shared" si="242"/>
        <v>-500</v>
      </c>
      <c r="H15129" s="705" t="s">
        <v>9743</v>
      </c>
    </row>
    <row r="15130" spans="1:8" ht="15" x14ac:dyDescent="0.2">
      <c r="A15130" s="734">
        <v>45069</v>
      </c>
      <c r="B15130" s="41" t="s">
        <v>9356</v>
      </c>
      <c r="C15130" s="63" t="s">
        <v>5741</v>
      </c>
      <c r="D15130" s="108" t="s">
        <v>9995</v>
      </c>
      <c r="E15130" s="58">
        <v>800</v>
      </c>
      <c r="F15130" s="58"/>
      <c r="G15130" s="58">
        <f t="shared" si="242"/>
        <v>-800</v>
      </c>
      <c r="H15130" s="705" t="s">
        <v>9743</v>
      </c>
    </row>
    <row r="15131" spans="1:8" ht="15" x14ac:dyDescent="0.2">
      <c r="A15131" s="734">
        <v>45070</v>
      </c>
      <c r="B15131" s="41" t="s">
        <v>8043</v>
      </c>
      <c r="C15131" s="63" t="s">
        <v>3446</v>
      </c>
      <c r="D15131" s="108" t="s">
        <v>9997</v>
      </c>
      <c r="E15131" s="58">
        <v>30000</v>
      </c>
      <c r="F15131" s="58"/>
      <c r="G15131" s="58">
        <f t="shared" si="242"/>
        <v>-30000</v>
      </c>
      <c r="H15131" s="705" t="s">
        <v>9743</v>
      </c>
    </row>
    <row r="15132" spans="1:8" ht="15" x14ac:dyDescent="0.2">
      <c r="A15132" s="734">
        <v>45070</v>
      </c>
      <c r="B15132" s="41" t="s">
        <v>9769</v>
      </c>
      <c r="C15132" s="63" t="s">
        <v>8071</v>
      </c>
      <c r="D15132" s="108" t="s">
        <v>10002</v>
      </c>
      <c r="E15132" s="58">
        <v>50000</v>
      </c>
      <c r="F15132" s="58"/>
      <c r="G15132" s="58">
        <f t="shared" si="242"/>
        <v>-50000</v>
      </c>
      <c r="H15132" s="705" t="s">
        <v>9743</v>
      </c>
    </row>
    <row r="15133" spans="1:8" ht="15" x14ac:dyDescent="0.2">
      <c r="A15133" s="734">
        <v>45070</v>
      </c>
      <c r="B15133" s="41" t="s">
        <v>9769</v>
      </c>
      <c r="C15133" s="63" t="s">
        <v>392</v>
      </c>
      <c r="D15133" s="108" t="s">
        <v>9023</v>
      </c>
      <c r="E15133" s="58">
        <v>1000</v>
      </c>
      <c r="F15133" s="58"/>
      <c r="G15133" s="58">
        <f t="shared" si="242"/>
        <v>-1000</v>
      </c>
      <c r="H15133" s="705" t="s">
        <v>9743</v>
      </c>
    </row>
    <row r="15134" spans="1:8" ht="15" x14ac:dyDescent="0.2">
      <c r="A15134" s="734">
        <v>45070</v>
      </c>
      <c r="B15134" s="41" t="s">
        <v>25</v>
      </c>
      <c r="C15134" s="63" t="s">
        <v>8150</v>
      </c>
      <c r="D15134" s="108" t="s">
        <v>9999</v>
      </c>
      <c r="E15134" s="58">
        <v>67602</v>
      </c>
      <c r="F15134" s="58"/>
      <c r="G15134" s="58">
        <f t="shared" si="242"/>
        <v>-67602</v>
      </c>
      <c r="H15134" s="705" t="s">
        <v>9743</v>
      </c>
    </row>
    <row r="15135" spans="1:8" ht="15" x14ac:dyDescent="0.2">
      <c r="A15135" s="734">
        <v>45070</v>
      </c>
      <c r="B15135" s="41" t="s">
        <v>16</v>
      </c>
      <c r="C15135" s="63" t="s">
        <v>8150</v>
      </c>
      <c r="D15135" s="108" t="s">
        <v>9999</v>
      </c>
      <c r="E15135" s="58">
        <v>18655</v>
      </c>
      <c r="F15135" s="58"/>
      <c r="G15135" s="58">
        <f t="shared" si="242"/>
        <v>-18655</v>
      </c>
      <c r="H15135" s="705" t="s">
        <v>9743</v>
      </c>
    </row>
    <row r="15136" spans="1:8" ht="15" x14ac:dyDescent="0.2">
      <c r="A15136" s="734">
        <v>45070</v>
      </c>
      <c r="B15136" s="41" t="s">
        <v>16</v>
      </c>
      <c r="C15136" s="63" t="s">
        <v>392</v>
      </c>
      <c r="D15136" s="108" t="s">
        <v>9998</v>
      </c>
      <c r="E15136" s="58">
        <v>3000</v>
      </c>
      <c r="F15136" s="58"/>
      <c r="G15136" s="58">
        <f t="shared" si="242"/>
        <v>-3000</v>
      </c>
      <c r="H15136" s="705" t="s">
        <v>9743</v>
      </c>
    </row>
    <row r="15137" spans="1:8" ht="15" x14ac:dyDescent="0.2">
      <c r="A15137" s="734">
        <v>45070</v>
      </c>
      <c r="B15137" s="41" t="s">
        <v>8876</v>
      </c>
      <c r="C15137" s="63" t="s">
        <v>3145</v>
      </c>
      <c r="D15137" s="108" t="s">
        <v>4309</v>
      </c>
      <c r="E15137" s="58">
        <v>4250</v>
      </c>
      <c r="F15137" s="58"/>
      <c r="G15137" s="58">
        <f t="shared" si="242"/>
        <v>-4250</v>
      </c>
      <c r="H15137" s="705" t="s">
        <v>9743</v>
      </c>
    </row>
    <row r="15138" spans="1:8" ht="15" x14ac:dyDescent="0.2">
      <c r="A15138" s="734">
        <v>45070</v>
      </c>
      <c r="B15138" s="41" t="s">
        <v>37</v>
      </c>
      <c r="C15138" s="63" t="s">
        <v>2515</v>
      </c>
      <c r="D15138" s="108" t="s">
        <v>10003</v>
      </c>
      <c r="E15138" s="58">
        <v>20000</v>
      </c>
      <c r="F15138" s="58"/>
      <c r="G15138" s="58">
        <f t="shared" si="242"/>
        <v>-20000</v>
      </c>
      <c r="H15138" s="705" t="s">
        <v>9743</v>
      </c>
    </row>
    <row r="15139" spans="1:8" ht="15" customHeight="1" x14ac:dyDescent="0.2">
      <c r="A15139" s="734">
        <v>45070</v>
      </c>
      <c r="B15139" s="41" t="s">
        <v>9356</v>
      </c>
      <c r="C15139" s="63" t="s">
        <v>392</v>
      </c>
      <c r="D15139" s="108" t="s">
        <v>10004</v>
      </c>
      <c r="E15139" s="58">
        <v>3700</v>
      </c>
      <c r="F15139" s="58"/>
      <c r="G15139" s="58">
        <f t="shared" si="242"/>
        <v>-3700</v>
      </c>
      <c r="H15139" s="705" t="s">
        <v>9743</v>
      </c>
    </row>
    <row r="15140" spans="1:8" ht="15" customHeight="1" x14ac:dyDescent="0.2">
      <c r="A15140" s="734">
        <v>45070</v>
      </c>
      <c r="B15140" s="41" t="s">
        <v>16</v>
      </c>
      <c r="C15140" s="63" t="s">
        <v>392</v>
      </c>
      <c r="D15140" s="108" t="s">
        <v>9425</v>
      </c>
      <c r="E15140" s="58">
        <v>3500</v>
      </c>
      <c r="F15140" s="58"/>
      <c r="G15140" s="58">
        <f t="shared" si="242"/>
        <v>-3500</v>
      </c>
      <c r="H15140" s="705" t="s">
        <v>9743</v>
      </c>
    </row>
    <row r="15141" spans="1:8" ht="15" customHeight="1" x14ac:dyDescent="0.2">
      <c r="A15141" s="734">
        <v>45070</v>
      </c>
      <c r="B15141" s="41" t="s">
        <v>9356</v>
      </c>
      <c r="C15141" s="63" t="s">
        <v>5741</v>
      </c>
      <c r="D15141" s="108" t="s">
        <v>9995</v>
      </c>
      <c r="E15141" s="58">
        <v>600</v>
      </c>
      <c r="F15141" s="58"/>
      <c r="G15141" s="58">
        <f t="shared" si="242"/>
        <v>-600</v>
      </c>
      <c r="H15141" s="705" t="s">
        <v>9743</v>
      </c>
    </row>
    <row r="15142" spans="1:8" ht="15" x14ac:dyDescent="0.2">
      <c r="A15142" s="734">
        <v>45070</v>
      </c>
      <c r="B15142" s="41" t="s">
        <v>9356</v>
      </c>
      <c r="C15142" s="63" t="s">
        <v>5741</v>
      </c>
      <c r="D15142" s="108" t="s">
        <v>10000</v>
      </c>
      <c r="E15142" s="58">
        <v>360</v>
      </c>
      <c r="F15142" s="58"/>
      <c r="G15142" s="58">
        <f t="shared" si="242"/>
        <v>-360</v>
      </c>
      <c r="H15142" s="705" t="s">
        <v>9743</v>
      </c>
    </row>
    <row r="15143" spans="1:8" ht="15" x14ac:dyDescent="0.2">
      <c r="A15143" s="734">
        <v>45070</v>
      </c>
      <c r="B15143" s="41" t="s">
        <v>9769</v>
      </c>
      <c r="C15143" s="63" t="s">
        <v>5741</v>
      </c>
      <c r="D15143" s="108" t="s">
        <v>10001</v>
      </c>
      <c r="E15143" s="58">
        <v>1500</v>
      </c>
      <c r="F15143" s="58"/>
      <c r="G15143" s="58">
        <f t="shared" si="242"/>
        <v>-1500</v>
      </c>
      <c r="H15143" s="705" t="s">
        <v>9743</v>
      </c>
    </row>
    <row r="15144" spans="1:8" ht="15" x14ac:dyDescent="0.2">
      <c r="A15144" s="734">
        <v>45070</v>
      </c>
      <c r="B15144" s="41" t="s">
        <v>9356</v>
      </c>
      <c r="C15144" s="63" t="s">
        <v>3145</v>
      </c>
      <c r="D15144" s="108" t="s">
        <v>10000</v>
      </c>
      <c r="E15144" s="58">
        <v>360</v>
      </c>
      <c r="F15144" s="58"/>
      <c r="G15144" s="58">
        <f t="shared" si="242"/>
        <v>-360</v>
      </c>
      <c r="H15144" s="705" t="s">
        <v>9743</v>
      </c>
    </row>
    <row r="15145" spans="1:8" ht="15" x14ac:dyDescent="0.2">
      <c r="A15145" s="734">
        <v>45070</v>
      </c>
      <c r="B15145" s="41" t="s">
        <v>9464</v>
      </c>
      <c r="C15145" s="63" t="s">
        <v>3145</v>
      </c>
      <c r="D15145" s="108" t="s">
        <v>10005</v>
      </c>
      <c r="E15145" s="58">
        <v>15600</v>
      </c>
      <c r="F15145" s="58"/>
      <c r="G15145" s="58">
        <f t="shared" si="242"/>
        <v>-15600</v>
      </c>
      <c r="H15145" s="705" t="s">
        <v>9743</v>
      </c>
    </row>
    <row r="15146" spans="1:8" ht="15" x14ac:dyDescent="0.2">
      <c r="A15146" s="734">
        <v>45070</v>
      </c>
      <c r="B15146" s="41" t="s">
        <v>9769</v>
      </c>
      <c r="C15146" s="63" t="s">
        <v>3145</v>
      </c>
      <c r="D15146" s="108" t="s">
        <v>10006</v>
      </c>
      <c r="E15146" s="58">
        <v>23200</v>
      </c>
      <c r="F15146" s="58"/>
      <c r="G15146" s="58">
        <f t="shared" si="242"/>
        <v>-23200</v>
      </c>
      <c r="H15146" s="705" t="s">
        <v>9743</v>
      </c>
    </row>
    <row r="15147" spans="1:8" ht="15" x14ac:dyDescent="0.2">
      <c r="A15147" s="734">
        <v>45071</v>
      </c>
      <c r="B15147" s="41" t="s">
        <v>9356</v>
      </c>
      <c r="C15147" s="63" t="s">
        <v>3145</v>
      </c>
      <c r="D15147" s="108" t="s">
        <v>10007</v>
      </c>
      <c r="E15147" s="58">
        <v>300</v>
      </c>
      <c r="F15147" s="58"/>
      <c r="G15147" s="58">
        <f t="shared" si="242"/>
        <v>-300</v>
      </c>
      <c r="H15147" s="705" t="s">
        <v>9743</v>
      </c>
    </row>
    <row r="15148" spans="1:8" ht="15" x14ac:dyDescent="0.2">
      <c r="A15148" s="734">
        <v>45071</v>
      </c>
      <c r="B15148" s="41" t="s">
        <v>9661</v>
      </c>
      <c r="C15148" s="63" t="s">
        <v>3145</v>
      </c>
      <c r="D15148" s="108" t="s">
        <v>10008</v>
      </c>
      <c r="E15148" s="58">
        <v>16000</v>
      </c>
      <c r="F15148" s="58"/>
      <c r="G15148" s="58">
        <f t="shared" si="242"/>
        <v>-16000</v>
      </c>
      <c r="H15148" s="705" t="s">
        <v>9743</v>
      </c>
    </row>
    <row r="15149" spans="1:8" ht="15" x14ac:dyDescent="0.2">
      <c r="A15149" s="734">
        <v>45071</v>
      </c>
      <c r="B15149" s="41" t="s">
        <v>10144</v>
      </c>
      <c r="C15149" s="63" t="s">
        <v>5741</v>
      </c>
      <c r="D15149" s="108" t="s">
        <v>370</v>
      </c>
      <c r="E15149" s="58">
        <v>1800</v>
      </c>
      <c r="F15149" s="58"/>
      <c r="G15149" s="58">
        <f t="shared" si="242"/>
        <v>-1800</v>
      </c>
      <c r="H15149" s="705" t="s">
        <v>9743</v>
      </c>
    </row>
    <row r="15150" spans="1:8" ht="15" x14ac:dyDescent="0.2">
      <c r="A15150" s="734">
        <v>45071</v>
      </c>
      <c r="B15150" s="41" t="s">
        <v>9769</v>
      </c>
      <c r="C15150" s="63" t="s">
        <v>5741</v>
      </c>
      <c r="D15150" s="108" t="s">
        <v>370</v>
      </c>
      <c r="E15150" s="58">
        <v>400</v>
      </c>
      <c r="F15150" s="58"/>
      <c r="G15150" s="58">
        <f t="shared" si="242"/>
        <v>-400</v>
      </c>
      <c r="H15150" s="705" t="s">
        <v>9743</v>
      </c>
    </row>
    <row r="15151" spans="1:8" ht="15" x14ac:dyDescent="0.2">
      <c r="A15151" s="734">
        <v>45071</v>
      </c>
      <c r="B15151" s="41" t="s">
        <v>9661</v>
      </c>
      <c r="C15151" s="63" t="s">
        <v>3145</v>
      </c>
      <c r="D15151" s="108" t="s">
        <v>10009</v>
      </c>
      <c r="E15151" s="58">
        <v>15000</v>
      </c>
      <c r="F15151" s="58"/>
      <c r="G15151" s="58">
        <f t="shared" si="242"/>
        <v>-15000</v>
      </c>
      <c r="H15151" s="705" t="s">
        <v>9743</v>
      </c>
    </row>
    <row r="15152" spans="1:8" ht="15" x14ac:dyDescent="0.2">
      <c r="A15152" s="734">
        <v>45071</v>
      </c>
      <c r="B15152" s="41" t="s">
        <v>9661</v>
      </c>
      <c r="C15152" s="63" t="s">
        <v>9788</v>
      </c>
      <c r="D15152" s="108" t="s">
        <v>10011</v>
      </c>
      <c r="E15152" s="58">
        <v>46500</v>
      </c>
      <c r="F15152" s="58"/>
      <c r="G15152" s="58">
        <f t="shared" si="242"/>
        <v>-46500</v>
      </c>
      <c r="H15152" s="705" t="s">
        <v>9743</v>
      </c>
    </row>
    <row r="15153" spans="1:8" ht="15" x14ac:dyDescent="0.2">
      <c r="A15153" s="734">
        <v>45071</v>
      </c>
      <c r="B15153" s="41" t="s">
        <v>9356</v>
      </c>
      <c r="C15153" s="63" t="s">
        <v>9788</v>
      </c>
      <c r="D15153" s="108" t="s">
        <v>10012</v>
      </c>
      <c r="E15153" s="58">
        <v>11000</v>
      </c>
      <c r="F15153" s="58"/>
      <c r="G15153" s="58">
        <f t="shared" si="242"/>
        <v>-11000</v>
      </c>
      <c r="H15153" s="705" t="s">
        <v>9743</v>
      </c>
    </row>
    <row r="15154" spans="1:8" ht="15" x14ac:dyDescent="0.2">
      <c r="A15154" s="734">
        <v>45071</v>
      </c>
      <c r="B15154" s="41" t="s">
        <v>9769</v>
      </c>
      <c r="C15154" s="63" t="s">
        <v>9788</v>
      </c>
      <c r="D15154" s="108" t="s">
        <v>10013</v>
      </c>
      <c r="E15154" s="58">
        <v>93000</v>
      </c>
      <c r="F15154" s="58"/>
      <c r="G15154" s="58">
        <f t="shared" si="242"/>
        <v>-93000</v>
      </c>
      <c r="H15154" s="705" t="s">
        <v>9743</v>
      </c>
    </row>
    <row r="15155" spans="1:8" ht="15" x14ac:dyDescent="0.2">
      <c r="A15155" s="734">
        <v>45071</v>
      </c>
      <c r="B15155" s="41" t="s">
        <v>9661</v>
      </c>
      <c r="C15155" s="63" t="s">
        <v>9788</v>
      </c>
      <c r="D15155" s="108" t="s">
        <v>10010</v>
      </c>
      <c r="E15155" s="58">
        <v>255750</v>
      </c>
      <c r="F15155" s="58"/>
      <c r="G15155" s="58">
        <f t="shared" si="242"/>
        <v>-255750</v>
      </c>
      <c r="H15155" s="705" t="s">
        <v>9743</v>
      </c>
    </row>
    <row r="15156" spans="1:8" ht="15" customHeight="1" x14ac:dyDescent="0.2">
      <c r="A15156" s="734">
        <v>45072</v>
      </c>
      <c r="B15156" s="41" t="s">
        <v>9661</v>
      </c>
      <c r="C15156" s="63" t="s">
        <v>10015</v>
      </c>
      <c r="D15156" s="108" t="s">
        <v>10016</v>
      </c>
      <c r="E15156" s="58">
        <v>950</v>
      </c>
      <c r="F15156" s="58"/>
      <c r="G15156" s="58">
        <f t="shared" si="242"/>
        <v>-950</v>
      </c>
      <c r="H15156" s="705" t="s">
        <v>9743</v>
      </c>
    </row>
    <row r="15157" spans="1:8" ht="15" x14ac:dyDescent="0.2">
      <c r="A15157" s="734">
        <v>45072</v>
      </c>
      <c r="B15157" s="41" t="s">
        <v>9356</v>
      </c>
      <c r="C15157" s="63" t="s">
        <v>286</v>
      </c>
      <c r="D15157" s="108" t="s">
        <v>2431</v>
      </c>
      <c r="E15157" s="58">
        <v>1000</v>
      </c>
      <c r="F15157" s="58"/>
      <c r="G15157" s="58">
        <f t="shared" si="242"/>
        <v>-1000</v>
      </c>
      <c r="H15157" s="705" t="s">
        <v>9743</v>
      </c>
    </row>
    <row r="15158" spans="1:8" ht="15" x14ac:dyDescent="0.2">
      <c r="A15158" s="734">
        <v>45072</v>
      </c>
      <c r="B15158" s="41" t="s">
        <v>9661</v>
      </c>
      <c r="C15158" s="63" t="s">
        <v>5741</v>
      </c>
      <c r="D15158" s="108" t="s">
        <v>370</v>
      </c>
      <c r="E15158" s="58">
        <v>1500</v>
      </c>
      <c r="F15158" s="58"/>
      <c r="G15158" s="58">
        <f t="shared" si="242"/>
        <v>-1500</v>
      </c>
      <c r="H15158" s="705" t="s">
        <v>9743</v>
      </c>
    </row>
    <row r="15159" spans="1:8" ht="15" x14ac:dyDescent="0.2">
      <c r="A15159" s="734">
        <v>45072</v>
      </c>
      <c r="B15159" s="41" t="s">
        <v>9661</v>
      </c>
      <c r="C15159" s="63" t="s">
        <v>3145</v>
      </c>
      <c r="D15159" s="108" t="s">
        <v>10017</v>
      </c>
      <c r="E15159" s="58">
        <v>3600</v>
      </c>
      <c r="F15159" s="58"/>
      <c r="G15159" s="58">
        <f t="shared" si="242"/>
        <v>-3600</v>
      </c>
      <c r="H15159" s="705" t="s">
        <v>9743</v>
      </c>
    </row>
    <row r="15160" spans="1:8" ht="15" x14ac:dyDescent="0.2">
      <c r="A15160" s="734">
        <v>45072</v>
      </c>
      <c r="B15160" s="41" t="s">
        <v>2933</v>
      </c>
      <c r="C15160" s="63" t="s">
        <v>3145</v>
      </c>
      <c r="D15160" s="108" t="s">
        <v>6486</v>
      </c>
      <c r="E15160" s="58">
        <v>5750</v>
      </c>
      <c r="F15160" s="58"/>
      <c r="G15160" s="58">
        <f t="shared" si="242"/>
        <v>-5750</v>
      </c>
      <c r="H15160" s="705" t="s">
        <v>9743</v>
      </c>
    </row>
    <row r="15161" spans="1:8" ht="15" customHeight="1" x14ac:dyDescent="0.2">
      <c r="A15161" s="734">
        <v>45072</v>
      </c>
      <c r="B15161" s="41" t="s">
        <v>2933</v>
      </c>
      <c r="C15161" s="63" t="s">
        <v>3145</v>
      </c>
      <c r="D15161" s="108" t="s">
        <v>10018</v>
      </c>
      <c r="E15161" s="58">
        <v>2650</v>
      </c>
      <c r="F15161" s="58"/>
      <c r="G15161" s="58">
        <f t="shared" si="242"/>
        <v>-2650</v>
      </c>
      <c r="H15161" s="705" t="s">
        <v>9743</v>
      </c>
    </row>
    <row r="15162" spans="1:8" ht="15" customHeight="1" x14ac:dyDescent="0.2">
      <c r="A15162" s="734">
        <v>45072</v>
      </c>
      <c r="B15162" s="41" t="s">
        <v>9769</v>
      </c>
      <c r="C15162" s="63" t="s">
        <v>5741</v>
      </c>
      <c r="D15162" s="108" t="s">
        <v>370</v>
      </c>
      <c r="E15162" s="58">
        <v>600</v>
      </c>
      <c r="F15162" s="58"/>
      <c r="G15162" s="58">
        <f t="shared" si="242"/>
        <v>-600</v>
      </c>
      <c r="H15162" s="705" t="s">
        <v>9743</v>
      </c>
    </row>
    <row r="15163" spans="1:8" ht="15" customHeight="1" x14ac:dyDescent="0.2">
      <c r="A15163" s="734">
        <v>45072</v>
      </c>
      <c r="B15163" s="41" t="s">
        <v>8876</v>
      </c>
      <c r="C15163" s="63" t="s">
        <v>5741</v>
      </c>
      <c r="D15163" s="108" t="s">
        <v>370</v>
      </c>
      <c r="E15163" s="58">
        <v>600</v>
      </c>
      <c r="F15163" s="58"/>
      <c r="G15163" s="58">
        <f t="shared" ref="G15163:G15226" si="243">F15163-E15163</f>
        <v>-600</v>
      </c>
      <c r="H15163" s="705" t="s">
        <v>9743</v>
      </c>
    </row>
    <row r="15164" spans="1:8" ht="15" customHeight="1" x14ac:dyDescent="0.2">
      <c r="A15164" s="734">
        <v>45072</v>
      </c>
      <c r="B15164" s="41" t="s">
        <v>9356</v>
      </c>
      <c r="C15164" s="63" t="s">
        <v>286</v>
      </c>
      <c r="D15164" s="108" t="s">
        <v>10019</v>
      </c>
      <c r="E15164" s="58">
        <v>200</v>
      </c>
      <c r="F15164" s="58"/>
      <c r="G15164" s="58">
        <f t="shared" si="243"/>
        <v>-200</v>
      </c>
      <c r="H15164" s="705" t="s">
        <v>9743</v>
      </c>
    </row>
    <row r="15165" spans="1:8" ht="15" customHeight="1" x14ac:dyDescent="0.2">
      <c r="A15165" s="734">
        <v>45072</v>
      </c>
      <c r="B15165" s="41" t="s">
        <v>9356</v>
      </c>
      <c r="C15165" s="63" t="s">
        <v>3145</v>
      </c>
      <c r="D15165" s="108" t="s">
        <v>10020</v>
      </c>
      <c r="E15165" s="58">
        <v>250</v>
      </c>
      <c r="F15165" s="58"/>
      <c r="G15165" s="58">
        <f t="shared" si="243"/>
        <v>-250</v>
      </c>
      <c r="H15165" s="705" t="s">
        <v>9743</v>
      </c>
    </row>
    <row r="15166" spans="1:8" ht="15" x14ac:dyDescent="0.2">
      <c r="A15166" s="734">
        <v>45072</v>
      </c>
      <c r="B15166" s="41" t="s">
        <v>10023</v>
      </c>
      <c r="C15166" s="63" t="s">
        <v>3145</v>
      </c>
      <c r="D15166" s="108" t="s">
        <v>10021</v>
      </c>
      <c r="E15166" s="58">
        <v>156200</v>
      </c>
      <c r="F15166" s="58"/>
      <c r="G15166" s="58">
        <f t="shared" si="243"/>
        <v>-156200</v>
      </c>
      <c r="H15166" s="705" t="s">
        <v>9743</v>
      </c>
    </row>
    <row r="15167" spans="1:8" ht="15" customHeight="1" x14ac:dyDescent="0.2">
      <c r="A15167" s="734">
        <v>45072</v>
      </c>
      <c r="B15167" s="41" t="s">
        <v>9661</v>
      </c>
      <c r="C15167" s="63" t="s">
        <v>5741</v>
      </c>
      <c r="D15167" s="108" t="s">
        <v>10022</v>
      </c>
      <c r="E15167" s="58">
        <v>800</v>
      </c>
      <c r="F15167" s="58"/>
      <c r="G15167" s="58">
        <f t="shared" si="243"/>
        <v>-800</v>
      </c>
      <c r="H15167" s="705" t="s">
        <v>9743</v>
      </c>
    </row>
    <row r="15168" spans="1:8" ht="15" customHeight="1" x14ac:dyDescent="0.2">
      <c r="A15168" s="734">
        <v>45072</v>
      </c>
      <c r="B15168" s="41" t="s">
        <v>9661</v>
      </c>
      <c r="C15168" s="63" t="s">
        <v>6967</v>
      </c>
      <c r="D15168" s="108" t="s">
        <v>2711</v>
      </c>
      <c r="E15168" s="58">
        <v>9000</v>
      </c>
      <c r="F15168" s="58"/>
      <c r="G15168" s="58">
        <f t="shared" si="243"/>
        <v>-9000</v>
      </c>
      <c r="H15168" s="705" t="s">
        <v>9743</v>
      </c>
    </row>
    <row r="15169" spans="1:8" ht="15" customHeight="1" x14ac:dyDescent="0.2">
      <c r="A15169" s="734">
        <v>45072</v>
      </c>
      <c r="B15169" s="41" t="s">
        <v>9661</v>
      </c>
      <c r="C15169" s="63" t="s">
        <v>5410</v>
      </c>
      <c r="D15169" s="108" t="s">
        <v>10066</v>
      </c>
      <c r="E15169" s="58">
        <v>8000</v>
      </c>
      <c r="F15169" s="58"/>
      <c r="G15169" s="58">
        <f t="shared" si="243"/>
        <v>-8000</v>
      </c>
      <c r="H15169" s="705" t="s">
        <v>9743</v>
      </c>
    </row>
    <row r="15170" spans="1:8" ht="15" customHeight="1" x14ac:dyDescent="0.2">
      <c r="A15170" s="734">
        <v>45075</v>
      </c>
      <c r="B15170" s="41" t="s">
        <v>10144</v>
      </c>
      <c r="C15170" s="63" t="s">
        <v>5741</v>
      </c>
      <c r="D15170" s="108" t="s">
        <v>370</v>
      </c>
      <c r="E15170" s="58">
        <v>1000</v>
      </c>
      <c r="F15170" s="58"/>
      <c r="G15170" s="58">
        <f t="shared" si="243"/>
        <v>-1000</v>
      </c>
      <c r="H15170" s="705" t="s">
        <v>9743</v>
      </c>
    </row>
    <row r="15171" spans="1:8" ht="15" customHeight="1" x14ac:dyDescent="0.2">
      <c r="A15171" s="734">
        <v>45075</v>
      </c>
      <c r="B15171" s="41" t="s">
        <v>9661</v>
      </c>
      <c r="C15171" s="63" t="s">
        <v>3292</v>
      </c>
      <c r="D15171" s="108" t="s">
        <v>10024</v>
      </c>
      <c r="E15171" s="58">
        <v>30000</v>
      </c>
      <c r="F15171" s="58"/>
      <c r="G15171" s="58">
        <f t="shared" si="243"/>
        <v>-30000</v>
      </c>
      <c r="H15171" s="705" t="s">
        <v>9743</v>
      </c>
    </row>
    <row r="15172" spans="1:8" ht="15" customHeight="1" x14ac:dyDescent="0.2">
      <c r="A15172" s="734">
        <v>45075</v>
      </c>
      <c r="B15172" s="41" t="s">
        <v>9661</v>
      </c>
      <c r="C15172" s="63" t="s">
        <v>5741</v>
      </c>
      <c r="D15172" s="108" t="s">
        <v>10025</v>
      </c>
      <c r="E15172" s="58">
        <v>600</v>
      </c>
      <c r="F15172" s="58"/>
      <c r="G15172" s="58">
        <f t="shared" si="243"/>
        <v>-600</v>
      </c>
      <c r="H15172" s="705" t="s">
        <v>9743</v>
      </c>
    </row>
    <row r="15173" spans="1:8" ht="15" x14ac:dyDescent="0.2">
      <c r="A15173" s="734">
        <v>45075</v>
      </c>
      <c r="B15173" s="41" t="s">
        <v>8876</v>
      </c>
      <c r="C15173" s="63" t="s">
        <v>5741</v>
      </c>
      <c r="D15173" s="108" t="s">
        <v>370</v>
      </c>
      <c r="E15173" s="58">
        <v>1000</v>
      </c>
      <c r="F15173" s="58"/>
      <c r="G15173" s="58">
        <f t="shared" si="243"/>
        <v>-1000</v>
      </c>
      <c r="H15173" s="705" t="s">
        <v>9743</v>
      </c>
    </row>
    <row r="15174" spans="1:8" ht="15" x14ac:dyDescent="0.2">
      <c r="A15174" s="734">
        <v>45075</v>
      </c>
      <c r="B15174" s="41" t="s">
        <v>10023</v>
      </c>
      <c r="C15174" s="63" t="s">
        <v>5741</v>
      </c>
      <c r="D15174" s="108" t="s">
        <v>370</v>
      </c>
      <c r="E15174" s="58">
        <v>500</v>
      </c>
      <c r="F15174" s="58"/>
      <c r="G15174" s="58">
        <f t="shared" si="243"/>
        <v>-500</v>
      </c>
      <c r="H15174" s="705" t="s">
        <v>9743</v>
      </c>
    </row>
    <row r="15175" spans="1:8" ht="15" x14ac:dyDescent="0.2">
      <c r="A15175" s="734">
        <v>45075</v>
      </c>
      <c r="B15175" s="41" t="s">
        <v>16</v>
      </c>
      <c r="C15175" s="63" t="s">
        <v>103</v>
      </c>
      <c r="D15175" s="108" t="s">
        <v>9425</v>
      </c>
      <c r="E15175" s="58">
        <v>4000</v>
      </c>
      <c r="F15175" s="58"/>
      <c r="G15175" s="58">
        <f t="shared" si="243"/>
        <v>-4000</v>
      </c>
      <c r="H15175" s="705" t="s">
        <v>9743</v>
      </c>
    </row>
    <row r="15176" spans="1:8" ht="15" x14ac:dyDescent="0.2">
      <c r="A15176" s="734">
        <v>45075</v>
      </c>
      <c r="B15176" s="41" t="s">
        <v>16</v>
      </c>
      <c r="C15176" s="63" t="s">
        <v>5410</v>
      </c>
      <c r="D15176" s="108" t="s">
        <v>370</v>
      </c>
      <c r="E15176" s="58">
        <v>5000</v>
      </c>
      <c r="F15176" s="58"/>
      <c r="G15176" s="58">
        <f t="shared" si="243"/>
        <v>-5000</v>
      </c>
      <c r="H15176" s="705" t="s">
        <v>9743</v>
      </c>
    </row>
    <row r="15177" spans="1:8" ht="15" x14ac:dyDescent="0.2">
      <c r="A15177" s="734">
        <v>45075</v>
      </c>
      <c r="B15177" s="41" t="s">
        <v>16</v>
      </c>
      <c r="C15177" s="63" t="s">
        <v>103</v>
      </c>
      <c r="D15177" s="108" t="s">
        <v>10026</v>
      </c>
      <c r="E15177" s="58">
        <v>6000</v>
      </c>
      <c r="F15177" s="58"/>
      <c r="G15177" s="58">
        <f t="shared" si="243"/>
        <v>-6000</v>
      </c>
      <c r="H15177" s="705" t="s">
        <v>9743</v>
      </c>
    </row>
    <row r="15178" spans="1:8" ht="15" x14ac:dyDescent="0.2">
      <c r="A15178" s="734">
        <v>45075</v>
      </c>
      <c r="B15178" s="41" t="s">
        <v>9409</v>
      </c>
      <c r="C15178" s="63" t="s">
        <v>3145</v>
      </c>
      <c r="D15178" s="108" t="s">
        <v>10027</v>
      </c>
      <c r="E15178" s="58">
        <v>55000</v>
      </c>
      <c r="F15178" s="58"/>
      <c r="G15178" s="58">
        <f t="shared" si="243"/>
        <v>-55000</v>
      </c>
      <c r="H15178" s="705" t="s">
        <v>9743</v>
      </c>
    </row>
    <row r="15179" spans="1:8" ht="15" x14ac:dyDescent="0.2">
      <c r="A15179" s="734">
        <v>45075</v>
      </c>
      <c r="B15179" s="41" t="s">
        <v>10144</v>
      </c>
      <c r="C15179" s="63" t="s">
        <v>3145</v>
      </c>
      <c r="D15179" s="108" t="s">
        <v>10027</v>
      </c>
      <c r="E15179" s="58">
        <v>2000</v>
      </c>
      <c r="F15179" s="58"/>
      <c r="G15179" s="58">
        <f t="shared" si="243"/>
        <v>-2000</v>
      </c>
      <c r="H15179" s="705" t="s">
        <v>9743</v>
      </c>
    </row>
    <row r="15180" spans="1:8" ht="15" x14ac:dyDescent="0.2">
      <c r="A15180" s="734">
        <v>45075</v>
      </c>
      <c r="B15180" s="41" t="s">
        <v>10023</v>
      </c>
      <c r="C15180" s="63" t="s">
        <v>3145</v>
      </c>
      <c r="D15180" s="108" t="s">
        <v>10027</v>
      </c>
      <c r="E15180" s="58">
        <v>2050</v>
      </c>
      <c r="F15180" s="58"/>
      <c r="G15180" s="58">
        <f t="shared" si="243"/>
        <v>-2050</v>
      </c>
      <c r="H15180" s="705" t="s">
        <v>9743</v>
      </c>
    </row>
    <row r="15181" spans="1:8" ht="15" x14ac:dyDescent="0.2">
      <c r="A15181" s="734">
        <v>45075</v>
      </c>
      <c r="B15181" s="41" t="s">
        <v>2933</v>
      </c>
      <c r="C15181" s="63" t="s">
        <v>3145</v>
      </c>
      <c r="D15181" s="108" t="s">
        <v>10027</v>
      </c>
      <c r="E15181" s="58">
        <v>2000</v>
      </c>
      <c r="F15181" s="58"/>
      <c r="G15181" s="58">
        <f t="shared" si="243"/>
        <v>-2000</v>
      </c>
      <c r="H15181" s="705" t="s">
        <v>9743</v>
      </c>
    </row>
    <row r="15182" spans="1:8" ht="15" x14ac:dyDescent="0.2">
      <c r="A15182" s="734">
        <v>45075</v>
      </c>
      <c r="B15182" s="41" t="s">
        <v>16</v>
      </c>
      <c r="C15182" s="63" t="s">
        <v>5341</v>
      </c>
      <c r="D15182" s="108" t="s">
        <v>10028</v>
      </c>
      <c r="E15182" s="58">
        <v>5000</v>
      </c>
      <c r="F15182" s="58"/>
      <c r="G15182" s="58">
        <f t="shared" si="243"/>
        <v>-5000</v>
      </c>
      <c r="H15182" s="705" t="s">
        <v>9743</v>
      </c>
    </row>
    <row r="15183" spans="1:8" ht="15" x14ac:dyDescent="0.2">
      <c r="A15183" s="734">
        <v>45075</v>
      </c>
      <c r="B15183" s="41" t="s">
        <v>9769</v>
      </c>
      <c r="C15183" s="63" t="s">
        <v>3145</v>
      </c>
      <c r="D15183" s="108" t="s">
        <v>10029</v>
      </c>
      <c r="E15183" s="58">
        <v>26000</v>
      </c>
      <c r="F15183" s="58"/>
      <c r="G15183" s="58">
        <f t="shared" si="243"/>
        <v>-26000</v>
      </c>
      <c r="H15183" s="705" t="s">
        <v>9743</v>
      </c>
    </row>
    <row r="15184" spans="1:8" ht="15" x14ac:dyDescent="0.2">
      <c r="A15184" s="734">
        <v>45075</v>
      </c>
      <c r="B15184" s="41" t="s">
        <v>10023</v>
      </c>
      <c r="C15184" s="63" t="s">
        <v>3145</v>
      </c>
      <c r="D15184" s="108" t="s">
        <v>10029</v>
      </c>
      <c r="E15184" s="58">
        <v>4000</v>
      </c>
      <c r="F15184" s="58"/>
      <c r="G15184" s="58">
        <f t="shared" si="243"/>
        <v>-4000</v>
      </c>
      <c r="H15184" s="705" t="s">
        <v>9743</v>
      </c>
    </row>
    <row r="15185" spans="1:8" ht="15" x14ac:dyDescent="0.2">
      <c r="A15185" s="734">
        <v>45075</v>
      </c>
      <c r="B15185" s="41" t="s">
        <v>9769</v>
      </c>
      <c r="C15185" s="63" t="s">
        <v>3145</v>
      </c>
      <c r="D15185" s="108" t="s">
        <v>9883</v>
      </c>
      <c r="E15185" s="58">
        <v>63750</v>
      </c>
      <c r="F15185" s="58"/>
      <c r="G15185" s="58">
        <f t="shared" si="243"/>
        <v>-63750</v>
      </c>
      <c r="H15185" s="705" t="s">
        <v>9743</v>
      </c>
    </row>
    <row r="15186" spans="1:8" ht="15" x14ac:dyDescent="0.2">
      <c r="A15186" s="734">
        <v>45075</v>
      </c>
      <c r="B15186" s="41" t="s">
        <v>9769</v>
      </c>
      <c r="C15186" s="63" t="s">
        <v>3145</v>
      </c>
      <c r="D15186" s="108" t="s">
        <v>10030</v>
      </c>
      <c r="E15186" s="58">
        <v>27750</v>
      </c>
      <c r="F15186" s="58"/>
      <c r="G15186" s="58">
        <f t="shared" si="243"/>
        <v>-27750</v>
      </c>
      <c r="H15186" s="705" t="s">
        <v>9743</v>
      </c>
    </row>
    <row r="15187" spans="1:8" ht="15" x14ac:dyDescent="0.2">
      <c r="A15187" s="734">
        <v>45075</v>
      </c>
      <c r="B15187" s="41" t="s">
        <v>9769</v>
      </c>
      <c r="C15187" s="63" t="s">
        <v>10035</v>
      </c>
      <c r="D15187" s="108" t="s">
        <v>10031</v>
      </c>
      <c r="E15187" s="58">
        <v>64800</v>
      </c>
      <c r="F15187" s="58"/>
      <c r="G15187" s="58">
        <f t="shared" si="243"/>
        <v>-64800</v>
      </c>
      <c r="H15187" s="705" t="s">
        <v>9743</v>
      </c>
    </row>
    <row r="15188" spans="1:8" ht="15" x14ac:dyDescent="0.2">
      <c r="A15188" s="734">
        <v>45075</v>
      </c>
      <c r="B15188" s="41" t="s">
        <v>9356</v>
      </c>
      <c r="C15188" s="63" t="s">
        <v>3145</v>
      </c>
      <c r="D15188" s="108" t="s">
        <v>10032</v>
      </c>
      <c r="E15188" s="58">
        <v>1460</v>
      </c>
      <c r="F15188" s="58"/>
      <c r="G15188" s="58">
        <f t="shared" si="243"/>
        <v>-1460</v>
      </c>
      <c r="H15188" s="705" t="s">
        <v>9743</v>
      </c>
    </row>
    <row r="15189" spans="1:8" ht="15" x14ac:dyDescent="0.2">
      <c r="A15189" s="734">
        <v>45075</v>
      </c>
      <c r="B15189" s="41" t="s">
        <v>9356</v>
      </c>
      <c r="C15189" s="63" t="s">
        <v>5741</v>
      </c>
      <c r="D15189" s="108" t="s">
        <v>10033</v>
      </c>
      <c r="E15189" s="58">
        <v>2700</v>
      </c>
      <c r="F15189" s="58"/>
      <c r="G15189" s="58">
        <f t="shared" si="243"/>
        <v>-2700</v>
      </c>
      <c r="H15189" s="705" t="s">
        <v>9743</v>
      </c>
    </row>
    <row r="15190" spans="1:8" ht="15" x14ac:dyDescent="0.2">
      <c r="A15190" s="734">
        <v>45075</v>
      </c>
      <c r="B15190" s="41" t="s">
        <v>9769</v>
      </c>
      <c r="C15190" s="63" t="s">
        <v>5741</v>
      </c>
      <c r="D15190" s="108" t="s">
        <v>10034</v>
      </c>
      <c r="E15190" s="58">
        <v>1700</v>
      </c>
      <c r="F15190" s="58"/>
      <c r="G15190" s="58">
        <f t="shared" si="243"/>
        <v>-1700</v>
      </c>
      <c r="H15190" s="705" t="s">
        <v>9743</v>
      </c>
    </row>
    <row r="15191" spans="1:8" ht="15" x14ac:dyDescent="0.2">
      <c r="A15191" s="734">
        <v>45075</v>
      </c>
      <c r="B15191" s="41" t="s">
        <v>25</v>
      </c>
      <c r="C15191" s="63" t="s">
        <v>2428</v>
      </c>
      <c r="D15191" s="108" t="s">
        <v>10036</v>
      </c>
      <c r="E15191" s="58">
        <v>61659</v>
      </c>
      <c r="F15191" s="58"/>
      <c r="G15191" s="58">
        <f t="shared" si="243"/>
        <v>-61659</v>
      </c>
      <c r="H15191" s="705" t="s">
        <v>9743</v>
      </c>
    </row>
    <row r="15192" spans="1:8" ht="15" x14ac:dyDescent="0.2">
      <c r="A15192" s="734">
        <v>45075</v>
      </c>
      <c r="B15192" s="41" t="s">
        <v>9409</v>
      </c>
      <c r="C15192" s="63" t="s">
        <v>3145</v>
      </c>
      <c r="D15192" s="108" t="s">
        <v>10039</v>
      </c>
      <c r="E15192" s="58">
        <v>53899</v>
      </c>
      <c r="F15192" s="58"/>
      <c r="G15192" s="58">
        <f t="shared" si="243"/>
        <v>-53899</v>
      </c>
      <c r="H15192" s="705" t="s">
        <v>9743</v>
      </c>
    </row>
    <row r="15193" spans="1:8" ht="15" x14ac:dyDescent="0.2">
      <c r="A15193" s="734">
        <v>45075</v>
      </c>
      <c r="B15193" s="41" t="s">
        <v>9769</v>
      </c>
      <c r="C15193" s="63"/>
      <c r="D15193" s="108" t="s">
        <v>10038</v>
      </c>
      <c r="E15193" s="58">
        <v>133020</v>
      </c>
      <c r="F15193" s="58"/>
      <c r="G15193" s="58">
        <f t="shared" si="243"/>
        <v>-133020</v>
      </c>
      <c r="H15193" s="705" t="s">
        <v>9743</v>
      </c>
    </row>
    <row r="15194" spans="1:8" ht="15" x14ac:dyDescent="0.2">
      <c r="A15194" s="734">
        <v>45075</v>
      </c>
      <c r="B15194" s="41" t="s">
        <v>2933</v>
      </c>
      <c r="C15194" s="63" t="s">
        <v>392</v>
      </c>
      <c r="D15194" s="108" t="s">
        <v>10037</v>
      </c>
      <c r="E15194" s="58">
        <v>30000</v>
      </c>
      <c r="F15194" s="58"/>
      <c r="G15194" s="58">
        <f t="shared" si="243"/>
        <v>-30000</v>
      </c>
      <c r="H15194" s="705" t="s">
        <v>9743</v>
      </c>
    </row>
    <row r="15195" spans="1:8" ht="15" x14ac:dyDescent="0.2">
      <c r="A15195" s="734">
        <v>45076</v>
      </c>
      <c r="B15195" s="41" t="s">
        <v>8657</v>
      </c>
      <c r="C15195" s="63" t="s">
        <v>6706</v>
      </c>
      <c r="D15195" s="108" t="s">
        <v>9247</v>
      </c>
      <c r="E15195" s="58">
        <v>536250</v>
      </c>
      <c r="F15195" s="58"/>
      <c r="G15195" s="58">
        <f t="shared" si="243"/>
        <v>-536250</v>
      </c>
      <c r="H15195" s="705" t="s">
        <v>9743</v>
      </c>
    </row>
    <row r="15196" spans="1:8" ht="24" customHeight="1" x14ac:dyDescent="0.2">
      <c r="A15196" s="734">
        <v>45076</v>
      </c>
      <c r="B15196" s="63" t="s">
        <v>1400</v>
      </c>
      <c r="C15196" s="551" t="s">
        <v>6706</v>
      </c>
      <c r="D15196" s="740" t="s">
        <v>10317</v>
      </c>
      <c r="E15196" s="552">
        <v>135000</v>
      </c>
      <c r="F15196" s="126"/>
      <c r="G15196" s="126">
        <f t="shared" si="243"/>
        <v>-135000</v>
      </c>
      <c r="H15196" s="705" t="s">
        <v>9743</v>
      </c>
    </row>
    <row r="15197" spans="1:8" ht="24" x14ac:dyDescent="0.2">
      <c r="A15197" s="734">
        <v>45076</v>
      </c>
      <c r="B15197" s="63" t="s">
        <v>4721</v>
      </c>
      <c r="C15197" s="551" t="s">
        <v>6706</v>
      </c>
      <c r="D15197" s="740" t="s">
        <v>10317</v>
      </c>
      <c r="E15197" s="552">
        <v>135000</v>
      </c>
      <c r="F15197" s="126"/>
      <c r="G15197" s="126">
        <f t="shared" si="243"/>
        <v>-135000</v>
      </c>
      <c r="H15197" s="705" t="s">
        <v>9743</v>
      </c>
    </row>
    <row r="15198" spans="1:8" ht="24" x14ac:dyDescent="0.2">
      <c r="A15198" s="734">
        <v>45076</v>
      </c>
      <c r="B15198" s="63" t="s">
        <v>8868</v>
      </c>
      <c r="C15198" s="551" t="s">
        <v>6706</v>
      </c>
      <c r="D15198" s="740" t="s">
        <v>10317</v>
      </c>
      <c r="E15198" s="552">
        <v>135000</v>
      </c>
      <c r="F15198" s="126"/>
      <c r="G15198" s="126">
        <f t="shared" si="243"/>
        <v>-135000</v>
      </c>
      <c r="H15198" s="705" t="s">
        <v>9743</v>
      </c>
    </row>
    <row r="15199" spans="1:8" ht="24" x14ac:dyDescent="0.2">
      <c r="A15199" s="734">
        <v>45076</v>
      </c>
      <c r="B15199" s="63" t="s">
        <v>9409</v>
      </c>
      <c r="C15199" s="551" t="s">
        <v>6706</v>
      </c>
      <c r="D15199" s="740" t="s">
        <v>10317</v>
      </c>
      <c r="E15199" s="552">
        <v>135000</v>
      </c>
      <c r="F15199" s="126"/>
      <c r="G15199" s="126">
        <f t="shared" si="243"/>
        <v>-135000</v>
      </c>
      <c r="H15199" s="705" t="s">
        <v>9743</v>
      </c>
    </row>
    <row r="15200" spans="1:8" ht="24" x14ac:dyDescent="0.2">
      <c r="A15200" s="734">
        <v>45076</v>
      </c>
      <c r="B15200" s="63" t="s">
        <v>8657</v>
      </c>
      <c r="C15200" s="551" t="s">
        <v>6706</v>
      </c>
      <c r="D15200" s="740" t="s">
        <v>10317</v>
      </c>
      <c r="E15200" s="552">
        <v>131550</v>
      </c>
      <c r="F15200" s="126"/>
      <c r="G15200" s="126">
        <f t="shared" si="243"/>
        <v>-131550</v>
      </c>
      <c r="H15200" s="705" t="s">
        <v>9743</v>
      </c>
    </row>
    <row r="15201" spans="1:8" ht="15" x14ac:dyDescent="0.2">
      <c r="A15201" s="734">
        <v>45076</v>
      </c>
      <c r="B15201" s="41" t="s">
        <v>9356</v>
      </c>
      <c r="C15201" s="63" t="s">
        <v>3145</v>
      </c>
      <c r="D15201" s="108" t="s">
        <v>10040</v>
      </c>
      <c r="E15201" s="58">
        <v>300</v>
      </c>
      <c r="F15201" s="58"/>
      <c r="G15201" s="58">
        <f t="shared" si="243"/>
        <v>-300</v>
      </c>
      <c r="H15201" s="705" t="s">
        <v>9743</v>
      </c>
    </row>
    <row r="15202" spans="1:8" ht="15" x14ac:dyDescent="0.2">
      <c r="A15202" s="734">
        <v>45076</v>
      </c>
      <c r="B15202" s="41" t="s">
        <v>16</v>
      </c>
      <c r="C15202" s="63" t="s">
        <v>392</v>
      </c>
      <c r="D15202" s="108" t="s">
        <v>10041</v>
      </c>
      <c r="E15202" s="58">
        <v>400</v>
      </c>
      <c r="F15202" s="58"/>
      <c r="G15202" s="58">
        <f t="shared" si="243"/>
        <v>-400</v>
      </c>
      <c r="H15202" s="705" t="s">
        <v>9743</v>
      </c>
    </row>
    <row r="15203" spans="1:8" ht="15" customHeight="1" x14ac:dyDescent="0.2">
      <c r="A15203" s="734">
        <v>45076</v>
      </c>
      <c r="B15203" s="41" t="s">
        <v>9356</v>
      </c>
      <c r="C15203" s="63" t="s">
        <v>5741</v>
      </c>
      <c r="D15203" s="108" t="s">
        <v>370</v>
      </c>
      <c r="E15203" s="58">
        <v>600</v>
      </c>
      <c r="F15203" s="58"/>
      <c r="G15203" s="58">
        <f t="shared" si="243"/>
        <v>-600</v>
      </c>
      <c r="H15203" s="705" t="s">
        <v>9743</v>
      </c>
    </row>
    <row r="15204" spans="1:8" ht="15" customHeight="1" x14ac:dyDescent="0.2">
      <c r="A15204" s="734">
        <v>45076</v>
      </c>
      <c r="B15204" s="41" t="s">
        <v>9661</v>
      </c>
      <c r="C15204" s="63" t="s">
        <v>5741</v>
      </c>
      <c r="D15204" s="108" t="s">
        <v>370</v>
      </c>
      <c r="E15204" s="58">
        <v>600</v>
      </c>
      <c r="F15204" s="58"/>
      <c r="G15204" s="58">
        <f t="shared" si="243"/>
        <v>-600</v>
      </c>
      <c r="H15204" s="705" t="s">
        <v>9743</v>
      </c>
    </row>
    <row r="15205" spans="1:8" ht="15" x14ac:dyDescent="0.2">
      <c r="A15205" s="734">
        <v>45076</v>
      </c>
      <c r="B15205" s="41" t="s">
        <v>9769</v>
      </c>
      <c r="C15205" s="63" t="s">
        <v>5741</v>
      </c>
      <c r="D15205" s="108" t="s">
        <v>370</v>
      </c>
      <c r="E15205" s="58">
        <v>2500</v>
      </c>
      <c r="F15205" s="58"/>
      <c r="G15205" s="58">
        <f t="shared" si="243"/>
        <v>-2500</v>
      </c>
      <c r="H15205" s="705" t="s">
        <v>9743</v>
      </c>
    </row>
    <row r="15206" spans="1:8" ht="15" x14ac:dyDescent="0.2">
      <c r="A15206" s="734">
        <v>45076</v>
      </c>
      <c r="B15206" s="41" t="s">
        <v>9464</v>
      </c>
      <c r="C15206" s="63" t="s">
        <v>6852</v>
      </c>
      <c r="D15206" s="108" t="s">
        <v>370</v>
      </c>
      <c r="E15206" s="58">
        <v>14000</v>
      </c>
      <c r="F15206" s="58"/>
      <c r="G15206" s="58">
        <f t="shared" si="243"/>
        <v>-14000</v>
      </c>
      <c r="H15206" s="705" t="s">
        <v>9743</v>
      </c>
    </row>
    <row r="15207" spans="1:8" ht="15" x14ac:dyDescent="0.2">
      <c r="A15207" s="734">
        <v>45076</v>
      </c>
      <c r="B15207" s="41" t="s">
        <v>9769</v>
      </c>
      <c r="C15207" s="63" t="s">
        <v>5387</v>
      </c>
      <c r="D15207" s="108" t="s">
        <v>10042</v>
      </c>
      <c r="E15207" s="58">
        <v>14000</v>
      </c>
      <c r="F15207" s="58"/>
      <c r="G15207" s="58">
        <f t="shared" si="243"/>
        <v>-14000</v>
      </c>
      <c r="H15207" s="705" t="s">
        <v>9743</v>
      </c>
    </row>
    <row r="15208" spans="1:8" ht="15" x14ac:dyDescent="0.2">
      <c r="A15208" s="734">
        <v>45076</v>
      </c>
      <c r="B15208" s="41" t="s">
        <v>16</v>
      </c>
      <c r="C15208" s="63" t="s">
        <v>103</v>
      </c>
      <c r="D15208" s="108" t="s">
        <v>9425</v>
      </c>
      <c r="E15208" s="58">
        <v>2500</v>
      </c>
      <c r="F15208" s="58"/>
      <c r="G15208" s="58">
        <f t="shared" si="243"/>
        <v>-2500</v>
      </c>
      <c r="H15208" s="705" t="s">
        <v>9743</v>
      </c>
    </row>
    <row r="15209" spans="1:8" ht="15" x14ac:dyDescent="0.2">
      <c r="A15209" s="734">
        <v>45076</v>
      </c>
      <c r="B15209" s="41" t="s">
        <v>9661</v>
      </c>
      <c r="C15209" s="63" t="s">
        <v>5741</v>
      </c>
      <c r="D15209" s="108" t="s">
        <v>370</v>
      </c>
      <c r="E15209" s="58">
        <v>1000</v>
      </c>
      <c r="F15209" s="58"/>
      <c r="G15209" s="58">
        <f t="shared" si="243"/>
        <v>-1000</v>
      </c>
      <c r="H15209" s="705" t="s">
        <v>9743</v>
      </c>
    </row>
    <row r="15210" spans="1:8" ht="15" x14ac:dyDescent="0.2">
      <c r="A15210" s="734">
        <v>45076</v>
      </c>
      <c r="B15210" s="41" t="s">
        <v>9661</v>
      </c>
      <c r="C15210" s="63" t="s">
        <v>3145</v>
      </c>
      <c r="D15210" s="108" t="s">
        <v>8127</v>
      </c>
      <c r="E15210" s="58">
        <v>300</v>
      </c>
      <c r="F15210" s="58"/>
      <c r="G15210" s="58">
        <f t="shared" si="243"/>
        <v>-300</v>
      </c>
      <c r="H15210" s="705" t="s">
        <v>9743</v>
      </c>
    </row>
    <row r="15211" spans="1:8" ht="15" x14ac:dyDescent="0.2">
      <c r="A15211" s="734">
        <v>45077</v>
      </c>
      <c r="B15211" s="41" t="s">
        <v>9769</v>
      </c>
      <c r="C15211" s="63" t="s">
        <v>3145</v>
      </c>
      <c r="D15211" s="108" t="s">
        <v>10043</v>
      </c>
      <c r="E15211" s="58">
        <v>98000</v>
      </c>
      <c r="F15211" s="58"/>
      <c r="G15211" s="58">
        <f t="shared" si="243"/>
        <v>-98000</v>
      </c>
      <c r="H15211" s="705" t="s">
        <v>9743</v>
      </c>
    </row>
    <row r="15212" spans="1:8" ht="15" x14ac:dyDescent="0.2">
      <c r="A15212" s="734">
        <v>45075</v>
      </c>
      <c r="B15212" s="41" t="s">
        <v>9356</v>
      </c>
      <c r="C15212" s="63" t="s">
        <v>3145</v>
      </c>
      <c r="D15212" s="108" t="s">
        <v>10014</v>
      </c>
      <c r="E15212" s="58">
        <v>1500</v>
      </c>
      <c r="F15212" s="58"/>
      <c r="G15212" s="58">
        <f t="shared" si="243"/>
        <v>-1500</v>
      </c>
      <c r="H15212" s="705" t="s">
        <v>9743</v>
      </c>
    </row>
    <row r="15213" spans="1:8" ht="15" x14ac:dyDescent="0.2">
      <c r="A15213" s="734">
        <v>45077</v>
      </c>
      <c r="B15213" s="41" t="s">
        <v>8559</v>
      </c>
      <c r="C15213" s="63" t="s">
        <v>3145</v>
      </c>
      <c r="D15213" s="108" t="s">
        <v>6486</v>
      </c>
      <c r="E15213" s="58">
        <v>3000</v>
      </c>
      <c r="F15213" s="58"/>
      <c r="G15213" s="58">
        <f t="shared" si="243"/>
        <v>-3000</v>
      </c>
      <c r="H15213" s="705" t="s">
        <v>9743</v>
      </c>
    </row>
    <row r="15214" spans="1:8" ht="15" x14ac:dyDescent="0.2">
      <c r="A15214" s="734">
        <v>45077</v>
      </c>
      <c r="B15214" s="41" t="s">
        <v>10023</v>
      </c>
      <c r="C15214" s="63" t="s">
        <v>3145</v>
      </c>
      <c r="D15214" s="108" t="s">
        <v>6486</v>
      </c>
      <c r="E15214" s="58">
        <v>12020</v>
      </c>
      <c r="F15214" s="58"/>
      <c r="G15214" s="58">
        <f t="shared" si="243"/>
        <v>-12020</v>
      </c>
      <c r="H15214" s="705" t="s">
        <v>9743</v>
      </c>
    </row>
    <row r="15215" spans="1:8" ht="15" x14ac:dyDescent="0.2">
      <c r="A15215" s="734">
        <v>45077</v>
      </c>
      <c r="B15215" s="41" t="s">
        <v>9356</v>
      </c>
      <c r="C15215" s="63" t="s">
        <v>9871</v>
      </c>
      <c r="D15215" s="108" t="s">
        <v>10045</v>
      </c>
      <c r="E15215" s="58">
        <v>7250</v>
      </c>
      <c r="F15215" s="58"/>
      <c r="G15215" s="58">
        <f t="shared" si="243"/>
        <v>-7250</v>
      </c>
      <c r="H15215" s="705" t="s">
        <v>9743</v>
      </c>
    </row>
    <row r="15216" spans="1:8" ht="15" x14ac:dyDescent="0.2">
      <c r="A15216" s="734">
        <v>45077</v>
      </c>
      <c r="B15216" s="41" t="s">
        <v>9769</v>
      </c>
      <c r="C15216" s="63" t="s">
        <v>8251</v>
      </c>
      <c r="D15216" s="108" t="s">
        <v>10056</v>
      </c>
      <c r="E15216" s="58">
        <v>44000</v>
      </c>
      <c r="F15216" s="58"/>
      <c r="G15216" s="58">
        <f t="shared" si="243"/>
        <v>-44000</v>
      </c>
      <c r="H15216" s="705" t="s">
        <v>9743</v>
      </c>
    </row>
    <row r="15217" spans="1:8" ht="15" x14ac:dyDescent="0.2">
      <c r="A15217" s="733">
        <v>45048</v>
      </c>
      <c r="B15217" s="174" t="s">
        <v>8339</v>
      </c>
      <c r="C15217" s="174" t="s">
        <v>7467</v>
      </c>
      <c r="D15217" s="228" t="s">
        <v>9749</v>
      </c>
      <c r="E15217" s="236">
        <v>441500</v>
      </c>
      <c r="F15217" s="123"/>
      <c r="G15217" s="123">
        <f t="shared" si="243"/>
        <v>-441500</v>
      </c>
      <c r="H15217" s="709" t="s">
        <v>9743</v>
      </c>
    </row>
    <row r="15218" spans="1:8" ht="15" x14ac:dyDescent="0.2">
      <c r="A15218" s="733">
        <v>45049</v>
      </c>
      <c r="B15218" s="174" t="s">
        <v>9661</v>
      </c>
      <c r="C15218" s="174" t="s">
        <v>9750</v>
      </c>
      <c r="D15218" s="228" t="s">
        <v>9751</v>
      </c>
      <c r="E15218" s="236">
        <v>35000</v>
      </c>
      <c r="F15218" s="123"/>
      <c r="G15218" s="123">
        <f t="shared" si="243"/>
        <v>-35000</v>
      </c>
      <c r="H15218" s="709" t="s">
        <v>9743</v>
      </c>
    </row>
    <row r="15219" spans="1:8" ht="15" x14ac:dyDescent="0.2">
      <c r="A15219" s="733">
        <v>45056</v>
      </c>
      <c r="B15219" s="174" t="s">
        <v>9356</v>
      </c>
      <c r="C15219" s="174" t="s">
        <v>9460</v>
      </c>
      <c r="D15219" s="228" t="s">
        <v>10226</v>
      </c>
      <c r="E15219" s="236">
        <v>150000</v>
      </c>
      <c r="F15219" s="123"/>
      <c r="G15219" s="123">
        <f t="shared" si="243"/>
        <v>-150000</v>
      </c>
      <c r="H15219" s="709" t="s">
        <v>9743</v>
      </c>
    </row>
    <row r="15220" spans="1:8" ht="15" x14ac:dyDescent="0.2">
      <c r="A15220" s="733">
        <v>45056</v>
      </c>
      <c r="B15220" s="174" t="s">
        <v>9356</v>
      </c>
      <c r="C15220" s="174" t="s">
        <v>9825</v>
      </c>
      <c r="D15220" s="228" t="s">
        <v>9824</v>
      </c>
      <c r="E15220" s="236">
        <v>28080</v>
      </c>
      <c r="F15220" s="123"/>
      <c r="G15220" s="123">
        <f t="shared" si="243"/>
        <v>-28080</v>
      </c>
      <c r="H15220" s="709" t="s">
        <v>9743</v>
      </c>
    </row>
    <row r="15221" spans="1:8" ht="15" x14ac:dyDescent="0.2">
      <c r="A15221" s="733">
        <v>45056</v>
      </c>
      <c r="B15221" s="174" t="s">
        <v>9507</v>
      </c>
      <c r="C15221" s="174" t="s">
        <v>3446</v>
      </c>
      <c r="D15221" s="228" t="s">
        <v>9826</v>
      </c>
      <c r="E15221" s="236">
        <v>70000</v>
      </c>
      <c r="F15221" s="123"/>
      <c r="G15221" s="123">
        <f t="shared" si="243"/>
        <v>-70000</v>
      </c>
      <c r="H15221" s="709" t="s">
        <v>9743</v>
      </c>
    </row>
    <row r="15222" spans="1:8" ht="15" x14ac:dyDescent="0.2">
      <c r="A15222" s="733">
        <v>45056</v>
      </c>
      <c r="B15222" s="174" t="s">
        <v>8043</v>
      </c>
      <c r="C15222" s="174" t="s">
        <v>8030</v>
      </c>
      <c r="D15222" s="228" t="s">
        <v>9831</v>
      </c>
      <c r="E15222" s="236">
        <v>89000</v>
      </c>
      <c r="F15222" s="123"/>
      <c r="G15222" s="123">
        <f t="shared" si="243"/>
        <v>-89000</v>
      </c>
      <c r="H15222" s="709" t="s">
        <v>9743</v>
      </c>
    </row>
    <row r="15223" spans="1:8" ht="24" x14ac:dyDescent="0.2">
      <c r="A15223" s="733">
        <v>45056</v>
      </c>
      <c r="B15223" s="174" t="s">
        <v>8657</v>
      </c>
      <c r="C15223" s="551" t="s">
        <v>7223</v>
      </c>
      <c r="D15223" s="740" t="s">
        <v>9867</v>
      </c>
      <c r="E15223" s="552">
        <v>25176</v>
      </c>
      <c r="F15223" s="123"/>
      <c r="G15223" s="123">
        <f t="shared" si="243"/>
        <v>-25176</v>
      </c>
      <c r="H15223" s="709" t="s">
        <v>9743</v>
      </c>
    </row>
    <row r="15224" spans="1:8" ht="24" x14ac:dyDescent="0.2">
      <c r="A15224" s="733">
        <v>45056</v>
      </c>
      <c r="B15224" s="174" t="s">
        <v>8876</v>
      </c>
      <c r="C15224" s="551" t="s">
        <v>7223</v>
      </c>
      <c r="D15224" s="740" t="s">
        <v>9867</v>
      </c>
      <c r="E15224" s="552">
        <f>215176-E15223</f>
        <v>190000</v>
      </c>
      <c r="F15224" s="123"/>
      <c r="G15224" s="123">
        <f t="shared" si="243"/>
        <v>-190000</v>
      </c>
      <c r="H15224" s="709" t="s">
        <v>9743</v>
      </c>
    </row>
    <row r="15225" spans="1:8" s="682" customFormat="1" ht="24" customHeight="1" x14ac:dyDescent="0.25">
      <c r="A15225" s="733">
        <v>45056</v>
      </c>
      <c r="B15225" s="174" t="s">
        <v>9832</v>
      </c>
      <c r="C15225" s="174" t="s">
        <v>1198</v>
      </c>
      <c r="D15225" s="228" t="s">
        <v>9833</v>
      </c>
      <c r="E15225" s="236">
        <v>5000000</v>
      </c>
      <c r="F15225" s="236"/>
      <c r="G15225" s="236">
        <f t="shared" si="243"/>
        <v>-5000000</v>
      </c>
      <c r="H15225" s="709" t="s">
        <v>9743</v>
      </c>
    </row>
    <row r="15226" spans="1:8" s="682" customFormat="1" ht="48" customHeight="1" x14ac:dyDescent="0.25">
      <c r="A15226" s="733">
        <v>45061</v>
      </c>
      <c r="B15226" s="174" t="s">
        <v>9832</v>
      </c>
      <c r="C15226" s="174" t="s">
        <v>9869</v>
      </c>
      <c r="D15226" s="228" t="s">
        <v>9870</v>
      </c>
      <c r="E15226" s="236">
        <v>1000000</v>
      </c>
      <c r="F15226" s="236"/>
      <c r="G15226" s="236">
        <f t="shared" si="243"/>
        <v>-1000000</v>
      </c>
      <c r="H15226" s="709" t="s">
        <v>9743</v>
      </c>
    </row>
    <row r="15227" spans="1:8" s="682" customFormat="1" ht="17.25" customHeight="1" x14ac:dyDescent="0.25">
      <c r="A15227" s="733">
        <v>45061</v>
      </c>
      <c r="B15227" s="174" t="s">
        <v>9356</v>
      </c>
      <c r="C15227" s="174" t="s">
        <v>9871</v>
      </c>
      <c r="D15227" s="228" t="s">
        <v>9872</v>
      </c>
      <c r="E15227" s="236">
        <v>55500</v>
      </c>
      <c r="F15227" s="236"/>
      <c r="G15227" s="236">
        <f t="shared" ref="G15227:G15290" si="244">F15227-E15227</f>
        <v>-55500</v>
      </c>
      <c r="H15227" s="709" t="s">
        <v>9743</v>
      </c>
    </row>
    <row r="15228" spans="1:8" s="682" customFormat="1" ht="17.25" customHeight="1" x14ac:dyDescent="0.25">
      <c r="A15228" s="733">
        <v>45064</v>
      </c>
      <c r="B15228" s="174" t="s">
        <v>9769</v>
      </c>
      <c r="C15228" s="174" t="s">
        <v>8394</v>
      </c>
      <c r="D15228" s="228" t="s">
        <v>9900</v>
      </c>
      <c r="E15228" s="236">
        <v>250000</v>
      </c>
      <c r="F15228" s="236"/>
      <c r="G15228" s="236">
        <f t="shared" si="244"/>
        <v>-250000</v>
      </c>
      <c r="H15228" s="709" t="s">
        <v>9743</v>
      </c>
    </row>
    <row r="15229" spans="1:8" s="682" customFormat="1" ht="17.25" customHeight="1" x14ac:dyDescent="0.25">
      <c r="A15229" s="733">
        <v>45064</v>
      </c>
      <c r="B15229" s="174" t="s">
        <v>9769</v>
      </c>
      <c r="C15229" s="174" t="s">
        <v>8394</v>
      </c>
      <c r="D15229" s="228" t="s">
        <v>9904</v>
      </c>
      <c r="E15229" s="236">
        <v>250000</v>
      </c>
      <c r="F15229" s="236"/>
      <c r="G15229" s="236">
        <f t="shared" si="244"/>
        <v>-250000</v>
      </c>
      <c r="H15229" s="709" t="s">
        <v>9743</v>
      </c>
    </row>
    <row r="15230" spans="1:8" s="682" customFormat="1" ht="17.25" customHeight="1" x14ac:dyDescent="0.25">
      <c r="A15230" s="733">
        <v>45064</v>
      </c>
      <c r="B15230" s="174" t="s">
        <v>9769</v>
      </c>
      <c r="C15230" s="174" t="s">
        <v>9906</v>
      </c>
      <c r="D15230" s="228" t="s">
        <v>9905</v>
      </c>
      <c r="E15230" s="236">
        <v>125000</v>
      </c>
      <c r="F15230" s="236"/>
      <c r="G15230" s="236">
        <f t="shared" si="244"/>
        <v>-125000</v>
      </c>
      <c r="H15230" s="709" t="s">
        <v>9743</v>
      </c>
    </row>
    <row r="15231" spans="1:8" s="682" customFormat="1" ht="17.25" customHeight="1" x14ac:dyDescent="0.25">
      <c r="A15231" s="733">
        <v>45064</v>
      </c>
      <c r="B15231" s="174" t="s">
        <v>9769</v>
      </c>
      <c r="C15231" s="174" t="s">
        <v>1509</v>
      </c>
      <c r="D15231" s="228" t="s">
        <v>9907</v>
      </c>
      <c r="E15231" s="236">
        <v>100000</v>
      </c>
      <c r="F15231" s="236"/>
      <c r="G15231" s="236">
        <f t="shared" si="244"/>
        <v>-100000</v>
      </c>
      <c r="H15231" s="709" t="s">
        <v>9743</v>
      </c>
    </row>
    <row r="15232" spans="1:8" s="682" customFormat="1" ht="17.25" customHeight="1" x14ac:dyDescent="0.25">
      <c r="A15232" s="733">
        <v>45064</v>
      </c>
      <c r="B15232" s="174" t="s">
        <v>9769</v>
      </c>
      <c r="C15232" s="174" t="s">
        <v>8071</v>
      </c>
      <c r="D15232" s="228" t="s">
        <v>9908</v>
      </c>
      <c r="E15232" s="236">
        <v>50000</v>
      </c>
      <c r="F15232" s="236"/>
      <c r="G15232" s="236">
        <f t="shared" si="244"/>
        <v>-50000</v>
      </c>
      <c r="H15232" s="709" t="s">
        <v>9743</v>
      </c>
    </row>
    <row r="15233" spans="1:8" s="682" customFormat="1" ht="17.25" customHeight="1" x14ac:dyDescent="0.25">
      <c r="A15233" s="733">
        <v>45065</v>
      </c>
      <c r="B15233" s="174" t="s">
        <v>8876</v>
      </c>
      <c r="C15233" s="174" t="s">
        <v>431</v>
      </c>
      <c r="D15233" s="228" t="s">
        <v>9909</v>
      </c>
      <c r="E15233" s="236">
        <v>100000</v>
      </c>
      <c r="F15233" s="236"/>
      <c r="G15233" s="236">
        <f t="shared" si="244"/>
        <v>-100000</v>
      </c>
      <c r="H15233" s="709" t="s">
        <v>9743</v>
      </c>
    </row>
    <row r="15234" spans="1:8" s="682" customFormat="1" ht="17.25" customHeight="1" x14ac:dyDescent="0.25">
      <c r="A15234" s="733">
        <v>45068</v>
      </c>
      <c r="B15234" s="174" t="s">
        <v>8868</v>
      </c>
      <c r="C15234" s="551" t="s">
        <v>6624</v>
      </c>
      <c r="D15234" s="740" t="s">
        <v>9910</v>
      </c>
      <c r="E15234" s="552">
        <v>32000</v>
      </c>
      <c r="F15234" s="236"/>
      <c r="G15234" s="236">
        <f t="shared" si="244"/>
        <v>-32000</v>
      </c>
      <c r="H15234" s="709" t="s">
        <v>9743</v>
      </c>
    </row>
    <row r="15235" spans="1:8" s="682" customFormat="1" ht="17.25" customHeight="1" x14ac:dyDescent="0.25">
      <c r="A15235" s="733">
        <v>45068</v>
      </c>
      <c r="B15235" s="174" t="s">
        <v>8043</v>
      </c>
      <c r="C15235" s="551" t="s">
        <v>6624</v>
      </c>
      <c r="D15235" s="740" t="s">
        <v>9910</v>
      </c>
      <c r="E15235" s="552">
        <v>20000</v>
      </c>
      <c r="F15235" s="236"/>
      <c r="G15235" s="236">
        <f t="shared" si="244"/>
        <v>-20000</v>
      </c>
      <c r="H15235" s="709" t="s">
        <v>9743</v>
      </c>
    </row>
    <row r="15236" spans="1:8" s="682" customFormat="1" ht="17.25" customHeight="1" x14ac:dyDescent="0.25">
      <c r="A15236" s="733">
        <v>45068</v>
      </c>
      <c r="B15236" s="174" t="s">
        <v>9507</v>
      </c>
      <c r="C15236" s="551" t="s">
        <v>6624</v>
      </c>
      <c r="D15236" s="740" t="s">
        <v>9910</v>
      </c>
      <c r="E15236" s="552">
        <v>30000</v>
      </c>
      <c r="F15236" s="236"/>
      <c r="G15236" s="236">
        <f t="shared" si="244"/>
        <v>-30000</v>
      </c>
      <c r="H15236" s="709" t="s">
        <v>9743</v>
      </c>
    </row>
    <row r="15237" spans="1:8" s="682" customFormat="1" ht="17.25" customHeight="1" x14ac:dyDescent="0.25">
      <c r="A15237" s="733">
        <v>45068</v>
      </c>
      <c r="B15237" s="174" t="s">
        <v>8876</v>
      </c>
      <c r="C15237" s="551" t="s">
        <v>6624</v>
      </c>
      <c r="D15237" s="740" t="s">
        <v>9910</v>
      </c>
      <c r="E15237" s="552">
        <v>20000</v>
      </c>
      <c r="F15237" s="236"/>
      <c r="G15237" s="236">
        <f t="shared" si="244"/>
        <v>-20000</v>
      </c>
      <c r="H15237" s="709" t="s">
        <v>9743</v>
      </c>
    </row>
    <row r="15238" spans="1:8" s="682" customFormat="1" ht="15" customHeight="1" x14ac:dyDescent="0.25">
      <c r="A15238" s="733">
        <v>45068</v>
      </c>
      <c r="B15238" s="174" t="s">
        <v>8657</v>
      </c>
      <c r="C15238" s="174" t="s">
        <v>9750</v>
      </c>
      <c r="D15238" s="228" t="s">
        <v>9911</v>
      </c>
      <c r="E15238" s="236">
        <v>54000</v>
      </c>
      <c r="F15238" s="236"/>
      <c r="G15238" s="236">
        <f t="shared" si="244"/>
        <v>-54000</v>
      </c>
      <c r="H15238" s="709" t="s">
        <v>9743</v>
      </c>
    </row>
    <row r="15239" spans="1:8" s="682" customFormat="1" ht="15" customHeight="1" x14ac:dyDescent="0.25">
      <c r="A15239" s="733">
        <v>45070</v>
      </c>
      <c r="B15239" s="174" t="s">
        <v>8559</v>
      </c>
      <c r="C15239" s="174" t="s">
        <v>6706</v>
      </c>
      <c r="D15239" s="228" t="s">
        <v>9955</v>
      </c>
      <c r="E15239" s="236">
        <v>200000</v>
      </c>
      <c r="F15239" s="236"/>
      <c r="G15239" s="236">
        <f t="shared" si="244"/>
        <v>-200000</v>
      </c>
      <c r="H15239" s="709" t="s">
        <v>9743</v>
      </c>
    </row>
    <row r="15240" spans="1:8" s="682" customFormat="1" ht="15" customHeight="1" x14ac:dyDescent="0.25">
      <c r="A15240" s="733">
        <v>45070</v>
      </c>
      <c r="B15240" s="174" t="s">
        <v>8559</v>
      </c>
      <c r="C15240" s="174" t="s">
        <v>6706</v>
      </c>
      <c r="D15240" s="228" t="s">
        <v>9956</v>
      </c>
      <c r="E15240" s="236">
        <v>50000</v>
      </c>
      <c r="F15240" s="236"/>
      <c r="G15240" s="236">
        <f t="shared" si="244"/>
        <v>-50000</v>
      </c>
      <c r="H15240" s="709" t="s">
        <v>9743</v>
      </c>
    </row>
    <row r="15241" spans="1:8" s="682" customFormat="1" ht="15" customHeight="1" x14ac:dyDescent="0.25">
      <c r="A15241" s="733">
        <v>45072</v>
      </c>
      <c r="B15241" s="174" t="s">
        <v>9832</v>
      </c>
      <c r="C15241" s="174" t="s">
        <v>1198</v>
      </c>
      <c r="D15241" s="228" t="s">
        <v>9957</v>
      </c>
      <c r="E15241" s="236">
        <v>3000000</v>
      </c>
      <c r="F15241" s="236"/>
      <c r="G15241" s="236">
        <f t="shared" si="244"/>
        <v>-3000000</v>
      </c>
      <c r="H15241" s="709" t="s">
        <v>9743</v>
      </c>
    </row>
    <row r="15242" spans="1:8" s="682" customFormat="1" ht="15" customHeight="1" x14ac:dyDescent="0.25">
      <c r="A15242" s="733">
        <v>45075</v>
      </c>
      <c r="B15242" s="174" t="s">
        <v>8043</v>
      </c>
      <c r="C15242" s="174" t="s">
        <v>8091</v>
      </c>
      <c r="D15242" s="228" t="s">
        <v>9958</v>
      </c>
      <c r="E15242" s="236">
        <v>1500000</v>
      </c>
      <c r="F15242" s="236"/>
      <c r="G15242" s="236">
        <f t="shared" si="244"/>
        <v>-1500000</v>
      </c>
      <c r="H15242" s="709" t="s">
        <v>9743</v>
      </c>
    </row>
    <row r="15243" spans="1:8" s="682" customFormat="1" ht="15" customHeight="1" x14ac:dyDescent="0.25">
      <c r="A15243" s="733">
        <v>45075</v>
      </c>
      <c r="B15243" s="174" t="s">
        <v>8657</v>
      </c>
      <c r="C15243" s="174" t="s">
        <v>166</v>
      </c>
      <c r="D15243" s="228" t="s">
        <v>9958</v>
      </c>
      <c r="E15243" s="236">
        <v>600000</v>
      </c>
      <c r="F15243" s="236"/>
      <c r="G15243" s="236">
        <f t="shared" si="244"/>
        <v>-600000</v>
      </c>
      <c r="H15243" s="709" t="s">
        <v>9743</v>
      </c>
    </row>
    <row r="15244" spans="1:8" s="682" customFormat="1" ht="15" customHeight="1" x14ac:dyDescent="0.25">
      <c r="A15244" s="733">
        <v>45076</v>
      </c>
      <c r="B15244" s="174" t="s">
        <v>9769</v>
      </c>
      <c r="C15244" s="174" t="s">
        <v>8394</v>
      </c>
      <c r="D15244" s="228" t="s">
        <v>9989</v>
      </c>
      <c r="E15244" s="236">
        <v>500000</v>
      </c>
      <c r="F15244" s="236"/>
      <c r="G15244" s="236">
        <f t="shared" si="244"/>
        <v>-500000</v>
      </c>
      <c r="H15244" s="709" t="s">
        <v>9743</v>
      </c>
    </row>
    <row r="15245" spans="1:8" ht="15" x14ac:dyDescent="0.2">
      <c r="A15245" s="730">
        <v>45048</v>
      </c>
      <c r="B15245" s="91" t="s">
        <v>3945</v>
      </c>
      <c r="C15245" s="94" t="s">
        <v>559</v>
      </c>
      <c r="D15245" s="892" t="s">
        <v>9744</v>
      </c>
      <c r="E15245" s="92"/>
      <c r="F15245" s="92">
        <v>337081</v>
      </c>
      <c r="G15245" s="92">
        <f t="shared" si="244"/>
        <v>337081</v>
      </c>
      <c r="H15245" s="702" t="s">
        <v>9743</v>
      </c>
    </row>
    <row r="15246" spans="1:8" ht="15" x14ac:dyDescent="0.2">
      <c r="A15246" s="730">
        <v>45049</v>
      </c>
      <c r="B15246" s="91" t="s">
        <v>9409</v>
      </c>
      <c r="C15246" s="94" t="s">
        <v>559</v>
      </c>
      <c r="D15246" s="892" t="s">
        <v>9803</v>
      </c>
      <c r="E15246" s="92"/>
      <c r="F15246" s="92">
        <v>5231157</v>
      </c>
      <c r="G15246" s="92">
        <f t="shared" si="244"/>
        <v>5231157</v>
      </c>
      <c r="H15246" s="702" t="s">
        <v>9743</v>
      </c>
    </row>
    <row r="15247" spans="1:8" s="682" customFormat="1" ht="24" customHeight="1" x14ac:dyDescent="0.25">
      <c r="A15247" s="730">
        <v>45049</v>
      </c>
      <c r="B15247" s="94" t="s">
        <v>1400</v>
      </c>
      <c r="C15247" s="94" t="s">
        <v>559</v>
      </c>
      <c r="D15247" s="802" t="s">
        <v>9745</v>
      </c>
      <c r="E15247" s="176"/>
      <c r="F15247" s="176">
        <v>750000</v>
      </c>
      <c r="G15247" s="176">
        <f t="shared" si="244"/>
        <v>750000</v>
      </c>
      <c r="H15247" s="702" t="s">
        <v>9743</v>
      </c>
    </row>
    <row r="15248" spans="1:8" s="682" customFormat="1" ht="24" customHeight="1" x14ac:dyDescent="0.25">
      <c r="A15248" s="730">
        <v>45049</v>
      </c>
      <c r="B15248" s="94" t="s">
        <v>1400</v>
      </c>
      <c r="C15248" s="94" t="s">
        <v>559</v>
      </c>
      <c r="D15248" s="802" t="s">
        <v>9745</v>
      </c>
      <c r="E15248" s="176"/>
      <c r="F15248" s="176">
        <v>750000</v>
      </c>
      <c r="G15248" s="176">
        <f t="shared" si="244"/>
        <v>750000</v>
      </c>
      <c r="H15248" s="702" t="s">
        <v>9743</v>
      </c>
    </row>
    <row r="15249" spans="1:8" s="682" customFormat="1" ht="24" customHeight="1" x14ac:dyDescent="0.25">
      <c r="A15249" s="730">
        <v>45049</v>
      </c>
      <c r="B15249" s="94" t="s">
        <v>1400</v>
      </c>
      <c r="C15249" s="94" t="s">
        <v>559</v>
      </c>
      <c r="D15249" s="802" t="s">
        <v>9746</v>
      </c>
      <c r="E15249" s="176"/>
      <c r="F15249" s="176">
        <v>1100000</v>
      </c>
      <c r="G15249" s="176">
        <f t="shared" si="244"/>
        <v>1100000</v>
      </c>
      <c r="H15249" s="702" t="s">
        <v>9743</v>
      </c>
    </row>
    <row r="15250" spans="1:8" s="682" customFormat="1" ht="24" customHeight="1" x14ac:dyDescent="0.25">
      <c r="A15250" s="730">
        <v>45049</v>
      </c>
      <c r="B15250" s="94" t="s">
        <v>1400</v>
      </c>
      <c r="C15250" s="94" t="s">
        <v>559</v>
      </c>
      <c r="D15250" s="802" t="s">
        <v>9745</v>
      </c>
      <c r="E15250" s="176"/>
      <c r="F15250" s="176">
        <v>500000</v>
      </c>
      <c r="G15250" s="176">
        <f t="shared" si="244"/>
        <v>500000</v>
      </c>
      <c r="H15250" s="702" t="s">
        <v>9743</v>
      </c>
    </row>
    <row r="15251" spans="1:8" s="682" customFormat="1" ht="24" customHeight="1" x14ac:dyDescent="0.25">
      <c r="A15251" s="730">
        <v>45049</v>
      </c>
      <c r="B15251" s="94" t="s">
        <v>1400</v>
      </c>
      <c r="C15251" s="94" t="s">
        <v>559</v>
      </c>
      <c r="D15251" s="802" t="s">
        <v>9747</v>
      </c>
      <c r="E15251" s="176"/>
      <c r="F15251" s="176">
        <v>250000</v>
      </c>
      <c r="G15251" s="176">
        <f t="shared" si="244"/>
        <v>250000</v>
      </c>
      <c r="H15251" s="702" t="s">
        <v>9743</v>
      </c>
    </row>
    <row r="15252" spans="1:8" s="682" customFormat="1" ht="15" customHeight="1" x14ac:dyDescent="0.25">
      <c r="A15252" s="730">
        <v>45050</v>
      </c>
      <c r="B15252" s="94" t="s">
        <v>9356</v>
      </c>
      <c r="C15252" s="94" t="s">
        <v>559</v>
      </c>
      <c r="D15252" s="892" t="s">
        <v>9748</v>
      </c>
      <c r="E15252" s="176"/>
      <c r="F15252" s="176">
        <v>395720</v>
      </c>
      <c r="G15252" s="176">
        <f t="shared" si="244"/>
        <v>395720</v>
      </c>
      <c r="H15252" s="702" t="s">
        <v>9743</v>
      </c>
    </row>
    <row r="15253" spans="1:8" s="682" customFormat="1" ht="15" customHeight="1" x14ac:dyDescent="0.25">
      <c r="A15253" s="730">
        <v>45055</v>
      </c>
      <c r="B15253" s="94" t="s">
        <v>9769</v>
      </c>
      <c r="C15253" s="94" t="s">
        <v>559</v>
      </c>
      <c r="D15253" s="892" t="s">
        <v>9822</v>
      </c>
      <c r="E15253" s="176"/>
      <c r="F15253" s="176">
        <v>4500000</v>
      </c>
      <c r="G15253" s="176">
        <f t="shared" si="244"/>
        <v>4500000</v>
      </c>
      <c r="H15253" s="702" t="s">
        <v>9743</v>
      </c>
    </row>
    <row r="15254" spans="1:8" s="682" customFormat="1" ht="15" customHeight="1" x14ac:dyDescent="0.25">
      <c r="A15254" s="730">
        <v>45055</v>
      </c>
      <c r="B15254" s="94" t="s">
        <v>3946</v>
      </c>
      <c r="C15254" s="94" t="s">
        <v>559</v>
      </c>
      <c r="D15254" s="892" t="s">
        <v>9823</v>
      </c>
      <c r="E15254" s="176"/>
      <c r="F15254" s="176">
        <v>310329</v>
      </c>
      <c r="G15254" s="176">
        <f t="shared" si="244"/>
        <v>310329</v>
      </c>
      <c r="H15254" s="702" t="s">
        <v>9743</v>
      </c>
    </row>
    <row r="15255" spans="1:8" s="682" customFormat="1" ht="24" customHeight="1" x14ac:dyDescent="0.25">
      <c r="A15255" s="730">
        <v>45056</v>
      </c>
      <c r="B15255" s="94" t="s">
        <v>7921</v>
      </c>
      <c r="C15255" s="94" t="s">
        <v>559</v>
      </c>
      <c r="D15255" s="802" t="s">
        <v>9827</v>
      </c>
      <c r="E15255" s="176"/>
      <c r="F15255" s="176">
        <v>5000000</v>
      </c>
      <c r="G15255" s="176">
        <f t="shared" si="244"/>
        <v>5000000</v>
      </c>
      <c r="H15255" s="702" t="s">
        <v>9743</v>
      </c>
    </row>
    <row r="15256" spans="1:8" s="682" customFormat="1" ht="15" customHeight="1" x14ac:dyDescent="0.25">
      <c r="A15256" s="730">
        <v>45058</v>
      </c>
      <c r="B15256" s="94" t="s">
        <v>37</v>
      </c>
      <c r="C15256" s="94" t="s">
        <v>559</v>
      </c>
      <c r="D15256" s="802" t="s">
        <v>10395</v>
      </c>
      <c r="E15256" s="176"/>
      <c r="F15256" s="176">
        <v>188568</v>
      </c>
      <c r="G15256" s="176">
        <f t="shared" si="244"/>
        <v>188568</v>
      </c>
      <c r="H15256" s="702" t="s">
        <v>9743</v>
      </c>
    </row>
    <row r="15257" spans="1:8" ht="15" x14ac:dyDescent="0.2">
      <c r="A15257" s="730">
        <v>45059</v>
      </c>
      <c r="B15257" s="94" t="s">
        <v>9769</v>
      </c>
      <c r="C15257" s="94" t="s">
        <v>559</v>
      </c>
      <c r="D15257" s="892" t="s">
        <v>9822</v>
      </c>
      <c r="E15257" s="176"/>
      <c r="F15257" s="176">
        <v>3000000</v>
      </c>
      <c r="G15257" s="176">
        <f t="shared" si="244"/>
        <v>3000000</v>
      </c>
      <c r="H15257" s="702" t="s">
        <v>9743</v>
      </c>
    </row>
    <row r="15258" spans="1:8" ht="15" x14ac:dyDescent="0.2">
      <c r="A15258" s="730">
        <v>45068</v>
      </c>
      <c r="B15258" s="91" t="s">
        <v>3945</v>
      </c>
      <c r="C15258" s="94" t="s">
        <v>559</v>
      </c>
      <c r="D15258" s="892" t="s">
        <v>9875</v>
      </c>
      <c r="E15258" s="92"/>
      <c r="F15258" s="92">
        <v>337081</v>
      </c>
      <c r="G15258" s="176">
        <f t="shared" si="244"/>
        <v>337081</v>
      </c>
      <c r="H15258" s="702" t="s">
        <v>9743</v>
      </c>
    </row>
    <row r="15259" spans="1:8" ht="36" x14ac:dyDescent="0.2">
      <c r="A15259" s="730">
        <v>45068</v>
      </c>
      <c r="B15259" s="94" t="s">
        <v>3946</v>
      </c>
      <c r="C15259" s="94" t="s">
        <v>559</v>
      </c>
      <c r="D15259" s="802" t="s">
        <v>9876</v>
      </c>
      <c r="E15259" s="176"/>
      <c r="F15259" s="176">
        <v>50000</v>
      </c>
      <c r="G15259" s="176">
        <f t="shared" si="244"/>
        <v>50000</v>
      </c>
      <c r="H15259" s="702" t="s">
        <v>9743</v>
      </c>
    </row>
    <row r="15260" spans="1:8" ht="48" x14ac:dyDescent="0.2">
      <c r="A15260" s="730">
        <v>45070</v>
      </c>
      <c r="B15260" s="94" t="s">
        <v>1400</v>
      </c>
      <c r="C15260" s="94" t="s">
        <v>559</v>
      </c>
      <c r="D15260" s="802" t="s">
        <v>9945</v>
      </c>
      <c r="E15260" s="176"/>
      <c r="F15260" s="176">
        <v>763801.10000000009</v>
      </c>
      <c r="G15260" s="176">
        <f t="shared" si="244"/>
        <v>763801.10000000009</v>
      </c>
      <c r="H15260" s="702" t="s">
        <v>9743</v>
      </c>
    </row>
    <row r="15261" spans="1:8" ht="48" x14ac:dyDescent="0.2">
      <c r="A15261" s="730">
        <v>45070</v>
      </c>
      <c r="B15261" s="94" t="s">
        <v>4721</v>
      </c>
      <c r="C15261" s="94" t="s">
        <v>559</v>
      </c>
      <c r="D15261" s="802" t="s">
        <v>9946</v>
      </c>
      <c r="E15261" s="176"/>
      <c r="F15261" s="176">
        <f>1000000-F15260</f>
        <v>236198.89999999991</v>
      </c>
      <c r="G15261" s="176">
        <f t="shared" si="244"/>
        <v>236198.89999999991</v>
      </c>
      <c r="H15261" s="702" t="s">
        <v>9743</v>
      </c>
    </row>
    <row r="15262" spans="1:8" ht="24" x14ac:dyDescent="0.2">
      <c r="A15262" s="730">
        <v>45072</v>
      </c>
      <c r="B15262" s="94" t="s">
        <v>8339</v>
      </c>
      <c r="C15262" s="94" t="s">
        <v>559</v>
      </c>
      <c r="D15262" s="802" t="s">
        <v>9949</v>
      </c>
      <c r="E15262" s="176"/>
      <c r="F15262" s="176">
        <v>3000000</v>
      </c>
      <c r="G15262" s="176">
        <f t="shared" si="244"/>
        <v>3000000</v>
      </c>
      <c r="H15262" s="702" t="s">
        <v>9743</v>
      </c>
    </row>
    <row r="15263" spans="1:8" ht="24" x14ac:dyDescent="0.2">
      <c r="A15263" s="730">
        <v>45072</v>
      </c>
      <c r="B15263" s="94" t="s">
        <v>8339</v>
      </c>
      <c r="C15263" s="94" t="s">
        <v>559</v>
      </c>
      <c r="D15263" s="802" t="s">
        <v>9950</v>
      </c>
      <c r="E15263" s="176"/>
      <c r="F15263" s="176">
        <v>1500000</v>
      </c>
      <c r="G15263" s="176">
        <f t="shared" si="244"/>
        <v>1500000</v>
      </c>
      <c r="H15263" s="702" t="s">
        <v>9743</v>
      </c>
    </row>
    <row r="15264" spans="1:8" ht="15" x14ac:dyDescent="0.2">
      <c r="A15264" s="730">
        <v>45072</v>
      </c>
      <c r="B15264" s="94" t="s">
        <v>8339</v>
      </c>
      <c r="C15264" s="94" t="s">
        <v>559</v>
      </c>
      <c r="D15264" s="892" t="s">
        <v>9951</v>
      </c>
      <c r="E15264" s="176"/>
      <c r="F15264" s="176">
        <v>600000</v>
      </c>
      <c r="G15264" s="176">
        <f t="shared" si="244"/>
        <v>600000</v>
      </c>
      <c r="H15264" s="702" t="s">
        <v>9743</v>
      </c>
    </row>
    <row r="15265" spans="1:8" ht="36" x14ac:dyDescent="0.2">
      <c r="A15265" s="730">
        <v>45072</v>
      </c>
      <c r="B15265" s="94" t="s">
        <v>8339</v>
      </c>
      <c r="C15265" s="94" t="s">
        <v>559</v>
      </c>
      <c r="D15265" s="802" t="s">
        <v>9953</v>
      </c>
      <c r="E15265" s="176"/>
      <c r="F15265" s="176">
        <v>900000</v>
      </c>
      <c r="G15265" s="176">
        <f t="shared" si="244"/>
        <v>900000</v>
      </c>
      <c r="H15265" s="702" t="s">
        <v>9743</v>
      </c>
    </row>
    <row r="15266" spans="1:8" ht="15" x14ac:dyDescent="0.2">
      <c r="A15266" s="730">
        <v>45072</v>
      </c>
      <c r="B15266" s="94" t="s">
        <v>8339</v>
      </c>
      <c r="C15266" s="94" t="s">
        <v>559</v>
      </c>
      <c r="D15266" s="802" t="s">
        <v>9952</v>
      </c>
      <c r="E15266" s="176">
        <v>27000</v>
      </c>
      <c r="F15266" s="176"/>
      <c r="G15266" s="176">
        <f t="shared" si="244"/>
        <v>-27000</v>
      </c>
      <c r="H15266" s="702" t="s">
        <v>9743</v>
      </c>
    </row>
    <row r="15267" spans="1:8" ht="15" x14ac:dyDescent="0.2">
      <c r="A15267" s="734">
        <v>45079</v>
      </c>
      <c r="B15267" s="63" t="s">
        <v>9832</v>
      </c>
      <c r="C15267" s="63" t="s">
        <v>794</v>
      </c>
      <c r="D15267" s="183" t="s">
        <v>372</v>
      </c>
      <c r="E15267" s="126">
        <v>25000</v>
      </c>
      <c r="F15267" s="58"/>
      <c r="G15267" s="58">
        <f t="shared" si="244"/>
        <v>-25000</v>
      </c>
      <c r="H15267" s="705" t="s">
        <v>10315</v>
      </c>
    </row>
    <row r="15268" spans="1:8" ht="15" x14ac:dyDescent="0.2">
      <c r="A15268" s="734">
        <v>45080</v>
      </c>
      <c r="B15268" s="63" t="s">
        <v>10144</v>
      </c>
      <c r="C15268" s="63" t="s">
        <v>794</v>
      </c>
      <c r="D15268" s="183" t="s">
        <v>372</v>
      </c>
      <c r="E15268" s="126">
        <v>25000</v>
      </c>
      <c r="F15268" s="58"/>
      <c r="G15268" s="58">
        <f t="shared" si="244"/>
        <v>-25000</v>
      </c>
      <c r="H15268" s="705" t="s">
        <v>10315</v>
      </c>
    </row>
    <row r="15269" spans="1:8" ht="15" x14ac:dyDescent="0.2">
      <c r="A15269" s="734">
        <v>45081</v>
      </c>
      <c r="B15269" s="63" t="s">
        <v>10023</v>
      </c>
      <c r="C15269" s="63" t="s">
        <v>794</v>
      </c>
      <c r="D15269" s="183" t="s">
        <v>141</v>
      </c>
      <c r="E15269" s="126">
        <v>25000</v>
      </c>
      <c r="F15269" s="58"/>
      <c r="G15269" s="58">
        <f t="shared" si="244"/>
        <v>-25000</v>
      </c>
      <c r="H15269" s="705" t="s">
        <v>10315</v>
      </c>
    </row>
    <row r="15270" spans="1:8" ht="15" x14ac:dyDescent="0.2">
      <c r="A15270" s="734">
        <v>45082</v>
      </c>
      <c r="B15270" s="63" t="s">
        <v>10296</v>
      </c>
      <c r="C15270" s="63" t="s">
        <v>794</v>
      </c>
      <c r="D15270" s="183" t="s">
        <v>141</v>
      </c>
      <c r="E15270" s="126">
        <v>25000</v>
      </c>
      <c r="F15270" s="58"/>
      <c r="G15270" s="58">
        <f t="shared" si="244"/>
        <v>-25000</v>
      </c>
      <c r="H15270" s="705" t="s">
        <v>10315</v>
      </c>
    </row>
    <row r="15271" spans="1:8" ht="15" x14ac:dyDescent="0.2">
      <c r="A15271" s="734">
        <v>45083</v>
      </c>
      <c r="B15271" s="63" t="s">
        <v>25</v>
      </c>
      <c r="C15271" s="63" t="s">
        <v>794</v>
      </c>
      <c r="D15271" s="183" t="s">
        <v>10183</v>
      </c>
      <c r="E15271" s="126">
        <v>80000</v>
      </c>
      <c r="F15271" s="58"/>
      <c r="G15271" s="58">
        <f t="shared" si="244"/>
        <v>-80000</v>
      </c>
      <c r="H15271" s="705" t="s">
        <v>10315</v>
      </c>
    </row>
    <row r="15272" spans="1:8" ht="15" x14ac:dyDescent="0.2">
      <c r="A15272" s="734">
        <v>45083</v>
      </c>
      <c r="B15272" s="63" t="s">
        <v>16</v>
      </c>
      <c r="C15272" s="63" t="s">
        <v>794</v>
      </c>
      <c r="D15272" s="183" t="s">
        <v>7218</v>
      </c>
      <c r="E15272" s="126">
        <v>227730</v>
      </c>
      <c r="F15272" s="58"/>
      <c r="G15272" s="58">
        <f t="shared" si="244"/>
        <v>-227730</v>
      </c>
      <c r="H15272" s="705" t="s">
        <v>10315</v>
      </c>
    </row>
    <row r="15273" spans="1:8" ht="15" x14ac:dyDescent="0.2">
      <c r="A15273" s="734">
        <v>45083</v>
      </c>
      <c r="B15273" s="63" t="s">
        <v>9356</v>
      </c>
      <c r="C15273" s="63" t="s">
        <v>794</v>
      </c>
      <c r="D15273" s="183" t="s">
        <v>10118</v>
      </c>
      <c r="E15273" s="126">
        <v>44330</v>
      </c>
      <c r="F15273" s="58"/>
      <c r="G15273" s="58">
        <f t="shared" si="244"/>
        <v>-44330</v>
      </c>
      <c r="H15273" s="705" t="s">
        <v>10315</v>
      </c>
    </row>
    <row r="15274" spans="1:8" ht="15" x14ac:dyDescent="0.2">
      <c r="A15274" s="734">
        <v>45083</v>
      </c>
      <c r="B15274" s="63" t="s">
        <v>9356</v>
      </c>
      <c r="C15274" s="63" t="s">
        <v>794</v>
      </c>
      <c r="D15274" s="183" t="s">
        <v>10104</v>
      </c>
      <c r="E15274" s="126">
        <v>41600</v>
      </c>
      <c r="F15274" s="58"/>
      <c r="G15274" s="58">
        <f t="shared" si="244"/>
        <v>-41600</v>
      </c>
      <c r="H15274" s="705" t="s">
        <v>10315</v>
      </c>
    </row>
    <row r="15275" spans="1:8" ht="15" x14ac:dyDescent="0.2">
      <c r="A15275" s="734">
        <v>45083</v>
      </c>
      <c r="B15275" s="63" t="s">
        <v>9409</v>
      </c>
      <c r="C15275" s="63" t="s">
        <v>794</v>
      </c>
      <c r="D15275" s="183" t="s">
        <v>10353</v>
      </c>
      <c r="E15275" s="126">
        <v>9000</v>
      </c>
      <c r="F15275" s="58"/>
      <c r="G15275" s="58">
        <f t="shared" si="244"/>
        <v>-9000</v>
      </c>
      <c r="H15275" s="705" t="s">
        <v>10315</v>
      </c>
    </row>
    <row r="15276" spans="1:8" ht="15" x14ac:dyDescent="0.2">
      <c r="A15276" s="734">
        <v>45083</v>
      </c>
      <c r="B15276" s="63" t="s">
        <v>10296</v>
      </c>
      <c r="C15276" s="63" t="s">
        <v>794</v>
      </c>
      <c r="D15276" s="183" t="s">
        <v>10352</v>
      </c>
      <c r="E15276" s="126">
        <v>62080</v>
      </c>
      <c r="F15276" s="58"/>
      <c r="G15276" s="58">
        <f t="shared" si="244"/>
        <v>-62080</v>
      </c>
      <c r="H15276" s="705" t="s">
        <v>10315</v>
      </c>
    </row>
    <row r="15277" spans="1:8" ht="15" x14ac:dyDescent="0.2">
      <c r="A15277" s="734">
        <v>45083</v>
      </c>
      <c r="B15277" s="63" t="s">
        <v>9356</v>
      </c>
      <c r="C15277" s="63" t="s">
        <v>794</v>
      </c>
      <c r="D15277" s="183" t="s">
        <v>10354</v>
      </c>
      <c r="E15277" s="126">
        <v>92210</v>
      </c>
      <c r="F15277" s="58"/>
      <c r="G15277" s="58">
        <f t="shared" si="244"/>
        <v>-92210</v>
      </c>
      <c r="H15277" s="705" t="s">
        <v>10315</v>
      </c>
    </row>
    <row r="15278" spans="1:8" ht="15" x14ac:dyDescent="0.2">
      <c r="A15278" s="734">
        <v>45083</v>
      </c>
      <c r="B15278" s="63" t="s">
        <v>9409</v>
      </c>
      <c r="C15278" s="63" t="s">
        <v>794</v>
      </c>
      <c r="D15278" s="183" t="s">
        <v>10358</v>
      </c>
      <c r="E15278" s="126">
        <v>193375</v>
      </c>
      <c r="F15278" s="58"/>
      <c r="G15278" s="58">
        <f t="shared" si="244"/>
        <v>-193375</v>
      </c>
      <c r="H15278" s="705" t="s">
        <v>10315</v>
      </c>
    </row>
    <row r="15279" spans="1:8" ht="15" x14ac:dyDescent="0.2">
      <c r="A15279" s="734">
        <v>45083</v>
      </c>
      <c r="B15279" s="63" t="s">
        <v>9402</v>
      </c>
      <c r="C15279" s="63" t="s">
        <v>794</v>
      </c>
      <c r="D15279" s="183" t="s">
        <v>10106</v>
      </c>
      <c r="E15279" s="126">
        <v>65000</v>
      </c>
      <c r="F15279" s="58"/>
      <c r="G15279" s="58">
        <f t="shared" si="244"/>
        <v>-65000</v>
      </c>
      <c r="H15279" s="705" t="s">
        <v>10315</v>
      </c>
    </row>
    <row r="15280" spans="1:8" ht="15" x14ac:dyDescent="0.2">
      <c r="A15280" s="734">
        <v>45083</v>
      </c>
      <c r="B15280" s="63" t="s">
        <v>9769</v>
      </c>
      <c r="C15280" s="63" t="s">
        <v>794</v>
      </c>
      <c r="D15280" s="183" t="s">
        <v>10355</v>
      </c>
      <c r="E15280" s="126">
        <v>187650</v>
      </c>
      <c r="F15280" s="58"/>
      <c r="G15280" s="58">
        <f t="shared" si="244"/>
        <v>-187650</v>
      </c>
      <c r="H15280" s="705" t="s">
        <v>10315</v>
      </c>
    </row>
    <row r="15281" spans="1:8" ht="15" x14ac:dyDescent="0.2">
      <c r="A15281" s="734">
        <v>45083</v>
      </c>
      <c r="B15281" s="63" t="s">
        <v>3945</v>
      </c>
      <c r="C15281" s="63" t="s">
        <v>794</v>
      </c>
      <c r="D15281" s="183" t="s">
        <v>10356</v>
      </c>
      <c r="E15281" s="126">
        <v>134483.33333333331</v>
      </c>
      <c r="F15281" s="58"/>
      <c r="G15281" s="58">
        <f t="shared" si="244"/>
        <v>-134483.33333333331</v>
      </c>
      <c r="H15281" s="705" t="s">
        <v>10315</v>
      </c>
    </row>
    <row r="15282" spans="1:8" ht="15" x14ac:dyDescent="0.2">
      <c r="A15282" s="734">
        <v>45083</v>
      </c>
      <c r="B15282" s="63" t="s">
        <v>37</v>
      </c>
      <c r="C15282" s="63" t="s">
        <v>794</v>
      </c>
      <c r="D15282" s="183" t="s">
        <v>10097</v>
      </c>
      <c r="E15282" s="126">
        <v>129737</v>
      </c>
      <c r="F15282" s="58"/>
      <c r="G15282" s="58">
        <f t="shared" si="244"/>
        <v>-129737</v>
      </c>
      <c r="H15282" s="705" t="s">
        <v>10315</v>
      </c>
    </row>
    <row r="15283" spans="1:8" ht="15" x14ac:dyDescent="0.2">
      <c r="A15283" s="734">
        <v>45083</v>
      </c>
      <c r="B15283" s="63" t="s">
        <v>10296</v>
      </c>
      <c r="C15283" s="63" t="s">
        <v>794</v>
      </c>
      <c r="D15283" s="183" t="s">
        <v>10357</v>
      </c>
      <c r="E15283" s="126">
        <v>69958.333333333328</v>
      </c>
      <c r="F15283" s="58"/>
      <c r="G15283" s="58">
        <f t="shared" si="244"/>
        <v>-69958.333333333328</v>
      </c>
      <c r="H15283" s="705" t="s">
        <v>10315</v>
      </c>
    </row>
    <row r="15284" spans="1:8" ht="15" x14ac:dyDescent="0.2">
      <c r="A15284" s="734">
        <v>45083</v>
      </c>
      <c r="B15284" s="63" t="s">
        <v>3946</v>
      </c>
      <c r="C15284" s="63" t="s">
        <v>794</v>
      </c>
      <c r="D15284" s="183" t="s">
        <v>10088</v>
      </c>
      <c r="E15284" s="126">
        <v>131872</v>
      </c>
      <c r="F15284" s="58"/>
      <c r="G15284" s="58">
        <f t="shared" si="244"/>
        <v>-131872</v>
      </c>
      <c r="H15284" s="705" t="s">
        <v>10315</v>
      </c>
    </row>
    <row r="15285" spans="1:8" ht="15" x14ac:dyDescent="0.2">
      <c r="A15285" s="734">
        <v>45083</v>
      </c>
      <c r="B15285" s="63" t="s">
        <v>3946</v>
      </c>
      <c r="C15285" s="63" t="s">
        <v>794</v>
      </c>
      <c r="D15285" s="183" t="s">
        <v>6205</v>
      </c>
      <c r="E15285" s="126">
        <v>28000</v>
      </c>
      <c r="F15285" s="58"/>
      <c r="G15285" s="58">
        <f t="shared" si="244"/>
        <v>-28000</v>
      </c>
      <c r="H15285" s="705" t="s">
        <v>10315</v>
      </c>
    </row>
    <row r="15286" spans="1:8" ht="15" x14ac:dyDescent="0.2">
      <c r="A15286" s="734">
        <v>45084</v>
      </c>
      <c r="B15286" s="63" t="s">
        <v>10179</v>
      </c>
      <c r="C15286" s="63" t="s">
        <v>794</v>
      </c>
      <c r="D15286" s="183" t="s">
        <v>9012</v>
      </c>
      <c r="E15286" s="126">
        <v>5000</v>
      </c>
      <c r="F15286" s="58"/>
      <c r="G15286" s="58">
        <f t="shared" si="244"/>
        <v>-5000</v>
      </c>
      <c r="H15286" s="705" t="s">
        <v>10315</v>
      </c>
    </row>
    <row r="15287" spans="1:8" ht="15" x14ac:dyDescent="0.2">
      <c r="A15287" s="734">
        <v>45078</v>
      </c>
      <c r="B15287" s="41" t="s">
        <v>25</v>
      </c>
      <c r="C15287" s="63" t="s">
        <v>8150</v>
      </c>
      <c r="D15287" s="108" t="s">
        <v>9270</v>
      </c>
      <c r="E15287" s="58">
        <v>300</v>
      </c>
      <c r="F15287" s="58"/>
      <c r="G15287" s="58">
        <f t="shared" si="244"/>
        <v>-300</v>
      </c>
      <c r="H15287" s="705" t="s">
        <v>10315</v>
      </c>
    </row>
    <row r="15288" spans="1:8" ht="15" x14ac:dyDescent="0.2">
      <c r="A15288" s="734">
        <v>45078</v>
      </c>
      <c r="B15288" s="41" t="s">
        <v>16</v>
      </c>
      <c r="C15288" s="63" t="s">
        <v>8150</v>
      </c>
      <c r="D15288" s="108" t="s">
        <v>9270</v>
      </c>
      <c r="E15288" s="58">
        <v>240</v>
      </c>
      <c r="F15288" s="58"/>
      <c r="G15288" s="58">
        <f t="shared" si="244"/>
        <v>-240</v>
      </c>
      <c r="H15288" s="705" t="s">
        <v>10315</v>
      </c>
    </row>
    <row r="15289" spans="1:8" ht="15" x14ac:dyDescent="0.2">
      <c r="A15289" s="734">
        <v>45078</v>
      </c>
      <c r="B15289" s="41" t="s">
        <v>9661</v>
      </c>
      <c r="C15289" s="63" t="s">
        <v>3145</v>
      </c>
      <c r="D15289" s="108" t="s">
        <v>10046</v>
      </c>
      <c r="E15289" s="58">
        <v>6200</v>
      </c>
      <c r="F15289" s="58"/>
      <c r="G15289" s="58">
        <f t="shared" si="244"/>
        <v>-6200</v>
      </c>
      <c r="H15289" s="705" t="s">
        <v>10315</v>
      </c>
    </row>
    <row r="15290" spans="1:8" ht="15" x14ac:dyDescent="0.2">
      <c r="A15290" s="734">
        <v>45078</v>
      </c>
      <c r="B15290" s="41" t="s">
        <v>9356</v>
      </c>
      <c r="C15290" s="63" t="s">
        <v>3145</v>
      </c>
      <c r="D15290" s="108" t="s">
        <v>10047</v>
      </c>
      <c r="E15290" s="58">
        <v>2750</v>
      </c>
      <c r="F15290" s="58"/>
      <c r="G15290" s="58">
        <f t="shared" si="244"/>
        <v>-2750</v>
      </c>
      <c r="H15290" s="705" t="s">
        <v>10315</v>
      </c>
    </row>
    <row r="15291" spans="1:8" ht="15" x14ac:dyDescent="0.2">
      <c r="A15291" s="734">
        <v>45078</v>
      </c>
      <c r="B15291" s="41" t="s">
        <v>9661</v>
      </c>
      <c r="C15291" s="63" t="s">
        <v>286</v>
      </c>
      <c r="D15291" s="108" t="s">
        <v>8448</v>
      </c>
      <c r="E15291" s="58">
        <v>1600</v>
      </c>
      <c r="F15291" s="58"/>
      <c r="G15291" s="58">
        <f t="shared" ref="G15291:G15354" si="245">F15291-E15291</f>
        <v>-1600</v>
      </c>
      <c r="H15291" s="705" t="s">
        <v>10315</v>
      </c>
    </row>
    <row r="15292" spans="1:8" ht="15" x14ac:dyDescent="0.2">
      <c r="A15292" s="734">
        <v>45078</v>
      </c>
      <c r="B15292" s="41" t="s">
        <v>9769</v>
      </c>
      <c r="C15292" s="63" t="s">
        <v>10048</v>
      </c>
      <c r="D15292" s="108" t="s">
        <v>10049</v>
      </c>
      <c r="E15292" s="58">
        <v>84940</v>
      </c>
      <c r="F15292" s="58"/>
      <c r="G15292" s="58">
        <f t="shared" si="245"/>
        <v>-84940</v>
      </c>
      <c r="H15292" s="705" t="s">
        <v>10315</v>
      </c>
    </row>
    <row r="15293" spans="1:8" ht="15" customHeight="1" x14ac:dyDescent="0.2">
      <c r="A15293" s="734">
        <v>45078</v>
      </c>
      <c r="B15293" s="41" t="s">
        <v>9356</v>
      </c>
      <c r="C15293" s="63" t="s">
        <v>392</v>
      </c>
      <c r="D15293" s="108" t="s">
        <v>10224</v>
      </c>
      <c r="E15293" s="58">
        <v>17950</v>
      </c>
      <c r="F15293" s="58"/>
      <c r="G15293" s="58">
        <f t="shared" si="245"/>
        <v>-17950</v>
      </c>
      <c r="H15293" s="705" t="s">
        <v>10315</v>
      </c>
    </row>
    <row r="15294" spans="1:8" ht="15" x14ac:dyDescent="0.2">
      <c r="A15294" s="734">
        <v>45078</v>
      </c>
      <c r="B15294" s="41" t="s">
        <v>10057</v>
      </c>
      <c r="C15294" s="63" t="s">
        <v>392</v>
      </c>
      <c r="D15294" s="108" t="s">
        <v>10225</v>
      </c>
      <c r="E15294" s="58">
        <v>11000</v>
      </c>
      <c r="F15294" s="58"/>
      <c r="G15294" s="58">
        <f t="shared" si="245"/>
        <v>-11000</v>
      </c>
      <c r="H15294" s="705" t="s">
        <v>10315</v>
      </c>
    </row>
    <row r="15295" spans="1:8" ht="15" x14ac:dyDescent="0.2">
      <c r="A15295" s="734">
        <v>45078</v>
      </c>
      <c r="B15295" s="41" t="s">
        <v>16</v>
      </c>
      <c r="C15295" s="63" t="s">
        <v>103</v>
      </c>
      <c r="D15295" s="108" t="s">
        <v>9425</v>
      </c>
      <c r="E15295" s="58">
        <v>2000</v>
      </c>
      <c r="F15295" s="58"/>
      <c r="G15295" s="58">
        <f t="shared" si="245"/>
        <v>-2000</v>
      </c>
      <c r="H15295" s="705" t="s">
        <v>10315</v>
      </c>
    </row>
    <row r="15296" spans="1:8" ht="15" x14ac:dyDescent="0.2">
      <c r="A15296" s="734">
        <v>45078</v>
      </c>
      <c r="B15296" s="41" t="s">
        <v>9769</v>
      </c>
      <c r="C15296" s="63" t="s">
        <v>4876</v>
      </c>
      <c r="D15296" s="108" t="s">
        <v>10050</v>
      </c>
      <c r="E15296" s="58">
        <v>2500</v>
      </c>
      <c r="F15296" s="58"/>
      <c r="G15296" s="58">
        <f t="shared" si="245"/>
        <v>-2500</v>
      </c>
      <c r="H15296" s="705" t="s">
        <v>10315</v>
      </c>
    </row>
    <row r="15297" spans="1:8" ht="15" x14ac:dyDescent="0.2">
      <c r="A15297" s="734">
        <v>45078</v>
      </c>
      <c r="B15297" s="41" t="s">
        <v>8657</v>
      </c>
      <c r="C15297" s="63" t="s">
        <v>392</v>
      </c>
      <c r="D15297" s="108" t="s">
        <v>9023</v>
      </c>
      <c r="E15297" s="58">
        <v>1350</v>
      </c>
      <c r="F15297" s="58"/>
      <c r="G15297" s="58">
        <f t="shared" si="245"/>
        <v>-1350</v>
      </c>
      <c r="H15297" s="705" t="s">
        <v>10315</v>
      </c>
    </row>
    <row r="15298" spans="1:8" ht="15" x14ac:dyDescent="0.2">
      <c r="A15298" s="734">
        <v>45078</v>
      </c>
      <c r="B15298" s="41" t="s">
        <v>9661</v>
      </c>
      <c r="C15298" s="63" t="s">
        <v>5741</v>
      </c>
      <c r="D15298" s="108" t="s">
        <v>10025</v>
      </c>
      <c r="E15298" s="58">
        <v>800</v>
      </c>
      <c r="F15298" s="58"/>
      <c r="G15298" s="58">
        <f t="shared" si="245"/>
        <v>-800</v>
      </c>
      <c r="H15298" s="705" t="s">
        <v>10315</v>
      </c>
    </row>
    <row r="15299" spans="1:8" ht="15" x14ac:dyDescent="0.2">
      <c r="A15299" s="734">
        <v>45078</v>
      </c>
      <c r="B15299" s="41" t="s">
        <v>9769</v>
      </c>
      <c r="C15299" s="63" t="s">
        <v>4362</v>
      </c>
      <c r="D15299" s="108" t="s">
        <v>10051</v>
      </c>
      <c r="E15299" s="58">
        <v>30000</v>
      </c>
      <c r="F15299" s="58"/>
      <c r="G15299" s="58">
        <f t="shared" si="245"/>
        <v>-30000</v>
      </c>
      <c r="H15299" s="705" t="s">
        <v>10315</v>
      </c>
    </row>
    <row r="15300" spans="1:8" ht="15" x14ac:dyDescent="0.2">
      <c r="A15300" s="734">
        <v>45078</v>
      </c>
      <c r="B15300" s="41" t="s">
        <v>9409</v>
      </c>
      <c r="C15300" s="63" t="s">
        <v>9928</v>
      </c>
      <c r="D15300" s="108" t="s">
        <v>10052</v>
      </c>
      <c r="E15300" s="58">
        <v>100000</v>
      </c>
      <c r="F15300" s="58"/>
      <c r="G15300" s="58">
        <f t="shared" si="245"/>
        <v>-100000</v>
      </c>
      <c r="H15300" s="705" t="s">
        <v>10315</v>
      </c>
    </row>
    <row r="15301" spans="1:8" ht="15" x14ac:dyDescent="0.2">
      <c r="A15301" s="734">
        <v>45078</v>
      </c>
      <c r="B15301" s="41" t="s">
        <v>9661</v>
      </c>
      <c r="C15301" s="63" t="s">
        <v>5741</v>
      </c>
      <c r="D15301" s="108" t="s">
        <v>370</v>
      </c>
      <c r="E15301" s="58">
        <v>500</v>
      </c>
      <c r="F15301" s="58"/>
      <c r="G15301" s="58">
        <f t="shared" si="245"/>
        <v>-500</v>
      </c>
      <c r="H15301" s="705" t="s">
        <v>10315</v>
      </c>
    </row>
    <row r="15302" spans="1:8" ht="15" x14ac:dyDescent="0.2">
      <c r="A15302" s="734">
        <v>45078</v>
      </c>
      <c r="B15302" s="41" t="s">
        <v>3946</v>
      </c>
      <c r="C15302" s="63" t="s">
        <v>10055</v>
      </c>
      <c r="D15302" s="108" t="s">
        <v>10053</v>
      </c>
      <c r="E15302" s="58">
        <v>4000</v>
      </c>
      <c r="F15302" s="58"/>
      <c r="G15302" s="58">
        <f t="shared" si="245"/>
        <v>-4000</v>
      </c>
      <c r="H15302" s="705" t="s">
        <v>10315</v>
      </c>
    </row>
    <row r="15303" spans="1:8" ht="15" x14ac:dyDescent="0.2">
      <c r="A15303" s="734">
        <v>45078</v>
      </c>
      <c r="B15303" s="41" t="s">
        <v>9661</v>
      </c>
      <c r="C15303" s="63" t="s">
        <v>5741</v>
      </c>
      <c r="D15303" s="108" t="s">
        <v>10054</v>
      </c>
      <c r="E15303" s="58">
        <v>250</v>
      </c>
      <c r="F15303" s="58"/>
      <c r="G15303" s="58">
        <f t="shared" si="245"/>
        <v>-250</v>
      </c>
      <c r="H15303" s="705" t="s">
        <v>10315</v>
      </c>
    </row>
    <row r="15304" spans="1:8" ht="15" x14ac:dyDescent="0.2">
      <c r="A15304" s="734">
        <v>45078</v>
      </c>
      <c r="B15304" s="41" t="s">
        <v>8876</v>
      </c>
      <c r="C15304" s="63" t="s">
        <v>10059</v>
      </c>
      <c r="D15304" s="108" t="s">
        <v>10058</v>
      </c>
      <c r="E15304" s="58">
        <v>50000</v>
      </c>
      <c r="F15304" s="58"/>
      <c r="G15304" s="58">
        <f t="shared" si="245"/>
        <v>-50000</v>
      </c>
      <c r="H15304" s="705" t="s">
        <v>10315</v>
      </c>
    </row>
    <row r="15305" spans="1:8" ht="15" x14ac:dyDescent="0.2">
      <c r="A15305" s="734">
        <v>45078</v>
      </c>
      <c r="B15305" s="41" t="s">
        <v>9409</v>
      </c>
      <c r="C15305" s="63" t="s">
        <v>9474</v>
      </c>
      <c r="D15305" s="108" t="s">
        <v>5399</v>
      </c>
      <c r="E15305" s="58">
        <v>20000</v>
      </c>
      <c r="F15305" s="58"/>
      <c r="G15305" s="58">
        <f t="shared" si="245"/>
        <v>-20000</v>
      </c>
      <c r="H15305" s="705" t="s">
        <v>10315</v>
      </c>
    </row>
    <row r="15306" spans="1:8" ht="15" x14ac:dyDescent="0.2">
      <c r="A15306" s="734">
        <v>45078</v>
      </c>
      <c r="B15306" s="41" t="s">
        <v>9661</v>
      </c>
      <c r="C15306" s="63" t="s">
        <v>5741</v>
      </c>
      <c r="D15306" s="108" t="s">
        <v>370</v>
      </c>
      <c r="E15306" s="58">
        <v>600</v>
      </c>
      <c r="F15306" s="58"/>
      <c r="G15306" s="58">
        <f t="shared" si="245"/>
        <v>-600</v>
      </c>
      <c r="H15306" s="705" t="s">
        <v>10315</v>
      </c>
    </row>
    <row r="15307" spans="1:8" ht="15" x14ac:dyDescent="0.2">
      <c r="A15307" s="734">
        <v>45078</v>
      </c>
      <c r="B15307" s="41" t="s">
        <v>9661</v>
      </c>
      <c r="C15307" s="63" t="s">
        <v>5741</v>
      </c>
      <c r="D15307" s="108" t="s">
        <v>370</v>
      </c>
      <c r="E15307" s="58">
        <v>800</v>
      </c>
      <c r="F15307" s="58"/>
      <c r="G15307" s="58">
        <f t="shared" si="245"/>
        <v>-800</v>
      </c>
      <c r="H15307" s="705" t="s">
        <v>10315</v>
      </c>
    </row>
    <row r="15308" spans="1:8" ht="15" x14ac:dyDescent="0.2">
      <c r="A15308" s="734">
        <v>45078</v>
      </c>
      <c r="B15308" s="41" t="s">
        <v>9769</v>
      </c>
      <c r="C15308" s="63" t="s">
        <v>5741</v>
      </c>
      <c r="D15308" s="108" t="s">
        <v>370</v>
      </c>
      <c r="E15308" s="58">
        <v>1500</v>
      </c>
      <c r="F15308" s="58"/>
      <c r="G15308" s="58">
        <f t="shared" si="245"/>
        <v>-1500</v>
      </c>
      <c r="H15308" s="705" t="s">
        <v>10315</v>
      </c>
    </row>
    <row r="15309" spans="1:8" ht="15" x14ac:dyDescent="0.2">
      <c r="A15309" s="734">
        <v>45078</v>
      </c>
      <c r="B15309" s="41" t="s">
        <v>9356</v>
      </c>
      <c r="C15309" s="63" t="s">
        <v>9775</v>
      </c>
      <c r="D15309" s="108" t="s">
        <v>10064</v>
      </c>
      <c r="E15309" s="58">
        <v>50000</v>
      </c>
      <c r="F15309" s="58"/>
      <c r="G15309" s="58">
        <f t="shared" si="245"/>
        <v>-50000</v>
      </c>
      <c r="H15309" s="705" t="s">
        <v>10315</v>
      </c>
    </row>
    <row r="15310" spans="1:8" ht="15" x14ac:dyDescent="0.2">
      <c r="A15310" s="734">
        <v>45079</v>
      </c>
      <c r="B15310" s="41" t="s">
        <v>9661</v>
      </c>
      <c r="C15310" s="63" t="s">
        <v>6967</v>
      </c>
      <c r="D15310" s="108" t="s">
        <v>9445</v>
      </c>
      <c r="E15310" s="58">
        <v>20000</v>
      </c>
      <c r="F15310" s="58"/>
      <c r="G15310" s="58">
        <f t="shared" si="245"/>
        <v>-20000</v>
      </c>
      <c r="H15310" s="705" t="s">
        <v>10315</v>
      </c>
    </row>
    <row r="15311" spans="1:8" ht="15" x14ac:dyDescent="0.2">
      <c r="A15311" s="734">
        <v>45079</v>
      </c>
      <c r="B15311" s="41" t="s">
        <v>9769</v>
      </c>
      <c r="C15311" s="63" t="s">
        <v>3145</v>
      </c>
      <c r="D15311" s="108" t="s">
        <v>10072</v>
      </c>
      <c r="E15311" s="58">
        <v>140000</v>
      </c>
      <c r="F15311" s="58"/>
      <c r="G15311" s="58">
        <f t="shared" si="245"/>
        <v>-140000</v>
      </c>
      <c r="H15311" s="705" t="s">
        <v>10315</v>
      </c>
    </row>
    <row r="15312" spans="1:8" ht="15" x14ac:dyDescent="0.2">
      <c r="A15312" s="734">
        <v>45079</v>
      </c>
      <c r="B15312" s="41" t="s">
        <v>9769</v>
      </c>
      <c r="C15312" s="63" t="s">
        <v>392</v>
      </c>
      <c r="D15312" s="108" t="s">
        <v>10060</v>
      </c>
      <c r="E15312" s="58">
        <v>750</v>
      </c>
      <c r="F15312" s="58"/>
      <c r="G15312" s="58">
        <f t="shared" si="245"/>
        <v>-750</v>
      </c>
      <c r="H15312" s="705" t="s">
        <v>10315</v>
      </c>
    </row>
    <row r="15313" spans="1:8" ht="15" x14ac:dyDescent="0.2">
      <c r="A15313" s="734">
        <v>45079</v>
      </c>
      <c r="B15313" s="41" t="s">
        <v>16</v>
      </c>
      <c r="C15313" s="63" t="s">
        <v>103</v>
      </c>
      <c r="D15313" s="108" t="s">
        <v>9425</v>
      </c>
      <c r="E15313" s="58">
        <v>3000</v>
      </c>
      <c r="F15313" s="58"/>
      <c r="G15313" s="58">
        <f t="shared" si="245"/>
        <v>-3000</v>
      </c>
      <c r="H15313" s="705" t="s">
        <v>10315</v>
      </c>
    </row>
    <row r="15314" spans="1:8" ht="15" x14ac:dyDescent="0.2">
      <c r="A15314" s="734">
        <v>45079</v>
      </c>
      <c r="B15314" s="41" t="s">
        <v>10023</v>
      </c>
      <c r="C15314" s="63" t="s">
        <v>10063</v>
      </c>
      <c r="D15314" s="108" t="s">
        <v>10061</v>
      </c>
      <c r="E15314" s="58">
        <v>10000</v>
      </c>
      <c r="F15314" s="58"/>
      <c r="G15314" s="58">
        <f t="shared" si="245"/>
        <v>-10000</v>
      </c>
      <c r="H15314" s="705" t="s">
        <v>10315</v>
      </c>
    </row>
    <row r="15315" spans="1:8" ht="15" x14ac:dyDescent="0.2">
      <c r="A15315" s="734">
        <v>45079</v>
      </c>
      <c r="B15315" s="41" t="s">
        <v>9356</v>
      </c>
      <c r="C15315" s="63" t="s">
        <v>3145</v>
      </c>
      <c r="D15315" s="108" t="s">
        <v>10062</v>
      </c>
      <c r="E15315" s="58">
        <v>1000</v>
      </c>
      <c r="F15315" s="58"/>
      <c r="G15315" s="58">
        <f t="shared" si="245"/>
        <v>-1000</v>
      </c>
      <c r="H15315" s="705" t="s">
        <v>10315</v>
      </c>
    </row>
    <row r="15316" spans="1:8" ht="15" x14ac:dyDescent="0.2">
      <c r="A15316" s="734">
        <v>45080</v>
      </c>
      <c r="B15316" s="41" t="s">
        <v>9409</v>
      </c>
      <c r="C15316" s="63" t="s">
        <v>3145</v>
      </c>
      <c r="D15316" s="108" t="s">
        <v>5136</v>
      </c>
      <c r="E15316" s="58">
        <v>136145</v>
      </c>
      <c r="F15316" s="58"/>
      <c r="G15316" s="58">
        <f t="shared" si="245"/>
        <v>-136145</v>
      </c>
      <c r="H15316" s="705" t="s">
        <v>10315</v>
      </c>
    </row>
    <row r="15317" spans="1:8" ht="15" x14ac:dyDescent="0.2">
      <c r="A15317" s="734">
        <v>45080</v>
      </c>
      <c r="B15317" s="41" t="s">
        <v>9661</v>
      </c>
      <c r="C15317" s="63" t="s">
        <v>8372</v>
      </c>
      <c r="D15317" s="108" t="s">
        <v>370</v>
      </c>
      <c r="E15317" s="58">
        <v>1565</v>
      </c>
      <c r="F15317" s="58"/>
      <c r="G15317" s="58">
        <f t="shared" si="245"/>
        <v>-1565</v>
      </c>
      <c r="H15317" s="705" t="s">
        <v>10315</v>
      </c>
    </row>
    <row r="15318" spans="1:8" ht="15" x14ac:dyDescent="0.2">
      <c r="A15318" s="734">
        <v>45080</v>
      </c>
      <c r="B15318" s="41" t="s">
        <v>9507</v>
      </c>
      <c r="C15318" s="63" t="s">
        <v>8372</v>
      </c>
      <c r="D15318" s="108" t="s">
        <v>370</v>
      </c>
      <c r="E15318" s="58">
        <v>3290</v>
      </c>
      <c r="F15318" s="58"/>
      <c r="G15318" s="58">
        <f t="shared" si="245"/>
        <v>-3290</v>
      </c>
      <c r="H15318" s="705" t="s">
        <v>10315</v>
      </c>
    </row>
    <row r="15319" spans="1:8" ht="15" x14ac:dyDescent="0.2">
      <c r="A15319" s="734">
        <v>45080</v>
      </c>
      <c r="B15319" s="41" t="s">
        <v>16</v>
      </c>
      <c r="C15319" s="63" t="s">
        <v>1495</v>
      </c>
      <c r="D15319" s="108" t="s">
        <v>370</v>
      </c>
      <c r="E15319" s="58">
        <v>1900</v>
      </c>
      <c r="F15319" s="58"/>
      <c r="G15319" s="58">
        <f t="shared" si="245"/>
        <v>-1900</v>
      </c>
      <c r="H15319" s="705" t="s">
        <v>10315</v>
      </c>
    </row>
    <row r="15320" spans="1:8" ht="15" x14ac:dyDescent="0.2">
      <c r="A15320" s="734">
        <v>45080</v>
      </c>
      <c r="B15320" s="41" t="s">
        <v>9661</v>
      </c>
      <c r="C15320" s="63" t="s">
        <v>286</v>
      </c>
      <c r="D15320" s="108" t="s">
        <v>9895</v>
      </c>
      <c r="E15320" s="58">
        <v>500</v>
      </c>
      <c r="F15320" s="58"/>
      <c r="G15320" s="58">
        <f t="shared" si="245"/>
        <v>-500</v>
      </c>
      <c r="H15320" s="705" t="s">
        <v>10315</v>
      </c>
    </row>
    <row r="15321" spans="1:8" ht="15" x14ac:dyDescent="0.2">
      <c r="A15321" s="734">
        <v>45080</v>
      </c>
      <c r="B15321" s="41" t="s">
        <v>3946</v>
      </c>
      <c r="C15321" s="63" t="s">
        <v>10075</v>
      </c>
      <c r="D15321" s="108" t="s">
        <v>10074</v>
      </c>
      <c r="E15321" s="58">
        <v>2160</v>
      </c>
      <c r="F15321" s="58"/>
      <c r="G15321" s="58">
        <f t="shared" si="245"/>
        <v>-2160</v>
      </c>
      <c r="H15321" s="705" t="s">
        <v>10315</v>
      </c>
    </row>
    <row r="15322" spans="1:8" ht="15" x14ac:dyDescent="0.2">
      <c r="A15322" s="734">
        <v>45080</v>
      </c>
      <c r="B15322" s="41" t="s">
        <v>16</v>
      </c>
      <c r="C15322" s="63" t="s">
        <v>2996</v>
      </c>
      <c r="D15322" s="108" t="s">
        <v>370</v>
      </c>
      <c r="E15322" s="58">
        <v>4670</v>
      </c>
      <c r="F15322" s="58"/>
      <c r="G15322" s="58">
        <f t="shared" si="245"/>
        <v>-4670</v>
      </c>
      <c r="H15322" s="705" t="s">
        <v>10315</v>
      </c>
    </row>
    <row r="15323" spans="1:8" ht="15" customHeight="1" x14ac:dyDescent="0.2">
      <c r="A15323" s="734">
        <v>45080</v>
      </c>
      <c r="B15323" s="41" t="s">
        <v>10023</v>
      </c>
      <c r="C15323" s="63" t="s">
        <v>3145</v>
      </c>
      <c r="D15323" s="108" t="s">
        <v>10081</v>
      </c>
      <c r="E15323" s="58">
        <v>1630</v>
      </c>
      <c r="F15323" s="58"/>
      <c r="G15323" s="58">
        <f t="shared" si="245"/>
        <v>-1630</v>
      </c>
      <c r="H15323" s="705" t="s">
        <v>10315</v>
      </c>
    </row>
    <row r="15324" spans="1:8" ht="15" customHeight="1" x14ac:dyDescent="0.2">
      <c r="A15324" s="734">
        <v>45080</v>
      </c>
      <c r="B15324" s="41" t="s">
        <v>10144</v>
      </c>
      <c r="C15324" s="63" t="s">
        <v>5741</v>
      </c>
      <c r="D15324" s="108" t="s">
        <v>10076</v>
      </c>
      <c r="E15324" s="58">
        <v>1000</v>
      </c>
      <c r="F15324" s="58"/>
      <c r="G15324" s="58">
        <f t="shared" si="245"/>
        <v>-1000</v>
      </c>
      <c r="H15324" s="705" t="s">
        <v>10315</v>
      </c>
    </row>
    <row r="15325" spans="1:8" ht="15" x14ac:dyDescent="0.2">
      <c r="A15325" s="734">
        <v>45082</v>
      </c>
      <c r="B15325" s="41" t="s">
        <v>9661</v>
      </c>
      <c r="C15325" s="63" t="s">
        <v>5741</v>
      </c>
      <c r="D15325" s="108" t="s">
        <v>10077</v>
      </c>
      <c r="E15325" s="58">
        <v>200</v>
      </c>
      <c r="F15325" s="58"/>
      <c r="G15325" s="58">
        <f t="shared" si="245"/>
        <v>-200</v>
      </c>
      <c r="H15325" s="705" t="s">
        <v>10315</v>
      </c>
    </row>
    <row r="15326" spans="1:8" ht="15" x14ac:dyDescent="0.2">
      <c r="A15326" s="734">
        <v>45082</v>
      </c>
      <c r="B15326" s="41" t="s">
        <v>9661</v>
      </c>
      <c r="C15326" s="63" t="s">
        <v>5741</v>
      </c>
      <c r="D15326" s="108" t="s">
        <v>370</v>
      </c>
      <c r="E15326" s="58">
        <v>600</v>
      </c>
      <c r="F15326" s="58"/>
      <c r="G15326" s="58">
        <f t="shared" si="245"/>
        <v>-600</v>
      </c>
      <c r="H15326" s="705" t="s">
        <v>10315</v>
      </c>
    </row>
    <row r="15327" spans="1:8" ht="15" x14ac:dyDescent="0.2">
      <c r="A15327" s="734">
        <v>45082</v>
      </c>
      <c r="B15327" s="41" t="s">
        <v>16</v>
      </c>
      <c r="C15327" s="63" t="s">
        <v>392</v>
      </c>
      <c r="D15327" s="108" t="s">
        <v>10078</v>
      </c>
      <c r="E15327" s="58">
        <v>2600</v>
      </c>
      <c r="F15327" s="58"/>
      <c r="G15327" s="58">
        <f t="shared" si="245"/>
        <v>-2600</v>
      </c>
      <c r="H15327" s="705" t="s">
        <v>10315</v>
      </c>
    </row>
    <row r="15328" spans="1:8" ht="15" x14ac:dyDescent="0.2">
      <c r="A15328" s="734">
        <v>45082</v>
      </c>
      <c r="B15328" s="41" t="s">
        <v>8876</v>
      </c>
      <c r="C15328" s="63" t="s">
        <v>392</v>
      </c>
      <c r="D15328" s="108" t="s">
        <v>10079</v>
      </c>
      <c r="E15328" s="58">
        <v>150</v>
      </c>
      <c r="F15328" s="58"/>
      <c r="G15328" s="58">
        <f t="shared" si="245"/>
        <v>-150</v>
      </c>
      <c r="H15328" s="705" t="s">
        <v>10315</v>
      </c>
    </row>
    <row r="15329" spans="1:8" ht="15" x14ac:dyDescent="0.2">
      <c r="A15329" s="734">
        <v>45082</v>
      </c>
      <c r="B15329" s="41" t="s">
        <v>9769</v>
      </c>
      <c r="C15329" s="63" t="s">
        <v>3145</v>
      </c>
      <c r="D15329" s="108" t="s">
        <v>10080</v>
      </c>
      <c r="E15329" s="58">
        <v>15600</v>
      </c>
      <c r="F15329" s="58"/>
      <c r="G15329" s="58">
        <f t="shared" si="245"/>
        <v>-15600</v>
      </c>
      <c r="H15329" s="705" t="s">
        <v>10315</v>
      </c>
    </row>
    <row r="15330" spans="1:8" ht="15" x14ac:dyDescent="0.2">
      <c r="A15330" s="734">
        <v>45082</v>
      </c>
      <c r="B15330" s="41" t="s">
        <v>9769</v>
      </c>
      <c r="C15330" s="63" t="s">
        <v>8071</v>
      </c>
      <c r="D15330" s="108" t="s">
        <v>10082</v>
      </c>
      <c r="E15330" s="58">
        <v>175000</v>
      </c>
      <c r="F15330" s="58"/>
      <c r="G15330" s="58">
        <f t="shared" si="245"/>
        <v>-175000</v>
      </c>
      <c r="H15330" s="705" t="s">
        <v>10315</v>
      </c>
    </row>
    <row r="15331" spans="1:8" ht="15" x14ac:dyDescent="0.2">
      <c r="A15331" s="734">
        <v>45082</v>
      </c>
      <c r="B15331" s="41" t="s">
        <v>8043</v>
      </c>
      <c r="C15331" s="551" t="s">
        <v>790</v>
      </c>
      <c r="D15331" s="893" t="s">
        <v>370</v>
      </c>
      <c r="E15331" s="583">
        <v>9256</v>
      </c>
      <c r="F15331" s="58"/>
      <c r="G15331" s="58">
        <f t="shared" si="245"/>
        <v>-9256</v>
      </c>
      <c r="H15331" s="705" t="s">
        <v>10315</v>
      </c>
    </row>
    <row r="15332" spans="1:8" ht="15" x14ac:dyDescent="0.2">
      <c r="A15332" s="734">
        <v>45082</v>
      </c>
      <c r="B15332" s="41" t="s">
        <v>9464</v>
      </c>
      <c r="C15332" s="551" t="s">
        <v>790</v>
      </c>
      <c r="D15332" s="893" t="s">
        <v>370</v>
      </c>
      <c r="E15332" s="583">
        <v>1700</v>
      </c>
      <c r="F15332" s="58"/>
      <c r="G15332" s="58">
        <f t="shared" si="245"/>
        <v>-1700</v>
      </c>
      <c r="H15332" s="705" t="s">
        <v>10315</v>
      </c>
    </row>
    <row r="15333" spans="1:8" ht="15" x14ac:dyDescent="0.2">
      <c r="A15333" s="734">
        <v>45082</v>
      </c>
      <c r="B15333" s="41" t="s">
        <v>9507</v>
      </c>
      <c r="C15333" s="551" t="s">
        <v>790</v>
      </c>
      <c r="D15333" s="893" t="s">
        <v>370</v>
      </c>
      <c r="E15333" s="583">
        <v>870</v>
      </c>
      <c r="F15333" s="58"/>
      <c r="G15333" s="58">
        <f t="shared" si="245"/>
        <v>-870</v>
      </c>
      <c r="H15333" s="705" t="s">
        <v>10315</v>
      </c>
    </row>
    <row r="15334" spans="1:8" ht="15" x14ac:dyDescent="0.2">
      <c r="A15334" s="734">
        <v>45082</v>
      </c>
      <c r="B15334" s="41" t="s">
        <v>7807</v>
      </c>
      <c r="C15334" s="551" t="s">
        <v>790</v>
      </c>
      <c r="D15334" s="893" t="s">
        <v>370</v>
      </c>
      <c r="E15334" s="583">
        <v>1080</v>
      </c>
      <c r="F15334" s="58"/>
      <c r="G15334" s="58">
        <f t="shared" si="245"/>
        <v>-1080</v>
      </c>
      <c r="H15334" s="705" t="s">
        <v>10315</v>
      </c>
    </row>
    <row r="15335" spans="1:8" ht="15" x14ac:dyDescent="0.2">
      <c r="A15335" s="734">
        <v>45082</v>
      </c>
      <c r="B15335" s="41" t="s">
        <v>10144</v>
      </c>
      <c r="C15335" s="551" t="s">
        <v>790</v>
      </c>
      <c r="D15335" s="893" t="s">
        <v>370</v>
      </c>
      <c r="E15335" s="583">
        <v>2750</v>
      </c>
      <c r="F15335" s="58"/>
      <c r="G15335" s="58">
        <f t="shared" si="245"/>
        <v>-2750</v>
      </c>
      <c r="H15335" s="705" t="s">
        <v>10315</v>
      </c>
    </row>
    <row r="15336" spans="1:8" ht="15" x14ac:dyDescent="0.2">
      <c r="A15336" s="734">
        <v>45082</v>
      </c>
      <c r="B15336" s="41" t="s">
        <v>10023</v>
      </c>
      <c r="C15336" s="551" t="s">
        <v>790</v>
      </c>
      <c r="D15336" s="893" t="s">
        <v>370</v>
      </c>
      <c r="E15336" s="583">
        <v>200</v>
      </c>
      <c r="F15336" s="58"/>
      <c r="G15336" s="58">
        <f t="shared" si="245"/>
        <v>-200</v>
      </c>
      <c r="H15336" s="705" t="s">
        <v>10315</v>
      </c>
    </row>
    <row r="15337" spans="1:8" ht="15" x14ac:dyDescent="0.2">
      <c r="A15337" s="734">
        <v>45082</v>
      </c>
      <c r="B15337" s="63" t="s">
        <v>3946</v>
      </c>
      <c r="C15337" s="670" t="s">
        <v>3003</v>
      </c>
      <c r="D15337" s="907" t="s">
        <v>10083</v>
      </c>
      <c r="E15337" s="672">
        <v>30152</v>
      </c>
      <c r="F15337" s="58"/>
      <c r="G15337" s="58">
        <f t="shared" si="245"/>
        <v>-30152</v>
      </c>
      <c r="H15337" s="705" t="s">
        <v>10315</v>
      </c>
    </row>
    <row r="15338" spans="1:8" ht="15" x14ac:dyDescent="0.2">
      <c r="A15338" s="734">
        <v>45082</v>
      </c>
      <c r="B15338" s="63" t="s">
        <v>3945</v>
      </c>
      <c r="C15338" s="670" t="s">
        <v>3003</v>
      </c>
      <c r="D15338" s="907" t="s">
        <v>10083</v>
      </c>
      <c r="E15338" s="672">
        <v>32760</v>
      </c>
      <c r="F15338" s="58"/>
      <c r="G15338" s="58">
        <f t="shared" si="245"/>
        <v>-32760</v>
      </c>
      <c r="H15338" s="705" t="s">
        <v>10315</v>
      </c>
    </row>
    <row r="15339" spans="1:8" ht="15" x14ac:dyDescent="0.2">
      <c r="A15339" s="734">
        <v>45082</v>
      </c>
      <c r="B15339" s="63" t="s">
        <v>37</v>
      </c>
      <c r="C15339" s="670" t="s">
        <v>3003</v>
      </c>
      <c r="D15339" s="907" t="s">
        <v>10083</v>
      </c>
      <c r="E15339" s="672">
        <v>15560</v>
      </c>
      <c r="F15339" s="58"/>
      <c r="G15339" s="58">
        <f t="shared" si="245"/>
        <v>-15560</v>
      </c>
      <c r="H15339" s="705" t="s">
        <v>10315</v>
      </c>
    </row>
    <row r="15340" spans="1:8" ht="15" x14ac:dyDescent="0.2">
      <c r="A15340" s="734">
        <v>45083</v>
      </c>
      <c r="B15340" s="63" t="s">
        <v>9464</v>
      </c>
      <c r="C15340" s="63" t="s">
        <v>6445</v>
      </c>
      <c r="D15340" s="183" t="s">
        <v>2431</v>
      </c>
      <c r="E15340" s="126">
        <v>1000</v>
      </c>
      <c r="F15340" s="58"/>
      <c r="G15340" s="58">
        <f t="shared" si="245"/>
        <v>-1000</v>
      </c>
      <c r="H15340" s="705" t="s">
        <v>10315</v>
      </c>
    </row>
    <row r="15341" spans="1:8" ht="15" x14ac:dyDescent="0.2">
      <c r="A15341" s="734">
        <v>45083</v>
      </c>
      <c r="B15341" s="63" t="s">
        <v>16</v>
      </c>
      <c r="C15341" s="63" t="s">
        <v>103</v>
      </c>
      <c r="D15341" s="183" t="s">
        <v>9592</v>
      </c>
      <c r="E15341" s="126">
        <v>1000</v>
      </c>
      <c r="F15341" s="58"/>
      <c r="G15341" s="58">
        <f t="shared" si="245"/>
        <v>-1000</v>
      </c>
      <c r="H15341" s="705" t="s">
        <v>10315</v>
      </c>
    </row>
    <row r="15342" spans="1:8" ht="15" x14ac:dyDescent="0.2">
      <c r="A15342" s="734">
        <v>45083</v>
      </c>
      <c r="B15342" s="41" t="s">
        <v>9769</v>
      </c>
      <c r="C15342" s="63" t="s">
        <v>5741</v>
      </c>
      <c r="D15342" s="183" t="s">
        <v>10085</v>
      </c>
      <c r="E15342" s="126">
        <v>1700</v>
      </c>
      <c r="F15342" s="58"/>
      <c r="G15342" s="58">
        <f t="shared" si="245"/>
        <v>-1700</v>
      </c>
      <c r="H15342" s="705" t="s">
        <v>10315</v>
      </c>
    </row>
    <row r="15343" spans="1:8" ht="15" x14ac:dyDescent="0.2">
      <c r="A15343" s="734">
        <v>45083</v>
      </c>
      <c r="B15343" s="63" t="s">
        <v>8876</v>
      </c>
      <c r="C15343" s="551" t="s">
        <v>10090</v>
      </c>
      <c r="D15343" s="740" t="s">
        <v>10091</v>
      </c>
      <c r="E15343" s="552">
        <v>100000</v>
      </c>
      <c r="F15343" s="58"/>
      <c r="G15343" s="58">
        <f t="shared" si="245"/>
        <v>-100000</v>
      </c>
      <c r="H15343" s="705" t="s">
        <v>10315</v>
      </c>
    </row>
    <row r="15344" spans="1:8" ht="15" x14ac:dyDescent="0.2">
      <c r="A15344" s="734">
        <v>45083</v>
      </c>
      <c r="B15344" s="63" t="s">
        <v>8339</v>
      </c>
      <c r="C15344" s="551" t="s">
        <v>10090</v>
      </c>
      <c r="D15344" s="740" t="s">
        <v>10091</v>
      </c>
      <c r="E15344" s="552">
        <v>207000</v>
      </c>
      <c r="F15344" s="58"/>
      <c r="G15344" s="58">
        <f t="shared" si="245"/>
        <v>-207000</v>
      </c>
      <c r="H15344" s="705" t="s">
        <v>10315</v>
      </c>
    </row>
    <row r="15345" spans="1:8" ht="15" x14ac:dyDescent="0.2">
      <c r="A15345" s="734">
        <v>45083</v>
      </c>
      <c r="B15345" s="63" t="s">
        <v>9769</v>
      </c>
      <c r="C15345" s="63" t="s">
        <v>256</v>
      </c>
      <c r="D15345" s="183" t="s">
        <v>10086</v>
      </c>
      <c r="E15345" s="126">
        <v>1800000</v>
      </c>
      <c r="F15345" s="58"/>
      <c r="G15345" s="58">
        <f t="shared" si="245"/>
        <v>-1800000</v>
      </c>
      <c r="H15345" s="705" t="s">
        <v>10315</v>
      </c>
    </row>
    <row r="15346" spans="1:8" ht="15" x14ac:dyDescent="0.2">
      <c r="A15346" s="734">
        <v>45083</v>
      </c>
      <c r="B15346" s="63" t="s">
        <v>8657</v>
      </c>
      <c r="C15346" s="63" t="s">
        <v>5681</v>
      </c>
      <c r="D15346" s="183" t="s">
        <v>2711</v>
      </c>
      <c r="E15346" s="126">
        <v>200000</v>
      </c>
      <c r="F15346" s="58"/>
      <c r="G15346" s="58">
        <f t="shared" si="245"/>
        <v>-200000</v>
      </c>
      <c r="H15346" s="705" t="s">
        <v>10315</v>
      </c>
    </row>
    <row r="15347" spans="1:8" ht="15" x14ac:dyDescent="0.2">
      <c r="A15347" s="734">
        <v>45083</v>
      </c>
      <c r="B15347" s="63" t="s">
        <v>16</v>
      </c>
      <c r="C15347" s="63" t="s">
        <v>5410</v>
      </c>
      <c r="D15347" s="183" t="s">
        <v>10087</v>
      </c>
      <c r="E15347" s="126">
        <v>9500</v>
      </c>
      <c r="F15347" s="58"/>
      <c r="G15347" s="58">
        <f t="shared" si="245"/>
        <v>-9500</v>
      </c>
      <c r="H15347" s="705" t="s">
        <v>10315</v>
      </c>
    </row>
    <row r="15348" spans="1:8" ht="15" x14ac:dyDescent="0.2">
      <c r="A15348" s="734">
        <v>45083</v>
      </c>
      <c r="B15348" s="63" t="s">
        <v>9409</v>
      </c>
      <c r="C15348" s="63" t="s">
        <v>9474</v>
      </c>
      <c r="D15348" s="183" t="s">
        <v>10116</v>
      </c>
      <c r="E15348" s="126">
        <v>15000</v>
      </c>
      <c r="F15348" s="58"/>
      <c r="G15348" s="58">
        <f t="shared" si="245"/>
        <v>-15000</v>
      </c>
      <c r="H15348" s="705" t="s">
        <v>10315</v>
      </c>
    </row>
    <row r="15349" spans="1:8" ht="15" x14ac:dyDescent="0.2">
      <c r="A15349" s="734">
        <v>45083</v>
      </c>
      <c r="B15349" s="63" t="s">
        <v>9356</v>
      </c>
      <c r="C15349" s="63" t="s">
        <v>10173</v>
      </c>
      <c r="D15349" s="183" t="s">
        <v>10089</v>
      </c>
      <c r="E15349" s="126">
        <v>500000</v>
      </c>
      <c r="F15349" s="58"/>
      <c r="G15349" s="58">
        <f t="shared" si="245"/>
        <v>-500000</v>
      </c>
      <c r="H15349" s="705" t="s">
        <v>10315</v>
      </c>
    </row>
    <row r="15350" spans="1:8" ht="15" x14ac:dyDescent="0.2">
      <c r="A15350" s="734">
        <v>45083</v>
      </c>
      <c r="B15350" s="63" t="s">
        <v>10023</v>
      </c>
      <c r="C15350" s="63" t="s">
        <v>10063</v>
      </c>
      <c r="D15350" s="183" t="s">
        <v>1157</v>
      </c>
      <c r="E15350" s="126">
        <v>83000</v>
      </c>
      <c r="F15350" s="58"/>
      <c r="G15350" s="58">
        <f t="shared" si="245"/>
        <v>-83000</v>
      </c>
      <c r="H15350" s="705" t="s">
        <v>10315</v>
      </c>
    </row>
    <row r="15351" spans="1:8" ht="15" x14ac:dyDescent="0.2">
      <c r="A15351" s="734">
        <v>45083</v>
      </c>
      <c r="B15351" s="63" t="s">
        <v>9409</v>
      </c>
      <c r="C15351" s="63" t="s">
        <v>3145</v>
      </c>
      <c r="D15351" s="183" t="s">
        <v>5136</v>
      </c>
      <c r="E15351" s="126">
        <v>46580</v>
      </c>
      <c r="F15351" s="58"/>
      <c r="G15351" s="58">
        <f t="shared" si="245"/>
        <v>-46580</v>
      </c>
      <c r="H15351" s="705" t="s">
        <v>10315</v>
      </c>
    </row>
    <row r="15352" spans="1:8" ht="15" x14ac:dyDescent="0.2">
      <c r="A15352" s="734">
        <v>45084</v>
      </c>
      <c r="B15352" s="63" t="s">
        <v>9769</v>
      </c>
      <c r="C15352" s="63" t="s">
        <v>5741</v>
      </c>
      <c r="D15352" s="183" t="s">
        <v>370</v>
      </c>
      <c r="E15352" s="126">
        <v>1200</v>
      </c>
      <c r="F15352" s="58"/>
      <c r="G15352" s="58">
        <f t="shared" si="245"/>
        <v>-1200</v>
      </c>
      <c r="H15352" s="705" t="s">
        <v>10315</v>
      </c>
    </row>
    <row r="15353" spans="1:8" ht="15" x14ac:dyDescent="0.2">
      <c r="A15353" s="734">
        <v>45084</v>
      </c>
      <c r="B15353" s="63" t="s">
        <v>9661</v>
      </c>
      <c r="C15353" s="63" t="s">
        <v>286</v>
      </c>
      <c r="D15353" s="183" t="s">
        <v>8448</v>
      </c>
      <c r="E15353" s="126">
        <v>1000</v>
      </c>
      <c r="F15353" s="58"/>
      <c r="G15353" s="58">
        <f t="shared" si="245"/>
        <v>-1000</v>
      </c>
      <c r="H15353" s="705" t="s">
        <v>10315</v>
      </c>
    </row>
    <row r="15354" spans="1:8" ht="15" x14ac:dyDescent="0.2">
      <c r="A15354" s="734">
        <v>45084</v>
      </c>
      <c r="B15354" s="63" t="s">
        <v>9356</v>
      </c>
      <c r="C15354" s="63" t="s">
        <v>3145</v>
      </c>
      <c r="D15354" s="183" t="s">
        <v>10092</v>
      </c>
      <c r="E15354" s="126">
        <v>73000</v>
      </c>
      <c r="F15354" s="58"/>
      <c r="G15354" s="58">
        <f t="shared" si="245"/>
        <v>-73000</v>
      </c>
      <c r="H15354" s="705" t="s">
        <v>10315</v>
      </c>
    </row>
    <row r="15355" spans="1:8" ht="15" x14ac:dyDescent="0.2">
      <c r="A15355" s="734">
        <v>45084</v>
      </c>
      <c r="B15355" s="63" t="s">
        <v>9661</v>
      </c>
      <c r="C15355" s="63" t="s">
        <v>5741</v>
      </c>
      <c r="D15355" s="183" t="s">
        <v>10093</v>
      </c>
      <c r="E15355" s="126">
        <v>1700</v>
      </c>
      <c r="F15355" s="58"/>
      <c r="G15355" s="58">
        <f t="shared" ref="G15355:G15418" si="246">F15355-E15355</f>
        <v>-1700</v>
      </c>
      <c r="H15355" s="705" t="s">
        <v>10315</v>
      </c>
    </row>
    <row r="15356" spans="1:8" ht="15" x14ac:dyDescent="0.2">
      <c r="A15356" s="734">
        <v>45084</v>
      </c>
      <c r="B15356" s="63" t="s">
        <v>16</v>
      </c>
      <c r="C15356" s="63" t="s">
        <v>392</v>
      </c>
      <c r="D15356" s="183" t="s">
        <v>10094</v>
      </c>
      <c r="E15356" s="126">
        <v>800</v>
      </c>
      <c r="F15356" s="58"/>
      <c r="G15356" s="58">
        <f t="shared" si="246"/>
        <v>-800</v>
      </c>
      <c r="H15356" s="705" t="s">
        <v>10315</v>
      </c>
    </row>
    <row r="15357" spans="1:8" ht="15" x14ac:dyDescent="0.2">
      <c r="A15357" s="734">
        <v>45084</v>
      </c>
      <c r="B15357" s="63" t="s">
        <v>9661</v>
      </c>
      <c r="C15357" s="63" t="s">
        <v>286</v>
      </c>
      <c r="D15357" s="183" t="s">
        <v>10095</v>
      </c>
      <c r="E15357" s="126">
        <v>200</v>
      </c>
      <c r="F15357" s="58"/>
      <c r="G15357" s="58">
        <f t="shared" si="246"/>
        <v>-200</v>
      </c>
      <c r="H15357" s="705" t="s">
        <v>10315</v>
      </c>
    </row>
    <row r="15358" spans="1:8" ht="15" x14ac:dyDescent="0.2">
      <c r="A15358" s="734">
        <v>45084</v>
      </c>
      <c r="B15358" s="63" t="s">
        <v>9769</v>
      </c>
      <c r="C15358" s="63" t="s">
        <v>8087</v>
      </c>
      <c r="D15358" s="183" t="s">
        <v>10096</v>
      </c>
      <c r="E15358" s="126">
        <v>81600</v>
      </c>
      <c r="F15358" s="58"/>
      <c r="G15358" s="58">
        <f t="shared" si="246"/>
        <v>-81600</v>
      </c>
      <c r="H15358" s="705" t="s">
        <v>10315</v>
      </c>
    </row>
    <row r="15359" spans="1:8" ht="15" x14ac:dyDescent="0.2">
      <c r="A15359" s="734">
        <v>45084</v>
      </c>
      <c r="B15359" s="63" t="s">
        <v>16</v>
      </c>
      <c r="C15359" s="63" t="s">
        <v>103</v>
      </c>
      <c r="D15359" s="183" t="s">
        <v>9425</v>
      </c>
      <c r="E15359" s="126">
        <v>3000</v>
      </c>
      <c r="F15359" s="58"/>
      <c r="G15359" s="58">
        <f t="shared" si="246"/>
        <v>-3000</v>
      </c>
      <c r="H15359" s="705" t="s">
        <v>10315</v>
      </c>
    </row>
    <row r="15360" spans="1:8" ht="15" x14ac:dyDescent="0.2">
      <c r="A15360" s="734">
        <v>45084</v>
      </c>
      <c r="B15360" s="63" t="s">
        <v>10144</v>
      </c>
      <c r="C15360" s="63" t="s">
        <v>5741</v>
      </c>
      <c r="D15360" s="183" t="s">
        <v>370</v>
      </c>
      <c r="E15360" s="126">
        <v>400</v>
      </c>
      <c r="F15360" s="58"/>
      <c r="G15360" s="58">
        <f t="shared" si="246"/>
        <v>-400</v>
      </c>
      <c r="H15360" s="705" t="s">
        <v>10315</v>
      </c>
    </row>
    <row r="15361" spans="1:8" ht="15" customHeight="1" x14ac:dyDescent="0.2">
      <c r="A15361" s="734">
        <v>45084</v>
      </c>
      <c r="B15361" s="63" t="s">
        <v>9769</v>
      </c>
      <c r="C15361" s="63" t="s">
        <v>3145</v>
      </c>
      <c r="D15361" s="183" t="s">
        <v>10098</v>
      </c>
      <c r="E15361" s="126">
        <v>43200</v>
      </c>
      <c r="F15361" s="58"/>
      <c r="G15361" s="58">
        <f t="shared" si="246"/>
        <v>-43200</v>
      </c>
      <c r="H15361" s="705" t="s">
        <v>10315</v>
      </c>
    </row>
    <row r="15362" spans="1:8" ht="15" customHeight="1" x14ac:dyDescent="0.2">
      <c r="A15362" s="734">
        <v>45084</v>
      </c>
      <c r="B15362" s="63" t="s">
        <v>9769</v>
      </c>
      <c r="C15362" s="63" t="s">
        <v>3145</v>
      </c>
      <c r="D15362" s="183" t="s">
        <v>10099</v>
      </c>
      <c r="E15362" s="126">
        <v>18500</v>
      </c>
      <c r="F15362" s="58"/>
      <c r="G15362" s="58">
        <f t="shared" si="246"/>
        <v>-18500</v>
      </c>
      <c r="H15362" s="705" t="s">
        <v>10315</v>
      </c>
    </row>
    <row r="15363" spans="1:8" ht="15" customHeight="1" x14ac:dyDescent="0.2">
      <c r="A15363" s="734">
        <v>45084</v>
      </c>
      <c r="B15363" s="63" t="s">
        <v>9769</v>
      </c>
      <c r="C15363" s="63" t="s">
        <v>3145</v>
      </c>
      <c r="D15363" s="183" t="s">
        <v>10111</v>
      </c>
      <c r="E15363" s="126">
        <v>10732</v>
      </c>
      <c r="F15363" s="58"/>
      <c r="G15363" s="58">
        <f t="shared" si="246"/>
        <v>-10732</v>
      </c>
      <c r="H15363" s="705" t="s">
        <v>10315</v>
      </c>
    </row>
    <row r="15364" spans="1:8" ht="15" customHeight="1" x14ac:dyDescent="0.2">
      <c r="A15364" s="734">
        <v>45084</v>
      </c>
      <c r="B15364" s="63" t="s">
        <v>9356</v>
      </c>
      <c r="C15364" s="63" t="s">
        <v>3145</v>
      </c>
      <c r="D15364" s="183" t="s">
        <v>10111</v>
      </c>
      <c r="E15364" s="126">
        <v>6794</v>
      </c>
      <c r="F15364" s="58"/>
      <c r="G15364" s="58">
        <f t="shared" si="246"/>
        <v>-6794</v>
      </c>
      <c r="H15364" s="705" t="s">
        <v>10315</v>
      </c>
    </row>
    <row r="15365" spans="1:8" ht="15" x14ac:dyDescent="0.2">
      <c r="A15365" s="734">
        <v>45084</v>
      </c>
      <c r="B15365" s="63" t="s">
        <v>16</v>
      </c>
      <c r="C15365" s="63" t="s">
        <v>392</v>
      </c>
      <c r="D15365" s="183" t="s">
        <v>10100</v>
      </c>
      <c r="E15365" s="126">
        <v>15000</v>
      </c>
      <c r="F15365" s="58"/>
      <c r="G15365" s="58">
        <f t="shared" si="246"/>
        <v>-15000</v>
      </c>
      <c r="H15365" s="705" t="s">
        <v>10315</v>
      </c>
    </row>
    <row r="15366" spans="1:8" ht="15" x14ac:dyDescent="0.2">
      <c r="A15366" s="734">
        <v>45084</v>
      </c>
      <c r="B15366" s="63" t="s">
        <v>10144</v>
      </c>
      <c r="C15366" s="670" t="s">
        <v>10114</v>
      </c>
      <c r="D15366" s="907" t="s">
        <v>10115</v>
      </c>
      <c r="E15366" s="672">
        <v>700000</v>
      </c>
      <c r="F15366" s="58"/>
      <c r="G15366" s="58">
        <f t="shared" si="246"/>
        <v>-700000</v>
      </c>
      <c r="H15366" s="705" t="s">
        <v>10315</v>
      </c>
    </row>
    <row r="15367" spans="1:8" ht="15" x14ac:dyDescent="0.2">
      <c r="A15367" s="734">
        <v>45084</v>
      </c>
      <c r="B15367" s="63" t="s">
        <v>37</v>
      </c>
      <c r="C15367" s="63" t="s">
        <v>392</v>
      </c>
      <c r="D15367" s="183" t="s">
        <v>10101</v>
      </c>
      <c r="E15367" s="126">
        <v>3000</v>
      </c>
      <c r="F15367" s="58"/>
      <c r="G15367" s="58">
        <f t="shared" si="246"/>
        <v>-3000</v>
      </c>
      <c r="H15367" s="705" t="s">
        <v>10315</v>
      </c>
    </row>
    <row r="15368" spans="1:8" ht="15" x14ac:dyDescent="0.2">
      <c r="A15368" s="734">
        <v>45084</v>
      </c>
      <c r="B15368" s="63" t="s">
        <v>37</v>
      </c>
      <c r="C15368" s="63" t="s">
        <v>392</v>
      </c>
      <c r="D15368" s="183" t="s">
        <v>10102</v>
      </c>
      <c r="E15368" s="126">
        <v>1000</v>
      </c>
      <c r="F15368" s="58"/>
      <c r="G15368" s="58">
        <f t="shared" si="246"/>
        <v>-1000</v>
      </c>
      <c r="H15368" s="705" t="s">
        <v>10315</v>
      </c>
    </row>
    <row r="15369" spans="1:8" ht="15" customHeight="1" x14ac:dyDescent="0.2">
      <c r="A15369" s="734">
        <v>45084</v>
      </c>
      <c r="B15369" s="63" t="s">
        <v>10144</v>
      </c>
      <c r="C15369" s="63" t="s">
        <v>392</v>
      </c>
      <c r="D15369" s="183" t="s">
        <v>10105</v>
      </c>
      <c r="E15369" s="126">
        <v>2000</v>
      </c>
      <c r="F15369" s="58"/>
      <c r="G15369" s="58">
        <f t="shared" si="246"/>
        <v>-2000</v>
      </c>
      <c r="H15369" s="705" t="s">
        <v>10315</v>
      </c>
    </row>
    <row r="15370" spans="1:8" ht="15" x14ac:dyDescent="0.2">
      <c r="A15370" s="734">
        <v>45084</v>
      </c>
      <c r="B15370" s="63" t="s">
        <v>9661</v>
      </c>
      <c r="C15370" s="63" t="s">
        <v>9750</v>
      </c>
      <c r="D15370" s="183" t="s">
        <v>10108</v>
      </c>
      <c r="E15370" s="126">
        <v>100000</v>
      </c>
      <c r="F15370" s="58"/>
      <c r="G15370" s="58">
        <f t="shared" si="246"/>
        <v>-100000</v>
      </c>
      <c r="H15370" s="705" t="s">
        <v>10315</v>
      </c>
    </row>
    <row r="15371" spans="1:8" ht="15" customHeight="1" x14ac:dyDescent="0.2">
      <c r="A15371" s="734">
        <v>45084</v>
      </c>
      <c r="B15371" s="63" t="s">
        <v>2933</v>
      </c>
      <c r="C15371" s="63" t="s">
        <v>10112</v>
      </c>
      <c r="D15371" s="183" t="s">
        <v>10109</v>
      </c>
      <c r="E15371" s="126">
        <v>50000</v>
      </c>
      <c r="F15371" s="58"/>
      <c r="G15371" s="58">
        <f t="shared" si="246"/>
        <v>-50000</v>
      </c>
      <c r="H15371" s="705" t="s">
        <v>10315</v>
      </c>
    </row>
    <row r="15372" spans="1:8" ht="15" x14ac:dyDescent="0.2">
      <c r="A15372" s="734">
        <v>45084</v>
      </c>
      <c r="B15372" s="63" t="s">
        <v>9661</v>
      </c>
      <c r="C15372" s="63" t="s">
        <v>5741</v>
      </c>
      <c r="D15372" s="183" t="s">
        <v>370</v>
      </c>
      <c r="E15372" s="126">
        <v>470</v>
      </c>
      <c r="F15372" s="58"/>
      <c r="G15372" s="58">
        <f t="shared" si="246"/>
        <v>-470</v>
      </c>
      <c r="H15372" s="705" t="s">
        <v>10315</v>
      </c>
    </row>
    <row r="15373" spans="1:8" ht="15" x14ac:dyDescent="0.2">
      <c r="A15373" s="734">
        <v>45084</v>
      </c>
      <c r="B15373" s="63" t="s">
        <v>9661</v>
      </c>
      <c r="C15373" s="63" t="s">
        <v>3145</v>
      </c>
      <c r="D15373" s="183" t="s">
        <v>4309</v>
      </c>
      <c r="E15373" s="126">
        <v>7610</v>
      </c>
      <c r="F15373" s="58"/>
      <c r="G15373" s="58">
        <f t="shared" si="246"/>
        <v>-7610</v>
      </c>
      <c r="H15373" s="705" t="s">
        <v>10315</v>
      </c>
    </row>
    <row r="15374" spans="1:8" ht="15" x14ac:dyDescent="0.2">
      <c r="A15374" s="734">
        <v>45085</v>
      </c>
      <c r="B15374" s="63" t="s">
        <v>9356</v>
      </c>
      <c r="C15374" s="63" t="s">
        <v>8251</v>
      </c>
      <c r="D15374" s="183" t="s">
        <v>8749</v>
      </c>
      <c r="E15374" s="126">
        <v>50000</v>
      </c>
      <c r="F15374" s="58"/>
      <c r="G15374" s="58">
        <f t="shared" si="246"/>
        <v>-50000</v>
      </c>
      <c r="H15374" s="705" t="s">
        <v>10315</v>
      </c>
    </row>
    <row r="15375" spans="1:8" ht="15" x14ac:dyDescent="0.2">
      <c r="A15375" s="734">
        <v>45085</v>
      </c>
      <c r="B15375" s="63" t="s">
        <v>16</v>
      </c>
      <c r="C15375" s="63" t="s">
        <v>392</v>
      </c>
      <c r="D15375" s="183" t="s">
        <v>9425</v>
      </c>
      <c r="E15375" s="126">
        <v>2500</v>
      </c>
      <c r="F15375" s="58"/>
      <c r="G15375" s="58">
        <f t="shared" si="246"/>
        <v>-2500</v>
      </c>
      <c r="H15375" s="705" t="s">
        <v>10315</v>
      </c>
    </row>
    <row r="15376" spans="1:8" ht="15" customHeight="1" x14ac:dyDescent="0.2">
      <c r="A15376" s="734">
        <v>45086</v>
      </c>
      <c r="B15376" s="63" t="s">
        <v>9769</v>
      </c>
      <c r="C15376" s="63" t="s">
        <v>3145</v>
      </c>
      <c r="D15376" s="183" t="s">
        <v>10120</v>
      </c>
      <c r="E15376" s="126">
        <v>39780</v>
      </c>
      <c r="F15376" s="58"/>
      <c r="G15376" s="58">
        <f t="shared" si="246"/>
        <v>-39780</v>
      </c>
      <c r="H15376" s="705" t="s">
        <v>10315</v>
      </c>
    </row>
    <row r="15377" spans="1:8" ht="15" customHeight="1" x14ac:dyDescent="0.2">
      <c r="A15377" s="734">
        <v>45086</v>
      </c>
      <c r="B15377" s="63" t="s">
        <v>9769</v>
      </c>
      <c r="C15377" s="63" t="s">
        <v>5741</v>
      </c>
      <c r="D15377" s="183" t="s">
        <v>370</v>
      </c>
      <c r="E15377" s="126">
        <v>1200</v>
      </c>
      <c r="F15377" s="58"/>
      <c r="G15377" s="58">
        <f t="shared" si="246"/>
        <v>-1200</v>
      </c>
      <c r="H15377" s="705" t="s">
        <v>10315</v>
      </c>
    </row>
    <row r="15378" spans="1:8" ht="15" customHeight="1" x14ac:dyDescent="0.2">
      <c r="A15378" s="734">
        <v>45086</v>
      </c>
      <c r="B15378" s="63" t="s">
        <v>9769</v>
      </c>
      <c r="C15378" s="63" t="s">
        <v>5741</v>
      </c>
      <c r="D15378" s="183" t="s">
        <v>370</v>
      </c>
      <c r="E15378" s="126">
        <v>1200</v>
      </c>
      <c r="F15378" s="58"/>
      <c r="G15378" s="58">
        <f t="shared" si="246"/>
        <v>-1200</v>
      </c>
      <c r="H15378" s="705" t="s">
        <v>10315</v>
      </c>
    </row>
    <row r="15379" spans="1:8" ht="15" customHeight="1" x14ac:dyDescent="0.2">
      <c r="A15379" s="734">
        <v>45086</v>
      </c>
      <c r="B15379" s="63" t="s">
        <v>9661</v>
      </c>
      <c r="C15379" s="63" t="s">
        <v>5741</v>
      </c>
      <c r="D15379" s="183" t="s">
        <v>370</v>
      </c>
      <c r="E15379" s="126">
        <v>800</v>
      </c>
      <c r="F15379" s="58"/>
      <c r="G15379" s="58">
        <f t="shared" si="246"/>
        <v>-800</v>
      </c>
      <c r="H15379" s="705" t="s">
        <v>10315</v>
      </c>
    </row>
    <row r="15380" spans="1:8" ht="15" customHeight="1" x14ac:dyDescent="0.2">
      <c r="A15380" s="734">
        <v>45086</v>
      </c>
      <c r="B15380" s="63" t="s">
        <v>10122</v>
      </c>
      <c r="C15380" s="63" t="s">
        <v>5741</v>
      </c>
      <c r="D15380" s="183" t="s">
        <v>370</v>
      </c>
      <c r="E15380" s="126">
        <v>1700</v>
      </c>
      <c r="F15380" s="58"/>
      <c r="G15380" s="58">
        <f t="shared" si="246"/>
        <v>-1700</v>
      </c>
      <c r="H15380" s="705" t="s">
        <v>10315</v>
      </c>
    </row>
    <row r="15381" spans="1:8" ht="15" customHeight="1" x14ac:dyDescent="0.2">
      <c r="A15381" s="734">
        <v>45086</v>
      </c>
      <c r="B15381" s="63" t="s">
        <v>9769</v>
      </c>
      <c r="C15381" s="63" t="s">
        <v>5741</v>
      </c>
      <c r="D15381" s="183" t="s">
        <v>370</v>
      </c>
      <c r="E15381" s="126">
        <v>1000</v>
      </c>
      <c r="F15381" s="58"/>
      <c r="G15381" s="58">
        <f t="shared" si="246"/>
        <v>-1000</v>
      </c>
      <c r="H15381" s="705" t="s">
        <v>10315</v>
      </c>
    </row>
    <row r="15382" spans="1:8" ht="15" customHeight="1" x14ac:dyDescent="0.2">
      <c r="A15382" s="734">
        <v>45086</v>
      </c>
      <c r="B15382" s="63" t="s">
        <v>9769</v>
      </c>
      <c r="C15382" s="63" t="s">
        <v>5741</v>
      </c>
      <c r="D15382" s="183" t="s">
        <v>370</v>
      </c>
      <c r="E15382" s="126">
        <v>2500</v>
      </c>
      <c r="F15382" s="58"/>
      <c r="G15382" s="58">
        <f t="shared" si="246"/>
        <v>-2500</v>
      </c>
      <c r="H15382" s="705" t="s">
        <v>10315</v>
      </c>
    </row>
    <row r="15383" spans="1:8" ht="15" customHeight="1" x14ac:dyDescent="0.2">
      <c r="A15383" s="734">
        <v>45086</v>
      </c>
      <c r="B15383" s="63" t="s">
        <v>9402</v>
      </c>
      <c r="C15383" s="63" t="s">
        <v>3145</v>
      </c>
      <c r="D15383" s="183" t="s">
        <v>10121</v>
      </c>
      <c r="E15383" s="126">
        <v>420</v>
      </c>
      <c r="F15383" s="58"/>
      <c r="G15383" s="58">
        <f t="shared" si="246"/>
        <v>-420</v>
      </c>
      <c r="H15383" s="705" t="s">
        <v>10315</v>
      </c>
    </row>
    <row r="15384" spans="1:8" ht="15" customHeight="1" x14ac:dyDescent="0.2">
      <c r="A15384" s="734">
        <v>45086</v>
      </c>
      <c r="B15384" s="63" t="s">
        <v>9661</v>
      </c>
      <c r="C15384" s="63" t="s">
        <v>3145</v>
      </c>
      <c r="D15384" s="183" t="s">
        <v>10123</v>
      </c>
      <c r="E15384" s="126">
        <v>1500</v>
      </c>
      <c r="F15384" s="58"/>
      <c r="G15384" s="58">
        <f t="shared" si="246"/>
        <v>-1500</v>
      </c>
      <c r="H15384" s="705" t="s">
        <v>10315</v>
      </c>
    </row>
    <row r="15385" spans="1:8" ht="24" customHeight="1" x14ac:dyDescent="0.2">
      <c r="A15385" s="734">
        <v>45086</v>
      </c>
      <c r="B15385" s="63" t="s">
        <v>10144</v>
      </c>
      <c r="C15385" s="670" t="s">
        <v>10114</v>
      </c>
      <c r="D15385" s="907" t="s">
        <v>10124</v>
      </c>
      <c r="E15385" s="672">
        <v>460000</v>
      </c>
      <c r="F15385" s="58"/>
      <c r="G15385" s="58">
        <f t="shared" si="246"/>
        <v>-460000</v>
      </c>
      <c r="H15385" s="705" t="s">
        <v>10315</v>
      </c>
    </row>
    <row r="15386" spans="1:8" ht="15" customHeight="1" x14ac:dyDescent="0.2">
      <c r="A15386" s="734">
        <v>45086</v>
      </c>
      <c r="B15386" s="63" t="s">
        <v>9769</v>
      </c>
      <c r="C15386" s="63" t="s">
        <v>3145</v>
      </c>
      <c r="D15386" s="183" t="s">
        <v>10125</v>
      </c>
      <c r="E15386" s="126">
        <v>112000</v>
      </c>
      <c r="F15386" s="58"/>
      <c r="G15386" s="58">
        <f t="shared" si="246"/>
        <v>-112000</v>
      </c>
      <c r="H15386" s="705" t="s">
        <v>10315</v>
      </c>
    </row>
    <row r="15387" spans="1:8" ht="24" customHeight="1" x14ac:dyDescent="0.2">
      <c r="A15387" s="734">
        <v>45086</v>
      </c>
      <c r="B15387" s="63" t="s">
        <v>7953</v>
      </c>
      <c r="C15387" s="63" t="s">
        <v>7467</v>
      </c>
      <c r="D15387" s="907" t="s">
        <v>10587</v>
      </c>
      <c r="E15387" s="672">
        <v>111043</v>
      </c>
      <c r="F15387" s="58"/>
      <c r="G15387" s="58">
        <f t="shared" si="246"/>
        <v>-111043</v>
      </c>
      <c r="H15387" s="705" t="s">
        <v>10315</v>
      </c>
    </row>
    <row r="15388" spans="1:8" ht="24" customHeight="1" x14ac:dyDescent="0.2">
      <c r="A15388" s="734">
        <v>45086</v>
      </c>
      <c r="B15388" s="63" t="s">
        <v>8043</v>
      </c>
      <c r="C15388" s="63" t="s">
        <v>7467</v>
      </c>
      <c r="D15388" s="907" t="s">
        <v>10587</v>
      </c>
      <c r="E15388" s="672">
        <v>176124</v>
      </c>
      <c r="F15388" s="58"/>
      <c r="G15388" s="58">
        <f t="shared" si="246"/>
        <v>-176124</v>
      </c>
      <c r="H15388" s="705" t="s">
        <v>10315</v>
      </c>
    </row>
    <row r="15389" spans="1:8" ht="24" customHeight="1" x14ac:dyDescent="0.2">
      <c r="A15389" s="734">
        <v>45086</v>
      </c>
      <c r="B15389" s="63" t="s">
        <v>8339</v>
      </c>
      <c r="C15389" s="63" t="s">
        <v>7467</v>
      </c>
      <c r="D15389" s="907" t="s">
        <v>10587</v>
      </c>
      <c r="E15389" s="672">
        <v>265939</v>
      </c>
      <c r="F15389" s="58"/>
      <c r="G15389" s="58">
        <f t="shared" si="246"/>
        <v>-265939</v>
      </c>
      <c r="H15389" s="705" t="s">
        <v>10315</v>
      </c>
    </row>
    <row r="15390" spans="1:8" ht="24" customHeight="1" x14ac:dyDescent="0.2">
      <c r="A15390" s="734">
        <v>45086</v>
      </c>
      <c r="B15390" s="63" t="s">
        <v>8559</v>
      </c>
      <c r="C15390" s="63" t="s">
        <v>7467</v>
      </c>
      <c r="D15390" s="907" t="s">
        <v>10587</v>
      </c>
      <c r="E15390" s="672">
        <v>245863</v>
      </c>
      <c r="F15390" s="58"/>
      <c r="G15390" s="58">
        <f t="shared" si="246"/>
        <v>-245863</v>
      </c>
      <c r="H15390" s="705" t="s">
        <v>10315</v>
      </c>
    </row>
    <row r="15391" spans="1:8" ht="24" customHeight="1" x14ac:dyDescent="0.2">
      <c r="A15391" s="734">
        <v>45086</v>
      </c>
      <c r="B15391" s="63" t="s">
        <v>8876</v>
      </c>
      <c r="C15391" s="63" t="s">
        <v>7467</v>
      </c>
      <c r="D15391" s="907" t="s">
        <v>10587</v>
      </c>
      <c r="E15391" s="672">
        <v>201031</v>
      </c>
      <c r="F15391" s="58"/>
      <c r="G15391" s="58">
        <f t="shared" si="246"/>
        <v>-201031</v>
      </c>
      <c r="H15391" s="705" t="s">
        <v>10315</v>
      </c>
    </row>
    <row r="15392" spans="1:8" ht="15" customHeight="1" x14ac:dyDescent="0.2">
      <c r="A15392" s="734">
        <v>45086</v>
      </c>
      <c r="B15392" s="63" t="s">
        <v>9769</v>
      </c>
      <c r="C15392" s="63" t="s">
        <v>1509</v>
      </c>
      <c r="D15392" s="183" t="s">
        <v>10128</v>
      </c>
      <c r="E15392" s="126">
        <v>200000</v>
      </c>
      <c r="F15392" s="58"/>
      <c r="G15392" s="58">
        <f t="shared" si="246"/>
        <v>-200000</v>
      </c>
      <c r="H15392" s="705" t="s">
        <v>10315</v>
      </c>
    </row>
    <row r="15393" spans="1:8" ht="15" customHeight="1" x14ac:dyDescent="0.2">
      <c r="A15393" s="734">
        <v>45086</v>
      </c>
      <c r="B15393" s="63" t="s">
        <v>8657</v>
      </c>
      <c r="C15393" s="63" t="s">
        <v>3145</v>
      </c>
      <c r="D15393" s="183" t="s">
        <v>10131</v>
      </c>
      <c r="E15393" s="126">
        <v>8230</v>
      </c>
      <c r="F15393" s="58"/>
      <c r="G15393" s="58">
        <f t="shared" si="246"/>
        <v>-8230</v>
      </c>
      <c r="H15393" s="705" t="s">
        <v>10315</v>
      </c>
    </row>
    <row r="15394" spans="1:8" ht="15" customHeight="1" x14ac:dyDescent="0.2">
      <c r="A15394" s="734">
        <v>45089</v>
      </c>
      <c r="B15394" s="63" t="s">
        <v>2933</v>
      </c>
      <c r="C15394" s="63" t="s">
        <v>10130</v>
      </c>
      <c r="D15394" s="183" t="s">
        <v>10129</v>
      </c>
      <c r="E15394" s="126">
        <v>15000</v>
      </c>
      <c r="F15394" s="58"/>
      <c r="G15394" s="58">
        <f t="shared" si="246"/>
        <v>-15000</v>
      </c>
      <c r="H15394" s="705" t="s">
        <v>10315</v>
      </c>
    </row>
    <row r="15395" spans="1:8" ht="15" customHeight="1" x14ac:dyDescent="0.2">
      <c r="A15395" s="734">
        <v>45089</v>
      </c>
      <c r="B15395" s="63" t="s">
        <v>9409</v>
      </c>
      <c r="C15395" s="63" t="s">
        <v>10068</v>
      </c>
      <c r="D15395" s="183" t="s">
        <v>10132</v>
      </c>
      <c r="E15395" s="126">
        <v>50000</v>
      </c>
      <c r="F15395" s="58"/>
      <c r="G15395" s="58">
        <f t="shared" si="246"/>
        <v>-50000</v>
      </c>
      <c r="H15395" s="705" t="s">
        <v>10315</v>
      </c>
    </row>
    <row r="15396" spans="1:8" ht="15" customHeight="1" x14ac:dyDescent="0.2">
      <c r="A15396" s="734">
        <v>45089</v>
      </c>
      <c r="B15396" s="63" t="s">
        <v>10144</v>
      </c>
      <c r="C15396" s="63" t="s">
        <v>5741</v>
      </c>
      <c r="D15396" s="183" t="s">
        <v>370</v>
      </c>
      <c r="E15396" s="126">
        <v>400</v>
      </c>
      <c r="F15396" s="58"/>
      <c r="G15396" s="58">
        <f t="shared" si="246"/>
        <v>-400</v>
      </c>
      <c r="H15396" s="705" t="s">
        <v>10315</v>
      </c>
    </row>
    <row r="15397" spans="1:8" ht="15" customHeight="1" x14ac:dyDescent="0.2">
      <c r="A15397" s="734">
        <v>45089</v>
      </c>
      <c r="B15397" s="63" t="s">
        <v>9356</v>
      </c>
      <c r="C15397" s="63" t="s">
        <v>3145</v>
      </c>
      <c r="D15397" s="183" t="s">
        <v>10133</v>
      </c>
      <c r="E15397" s="126">
        <v>1000</v>
      </c>
      <c r="F15397" s="58"/>
      <c r="G15397" s="58">
        <f t="shared" si="246"/>
        <v>-1000</v>
      </c>
      <c r="H15397" s="705" t="s">
        <v>10315</v>
      </c>
    </row>
    <row r="15398" spans="1:8" ht="15" customHeight="1" x14ac:dyDescent="0.2">
      <c r="A15398" s="734">
        <v>45089</v>
      </c>
      <c r="B15398" s="63" t="s">
        <v>9402</v>
      </c>
      <c r="C15398" s="63" t="s">
        <v>3145</v>
      </c>
      <c r="D15398" s="183" t="s">
        <v>10134</v>
      </c>
      <c r="E15398" s="126">
        <v>900</v>
      </c>
      <c r="F15398" s="58"/>
      <c r="G15398" s="58">
        <f t="shared" si="246"/>
        <v>-900</v>
      </c>
      <c r="H15398" s="705" t="s">
        <v>10315</v>
      </c>
    </row>
    <row r="15399" spans="1:8" ht="15" customHeight="1" x14ac:dyDescent="0.2">
      <c r="A15399" s="734">
        <v>45089</v>
      </c>
      <c r="B15399" s="63" t="s">
        <v>9402</v>
      </c>
      <c r="C15399" s="63" t="s">
        <v>5741</v>
      </c>
      <c r="D15399" s="183" t="s">
        <v>370</v>
      </c>
      <c r="E15399" s="126">
        <v>1700</v>
      </c>
      <c r="F15399" s="58"/>
      <c r="G15399" s="58">
        <f t="shared" si="246"/>
        <v>-1700</v>
      </c>
      <c r="H15399" s="705" t="s">
        <v>10315</v>
      </c>
    </row>
    <row r="15400" spans="1:8" ht="15" customHeight="1" x14ac:dyDescent="0.2">
      <c r="A15400" s="734">
        <v>45089</v>
      </c>
      <c r="B15400" s="63" t="s">
        <v>9356</v>
      </c>
      <c r="C15400" s="63" t="s">
        <v>5741</v>
      </c>
      <c r="D15400" s="183" t="s">
        <v>370</v>
      </c>
      <c r="E15400" s="126">
        <v>600</v>
      </c>
      <c r="F15400" s="58"/>
      <c r="G15400" s="58">
        <f t="shared" si="246"/>
        <v>-600</v>
      </c>
      <c r="H15400" s="705" t="s">
        <v>10315</v>
      </c>
    </row>
    <row r="15401" spans="1:8" ht="15" customHeight="1" x14ac:dyDescent="0.2">
      <c r="A15401" s="734">
        <v>45089</v>
      </c>
      <c r="B15401" s="63" t="s">
        <v>10144</v>
      </c>
      <c r="C15401" s="63" t="s">
        <v>5741</v>
      </c>
      <c r="D15401" s="183" t="s">
        <v>370</v>
      </c>
      <c r="E15401" s="126">
        <v>400</v>
      </c>
      <c r="F15401" s="58"/>
      <c r="G15401" s="58">
        <f t="shared" si="246"/>
        <v>-400</v>
      </c>
      <c r="H15401" s="705" t="s">
        <v>10315</v>
      </c>
    </row>
    <row r="15402" spans="1:8" ht="15" customHeight="1" x14ac:dyDescent="0.2">
      <c r="A15402" s="734">
        <v>45089</v>
      </c>
      <c r="B15402" s="63" t="s">
        <v>9661</v>
      </c>
      <c r="C15402" s="63" t="s">
        <v>5741</v>
      </c>
      <c r="D15402" s="183"/>
      <c r="E15402" s="126">
        <v>1000</v>
      </c>
      <c r="F15402" s="58"/>
      <c r="G15402" s="58">
        <f t="shared" si="246"/>
        <v>-1000</v>
      </c>
      <c r="H15402" s="705" t="s">
        <v>10315</v>
      </c>
    </row>
    <row r="15403" spans="1:8" ht="15" customHeight="1" x14ac:dyDescent="0.2">
      <c r="A15403" s="734">
        <v>45089</v>
      </c>
      <c r="B15403" s="63" t="s">
        <v>3945</v>
      </c>
      <c r="C15403" s="63" t="s">
        <v>392</v>
      </c>
      <c r="D15403" s="183" t="s">
        <v>10141</v>
      </c>
      <c r="E15403" s="126">
        <v>2500</v>
      </c>
      <c r="F15403" s="58"/>
      <c r="G15403" s="58">
        <f t="shared" si="246"/>
        <v>-2500</v>
      </c>
      <c r="H15403" s="705" t="s">
        <v>10315</v>
      </c>
    </row>
    <row r="15404" spans="1:8" ht="15" customHeight="1" x14ac:dyDescent="0.2">
      <c r="A15404" s="734">
        <v>45089</v>
      </c>
      <c r="B15404" s="63" t="s">
        <v>9769</v>
      </c>
      <c r="C15404" s="63" t="s">
        <v>5741</v>
      </c>
      <c r="D15404" s="183" t="s">
        <v>10142</v>
      </c>
      <c r="E15404" s="126">
        <v>1700</v>
      </c>
      <c r="F15404" s="58"/>
      <c r="G15404" s="58">
        <f t="shared" si="246"/>
        <v>-1700</v>
      </c>
      <c r="H15404" s="705" t="s">
        <v>10315</v>
      </c>
    </row>
    <row r="15405" spans="1:8" ht="15" customHeight="1" x14ac:dyDescent="0.2">
      <c r="A15405" s="734">
        <v>45089</v>
      </c>
      <c r="B15405" s="63" t="s">
        <v>16</v>
      </c>
      <c r="C15405" s="63" t="s">
        <v>392</v>
      </c>
      <c r="D15405" s="183" t="s">
        <v>9425</v>
      </c>
      <c r="E15405" s="126">
        <v>3500</v>
      </c>
      <c r="F15405" s="58"/>
      <c r="G15405" s="58">
        <f t="shared" si="246"/>
        <v>-3500</v>
      </c>
      <c r="H15405" s="705" t="s">
        <v>10315</v>
      </c>
    </row>
    <row r="15406" spans="1:8" ht="15" x14ac:dyDescent="0.2">
      <c r="A15406" s="734">
        <v>45089</v>
      </c>
      <c r="B15406" s="63" t="s">
        <v>9402</v>
      </c>
      <c r="C15406" s="63" t="s">
        <v>5741</v>
      </c>
      <c r="D15406" s="183" t="s">
        <v>370</v>
      </c>
      <c r="E15406" s="126">
        <v>700</v>
      </c>
      <c r="F15406" s="58"/>
      <c r="G15406" s="58">
        <f t="shared" si="246"/>
        <v>-700</v>
      </c>
      <c r="H15406" s="705" t="s">
        <v>10315</v>
      </c>
    </row>
    <row r="15407" spans="1:8" ht="15" customHeight="1" x14ac:dyDescent="0.2">
      <c r="A15407" s="734">
        <v>45089</v>
      </c>
      <c r="B15407" s="63" t="s">
        <v>10144</v>
      </c>
      <c r="C15407" s="63" t="s">
        <v>392</v>
      </c>
      <c r="D15407" s="183" t="s">
        <v>9917</v>
      </c>
      <c r="E15407" s="126">
        <v>2000</v>
      </c>
      <c r="F15407" s="58"/>
      <c r="G15407" s="58">
        <f t="shared" si="246"/>
        <v>-2000</v>
      </c>
      <c r="H15407" s="705" t="s">
        <v>10315</v>
      </c>
    </row>
    <row r="15408" spans="1:8" ht="15" customHeight="1" x14ac:dyDescent="0.2">
      <c r="A15408" s="734">
        <v>45089</v>
      </c>
      <c r="B15408" s="63" t="s">
        <v>9356</v>
      </c>
      <c r="C15408" s="63" t="s">
        <v>392</v>
      </c>
      <c r="D15408" s="183" t="s">
        <v>9917</v>
      </c>
      <c r="E15408" s="126">
        <v>7000</v>
      </c>
      <c r="F15408" s="58"/>
      <c r="G15408" s="58">
        <f t="shared" si="246"/>
        <v>-7000</v>
      </c>
      <c r="H15408" s="705" t="s">
        <v>10315</v>
      </c>
    </row>
    <row r="15409" spans="1:8" ht="15" customHeight="1" x14ac:dyDescent="0.2">
      <c r="A15409" s="734">
        <v>45089</v>
      </c>
      <c r="B15409" s="63" t="s">
        <v>9661</v>
      </c>
      <c r="C15409" s="63" t="s">
        <v>6967</v>
      </c>
      <c r="D15409" s="183" t="s">
        <v>10350</v>
      </c>
      <c r="E15409" s="126">
        <v>20000</v>
      </c>
      <c r="F15409" s="58"/>
      <c r="G15409" s="58">
        <f t="shared" si="246"/>
        <v>-20000</v>
      </c>
      <c r="H15409" s="705" t="s">
        <v>10315</v>
      </c>
    </row>
    <row r="15410" spans="1:8" ht="15" customHeight="1" x14ac:dyDescent="0.2">
      <c r="A15410" s="734">
        <v>45089</v>
      </c>
      <c r="B15410" s="63" t="s">
        <v>9769</v>
      </c>
      <c r="C15410" s="63" t="s">
        <v>274</v>
      </c>
      <c r="D15410" s="183" t="s">
        <v>10349</v>
      </c>
      <c r="E15410" s="126">
        <v>10000</v>
      </c>
      <c r="F15410" s="58"/>
      <c r="G15410" s="58">
        <f t="shared" si="246"/>
        <v>-10000</v>
      </c>
      <c r="H15410" s="705" t="s">
        <v>10315</v>
      </c>
    </row>
    <row r="15411" spans="1:8" ht="15" customHeight="1" x14ac:dyDescent="0.2">
      <c r="A15411" s="734">
        <v>45089</v>
      </c>
      <c r="B15411" s="63" t="s">
        <v>9769</v>
      </c>
      <c r="C15411" s="63" t="s">
        <v>1509</v>
      </c>
      <c r="D15411" s="183" t="s">
        <v>10146</v>
      </c>
      <c r="E15411" s="126">
        <v>200000</v>
      </c>
      <c r="F15411" s="58"/>
      <c r="G15411" s="58">
        <f t="shared" si="246"/>
        <v>-200000</v>
      </c>
      <c r="H15411" s="705" t="s">
        <v>10315</v>
      </c>
    </row>
    <row r="15412" spans="1:8" ht="24" x14ac:dyDescent="0.2">
      <c r="A15412" s="734">
        <v>45089</v>
      </c>
      <c r="B15412" s="63" t="s">
        <v>9769</v>
      </c>
      <c r="C15412" s="63" t="s">
        <v>8394</v>
      </c>
      <c r="D15412" s="907" t="s">
        <v>10157</v>
      </c>
      <c r="E15412" s="672">
        <v>1050000</v>
      </c>
      <c r="F15412" s="58"/>
      <c r="G15412" s="58">
        <f t="shared" si="246"/>
        <v>-1050000</v>
      </c>
      <c r="H15412" s="705" t="s">
        <v>10315</v>
      </c>
    </row>
    <row r="15413" spans="1:8" ht="24" x14ac:dyDescent="0.2">
      <c r="A15413" s="734">
        <v>45089</v>
      </c>
      <c r="B15413" s="63" t="s">
        <v>9661</v>
      </c>
      <c r="C15413" s="63" t="s">
        <v>8394</v>
      </c>
      <c r="D15413" s="907" t="s">
        <v>10157</v>
      </c>
      <c r="E15413" s="672">
        <v>100000</v>
      </c>
      <c r="F15413" s="58"/>
      <c r="G15413" s="58">
        <f t="shared" si="246"/>
        <v>-100000</v>
      </c>
      <c r="H15413" s="705" t="s">
        <v>10315</v>
      </c>
    </row>
    <row r="15414" spans="1:8" ht="24" x14ac:dyDescent="0.2">
      <c r="A15414" s="734">
        <v>45089</v>
      </c>
      <c r="B15414" s="63" t="s">
        <v>8657</v>
      </c>
      <c r="C15414" s="63" t="s">
        <v>8394</v>
      </c>
      <c r="D15414" s="907" t="s">
        <v>10157</v>
      </c>
      <c r="E15414" s="672">
        <v>350000</v>
      </c>
      <c r="F15414" s="58"/>
      <c r="G15414" s="58">
        <f t="shared" si="246"/>
        <v>-350000</v>
      </c>
      <c r="H15414" s="705" t="s">
        <v>10315</v>
      </c>
    </row>
    <row r="15415" spans="1:8" ht="15" x14ac:dyDescent="0.2">
      <c r="A15415" s="734">
        <v>45089</v>
      </c>
      <c r="B15415" s="63" t="s">
        <v>9402</v>
      </c>
      <c r="C15415" s="63" t="s">
        <v>3145</v>
      </c>
      <c r="D15415" s="740" t="s">
        <v>10145</v>
      </c>
      <c r="E15415" s="552">
        <v>66600</v>
      </c>
      <c r="F15415" s="58"/>
      <c r="G15415" s="58">
        <f t="shared" si="246"/>
        <v>-66600</v>
      </c>
      <c r="H15415" s="705" t="s">
        <v>10315</v>
      </c>
    </row>
    <row r="15416" spans="1:8" ht="15" x14ac:dyDescent="0.2">
      <c r="A15416" s="734">
        <v>45089</v>
      </c>
      <c r="B15416" s="63" t="s">
        <v>9769</v>
      </c>
      <c r="C15416" s="63" t="s">
        <v>3145</v>
      </c>
      <c r="D15416" s="740" t="s">
        <v>10145</v>
      </c>
      <c r="E15416" s="552">
        <v>10000</v>
      </c>
      <c r="F15416" s="58"/>
      <c r="G15416" s="58">
        <f t="shared" si="246"/>
        <v>-10000</v>
      </c>
      <c r="H15416" s="705" t="s">
        <v>10315</v>
      </c>
    </row>
    <row r="15417" spans="1:8" ht="15" x14ac:dyDescent="0.2">
      <c r="A15417" s="734">
        <v>45091</v>
      </c>
      <c r="B15417" s="63" t="s">
        <v>9769</v>
      </c>
      <c r="C15417" s="63" t="s">
        <v>392</v>
      </c>
      <c r="D15417" s="183" t="s">
        <v>10160</v>
      </c>
      <c r="E15417" s="126">
        <v>6500</v>
      </c>
      <c r="F15417" s="58"/>
      <c r="G15417" s="58">
        <f t="shared" si="246"/>
        <v>-6500</v>
      </c>
      <c r="H15417" s="705" t="s">
        <v>10315</v>
      </c>
    </row>
    <row r="15418" spans="1:8" ht="15" x14ac:dyDescent="0.2">
      <c r="A15418" s="734">
        <v>45091</v>
      </c>
      <c r="B15418" s="63" t="s">
        <v>10023</v>
      </c>
      <c r="C15418" s="63" t="s">
        <v>392</v>
      </c>
      <c r="D15418" s="183" t="s">
        <v>10161</v>
      </c>
      <c r="E15418" s="126">
        <v>6100</v>
      </c>
      <c r="F15418" s="58"/>
      <c r="G15418" s="58">
        <f t="shared" si="246"/>
        <v>-6100</v>
      </c>
      <c r="H15418" s="705" t="s">
        <v>10315</v>
      </c>
    </row>
    <row r="15419" spans="1:8" ht="15" x14ac:dyDescent="0.2">
      <c r="A15419" s="734">
        <v>45091</v>
      </c>
      <c r="B15419" s="63" t="s">
        <v>9464</v>
      </c>
      <c r="C15419" s="63" t="s">
        <v>3145</v>
      </c>
      <c r="D15419" s="183" t="s">
        <v>10162</v>
      </c>
      <c r="E15419" s="126">
        <v>4500</v>
      </c>
      <c r="F15419" s="58"/>
      <c r="G15419" s="58">
        <f t="shared" ref="G15419:G15482" si="247">F15419-E15419</f>
        <v>-4500</v>
      </c>
      <c r="H15419" s="705" t="s">
        <v>10315</v>
      </c>
    </row>
    <row r="15420" spans="1:8" ht="15" x14ac:dyDescent="0.2">
      <c r="A15420" s="734">
        <v>45091</v>
      </c>
      <c r="B15420" s="63" t="s">
        <v>10023</v>
      </c>
      <c r="C15420" s="63" t="s">
        <v>790</v>
      </c>
      <c r="D15420" s="183" t="s">
        <v>370</v>
      </c>
      <c r="E15420" s="126">
        <v>3080</v>
      </c>
      <c r="F15420" s="58"/>
      <c r="G15420" s="58">
        <f t="shared" si="247"/>
        <v>-3080</v>
      </c>
      <c r="H15420" s="705" t="s">
        <v>10315</v>
      </c>
    </row>
    <row r="15421" spans="1:8" ht="15" customHeight="1" x14ac:dyDescent="0.2">
      <c r="A15421" s="734">
        <v>45091</v>
      </c>
      <c r="B15421" s="63" t="s">
        <v>10909</v>
      </c>
      <c r="C15421" s="63" t="s">
        <v>790</v>
      </c>
      <c r="D15421" s="183" t="s">
        <v>370</v>
      </c>
      <c r="E15421" s="126">
        <v>1000</v>
      </c>
      <c r="F15421" s="58"/>
      <c r="G15421" s="58">
        <f t="shared" si="247"/>
        <v>-1000</v>
      </c>
      <c r="H15421" s="705" t="s">
        <v>10315</v>
      </c>
    </row>
    <row r="15422" spans="1:8" ht="15" customHeight="1" x14ac:dyDescent="0.2">
      <c r="A15422" s="734">
        <v>45091</v>
      </c>
      <c r="B15422" s="63" t="s">
        <v>9402</v>
      </c>
      <c r="C15422" s="63" t="s">
        <v>790</v>
      </c>
      <c r="D15422" s="183" t="s">
        <v>370</v>
      </c>
      <c r="E15422" s="126">
        <v>440</v>
      </c>
      <c r="F15422" s="58"/>
      <c r="G15422" s="58">
        <f t="shared" si="247"/>
        <v>-440</v>
      </c>
      <c r="H15422" s="705" t="s">
        <v>10315</v>
      </c>
    </row>
    <row r="15423" spans="1:8" ht="15" x14ac:dyDescent="0.2">
      <c r="A15423" s="734">
        <v>45091</v>
      </c>
      <c r="B15423" s="63" t="s">
        <v>9832</v>
      </c>
      <c r="C15423" s="63" t="s">
        <v>790</v>
      </c>
      <c r="D15423" s="183" t="s">
        <v>370</v>
      </c>
      <c r="E15423" s="126">
        <v>750</v>
      </c>
      <c r="F15423" s="58"/>
      <c r="G15423" s="58">
        <f t="shared" si="247"/>
        <v>-750</v>
      </c>
      <c r="H15423" s="705" t="s">
        <v>10315</v>
      </c>
    </row>
    <row r="15424" spans="1:8" ht="15" x14ac:dyDescent="0.2">
      <c r="A15424" s="734">
        <v>45091</v>
      </c>
      <c r="B15424" s="63" t="s">
        <v>9356</v>
      </c>
      <c r="C15424" s="63" t="s">
        <v>3145</v>
      </c>
      <c r="D15424" s="183" t="s">
        <v>10164</v>
      </c>
      <c r="E15424" s="126">
        <v>1000</v>
      </c>
      <c r="F15424" s="58"/>
      <c r="G15424" s="58">
        <f t="shared" si="247"/>
        <v>-1000</v>
      </c>
      <c r="H15424" s="705" t="s">
        <v>10315</v>
      </c>
    </row>
    <row r="15425" spans="1:8" ht="15" x14ac:dyDescent="0.2">
      <c r="A15425" s="734">
        <v>45091</v>
      </c>
      <c r="B15425" s="63" t="s">
        <v>16</v>
      </c>
      <c r="C15425" s="63" t="s">
        <v>103</v>
      </c>
      <c r="D15425" s="183" t="s">
        <v>9425</v>
      </c>
      <c r="E15425" s="126">
        <v>4000</v>
      </c>
      <c r="F15425" s="58"/>
      <c r="G15425" s="58">
        <f t="shared" si="247"/>
        <v>-4000</v>
      </c>
      <c r="H15425" s="705" t="s">
        <v>10315</v>
      </c>
    </row>
    <row r="15426" spans="1:8" ht="15" x14ac:dyDescent="0.2">
      <c r="A15426" s="734">
        <v>45091</v>
      </c>
      <c r="B15426" s="63" t="s">
        <v>8876</v>
      </c>
      <c r="C15426" s="63" t="s">
        <v>5741</v>
      </c>
      <c r="D15426" s="183" t="s">
        <v>10165</v>
      </c>
      <c r="E15426" s="126">
        <v>1000</v>
      </c>
      <c r="F15426" s="58"/>
      <c r="G15426" s="58">
        <f t="shared" si="247"/>
        <v>-1000</v>
      </c>
      <c r="H15426" s="705" t="s">
        <v>10315</v>
      </c>
    </row>
    <row r="15427" spans="1:8" ht="15" x14ac:dyDescent="0.2">
      <c r="A15427" s="734">
        <v>45091</v>
      </c>
      <c r="B15427" s="63" t="s">
        <v>9402</v>
      </c>
      <c r="C15427" s="63" t="s">
        <v>5741</v>
      </c>
      <c r="D15427" s="183" t="s">
        <v>10165</v>
      </c>
      <c r="E15427" s="126">
        <v>700</v>
      </c>
      <c r="F15427" s="58"/>
      <c r="G15427" s="58">
        <f t="shared" si="247"/>
        <v>-700</v>
      </c>
      <c r="H15427" s="705" t="s">
        <v>10315</v>
      </c>
    </row>
    <row r="15428" spans="1:8" ht="15" x14ac:dyDescent="0.2">
      <c r="A15428" s="734">
        <v>45091</v>
      </c>
      <c r="B15428" s="63" t="s">
        <v>9464</v>
      </c>
      <c r="C15428" s="63" t="s">
        <v>6852</v>
      </c>
      <c r="D15428" s="183" t="s">
        <v>2711</v>
      </c>
      <c r="E15428" s="126">
        <v>5000</v>
      </c>
      <c r="F15428" s="58"/>
      <c r="G15428" s="58">
        <f t="shared" si="247"/>
        <v>-5000</v>
      </c>
      <c r="H15428" s="705" t="s">
        <v>10315</v>
      </c>
    </row>
    <row r="15429" spans="1:8" ht="15" x14ac:dyDescent="0.2">
      <c r="A15429" s="734">
        <v>45091</v>
      </c>
      <c r="B15429" s="63" t="s">
        <v>9661</v>
      </c>
      <c r="C15429" s="63" t="s">
        <v>3145</v>
      </c>
      <c r="D15429" s="183" t="s">
        <v>10166</v>
      </c>
      <c r="E15429" s="126">
        <v>25440</v>
      </c>
      <c r="F15429" s="58"/>
      <c r="G15429" s="58">
        <f t="shared" si="247"/>
        <v>-25440</v>
      </c>
      <c r="H15429" s="705" t="s">
        <v>10315</v>
      </c>
    </row>
    <row r="15430" spans="1:8" ht="15" customHeight="1" x14ac:dyDescent="0.2">
      <c r="A15430" s="734">
        <v>45091</v>
      </c>
      <c r="B15430" s="63" t="s">
        <v>9464</v>
      </c>
      <c r="C15430" s="63" t="s">
        <v>3145</v>
      </c>
      <c r="D15430" s="183" t="s">
        <v>10167</v>
      </c>
      <c r="E15430" s="126">
        <v>8400</v>
      </c>
      <c r="F15430" s="58"/>
      <c r="G15430" s="58">
        <f t="shared" si="247"/>
        <v>-8400</v>
      </c>
      <c r="H15430" s="705" t="s">
        <v>10315</v>
      </c>
    </row>
    <row r="15431" spans="1:8" ht="15" customHeight="1" x14ac:dyDescent="0.2">
      <c r="A15431" s="734">
        <v>45091</v>
      </c>
      <c r="B15431" s="63" t="s">
        <v>9464</v>
      </c>
      <c r="C15431" s="63" t="s">
        <v>3145</v>
      </c>
      <c r="D15431" s="183" t="s">
        <v>10168</v>
      </c>
      <c r="E15431" s="126">
        <v>6360</v>
      </c>
      <c r="F15431" s="58"/>
      <c r="G15431" s="58">
        <f t="shared" si="247"/>
        <v>-6360</v>
      </c>
      <c r="H15431" s="705" t="s">
        <v>10315</v>
      </c>
    </row>
    <row r="15432" spans="1:8" ht="15" customHeight="1" x14ac:dyDescent="0.2">
      <c r="A15432" s="734">
        <v>45091</v>
      </c>
      <c r="B15432" s="63" t="s">
        <v>9464</v>
      </c>
      <c r="C15432" s="63" t="s">
        <v>3145</v>
      </c>
      <c r="D15432" s="183" t="s">
        <v>10169</v>
      </c>
      <c r="E15432" s="126">
        <v>11090</v>
      </c>
      <c r="F15432" s="58"/>
      <c r="G15432" s="58">
        <f t="shared" si="247"/>
        <v>-11090</v>
      </c>
      <c r="H15432" s="705" t="s">
        <v>10315</v>
      </c>
    </row>
    <row r="15433" spans="1:8" ht="15" customHeight="1" x14ac:dyDescent="0.2">
      <c r="A15433" s="734">
        <v>45091</v>
      </c>
      <c r="B15433" s="63" t="s">
        <v>9464</v>
      </c>
      <c r="C15433" s="63" t="s">
        <v>5741</v>
      </c>
      <c r="D15433" s="183" t="s">
        <v>370</v>
      </c>
      <c r="E15433" s="126">
        <v>500</v>
      </c>
      <c r="F15433" s="58"/>
      <c r="G15433" s="58">
        <f t="shared" si="247"/>
        <v>-500</v>
      </c>
      <c r="H15433" s="705" t="s">
        <v>10315</v>
      </c>
    </row>
    <row r="15434" spans="1:8" ht="15" customHeight="1" x14ac:dyDescent="0.2">
      <c r="A15434" s="734">
        <v>45091</v>
      </c>
      <c r="B15434" s="63" t="s">
        <v>9464</v>
      </c>
      <c r="C15434" s="63" t="s">
        <v>5741</v>
      </c>
      <c r="D15434" s="183" t="s">
        <v>370</v>
      </c>
      <c r="E15434" s="126">
        <v>800</v>
      </c>
      <c r="F15434" s="58"/>
      <c r="G15434" s="58">
        <f t="shared" si="247"/>
        <v>-800</v>
      </c>
      <c r="H15434" s="705" t="s">
        <v>10315</v>
      </c>
    </row>
    <row r="15435" spans="1:8" ht="15" customHeight="1" x14ac:dyDescent="0.2">
      <c r="A15435" s="734">
        <v>45091</v>
      </c>
      <c r="B15435" s="63" t="s">
        <v>16</v>
      </c>
      <c r="C15435" s="63" t="s">
        <v>392</v>
      </c>
      <c r="D15435" s="183" t="s">
        <v>10041</v>
      </c>
      <c r="E15435" s="126">
        <v>1000</v>
      </c>
      <c r="F15435" s="58"/>
      <c r="G15435" s="58">
        <f t="shared" si="247"/>
        <v>-1000</v>
      </c>
      <c r="H15435" s="705" t="s">
        <v>10315</v>
      </c>
    </row>
    <row r="15436" spans="1:8" ht="15" customHeight="1" x14ac:dyDescent="0.2">
      <c r="A15436" s="734">
        <v>45091</v>
      </c>
      <c r="B15436" s="63" t="s">
        <v>9464</v>
      </c>
      <c r="C15436" s="63" t="s">
        <v>5741</v>
      </c>
      <c r="D15436" s="183" t="s">
        <v>10170</v>
      </c>
      <c r="E15436" s="126">
        <v>3000</v>
      </c>
      <c r="F15436" s="58"/>
      <c r="G15436" s="58">
        <f t="shared" si="247"/>
        <v>-3000</v>
      </c>
      <c r="H15436" s="705" t="s">
        <v>10315</v>
      </c>
    </row>
    <row r="15437" spans="1:8" ht="15" customHeight="1" x14ac:dyDescent="0.2">
      <c r="A15437" s="734">
        <v>45091</v>
      </c>
      <c r="B15437" s="63" t="s">
        <v>9769</v>
      </c>
      <c r="C15437" s="63" t="s">
        <v>3145</v>
      </c>
      <c r="D15437" s="183" t="s">
        <v>10174</v>
      </c>
      <c r="E15437" s="126">
        <v>98000</v>
      </c>
      <c r="F15437" s="58"/>
      <c r="G15437" s="58">
        <f t="shared" si="247"/>
        <v>-98000</v>
      </c>
      <c r="H15437" s="705" t="s">
        <v>10315</v>
      </c>
    </row>
    <row r="15438" spans="1:8" ht="15" customHeight="1" x14ac:dyDescent="0.2">
      <c r="A15438" s="734">
        <v>45091</v>
      </c>
      <c r="B15438" s="63" t="s">
        <v>9356</v>
      </c>
      <c r="C15438" s="63" t="s">
        <v>10173</v>
      </c>
      <c r="D15438" s="183" t="s">
        <v>10175</v>
      </c>
      <c r="E15438" s="126">
        <v>500000</v>
      </c>
      <c r="F15438" s="58"/>
      <c r="G15438" s="58">
        <f t="shared" si="247"/>
        <v>-500000</v>
      </c>
      <c r="H15438" s="705" t="s">
        <v>10315</v>
      </c>
    </row>
    <row r="15439" spans="1:8" ht="15" customHeight="1" x14ac:dyDescent="0.2">
      <c r="A15439" s="734">
        <v>45091</v>
      </c>
      <c r="B15439" s="63" t="s">
        <v>9769</v>
      </c>
      <c r="C15439" s="63" t="s">
        <v>10236</v>
      </c>
      <c r="D15439" s="183" t="s">
        <v>10237</v>
      </c>
      <c r="E15439" s="126">
        <v>364100</v>
      </c>
      <c r="F15439" s="58"/>
      <c r="G15439" s="58">
        <f t="shared" si="247"/>
        <v>-364100</v>
      </c>
      <c r="H15439" s="705" t="s">
        <v>10315</v>
      </c>
    </row>
    <row r="15440" spans="1:8" ht="15" customHeight="1" x14ac:dyDescent="0.2">
      <c r="A15440" s="734">
        <v>45091</v>
      </c>
      <c r="B15440" s="63" t="s">
        <v>9464</v>
      </c>
      <c r="C15440" s="63" t="s">
        <v>3145</v>
      </c>
      <c r="D15440" s="183" t="s">
        <v>10171</v>
      </c>
      <c r="E15440" s="126">
        <v>17000</v>
      </c>
      <c r="F15440" s="58"/>
      <c r="G15440" s="58">
        <f t="shared" si="247"/>
        <v>-17000</v>
      </c>
      <c r="H15440" s="705" t="s">
        <v>10315</v>
      </c>
    </row>
    <row r="15441" spans="1:8" ht="15" customHeight="1" x14ac:dyDescent="0.2">
      <c r="A15441" s="734">
        <v>45091</v>
      </c>
      <c r="B15441" s="63" t="s">
        <v>25</v>
      </c>
      <c r="C15441" s="63" t="s">
        <v>2428</v>
      </c>
      <c r="D15441" s="183" t="s">
        <v>10255</v>
      </c>
      <c r="E15441" s="126">
        <v>98800</v>
      </c>
      <c r="F15441" s="58"/>
      <c r="G15441" s="58">
        <f t="shared" si="247"/>
        <v>-98800</v>
      </c>
      <c r="H15441" s="705" t="s">
        <v>10315</v>
      </c>
    </row>
    <row r="15442" spans="1:8" ht="15" x14ac:dyDescent="0.2">
      <c r="A15442" s="734">
        <v>45091</v>
      </c>
      <c r="B15442" s="63" t="s">
        <v>9356</v>
      </c>
      <c r="C15442" s="63" t="s">
        <v>5741</v>
      </c>
      <c r="D15442" s="183" t="s">
        <v>370</v>
      </c>
      <c r="E15442" s="126">
        <v>2000</v>
      </c>
      <c r="F15442" s="58"/>
      <c r="G15442" s="58">
        <f t="shared" si="247"/>
        <v>-2000</v>
      </c>
      <c r="H15442" s="705" t="s">
        <v>10315</v>
      </c>
    </row>
    <row r="15443" spans="1:8" ht="15" customHeight="1" x14ac:dyDescent="0.2">
      <c r="A15443" s="734">
        <v>45091</v>
      </c>
      <c r="B15443" s="63" t="s">
        <v>9769</v>
      </c>
      <c r="C15443" s="63" t="s">
        <v>5741</v>
      </c>
      <c r="D15443" s="183" t="s">
        <v>10172</v>
      </c>
      <c r="E15443" s="126">
        <v>2500</v>
      </c>
      <c r="F15443" s="58"/>
      <c r="G15443" s="58">
        <f t="shared" si="247"/>
        <v>-2500</v>
      </c>
      <c r="H15443" s="705" t="s">
        <v>10315</v>
      </c>
    </row>
    <row r="15444" spans="1:8" ht="15" customHeight="1" x14ac:dyDescent="0.2">
      <c r="A15444" s="734">
        <v>45091</v>
      </c>
      <c r="B15444" s="63" t="s">
        <v>9464</v>
      </c>
      <c r="C15444" s="63" t="s">
        <v>5741</v>
      </c>
      <c r="D15444" s="183"/>
      <c r="E15444" s="126">
        <v>1500</v>
      </c>
      <c r="F15444" s="58"/>
      <c r="G15444" s="58">
        <f t="shared" si="247"/>
        <v>-1500</v>
      </c>
      <c r="H15444" s="705" t="s">
        <v>10315</v>
      </c>
    </row>
    <row r="15445" spans="1:8" ht="15" customHeight="1" x14ac:dyDescent="0.2">
      <c r="A15445" s="734">
        <v>45093</v>
      </c>
      <c r="B15445" s="63" t="s">
        <v>9661</v>
      </c>
      <c r="C15445" s="63" t="s">
        <v>286</v>
      </c>
      <c r="D15445" s="183" t="s">
        <v>8448</v>
      </c>
      <c r="E15445" s="126">
        <v>1100</v>
      </c>
      <c r="F15445" s="58"/>
      <c r="G15445" s="58">
        <f t="shared" si="247"/>
        <v>-1100</v>
      </c>
      <c r="H15445" s="705" t="s">
        <v>10315</v>
      </c>
    </row>
    <row r="15446" spans="1:8" ht="15" customHeight="1" x14ac:dyDescent="0.2">
      <c r="A15446" s="734">
        <v>45093</v>
      </c>
      <c r="B15446" s="63" t="s">
        <v>25</v>
      </c>
      <c r="C15446" s="63" t="s">
        <v>8150</v>
      </c>
      <c r="D15446" s="183" t="s">
        <v>6343</v>
      </c>
      <c r="E15446" s="126">
        <v>5655</v>
      </c>
      <c r="F15446" s="58"/>
      <c r="G15446" s="58">
        <f t="shared" si="247"/>
        <v>-5655</v>
      </c>
      <c r="H15446" s="705" t="s">
        <v>10315</v>
      </c>
    </row>
    <row r="15447" spans="1:8" ht="15" customHeight="1" x14ac:dyDescent="0.2">
      <c r="A15447" s="734">
        <v>45093</v>
      </c>
      <c r="B15447" s="63" t="s">
        <v>16</v>
      </c>
      <c r="C15447" s="63" t="s">
        <v>8150</v>
      </c>
      <c r="D15447" s="183" t="s">
        <v>6343</v>
      </c>
      <c r="E15447" s="126">
        <v>7310</v>
      </c>
      <c r="F15447" s="58"/>
      <c r="G15447" s="58">
        <f t="shared" si="247"/>
        <v>-7310</v>
      </c>
      <c r="H15447" s="705" t="s">
        <v>10315</v>
      </c>
    </row>
    <row r="15448" spans="1:8" ht="15" customHeight="1" x14ac:dyDescent="0.2">
      <c r="A15448" s="734">
        <v>45093</v>
      </c>
      <c r="B15448" s="63" t="s">
        <v>16</v>
      </c>
      <c r="C15448" s="63" t="s">
        <v>392</v>
      </c>
      <c r="D15448" s="183" t="s">
        <v>9425</v>
      </c>
      <c r="E15448" s="126">
        <v>1800</v>
      </c>
      <c r="F15448" s="58"/>
      <c r="G15448" s="58">
        <f t="shared" si="247"/>
        <v>-1800</v>
      </c>
      <c r="H15448" s="705" t="s">
        <v>10315</v>
      </c>
    </row>
    <row r="15449" spans="1:8" ht="15" customHeight="1" x14ac:dyDescent="0.2">
      <c r="A15449" s="734">
        <v>45093</v>
      </c>
      <c r="B15449" s="63" t="s">
        <v>25</v>
      </c>
      <c r="C15449" s="63" t="s">
        <v>7595</v>
      </c>
      <c r="D15449" s="183" t="s">
        <v>10351</v>
      </c>
      <c r="E15449" s="126">
        <v>90000</v>
      </c>
      <c r="F15449" s="58"/>
      <c r="G15449" s="58">
        <f t="shared" si="247"/>
        <v>-90000</v>
      </c>
      <c r="H15449" s="705" t="s">
        <v>10315</v>
      </c>
    </row>
    <row r="15450" spans="1:8" ht="15" customHeight="1" x14ac:dyDescent="0.2">
      <c r="A15450" s="734">
        <v>45094</v>
      </c>
      <c r="B15450" s="63" t="s">
        <v>10023</v>
      </c>
      <c r="C15450" s="63" t="s">
        <v>5741</v>
      </c>
      <c r="D15450" s="183" t="s">
        <v>370</v>
      </c>
      <c r="E15450" s="126">
        <v>2700</v>
      </c>
      <c r="F15450" s="58"/>
      <c r="G15450" s="58">
        <f t="shared" si="247"/>
        <v>-2700</v>
      </c>
      <c r="H15450" s="705" t="s">
        <v>10315</v>
      </c>
    </row>
    <row r="15451" spans="1:8" ht="15" customHeight="1" x14ac:dyDescent="0.2">
      <c r="A15451" s="734">
        <v>45094</v>
      </c>
      <c r="B15451" s="63" t="s">
        <v>16</v>
      </c>
      <c r="C15451" s="63" t="s">
        <v>392</v>
      </c>
      <c r="D15451" s="183" t="s">
        <v>10196</v>
      </c>
      <c r="E15451" s="126">
        <v>8000</v>
      </c>
      <c r="F15451" s="58"/>
      <c r="G15451" s="58">
        <f t="shared" si="247"/>
        <v>-8000</v>
      </c>
      <c r="H15451" s="705" t="s">
        <v>10315</v>
      </c>
    </row>
    <row r="15452" spans="1:8" ht="15" customHeight="1" x14ac:dyDescent="0.2">
      <c r="A15452" s="734">
        <v>45094</v>
      </c>
      <c r="B15452" s="63" t="s">
        <v>10057</v>
      </c>
      <c r="C15452" s="63" t="s">
        <v>392</v>
      </c>
      <c r="D15452" s="183" t="s">
        <v>10197</v>
      </c>
      <c r="E15452" s="126">
        <v>15250</v>
      </c>
      <c r="F15452" s="58"/>
      <c r="G15452" s="58">
        <f t="shared" si="247"/>
        <v>-15250</v>
      </c>
      <c r="H15452" s="705" t="s">
        <v>10315</v>
      </c>
    </row>
    <row r="15453" spans="1:8" ht="15" customHeight="1" x14ac:dyDescent="0.2">
      <c r="A15453" s="734">
        <v>45094</v>
      </c>
      <c r="B15453" s="63" t="s">
        <v>3946</v>
      </c>
      <c r="C15453" s="63" t="s">
        <v>286</v>
      </c>
      <c r="D15453" s="183" t="s">
        <v>9555</v>
      </c>
      <c r="E15453" s="126">
        <v>500</v>
      </c>
      <c r="F15453" s="58"/>
      <c r="G15453" s="58">
        <f t="shared" si="247"/>
        <v>-500</v>
      </c>
      <c r="H15453" s="705" t="s">
        <v>10315</v>
      </c>
    </row>
    <row r="15454" spans="1:8" ht="15" customHeight="1" x14ac:dyDescent="0.2">
      <c r="A15454" s="734">
        <v>45094</v>
      </c>
      <c r="B15454" s="63" t="s">
        <v>9356</v>
      </c>
      <c r="C15454" s="63" t="s">
        <v>5387</v>
      </c>
      <c r="D15454" s="183" t="s">
        <v>10198</v>
      </c>
      <c r="E15454" s="126">
        <v>17290</v>
      </c>
      <c r="F15454" s="58"/>
      <c r="G15454" s="58">
        <f t="shared" si="247"/>
        <v>-17290</v>
      </c>
      <c r="H15454" s="705" t="s">
        <v>10315</v>
      </c>
    </row>
    <row r="15455" spans="1:8" ht="15" customHeight="1" x14ac:dyDescent="0.2">
      <c r="A15455" s="734">
        <v>45094</v>
      </c>
      <c r="B15455" s="63" t="s">
        <v>9356</v>
      </c>
      <c r="C15455" s="63" t="s">
        <v>3145</v>
      </c>
      <c r="D15455" s="183" t="s">
        <v>10199</v>
      </c>
      <c r="E15455" s="126">
        <v>500</v>
      </c>
      <c r="F15455" s="58"/>
      <c r="G15455" s="58">
        <f t="shared" si="247"/>
        <v>-500</v>
      </c>
      <c r="H15455" s="705" t="s">
        <v>10315</v>
      </c>
    </row>
    <row r="15456" spans="1:8" ht="15" customHeight="1" x14ac:dyDescent="0.2">
      <c r="A15456" s="734">
        <v>45094</v>
      </c>
      <c r="B15456" s="63" t="s">
        <v>10023</v>
      </c>
      <c r="C15456" s="63" t="s">
        <v>3145</v>
      </c>
      <c r="D15456" s="183" t="s">
        <v>10200</v>
      </c>
      <c r="E15456" s="126">
        <v>1050</v>
      </c>
      <c r="F15456" s="58"/>
      <c r="G15456" s="58">
        <f t="shared" si="247"/>
        <v>-1050</v>
      </c>
      <c r="H15456" s="705" t="s">
        <v>10315</v>
      </c>
    </row>
    <row r="15457" spans="1:8" ht="15" customHeight="1" x14ac:dyDescent="0.2">
      <c r="A15457" s="734">
        <v>45094</v>
      </c>
      <c r="B15457" s="63" t="s">
        <v>10023</v>
      </c>
      <c r="C15457" s="63" t="s">
        <v>3145</v>
      </c>
      <c r="D15457" s="183" t="s">
        <v>10201</v>
      </c>
      <c r="E15457" s="126">
        <v>1480</v>
      </c>
      <c r="F15457" s="58"/>
      <c r="G15457" s="58">
        <f t="shared" si="247"/>
        <v>-1480</v>
      </c>
      <c r="H15457" s="705" t="s">
        <v>10315</v>
      </c>
    </row>
    <row r="15458" spans="1:8" ht="15" customHeight="1" x14ac:dyDescent="0.2">
      <c r="A15458" s="734">
        <v>45094</v>
      </c>
      <c r="B15458" s="63" t="s">
        <v>10144</v>
      </c>
      <c r="C15458" s="63" t="s">
        <v>392</v>
      </c>
      <c r="D15458" s="183" t="s">
        <v>2108</v>
      </c>
      <c r="E15458" s="126">
        <v>1000</v>
      </c>
      <c r="F15458" s="58"/>
      <c r="G15458" s="58">
        <f t="shared" si="247"/>
        <v>-1000</v>
      </c>
      <c r="H15458" s="705" t="s">
        <v>10315</v>
      </c>
    </row>
    <row r="15459" spans="1:8" ht="15" customHeight="1" x14ac:dyDescent="0.2">
      <c r="A15459" s="734">
        <v>45094</v>
      </c>
      <c r="B15459" s="63" t="s">
        <v>3945</v>
      </c>
      <c r="C15459" s="63" t="s">
        <v>7271</v>
      </c>
      <c r="D15459" s="183" t="s">
        <v>10202</v>
      </c>
      <c r="E15459" s="126">
        <v>200000</v>
      </c>
      <c r="F15459" s="58"/>
      <c r="G15459" s="58">
        <f t="shared" si="247"/>
        <v>-200000</v>
      </c>
      <c r="H15459" s="705" t="s">
        <v>10315</v>
      </c>
    </row>
    <row r="15460" spans="1:8" ht="15" customHeight="1" x14ac:dyDescent="0.2">
      <c r="A15460" s="734">
        <v>45094</v>
      </c>
      <c r="B15460" s="63" t="s">
        <v>9356</v>
      </c>
      <c r="C15460" s="63" t="s">
        <v>10173</v>
      </c>
      <c r="D15460" s="183" t="s">
        <v>10203</v>
      </c>
      <c r="E15460" s="126">
        <v>337500</v>
      </c>
      <c r="F15460" s="58"/>
      <c r="G15460" s="58">
        <f t="shared" si="247"/>
        <v>-337500</v>
      </c>
      <c r="H15460" s="705" t="s">
        <v>10315</v>
      </c>
    </row>
    <row r="15461" spans="1:8" ht="15" customHeight="1" x14ac:dyDescent="0.2">
      <c r="A15461" s="734">
        <v>45094</v>
      </c>
      <c r="B15461" s="63" t="s">
        <v>9832</v>
      </c>
      <c r="C15461" s="63" t="s">
        <v>3145</v>
      </c>
      <c r="D15461" s="183" t="s">
        <v>10204</v>
      </c>
      <c r="E15461" s="126">
        <v>5400</v>
      </c>
      <c r="F15461" s="58"/>
      <c r="G15461" s="58">
        <f t="shared" si="247"/>
        <v>-5400</v>
      </c>
      <c r="H15461" s="705" t="s">
        <v>10315</v>
      </c>
    </row>
    <row r="15462" spans="1:8" ht="15" customHeight="1" x14ac:dyDescent="0.2">
      <c r="A15462" s="734">
        <v>45094</v>
      </c>
      <c r="B15462" s="63" t="s">
        <v>9719</v>
      </c>
      <c r="C15462" s="63" t="s">
        <v>3145</v>
      </c>
      <c r="D15462" s="183" t="s">
        <v>10205</v>
      </c>
      <c r="E15462" s="126">
        <v>65580</v>
      </c>
      <c r="F15462" s="58"/>
      <c r="G15462" s="58">
        <f t="shared" si="247"/>
        <v>-65580</v>
      </c>
      <c r="H15462" s="705" t="s">
        <v>10315</v>
      </c>
    </row>
    <row r="15463" spans="1:8" ht="15" customHeight="1" x14ac:dyDescent="0.2">
      <c r="A15463" s="734">
        <v>45094</v>
      </c>
      <c r="B15463" s="63" t="s">
        <v>9409</v>
      </c>
      <c r="C15463" s="63" t="s">
        <v>3145</v>
      </c>
      <c r="D15463" s="183" t="s">
        <v>10205</v>
      </c>
      <c r="E15463" s="126">
        <v>178763</v>
      </c>
      <c r="F15463" s="58"/>
      <c r="G15463" s="58">
        <f t="shared" si="247"/>
        <v>-178763</v>
      </c>
      <c r="H15463" s="705" t="s">
        <v>10315</v>
      </c>
    </row>
    <row r="15464" spans="1:8" ht="15" customHeight="1" x14ac:dyDescent="0.2">
      <c r="A15464" s="734">
        <v>45094</v>
      </c>
      <c r="B15464" s="63" t="s">
        <v>9409</v>
      </c>
      <c r="C15464" s="63" t="s">
        <v>9474</v>
      </c>
      <c r="D15464" s="183" t="s">
        <v>10206</v>
      </c>
      <c r="E15464" s="126">
        <v>5000</v>
      </c>
      <c r="F15464" s="58"/>
      <c r="G15464" s="58">
        <f t="shared" si="247"/>
        <v>-5000</v>
      </c>
      <c r="H15464" s="705" t="s">
        <v>10315</v>
      </c>
    </row>
    <row r="15465" spans="1:8" ht="15" customHeight="1" x14ac:dyDescent="0.2">
      <c r="A15465" s="734">
        <v>45094</v>
      </c>
      <c r="B15465" s="63" t="s">
        <v>9464</v>
      </c>
      <c r="C15465" s="63" t="s">
        <v>3145</v>
      </c>
      <c r="D15465" s="183" t="s">
        <v>10207</v>
      </c>
      <c r="E15465" s="126">
        <v>30500</v>
      </c>
      <c r="F15465" s="58"/>
      <c r="G15465" s="58">
        <f t="shared" si="247"/>
        <v>-30500</v>
      </c>
      <c r="H15465" s="705" t="s">
        <v>10315</v>
      </c>
    </row>
    <row r="15466" spans="1:8" ht="15" customHeight="1" x14ac:dyDescent="0.2">
      <c r="A15466" s="734">
        <v>45094</v>
      </c>
      <c r="B15466" s="63" t="s">
        <v>9409</v>
      </c>
      <c r="C15466" s="63" t="s">
        <v>10270</v>
      </c>
      <c r="D15466" s="183" t="s">
        <v>10318</v>
      </c>
      <c r="E15466" s="126">
        <v>10000</v>
      </c>
      <c r="F15466" s="58"/>
      <c r="G15466" s="58">
        <f t="shared" si="247"/>
        <v>-10000</v>
      </c>
      <c r="H15466" s="705" t="s">
        <v>10315</v>
      </c>
    </row>
    <row r="15467" spans="1:8" ht="15" customHeight="1" x14ac:dyDescent="0.2">
      <c r="A15467" s="734">
        <v>45095</v>
      </c>
      <c r="B15467" s="63" t="s">
        <v>8876</v>
      </c>
      <c r="C15467" s="63" t="s">
        <v>286</v>
      </c>
      <c r="D15467" s="183" t="s">
        <v>2431</v>
      </c>
      <c r="E15467" s="126">
        <v>500</v>
      </c>
      <c r="F15467" s="58"/>
      <c r="G15467" s="58">
        <f t="shared" si="247"/>
        <v>-500</v>
      </c>
      <c r="H15467" s="705" t="s">
        <v>10315</v>
      </c>
    </row>
    <row r="15468" spans="1:8" ht="15" customHeight="1" x14ac:dyDescent="0.2">
      <c r="A15468" s="734">
        <v>45095</v>
      </c>
      <c r="B15468" s="63" t="s">
        <v>16</v>
      </c>
      <c r="C15468" s="63" t="s">
        <v>103</v>
      </c>
      <c r="D15468" s="183" t="s">
        <v>10208</v>
      </c>
      <c r="E15468" s="126">
        <v>500</v>
      </c>
      <c r="F15468" s="58"/>
      <c r="G15468" s="58">
        <f t="shared" si="247"/>
        <v>-500</v>
      </c>
      <c r="H15468" s="705" t="s">
        <v>10315</v>
      </c>
    </row>
    <row r="15469" spans="1:8" ht="15" customHeight="1" x14ac:dyDescent="0.2">
      <c r="A15469" s="734">
        <v>45095</v>
      </c>
      <c r="B15469" s="63" t="s">
        <v>8876</v>
      </c>
      <c r="C15469" s="63" t="s">
        <v>392</v>
      </c>
      <c r="D15469" s="183" t="s">
        <v>10209</v>
      </c>
      <c r="E15469" s="126">
        <v>1000</v>
      </c>
      <c r="F15469" s="58"/>
      <c r="G15469" s="58">
        <f t="shared" si="247"/>
        <v>-1000</v>
      </c>
      <c r="H15469" s="705" t="s">
        <v>10315</v>
      </c>
    </row>
    <row r="15470" spans="1:8" ht="15" customHeight="1" x14ac:dyDescent="0.2">
      <c r="A15470" s="734">
        <v>45095</v>
      </c>
      <c r="B15470" s="63" t="s">
        <v>25</v>
      </c>
      <c r="C15470" s="63" t="s">
        <v>4065</v>
      </c>
      <c r="D15470" s="183" t="s">
        <v>9686</v>
      </c>
      <c r="E15470" s="126">
        <v>2250</v>
      </c>
      <c r="F15470" s="58"/>
      <c r="G15470" s="58">
        <f t="shared" si="247"/>
        <v>-2250</v>
      </c>
      <c r="H15470" s="705" t="s">
        <v>10315</v>
      </c>
    </row>
    <row r="15471" spans="1:8" ht="15" customHeight="1" x14ac:dyDescent="0.2">
      <c r="A15471" s="734">
        <v>45095</v>
      </c>
      <c r="B15471" s="63" t="s">
        <v>25</v>
      </c>
      <c r="C15471" s="63" t="s">
        <v>4065</v>
      </c>
      <c r="D15471" s="183" t="s">
        <v>370</v>
      </c>
      <c r="E15471" s="126">
        <v>4300</v>
      </c>
      <c r="F15471" s="58"/>
      <c r="G15471" s="58">
        <f t="shared" si="247"/>
        <v>-4300</v>
      </c>
      <c r="H15471" s="705" t="s">
        <v>10315</v>
      </c>
    </row>
    <row r="15472" spans="1:8" ht="24" customHeight="1" x14ac:dyDescent="0.2">
      <c r="A15472" s="734">
        <v>45096</v>
      </c>
      <c r="B15472" s="63" t="s">
        <v>9661</v>
      </c>
      <c r="C15472" s="670" t="s">
        <v>9788</v>
      </c>
      <c r="D15472" s="907" t="s">
        <v>10212</v>
      </c>
      <c r="E15472" s="672">
        <v>85250</v>
      </c>
      <c r="F15472" s="58"/>
      <c r="G15472" s="58">
        <f t="shared" si="247"/>
        <v>-85250</v>
      </c>
      <c r="H15472" s="705" t="s">
        <v>10315</v>
      </c>
    </row>
    <row r="15473" spans="1:8" ht="24" x14ac:dyDescent="0.2">
      <c r="A15473" s="734">
        <v>45096</v>
      </c>
      <c r="B15473" s="63" t="s">
        <v>10144</v>
      </c>
      <c r="C15473" s="670" t="s">
        <v>9788</v>
      </c>
      <c r="D15473" s="907" t="s">
        <v>10212</v>
      </c>
      <c r="E15473" s="672">
        <v>46440</v>
      </c>
      <c r="F15473" s="58"/>
      <c r="G15473" s="58">
        <f t="shared" si="247"/>
        <v>-46440</v>
      </c>
      <c r="H15473" s="705" t="s">
        <v>10315</v>
      </c>
    </row>
    <row r="15474" spans="1:8" ht="24" x14ac:dyDescent="0.2">
      <c r="A15474" s="734">
        <v>45096</v>
      </c>
      <c r="B15474" s="63" t="s">
        <v>10144</v>
      </c>
      <c r="C15474" s="670" t="s">
        <v>9788</v>
      </c>
      <c r="D15474" s="907" t="s">
        <v>10212</v>
      </c>
      <c r="E15474" s="672">
        <v>151710</v>
      </c>
      <c r="F15474" s="58"/>
      <c r="G15474" s="58">
        <f t="shared" si="247"/>
        <v>-151710</v>
      </c>
      <c r="H15474" s="705" t="s">
        <v>10315</v>
      </c>
    </row>
    <row r="15475" spans="1:8" ht="15" x14ac:dyDescent="0.2">
      <c r="A15475" s="734">
        <v>45096</v>
      </c>
      <c r="B15475" s="63" t="s">
        <v>9464</v>
      </c>
      <c r="C15475" s="63" t="s">
        <v>9788</v>
      </c>
      <c r="D15475" s="183" t="s">
        <v>10213</v>
      </c>
      <c r="E15475" s="126">
        <v>332400</v>
      </c>
      <c r="F15475" s="58"/>
      <c r="G15475" s="58">
        <f t="shared" si="247"/>
        <v>-332400</v>
      </c>
      <c r="H15475" s="705" t="s">
        <v>10315</v>
      </c>
    </row>
    <row r="15476" spans="1:8" ht="15" x14ac:dyDescent="0.2">
      <c r="A15476" s="734">
        <v>45096</v>
      </c>
      <c r="B15476" s="63" t="s">
        <v>8043</v>
      </c>
      <c r="C15476" s="63" t="s">
        <v>392</v>
      </c>
      <c r="D15476" s="183" t="s">
        <v>10210</v>
      </c>
      <c r="E15476" s="126">
        <v>490</v>
      </c>
      <c r="F15476" s="58"/>
      <c r="G15476" s="58">
        <f t="shared" si="247"/>
        <v>-490</v>
      </c>
      <c r="H15476" s="705" t="s">
        <v>10315</v>
      </c>
    </row>
    <row r="15477" spans="1:8" ht="15" x14ac:dyDescent="0.2">
      <c r="A15477" s="734">
        <v>45096</v>
      </c>
      <c r="B15477" s="63" t="s">
        <v>16</v>
      </c>
      <c r="C15477" s="63" t="s">
        <v>103</v>
      </c>
      <c r="D15477" s="183" t="s">
        <v>10211</v>
      </c>
      <c r="E15477" s="126">
        <v>4500</v>
      </c>
      <c r="F15477" s="58"/>
      <c r="G15477" s="58">
        <f t="shared" si="247"/>
        <v>-4500</v>
      </c>
      <c r="H15477" s="705" t="s">
        <v>10315</v>
      </c>
    </row>
    <row r="15478" spans="1:8" ht="15" x14ac:dyDescent="0.2">
      <c r="A15478" s="734">
        <v>45096</v>
      </c>
      <c r="B15478" s="63" t="s">
        <v>9464</v>
      </c>
      <c r="C15478" s="63" t="s">
        <v>10063</v>
      </c>
      <c r="D15478" s="183" t="s">
        <v>10214</v>
      </c>
      <c r="E15478" s="126">
        <v>50000</v>
      </c>
      <c r="F15478" s="58"/>
      <c r="G15478" s="58">
        <f t="shared" si="247"/>
        <v>-50000</v>
      </c>
      <c r="H15478" s="705" t="s">
        <v>10315</v>
      </c>
    </row>
    <row r="15479" spans="1:8" ht="15" x14ac:dyDescent="0.2">
      <c r="A15479" s="734">
        <v>45096</v>
      </c>
      <c r="B15479" s="63" t="s">
        <v>10023</v>
      </c>
      <c r="C15479" s="63" t="s">
        <v>3145</v>
      </c>
      <c r="D15479" s="183" t="s">
        <v>3807</v>
      </c>
      <c r="E15479" s="126">
        <v>3880</v>
      </c>
      <c r="F15479" s="58"/>
      <c r="G15479" s="58">
        <f t="shared" si="247"/>
        <v>-3880</v>
      </c>
      <c r="H15479" s="705" t="s">
        <v>10315</v>
      </c>
    </row>
    <row r="15480" spans="1:8" ht="15" x14ac:dyDescent="0.2">
      <c r="A15480" s="734">
        <v>45096</v>
      </c>
      <c r="B15480" s="63" t="s">
        <v>10023</v>
      </c>
      <c r="C15480" s="63" t="s">
        <v>3145</v>
      </c>
      <c r="D15480" s="183" t="s">
        <v>3807</v>
      </c>
      <c r="E15480" s="126">
        <v>99715</v>
      </c>
      <c r="F15480" s="58"/>
      <c r="G15480" s="58">
        <f t="shared" si="247"/>
        <v>-99715</v>
      </c>
      <c r="H15480" s="705" t="s">
        <v>10315</v>
      </c>
    </row>
    <row r="15481" spans="1:8" ht="15" x14ac:dyDescent="0.2">
      <c r="A15481" s="734">
        <v>45097</v>
      </c>
      <c r="B15481" s="63" t="s">
        <v>9769</v>
      </c>
      <c r="C15481" s="63" t="s">
        <v>6249</v>
      </c>
      <c r="D15481" s="183" t="s">
        <v>10215</v>
      </c>
      <c r="E15481" s="126">
        <v>17000</v>
      </c>
      <c r="F15481" s="58"/>
      <c r="G15481" s="58">
        <f t="shared" si="247"/>
        <v>-17000</v>
      </c>
      <c r="H15481" s="705" t="s">
        <v>10315</v>
      </c>
    </row>
    <row r="15482" spans="1:8" ht="15" x14ac:dyDescent="0.2">
      <c r="A15482" s="734">
        <v>45097</v>
      </c>
      <c r="B15482" s="63" t="s">
        <v>9769</v>
      </c>
      <c r="C15482" s="63" t="s">
        <v>3145</v>
      </c>
      <c r="D15482" s="183" t="s">
        <v>9941</v>
      </c>
      <c r="E15482" s="126">
        <v>18500</v>
      </c>
      <c r="F15482" s="58"/>
      <c r="G15482" s="58">
        <f t="shared" si="247"/>
        <v>-18500</v>
      </c>
      <c r="H15482" s="705" t="s">
        <v>10315</v>
      </c>
    </row>
    <row r="15483" spans="1:8" ht="15" x14ac:dyDescent="0.2">
      <c r="A15483" s="734">
        <v>45097</v>
      </c>
      <c r="B15483" s="63" t="s">
        <v>9356</v>
      </c>
      <c r="C15483" s="63" t="s">
        <v>3145</v>
      </c>
      <c r="D15483" s="183" t="s">
        <v>10216</v>
      </c>
      <c r="E15483" s="126">
        <v>51720</v>
      </c>
      <c r="F15483" s="58"/>
      <c r="G15483" s="58">
        <f t="shared" ref="G15483:G15546" si="248">F15483-E15483</f>
        <v>-51720</v>
      </c>
      <c r="H15483" s="705" t="s">
        <v>10315</v>
      </c>
    </row>
    <row r="15484" spans="1:8" ht="15" x14ac:dyDescent="0.2">
      <c r="A15484" s="734">
        <v>45097</v>
      </c>
      <c r="B15484" s="63" t="s">
        <v>9356</v>
      </c>
      <c r="C15484" s="63" t="s">
        <v>3145</v>
      </c>
      <c r="D15484" s="183" t="s">
        <v>10168</v>
      </c>
      <c r="E15484" s="126">
        <v>44720</v>
      </c>
      <c r="F15484" s="58"/>
      <c r="G15484" s="58">
        <f t="shared" si="248"/>
        <v>-44720</v>
      </c>
      <c r="H15484" s="705" t="s">
        <v>10315</v>
      </c>
    </row>
    <row r="15485" spans="1:8" ht="15" x14ac:dyDescent="0.2">
      <c r="A15485" s="734">
        <v>45097</v>
      </c>
      <c r="B15485" s="63" t="s">
        <v>9356</v>
      </c>
      <c r="C15485" s="63" t="s">
        <v>5741</v>
      </c>
      <c r="D15485" s="183" t="s">
        <v>370</v>
      </c>
      <c r="E15485" s="126">
        <v>1050</v>
      </c>
      <c r="F15485" s="58"/>
      <c r="G15485" s="58">
        <f t="shared" si="248"/>
        <v>-1050</v>
      </c>
      <c r="H15485" s="705" t="s">
        <v>10315</v>
      </c>
    </row>
    <row r="15486" spans="1:8" ht="15" x14ac:dyDescent="0.2">
      <c r="A15486" s="734">
        <v>45097</v>
      </c>
      <c r="B15486" s="63" t="s">
        <v>9356</v>
      </c>
      <c r="C15486" s="63" t="s">
        <v>286</v>
      </c>
      <c r="D15486" s="183" t="s">
        <v>2431</v>
      </c>
      <c r="E15486" s="126">
        <v>300</v>
      </c>
      <c r="F15486" s="58"/>
      <c r="G15486" s="58">
        <f t="shared" si="248"/>
        <v>-300</v>
      </c>
      <c r="H15486" s="705" t="s">
        <v>10315</v>
      </c>
    </row>
    <row r="15487" spans="1:8" ht="15" x14ac:dyDescent="0.2">
      <c r="A15487" s="734">
        <v>45097</v>
      </c>
      <c r="B15487" s="63" t="s">
        <v>9769</v>
      </c>
      <c r="C15487" s="63" t="s">
        <v>4876</v>
      </c>
      <c r="D15487" s="183" t="s">
        <v>10223</v>
      </c>
      <c r="E15487" s="126">
        <v>6000</v>
      </c>
      <c r="F15487" s="58"/>
      <c r="G15487" s="58">
        <f t="shared" si="248"/>
        <v>-6000</v>
      </c>
      <c r="H15487" s="705" t="s">
        <v>10315</v>
      </c>
    </row>
    <row r="15488" spans="1:8" ht="15" x14ac:dyDescent="0.2">
      <c r="A15488" s="734">
        <v>45097</v>
      </c>
      <c r="B15488" s="63" t="s">
        <v>9356</v>
      </c>
      <c r="C15488" s="63" t="s">
        <v>9460</v>
      </c>
      <c r="D15488" s="183" t="s">
        <v>10227</v>
      </c>
      <c r="E15488" s="126">
        <v>50000</v>
      </c>
      <c r="F15488" s="58"/>
      <c r="G15488" s="58">
        <f t="shared" si="248"/>
        <v>-50000</v>
      </c>
      <c r="H15488" s="705" t="s">
        <v>10315</v>
      </c>
    </row>
    <row r="15489" spans="1:8" ht="15" x14ac:dyDescent="0.2">
      <c r="A15489" s="734">
        <v>45097</v>
      </c>
      <c r="B15489" s="63" t="s">
        <v>9464</v>
      </c>
      <c r="C15489" s="63" t="s">
        <v>3145</v>
      </c>
      <c r="D15489" s="183" t="s">
        <v>10217</v>
      </c>
      <c r="E15489" s="126">
        <v>47000</v>
      </c>
      <c r="F15489" s="58"/>
      <c r="G15489" s="58">
        <f t="shared" si="248"/>
        <v>-47000</v>
      </c>
      <c r="H15489" s="705" t="s">
        <v>10315</v>
      </c>
    </row>
    <row r="15490" spans="1:8" ht="15" x14ac:dyDescent="0.2">
      <c r="A15490" s="734">
        <v>45097</v>
      </c>
      <c r="B15490" s="63" t="s">
        <v>9356</v>
      </c>
      <c r="C15490" s="63" t="s">
        <v>5741</v>
      </c>
      <c r="D15490" s="183" t="s">
        <v>370</v>
      </c>
      <c r="E15490" s="126">
        <v>2000</v>
      </c>
      <c r="F15490" s="58"/>
      <c r="G15490" s="58">
        <f t="shared" si="248"/>
        <v>-2000</v>
      </c>
      <c r="H15490" s="705" t="s">
        <v>10315</v>
      </c>
    </row>
    <row r="15491" spans="1:8" ht="15" x14ac:dyDescent="0.2">
      <c r="A15491" s="734">
        <v>45097</v>
      </c>
      <c r="B15491" s="63" t="s">
        <v>10023</v>
      </c>
      <c r="C15491" s="63" t="s">
        <v>5741</v>
      </c>
      <c r="D15491" s="183" t="s">
        <v>370</v>
      </c>
      <c r="E15491" s="126">
        <v>1500</v>
      </c>
      <c r="F15491" s="58"/>
      <c r="G15491" s="58">
        <f t="shared" si="248"/>
        <v>-1500</v>
      </c>
      <c r="H15491" s="705" t="s">
        <v>10315</v>
      </c>
    </row>
    <row r="15492" spans="1:8" ht="15" x14ac:dyDescent="0.2">
      <c r="A15492" s="734">
        <v>45097</v>
      </c>
      <c r="B15492" s="63" t="s">
        <v>9832</v>
      </c>
      <c r="C15492" s="63" t="s">
        <v>5741</v>
      </c>
      <c r="D15492" s="183" t="s">
        <v>370</v>
      </c>
      <c r="E15492" s="126">
        <v>2000</v>
      </c>
      <c r="F15492" s="58"/>
      <c r="G15492" s="58">
        <f t="shared" si="248"/>
        <v>-2000</v>
      </c>
      <c r="H15492" s="705" t="s">
        <v>10315</v>
      </c>
    </row>
    <row r="15493" spans="1:8" ht="15" x14ac:dyDescent="0.2">
      <c r="A15493" s="734">
        <v>45097</v>
      </c>
      <c r="B15493" s="63" t="s">
        <v>9769</v>
      </c>
      <c r="C15493" s="63" t="s">
        <v>5741</v>
      </c>
      <c r="D15493" s="183" t="s">
        <v>370</v>
      </c>
      <c r="E15493" s="126">
        <v>800</v>
      </c>
      <c r="F15493" s="58"/>
      <c r="G15493" s="58">
        <f t="shared" si="248"/>
        <v>-800</v>
      </c>
      <c r="H15493" s="705" t="s">
        <v>10315</v>
      </c>
    </row>
    <row r="15494" spans="1:8" ht="15" x14ac:dyDescent="0.2">
      <c r="A15494" s="734">
        <v>45097</v>
      </c>
      <c r="B15494" s="63" t="s">
        <v>10144</v>
      </c>
      <c r="C15494" s="63" t="s">
        <v>5741</v>
      </c>
      <c r="D15494" s="183" t="s">
        <v>370</v>
      </c>
      <c r="E15494" s="126">
        <v>1000</v>
      </c>
      <c r="F15494" s="58"/>
      <c r="G15494" s="58">
        <f t="shared" si="248"/>
        <v>-1000</v>
      </c>
      <c r="H15494" s="705" t="s">
        <v>10315</v>
      </c>
    </row>
    <row r="15495" spans="1:8" ht="15" x14ac:dyDescent="0.2">
      <c r="A15495" s="734">
        <v>45097</v>
      </c>
      <c r="B15495" s="63" t="s">
        <v>9402</v>
      </c>
      <c r="C15495" s="63" t="s">
        <v>9549</v>
      </c>
      <c r="D15495" s="740" t="s">
        <v>10254</v>
      </c>
      <c r="E15495" s="552">
        <v>70000</v>
      </c>
      <c r="F15495" s="58"/>
      <c r="G15495" s="58">
        <f t="shared" si="248"/>
        <v>-70000</v>
      </c>
      <c r="H15495" s="705" t="s">
        <v>10315</v>
      </c>
    </row>
    <row r="15496" spans="1:8" ht="15" x14ac:dyDescent="0.2">
      <c r="A15496" s="734">
        <v>45097</v>
      </c>
      <c r="B15496" s="63" t="s">
        <v>10242</v>
      </c>
      <c r="C15496" s="63" t="s">
        <v>9549</v>
      </c>
      <c r="D15496" s="740" t="s">
        <v>10253</v>
      </c>
      <c r="E15496" s="552">
        <v>30000</v>
      </c>
      <c r="F15496" s="58"/>
      <c r="G15496" s="58">
        <f t="shared" si="248"/>
        <v>-30000</v>
      </c>
      <c r="H15496" s="705" t="s">
        <v>10315</v>
      </c>
    </row>
    <row r="15497" spans="1:8" ht="15" x14ac:dyDescent="0.2">
      <c r="A15497" s="734">
        <v>45097</v>
      </c>
      <c r="B15497" s="63" t="s">
        <v>9769</v>
      </c>
      <c r="C15497" s="63" t="s">
        <v>3292</v>
      </c>
      <c r="D15497" s="183" t="s">
        <v>10218</v>
      </c>
      <c r="E15497" s="126">
        <v>200000</v>
      </c>
      <c r="F15497" s="58"/>
      <c r="G15497" s="58">
        <f t="shared" si="248"/>
        <v>-200000</v>
      </c>
      <c r="H15497" s="705" t="s">
        <v>10315</v>
      </c>
    </row>
    <row r="15498" spans="1:8" ht="15" x14ac:dyDescent="0.2">
      <c r="A15498" s="734">
        <v>45097</v>
      </c>
      <c r="B15498" s="63" t="s">
        <v>9356</v>
      </c>
      <c r="C15498" s="63" t="s">
        <v>705</v>
      </c>
      <c r="D15498" s="183" t="s">
        <v>10219</v>
      </c>
      <c r="E15498" s="126">
        <v>250000</v>
      </c>
      <c r="F15498" s="58"/>
      <c r="G15498" s="58">
        <f t="shared" si="248"/>
        <v>-250000</v>
      </c>
      <c r="H15498" s="705" t="s">
        <v>10315</v>
      </c>
    </row>
    <row r="15499" spans="1:8" ht="15" x14ac:dyDescent="0.2">
      <c r="A15499" s="734">
        <v>45097</v>
      </c>
      <c r="B15499" s="63" t="s">
        <v>9356</v>
      </c>
      <c r="C15499" s="63" t="s">
        <v>705</v>
      </c>
      <c r="D15499" s="183" t="s">
        <v>10219</v>
      </c>
      <c r="E15499" s="126">
        <v>250000</v>
      </c>
      <c r="F15499" s="58"/>
      <c r="G15499" s="58">
        <f t="shared" si="248"/>
        <v>-250000</v>
      </c>
      <c r="H15499" s="705" t="s">
        <v>10315</v>
      </c>
    </row>
    <row r="15500" spans="1:8" ht="15" x14ac:dyDescent="0.2">
      <c r="A15500" s="734">
        <v>45097</v>
      </c>
      <c r="B15500" s="63" t="s">
        <v>9832</v>
      </c>
      <c r="C15500" s="63" t="s">
        <v>5741</v>
      </c>
      <c r="D15500" s="183" t="s">
        <v>10220</v>
      </c>
      <c r="E15500" s="126">
        <v>5500</v>
      </c>
      <c r="F15500" s="58"/>
      <c r="G15500" s="58">
        <f t="shared" si="248"/>
        <v>-5500</v>
      </c>
      <c r="H15500" s="705" t="s">
        <v>10315</v>
      </c>
    </row>
    <row r="15501" spans="1:8" ht="15" x14ac:dyDescent="0.2">
      <c r="A15501" s="734">
        <v>45097</v>
      </c>
      <c r="B15501" s="63" t="s">
        <v>10909</v>
      </c>
      <c r="C15501" s="63" t="s">
        <v>392</v>
      </c>
      <c r="D15501" s="183" t="s">
        <v>10221</v>
      </c>
      <c r="E15501" s="126">
        <v>1000</v>
      </c>
      <c r="F15501" s="58"/>
      <c r="G15501" s="58">
        <f t="shared" si="248"/>
        <v>-1000</v>
      </c>
      <c r="H15501" s="705" t="s">
        <v>10315</v>
      </c>
    </row>
    <row r="15502" spans="1:8" ht="15" customHeight="1" x14ac:dyDescent="0.2">
      <c r="A15502" s="734">
        <v>45097</v>
      </c>
      <c r="B15502" s="63" t="s">
        <v>16</v>
      </c>
      <c r="C15502" s="63" t="s">
        <v>4441</v>
      </c>
      <c r="D15502" s="183" t="s">
        <v>6838</v>
      </c>
      <c r="E15502" s="126">
        <v>150000</v>
      </c>
      <c r="F15502" s="58"/>
      <c r="G15502" s="58">
        <f t="shared" si="248"/>
        <v>-150000</v>
      </c>
      <c r="H15502" s="705" t="s">
        <v>10315</v>
      </c>
    </row>
    <row r="15503" spans="1:8" ht="15" customHeight="1" x14ac:dyDescent="0.2">
      <c r="A15503" s="734">
        <v>45097</v>
      </c>
      <c r="B15503" s="63" t="s">
        <v>9661</v>
      </c>
      <c r="C15503" s="63" t="s">
        <v>392</v>
      </c>
      <c r="D15503" s="183" t="s">
        <v>10222</v>
      </c>
      <c r="E15503" s="126">
        <v>5000</v>
      </c>
      <c r="F15503" s="58"/>
      <c r="G15503" s="58">
        <f t="shared" si="248"/>
        <v>-5000</v>
      </c>
      <c r="H15503" s="705" t="s">
        <v>10315</v>
      </c>
    </row>
    <row r="15504" spans="1:8" ht="15" x14ac:dyDescent="0.2">
      <c r="A15504" s="734">
        <v>45097</v>
      </c>
      <c r="B15504" s="63" t="s">
        <v>9769</v>
      </c>
      <c r="C15504" s="63" t="s">
        <v>10236</v>
      </c>
      <c r="D15504" s="183" t="s">
        <v>10238</v>
      </c>
      <c r="E15504" s="126">
        <v>199700</v>
      </c>
      <c r="F15504" s="58"/>
      <c r="G15504" s="58">
        <f t="shared" si="248"/>
        <v>-199700</v>
      </c>
      <c r="H15504" s="705" t="s">
        <v>10315</v>
      </c>
    </row>
    <row r="15505" spans="1:8" ht="15" x14ac:dyDescent="0.2">
      <c r="A15505" s="734">
        <v>45098</v>
      </c>
      <c r="B15505" s="63" t="s">
        <v>10242</v>
      </c>
      <c r="C15505" s="63" t="s">
        <v>5741</v>
      </c>
      <c r="D15505" s="183" t="s">
        <v>370</v>
      </c>
      <c r="E15505" s="126">
        <v>400</v>
      </c>
      <c r="F15505" s="58"/>
      <c r="G15505" s="58">
        <f t="shared" si="248"/>
        <v>-400</v>
      </c>
      <c r="H15505" s="705" t="s">
        <v>10315</v>
      </c>
    </row>
    <row r="15506" spans="1:8" ht="15" x14ac:dyDescent="0.2">
      <c r="A15506" s="734">
        <v>45098</v>
      </c>
      <c r="B15506" s="63" t="s">
        <v>16</v>
      </c>
      <c r="C15506" s="63" t="s">
        <v>103</v>
      </c>
      <c r="D15506" s="183" t="s">
        <v>10211</v>
      </c>
      <c r="E15506" s="126">
        <v>4000</v>
      </c>
      <c r="F15506" s="58"/>
      <c r="G15506" s="58">
        <f t="shared" si="248"/>
        <v>-4000</v>
      </c>
      <c r="H15506" s="705" t="s">
        <v>10315</v>
      </c>
    </row>
    <row r="15507" spans="1:8" ht="15" x14ac:dyDescent="0.2">
      <c r="A15507" s="734">
        <v>45098</v>
      </c>
      <c r="B15507" s="63" t="s">
        <v>9769</v>
      </c>
      <c r="C15507" s="63" t="s">
        <v>8071</v>
      </c>
      <c r="D15507" s="183" t="s">
        <v>10244</v>
      </c>
      <c r="E15507" s="126">
        <v>100000</v>
      </c>
      <c r="F15507" s="58"/>
      <c r="G15507" s="58">
        <f t="shared" si="248"/>
        <v>-100000</v>
      </c>
      <c r="H15507" s="705" t="s">
        <v>10315</v>
      </c>
    </row>
    <row r="15508" spans="1:8" ht="15" x14ac:dyDescent="0.2">
      <c r="A15508" s="734">
        <v>45098</v>
      </c>
      <c r="B15508" s="63" t="s">
        <v>2933</v>
      </c>
      <c r="C15508" s="63" t="s">
        <v>3966</v>
      </c>
      <c r="D15508" s="183" t="s">
        <v>10245</v>
      </c>
      <c r="E15508" s="126">
        <v>5000</v>
      </c>
      <c r="F15508" s="58"/>
      <c r="G15508" s="58">
        <f t="shared" si="248"/>
        <v>-5000</v>
      </c>
      <c r="H15508" s="705" t="s">
        <v>10315</v>
      </c>
    </row>
    <row r="15509" spans="1:8" ht="15" x14ac:dyDescent="0.2">
      <c r="A15509" s="734">
        <v>45098</v>
      </c>
      <c r="B15509" s="63" t="s">
        <v>9769</v>
      </c>
      <c r="C15509" s="63" t="s">
        <v>3145</v>
      </c>
      <c r="D15509" s="183" t="s">
        <v>10246</v>
      </c>
      <c r="E15509" s="126">
        <v>9500</v>
      </c>
      <c r="F15509" s="58"/>
      <c r="G15509" s="58">
        <f t="shared" si="248"/>
        <v>-9500</v>
      </c>
      <c r="H15509" s="705" t="s">
        <v>10315</v>
      </c>
    </row>
    <row r="15510" spans="1:8" ht="15" x14ac:dyDescent="0.2">
      <c r="A15510" s="734">
        <v>45098</v>
      </c>
      <c r="B15510" s="63" t="s">
        <v>9769</v>
      </c>
      <c r="C15510" s="63" t="s">
        <v>4876</v>
      </c>
      <c r="D15510" s="183" t="s">
        <v>10247</v>
      </c>
      <c r="E15510" s="126">
        <v>3000</v>
      </c>
      <c r="F15510" s="58"/>
      <c r="G15510" s="58">
        <f t="shared" si="248"/>
        <v>-3000</v>
      </c>
      <c r="H15510" s="705" t="s">
        <v>10315</v>
      </c>
    </row>
    <row r="15511" spans="1:8" ht="15" x14ac:dyDescent="0.2">
      <c r="A15511" s="734">
        <v>45098</v>
      </c>
      <c r="B15511" s="63" t="s">
        <v>10023</v>
      </c>
      <c r="C15511" s="63" t="s">
        <v>286</v>
      </c>
      <c r="D15511" s="183" t="s">
        <v>8448</v>
      </c>
      <c r="E15511" s="126">
        <v>950</v>
      </c>
      <c r="F15511" s="58"/>
      <c r="G15511" s="58">
        <f t="shared" si="248"/>
        <v>-950</v>
      </c>
      <c r="H15511" s="705" t="s">
        <v>10315</v>
      </c>
    </row>
    <row r="15512" spans="1:8" ht="15" x14ac:dyDescent="0.2">
      <c r="A15512" s="734">
        <v>45098</v>
      </c>
      <c r="B15512" s="63" t="s">
        <v>10242</v>
      </c>
      <c r="C15512" s="63" t="s">
        <v>3145</v>
      </c>
      <c r="D15512" s="183" t="s">
        <v>10243</v>
      </c>
      <c r="E15512" s="126">
        <v>5500</v>
      </c>
      <c r="F15512" s="58"/>
      <c r="G15512" s="58">
        <f t="shared" si="248"/>
        <v>-5500</v>
      </c>
      <c r="H15512" s="705" t="s">
        <v>10315</v>
      </c>
    </row>
    <row r="15513" spans="1:8" ht="15" x14ac:dyDescent="0.2">
      <c r="A15513" s="734">
        <v>45098</v>
      </c>
      <c r="B15513" s="63" t="s">
        <v>9402</v>
      </c>
      <c r="C15513" s="63" t="s">
        <v>3145</v>
      </c>
      <c r="D15513" s="183" t="s">
        <v>10243</v>
      </c>
      <c r="E15513" s="126">
        <v>6362</v>
      </c>
      <c r="F15513" s="58"/>
      <c r="G15513" s="58">
        <f t="shared" si="248"/>
        <v>-6362</v>
      </c>
      <c r="H15513" s="705" t="s">
        <v>10315</v>
      </c>
    </row>
    <row r="15514" spans="1:8" ht="15" x14ac:dyDescent="0.2">
      <c r="A15514" s="734">
        <v>45098</v>
      </c>
      <c r="B15514" s="63" t="s">
        <v>16</v>
      </c>
      <c r="C15514" s="63" t="s">
        <v>9036</v>
      </c>
      <c r="D15514" s="183" t="s">
        <v>10239</v>
      </c>
      <c r="E15514" s="126">
        <v>5000</v>
      </c>
      <c r="F15514" s="58"/>
      <c r="G15514" s="58">
        <f t="shared" si="248"/>
        <v>-5000</v>
      </c>
      <c r="H15514" s="705" t="s">
        <v>10315</v>
      </c>
    </row>
    <row r="15515" spans="1:8" ht="15" x14ac:dyDescent="0.2">
      <c r="A15515" s="734">
        <v>45098</v>
      </c>
      <c r="B15515" s="63" t="s">
        <v>10242</v>
      </c>
      <c r="C15515" s="63" t="s">
        <v>5741</v>
      </c>
      <c r="D15515" s="183" t="s">
        <v>370</v>
      </c>
      <c r="E15515" s="126">
        <v>3000</v>
      </c>
      <c r="F15515" s="58"/>
      <c r="G15515" s="58">
        <f t="shared" si="248"/>
        <v>-3000</v>
      </c>
      <c r="H15515" s="705" t="s">
        <v>10315</v>
      </c>
    </row>
    <row r="15516" spans="1:8" ht="15" x14ac:dyDescent="0.2">
      <c r="A15516" s="734">
        <v>45098</v>
      </c>
      <c r="B15516" s="63" t="s">
        <v>16</v>
      </c>
      <c r="C15516" s="63" t="s">
        <v>392</v>
      </c>
      <c r="D15516" s="183" t="s">
        <v>10211</v>
      </c>
      <c r="E15516" s="126">
        <v>4500</v>
      </c>
      <c r="F15516" s="58"/>
      <c r="G15516" s="58">
        <f t="shared" si="248"/>
        <v>-4500</v>
      </c>
      <c r="H15516" s="705" t="s">
        <v>10315</v>
      </c>
    </row>
    <row r="15517" spans="1:8" ht="15" x14ac:dyDescent="0.2">
      <c r="A15517" s="734">
        <v>45098</v>
      </c>
      <c r="B15517" s="63" t="s">
        <v>16</v>
      </c>
      <c r="C15517" s="63" t="s">
        <v>7031</v>
      </c>
      <c r="D15517" s="183" t="s">
        <v>10240</v>
      </c>
      <c r="E15517" s="126">
        <v>66680</v>
      </c>
      <c r="F15517" s="58"/>
      <c r="G15517" s="58">
        <f t="shared" si="248"/>
        <v>-66680</v>
      </c>
      <c r="H15517" s="705" t="s">
        <v>10315</v>
      </c>
    </row>
    <row r="15518" spans="1:8" ht="15" x14ac:dyDescent="0.2">
      <c r="A15518" s="734">
        <v>45098</v>
      </c>
      <c r="B15518" s="63" t="s">
        <v>25</v>
      </c>
      <c r="C15518" s="63" t="s">
        <v>8150</v>
      </c>
      <c r="D15518" s="183" t="s">
        <v>10241</v>
      </c>
      <c r="E15518" s="126">
        <v>89784</v>
      </c>
      <c r="F15518" s="58"/>
      <c r="G15518" s="58">
        <f t="shared" si="248"/>
        <v>-89784</v>
      </c>
      <c r="H15518" s="705" t="s">
        <v>10315</v>
      </c>
    </row>
    <row r="15519" spans="1:8" ht="15" x14ac:dyDescent="0.2">
      <c r="A15519" s="734">
        <v>45098</v>
      </c>
      <c r="B15519" s="63" t="s">
        <v>16</v>
      </c>
      <c r="C15519" s="63" t="s">
        <v>8150</v>
      </c>
      <c r="D15519" s="183" t="s">
        <v>10241</v>
      </c>
      <c r="E15519" s="126">
        <v>42356</v>
      </c>
      <c r="F15519" s="58"/>
      <c r="G15519" s="58">
        <f t="shared" si="248"/>
        <v>-42356</v>
      </c>
      <c r="H15519" s="705" t="s">
        <v>10315</v>
      </c>
    </row>
    <row r="15520" spans="1:8" ht="15" x14ac:dyDescent="0.2">
      <c r="A15520" s="734">
        <v>45098</v>
      </c>
      <c r="B15520" s="63" t="s">
        <v>10144</v>
      </c>
      <c r="C15520" s="63" t="s">
        <v>5741</v>
      </c>
      <c r="D15520" s="183" t="s">
        <v>370</v>
      </c>
      <c r="E15520" s="126">
        <v>1000</v>
      </c>
      <c r="F15520" s="58"/>
      <c r="G15520" s="58">
        <f t="shared" si="248"/>
        <v>-1000</v>
      </c>
      <c r="H15520" s="705" t="s">
        <v>10315</v>
      </c>
    </row>
    <row r="15521" spans="1:8" ht="15" x14ac:dyDescent="0.2">
      <c r="A15521" s="734">
        <v>45098</v>
      </c>
      <c r="B15521" s="63" t="s">
        <v>9402</v>
      </c>
      <c r="C15521" s="63" t="s">
        <v>3145</v>
      </c>
      <c r="D15521" s="183" t="s">
        <v>10248</v>
      </c>
      <c r="E15521" s="126">
        <v>20000</v>
      </c>
      <c r="F15521" s="58"/>
      <c r="G15521" s="58">
        <f t="shared" si="248"/>
        <v>-20000</v>
      </c>
      <c r="H15521" s="705" t="s">
        <v>10315</v>
      </c>
    </row>
    <row r="15522" spans="1:8" ht="15" x14ac:dyDescent="0.2">
      <c r="A15522" s="734">
        <v>45098</v>
      </c>
      <c r="B15522" s="63" t="s">
        <v>10909</v>
      </c>
      <c r="C15522" s="63" t="s">
        <v>790</v>
      </c>
      <c r="D15522" s="183" t="s">
        <v>370</v>
      </c>
      <c r="E15522" s="126">
        <v>6650</v>
      </c>
      <c r="F15522" s="58"/>
      <c r="G15522" s="58">
        <f t="shared" si="248"/>
        <v>-6650</v>
      </c>
      <c r="H15522" s="705" t="s">
        <v>10315</v>
      </c>
    </row>
    <row r="15523" spans="1:8" ht="15" x14ac:dyDescent="0.2">
      <c r="A15523" s="734">
        <v>45098</v>
      </c>
      <c r="B15523" s="63" t="s">
        <v>10023</v>
      </c>
      <c r="C15523" s="63" t="s">
        <v>790</v>
      </c>
      <c r="D15523" s="183" t="s">
        <v>370</v>
      </c>
      <c r="E15523" s="126">
        <v>100</v>
      </c>
      <c r="F15523" s="58"/>
      <c r="G15523" s="58">
        <f t="shared" si="248"/>
        <v>-100</v>
      </c>
      <c r="H15523" s="705" t="s">
        <v>10315</v>
      </c>
    </row>
    <row r="15524" spans="1:8" ht="15" x14ac:dyDescent="0.2">
      <c r="A15524" s="734">
        <v>45098</v>
      </c>
      <c r="B15524" s="63" t="s">
        <v>9402</v>
      </c>
      <c r="C15524" s="63" t="s">
        <v>790</v>
      </c>
      <c r="D15524" s="183" t="s">
        <v>370</v>
      </c>
      <c r="E15524" s="126">
        <v>250</v>
      </c>
      <c r="F15524" s="58"/>
      <c r="G15524" s="58">
        <f t="shared" si="248"/>
        <v>-250</v>
      </c>
      <c r="H15524" s="705" t="s">
        <v>10315</v>
      </c>
    </row>
    <row r="15525" spans="1:8" ht="15" x14ac:dyDescent="0.2">
      <c r="A15525" s="734">
        <v>45098</v>
      </c>
      <c r="B15525" s="63" t="s">
        <v>8043</v>
      </c>
      <c r="C15525" s="63" t="s">
        <v>790</v>
      </c>
      <c r="D15525" s="183" t="s">
        <v>370</v>
      </c>
      <c r="E15525" s="126">
        <v>900</v>
      </c>
      <c r="F15525" s="58"/>
      <c r="G15525" s="58">
        <f t="shared" si="248"/>
        <v>-900</v>
      </c>
      <c r="H15525" s="705" t="s">
        <v>10315</v>
      </c>
    </row>
    <row r="15526" spans="1:8" ht="15" x14ac:dyDescent="0.2">
      <c r="A15526" s="734">
        <v>45098</v>
      </c>
      <c r="B15526" s="63" t="s">
        <v>10242</v>
      </c>
      <c r="C15526" s="63" t="s">
        <v>790</v>
      </c>
      <c r="D15526" s="183" t="s">
        <v>370</v>
      </c>
      <c r="E15526" s="126">
        <v>220</v>
      </c>
      <c r="F15526" s="58"/>
      <c r="G15526" s="58">
        <f t="shared" si="248"/>
        <v>-220</v>
      </c>
      <c r="H15526" s="705" t="s">
        <v>10315</v>
      </c>
    </row>
    <row r="15527" spans="1:8" ht="15" x14ac:dyDescent="0.2">
      <c r="A15527" s="734">
        <v>45098</v>
      </c>
      <c r="B15527" s="63" t="s">
        <v>9832</v>
      </c>
      <c r="C15527" s="63" t="s">
        <v>790</v>
      </c>
      <c r="D15527" s="183" t="s">
        <v>370</v>
      </c>
      <c r="E15527" s="126">
        <v>250</v>
      </c>
      <c r="F15527" s="58"/>
      <c r="G15527" s="58">
        <f t="shared" si="248"/>
        <v>-250</v>
      </c>
      <c r="H15527" s="705" t="s">
        <v>10315</v>
      </c>
    </row>
    <row r="15528" spans="1:8" ht="15" x14ac:dyDescent="0.2">
      <c r="A15528" s="734">
        <v>45098</v>
      </c>
      <c r="B15528" s="63" t="s">
        <v>9409</v>
      </c>
      <c r="C15528" s="63" t="s">
        <v>790</v>
      </c>
      <c r="D15528" s="183" t="s">
        <v>370</v>
      </c>
      <c r="E15528" s="126">
        <v>500</v>
      </c>
      <c r="F15528" s="58"/>
      <c r="G15528" s="58">
        <f t="shared" si="248"/>
        <v>-500</v>
      </c>
      <c r="H15528" s="705" t="s">
        <v>10315</v>
      </c>
    </row>
    <row r="15529" spans="1:8" ht="15" x14ac:dyDescent="0.2">
      <c r="A15529" s="734">
        <v>45098</v>
      </c>
      <c r="B15529" s="63" t="s">
        <v>9402</v>
      </c>
      <c r="C15529" s="63" t="s">
        <v>3145</v>
      </c>
      <c r="D15529" s="183" t="s">
        <v>6641</v>
      </c>
      <c r="E15529" s="126">
        <v>14350</v>
      </c>
      <c r="F15529" s="58"/>
      <c r="G15529" s="58">
        <f t="shared" si="248"/>
        <v>-14350</v>
      </c>
      <c r="H15529" s="705" t="s">
        <v>10315</v>
      </c>
    </row>
    <row r="15530" spans="1:8" ht="15" x14ac:dyDescent="0.2">
      <c r="A15530" s="734">
        <v>45098</v>
      </c>
      <c r="B15530" s="63" t="s">
        <v>10023</v>
      </c>
      <c r="C15530" s="63" t="s">
        <v>9460</v>
      </c>
      <c r="D15530" s="183" t="s">
        <v>9929</v>
      </c>
      <c r="E15530" s="126">
        <v>20000</v>
      </c>
      <c r="F15530" s="58"/>
      <c r="G15530" s="58">
        <f t="shared" si="248"/>
        <v>-20000</v>
      </c>
      <c r="H15530" s="705" t="s">
        <v>10315</v>
      </c>
    </row>
    <row r="15531" spans="1:8" ht="15" x14ac:dyDescent="0.2">
      <c r="A15531" s="734">
        <v>45098</v>
      </c>
      <c r="B15531" s="63" t="s">
        <v>9402</v>
      </c>
      <c r="C15531" s="63" t="s">
        <v>3145</v>
      </c>
      <c r="D15531" s="183" t="s">
        <v>10268</v>
      </c>
      <c r="E15531" s="126">
        <v>5190</v>
      </c>
      <c r="F15531" s="58"/>
      <c r="G15531" s="58">
        <f t="shared" si="248"/>
        <v>-5190</v>
      </c>
      <c r="H15531" s="705" t="s">
        <v>10315</v>
      </c>
    </row>
    <row r="15532" spans="1:8" ht="15" x14ac:dyDescent="0.2">
      <c r="A15532" s="734">
        <v>45098</v>
      </c>
      <c r="B15532" s="63" t="s">
        <v>10242</v>
      </c>
      <c r="C15532" s="63" t="s">
        <v>3145</v>
      </c>
      <c r="D15532" s="183" t="s">
        <v>10269</v>
      </c>
      <c r="E15532" s="126">
        <v>16540</v>
      </c>
      <c r="F15532" s="58"/>
      <c r="G15532" s="58">
        <f t="shared" si="248"/>
        <v>-16540</v>
      </c>
      <c r="H15532" s="705" t="s">
        <v>10315</v>
      </c>
    </row>
    <row r="15533" spans="1:8" ht="15" x14ac:dyDescent="0.2">
      <c r="A15533" s="734">
        <v>45098</v>
      </c>
      <c r="B15533" s="63" t="s">
        <v>9409</v>
      </c>
      <c r="C15533" s="63" t="s">
        <v>10270</v>
      </c>
      <c r="D15533" s="183" t="s">
        <v>10271</v>
      </c>
      <c r="E15533" s="126">
        <v>5000</v>
      </c>
      <c r="F15533" s="58"/>
      <c r="G15533" s="58">
        <f t="shared" si="248"/>
        <v>-5000</v>
      </c>
      <c r="H15533" s="705" t="s">
        <v>10315</v>
      </c>
    </row>
    <row r="15534" spans="1:8" ht="15" x14ac:dyDescent="0.2">
      <c r="A15534" s="734">
        <v>45099</v>
      </c>
      <c r="B15534" s="63" t="s">
        <v>9409</v>
      </c>
      <c r="C15534" s="63" t="s">
        <v>10270</v>
      </c>
      <c r="D15534" s="183" t="s">
        <v>2711</v>
      </c>
      <c r="E15534" s="126">
        <v>20000</v>
      </c>
      <c r="F15534" s="58"/>
      <c r="G15534" s="58">
        <f t="shared" si="248"/>
        <v>-20000</v>
      </c>
      <c r="H15534" s="705" t="s">
        <v>10315</v>
      </c>
    </row>
    <row r="15535" spans="1:8" ht="15" x14ac:dyDescent="0.2">
      <c r="A15535" s="734">
        <v>45099</v>
      </c>
      <c r="B15535" s="63" t="s">
        <v>9409</v>
      </c>
      <c r="C15535" s="63" t="s">
        <v>9474</v>
      </c>
      <c r="D15535" s="183" t="s">
        <v>10272</v>
      </c>
      <c r="E15535" s="126">
        <v>20000</v>
      </c>
      <c r="F15535" s="58"/>
      <c r="G15535" s="58">
        <f t="shared" si="248"/>
        <v>-20000</v>
      </c>
      <c r="H15535" s="705" t="s">
        <v>10315</v>
      </c>
    </row>
    <row r="15536" spans="1:8" ht="15" x14ac:dyDescent="0.2">
      <c r="A15536" s="734">
        <v>45099</v>
      </c>
      <c r="B15536" s="63" t="s">
        <v>3946</v>
      </c>
      <c r="C15536" s="63" t="s">
        <v>392</v>
      </c>
      <c r="D15536" s="183" t="s">
        <v>10273</v>
      </c>
      <c r="E15536" s="126">
        <v>4000</v>
      </c>
      <c r="F15536" s="58"/>
      <c r="G15536" s="58">
        <f t="shared" si="248"/>
        <v>-4000</v>
      </c>
      <c r="H15536" s="705" t="s">
        <v>10315</v>
      </c>
    </row>
    <row r="15537" spans="1:8" ht="15" customHeight="1" x14ac:dyDescent="0.2">
      <c r="A15537" s="734">
        <v>45099</v>
      </c>
      <c r="B15537" s="63" t="s">
        <v>3945</v>
      </c>
      <c r="C15537" s="63" t="s">
        <v>392</v>
      </c>
      <c r="D15537" s="183" t="s">
        <v>10274</v>
      </c>
      <c r="E15537" s="126">
        <v>10000</v>
      </c>
      <c r="F15537" s="58"/>
      <c r="G15537" s="58">
        <f t="shared" si="248"/>
        <v>-10000</v>
      </c>
      <c r="H15537" s="705" t="s">
        <v>10315</v>
      </c>
    </row>
    <row r="15538" spans="1:8" ht="15" customHeight="1" x14ac:dyDescent="0.2">
      <c r="A15538" s="734">
        <v>45099</v>
      </c>
      <c r="B15538" s="63" t="s">
        <v>10023</v>
      </c>
      <c r="C15538" s="63" t="s">
        <v>9460</v>
      </c>
      <c r="D15538" s="183" t="s">
        <v>10284</v>
      </c>
      <c r="E15538" s="126">
        <v>1200</v>
      </c>
      <c r="F15538" s="58"/>
      <c r="G15538" s="58">
        <f t="shared" si="248"/>
        <v>-1200</v>
      </c>
      <c r="H15538" s="705" t="s">
        <v>10315</v>
      </c>
    </row>
    <row r="15539" spans="1:8" ht="15" x14ac:dyDescent="0.2">
      <c r="A15539" s="734">
        <v>45099</v>
      </c>
      <c r="B15539" s="63" t="s">
        <v>10023</v>
      </c>
      <c r="C15539" s="63" t="s">
        <v>5741</v>
      </c>
      <c r="D15539" s="183" t="s">
        <v>370</v>
      </c>
      <c r="E15539" s="126">
        <v>800</v>
      </c>
      <c r="F15539" s="58"/>
      <c r="G15539" s="58">
        <f t="shared" si="248"/>
        <v>-800</v>
      </c>
      <c r="H15539" s="705" t="s">
        <v>10315</v>
      </c>
    </row>
    <row r="15540" spans="1:8" ht="15" x14ac:dyDescent="0.2">
      <c r="A15540" s="734">
        <v>45099</v>
      </c>
      <c r="B15540" s="63" t="s">
        <v>10144</v>
      </c>
      <c r="C15540" s="63" t="s">
        <v>9750</v>
      </c>
      <c r="D15540" s="183" t="s">
        <v>10286</v>
      </c>
      <c r="E15540" s="126">
        <v>150000</v>
      </c>
      <c r="F15540" s="58"/>
      <c r="G15540" s="58">
        <f t="shared" si="248"/>
        <v>-150000</v>
      </c>
      <c r="H15540" s="705" t="s">
        <v>10315</v>
      </c>
    </row>
    <row r="15541" spans="1:8" ht="15" x14ac:dyDescent="0.2">
      <c r="A15541" s="734">
        <v>45099</v>
      </c>
      <c r="B15541" s="63" t="s">
        <v>10144</v>
      </c>
      <c r="C15541" s="63" t="s">
        <v>6920</v>
      </c>
      <c r="D15541" s="183" t="s">
        <v>10287</v>
      </c>
      <c r="E15541" s="126">
        <v>50000</v>
      </c>
      <c r="F15541" s="58"/>
      <c r="G15541" s="58">
        <f t="shared" si="248"/>
        <v>-50000</v>
      </c>
      <c r="H15541" s="705" t="s">
        <v>10315</v>
      </c>
    </row>
    <row r="15542" spans="1:8" ht="24" x14ac:dyDescent="0.2">
      <c r="A15542" s="734">
        <v>45099</v>
      </c>
      <c r="B15542" s="63" t="s">
        <v>9661</v>
      </c>
      <c r="C15542" s="63" t="s">
        <v>8394</v>
      </c>
      <c r="D15542" s="183" t="s">
        <v>10323</v>
      </c>
      <c r="E15542" s="126">
        <v>500000</v>
      </c>
      <c r="F15542" s="58"/>
      <c r="G15542" s="58">
        <f t="shared" si="248"/>
        <v>-500000</v>
      </c>
      <c r="H15542" s="705" t="s">
        <v>10315</v>
      </c>
    </row>
    <row r="15543" spans="1:8" ht="24" x14ac:dyDescent="0.2">
      <c r="A15543" s="734">
        <v>45099</v>
      </c>
      <c r="B15543" s="63" t="s">
        <v>9769</v>
      </c>
      <c r="C15543" s="63" t="s">
        <v>8394</v>
      </c>
      <c r="D15543" s="183" t="s">
        <v>10323</v>
      </c>
      <c r="E15543" s="126">
        <v>500000</v>
      </c>
      <c r="F15543" s="58"/>
      <c r="G15543" s="58">
        <f t="shared" si="248"/>
        <v>-500000</v>
      </c>
      <c r="H15543" s="705" t="s">
        <v>10315</v>
      </c>
    </row>
    <row r="15544" spans="1:8" ht="15" x14ac:dyDescent="0.2">
      <c r="A15544" s="734">
        <v>45100</v>
      </c>
      <c r="B15544" s="63" t="s">
        <v>9769</v>
      </c>
      <c r="C15544" s="63" t="s">
        <v>6249</v>
      </c>
      <c r="D15544" s="183" t="s">
        <v>10277</v>
      </c>
      <c r="E15544" s="126">
        <v>17000</v>
      </c>
      <c r="F15544" s="58"/>
      <c r="G15544" s="58">
        <f t="shared" si="248"/>
        <v>-17000</v>
      </c>
      <c r="H15544" s="705" t="s">
        <v>10315</v>
      </c>
    </row>
    <row r="15545" spans="1:8" ht="15" x14ac:dyDescent="0.2">
      <c r="A15545" s="734">
        <v>45100</v>
      </c>
      <c r="B15545" s="63" t="s">
        <v>9402</v>
      </c>
      <c r="C15545" s="63" t="s">
        <v>3145</v>
      </c>
      <c r="D15545" s="183" t="s">
        <v>10275</v>
      </c>
      <c r="E15545" s="126">
        <v>1500</v>
      </c>
      <c r="F15545" s="58"/>
      <c r="G15545" s="58">
        <f t="shared" si="248"/>
        <v>-1500</v>
      </c>
      <c r="H15545" s="705" t="s">
        <v>10315</v>
      </c>
    </row>
    <row r="15546" spans="1:8" ht="15" x14ac:dyDescent="0.2">
      <c r="A15546" s="734">
        <v>45100</v>
      </c>
      <c r="B15546" s="63" t="s">
        <v>10242</v>
      </c>
      <c r="C15546" s="63" t="s">
        <v>9788</v>
      </c>
      <c r="D15546" s="183" t="s">
        <v>10276</v>
      </c>
      <c r="E15546" s="126">
        <v>21360</v>
      </c>
      <c r="F15546" s="58"/>
      <c r="G15546" s="58">
        <f t="shared" si="248"/>
        <v>-21360</v>
      </c>
      <c r="H15546" s="705" t="s">
        <v>10315</v>
      </c>
    </row>
    <row r="15547" spans="1:8" ht="15" x14ac:dyDescent="0.2">
      <c r="A15547" s="734">
        <v>45100</v>
      </c>
      <c r="B15547" s="63" t="s">
        <v>9356</v>
      </c>
      <c r="C15547" s="63" t="s">
        <v>392</v>
      </c>
      <c r="D15547" s="183" t="s">
        <v>10278</v>
      </c>
      <c r="E15547" s="126">
        <v>900</v>
      </c>
      <c r="F15547" s="58"/>
      <c r="G15547" s="58">
        <f t="shared" ref="G15547:G15610" si="249">F15547-E15547</f>
        <v>-900</v>
      </c>
      <c r="H15547" s="705" t="s">
        <v>10315</v>
      </c>
    </row>
    <row r="15548" spans="1:8" ht="15" x14ac:dyDescent="0.2">
      <c r="A15548" s="734">
        <v>45100</v>
      </c>
      <c r="B15548" s="63" t="s">
        <v>9661</v>
      </c>
      <c r="C15548" s="63" t="s">
        <v>5741</v>
      </c>
      <c r="D15548" s="183" t="s">
        <v>370</v>
      </c>
      <c r="E15548" s="126">
        <v>1500</v>
      </c>
      <c r="F15548" s="58"/>
      <c r="G15548" s="58">
        <f t="shared" si="249"/>
        <v>-1500</v>
      </c>
      <c r="H15548" s="705" t="s">
        <v>10315</v>
      </c>
    </row>
    <row r="15549" spans="1:8" ht="15" x14ac:dyDescent="0.2">
      <c r="A15549" s="734">
        <v>45100</v>
      </c>
      <c r="B15549" s="63" t="s">
        <v>9661</v>
      </c>
      <c r="C15549" s="63" t="s">
        <v>286</v>
      </c>
      <c r="D15549" s="183" t="s">
        <v>7977</v>
      </c>
      <c r="E15549" s="126">
        <v>500</v>
      </c>
      <c r="F15549" s="58"/>
      <c r="G15549" s="58">
        <f t="shared" si="249"/>
        <v>-500</v>
      </c>
      <c r="H15549" s="705" t="s">
        <v>10315</v>
      </c>
    </row>
    <row r="15550" spans="1:8" ht="15" customHeight="1" x14ac:dyDescent="0.2">
      <c r="A15550" s="734">
        <v>45100</v>
      </c>
      <c r="B15550" s="63" t="s">
        <v>10144</v>
      </c>
      <c r="C15550" s="63" t="s">
        <v>286</v>
      </c>
      <c r="D15550" s="183" t="s">
        <v>7971</v>
      </c>
      <c r="E15550" s="126">
        <v>1000</v>
      </c>
      <c r="F15550" s="58"/>
      <c r="G15550" s="58">
        <f t="shared" si="249"/>
        <v>-1000</v>
      </c>
      <c r="H15550" s="705" t="s">
        <v>10315</v>
      </c>
    </row>
    <row r="15551" spans="1:8" ht="15" customHeight="1" x14ac:dyDescent="0.2">
      <c r="A15551" s="734">
        <v>45100</v>
      </c>
      <c r="B15551" s="63" t="s">
        <v>9356</v>
      </c>
      <c r="C15551" s="63" t="s">
        <v>3145</v>
      </c>
      <c r="D15551" s="183" t="s">
        <v>10279</v>
      </c>
      <c r="E15551" s="126">
        <v>5000</v>
      </c>
      <c r="F15551" s="58"/>
      <c r="G15551" s="58">
        <f t="shared" si="249"/>
        <v>-5000</v>
      </c>
      <c r="H15551" s="705" t="s">
        <v>10315</v>
      </c>
    </row>
    <row r="15552" spans="1:8" ht="15" customHeight="1" x14ac:dyDescent="0.2">
      <c r="A15552" s="734">
        <v>45100</v>
      </c>
      <c r="B15552" s="63" t="s">
        <v>9356</v>
      </c>
      <c r="C15552" s="63" t="s">
        <v>9646</v>
      </c>
      <c r="D15552" s="183" t="s">
        <v>9546</v>
      </c>
      <c r="E15552" s="126">
        <v>16360</v>
      </c>
      <c r="F15552" s="58"/>
      <c r="G15552" s="58">
        <f t="shared" si="249"/>
        <v>-16360</v>
      </c>
      <c r="H15552" s="705" t="s">
        <v>10315</v>
      </c>
    </row>
    <row r="15553" spans="1:8" ht="15" x14ac:dyDescent="0.2">
      <c r="A15553" s="734">
        <v>45100</v>
      </c>
      <c r="B15553" s="63" t="s">
        <v>10909</v>
      </c>
      <c r="C15553" s="63" t="s">
        <v>10280</v>
      </c>
      <c r="D15553" s="183" t="s">
        <v>8163</v>
      </c>
      <c r="E15553" s="126">
        <v>250</v>
      </c>
      <c r="F15553" s="58"/>
      <c r="G15553" s="58">
        <f t="shared" si="249"/>
        <v>-250</v>
      </c>
      <c r="H15553" s="705" t="s">
        <v>10315</v>
      </c>
    </row>
    <row r="15554" spans="1:8" ht="15" x14ac:dyDescent="0.2">
      <c r="A15554" s="734">
        <v>45100</v>
      </c>
      <c r="B15554" s="63" t="s">
        <v>16</v>
      </c>
      <c r="C15554" s="63" t="s">
        <v>103</v>
      </c>
      <c r="D15554" s="183" t="s">
        <v>10211</v>
      </c>
      <c r="E15554" s="126">
        <v>3000</v>
      </c>
      <c r="F15554" s="58"/>
      <c r="G15554" s="58">
        <f t="shared" si="249"/>
        <v>-3000</v>
      </c>
      <c r="H15554" s="705" t="s">
        <v>10315</v>
      </c>
    </row>
    <row r="15555" spans="1:8" ht="15" customHeight="1" x14ac:dyDescent="0.2">
      <c r="A15555" s="734">
        <v>45101</v>
      </c>
      <c r="B15555" s="63" t="s">
        <v>9769</v>
      </c>
      <c r="C15555" s="63" t="s">
        <v>4876</v>
      </c>
      <c r="D15555" s="183" t="s">
        <v>10281</v>
      </c>
      <c r="E15555" s="126">
        <v>9000</v>
      </c>
      <c r="F15555" s="58"/>
      <c r="G15555" s="58">
        <f t="shared" si="249"/>
        <v>-9000</v>
      </c>
      <c r="H15555" s="705" t="s">
        <v>10315</v>
      </c>
    </row>
    <row r="15556" spans="1:8" ht="15" customHeight="1" x14ac:dyDescent="0.2">
      <c r="A15556" s="734">
        <v>45101</v>
      </c>
      <c r="B15556" s="63" t="s">
        <v>9356</v>
      </c>
      <c r="C15556" s="63" t="s">
        <v>286</v>
      </c>
      <c r="D15556" s="183" t="s">
        <v>10282</v>
      </c>
      <c r="E15556" s="126">
        <v>1100</v>
      </c>
      <c r="F15556" s="58"/>
      <c r="G15556" s="58">
        <f t="shared" si="249"/>
        <v>-1100</v>
      </c>
      <c r="H15556" s="705" t="s">
        <v>10315</v>
      </c>
    </row>
    <row r="15557" spans="1:8" ht="15" customHeight="1" x14ac:dyDescent="0.2">
      <c r="A15557" s="734">
        <v>45101</v>
      </c>
      <c r="B15557" s="63" t="s">
        <v>16</v>
      </c>
      <c r="C15557" s="63" t="s">
        <v>103</v>
      </c>
      <c r="D15557" s="183" t="s">
        <v>10283</v>
      </c>
      <c r="E15557" s="126">
        <v>5000</v>
      </c>
      <c r="F15557" s="58"/>
      <c r="G15557" s="58">
        <f t="shared" si="249"/>
        <v>-5000</v>
      </c>
      <c r="H15557" s="705" t="s">
        <v>10315</v>
      </c>
    </row>
    <row r="15558" spans="1:8" ht="15" customHeight="1" x14ac:dyDescent="0.2">
      <c r="A15558" s="734">
        <v>45101</v>
      </c>
      <c r="B15558" s="63" t="s">
        <v>9661</v>
      </c>
      <c r="C15558" s="63" t="s">
        <v>3145</v>
      </c>
      <c r="D15558" s="183" t="s">
        <v>7376</v>
      </c>
      <c r="E15558" s="126">
        <v>1630</v>
      </c>
      <c r="F15558" s="58"/>
      <c r="G15558" s="58">
        <f t="shared" si="249"/>
        <v>-1630</v>
      </c>
      <c r="H15558" s="705" t="s">
        <v>10315</v>
      </c>
    </row>
    <row r="15559" spans="1:8" ht="15" customHeight="1" x14ac:dyDescent="0.2">
      <c r="A15559" s="734">
        <v>45101</v>
      </c>
      <c r="B15559" s="63" t="s">
        <v>9356</v>
      </c>
      <c r="C15559" s="63" t="s">
        <v>5741</v>
      </c>
      <c r="D15559" s="183" t="s">
        <v>370</v>
      </c>
      <c r="E15559" s="126">
        <v>600</v>
      </c>
      <c r="F15559" s="58"/>
      <c r="G15559" s="58">
        <f t="shared" si="249"/>
        <v>-600</v>
      </c>
      <c r="H15559" s="705" t="s">
        <v>10315</v>
      </c>
    </row>
    <row r="15560" spans="1:8" ht="15" x14ac:dyDescent="0.2">
      <c r="A15560" s="734">
        <v>45101</v>
      </c>
      <c r="B15560" s="63" t="s">
        <v>9769</v>
      </c>
      <c r="C15560" s="63" t="s">
        <v>5741</v>
      </c>
      <c r="D15560" s="183" t="s">
        <v>370</v>
      </c>
      <c r="E15560" s="126">
        <v>800</v>
      </c>
      <c r="F15560" s="58"/>
      <c r="G15560" s="58">
        <f t="shared" si="249"/>
        <v>-800</v>
      </c>
      <c r="H15560" s="705" t="s">
        <v>10315</v>
      </c>
    </row>
    <row r="15561" spans="1:8" ht="15" x14ac:dyDescent="0.2">
      <c r="A15561" s="734">
        <v>45101</v>
      </c>
      <c r="B15561" s="63" t="s">
        <v>10242</v>
      </c>
      <c r="C15561" s="63" t="s">
        <v>5741</v>
      </c>
      <c r="D15561" s="183" t="s">
        <v>370</v>
      </c>
      <c r="E15561" s="126">
        <v>1000</v>
      </c>
      <c r="F15561" s="58"/>
      <c r="G15561" s="58">
        <f t="shared" si="249"/>
        <v>-1000</v>
      </c>
      <c r="H15561" s="705" t="s">
        <v>10315</v>
      </c>
    </row>
    <row r="15562" spans="1:8" ht="15" x14ac:dyDescent="0.2">
      <c r="A15562" s="734">
        <v>45101</v>
      </c>
      <c r="B15562" s="63" t="s">
        <v>8657</v>
      </c>
      <c r="C15562" s="63" t="s">
        <v>5681</v>
      </c>
      <c r="D15562" s="183" t="s">
        <v>10288</v>
      </c>
      <c r="E15562" s="126">
        <v>200000</v>
      </c>
      <c r="F15562" s="58"/>
      <c r="G15562" s="58">
        <f t="shared" si="249"/>
        <v>-200000</v>
      </c>
      <c r="H15562" s="705" t="s">
        <v>10315</v>
      </c>
    </row>
    <row r="15563" spans="1:8" ht="24" x14ac:dyDescent="0.2">
      <c r="A15563" s="734">
        <v>45101</v>
      </c>
      <c r="B15563" s="63" t="s">
        <v>9832</v>
      </c>
      <c r="C15563" s="670" t="s">
        <v>3145</v>
      </c>
      <c r="D15563" s="907" t="s">
        <v>10298</v>
      </c>
      <c r="E15563" s="672">
        <v>45675</v>
      </c>
      <c r="F15563" s="126"/>
      <c r="G15563" s="126">
        <f t="shared" si="249"/>
        <v>-45675</v>
      </c>
      <c r="H15563" s="705" t="s">
        <v>10315</v>
      </c>
    </row>
    <row r="15564" spans="1:8" ht="24" x14ac:dyDescent="0.2">
      <c r="A15564" s="734">
        <v>45101</v>
      </c>
      <c r="B15564" s="63" t="s">
        <v>10023</v>
      </c>
      <c r="C15564" s="670" t="s">
        <v>3145</v>
      </c>
      <c r="D15564" s="907" t="s">
        <v>10298</v>
      </c>
      <c r="E15564" s="672">
        <v>45675</v>
      </c>
      <c r="F15564" s="126"/>
      <c r="G15564" s="126">
        <f t="shared" si="249"/>
        <v>-45675</v>
      </c>
      <c r="H15564" s="705" t="s">
        <v>10315</v>
      </c>
    </row>
    <row r="15565" spans="1:8" ht="24" x14ac:dyDescent="0.2">
      <c r="A15565" s="734">
        <v>45101</v>
      </c>
      <c r="B15565" s="63" t="s">
        <v>9661</v>
      </c>
      <c r="C15565" s="670" t="s">
        <v>3145</v>
      </c>
      <c r="D15565" s="907" t="s">
        <v>10298</v>
      </c>
      <c r="E15565" s="672">
        <v>45675</v>
      </c>
      <c r="F15565" s="126"/>
      <c r="G15565" s="126">
        <f t="shared" si="249"/>
        <v>-45675</v>
      </c>
      <c r="H15565" s="705" t="s">
        <v>10315</v>
      </c>
    </row>
    <row r="15566" spans="1:8" ht="24" x14ac:dyDescent="0.2">
      <c r="A15566" s="734">
        <v>45101</v>
      </c>
      <c r="B15566" s="63" t="s">
        <v>9402</v>
      </c>
      <c r="C15566" s="670" t="s">
        <v>3145</v>
      </c>
      <c r="D15566" s="907" t="s">
        <v>10298</v>
      </c>
      <c r="E15566" s="672">
        <v>45675</v>
      </c>
      <c r="F15566" s="126"/>
      <c r="G15566" s="126">
        <f t="shared" si="249"/>
        <v>-45675</v>
      </c>
      <c r="H15566" s="705" t="s">
        <v>10315</v>
      </c>
    </row>
    <row r="15567" spans="1:8" ht="15" x14ac:dyDescent="0.2">
      <c r="A15567" s="734">
        <v>45101</v>
      </c>
      <c r="B15567" s="63" t="s">
        <v>9409</v>
      </c>
      <c r="C15567" s="63" t="s">
        <v>392</v>
      </c>
      <c r="D15567" s="183" t="s">
        <v>10289</v>
      </c>
      <c r="E15567" s="126">
        <v>10000</v>
      </c>
      <c r="F15567" s="58"/>
      <c r="G15567" s="58">
        <f t="shared" si="249"/>
        <v>-10000</v>
      </c>
      <c r="H15567" s="705" t="s">
        <v>10315</v>
      </c>
    </row>
    <row r="15568" spans="1:8" ht="15" x14ac:dyDescent="0.2">
      <c r="A15568" s="734">
        <v>45101</v>
      </c>
      <c r="B15568" s="63" t="s">
        <v>9356</v>
      </c>
      <c r="C15568" s="63" t="s">
        <v>3145</v>
      </c>
      <c r="D15568" s="183" t="s">
        <v>10293</v>
      </c>
      <c r="E15568" s="126">
        <v>1000</v>
      </c>
      <c r="F15568" s="58"/>
      <c r="G15568" s="58">
        <f t="shared" si="249"/>
        <v>-1000</v>
      </c>
      <c r="H15568" s="705" t="s">
        <v>10315</v>
      </c>
    </row>
    <row r="15569" spans="1:8" ht="15" x14ac:dyDescent="0.2">
      <c r="A15569" s="734">
        <v>45101</v>
      </c>
      <c r="B15569" s="63" t="s">
        <v>16</v>
      </c>
      <c r="C15569" s="63" t="s">
        <v>103</v>
      </c>
      <c r="D15569" s="183" t="s">
        <v>10211</v>
      </c>
      <c r="E15569" s="126">
        <v>3000</v>
      </c>
      <c r="F15569" s="58"/>
      <c r="G15569" s="58">
        <f t="shared" si="249"/>
        <v>-3000</v>
      </c>
      <c r="H15569" s="705" t="s">
        <v>10315</v>
      </c>
    </row>
    <row r="15570" spans="1:8" ht="15" x14ac:dyDescent="0.2">
      <c r="A15570" s="734">
        <v>45101</v>
      </c>
      <c r="B15570" s="63" t="s">
        <v>16</v>
      </c>
      <c r="C15570" s="63" t="s">
        <v>5341</v>
      </c>
      <c r="D15570" s="183" t="s">
        <v>10294</v>
      </c>
      <c r="E15570" s="126">
        <v>10000</v>
      </c>
      <c r="F15570" s="58"/>
      <c r="G15570" s="58">
        <f t="shared" si="249"/>
        <v>-10000</v>
      </c>
      <c r="H15570" s="705" t="s">
        <v>10315</v>
      </c>
    </row>
    <row r="15571" spans="1:8" ht="15" x14ac:dyDescent="0.2">
      <c r="A15571" s="734">
        <v>45101</v>
      </c>
      <c r="B15571" s="63" t="s">
        <v>10023</v>
      </c>
      <c r="C15571" s="63" t="s">
        <v>9871</v>
      </c>
      <c r="D15571" s="183" t="s">
        <v>2711</v>
      </c>
      <c r="E15571" s="126">
        <v>40100</v>
      </c>
      <c r="F15571" s="58"/>
      <c r="G15571" s="58">
        <f t="shared" si="249"/>
        <v>-40100</v>
      </c>
      <c r="H15571" s="705" t="s">
        <v>10315</v>
      </c>
    </row>
    <row r="15572" spans="1:8" ht="15" x14ac:dyDescent="0.2">
      <c r="A15572" s="734">
        <v>45101</v>
      </c>
      <c r="B15572" s="63" t="s">
        <v>9769</v>
      </c>
      <c r="C15572" s="63" t="s">
        <v>790</v>
      </c>
      <c r="D15572" s="183" t="s">
        <v>370</v>
      </c>
      <c r="E15572" s="126">
        <v>150</v>
      </c>
      <c r="F15572" s="58"/>
      <c r="G15572" s="58">
        <f t="shared" si="249"/>
        <v>-150</v>
      </c>
      <c r="H15572" s="705" t="s">
        <v>10315</v>
      </c>
    </row>
    <row r="15573" spans="1:8" ht="15" x14ac:dyDescent="0.2">
      <c r="A15573" s="734">
        <v>45101</v>
      </c>
      <c r="B15573" s="63" t="s">
        <v>10144</v>
      </c>
      <c r="C15573" s="63" t="s">
        <v>790</v>
      </c>
      <c r="D15573" s="183" t="s">
        <v>370</v>
      </c>
      <c r="E15573" s="126">
        <v>4840</v>
      </c>
      <c r="F15573" s="58"/>
      <c r="G15573" s="58">
        <f t="shared" si="249"/>
        <v>-4840</v>
      </c>
      <c r="H15573" s="705" t="s">
        <v>10315</v>
      </c>
    </row>
    <row r="15574" spans="1:8" ht="15" x14ac:dyDescent="0.2">
      <c r="A15574" s="734">
        <v>45101</v>
      </c>
      <c r="B15574" s="63" t="s">
        <v>10909</v>
      </c>
      <c r="C15574" s="63" t="s">
        <v>790</v>
      </c>
      <c r="D15574" s="183" t="s">
        <v>370</v>
      </c>
      <c r="E15574" s="126">
        <v>2400</v>
      </c>
      <c r="F15574" s="58"/>
      <c r="G15574" s="58">
        <f t="shared" si="249"/>
        <v>-2400</v>
      </c>
      <c r="H15574" s="705" t="s">
        <v>10315</v>
      </c>
    </row>
    <row r="15575" spans="1:8" ht="15" x14ac:dyDescent="0.2">
      <c r="A15575" s="734">
        <v>45101</v>
      </c>
      <c r="B15575" s="63" t="s">
        <v>10232</v>
      </c>
      <c r="C15575" s="63" t="s">
        <v>790</v>
      </c>
      <c r="D15575" s="183" t="s">
        <v>370</v>
      </c>
      <c r="E15575" s="126">
        <v>1500</v>
      </c>
      <c r="F15575" s="58"/>
      <c r="G15575" s="58">
        <f t="shared" si="249"/>
        <v>-1500</v>
      </c>
      <c r="H15575" s="705" t="s">
        <v>10315</v>
      </c>
    </row>
    <row r="15576" spans="1:8" ht="15" x14ac:dyDescent="0.2">
      <c r="A15576" s="734">
        <v>45101</v>
      </c>
      <c r="B15576" s="63" t="s">
        <v>10296</v>
      </c>
      <c r="C15576" s="63" t="s">
        <v>5741</v>
      </c>
      <c r="D15576" s="183" t="s">
        <v>370</v>
      </c>
      <c r="E15576" s="126">
        <v>3000</v>
      </c>
      <c r="F15576" s="58"/>
      <c r="G15576" s="58">
        <f t="shared" si="249"/>
        <v>-3000</v>
      </c>
      <c r="H15576" s="705" t="s">
        <v>10315</v>
      </c>
    </row>
    <row r="15577" spans="1:8" ht="15" x14ac:dyDescent="0.2">
      <c r="A15577" s="734">
        <v>45101</v>
      </c>
      <c r="B15577" s="63" t="s">
        <v>10296</v>
      </c>
      <c r="C15577" s="63" t="s">
        <v>3145</v>
      </c>
      <c r="D15577" s="183" t="s">
        <v>10295</v>
      </c>
      <c r="E15577" s="126">
        <v>4725</v>
      </c>
      <c r="F15577" s="58"/>
      <c r="G15577" s="58">
        <f t="shared" si="249"/>
        <v>-4725</v>
      </c>
      <c r="H15577" s="705" t="s">
        <v>10315</v>
      </c>
    </row>
    <row r="15578" spans="1:8" ht="15" x14ac:dyDescent="0.2">
      <c r="A15578" s="734">
        <v>45101</v>
      </c>
      <c r="B15578" s="63" t="s">
        <v>16</v>
      </c>
      <c r="C15578" s="63" t="s">
        <v>2996</v>
      </c>
      <c r="D15578" s="183" t="s">
        <v>370</v>
      </c>
      <c r="E15578" s="126">
        <v>4670</v>
      </c>
      <c r="F15578" s="58"/>
      <c r="G15578" s="58">
        <f t="shared" si="249"/>
        <v>-4670</v>
      </c>
      <c r="H15578" s="705" t="s">
        <v>10315</v>
      </c>
    </row>
    <row r="15579" spans="1:8" ht="15" customHeight="1" x14ac:dyDescent="0.2">
      <c r="A15579" s="734">
        <v>45103</v>
      </c>
      <c r="B15579" s="63" t="s">
        <v>9464</v>
      </c>
      <c r="C15579" s="63" t="s">
        <v>1803</v>
      </c>
      <c r="D15579" s="183" t="s">
        <v>10219</v>
      </c>
      <c r="E15579" s="126">
        <v>65000</v>
      </c>
      <c r="F15579" s="58"/>
      <c r="G15579" s="58">
        <f t="shared" si="249"/>
        <v>-65000</v>
      </c>
      <c r="H15579" s="705" t="s">
        <v>10315</v>
      </c>
    </row>
    <row r="15580" spans="1:8" ht="15" customHeight="1" x14ac:dyDescent="0.2">
      <c r="A15580" s="734">
        <v>45103</v>
      </c>
      <c r="B15580" s="63" t="s">
        <v>9356</v>
      </c>
      <c r="C15580" s="63" t="s">
        <v>5741</v>
      </c>
      <c r="D15580" s="183" t="s">
        <v>370</v>
      </c>
      <c r="E15580" s="126">
        <v>600</v>
      </c>
      <c r="F15580" s="58"/>
      <c r="G15580" s="58">
        <f t="shared" si="249"/>
        <v>-600</v>
      </c>
      <c r="H15580" s="705" t="s">
        <v>10315</v>
      </c>
    </row>
    <row r="15581" spans="1:8" ht="15" x14ac:dyDescent="0.2">
      <c r="A15581" s="734">
        <v>45103</v>
      </c>
      <c r="B15581" s="63" t="s">
        <v>10144</v>
      </c>
      <c r="C15581" s="63" t="s">
        <v>5741</v>
      </c>
      <c r="D15581" s="183" t="s">
        <v>370</v>
      </c>
      <c r="E15581" s="126">
        <v>400</v>
      </c>
      <c r="F15581" s="58"/>
      <c r="G15581" s="58">
        <f t="shared" si="249"/>
        <v>-400</v>
      </c>
      <c r="H15581" s="705" t="s">
        <v>10315</v>
      </c>
    </row>
    <row r="15582" spans="1:8" ht="15" x14ac:dyDescent="0.2">
      <c r="A15582" s="734">
        <v>45103</v>
      </c>
      <c r="B15582" s="63" t="s">
        <v>9832</v>
      </c>
      <c r="C15582" s="63" t="s">
        <v>5741</v>
      </c>
      <c r="D15582" s="183" t="s">
        <v>370</v>
      </c>
      <c r="E15582" s="126">
        <v>800</v>
      </c>
      <c r="F15582" s="58"/>
      <c r="G15582" s="58">
        <f t="shared" si="249"/>
        <v>-800</v>
      </c>
      <c r="H15582" s="705" t="s">
        <v>10315</v>
      </c>
    </row>
    <row r="15583" spans="1:8" ht="15" x14ac:dyDescent="0.2">
      <c r="A15583" s="734">
        <v>45103</v>
      </c>
      <c r="B15583" s="63" t="s">
        <v>9769</v>
      </c>
      <c r="C15583" s="63" t="s">
        <v>5741</v>
      </c>
      <c r="D15583" s="183" t="s">
        <v>370</v>
      </c>
      <c r="E15583" s="126">
        <v>800</v>
      </c>
      <c r="F15583" s="58"/>
      <c r="G15583" s="58">
        <f t="shared" si="249"/>
        <v>-800</v>
      </c>
      <c r="H15583" s="705" t="s">
        <v>10315</v>
      </c>
    </row>
    <row r="15584" spans="1:8" ht="15" x14ac:dyDescent="0.2">
      <c r="A15584" s="734">
        <v>45103</v>
      </c>
      <c r="B15584" s="63" t="s">
        <v>10296</v>
      </c>
      <c r="C15584" s="63" t="s">
        <v>3145</v>
      </c>
      <c r="D15584" s="183" t="s">
        <v>10297</v>
      </c>
      <c r="E15584" s="126">
        <v>4700</v>
      </c>
      <c r="F15584" s="58"/>
      <c r="G15584" s="58">
        <f t="shared" si="249"/>
        <v>-4700</v>
      </c>
      <c r="H15584" s="705" t="s">
        <v>10315</v>
      </c>
    </row>
    <row r="15585" spans="1:8" ht="15" x14ac:dyDescent="0.2">
      <c r="A15585" s="734">
        <v>45103</v>
      </c>
      <c r="B15585" s="63" t="s">
        <v>10023</v>
      </c>
      <c r="C15585" s="63" t="s">
        <v>9775</v>
      </c>
      <c r="D15585" s="183" t="s">
        <v>10092</v>
      </c>
      <c r="E15585" s="126">
        <v>8500</v>
      </c>
      <c r="F15585" s="58"/>
      <c r="G15585" s="58">
        <f t="shared" si="249"/>
        <v>-8500</v>
      </c>
      <c r="H15585" s="705" t="s">
        <v>10315</v>
      </c>
    </row>
    <row r="15586" spans="1:8" ht="15" x14ac:dyDescent="0.2">
      <c r="A15586" s="734">
        <v>45103</v>
      </c>
      <c r="B15586" s="63" t="s">
        <v>9769</v>
      </c>
      <c r="C15586" s="63" t="s">
        <v>1509</v>
      </c>
      <c r="D15586" s="183" t="s">
        <v>5975</v>
      </c>
      <c r="E15586" s="126">
        <v>100000</v>
      </c>
      <c r="F15586" s="58"/>
      <c r="G15586" s="58">
        <f t="shared" si="249"/>
        <v>-100000</v>
      </c>
      <c r="H15586" s="705" t="s">
        <v>10315</v>
      </c>
    </row>
    <row r="15587" spans="1:8" ht="15" x14ac:dyDescent="0.2">
      <c r="A15587" s="734">
        <v>45103</v>
      </c>
      <c r="B15587" s="63" t="s">
        <v>9409</v>
      </c>
      <c r="C15587" s="63" t="s">
        <v>9928</v>
      </c>
      <c r="D15587" s="183" t="s">
        <v>10309</v>
      </c>
      <c r="E15587" s="126">
        <v>150000</v>
      </c>
      <c r="F15587" s="58"/>
      <c r="G15587" s="58">
        <f t="shared" si="249"/>
        <v>-150000</v>
      </c>
      <c r="H15587" s="705" t="s">
        <v>10315</v>
      </c>
    </row>
    <row r="15588" spans="1:8" ht="15" customHeight="1" x14ac:dyDescent="0.2">
      <c r="A15588" s="734">
        <v>45104</v>
      </c>
      <c r="B15588" s="63" t="s">
        <v>9409</v>
      </c>
      <c r="C15588" s="63" t="s">
        <v>3145</v>
      </c>
      <c r="D15588" s="183" t="s">
        <v>4450</v>
      </c>
      <c r="E15588" s="126">
        <v>94334</v>
      </c>
      <c r="F15588" s="58"/>
      <c r="G15588" s="58">
        <f t="shared" si="249"/>
        <v>-94334</v>
      </c>
      <c r="H15588" s="705" t="s">
        <v>10315</v>
      </c>
    </row>
    <row r="15589" spans="1:8" ht="15" customHeight="1" x14ac:dyDescent="0.2">
      <c r="A15589" s="734">
        <v>45104</v>
      </c>
      <c r="B15589" s="63" t="s">
        <v>9769</v>
      </c>
      <c r="C15589" s="962" t="s">
        <v>8900</v>
      </c>
      <c r="D15589" s="891" t="s">
        <v>10299</v>
      </c>
      <c r="E15589" s="674">
        <v>150000</v>
      </c>
      <c r="F15589" s="58"/>
      <c r="G15589" s="58">
        <f t="shared" si="249"/>
        <v>-150000</v>
      </c>
      <c r="H15589" s="705" t="s">
        <v>10315</v>
      </c>
    </row>
    <row r="15590" spans="1:8" ht="15" customHeight="1" x14ac:dyDescent="0.2">
      <c r="A15590" s="734">
        <v>45104</v>
      </c>
      <c r="B15590" s="63" t="s">
        <v>9769</v>
      </c>
      <c r="C15590" s="962" t="s">
        <v>8900</v>
      </c>
      <c r="D15590" s="891" t="s">
        <v>10300</v>
      </c>
      <c r="E15590" s="674">
        <v>250000</v>
      </c>
      <c r="F15590" s="58"/>
      <c r="G15590" s="58">
        <f t="shared" si="249"/>
        <v>-250000</v>
      </c>
      <c r="H15590" s="705" t="s">
        <v>10315</v>
      </c>
    </row>
    <row r="15591" spans="1:8" ht="15" customHeight="1" x14ac:dyDescent="0.2">
      <c r="A15591" s="734">
        <v>45104</v>
      </c>
      <c r="B15591" s="63" t="s">
        <v>9356</v>
      </c>
      <c r="C15591" s="63" t="s">
        <v>9460</v>
      </c>
      <c r="D15591" s="183" t="s">
        <v>10301</v>
      </c>
      <c r="E15591" s="126">
        <v>150000</v>
      </c>
      <c r="F15591" s="58"/>
      <c r="G15591" s="58">
        <f t="shared" si="249"/>
        <v>-150000</v>
      </c>
      <c r="H15591" s="705" t="s">
        <v>10315</v>
      </c>
    </row>
    <row r="15592" spans="1:8" ht="15" x14ac:dyDescent="0.2">
      <c r="A15592" s="734">
        <v>45104</v>
      </c>
      <c r="B15592" s="63" t="s">
        <v>9356</v>
      </c>
      <c r="C15592" s="63" t="s">
        <v>3145</v>
      </c>
      <c r="D15592" s="183" t="s">
        <v>10302</v>
      </c>
      <c r="E15592" s="126">
        <v>7200</v>
      </c>
      <c r="F15592" s="58"/>
      <c r="G15592" s="58">
        <f t="shared" si="249"/>
        <v>-7200</v>
      </c>
      <c r="H15592" s="705" t="s">
        <v>10315</v>
      </c>
    </row>
    <row r="15593" spans="1:8" ht="15" x14ac:dyDescent="0.2">
      <c r="A15593" s="734">
        <v>45104</v>
      </c>
      <c r="B15593" s="63" t="s">
        <v>9356</v>
      </c>
      <c r="C15593" s="63" t="s">
        <v>3145</v>
      </c>
      <c r="D15593" s="183" t="s">
        <v>6641</v>
      </c>
      <c r="E15593" s="126">
        <v>3460</v>
      </c>
      <c r="F15593" s="58"/>
      <c r="G15593" s="58">
        <f t="shared" si="249"/>
        <v>-3460</v>
      </c>
      <c r="H15593" s="705" t="s">
        <v>10315</v>
      </c>
    </row>
    <row r="15594" spans="1:8" ht="15" x14ac:dyDescent="0.2">
      <c r="A15594" s="734">
        <v>45104</v>
      </c>
      <c r="B15594" s="63" t="s">
        <v>9402</v>
      </c>
      <c r="C15594" s="63" t="s">
        <v>3145</v>
      </c>
      <c r="D15594" s="183" t="s">
        <v>9031</v>
      </c>
      <c r="E15594" s="126">
        <v>1060</v>
      </c>
      <c r="F15594" s="58"/>
      <c r="G15594" s="58">
        <f t="shared" si="249"/>
        <v>-1060</v>
      </c>
      <c r="H15594" s="705" t="s">
        <v>10315</v>
      </c>
    </row>
    <row r="15595" spans="1:8" ht="15" x14ac:dyDescent="0.2">
      <c r="A15595" s="734">
        <v>45104</v>
      </c>
      <c r="B15595" s="63" t="s">
        <v>9409</v>
      </c>
      <c r="C15595" s="63" t="s">
        <v>9474</v>
      </c>
      <c r="D15595" s="183" t="s">
        <v>10303</v>
      </c>
      <c r="E15595" s="126">
        <v>2000</v>
      </c>
      <c r="F15595" s="58"/>
      <c r="G15595" s="58">
        <f t="shared" si="249"/>
        <v>-2000</v>
      </c>
      <c r="H15595" s="705" t="s">
        <v>10315</v>
      </c>
    </row>
    <row r="15596" spans="1:8" ht="15" x14ac:dyDescent="0.2">
      <c r="A15596" s="734">
        <v>45104</v>
      </c>
      <c r="B15596" s="63" t="s">
        <v>9409</v>
      </c>
      <c r="C15596" s="63" t="s">
        <v>10270</v>
      </c>
      <c r="D15596" s="183" t="s">
        <v>10319</v>
      </c>
      <c r="E15596" s="126">
        <v>2000</v>
      </c>
      <c r="F15596" s="58"/>
      <c r="G15596" s="58">
        <f t="shared" si="249"/>
        <v>-2000</v>
      </c>
      <c r="H15596" s="705" t="s">
        <v>10315</v>
      </c>
    </row>
    <row r="15597" spans="1:8" ht="15" x14ac:dyDescent="0.2">
      <c r="A15597" s="734">
        <v>45104</v>
      </c>
      <c r="B15597" s="63" t="s">
        <v>10023</v>
      </c>
      <c r="C15597" s="63" t="s">
        <v>6852</v>
      </c>
      <c r="D15597" s="183" t="s">
        <v>370</v>
      </c>
      <c r="E15597" s="126">
        <v>5000</v>
      </c>
      <c r="F15597" s="58"/>
      <c r="G15597" s="58">
        <f t="shared" si="249"/>
        <v>-5000</v>
      </c>
      <c r="H15597" s="705" t="s">
        <v>10315</v>
      </c>
    </row>
    <row r="15598" spans="1:8" ht="15" x14ac:dyDescent="0.2">
      <c r="A15598" s="734">
        <v>45104</v>
      </c>
      <c r="B15598" s="63" t="s">
        <v>9464</v>
      </c>
      <c r="C15598" s="63" t="s">
        <v>6852</v>
      </c>
      <c r="D15598" s="183" t="s">
        <v>370</v>
      </c>
      <c r="E15598" s="126">
        <v>5000</v>
      </c>
      <c r="F15598" s="58"/>
      <c r="G15598" s="58">
        <f t="shared" si="249"/>
        <v>-5000</v>
      </c>
      <c r="H15598" s="705" t="s">
        <v>10315</v>
      </c>
    </row>
    <row r="15599" spans="1:8" ht="15" x14ac:dyDescent="0.2">
      <c r="A15599" s="734">
        <v>45104</v>
      </c>
      <c r="B15599" s="63" t="s">
        <v>9356</v>
      </c>
      <c r="C15599" s="63" t="s">
        <v>6967</v>
      </c>
      <c r="D15599" s="183" t="s">
        <v>10304</v>
      </c>
      <c r="E15599" s="126">
        <v>15000</v>
      </c>
      <c r="F15599" s="58"/>
      <c r="G15599" s="58">
        <f t="shared" si="249"/>
        <v>-15000</v>
      </c>
      <c r="H15599" s="705" t="s">
        <v>10315</v>
      </c>
    </row>
    <row r="15600" spans="1:8" ht="15" x14ac:dyDescent="0.2">
      <c r="A15600" s="734">
        <v>45104</v>
      </c>
      <c r="B15600" s="63" t="s">
        <v>9409</v>
      </c>
      <c r="C15600" s="63" t="s">
        <v>9474</v>
      </c>
      <c r="D15600" s="183" t="s">
        <v>10305</v>
      </c>
      <c r="E15600" s="126">
        <v>30000</v>
      </c>
      <c r="F15600" s="58"/>
      <c r="G15600" s="58">
        <f t="shared" si="249"/>
        <v>-30000</v>
      </c>
      <c r="H15600" s="705" t="s">
        <v>10315</v>
      </c>
    </row>
    <row r="15601" spans="1:8" ht="15" x14ac:dyDescent="0.2">
      <c r="A15601" s="734">
        <v>45104</v>
      </c>
      <c r="B15601" s="63" t="s">
        <v>10144</v>
      </c>
      <c r="C15601" s="63" t="s">
        <v>5741</v>
      </c>
      <c r="D15601" s="183" t="s">
        <v>370</v>
      </c>
      <c r="E15601" s="126">
        <v>1000</v>
      </c>
      <c r="F15601" s="58"/>
      <c r="G15601" s="58">
        <f t="shared" si="249"/>
        <v>-1000</v>
      </c>
      <c r="H15601" s="705" t="s">
        <v>10315</v>
      </c>
    </row>
    <row r="15602" spans="1:8" ht="15" x14ac:dyDescent="0.2">
      <c r="A15602" s="734">
        <v>45104</v>
      </c>
      <c r="B15602" s="63" t="s">
        <v>9769</v>
      </c>
      <c r="C15602" s="63" t="s">
        <v>3145</v>
      </c>
      <c r="D15602" s="183" t="s">
        <v>10307</v>
      </c>
      <c r="E15602" s="126">
        <v>3450</v>
      </c>
      <c r="F15602" s="58"/>
      <c r="G15602" s="58">
        <f t="shared" si="249"/>
        <v>-3450</v>
      </c>
      <c r="H15602" s="705" t="s">
        <v>10315</v>
      </c>
    </row>
    <row r="15603" spans="1:8" ht="15" x14ac:dyDescent="0.2">
      <c r="A15603" s="734">
        <v>45104</v>
      </c>
      <c r="B15603" s="63" t="s">
        <v>9661</v>
      </c>
      <c r="C15603" s="63" t="s">
        <v>10015</v>
      </c>
      <c r="D15603" s="183" t="s">
        <v>10306</v>
      </c>
      <c r="E15603" s="126">
        <v>1000</v>
      </c>
      <c r="F15603" s="58"/>
      <c r="G15603" s="58">
        <f t="shared" si="249"/>
        <v>-1000</v>
      </c>
      <c r="H15603" s="705" t="s">
        <v>10315</v>
      </c>
    </row>
    <row r="15604" spans="1:8" ht="15" x14ac:dyDescent="0.2">
      <c r="A15604" s="734">
        <v>45104</v>
      </c>
      <c r="B15604" s="63" t="s">
        <v>9832</v>
      </c>
      <c r="C15604" s="63" t="s">
        <v>5741</v>
      </c>
      <c r="D15604" s="183" t="s">
        <v>370</v>
      </c>
      <c r="E15604" s="126">
        <v>2000</v>
      </c>
      <c r="F15604" s="58"/>
      <c r="G15604" s="58">
        <f t="shared" si="249"/>
        <v>-2000</v>
      </c>
      <c r="H15604" s="705" t="s">
        <v>10315</v>
      </c>
    </row>
    <row r="15605" spans="1:8" ht="15" x14ac:dyDescent="0.2">
      <c r="A15605" s="734">
        <v>45104</v>
      </c>
      <c r="B15605" s="63" t="s">
        <v>10242</v>
      </c>
      <c r="C15605" s="63" t="s">
        <v>9549</v>
      </c>
      <c r="D15605" s="183" t="s">
        <v>10311</v>
      </c>
      <c r="E15605" s="126">
        <v>40000</v>
      </c>
      <c r="F15605" s="58"/>
      <c r="G15605" s="58">
        <f t="shared" si="249"/>
        <v>-40000</v>
      </c>
      <c r="H15605" s="705" t="s">
        <v>10315</v>
      </c>
    </row>
    <row r="15606" spans="1:8" ht="24" x14ac:dyDescent="0.2">
      <c r="A15606" s="734">
        <v>45104</v>
      </c>
      <c r="B15606" s="63" t="s">
        <v>9769</v>
      </c>
      <c r="C15606" s="63" t="s">
        <v>8071</v>
      </c>
      <c r="D15606" s="183" t="s">
        <v>10312</v>
      </c>
      <c r="E15606" s="126">
        <v>35000</v>
      </c>
      <c r="F15606" s="58"/>
      <c r="G15606" s="58">
        <f t="shared" si="249"/>
        <v>-35000</v>
      </c>
      <c r="H15606" s="705" t="s">
        <v>10315</v>
      </c>
    </row>
    <row r="15607" spans="1:8" ht="24" x14ac:dyDescent="0.2">
      <c r="A15607" s="734">
        <v>45104</v>
      </c>
      <c r="B15607" s="63" t="s">
        <v>9832</v>
      </c>
      <c r="C15607" s="63" t="s">
        <v>6784</v>
      </c>
      <c r="D15607" s="183" t="s">
        <v>10329</v>
      </c>
      <c r="E15607" s="126">
        <v>100000</v>
      </c>
      <c r="F15607" s="58"/>
      <c r="G15607" s="58">
        <f t="shared" si="249"/>
        <v>-100000</v>
      </c>
      <c r="H15607" s="705" t="s">
        <v>10315</v>
      </c>
    </row>
    <row r="15608" spans="1:8" ht="24" x14ac:dyDescent="0.2">
      <c r="A15608" s="734">
        <v>45104</v>
      </c>
      <c r="B15608" s="63" t="s">
        <v>9832</v>
      </c>
      <c r="C15608" s="63" t="s">
        <v>6784</v>
      </c>
      <c r="D15608" s="183" t="s">
        <v>10313</v>
      </c>
      <c r="E15608" s="126">
        <v>100000</v>
      </c>
      <c r="F15608" s="58"/>
      <c r="G15608" s="58">
        <f t="shared" si="249"/>
        <v>-100000</v>
      </c>
      <c r="H15608" s="705" t="s">
        <v>10315</v>
      </c>
    </row>
    <row r="15609" spans="1:8" ht="15" x14ac:dyDescent="0.2">
      <c r="A15609" s="734">
        <v>45104</v>
      </c>
      <c r="B15609" s="63" t="s">
        <v>9769</v>
      </c>
      <c r="C15609" s="63" t="s">
        <v>8251</v>
      </c>
      <c r="D15609" s="183" t="s">
        <v>10310</v>
      </c>
      <c r="E15609" s="126">
        <v>100000</v>
      </c>
      <c r="F15609" s="58"/>
      <c r="G15609" s="58">
        <f t="shared" si="249"/>
        <v>-100000</v>
      </c>
      <c r="H15609" s="705" t="s">
        <v>10315</v>
      </c>
    </row>
    <row r="15610" spans="1:8" ht="15" x14ac:dyDescent="0.2">
      <c r="A15610" s="733">
        <v>45086</v>
      </c>
      <c r="B15610" s="174" t="s">
        <v>10122</v>
      </c>
      <c r="C15610" s="174" t="s">
        <v>7223</v>
      </c>
      <c r="D15610" s="228" t="s">
        <v>10135</v>
      </c>
      <c r="E15610" s="236">
        <v>80000</v>
      </c>
      <c r="F15610" s="236"/>
      <c r="G15610" s="236">
        <f t="shared" si="249"/>
        <v>-80000</v>
      </c>
      <c r="H15610" s="709" t="s">
        <v>10315</v>
      </c>
    </row>
    <row r="15611" spans="1:8" ht="15" x14ac:dyDescent="0.2">
      <c r="A15611" s="733">
        <v>45086</v>
      </c>
      <c r="B15611" s="174" t="s">
        <v>9661</v>
      </c>
      <c r="C15611" s="174" t="s">
        <v>3292</v>
      </c>
      <c r="D15611" s="228" t="s">
        <v>10136</v>
      </c>
      <c r="E15611" s="236">
        <v>100000</v>
      </c>
      <c r="F15611" s="236"/>
      <c r="G15611" s="236">
        <f t="shared" ref="G15611:G15674" si="250">F15611-E15611</f>
        <v>-100000</v>
      </c>
      <c r="H15611" s="709" t="s">
        <v>10315</v>
      </c>
    </row>
    <row r="15612" spans="1:8" ht="15" x14ac:dyDescent="0.2">
      <c r="A15612" s="733">
        <v>45090</v>
      </c>
      <c r="B15612" s="174" t="s">
        <v>8868</v>
      </c>
      <c r="C15612" s="551" t="s">
        <v>9549</v>
      </c>
      <c r="D15612" s="740" t="s">
        <v>10176</v>
      </c>
      <c r="E15612" s="552">
        <v>5000</v>
      </c>
      <c r="F15612" s="236"/>
      <c r="G15612" s="236">
        <f t="shared" si="250"/>
        <v>-5000</v>
      </c>
      <c r="H15612" s="709" t="s">
        <v>10315</v>
      </c>
    </row>
    <row r="15613" spans="1:8" ht="15" x14ac:dyDescent="0.2">
      <c r="A15613" s="733">
        <v>45090</v>
      </c>
      <c r="B15613" s="174" t="s">
        <v>9661</v>
      </c>
      <c r="C15613" s="551" t="s">
        <v>9549</v>
      </c>
      <c r="D15613" s="740" t="s">
        <v>10176</v>
      </c>
      <c r="E15613" s="552">
        <v>9000</v>
      </c>
      <c r="F15613" s="236"/>
      <c r="G15613" s="236">
        <f t="shared" si="250"/>
        <v>-9000</v>
      </c>
      <c r="H15613" s="709" t="s">
        <v>10315</v>
      </c>
    </row>
    <row r="15614" spans="1:8" ht="15" x14ac:dyDescent="0.2">
      <c r="A15614" s="733">
        <v>45090</v>
      </c>
      <c r="B15614" s="174" t="s">
        <v>9661</v>
      </c>
      <c r="C15614" s="551" t="s">
        <v>9549</v>
      </c>
      <c r="D15614" s="740" t="s">
        <v>10176</v>
      </c>
      <c r="E15614" s="552">
        <v>26000</v>
      </c>
      <c r="F15614" s="236"/>
      <c r="G15614" s="236">
        <f t="shared" si="250"/>
        <v>-26000</v>
      </c>
      <c r="H15614" s="709" t="s">
        <v>10315</v>
      </c>
    </row>
    <row r="15615" spans="1:8" ht="15" x14ac:dyDescent="0.2">
      <c r="A15615" s="733">
        <v>45091</v>
      </c>
      <c r="B15615" s="174" t="s">
        <v>8657</v>
      </c>
      <c r="C15615" s="174" t="s">
        <v>5681</v>
      </c>
      <c r="D15615" s="228" t="s">
        <v>10177</v>
      </c>
      <c r="E15615" s="236">
        <v>342000</v>
      </c>
      <c r="F15615" s="236"/>
      <c r="G15615" s="236">
        <f t="shared" si="250"/>
        <v>-342000</v>
      </c>
      <c r="H15615" s="709" t="s">
        <v>10315</v>
      </c>
    </row>
    <row r="15616" spans="1:8" ht="15" x14ac:dyDescent="0.2">
      <c r="A15616" s="733">
        <v>45091</v>
      </c>
      <c r="B15616" s="174" t="s">
        <v>9769</v>
      </c>
      <c r="C15616" s="174" t="s">
        <v>8071</v>
      </c>
      <c r="D15616" s="228" t="s">
        <v>10178</v>
      </c>
      <c r="E15616" s="236">
        <v>250000</v>
      </c>
      <c r="F15616" s="236"/>
      <c r="G15616" s="236">
        <f t="shared" si="250"/>
        <v>-250000</v>
      </c>
      <c r="H15616" s="709" t="s">
        <v>10315</v>
      </c>
    </row>
    <row r="15617" spans="1:8" ht="24" x14ac:dyDescent="0.2">
      <c r="A15617" s="733">
        <v>45093</v>
      </c>
      <c r="B15617" s="174" t="s">
        <v>9356</v>
      </c>
      <c r="C15617" s="174" t="s">
        <v>9706</v>
      </c>
      <c r="D15617" s="228" t="s">
        <v>10234</v>
      </c>
      <c r="E15617" s="236">
        <v>750000</v>
      </c>
      <c r="F15617" s="236"/>
      <c r="G15617" s="236">
        <f t="shared" si="250"/>
        <v>-750000</v>
      </c>
      <c r="H15617" s="709" t="s">
        <v>10315</v>
      </c>
    </row>
    <row r="15618" spans="1:8" ht="24" x14ac:dyDescent="0.2">
      <c r="A15618" s="733">
        <v>45093</v>
      </c>
      <c r="B15618" s="174" t="s">
        <v>10232</v>
      </c>
      <c r="C15618" s="174" t="s">
        <v>9706</v>
      </c>
      <c r="D15618" s="228" t="s">
        <v>10234</v>
      </c>
      <c r="E15618" s="236">
        <v>750000</v>
      </c>
      <c r="F15618" s="236"/>
      <c r="G15618" s="236">
        <f t="shared" si="250"/>
        <v>-750000</v>
      </c>
      <c r="H15618" s="709" t="s">
        <v>10315</v>
      </c>
    </row>
    <row r="15619" spans="1:8" ht="24" x14ac:dyDescent="0.2">
      <c r="A15619" s="733">
        <v>45094</v>
      </c>
      <c r="B15619" s="174" t="s">
        <v>9409</v>
      </c>
      <c r="C15619" s="670" t="s">
        <v>256</v>
      </c>
      <c r="D15619" s="907" t="s">
        <v>10233</v>
      </c>
      <c r="E15619" s="672">
        <v>670000</v>
      </c>
      <c r="F15619" s="236"/>
      <c r="G15619" s="236">
        <f t="shared" si="250"/>
        <v>-670000</v>
      </c>
      <c r="H15619" s="709" t="s">
        <v>10315</v>
      </c>
    </row>
    <row r="15620" spans="1:8" ht="24" x14ac:dyDescent="0.2">
      <c r="A15620" s="733">
        <v>45094</v>
      </c>
      <c r="B15620" s="174" t="s">
        <v>9769</v>
      </c>
      <c r="C15620" s="670" t="s">
        <v>256</v>
      </c>
      <c r="D15620" s="907" t="s">
        <v>10233</v>
      </c>
      <c r="E15620" s="672">
        <v>49080</v>
      </c>
      <c r="F15620" s="236"/>
      <c r="G15620" s="236">
        <f t="shared" si="250"/>
        <v>-49080</v>
      </c>
      <c r="H15620" s="709" t="s">
        <v>10315</v>
      </c>
    </row>
    <row r="15621" spans="1:8" ht="24" x14ac:dyDescent="0.2">
      <c r="A15621" s="733">
        <v>45094</v>
      </c>
      <c r="B15621" s="174" t="s">
        <v>10296</v>
      </c>
      <c r="C15621" s="670" t="s">
        <v>256</v>
      </c>
      <c r="D15621" s="907" t="s">
        <v>10233</v>
      </c>
      <c r="E15621" s="672">
        <v>151960</v>
      </c>
      <c r="F15621" s="236"/>
      <c r="G15621" s="236">
        <f t="shared" si="250"/>
        <v>-151960</v>
      </c>
      <c r="H15621" s="709" t="s">
        <v>10315</v>
      </c>
    </row>
    <row r="15622" spans="1:8" ht="24" x14ac:dyDescent="0.2">
      <c r="A15622" s="733">
        <v>45094</v>
      </c>
      <c r="B15622" s="174" t="s">
        <v>10232</v>
      </c>
      <c r="C15622" s="670" t="s">
        <v>256</v>
      </c>
      <c r="D15622" s="907" t="s">
        <v>10233</v>
      </c>
      <c r="E15622" s="672">
        <v>3960</v>
      </c>
      <c r="F15622" s="236"/>
      <c r="G15622" s="236">
        <f t="shared" si="250"/>
        <v>-3960</v>
      </c>
      <c r="H15622" s="709" t="s">
        <v>10315</v>
      </c>
    </row>
    <row r="15623" spans="1:8" ht="15" x14ac:dyDescent="0.2">
      <c r="A15623" s="733">
        <v>45096</v>
      </c>
      <c r="B15623" s="174" t="s">
        <v>1400</v>
      </c>
      <c r="C15623" s="551" t="s">
        <v>1391</v>
      </c>
      <c r="D15623" s="740" t="s">
        <v>10235</v>
      </c>
      <c r="E15623" s="552">
        <v>7264</v>
      </c>
      <c r="F15623" s="236"/>
      <c r="G15623" s="236">
        <f t="shared" si="250"/>
        <v>-7264</v>
      </c>
      <c r="H15623" s="709" t="s">
        <v>10315</v>
      </c>
    </row>
    <row r="15624" spans="1:8" ht="15" x14ac:dyDescent="0.2">
      <c r="A15624" s="733">
        <v>45096</v>
      </c>
      <c r="B15624" s="174" t="s">
        <v>6505</v>
      </c>
      <c r="C15624" s="551" t="s">
        <v>1391</v>
      </c>
      <c r="D15624" s="740" t="s">
        <v>10235</v>
      </c>
      <c r="E15624" s="552">
        <v>1320</v>
      </c>
      <c r="F15624" s="236"/>
      <c r="G15624" s="236">
        <f t="shared" si="250"/>
        <v>-1320</v>
      </c>
      <c r="H15624" s="709" t="s">
        <v>10315</v>
      </c>
    </row>
    <row r="15625" spans="1:8" ht="15" x14ac:dyDescent="0.2">
      <c r="A15625" s="733">
        <v>45096</v>
      </c>
      <c r="B15625" s="174" t="s">
        <v>8868</v>
      </c>
      <c r="C15625" s="551" t="s">
        <v>1391</v>
      </c>
      <c r="D15625" s="740" t="s">
        <v>10235</v>
      </c>
      <c r="E15625" s="552">
        <v>2773</v>
      </c>
      <c r="F15625" s="236"/>
      <c r="G15625" s="236">
        <f t="shared" si="250"/>
        <v>-2773</v>
      </c>
      <c r="H15625" s="709" t="s">
        <v>10315</v>
      </c>
    </row>
    <row r="15626" spans="1:8" ht="15" x14ac:dyDescent="0.2">
      <c r="A15626" s="733">
        <v>45096</v>
      </c>
      <c r="B15626" s="174" t="s">
        <v>9356</v>
      </c>
      <c r="C15626" s="551" t="s">
        <v>1391</v>
      </c>
      <c r="D15626" s="740" t="s">
        <v>10235</v>
      </c>
      <c r="E15626" s="552">
        <v>12911</v>
      </c>
      <c r="F15626" s="236"/>
      <c r="G15626" s="236">
        <f t="shared" si="250"/>
        <v>-12911</v>
      </c>
      <c r="H15626" s="709" t="s">
        <v>10315</v>
      </c>
    </row>
    <row r="15627" spans="1:8" ht="15" x14ac:dyDescent="0.2">
      <c r="A15627" s="733">
        <v>45096</v>
      </c>
      <c r="B15627" s="174" t="s">
        <v>9507</v>
      </c>
      <c r="C15627" s="551" t="s">
        <v>1391</v>
      </c>
      <c r="D15627" s="740" t="s">
        <v>10235</v>
      </c>
      <c r="E15627" s="552">
        <v>3303</v>
      </c>
      <c r="F15627" s="236"/>
      <c r="G15627" s="236">
        <f t="shared" si="250"/>
        <v>-3303</v>
      </c>
      <c r="H15627" s="709" t="s">
        <v>10315</v>
      </c>
    </row>
    <row r="15628" spans="1:8" ht="15" x14ac:dyDescent="0.2">
      <c r="A15628" s="733">
        <v>45096</v>
      </c>
      <c r="B15628" s="174" t="s">
        <v>9719</v>
      </c>
      <c r="C15628" s="551" t="s">
        <v>1391</v>
      </c>
      <c r="D15628" s="740" t="s">
        <v>10235</v>
      </c>
      <c r="E15628" s="552">
        <v>64935</v>
      </c>
      <c r="F15628" s="236"/>
      <c r="G15628" s="236">
        <f t="shared" si="250"/>
        <v>-64935</v>
      </c>
      <c r="H15628" s="709" t="s">
        <v>10315</v>
      </c>
    </row>
    <row r="15629" spans="1:8" ht="15" x14ac:dyDescent="0.2">
      <c r="A15629" s="733">
        <v>45096</v>
      </c>
      <c r="B15629" s="174" t="s">
        <v>9464</v>
      </c>
      <c r="C15629" s="551" t="s">
        <v>1391</v>
      </c>
      <c r="D15629" s="740" t="s">
        <v>10235</v>
      </c>
      <c r="E15629" s="552">
        <v>5073</v>
      </c>
      <c r="F15629" s="236"/>
      <c r="G15629" s="236">
        <f t="shared" si="250"/>
        <v>-5073</v>
      </c>
      <c r="H15629" s="709" t="s">
        <v>10315</v>
      </c>
    </row>
    <row r="15630" spans="1:8" ht="15" x14ac:dyDescent="0.2">
      <c r="A15630" s="733">
        <v>45096</v>
      </c>
      <c r="B15630" s="174" t="s">
        <v>10023</v>
      </c>
      <c r="C15630" s="551" t="s">
        <v>1391</v>
      </c>
      <c r="D15630" s="740" t="s">
        <v>10235</v>
      </c>
      <c r="E15630" s="552">
        <v>2239</v>
      </c>
      <c r="F15630" s="236"/>
      <c r="G15630" s="236">
        <f t="shared" si="250"/>
        <v>-2239</v>
      </c>
      <c r="H15630" s="709" t="s">
        <v>10315</v>
      </c>
    </row>
    <row r="15631" spans="1:8" ht="15" x14ac:dyDescent="0.2">
      <c r="A15631" s="733">
        <v>45096</v>
      </c>
      <c r="B15631" s="174" t="s">
        <v>9356</v>
      </c>
      <c r="C15631" s="174" t="s">
        <v>705</v>
      </c>
      <c r="D15631" s="228" t="s">
        <v>10256</v>
      </c>
      <c r="E15631" s="236">
        <v>55562</v>
      </c>
      <c r="F15631" s="236"/>
      <c r="G15631" s="236">
        <f t="shared" si="250"/>
        <v>-55562</v>
      </c>
      <c r="H15631" s="709" t="s">
        <v>10315</v>
      </c>
    </row>
    <row r="15632" spans="1:8" ht="15" x14ac:dyDescent="0.2">
      <c r="A15632" s="733">
        <v>45096</v>
      </c>
      <c r="B15632" s="174" t="s">
        <v>9464</v>
      </c>
      <c r="C15632" s="174" t="s">
        <v>705</v>
      </c>
      <c r="D15632" s="228" t="s">
        <v>10256</v>
      </c>
      <c r="E15632" s="236">
        <v>23382</v>
      </c>
      <c r="F15632" s="236"/>
      <c r="G15632" s="236">
        <f t="shared" si="250"/>
        <v>-23382</v>
      </c>
      <c r="H15632" s="709" t="s">
        <v>10315</v>
      </c>
    </row>
    <row r="15633" spans="1:8" ht="15" x14ac:dyDescent="0.2">
      <c r="A15633" s="733">
        <v>45096</v>
      </c>
      <c r="B15633" s="174" t="s">
        <v>10023</v>
      </c>
      <c r="C15633" s="174" t="s">
        <v>705</v>
      </c>
      <c r="D15633" s="228" t="s">
        <v>10256</v>
      </c>
      <c r="E15633" s="236">
        <v>102854</v>
      </c>
      <c r="F15633" s="236"/>
      <c r="G15633" s="236">
        <f t="shared" si="250"/>
        <v>-102854</v>
      </c>
      <c r="H15633" s="709" t="s">
        <v>10315</v>
      </c>
    </row>
    <row r="15634" spans="1:8" ht="15" x14ac:dyDescent="0.2">
      <c r="A15634" s="733">
        <v>45104</v>
      </c>
      <c r="B15634" s="174" t="s">
        <v>8559</v>
      </c>
      <c r="C15634" s="174" t="s">
        <v>6706</v>
      </c>
      <c r="D15634" s="228" t="s">
        <v>10308</v>
      </c>
      <c r="E15634" s="236">
        <v>300000</v>
      </c>
      <c r="F15634" s="236"/>
      <c r="G15634" s="236">
        <f t="shared" si="250"/>
        <v>-300000</v>
      </c>
      <c r="H15634" s="709" t="s">
        <v>10315</v>
      </c>
    </row>
    <row r="15635" spans="1:8" ht="24" x14ac:dyDescent="0.2">
      <c r="A15635" s="730">
        <v>45079</v>
      </c>
      <c r="B15635" s="94" t="s">
        <v>8043</v>
      </c>
      <c r="C15635" s="94" t="s">
        <v>559</v>
      </c>
      <c r="D15635" s="802" t="s">
        <v>10044</v>
      </c>
      <c r="E15635" s="176"/>
      <c r="F15635" s="176">
        <v>4942834</v>
      </c>
      <c r="G15635" s="176">
        <f t="shared" si="250"/>
        <v>4942834</v>
      </c>
      <c r="H15635" s="702" t="s">
        <v>10315</v>
      </c>
    </row>
    <row r="15636" spans="1:8" ht="15" x14ac:dyDescent="0.2">
      <c r="A15636" s="730">
        <v>45079</v>
      </c>
      <c r="B15636" s="94" t="s">
        <v>8043</v>
      </c>
      <c r="C15636" s="94" t="s">
        <v>559</v>
      </c>
      <c r="D15636" s="801" t="s">
        <v>8543</v>
      </c>
      <c r="E15636" s="176">
        <v>49428</v>
      </c>
      <c r="F15636" s="176"/>
      <c r="G15636" s="176">
        <f t="shared" si="250"/>
        <v>-49428</v>
      </c>
      <c r="H15636" s="702" t="s">
        <v>10315</v>
      </c>
    </row>
    <row r="15637" spans="1:8" ht="15" x14ac:dyDescent="0.2">
      <c r="A15637" s="730">
        <v>45082</v>
      </c>
      <c r="B15637" s="94" t="s">
        <v>9769</v>
      </c>
      <c r="C15637" s="94" t="s">
        <v>559</v>
      </c>
      <c r="D15637" s="802" t="s">
        <v>10084</v>
      </c>
      <c r="E15637" s="176"/>
      <c r="F15637" s="176">
        <v>6928808</v>
      </c>
      <c r="G15637" s="176">
        <f t="shared" si="250"/>
        <v>6928808</v>
      </c>
      <c r="H15637" s="702" t="s">
        <v>10315</v>
      </c>
    </row>
    <row r="15638" spans="1:8" ht="15" x14ac:dyDescent="0.2">
      <c r="A15638" s="730">
        <v>45087</v>
      </c>
      <c r="B15638" s="94" t="s">
        <v>9507</v>
      </c>
      <c r="C15638" s="94" t="s">
        <v>559</v>
      </c>
      <c r="D15638" s="892" t="s">
        <v>10126</v>
      </c>
      <c r="E15638" s="176"/>
      <c r="F15638" s="176">
        <v>1000000</v>
      </c>
      <c r="G15638" s="176">
        <f t="shared" si="250"/>
        <v>1000000</v>
      </c>
      <c r="H15638" s="702" t="s">
        <v>10315</v>
      </c>
    </row>
    <row r="15639" spans="1:8" ht="15" x14ac:dyDescent="0.2">
      <c r="A15639" s="730">
        <v>45087</v>
      </c>
      <c r="B15639" s="94" t="s">
        <v>9507</v>
      </c>
      <c r="C15639" s="94" t="s">
        <v>559</v>
      </c>
      <c r="D15639" s="801" t="s">
        <v>8543</v>
      </c>
      <c r="E15639" s="92">
        <v>10000</v>
      </c>
      <c r="F15639" s="176"/>
      <c r="G15639" s="176">
        <f t="shared" si="250"/>
        <v>-10000</v>
      </c>
      <c r="H15639" s="702" t="s">
        <v>10315</v>
      </c>
    </row>
    <row r="15640" spans="1:8" ht="15" x14ac:dyDescent="0.2">
      <c r="A15640" s="730">
        <v>45089</v>
      </c>
      <c r="B15640" s="91" t="s">
        <v>3945</v>
      </c>
      <c r="C15640" s="94" t="s">
        <v>559</v>
      </c>
      <c r="D15640" s="892" t="s">
        <v>10140</v>
      </c>
      <c r="E15640" s="92"/>
      <c r="F15640" s="92">
        <v>337081</v>
      </c>
      <c r="G15640" s="176">
        <f t="shared" si="250"/>
        <v>337081</v>
      </c>
      <c r="H15640" s="702" t="s">
        <v>10315</v>
      </c>
    </row>
    <row r="15641" spans="1:8" ht="15" x14ac:dyDescent="0.2">
      <c r="A15641" s="730">
        <v>45089</v>
      </c>
      <c r="B15641" s="91" t="s">
        <v>37</v>
      </c>
      <c r="C15641" s="94" t="s">
        <v>559</v>
      </c>
      <c r="D15641" s="892" t="s">
        <v>10396</v>
      </c>
      <c r="E15641" s="92"/>
      <c r="F15641" s="92">
        <v>188568</v>
      </c>
      <c r="G15641" s="176">
        <f t="shared" si="250"/>
        <v>188568</v>
      </c>
      <c r="H15641" s="702" t="s">
        <v>10315</v>
      </c>
    </row>
    <row r="15642" spans="1:8" ht="15" x14ac:dyDescent="0.2">
      <c r="A15642" s="730">
        <v>45091</v>
      </c>
      <c r="B15642" s="91" t="s">
        <v>3946</v>
      </c>
      <c r="C15642" s="94" t="s">
        <v>559</v>
      </c>
      <c r="D15642" s="801" t="s">
        <v>10158</v>
      </c>
      <c r="E15642" s="92"/>
      <c r="F15642" s="92">
        <v>30000</v>
      </c>
      <c r="G15642" s="176">
        <f t="shared" si="250"/>
        <v>30000</v>
      </c>
      <c r="H15642" s="702" t="s">
        <v>10315</v>
      </c>
    </row>
    <row r="15643" spans="1:8" ht="15" x14ac:dyDescent="0.2">
      <c r="A15643" s="730">
        <v>45091</v>
      </c>
      <c r="B15643" s="91" t="s">
        <v>9832</v>
      </c>
      <c r="C15643" s="94" t="s">
        <v>559</v>
      </c>
      <c r="D15643" s="801" t="s">
        <v>10180</v>
      </c>
      <c r="E15643" s="92"/>
      <c r="F15643" s="92">
        <v>1500000</v>
      </c>
      <c r="G15643" s="92">
        <f t="shared" si="250"/>
        <v>1500000</v>
      </c>
      <c r="H15643" s="702" t="s">
        <v>10315</v>
      </c>
    </row>
    <row r="15644" spans="1:8" ht="15" x14ac:dyDescent="0.2">
      <c r="A15644" s="730">
        <v>45091</v>
      </c>
      <c r="B15644" s="91" t="s">
        <v>9832</v>
      </c>
      <c r="C15644" s="94" t="s">
        <v>559</v>
      </c>
      <c r="D15644" s="801" t="s">
        <v>10181</v>
      </c>
      <c r="E15644" s="92"/>
      <c r="F15644" s="92">
        <v>7000000</v>
      </c>
      <c r="G15644" s="92">
        <f t="shared" si="250"/>
        <v>7000000</v>
      </c>
      <c r="H15644" s="702" t="s">
        <v>10315</v>
      </c>
    </row>
    <row r="15645" spans="1:8" ht="15" x14ac:dyDescent="0.2">
      <c r="A15645" s="730">
        <v>45091</v>
      </c>
      <c r="B15645" s="91" t="s">
        <v>9832</v>
      </c>
      <c r="C15645" s="94" t="s">
        <v>559</v>
      </c>
      <c r="D15645" s="801" t="s">
        <v>10182</v>
      </c>
      <c r="E15645" s="92"/>
      <c r="F15645" s="92">
        <v>8580000</v>
      </c>
      <c r="G15645" s="92">
        <f t="shared" si="250"/>
        <v>8580000</v>
      </c>
      <c r="H15645" s="702" t="s">
        <v>10315</v>
      </c>
    </row>
    <row r="15646" spans="1:8" ht="15" x14ac:dyDescent="0.2">
      <c r="A15646" s="730">
        <v>45091</v>
      </c>
      <c r="B15646" s="91" t="s">
        <v>8876</v>
      </c>
      <c r="C15646" s="94" t="s">
        <v>559</v>
      </c>
      <c r="D15646" s="801" t="s">
        <v>10159</v>
      </c>
      <c r="E15646" s="92"/>
      <c r="F15646" s="92">
        <v>6882037</v>
      </c>
      <c r="G15646" s="92">
        <f t="shared" si="250"/>
        <v>6882037</v>
      </c>
      <c r="H15646" s="702" t="s">
        <v>10315</v>
      </c>
    </row>
    <row r="15647" spans="1:8" ht="15" x14ac:dyDescent="0.2">
      <c r="A15647" s="730">
        <v>45091</v>
      </c>
      <c r="B15647" s="91" t="s">
        <v>8876</v>
      </c>
      <c r="C15647" s="94" t="s">
        <v>559</v>
      </c>
      <c r="D15647" s="801" t="s">
        <v>8543</v>
      </c>
      <c r="E15647" s="92">
        <v>68820</v>
      </c>
      <c r="F15647" s="92"/>
      <c r="G15647" s="92">
        <f t="shared" si="250"/>
        <v>-68820</v>
      </c>
      <c r="H15647" s="702" t="s">
        <v>10315</v>
      </c>
    </row>
    <row r="15648" spans="1:8" ht="15" x14ac:dyDescent="0.2">
      <c r="A15648" s="730">
        <v>45094</v>
      </c>
      <c r="B15648" s="91" t="s">
        <v>9832</v>
      </c>
      <c r="C15648" s="94" t="s">
        <v>559</v>
      </c>
      <c r="D15648" s="801" t="s">
        <v>10180</v>
      </c>
      <c r="E15648" s="92"/>
      <c r="F15648" s="92">
        <v>2000000</v>
      </c>
      <c r="G15648" s="92">
        <f t="shared" si="250"/>
        <v>2000000</v>
      </c>
      <c r="H15648" s="702" t="s">
        <v>10315</v>
      </c>
    </row>
    <row r="15649" spans="1:8" ht="15" x14ac:dyDescent="0.2">
      <c r="A15649" s="730">
        <v>45096</v>
      </c>
      <c r="B15649" s="91" t="s">
        <v>9832</v>
      </c>
      <c r="C15649" s="94" t="s">
        <v>559</v>
      </c>
      <c r="D15649" s="801" t="s">
        <v>10180</v>
      </c>
      <c r="E15649" s="92"/>
      <c r="F15649" s="92">
        <v>750000</v>
      </c>
      <c r="G15649" s="92">
        <f t="shared" si="250"/>
        <v>750000</v>
      </c>
      <c r="H15649" s="702" t="s">
        <v>10315</v>
      </c>
    </row>
    <row r="15650" spans="1:8" ht="15" x14ac:dyDescent="0.2">
      <c r="A15650" s="730">
        <v>45097</v>
      </c>
      <c r="B15650" s="91" t="s">
        <v>8657</v>
      </c>
      <c r="C15650" s="94" t="s">
        <v>559</v>
      </c>
      <c r="D15650" s="801" t="s">
        <v>10195</v>
      </c>
      <c r="E15650" s="92"/>
      <c r="F15650" s="92">
        <v>4630960.1100000003</v>
      </c>
      <c r="G15650" s="92">
        <f t="shared" si="250"/>
        <v>4630960.1100000003</v>
      </c>
      <c r="H15650" s="702" t="s">
        <v>10315</v>
      </c>
    </row>
    <row r="15651" spans="1:8" ht="15" x14ac:dyDescent="0.2">
      <c r="A15651" s="730">
        <v>45097</v>
      </c>
      <c r="B15651" s="91" t="s">
        <v>8657</v>
      </c>
      <c r="C15651" s="94" t="s">
        <v>559</v>
      </c>
      <c r="D15651" s="801" t="s">
        <v>10194</v>
      </c>
      <c r="E15651" s="92"/>
      <c r="F15651" s="92">
        <v>468596.31</v>
      </c>
      <c r="G15651" s="92">
        <f t="shared" si="250"/>
        <v>468596.31</v>
      </c>
      <c r="H15651" s="702" t="s">
        <v>10315</v>
      </c>
    </row>
    <row r="15652" spans="1:8" ht="15" x14ac:dyDescent="0.2">
      <c r="A15652" s="730">
        <v>45101</v>
      </c>
      <c r="B15652" s="91" t="s">
        <v>3946</v>
      </c>
      <c r="C15652" s="94" t="s">
        <v>559</v>
      </c>
      <c r="D15652" s="892" t="s">
        <v>10290</v>
      </c>
      <c r="E15652" s="92"/>
      <c r="F15652" s="92">
        <v>363834</v>
      </c>
      <c r="G15652" s="92">
        <f t="shared" si="250"/>
        <v>363834</v>
      </c>
      <c r="H15652" s="702" t="s">
        <v>10315</v>
      </c>
    </row>
    <row r="15653" spans="1:8" ht="15" x14ac:dyDescent="0.2">
      <c r="A15653" s="730">
        <v>45104</v>
      </c>
      <c r="B15653" s="91" t="s">
        <v>9409</v>
      </c>
      <c r="C15653" s="94" t="s">
        <v>559</v>
      </c>
      <c r="D15653" s="801" t="s">
        <v>10291</v>
      </c>
      <c r="E15653" s="92"/>
      <c r="F15653" s="92">
        <v>3172324</v>
      </c>
      <c r="G15653" s="92">
        <f t="shared" si="250"/>
        <v>3172324</v>
      </c>
      <c r="H15653" s="702" t="s">
        <v>10315</v>
      </c>
    </row>
    <row r="15654" spans="1:8" ht="15" x14ac:dyDescent="0.2">
      <c r="A15654" s="730">
        <v>45104</v>
      </c>
      <c r="B15654" s="91" t="s">
        <v>9719</v>
      </c>
      <c r="C15654" s="94" t="s">
        <v>559</v>
      </c>
      <c r="D15654" s="801" t="s">
        <v>10292</v>
      </c>
      <c r="E15654" s="92"/>
      <c r="F15654" s="92">
        <v>500000</v>
      </c>
      <c r="G15654" s="92">
        <f t="shared" si="250"/>
        <v>500000</v>
      </c>
      <c r="H15654" s="702" t="s">
        <v>10315</v>
      </c>
    </row>
    <row r="15655" spans="1:8" ht="15" x14ac:dyDescent="0.2">
      <c r="A15655" s="734">
        <v>45110</v>
      </c>
      <c r="B15655" s="41" t="s">
        <v>10296</v>
      </c>
      <c r="C15655" s="63" t="s">
        <v>3145</v>
      </c>
      <c r="D15655" s="108" t="s">
        <v>10330</v>
      </c>
      <c r="E15655" s="58">
        <v>4500</v>
      </c>
      <c r="F15655" s="58"/>
      <c r="G15655" s="58">
        <f t="shared" si="250"/>
        <v>-4500</v>
      </c>
      <c r="H15655" s="705" t="s">
        <v>10324</v>
      </c>
    </row>
    <row r="15656" spans="1:8" ht="15" x14ac:dyDescent="0.2">
      <c r="A15656" s="734">
        <v>45110</v>
      </c>
      <c r="B15656" s="41" t="s">
        <v>10296</v>
      </c>
      <c r="C15656" s="63" t="s">
        <v>3145</v>
      </c>
      <c r="D15656" s="108" t="s">
        <v>10331</v>
      </c>
      <c r="E15656" s="58">
        <v>11660</v>
      </c>
      <c r="F15656" s="58"/>
      <c r="G15656" s="58">
        <f t="shared" si="250"/>
        <v>-11660</v>
      </c>
      <c r="H15656" s="705" t="s">
        <v>10324</v>
      </c>
    </row>
    <row r="15657" spans="1:8" ht="15" customHeight="1" x14ac:dyDescent="0.2">
      <c r="A15657" s="734">
        <v>45110</v>
      </c>
      <c r="B15657" s="41" t="s">
        <v>16</v>
      </c>
      <c r="C15657" s="63" t="s">
        <v>103</v>
      </c>
      <c r="D15657" s="108" t="s">
        <v>10211</v>
      </c>
      <c r="E15657" s="58">
        <v>2500</v>
      </c>
      <c r="F15657" s="58"/>
      <c r="G15657" s="58">
        <f t="shared" si="250"/>
        <v>-2500</v>
      </c>
      <c r="H15657" s="705" t="s">
        <v>10324</v>
      </c>
    </row>
    <row r="15658" spans="1:8" ht="15" customHeight="1" x14ac:dyDescent="0.2">
      <c r="A15658" s="734">
        <v>45111</v>
      </c>
      <c r="B15658" s="41" t="s">
        <v>10296</v>
      </c>
      <c r="C15658" s="63" t="s">
        <v>5741</v>
      </c>
      <c r="D15658" s="108" t="s">
        <v>370</v>
      </c>
      <c r="E15658" s="58">
        <v>450</v>
      </c>
      <c r="F15658" s="58"/>
      <c r="G15658" s="58">
        <f t="shared" si="250"/>
        <v>-450</v>
      </c>
      <c r="H15658" s="705" t="s">
        <v>10324</v>
      </c>
    </row>
    <row r="15659" spans="1:8" ht="15" customHeight="1" x14ac:dyDescent="0.2">
      <c r="A15659" s="734">
        <v>45111</v>
      </c>
      <c r="B15659" s="41" t="s">
        <v>9769</v>
      </c>
      <c r="C15659" s="63" t="s">
        <v>3145</v>
      </c>
      <c r="D15659" s="108" t="s">
        <v>10332</v>
      </c>
      <c r="E15659" s="58">
        <v>8292</v>
      </c>
      <c r="F15659" s="58"/>
      <c r="G15659" s="58">
        <f t="shared" si="250"/>
        <v>-8292</v>
      </c>
      <c r="H15659" s="705" t="s">
        <v>10324</v>
      </c>
    </row>
    <row r="15660" spans="1:8" ht="15" customHeight="1" x14ac:dyDescent="0.2">
      <c r="A15660" s="734">
        <v>45111</v>
      </c>
      <c r="B15660" s="63" t="s">
        <v>10909</v>
      </c>
      <c r="C15660" s="63" t="s">
        <v>3145</v>
      </c>
      <c r="D15660" s="108" t="s">
        <v>10333</v>
      </c>
      <c r="E15660" s="58">
        <v>12440</v>
      </c>
      <c r="F15660" s="58"/>
      <c r="G15660" s="58">
        <f t="shared" si="250"/>
        <v>-12440</v>
      </c>
      <c r="H15660" s="705" t="s">
        <v>10324</v>
      </c>
    </row>
    <row r="15661" spans="1:8" ht="15" customHeight="1" x14ac:dyDescent="0.2">
      <c r="A15661" s="734">
        <v>45111</v>
      </c>
      <c r="B15661" s="41" t="s">
        <v>10296</v>
      </c>
      <c r="C15661" s="63" t="s">
        <v>3145</v>
      </c>
      <c r="D15661" s="108" t="s">
        <v>10334</v>
      </c>
      <c r="E15661" s="58">
        <v>38450</v>
      </c>
      <c r="F15661" s="58"/>
      <c r="G15661" s="58">
        <f t="shared" si="250"/>
        <v>-38450</v>
      </c>
      <c r="H15661" s="705" t="s">
        <v>10324</v>
      </c>
    </row>
    <row r="15662" spans="1:8" ht="15" customHeight="1" x14ac:dyDescent="0.2">
      <c r="A15662" s="734">
        <v>45111</v>
      </c>
      <c r="B15662" s="41" t="s">
        <v>10296</v>
      </c>
      <c r="C15662" s="63" t="s">
        <v>286</v>
      </c>
      <c r="D15662" s="108" t="s">
        <v>9561</v>
      </c>
      <c r="E15662" s="58">
        <v>218</v>
      </c>
      <c r="F15662" s="58"/>
      <c r="G15662" s="58">
        <f t="shared" si="250"/>
        <v>-218</v>
      </c>
      <c r="H15662" s="705" t="s">
        <v>10324</v>
      </c>
    </row>
    <row r="15663" spans="1:8" ht="15" customHeight="1" x14ac:dyDescent="0.2">
      <c r="A15663" s="734">
        <v>45111</v>
      </c>
      <c r="B15663" s="41" t="s">
        <v>8876</v>
      </c>
      <c r="C15663" s="63" t="s">
        <v>5741</v>
      </c>
      <c r="D15663" s="108" t="s">
        <v>10335</v>
      </c>
      <c r="E15663" s="58">
        <v>1000</v>
      </c>
      <c r="F15663" s="58"/>
      <c r="G15663" s="58">
        <f t="shared" si="250"/>
        <v>-1000</v>
      </c>
      <c r="H15663" s="705" t="s">
        <v>10324</v>
      </c>
    </row>
    <row r="15664" spans="1:8" ht="15" customHeight="1" x14ac:dyDescent="0.2">
      <c r="A15664" s="734">
        <v>45111</v>
      </c>
      <c r="B15664" s="41" t="s">
        <v>9769</v>
      </c>
      <c r="C15664" s="63" t="s">
        <v>6249</v>
      </c>
      <c r="D15664" s="108" t="s">
        <v>10215</v>
      </c>
      <c r="E15664" s="58">
        <v>17000</v>
      </c>
      <c r="F15664" s="58"/>
      <c r="G15664" s="58">
        <f t="shared" si="250"/>
        <v>-17000</v>
      </c>
      <c r="H15664" s="705" t="s">
        <v>10324</v>
      </c>
    </row>
    <row r="15665" spans="1:8" ht="15" customHeight="1" x14ac:dyDescent="0.2">
      <c r="A15665" s="734">
        <v>45111</v>
      </c>
      <c r="B15665" s="41" t="s">
        <v>9356</v>
      </c>
      <c r="C15665" s="63" t="s">
        <v>5741</v>
      </c>
      <c r="D15665" s="108" t="s">
        <v>10336</v>
      </c>
      <c r="E15665" s="58">
        <v>1000</v>
      </c>
      <c r="F15665" s="58"/>
      <c r="G15665" s="58">
        <f t="shared" si="250"/>
        <v>-1000</v>
      </c>
      <c r="H15665" s="705" t="s">
        <v>10324</v>
      </c>
    </row>
    <row r="15666" spans="1:8" ht="15" customHeight="1" x14ac:dyDescent="0.2">
      <c r="A15666" s="734">
        <v>45111</v>
      </c>
      <c r="B15666" s="41" t="s">
        <v>10338</v>
      </c>
      <c r="C15666" s="63" t="s">
        <v>5741</v>
      </c>
      <c r="D15666" s="108" t="s">
        <v>10337</v>
      </c>
      <c r="E15666" s="58">
        <v>200</v>
      </c>
      <c r="F15666" s="58"/>
      <c r="G15666" s="58">
        <f t="shared" si="250"/>
        <v>-200</v>
      </c>
      <c r="H15666" s="705" t="s">
        <v>10324</v>
      </c>
    </row>
    <row r="15667" spans="1:8" ht="15" customHeight="1" x14ac:dyDescent="0.2">
      <c r="A15667" s="734">
        <v>45111</v>
      </c>
      <c r="B15667" s="41" t="s">
        <v>9769</v>
      </c>
      <c r="C15667" s="63" t="s">
        <v>5741</v>
      </c>
      <c r="D15667" s="108" t="s">
        <v>370</v>
      </c>
      <c r="E15667" s="58">
        <v>800</v>
      </c>
      <c r="F15667" s="58"/>
      <c r="G15667" s="58">
        <f t="shared" si="250"/>
        <v>-800</v>
      </c>
      <c r="H15667" s="705" t="s">
        <v>10324</v>
      </c>
    </row>
    <row r="15668" spans="1:8" ht="15" customHeight="1" x14ac:dyDescent="0.2">
      <c r="A15668" s="734">
        <v>45111</v>
      </c>
      <c r="B15668" s="41" t="s">
        <v>10296</v>
      </c>
      <c r="C15668" s="63" t="s">
        <v>5741</v>
      </c>
      <c r="D15668" s="108" t="s">
        <v>370</v>
      </c>
      <c r="E15668" s="58">
        <v>2000</v>
      </c>
      <c r="F15668" s="58"/>
      <c r="G15668" s="58">
        <f t="shared" si="250"/>
        <v>-2000</v>
      </c>
      <c r="H15668" s="705" t="s">
        <v>10324</v>
      </c>
    </row>
    <row r="15669" spans="1:8" ht="15" customHeight="1" x14ac:dyDescent="0.2">
      <c r="A15669" s="734">
        <v>45111</v>
      </c>
      <c r="B15669" s="41" t="s">
        <v>9356</v>
      </c>
      <c r="C15669" s="63" t="s">
        <v>5741</v>
      </c>
      <c r="D15669" s="108" t="s">
        <v>370</v>
      </c>
      <c r="E15669" s="58">
        <v>1500</v>
      </c>
      <c r="F15669" s="58"/>
      <c r="G15669" s="58">
        <f t="shared" si="250"/>
        <v>-1500</v>
      </c>
      <c r="H15669" s="705" t="s">
        <v>10324</v>
      </c>
    </row>
    <row r="15670" spans="1:8" ht="15" customHeight="1" x14ac:dyDescent="0.2">
      <c r="A15670" s="734">
        <v>45111</v>
      </c>
      <c r="B15670" s="41" t="s">
        <v>25</v>
      </c>
      <c r="C15670" s="63" t="s">
        <v>8150</v>
      </c>
      <c r="D15670" s="108" t="s">
        <v>6310</v>
      </c>
      <c r="E15670" s="58">
        <v>280</v>
      </c>
      <c r="F15670" s="58"/>
      <c r="G15670" s="58">
        <f t="shared" si="250"/>
        <v>-280</v>
      </c>
      <c r="H15670" s="705" t="s">
        <v>10324</v>
      </c>
    </row>
    <row r="15671" spans="1:8" ht="15" customHeight="1" x14ac:dyDescent="0.2">
      <c r="A15671" s="734">
        <v>45111</v>
      </c>
      <c r="B15671" s="41" t="s">
        <v>16</v>
      </c>
      <c r="C15671" s="63" t="s">
        <v>8150</v>
      </c>
      <c r="D15671" s="108" t="s">
        <v>6310</v>
      </c>
      <c r="E15671" s="58">
        <v>190</v>
      </c>
      <c r="F15671" s="58"/>
      <c r="G15671" s="58">
        <f t="shared" si="250"/>
        <v>-190</v>
      </c>
      <c r="H15671" s="705" t="s">
        <v>10324</v>
      </c>
    </row>
    <row r="15672" spans="1:8" ht="15" customHeight="1" x14ac:dyDescent="0.2">
      <c r="A15672" s="734">
        <v>45111</v>
      </c>
      <c r="B15672" s="41" t="s">
        <v>16</v>
      </c>
      <c r="C15672" s="63" t="s">
        <v>16</v>
      </c>
      <c r="D15672" s="108" t="s">
        <v>10041</v>
      </c>
      <c r="E15672" s="58">
        <v>500</v>
      </c>
      <c r="F15672" s="58"/>
      <c r="G15672" s="58">
        <f t="shared" si="250"/>
        <v>-500</v>
      </c>
      <c r="H15672" s="705" t="s">
        <v>10324</v>
      </c>
    </row>
    <row r="15673" spans="1:8" ht="15" customHeight="1" x14ac:dyDescent="0.2">
      <c r="A15673" s="734">
        <v>45111</v>
      </c>
      <c r="B15673" s="41" t="s">
        <v>10338</v>
      </c>
      <c r="C15673" s="63" t="s">
        <v>5741</v>
      </c>
      <c r="D15673" s="108" t="s">
        <v>370</v>
      </c>
      <c r="E15673" s="58">
        <v>500</v>
      </c>
      <c r="F15673" s="58"/>
      <c r="G15673" s="58">
        <f t="shared" si="250"/>
        <v>-500</v>
      </c>
      <c r="H15673" s="705" t="s">
        <v>10324</v>
      </c>
    </row>
    <row r="15674" spans="1:8" ht="15" customHeight="1" x14ac:dyDescent="0.2">
      <c r="A15674" s="734">
        <v>45111</v>
      </c>
      <c r="B15674" s="41" t="s">
        <v>10296</v>
      </c>
      <c r="C15674" s="63" t="s">
        <v>6249</v>
      </c>
      <c r="D15674" s="108" t="s">
        <v>10339</v>
      </c>
      <c r="E15674" s="58">
        <v>3800</v>
      </c>
      <c r="F15674" s="58"/>
      <c r="G15674" s="58">
        <f t="shared" si="250"/>
        <v>-3800</v>
      </c>
      <c r="H15674" s="705" t="s">
        <v>10324</v>
      </c>
    </row>
    <row r="15675" spans="1:8" ht="15" customHeight="1" x14ac:dyDescent="0.2">
      <c r="A15675" s="734">
        <v>45111</v>
      </c>
      <c r="B15675" s="41" t="s">
        <v>9356</v>
      </c>
      <c r="C15675" s="63" t="s">
        <v>3145</v>
      </c>
      <c r="D15675" s="108" t="s">
        <v>9917</v>
      </c>
      <c r="E15675" s="58">
        <v>690</v>
      </c>
      <c r="F15675" s="58"/>
      <c r="G15675" s="58">
        <f t="shared" ref="G15675:G15727" si="251">F15675-E15675</f>
        <v>-690</v>
      </c>
      <c r="H15675" s="705" t="s">
        <v>10324</v>
      </c>
    </row>
    <row r="15676" spans="1:8" ht="15" customHeight="1" x14ac:dyDescent="0.2">
      <c r="A15676" s="734">
        <v>45112</v>
      </c>
      <c r="B15676" s="63" t="s">
        <v>10909</v>
      </c>
      <c r="C15676" s="63" t="s">
        <v>3145</v>
      </c>
      <c r="D15676" s="108" t="s">
        <v>10342</v>
      </c>
      <c r="E15676" s="58">
        <v>11000</v>
      </c>
      <c r="F15676" s="58"/>
      <c r="G15676" s="58">
        <f t="shared" si="251"/>
        <v>-11000</v>
      </c>
      <c r="H15676" s="705" t="s">
        <v>10324</v>
      </c>
    </row>
    <row r="15677" spans="1:8" ht="15" customHeight="1" x14ac:dyDescent="0.2">
      <c r="A15677" s="734">
        <v>45112</v>
      </c>
      <c r="B15677" s="41" t="s">
        <v>10296</v>
      </c>
      <c r="C15677" s="63" t="s">
        <v>286</v>
      </c>
      <c r="D15677" s="108" t="s">
        <v>8485</v>
      </c>
      <c r="E15677" s="58">
        <v>1300</v>
      </c>
      <c r="F15677" s="58"/>
      <c r="G15677" s="58">
        <f t="shared" si="251"/>
        <v>-1300</v>
      </c>
      <c r="H15677" s="705" t="s">
        <v>10324</v>
      </c>
    </row>
    <row r="15678" spans="1:8" ht="15" customHeight="1" x14ac:dyDescent="0.2">
      <c r="A15678" s="734">
        <v>45112</v>
      </c>
      <c r="B15678" s="41" t="s">
        <v>9409</v>
      </c>
      <c r="C15678" s="41" t="s">
        <v>10340</v>
      </c>
      <c r="D15678" s="108" t="s">
        <v>10341</v>
      </c>
      <c r="E15678" s="58">
        <v>200000</v>
      </c>
      <c r="F15678" s="58"/>
      <c r="G15678" s="58">
        <f t="shared" si="251"/>
        <v>-200000</v>
      </c>
      <c r="H15678" s="705" t="s">
        <v>10324</v>
      </c>
    </row>
    <row r="15679" spans="1:8" ht="15" customHeight="1" x14ac:dyDescent="0.2">
      <c r="A15679" s="734">
        <v>45112</v>
      </c>
      <c r="B15679" s="41" t="s">
        <v>16</v>
      </c>
      <c r="C15679" s="63" t="s">
        <v>103</v>
      </c>
      <c r="D15679" s="108" t="s">
        <v>10211</v>
      </c>
      <c r="E15679" s="58">
        <v>3000</v>
      </c>
      <c r="F15679" s="58"/>
      <c r="G15679" s="58">
        <f t="shared" si="251"/>
        <v>-3000</v>
      </c>
      <c r="H15679" s="705" t="s">
        <v>10324</v>
      </c>
    </row>
    <row r="15680" spans="1:8" ht="15" customHeight="1" x14ac:dyDescent="0.2">
      <c r="A15680" s="734">
        <v>45112</v>
      </c>
      <c r="B15680" s="41" t="s">
        <v>9769</v>
      </c>
      <c r="C15680" s="63" t="s">
        <v>10344</v>
      </c>
      <c r="D15680" s="108" t="s">
        <v>10343</v>
      </c>
      <c r="E15680" s="58">
        <v>2000</v>
      </c>
      <c r="F15680" s="58"/>
      <c r="G15680" s="58">
        <f t="shared" si="251"/>
        <v>-2000</v>
      </c>
      <c r="H15680" s="705" t="s">
        <v>10324</v>
      </c>
    </row>
    <row r="15681" spans="1:8" ht="15" customHeight="1" x14ac:dyDescent="0.2">
      <c r="A15681" s="734">
        <v>45113</v>
      </c>
      <c r="B15681" s="63" t="s">
        <v>10909</v>
      </c>
      <c r="C15681" s="63" t="s">
        <v>5741</v>
      </c>
      <c r="D15681" s="108" t="s">
        <v>10345</v>
      </c>
      <c r="E15681" s="58">
        <v>1200</v>
      </c>
      <c r="F15681" s="58"/>
      <c r="G15681" s="58">
        <f t="shared" si="251"/>
        <v>-1200</v>
      </c>
      <c r="H15681" s="705" t="s">
        <v>10324</v>
      </c>
    </row>
    <row r="15682" spans="1:8" ht="15" customHeight="1" x14ac:dyDescent="0.2">
      <c r="A15682" s="734">
        <v>45113</v>
      </c>
      <c r="B15682" s="41" t="s">
        <v>8559</v>
      </c>
      <c r="C15682" s="63" t="s">
        <v>3145</v>
      </c>
      <c r="D15682" s="108" t="s">
        <v>10346</v>
      </c>
      <c r="E15682" s="58">
        <v>65000</v>
      </c>
      <c r="F15682" s="58"/>
      <c r="G15682" s="58">
        <f t="shared" si="251"/>
        <v>-65000</v>
      </c>
      <c r="H15682" s="705" t="s">
        <v>10324</v>
      </c>
    </row>
    <row r="15683" spans="1:8" ht="15" customHeight="1" x14ac:dyDescent="0.2">
      <c r="A15683" s="734">
        <v>45113</v>
      </c>
      <c r="B15683" s="41" t="s">
        <v>10296</v>
      </c>
      <c r="C15683" s="63" t="s">
        <v>3145</v>
      </c>
      <c r="D15683" s="108" t="s">
        <v>9546</v>
      </c>
      <c r="E15683" s="58">
        <v>27000</v>
      </c>
      <c r="F15683" s="58"/>
      <c r="G15683" s="58">
        <f t="shared" si="251"/>
        <v>-27000</v>
      </c>
      <c r="H15683" s="705" t="s">
        <v>10324</v>
      </c>
    </row>
    <row r="15684" spans="1:8" ht="15" x14ac:dyDescent="0.2">
      <c r="A15684" s="734">
        <v>45113</v>
      </c>
      <c r="B15684" s="41" t="s">
        <v>8559</v>
      </c>
      <c r="C15684" s="63" t="s">
        <v>5741</v>
      </c>
      <c r="D15684" s="108" t="s">
        <v>10347</v>
      </c>
      <c r="E15684" s="58">
        <v>3000</v>
      </c>
      <c r="F15684" s="58"/>
      <c r="G15684" s="58">
        <f t="shared" si="251"/>
        <v>-3000</v>
      </c>
      <c r="H15684" s="705" t="s">
        <v>10324</v>
      </c>
    </row>
    <row r="15685" spans="1:8" ht="15" x14ac:dyDescent="0.2">
      <c r="A15685" s="734">
        <v>45113</v>
      </c>
      <c r="B15685" s="41" t="s">
        <v>9409</v>
      </c>
      <c r="C15685" s="63" t="s">
        <v>794</v>
      </c>
      <c r="D15685" s="108" t="s">
        <v>10348</v>
      </c>
      <c r="E15685" s="58">
        <v>6600</v>
      </c>
      <c r="F15685" s="58"/>
      <c r="G15685" s="58">
        <f t="shared" si="251"/>
        <v>-6600</v>
      </c>
      <c r="H15685" s="705" t="s">
        <v>10324</v>
      </c>
    </row>
    <row r="15686" spans="1:8" ht="15" x14ac:dyDescent="0.2">
      <c r="A15686" s="734">
        <v>45113</v>
      </c>
      <c r="B15686" s="41" t="s">
        <v>8559</v>
      </c>
      <c r="C15686" s="63" t="s">
        <v>3145</v>
      </c>
      <c r="D15686" s="108" t="s">
        <v>10346</v>
      </c>
      <c r="E15686" s="58">
        <v>89300</v>
      </c>
      <c r="F15686" s="58"/>
      <c r="G15686" s="58">
        <f t="shared" si="251"/>
        <v>-89300</v>
      </c>
      <c r="H15686" s="705" t="s">
        <v>10324</v>
      </c>
    </row>
    <row r="15687" spans="1:8" ht="15" x14ac:dyDescent="0.2">
      <c r="A15687" s="734">
        <v>45113</v>
      </c>
      <c r="B15687" s="63" t="s">
        <v>10909</v>
      </c>
      <c r="C15687" s="63" t="s">
        <v>6706</v>
      </c>
      <c r="D15687" s="108" t="s">
        <v>10237</v>
      </c>
      <c r="E15687" s="58">
        <v>521800</v>
      </c>
      <c r="F15687" s="58"/>
      <c r="G15687" s="58">
        <f t="shared" si="251"/>
        <v>-521800</v>
      </c>
      <c r="H15687" s="705" t="s">
        <v>10324</v>
      </c>
    </row>
    <row r="15688" spans="1:8" ht="15" x14ac:dyDescent="0.2">
      <c r="A15688" s="734">
        <v>45113</v>
      </c>
      <c r="B15688" s="63" t="s">
        <v>10909</v>
      </c>
      <c r="C15688" s="63" t="s">
        <v>6706</v>
      </c>
      <c r="D15688" s="108" t="s">
        <v>10237</v>
      </c>
      <c r="E15688" s="58">
        <v>484000</v>
      </c>
      <c r="F15688" s="58"/>
      <c r="G15688" s="58">
        <f t="shared" si="251"/>
        <v>-484000</v>
      </c>
      <c r="H15688" s="705" t="s">
        <v>10324</v>
      </c>
    </row>
    <row r="15689" spans="1:8" ht="15" x14ac:dyDescent="0.2">
      <c r="A15689" s="734">
        <v>45113</v>
      </c>
      <c r="B15689" s="41" t="s">
        <v>10296</v>
      </c>
      <c r="C15689" s="63" t="s">
        <v>3145</v>
      </c>
      <c r="D15689" s="108" t="s">
        <v>4309</v>
      </c>
      <c r="E15689" s="58">
        <v>9890</v>
      </c>
      <c r="F15689" s="58"/>
      <c r="G15689" s="58">
        <f t="shared" si="251"/>
        <v>-9890</v>
      </c>
      <c r="H15689" s="705" t="s">
        <v>10324</v>
      </c>
    </row>
    <row r="15690" spans="1:8" ht="15" x14ac:dyDescent="0.2">
      <c r="A15690" s="734">
        <v>45113</v>
      </c>
      <c r="B15690" s="41" t="s">
        <v>9356</v>
      </c>
      <c r="C15690" s="63" t="s">
        <v>3145</v>
      </c>
      <c r="D15690" s="108" t="s">
        <v>10362</v>
      </c>
      <c r="E15690" s="58">
        <v>5540</v>
      </c>
      <c r="F15690" s="58"/>
      <c r="G15690" s="58">
        <f t="shared" si="251"/>
        <v>-5540</v>
      </c>
      <c r="H15690" s="705" t="s">
        <v>10324</v>
      </c>
    </row>
    <row r="15691" spans="1:8" ht="15" x14ac:dyDescent="0.2">
      <c r="A15691" s="734">
        <v>45113</v>
      </c>
      <c r="B15691" s="41" t="s">
        <v>16</v>
      </c>
      <c r="C15691" s="63" t="s">
        <v>103</v>
      </c>
      <c r="D15691" s="108" t="s">
        <v>10211</v>
      </c>
      <c r="E15691" s="58">
        <v>4000</v>
      </c>
      <c r="F15691" s="58"/>
      <c r="G15691" s="58">
        <f t="shared" si="251"/>
        <v>-4000</v>
      </c>
      <c r="H15691" s="705" t="s">
        <v>10324</v>
      </c>
    </row>
    <row r="15692" spans="1:8" ht="15" x14ac:dyDescent="0.2">
      <c r="A15692" s="734">
        <v>45114</v>
      </c>
      <c r="B15692" s="41" t="s">
        <v>9769</v>
      </c>
      <c r="C15692" s="63" t="s">
        <v>5741</v>
      </c>
      <c r="D15692" s="108" t="s">
        <v>370</v>
      </c>
      <c r="E15692" s="58">
        <v>800</v>
      </c>
      <c r="F15692" s="58"/>
      <c r="G15692" s="58">
        <f t="shared" si="251"/>
        <v>-800</v>
      </c>
      <c r="H15692" s="705" t="s">
        <v>10324</v>
      </c>
    </row>
    <row r="15693" spans="1:8" ht="15" x14ac:dyDescent="0.2">
      <c r="A15693" s="734">
        <v>45114</v>
      </c>
      <c r="B15693" s="41" t="s">
        <v>10296</v>
      </c>
      <c r="C15693" s="63" t="s">
        <v>5741</v>
      </c>
      <c r="D15693" s="108" t="s">
        <v>370</v>
      </c>
      <c r="E15693" s="58">
        <v>1800</v>
      </c>
      <c r="F15693" s="58"/>
      <c r="G15693" s="58">
        <f t="shared" si="251"/>
        <v>-1800</v>
      </c>
      <c r="H15693" s="705" t="s">
        <v>10324</v>
      </c>
    </row>
    <row r="15694" spans="1:8" ht="15" x14ac:dyDescent="0.2">
      <c r="A15694" s="734">
        <v>45114</v>
      </c>
      <c r="B15694" s="41" t="s">
        <v>9769</v>
      </c>
      <c r="C15694" s="63" t="s">
        <v>3145</v>
      </c>
      <c r="D15694" s="108" t="s">
        <v>10364</v>
      </c>
      <c r="E15694" s="58">
        <v>5467</v>
      </c>
      <c r="F15694" s="58"/>
      <c r="G15694" s="58">
        <f t="shared" si="251"/>
        <v>-5467</v>
      </c>
      <c r="H15694" s="705" t="s">
        <v>10324</v>
      </c>
    </row>
    <row r="15695" spans="1:8" ht="15" x14ac:dyDescent="0.2">
      <c r="A15695" s="734">
        <v>45114</v>
      </c>
      <c r="B15695" s="41" t="s">
        <v>9356</v>
      </c>
      <c r="C15695" s="63" t="s">
        <v>3145</v>
      </c>
      <c r="D15695" s="108" t="s">
        <v>10364</v>
      </c>
      <c r="E15695" s="58">
        <v>5467</v>
      </c>
      <c r="F15695" s="58"/>
      <c r="G15695" s="58">
        <f t="shared" si="251"/>
        <v>-5467</v>
      </c>
      <c r="H15695" s="705" t="s">
        <v>10324</v>
      </c>
    </row>
    <row r="15696" spans="1:8" ht="15" x14ac:dyDescent="0.2">
      <c r="A15696" s="734">
        <v>45114</v>
      </c>
      <c r="B15696" s="41" t="s">
        <v>10296</v>
      </c>
      <c r="C15696" s="63" t="s">
        <v>3145</v>
      </c>
      <c r="D15696" s="108" t="s">
        <v>10364</v>
      </c>
      <c r="E15696" s="58">
        <v>5467</v>
      </c>
      <c r="F15696" s="58"/>
      <c r="G15696" s="58">
        <f t="shared" si="251"/>
        <v>-5467</v>
      </c>
      <c r="H15696" s="705" t="s">
        <v>10324</v>
      </c>
    </row>
    <row r="15697" spans="1:8" ht="15" x14ac:dyDescent="0.2">
      <c r="A15697" s="734">
        <v>45114</v>
      </c>
      <c r="B15697" s="41" t="s">
        <v>9464</v>
      </c>
      <c r="C15697" s="63" t="s">
        <v>3145</v>
      </c>
      <c r="D15697" s="108" t="s">
        <v>10365</v>
      </c>
      <c r="E15697" s="58">
        <v>1100</v>
      </c>
      <c r="F15697" s="58"/>
      <c r="G15697" s="58">
        <f t="shared" si="251"/>
        <v>-1100</v>
      </c>
      <c r="H15697" s="705" t="s">
        <v>10324</v>
      </c>
    </row>
    <row r="15698" spans="1:8" ht="15" x14ac:dyDescent="0.2">
      <c r="A15698" s="734">
        <v>45115</v>
      </c>
      <c r="B15698" s="41" t="s">
        <v>10144</v>
      </c>
      <c r="C15698" s="63" t="s">
        <v>392</v>
      </c>
      <c r="D15698" s="108" t="s">
        <v>7863</v>
      </c>
      <c r="E15698" s="58">
        <v>1000</v>
      </c>
      <c r="F15698" s="58"/>
      <c r="G15698" s="58">
        <f t="shared" si="251"/>
        <v>-1000</v>
      </c>
      <c r="H15698" s="705" t="s">
        <v>10324</v>
      </c>
    </row>
    <row r="15699" spans="1:8" ht="15" x14ac:dyDescent="0.2">
      <c r="A15699" s="734">
        <v>45115</v>
      </c>
      <c r="B15699" s="41" t="s">
        <v>9464</v>
      </c>
      <c r="C15699" s="63" t="s">
        <v>3145</v>
      </c>
      <c r="D15699" s="108" t="s">
        <v>10494</v>
      </c>
      <c r="E15699" s="58">
        <v>1250</v>
      </c>
      <c r="F15699" s="58"/>
      <c r="G15699" s="58">
        <f t="shared" si="251"/>
        <v>-1250</v>
      </c>
      <c r="H15699" s="705" t="s">
        <v>10324</v>
      </c>
    </row>
    <row r="15700" spans="1:8" ht="15" x14ac:dyDescent="0.2">
      <c r="A15700" s="734">
        <v>45115</v>
      </c>
      <c r="B15700" s="41" t="s">
        <v>10296</v>
      </c>
      <c r="C15700" s="63" t="s">
        <v>286</v>
      </c>
      <c r="D15700" s="108" t="s">
        <v>8663</v>
      </c>
      <c r="E15700" s="58">
        <v>900</v>
      </c>
      <c r="F15700" s="58"/>
      <c r="G15700" s="58">
        <f t="shared" si="251"/>
        <v>-900</v>
      </c>
      <c r="H15700" s="705" t="s">
        <v>10324</v>
      </c>
    </row>
    <row r="15701" spans="1:8" ht="15" x14ac:dyDescent="0.2">
      <c r="A15701" s="734">
        <v>45115</v>
      </c>
      <c r="B15701" s="41" t="s">
        <v>9832</v>
      </c>
      <c r="C15701" s="63" t="s">
        <v>10363</v>
      </c>
      <c r="D15701" s="108" t="s">
        <v>10366</v>
      </c>
      <c r="E15701" s="58">
        <v>5200</v>
      </c>
      <c r="F15701" s="58"/>
      <c r="G15701" s="58">
        <f t="shared" si="251"/>
        <v>-5200</v>
      </c>
      <c r="H15701" s="705" t="s">
        <v>10324</v>
      </c>
    </row>
    <row r="15702" spans="1:8" ht="15" x14ac:dyDescent="0.2">
      <c r="A15702" s="734">
        <v>45115</v>
      </c>
      <c r="B15702" s="41" t="s">
        <v>10122</v>
      </c>
      <c r="C15702" s="63" t="s">
        <v>5741</v>
      </c>
      <c r="D15702" s="108" t="s">
        <v>370</v>
      </c>
      <c r="E15702" s="58">
        <v>1500</v>
      </c>
      <c r="F15702" s="58"/>
      <c r="G15702" s="58">
        <f t="shared" si="251"/>
        <v>-1500</v>
      </c>
      <c r="H15702" s="705" t="s">
        <v>10324</v>
      </c>
    </row>
    <row r="15703" spans="1:8" ht="15" x14ac:dyDescent="0.2">
      <c r="A15703" s="734">
        <v>45115</v>
      </c>
      <c r="B15703" s="41" t="s">
        <v>9769</v>
      </c>
      <c r="C15703" s="63" t="s">
        <v>3145</v>
      </c>
      <c r="D15703" s="108" t="s">
        <v>6486</v>
      </c>
      <c r="E15703" s="58">
        <v>7940</v>
      </c>
      <c r="F15703" s="58"/>
      <c r="G15703" s="58">
        <f t="shared" si="251"/>
        <v>-7940</v>
      </c>
      <c r="H15703" s="705" t="s">
        <v>10324</v>
      </c>
    </row>
    <row r="15704" spans="1:8" ht="15" x14ac:dyDescent="0.2">
      <c r="A15704" s="734">
        <v>45115</v>
      </c>
      <c r="B15704" s="41" t="s">
        <v>9409</v>
      </c>
      <c r="C15704" s="63" t="s">
        <v>9474</v>
      </c>
      <c r="D15704" s="108" t="s">
        <v>10367</v>
      </c>
      <c r="E15704" s="58">
        <v>5000</v>
      </c>
      <c r="F15704" s="58"/>
      <c r="G15704" s="58">
        <f t="shared" si="251"/>
        <v>-5000</v>
      </c>
      <c r="H15704" s="705" t="s">
        <v>10324</v>
      </c>
    </row>
    <row r="15705" spans="1:8" ht="15" x14ac:dyDescent="0.2">
      <c r="A15705" s="734">
        <v>45115</v>
      </c>
      <c r="B15705" s="41" t="s">
        <v>37</v>
      </c>
      <c r="C15705" s="63" t="s">
        <v>392</v>
      </c>
      <c r="D15705" s="108" t="s">
        <v>10101</v>
      </c>
      <c r="E15705" s="58">
        <v>3000</v>
      </c>
      <c r="F15705" s="58"/>
      <c r="G15705" s="58">
        <f t="shared" si="251"/>
        <v>-3000</v>
      </c>
      <c r="H15705" s="705" t="s">
        <v>10324</v>
      </c>
    </row>
    <row r="15706" spans="1:8" ht="15" x14ac:dyDescent="0.2">
      <c r="A15706" s="734">
        <v>45115</v>
      </c>
      <c r="B15706" s="41" t="s">
        <v>10144</v>
      </c>
      <c r="C15706" s="63" t="s">
        <v>5741</v>
      </c>
      <c r="D15706" s="108" t="s">
        <v>370</v>
      </c>
      <c r="E15706" s="58">
        <v>1400</v>
      </c>
      <c r="F15706" s="58"/>
      <c r="G15706" s="58">
        <f t="shared" si="251"/>
        <v>-1400</v>
      </c>
      <c r="H15706" s="705" t="s">
        <v>10324</v>
      </c>
    </row>
    <row r="15707" spans="1:8" ht="15" x14ac:dyDescent="0.2">
      <c r="A15707" s="734">
        <v>45115</v>
      </c>
      <c r="B15707" s="41" t="s">
        <v>10338</v>
      </c>
      <c r="C15707" s="63" t="s">
        <v>3145</v>
      </c>
      <c r="D15707" s="108" t="s">
        <v>10368</v>
      </c>
      <c r="E15707" s="58">
        <v>7850</v>
      </c>
      <c r="F15707" s="58"/>
      <c r="G15707" s="58">
        <f t="shared" si="251"/>
        <v>-7850</v>
      </c>
      <c r="H15707" s="705" t="s">
        <v>10324</v>
      </c>
    </row>
    <row r="15708" spans="1:8" ht="15" x14ac:dyDescent="0.2">
      <c r="A15708" s="734">
        <v>45115</v>
      </c>
      <c r="B15708" s="41" t="s">
        <v>9464</v>
      </c>
      <c r="C15708" s="63" t="s">
        <v>3145</v>
      </c>
      <c r="D15708" s="108" t="s">
        <v>10370</v>
      </c>
      <c r="E15708" s="58">
        <v>18755</v>
      </c>
      <c r="F15708" s="58"/>
      <c r="G15708" s="58">
        <f t="shared" si="251"/>
        <v>-18755</v>
      </c>
      <c r="H15708" s="705" t="s">
        <v>10324</v>
      </c>
    </row>
    <row r="15709" spans="1:8" ht="15" x14ac:dyDescent="0.2">
      <c r="A15709" s="734">
        <v>45115</v>
      </c>
      <c r="B15709" s="41" t="s">
        <v>9769</v>
      </c>
      <c r="C15709" s="63" t="s">
        <v>3145</v>
      </c>
      <c r="D15709" s="108" t="s">
        <v>10371</v>
      </c>
      <c r="E15709" s="58">
        <v>7200</v>
      </c>
      <c r="F15709" s="58"/>
      <c r="G15709" s="58">
        <f t="shared" si="251"/>
        <v>-7200</v>
      </c>
      <c r="H15709" s="705" t="s">
        <v>10324</v>
      </c>
    </row>
    <row r="15710" spans="1:8" ht="15" x14ac:dyDescent="0.2">
      <c r="A15710" s="734">
        <v>45115</v>
      </c>
      <c r="B15710" s="41" t="s">
        <v>9769</v>
      </c>
      <c r="C15710" s="63" t="s">
        <v>392</v>
      </c>
      <c r="D15710" s="108" t="s">
        <v>10369</v>
      </c>
      <c r="E15710" s="58">
        <v>200</v>
      </c>
      <c r="F15710" s="58"/>
      <c r="G15710" s="58">
        <f t="shared" si="251"/>
        <v>-200</v>
      </c>
      <c r="H15710" s="705" t="s">
        <v>10324</v>
      </c>
    </row>
    <row r="15711" spans="1:8" ht="15" x14ac:dyDescent="0.2">
      <c r="A15711" s="734">
        <v>45115</v>
      </c>
      <c r="B15711" s="41" t="s">
        <v>10296</v>
      </c>
      <c r="C15711" s="63" t="s">
        <v>790</v>
      </c>
      <c r="D15711" s="108" t="s">
        <v>370</v>
      </c>
      <c r="E15711" s="58">
        <v>470</v>
      </c>
      <c r="F15711" s="58"/>
      <c r="G15711" s="58">
        <f t="shared" si="251"/>
        <v>-470</v>
      </c>
      <c r="H15711" s="705" t="s">
        <v>10324</v>
      </c>
    </row>
    <row r="15712" spans="1:8" ht="15" x14ac:dyDescent="0.2">
      <c r="A15712" s="734">
        <v>45115</v>
      </c>
      <c r="B15712" s="41" t="s">
        <v>9832</v>
      </c>
      <c r="C15712" s="63" t="s">
        <v>790</v>
      </c>
      <c r="D15712" s="108" t="s">
        <v>370</v>
      </c>
      <c r="E15712" s="58">
        <v>2000</v>
      </c>
      <c r="F15712" s="58"/>
      <c r="G15712" s="58">
        <f t="shared" si="251"/>
        <v>-2000</v>
      </c>
      <c r="H15712" s="705" t="s">
        <v>10324</v>
      </c>
    </row>
    <row r="15713" spans="1:8" ht="15" x14ac:dyDescent="0.2">
      <c r="A15713" s="734">
        <v>45115</v>
      </c>
      <c r="B15713" s="41" t="s">
        <v>9402</v>
      </c>
      <c r="C15713" s="63" t="s">
        <v>790</v>
      </c>
      <c r="D15713" s="108" t="s">
        <v>370</v>
      </c>
      <c r="E15713" s="58">
        <v>1500</v>
      </c>
      <c r="F15713" s="58"/>
      <c r="G15713" s="58">
        <f t="shared" si="251"/>
        <v>-1500</v>
      </c>
      <c r="H15713" s="705" t="s">
        <v>10324</v>
      </c>
    </row>
    <row r="15714" spans="1:8" ht="15" x14ac:dyDescent="0.2">
      <c r="A15714" s="734">
        <v>45115</v>
      </c>
      <c r="B15714" s="41" t="s">
        <v>9769</v>
      </c>
      <c r="C15714" s="63" t="s">
        <v>790</v>
      </c>
      <c r="D15714" s="108" t="s">
        <v>370</v>
      </c>
      <c r="E15714" s="58">
        <v>1000</v>
      </c>
      <c r="F15714" s="58"/>
      <c r="G15714" s="58">
        <f t="shared" si="251"/>
        <v>-1000</v>
      </c>
      <c r="H15714" s="705" t="s">
        <v>10324</v>
      </c>
    </row>
    <row r="15715" spans="1:8" ht="15" x14ac:dyDescent="0.2">
      <c r="A15715" s="734">
        <v>45115</v>
      </c>
      <c r="B15715" s="63" t="s">
        <v>10909</v>
      </c>
      <c r="C15715" s="63" t="s">
        <v>790</v>
      </c>
      <c r="D15715" s="108" t="s">
        <v>370</v>
      </c>
      <c r="E15715" s="58">
        <v>14620</v>
      </c>
      <c r="F15715" s="58"/>
      <c r="G15715" s="58">
        <f t="shared" si="251"/>
        <v>-14620</v>
      </c>
      <c r="H15715" s="705" t="s">
        <v>10324</v>
      </c>
    </row>
    <row r="15716" spans="1:8" ht="15" x14ac:dyDescent="0.2">
      <c r="A15716" s="734">
        <v>45115</v>
      </c>
      <c r="B15716" s="41" t="s">
        <v>10232</v>
      </c>
      <c r="C15716" s="63" t="s">
        <v>790</v>
      </c>
      <c r="D15716" s="108" t="s">
        <v>370</v>
      </c>
      <c r="E15716" s="58">
        <v>1500</v>
      </c>
      <c r="F15716" s="58"/>
      <c r="G15716" s="58">
        <f t="shared" si="251"/>
        <v>-1500</v>
      </c>
      <c r="H15716" s="705" t="s">
        <v>10324</v>
      </c>
    </row>
    <row r="15717" spans="1:8" ht="15" x14ac:dyDescent="0.2">
      <c r="A15717" s="734">
        <v>45115</v>
      </c>
      <c r="B15717" s="41" t="s">
        <v>9769</v>
      </c>
      <c r="C15717" s="63" t="s">
        <v>8071</v>
      </c>
      <c r="D15717" s="108" t="s">
        <v>10372</v>
      </c>
      <c r="E15717" s="58">
        <v>50000</v>
      </c>
      <c r="F15717" s="58"/>
      <c r="G15717" s="58">
        <f t="shared" si="251"/>
        <v>-50000</v>
      </c>
      <c r="H15717" s="705" t="s">
        <v>10324</v>
      </c>
    </row>
    <row r="15718" spans="1:8" ht="15" x14ac:dyDescent="0.2">
      <c r="A15718" s="734">
        <v>45115</v>
      </c>
      <c r="B15718" s="41" t="s">
        <v>103</v>
      </c>
      <c r="C15718" s="63" t="s">
        <v>103</v>
      </c>
      <c r="D15718" s="108" t="s">
        <v>10211</v>
      </c>
      <c r="E15718" s="58">
        <v>2500</v>
      </c>
      <c r="F15718" s="58"/>
      <c r="G15718" s="58">
        <f t="shared" si="251"/>
        <v>-2500</v>
      </c>
      <c r="H15718" s="705" t="s">
        <v>10324</v>
      </c>
    </row>
    <row r="15719" spans="1:8" ht="15" x14ac:dyDescent="0.2">
      <c r="A15719" s="734">
        <v>45117</v>
      </c>
      <c r="B15719" s="41" t="s">
        <v>10373</v>
      </c>
      <c r="C15719" s="63" t="s">
        <v>3145</v>
      </c>
      <c r="D15719" s="108" t="s">
        <v>10374</v>
      </c>
      <c r="E15719" s="58">
        <v>25000</v>
      </c>
      <c r="F15719" s="58"/>
      <c r="G15719" s="58">
        <f t="shared" si="251"/>
        <v>-25000</v>
      </c>
      <c r="H15719" s="705" t="s">
        <v>10324</v>
      </c>
    </row>
    <row r="15720" spans="1:8" ht="15" x14ac:dyDescent="0.2">
      <c r="A15720" s="734">
        <v>45117</v>
      </c>
      <c r="B15720" s="41" t="s">
        <v>103</v>
      </c>
      <c r="C15720" s="63" t="s">
        <v>103</v>
      </c>
      <c r="D15720" s="108" t="s">
        <v>10211</v>
      </c>
      <c r="E15720" s="58">
        <v>2000</v>
      </c>
      <c r="F15720" s="58"/>
      <c r="G15720" s="58">
        <f t="shared" si="251"/>
        <v>-2000</v>
      </c>
      <c r="H15720" s="705" t="s">
        <v>10324</v>
      </c>
    </row>
    <row r="15721" spans="1:8" ht="15" x14ac:dyDescent="0.2">
      <c r="A15721" s="734">
        <v>45117</v>
      </c>
      <c r="B15721" s="41" t="s">
        <v>9356</v>
      </c>
      <c r="C15721" s="63" t="s">
        <v>3145</v>
      </c>
      <c r="D15721" s="108" t="s">
        <v>10375</v>
      </c>
      <c r="E15721" s="58">
        <v>2000</v>
      </c>
      <c r="F15721" s="58"/>
      <c r="G15721" s="58">
        <f t="shared" si="251"/>
        <v>-2000</v>
      </c>
      <c r="H15721" s="705" t="s">
        <v>10324</v>
      </c>
    </row>
    <row r="15722" spans="1:8" ht="15" x14ac:dyDescent="0.2">
      <c r="A15722" s="734">
        <v>45117</v>
      </c>
      <c r="B15722" s="41" t="s">
        <v>10296</v>
      </c>
      <c r="C15722" s="63" t="s">
        <v>3145</v>
      </c>
      <c r="D15722" s="108" t="s">
        <v>7376</v>
      </c>
      <c r="E15722" s="58">
        <v>3930</v>
      </c>
      <c r="F15722" s="58"/>
      <c r="G15722" s="58">
        <f t="shared" si="251"/>
        <v>-3930</v>
      </c>
      <c r="H15722" s="705" t="s">
        <v>10324</v>
      </c>
    </row>
    <row r="15723" spans="1:8" ht="15" customHeight="1" x14ac:dyDescent="0.2">
      <c r="A15723" s="734">
        <v>45117</v>
      </c>
      <c r="B15723" s="63" t="s">
        <v>9832</v>
      </c>
      <c r="C15723" s="63" t="s">
        <v>794</v>
      </c>
      <c r="D15723" s="183" t="s">
        <v>372</v>
      </c>
      <c r="E15723" s="126">
        <v>25000</v>
      </c>
      <c r="F15723" s="58"/>
      <c r="G15723" s="58">
        <f t="shared" si="251"/>
        <v>-25000</v>
      </c>
      <c r="H15723" s="705" t="s">
        <v>10324</v>
      </c>
    </row>
    <row r="15724" spans="1:8" ht="15" x14ac:dyDescent="0.2">
      <c r="A15724" s="734">
        <v>45117</v>
      </c>
      <c r="B15724" s="63" t="s">
        <v>10144</v>
      </c>
      <c r="C15724" s="63" t="s">
        <v>794</v>
      </c>
      <c r="D15724" s="183" t="s">
        <v>372</v>
      </c>
      <c r="E15724" s="126">
        <v>25000</v>
      </c>
      <c r="F15724" s="58"/>
      <c r="G15724" s="58">
        <f t="shared" si="251"/>
        <v>-25000</v>
      </c>
      <c r="H15724" s="705" t="s">
        <v>10324</v>
      </c>
    </row>
    <row r="15725" spans="1:8" ht="15" x14ac:dyDescent="0.2">
      <c r="A15725" s="734">
        <v>45117</v>
      </c>
      <c r="B15725" s="63" t="s">
        <v>10023</v>
      </c>
      <c r="C15725" s="63" t="s">
        <v>794</v>
      </c>
      <c r="D15725" s="183" t="s">
        <v>141</v>
      </c>
      <c r="E15725" s="126">
        <v>25000</v>
      </c>
      <c r="F15725" s="58"/>
      <c r="G15725" s="58">
        <f t="shared" si="251"/>
        <v>-25000</v>
      </c>
      <c r="H15725" s="705" t="s">
        <v>10324</v>
      </c>
    </row>
    <row r="15726" spans="1:8" ht="15" x14ac:dyDescent="0.2">
      <c r="A15726" s="734">
        <v>45117</v>
      </c>
      <c r="B15726" s="63" t="s">
        <v>10296</v>
      </c>
      <c r="C15726" s="63" t="s">
        <v>794</v>
      </c>
      <c r="D15726" s="183" t="s">
        <v>141</v>
      </c>
      <c r="E15726" s="126">
        <v>25000</v>
      </c>
      <c r="F15726" s="58"/>
      <c r="G15726" s="58">
        <f t="shared" si="251"/>
        <v>-25000</v>
      </c>
      <c r="H15726" s="705" t="s">
        <v>10324</v>
      </c>
    </row>
    <row r="15727" spans="1:8" ht="15" x14ac:dyDescent="0.2">
      <c r="A15727" s="734">
        <v>45117</v>
      </c>
      <c r="B15727" s="63" t="s">
        <v>25</v>
      </c>
      <c r="C15727" s="63" t="s">
        <v>794</v>
      </c>
      <c r="D15727" s="183" t="s">
        <v>10183</v>
      </c>
      <c r="E15727" s="126">
        <v>80000</v>
      </c>
      <c r="F15727" s="58"/>
      <c r="G15727" s="58">
        <f t="shared" si="251"/>
        <v>-80000</v>
      </c>
      <c r="H15727" s="705" t="s">
        <v>10324</v>
      </c>
    </row>
    <row r="15728" spans="1:8" ht="15" x14ac:dyDescent="0.2">
      <c r="A15728" s="734">
        <v>45117</v>
      </c>
      <c r="B15728" s="41" t="s">
        <v>37</v>
      </c>
      <c r="C15728" s="63" t="s">
        <v>1230</v>
      </c>
      <c r="D15728" s="108" t="s">
        <v>10097</v>
      </c>
      <c r="E15728" s="126">
        <v>130689.51612903226</v>
      </c>
      <c r="F15728" s="58"/>
      <c r="G15728" s="58">
        <v>-130689.51612903226</v>
      </c>
      <c r="H15728" s="705" t="s">
        <v>10324</v>
      </c>
    </row>
    <row r="15729" spans="1:8" ht="15" x14ac:dyDescent="0.2">
      <c r="A15729" s="734">
        <v>45117</v>
      </c>
      <c r="B15729" s="41" t="s">
        <v>9409</v>
      </c>
      <c r="C15729" s="63" t="s">
        <v>1230</v>
      </c>
      <c r="D15729" s="108" t="s">
        <v>10699</v>
      </c>
      <c r="E15729" s="126">
        <v>168846.77419354839</v>
      </c>
      <c r="F15729" s="58"/>
      <c r="G15729" s="58">
        <v>-168846.77419354839</v>
      </c>
      <c r="H15729" s="705" t="s">
        <v>10324</v>
      </c>
    </row>
    <row r="15730" spans="1:8" ht="15" x14ac:dyDescent="0.2">
      <c r="A15730" s="734">
        <v>45117</v>
      </c>
      <c r="B15730" s="41" t="s">
        <v>3946</v>
      </c>
      <c r="C15730" s="63" t="s">
        <v>1230</v>
      </c>
      <c r="D15730" s="108" t="s">
        <v>6569</v>
      </c>
      <c r="E15730" s="126">
        <v>130784.27419354839</v>
      </c>
      <c r="F15730" s="58"/>
      <c r="G15730" s="58">
        <v>-130784.27419354839</v>
      </c>
      <c r="H15730" s="705" t="s">
        <v>10324</v>
      </c>
    </row>
    <row r="15731" spans="1:8" ht="15" x14ac:dyDescent="0.2">
      <c r="A15731" s="734">
        <v>45117</v>
      </c>
      <c r="B15731" s="41" t="s">
        <v>16</v>
      </c>
      <c r="C15731" s="63" t="s">
        <v>794</v>
      </c>
      <c r="D15731" s="108" t="s">
        <v>7218</v>
      </c>
      <c r="E15731" s="126">
        <v>228270</v>
      </c>
      <c r="F15731" s="58"/>
      <c r="G15731" s="58">
        <v>-228270</v>
      </c>
      <c r="H15731" s="705" t="s">
        <v>10324</v>
      </c>
    </row>
    <row r="15732" spans="1:8" ht="15" x14ac:dyDescent="0.2">
      <c r="A15732" s="734">
        <v>45117</v>
      </c>
      <c r="B15732" s="41" t="s">
        <v>8559</v>
      </c>
      <c r="C15732" s="63" t="s">
        <v>1230</v>
      </c>
      <c r="D15732" s="108" t="s">
        <v>10701</v>
      </c>
      <c r="E15732" s="126">
        <v>39500</v>
      </c>
      <c r="F15732" s="58"/>
      <c r="G15732" s="58">
        <v>-39500</v>
      </c>
      <c r="H15732" s="705" t="s">
        <v>10324</v>
      </c>
    </row>
    <row r="15733" spans="1:8" ht="15" x14ac:dyDescent="0.2">
      <c r="A15733" s="734">
        <v>45117</v>
      </c>
      <c r="B15733" s="41" t="s">
        <v>10296</v>
      </c>
      <c r="C15733" s="63" t="s">
        <v>1230</v>
      </c>
      <c r="D15733" s="108" t="s">
        <v>10746</v>
      </c>
      <c r="E15733" s="126">
        <v>48588</v>
      </c>
      <c r="F15733" s="58"/>
      <c r="G15733" s="58">
        <v>-48588</v>
      </c>
      <c r="H15733" s="705" t="s">
        <v>10324</v>
      </c>
    </row>
    <row r="15734" spans="1:8" ht="15" x14ac:dyDescent="0.2">
      <c r="A15734" s="734">
        <v>45117</v>
      </c>
      <c r="B15734" s="41" t="s">
        <v>8559</v>
      </c>
      <c r="C15734" s="63" t="s">
        <v>1230</v>
      </c>
      <c r="D15734" s="108" t="s">
        <v>10747</v>
      </c>
      <c r="E15734" s="126">
        <v>49335</v>
      </c>
      <c r="F15734" s="58"/>
      <c r="G15734" s="58">
        <v>-49335</v>
      </c>
      <c r="H15734" s="705" t="s">
        <v>10324</v>
      </c>
    </row>
    <row r="15735" spans="1:8" ht="15" x14ac:dyDescent="0.2">
      <c r="A15735" s="734">
        <v>45117</v>
      </c>
      <c r="B15735" s="41" t="s">
        <v>9356</v>
      </c>
      <c r="C15735" s="63" t="s">
        <v>1230</v>
      </c>
      <c r="D15735" s="108" t="s">
        <v>10748</v>
      </c>
      <c r="E15735" s="126">
        <v>80829</v>
      </c>
      <c r="F15735" s="58"/>
      <c r="G15735" s="58">
        <v>-80829</v>
      </c>
      <c r="H15735" s="705" t="s">
        <v>10324</v>
      </c>
    </row>
    <row r="15736" spans="1:8" ht="15" x14ac:dyDescent="0.2">
      <c r="A15736" s="734">
        <v>45117</v>
      </c>
      <c r="B15736" s="41" t="s">
        <v>10296</v>
      </c>
      <c r="C15736" s="63" t="s">
        <v>1230</v>
      </c>
      <c r="D15736" s="108" t="s">
        <v>10749</v>
      </c>
      <c r="E15736" s="126">
        <v>54516.129032258061</v>
      </c>
      <c r="F15736" s="58"/>
      <c r="G15736" s="58">
        <v>-54516.129032258061</v>
      </c>
      <c r="H15736" s="705" t="s">
        <v>10324</v>
      </c>
    </row>
    <row r="15737" spans="1:8" ht="15" x14ac:dyDescent="0.2">
      <c r="A15737" s="734">
        <v>45117</v>
      </c>
      <c r="B15737" s="41" t="s">
        <v>9402</v>
      </c>
      <c r="C15737" s="63" t="s">
        <v>1230</v>
      </c>
      <c r="D15737" s="108" t="s">
        <v>10750</v>
      </c>
      <c r="E15737" s="126">
        <v>54193.548387096773</v>
      </c>
      <c r="F15737" s="58"/>
      <c r="G15737" s="58">
        <v>-54193.548387096773</v>
      </c>
      <c r="H15737" s="705" t="s">
        <v>10324</v>
      </c>
    </row>
    <row r="15738" spans="1:8" ht="15" x14ac:dyDescent="0.2">
      <c r="A15738" s="734">
        <v>45117</v>
      </c>
      <c r="B15738" s="41" t="s">
        <v>10232</v>
      </c>
      <c r="C15738" s="63" t="s">
        <v>1230</v>
      </c>
      <c r="D15738" s="108" t="s">
        <v>10751</v>
      </c>
      <c r="E15738" s="126">
        <v>50000.000000000007</v>
      </c>
      <c r="F15738" s="58"/>
      <c r="G15738" s="58">
        <v>-50000.000000000007</v>
      </c>
      <c r="H15738" s="705" t="s">
        <v>10324</v>
      </c>
    </row>
    <row r="15739" spans="1:8" ht="15" x14ac:dyDescent="0.2">
      <c r="A15739" s="734">
        <v>45117</v>
      </c>
      <c r="B15739" s="41" t="s">
        <v>10144</v>
      </c>
      <c r="C15739" s="63" t="s">
        <v>1230</v>
      </c>
      <c r="D15739" s="108" t="s">
        <v>10738</v>
      </c>
      <c r="E15739" s="126">
        <v>17360</v>
      </c>
      <c r="F15739" s="58"/>
      <c r="G15739" s="58">
        <v>-17360</v>
      </c>
      <c r="H15739" s="705" t="s">
        <v>10324</v>
      </c>
    </row>
    <row r="15740" spans="1:8" ht="15" x14ac:dyDescent="0.2">
      <c r="A15740" s="734">
        <v>45117</v>
      </c>
      <c r="B15740" s="41" t="s">
        <v>3945</v>
      </c>
      <c r="C15740" s="63" t="s">
        <v>1230</v>
      </c>
      <c r="D15740" s="108" t="s">
        <v>10740</v>
      </c>
      <c r="E15740" s="126">
        <v>138217.74193548388</v>
      </c>
      <c r="F15740" s="58"/>
      <c r="G15740" s="58">
        <v>-138217.74193548388</v>
      </c>
      <c r="H15740" s="705" t="s">
        <v>10324</v>
      </c>
    </row>
    <row r="15741" spans="1:8" ht="15" x14ac:dyDescent="0.2">
      <c r="A15741" s="734">
        <v>45117</v>
      </c>
      <c r="B15741" s="41" t="s">
        <v>2933</v>
      </c>
      <c r="C15741" s="63" t="s">
        <v>1230</v>
      </c>
      <c r="D15741" s="108" t="s">
        <v>10741</v>
      </c>
      <c r="E15741" s="126">
        <v>265935.4838709677</v>
      </c>
      <c r="F15741" s="58"/>
      <c r="G15741" s="58">
        <v>-265935.4838709677</v>
      </c>
      <c r="H15741" s="705" t="s">
        <v>10324</v>
      </c>
    </row>
    <row r="15742" spans="1:8" ht="15" x14ac:dyDescent="0.2">
      <c r="A15742" s="734">
        <v>45117</v>
      </c>
      <c r="B15742" s="41" t="s">
        <v>9356</v>
      </c>
      <c r="C15742" s="63" t="s">
        <v>1230</v>
      </c>
      <c r="D15742" s="108" t="s">
        <v>209</v>
      </c>
      <c r="E15742" s="126">
        <v>7200</v>
      </c>
      <c r="F15742" s="58"/>
      <c r="G15742" s="58">
        <v>-7200</v>
      </c>
      <c r="H15742" s="705" t="s">
        <v>10324</v>
      </c>
    </row>
    <row r="15743" spans="1:8" ht="15" x14ac:dyDescent="0.2">
      <c r="A15743" s="734">
        <v>45118</v>
      </c>
      <c r="B15743" s="41" t="s">
        <v>10338</v>
      </c>
      <c r="C15743" s="63" t="s">
        <v>3145</v>
      </c>
      <c r="D15743" s="108" t="s">
        <v>10376</v>
      </c>
      <c r="E15743" s="58">
        <v>5587</v>
      </c>
      <c r="F15743" s="58"/>
      <c r="G15743" s="58">
        <f t="shared" ref="G15743:G15806" si="252">F15743-E15743</f>
        <v>-5587</v>
      </c>
      <c r="H15743" s="705" t="s">
        <v>10324</v>
      </c>
    </row>
    <row r="15744" spans="1:8" ht="15" x14ac:dyDescent="0.2">
      <c r="A15744" s="734">
        <v>45118</v>
      </c>
      <c r="B15744" s="41" t="s">
        <v>9356</v>
      </c>
      <c r="C15744" s="63" t="s">
        <v>3145</v>
      </c>
      <c r="D15744" s="108" t="s">
        <v>10376</v>
      </c>
      <c r="E15744" s="58">
        <v>5587</v>
      </c>
      <c r="F15744" s="58"/>
      <c r="G15744" s="58">
        <f t="shared" si="252"/>
        <v>-5587</v>
      </c>
      <c r="H15744" s="705" t="s">
        <v>10324</v>
      </c>
    </row>
    <row r="15745" spans="1:8" ht="15" x14ac:dyDescent="0.2">
      <c r="A15745" s="734">
        <v>45118</v>
      </c>
      <c r="B15745" s="41" t="s">
        <v>10242</v>
      </c>
      <c r="C15745" s="63" t="s">
        <v>3145</v>
      </c>
      <c r="D15745" s="108" t="s">
        <v>10376</v>
      </c>
      <c r="E15745" s="58">
        <v>5587</v>
      </c>
      <c r="F15745" s="58"/>
      <c r="G15745" s="58">
        <f t="shared" si="252"/>
        <v>-5587</v>
      </c>
      <c r="H15745" s="705" t="s">
        <v>10324</v>
      </c>
    </row>
    <row r="15746" spans="1:8" ht="15" x14ac:dyDescent="0.2">
      <c r="A15746" s="734">
        <v>45118</v>
      </c>
      <c r="B15746" s="41" t="s">
        <v>10338</v>
      </c>
      <c r="C15746" s="63" t="s">
        <v>3145</v>
      </c>
      <c r="D15746" s="108" t="s">
        <v>10394</v>
      </c>
      <c r="E15746" s="58">
        <v>14000</v>
      </c>
      <c r="F15746" s="58"/>
      <c r="G15746" s="58">
        <f t="shared" si="252"/>
        <v>-14000</v>
      </c>
      <c r="H15746" s="705" t="s">
        <v>10324</v>
      </c>
    </row>
    <row r="15747" spans="1:8" ht="15" x14ac:dyDescent="0.2">
      <c r="A15747" s="734">
        <v>45118</v>
      </c>
      <c r="B15747" s="41" t="s">
        <v>9769</v>
      </c>
      <c r="C15747" s="63" t="s">
        <v>5741</v>
      </c>
      <c r="D15747" s="108" t="s">
        <v>370</v>
      </c>
      <c r="E15747" s="58">
        <v>400</v>
      </c>
      <c r="F15747" s="58"/>
      <c r="G15747" s="58">
        <f t="shared" si="252"/>
        <v>-400</v>
      </c>
      <c r="H15747" s="705" t="s">
        <v>10324</v>
      </c>
    </row>
    <row r="15748" spans="1:8" ht="15" x14ac:dyDescent="0.2">
      <c r="A15748" s="734">
        <v>45118</v>
      </c>
      <c r="B15748" s="41" t="s">
        <v>8559</v>
      </c>
      <c r="C15748" s="63" t="s">
        <v>63</v>
      </c>
      <c r="D15748" s="108" t="s">
        <v>10377</v>
      </c>
      <c r="E15748" s="126">
        <v>25000</v>
      </c>
      <c r="F15748" s="58"/>
      <c r="G15748" s="58">
        <f t="shared" si="252"/>
        <v>-25000</v>
      </c>
      <c r="H15748" s="705" t="s">
        <v>10324</v>
      </c>
    </row>
    <row r="15749" spans="1:8" ht="15" x14ac:dyDescent="0.2">
      <c r="A15749" s="734">
        <v>45118</v>
      </c>
      <c r="B15749" s="41" t="s">
        <v>10296</v>
      </c>
      <c r="C15749" s="63" t="s">
        <v>794</v>
      </c>
      <c r="D15749" s="108" t="s">
        <v>10378</v>
      </c>
      <c r="E15749" s="126">
        <v>8000</v>
      </c>
      <c r="F15749" s="58"/>
      <c r="G15749" s="58">
        <f t="shared" si="252"/>
        <v>-8000</v>
      </c>
      <c r="H15749" s="705" t="s">
        <v>10324</v>
      </c>
    </row>
    <row r="15750" spans="1:8" ht="24" x14ac:dyDescent="0.2">
      <c r="A15750" s="734">
        <v>45118</v>
      </c>
      <c r="B15750" s="41" t="s">
        <v>10379</v>
      </c>
      <c r="C15750" s="63" t="s">
        <v>3145</v>
      </c>
      <c r="D15750" s="129" t="s">
        <v>10380</v>
      </c>
      <c r="E15750" s="126">
        <v>25000</v>
      </c>
      <c r="F15750" s="58"/>
      <c r="G15750" s="58">
        <f t="shared" si="252"/>
        <v>-25000</v>
      </c>
      <c r="H15750" s="705" t="s">
        <v>10324</v>
      </c>
    </row>
    <row r="15751" spans="1:8" ht="15" x14ac:dyDescent="0.2">
      <c r="A15751" s="734">
        <v>45118</v>
      </c>
      <c r="B15751" s="41" t="s">
        <v>9356</v>
      </c>
      <c r="C15751" s="63" t="s">
        <v>3145</v>
      </c>
      <c r="D15751" s="108" t="s">
        <v>10381</v>
      </c>
      <c r="E15751" s="126">
        <v>43000</v>
      </c>
      <c r="F15751" s="58"/>
      <c r="G15751" s="58">
        <f t="shared" si="252"/>
        <v>-43000</v>
      </c>
      <c r="H15751" s="705" t="s">
        <v>10324</v>
      </c>
    </row>
    <row r="15752" spans="1:8" ht="15" x14ac:dyDescent="0.2">
      <c r="A15752" s="734">
        <v>45118</v>
      </c>
      <c r="B15752" s="41" t="s">
        <v>9356</v>
      </c>
      <c r="C15752" s="63" t="s">
        <v>3145</v>
      </c>
      <c r="D15752" s="108" t="s">
        <v>10382</v>
      </c>
      <c r="E15752" s="126">
        <v>100000</v>
      </c>
      <c r="F15752" s="58"/>
      <c r="G15752" s="58">
        <f t="shared" si="252"/>
        <v>-100000</v>
      </c>
      <c r="H15752" s="705" t="s">
        <v>10324</v>
      </c>
    </row>
    <row r="15753" spans="1:8" ht="24" x14ac:dyDescent="0.2">
      <c r="A15753" s="734">
        <v>45118</v>
      </c>
      <c r="B15753" s="41" t="s">
        <v>10379</v>
      </c>
      <c r="C15753" s="63" t="s">
        <v>3145</v>
      </c>
      <c r="D15753" s="129" t="s">
        <v>10383</v>
      </c>
      <c r="E15753" s="126">
        <v>250000</v>
      </c>
      <c r="F15753" s="58"/>
      <c r="G15753" s="58">
        <f t="shared" si="252"/>
        <v>-250000</v>
      </c>
      <c r="H15753" s="705" t="s">
        <v>10324</v>
      </c>
    </row>
    <row r="15754" spans="1:8" ht="24" x14ac:dyDescent="0.2">
      <c r="A15754" s="734">
        <v>45118</v>
      </c>
      <c r="B15754" s="41" t="s">
        <v>10379</v>
      </c>
      <c r="C15754" s="63" t="s">
        <v>3145</v>
      </c>
      <c r="D15754" s="129" t="s">
        <v>10383</v>
      </c>
      <c r="E15754" s="126">
        <v>169000</v>
      </c>
      <c r="F15754" s="58"/>
      <c r="G15754" s="58">
        <f t="shared" si="252"/>
        <v>-169000</v>
      </c>
      <c r="H15754" s="705" t="s">
        <v>10324</v>
      </c>
    </row>
    <row r="15755" spans="1:8" ht="15" x14ac:dyDescent="0.2">
      <c r="A15755" s="734">
        <v>45118</v>
      </c>
      <c r="B15755" s="41" t="s">
        <v>10242</v>
      </c>
      <c r="C15755" s="551" t="s">
        <v>8251</v>
      </c>
      <c r="D15755" s="897" t="s">
        <v>10384</v>
      </c>
      <c r="E15755" s="552">
        <v>50000</v>
      </c>
      <c r="F15755" s="58"/>
      <c r="G15755" s="58">
        <f t="shared" si="252"/>
        <v>-50000</v>
      </c>
      <c r="H15755" s="705" t="s">
        <v>10324</v>
      </c>
    </row>
    <row r="15756" spans="1:8" ht="24" x14ac:dyDescent="0.2">
      <c r="A15756" s="734">
        <v>45118</v>
      </c>
      <c r="B15756" s="41" t="s">
        <v>9769</v>
      </c>
      <c r="C15756" s="551" t="s">
        <v>8251</v>
      </c>
      <c r="D15756" s="897" t="s">
        <v>10385</v>
      </c>
      <c r="E15756" s="552">
        <v>50000</v>
      </c>
      <c r="F15756" s="58"/>
      <c r="G15756" s="58">
        <f t="shared" si="252"/>
        <v>-50000</v>
      </c>
      <c r="H15756" s="705" t="s">
        <v>10324</v>
      </c>
    </row>
    <row r="15757" spans="1:8" ht="15" x14ac:dyDescent="0.2">
      <c r="A15757" s="734">
        <v>45118</v>
      </c>
      <c r="B15757" s="41" t="s">
        <v>9356</v>
      </c>
      <c r="C15757" s="63" t="s">
        <v>3145</v>
      </c>
      <c r="D15757" s="129" t="s">
        <v>10386</v>
      </c>
      <c r="E15757" s="126">
        <v>54000</v>
      </c>
      <c r="F15757" s="58"/>
      <c r="G15757" s="58">
        <f t="shared" si="252"/>
        <v>-54000</v>
      </c>
      <c r="H15757" s="705" t="s">
        <v>10324</v>
      </c>
    </row>
    <row r="15758" spans="1:8" ht="15" x14ac:dyDescent="0.2">
      <c r="A15758" s="734">
        <v>45118</v>
      </c>
      <c r="B15758" s="41" t="s">
        <v>9769</v>
      </c>
      <c r="C15758" s="63" t="s">
        <v>5741</v>
      </c>
      <c r="D15758" s="129" t="s">
        <v>370</v>
      </c>
      <c r="E15758" s="126">
        <v>800</v>
      </c>
      <c r="F15758" s="58"/>
      <c r="G15758" s="58">
        <f t="shared" si="252"/>
        <v>-800</v>
      </c>
      <c r="H15758" s="705" t="s">
        <v>10324</v>
      </c>
    </row>
    <row r="15759" spans="1:8" ht="15" x14ac:dyDescent="0.2">
      <c r="A15759" s="734">
        <v>45118</v>
      </c>
      <c r="B15759" s="41" t="s">
        <v>16</v>
      </c>
      <c r="C15759" s="63" t="s">
        <v>103</v>
      </c>
      <c r="D15759" s="129" t="s">
        <v>10211</v>
      </c>
      <c r="E15759" s="126">
        <v>2000</v>
      </c>
      <c r="F15759" s="58"/>
      <c r="G15759" s="58">
        <f t="shared" si="252"/>
        <v>-2000</v>
      </c>
      <c r="H15759" s="705" t="s">
        <v>10324</v>
      </c>
    </row>
    <row r="15760" spans="1:8" ht="15" x14ac:dyDescent="0.2">
      <c r="A15760" s="734">
        <v>45118</v>
      </c>
      <c r="B15760" s="41" t="s">
        <v>10338</v>
      </c>
      <c r="C15760" s="63" t="s">
        <v>5741</v>
      </c>
      <c r="D15760" s="129" t="s">
        <v>370</v>
      </c>
      <c r="E15760" s="126">
        <v>500</v>
      </c>
      <c r="F15760" s="58"/>
      <c r="G15760" s="58">
        <f t="shared" si="252"/>
        <v>-500</v>
      </c>
      <c r="H15760" s="705" t="s">
        <v>10324</v>
      </c>
    </row>
    <row r="15761" spans="1:8" ht="15" x14ac:dyDescent="0.2">
      <c r="A15761" s="734">
        <v>45118</v>
      </c>
      <c r="B15761" s="41" t="s">
        <v>9356</v>
      </c>
      <c r="C15761" s="63" t="s">
        <v>5741</v>
      </c>
      <c r="D15761" s="129" t="s">
        <v>370</v>
      </c>
      <c r="E15761" s="126">
        <v>500</v>
      </c>
      <c r="F15761" s="58"/>
      <c r="G15761" s="58">
        <f t="shared" si="252"/>
        <v>-500</v>
      </c>
      <c r="H15761" s="705" t="s">
        <v>10324</v>
      </c>
    </row>
    <row r="15762" spans="1:8" ht="15" x14ac:dyDescent="0.2">
      <c r="A15762" s="734">
        <v>45118</v>
      </c>
      <c r="B15762" s="41" t="s">
        <v>8559</v>
      </c>
      <c r="C15762" s="63" t="s">
        <v>3145</v>
      </c>
      <c r="D15762" s="129" t="s">
        <v>10387</v>
      </c>
      <c r="E15762" s="126">
        <v>1920</v>
      </c>
      <c r="F15762" s="58"/>
      <c r="G15762" s="58">
        <f t="shared" si="252"/>
        <v>-1920</v>
      </c>
      <c r="H15762" s="705" t="s">
        <v>10324</v>
      </c>
    </row>
    <row r="15763" spans="1:8" ht="15" x14ac:dyDescent="0.2">
      <c r="A15763" s="734">
        <v>45118</v>
      </c>
      <c r="B15763" s="41" t="s">
        <v>10023</v>
      </c>
      <c r="C15763" s="63" t="s">
        <v>392</v>
      </c>
      <c r="D15763" s="129" t="s">
        <v>10390</v>
      </c>
      <c r="E15763" s="126">
        <v>1700</v>
      </c>
      <c r="F15763" s="58"/>
      <c r="G15763" s="58">
        <f t="shared" si="252"/>
        <v>-1700</v>
      </c>
      <c r="H15763" s="705" t="s">
        <v>10324</v>
      </c>
    </row>
    <row r="15764" spans="1:8" ht="15" x14ac:dyDescent="0.2">
      <c r="A15764" s="734">
        <v>45118</v>
      </c>
      <c r="B15764" s="41" t="s">
        <v>25</v>
      </c>
      <c r="C15764" s="63" t="s">
        <v>392</v>
      </c>
      <c r="D15764" s="129" t="s">
        <v>10391</v>
      </c>
      <c r="E15764" s="126">
        <v>2500</v>
      </c>
      <c r="F15764" s="58"/>
      <c r="G15764" s="58">
        <f t="shared" si="252"/>
        <v>-2500</v>
      </c>
      <c r="H15764" s="705" t="s">
        <v>10324</v>
      </c>
    </row>
    <row r="15765" spans="1:8" ht="15" x14ac:dyDescent="0.2">
      <c r="A15765" s="734">
        <v>45118</v>
      </c>
      <c r="B15765" s="41" t="s">
        <v>3945</v>
      </c>
      <c r="C15765" s="63" t="s">
        <v>286</v>
      </c>
      <c r="D15765" s="129" t="s">
        <v>10389</v>
      </c>
      <c r="E15765" s="126">
        <v>2500</v>
      </c>
      <c r="F15765" s="58"/>
      <c r="G15765" s="58">
        <f t="shared" si="252"/>
        <v>-2500</v>
      </c>
      <c r="H15765" s="705" t="s">
        <v>10324</v>
      </c>
    </row>
    <row r="15766" spans="1:8" ht="15" x14ac:dyDescent="0.2">
      <c r="A15766" s="734">
        <v>45118</v>
      </c>
      <c r="B15766" s="41" t="s">
        <v>3945</v>
      </c>
      <c r="C15766" s="63" t="s">
        <v>10388</v>
      </c>
      <c r="D15766" s="129" t="s">
        <v>10392</v>
      </c>
      <c r="E15766" s="126">
        <v>5000</v>
      </c>
      <c r="F15766" s="58"/>
      <c r="G15766" s="58">
        <f t="shared" si="252"/>
        <v>-5000</v>
      </c>
      <c r="H15766" s="705" t="s">
        <v>10324</v>
      </c>
    </row>
    <row r="15767" spans="1:8" s="682" customFormat="1" ht="24" customHeight="1" x14ac:dyDescent="0.25">
      <c r="A15767" s="734">
        <v>45118</v>
      </c>
      <c r="B15767" s="63" t="s">
        <v>9356</v>
      </c>
      <c r="C15767" s="63" t="s">
        <v>10236</v>
      </c>
      <c r="D15767" s="183" t="s">
        <v>10393</v>
      </c>
      <c r="E15767" s="126">
        <v>-1986500</v>
      </c>
      <c r="F15767" s="126"/>
      <c r="G15767" s="126">
        <f t="shared" si="252"/>
        <v>1986500</v>
      </c>
      <c r="H15767" s="705" t="s">
        <v>10324</v>
      </c>
    </row>
    <row r="15768" spans="1:8" s="682" customFormat="1" ht="15" customHeight="1" x14ac:dyDescent="0.25">
      <c r="A15768" s="734">
        <v>45118</v>
      </c>
      <c r="B15768" s="63" t="s">
        <v>9356</v>
      </c>
      <c r="C15768" s="63" t="s">
        <v>3145</v>
      </c>
      <c r="D15768" s="183" t="s">
        <v>9917</v>
      </c>
      <c r="E15768" s="126">
        <v>9180</v>
      </c>
      <c r="F15768" s="126"/>
      <c r="G15768" s="126">
        <f t="shared" si="252"/>
        <v>-9180</v>
      </c>
      <c r="H15768" s="705" t="s">
        <v>10324</v>
      </c>
    </row>
    <row r="15769" spans="1:8" s="682" customFormat="1" ht="15" x14ac:dyDescent="0.25">
      <c r="A15769" s="734">
        <v>45118</v>
      </c>
      <c r="B15769" s="63" t="s">
        <v>16</v>
      </c>
      <c r="C15769" s="63" t="s">
        <v>1495</v>
      </c>
      <c r="D15769" s="183" t="s">
        <v>370</v>
      </c>
      <c r="E15769" s="126">
        <v>2000</v>
      </c>
      <c r="F15769" s="126"/>
      <c r="G15769" s="126">
        <f t="shared" si="252"/>
        <v>-2000</v>
      </c>
      <c r="H15769" s="705" t="s">
        <v>10324</v>
      </c>
    </row>
    <row r="15770" spans="1:8" s="682" customFormat="1" ht="15" customHeight="1" x14ac:dyDescent="0.25">
      <c r="A15770" s="734">
        <v>45118</v>
      </c>
      <c r="B15770" s="63" t="s">
        <v>16</v>
      </c>
      <c r="C15770" s="63" t="s">
        <v>5410</v>
      </c>
      <c r="D15770" s="183" t="s">
        <v>9794</v>
      </c>
      <c r="E15770" s="126">
        <v>5000</v>
      </c>
      <c r="F15770" s="126"/>
      <c r="G15770" s="126">
        <f t="shared" si="252"/>
        <v>-5000</v>
      </c>
      <c r="H15770" s="705" t="s">
        <v>10324</v>
      </c>
    </row>
    <row r="15771" spans="1:8" s="682" customFormat="1" ht="15" customHeight="1" x14ac:dyDescent="0.2">
      <c r="A15771" s="734">
        <v>45118</v>
      </c>
      <c r="B15771" s="41" t="s">
        <v>10379</v>
      </c>
      <c r="C15771" s="63" t="s">
        <v>5741</v>
      </c>
      <c r="D15771" s="183" t="s">
        <v>10403</v>
      </c>
      <c r="E15771" s="126">
        <v>9500</v>
      </c>
      <c r="F15771" s="126"/>
      <c r="G15771" s="126">
        <f t="shared" si="252"/>
        <v>-9500</v>
      </c>
      <c r="H15771" s="705" t="s">
        <v>10324</v>
      </c>
    </row>
    <row r="15772" spans="1:8" s="682" customFormat="1" ht="15" customHeight="1" x14ac:dyDescent="0.25">
      <c r="A15772" s="734">
        <v>45118</v>
      </c>
      <c r="B15772" s="63" t="s">
        <v>10242</v>
      </c>
      <c r="C15772" s="63" t="s">
        <v>3145</v>
      </c>
      <c r="D15772" s="183" t="s">
        <v>10404</v>
      </c>
      <c r="E15772" s="126">
        <v>350</v>
      </c>
      <c r="F15772" s="126"/>
      <c r="G15772" s="126">
        <f t="shared" si="252"/>
        <v>-350</v>
      </c>
      <c r="H15772" s="705" t="s">
        <v>10324</v>
      </c>
    </row>
    <row r="15773" spans="1:8" s="682" customFormat="1" ht="15" customHeight="1" x14ac:dyDescent="0.25">
      <c r="A15773" s="734">
        <v>45118</v>
      </c>
      <c r="B15773" s="63" t="s">
        <v>10338</v>
      </c>
      <c r="C15773" s="63" t="s">
        <v>5741</v>
      </c>
      <c r="D15773" s="183" t="s">
        <v>10337</v>
      </c>
      <c r="E15773" s="126">
        <v>260</v>
      </c>
      <c r="F15773" s="126"/>
      <c r="G15773" s="126">
        <f t="shared" si="252"/>
        <v>-260</v>
      </c>
      <c r="H15773" s="705" t="s">
        <v>10324</v>
      </c>
    </row>
    <row r="15774" spans="1:8" s="682" customFormat="1" ht="15" customHeight="1" x14ac:dyDescent="0.25">
      <c r="A15774" s="734">
        <v>45118</v>
      </c>
      <c r="B15774" s="63" t="s">
        <v>9769</v>
      </c>
      <c r="C15774" s="63" t="s">
        <v>3145</v>
      </c>
      <c r="D15774" s="183" t="s">
        <v>10405</v>
      </c>
      <c r="E15774" s="126">
        <v>19700</v>
      </c>
      <c r="F15774" s="126"/>
      <c r="G15774" s="126">
        <f t="shared" si="252"/>
        <v>-19700</v>
      </c>
      <c r="H15774" s="705" t="s">
        <v>10324</v>
      </c>
    </row>
    <row r="15775" spans="1:8" s="682" customFormat="1" ht="15" customHeight="1" x14ac:dyDescent="0.25">
      <c r="A15775" s="734">
        <v>45119</v>
      </c>
      <c r="B15775" s="63" t="s">
        <v>8559</v>
      </c>
      <c r="C15775" s="63" t="s">
        <v>63</v>
      </c>
      <c r="D15775" s="183" t="s">
        <v>10406</v>
      </c>
      <c r="E15775" s="126">
        <v>15000</v>
      </c>
      <c r="F15775" s="126"/>
      <c r="G15775" s="126">
        <f t="shared" si="252"/>
        <v>-15000</v>
      </c>
      <c r="H15775" s="705" t="s">
        <v>10324</v>
      </c>
    </row>
    <row r="15776" spans="1:8" s="682" customFormat="1" ht="15" x14ac:dyDescent="0.25">
      <c r="A15776" s="734">
        <v>45119</v>
      </c>
      <c r="B15776" s="63" t="s">
        <v>10232</v>
      </c>
      <c r="C15776" s="63" t="s">
        <v>3145</v>
      </c>
      <c r="D15776" s="183" t="s">
        <v>10407</v>
      </c>
      <c r="E15776" s="126">
        <v>19800</v>
      </c>
      <c r="F15776" s="126"/>
      <c r="G15776" s="126">
        <f t="shared" si="252"/>
        <v>-19800</v>
      </c>
      <c r="H15776" s="705" t="s">
        <v>10324</v>
      </c>
    </row>
    <row r="15777" spans="1:8" s="682" customFormat="1" ht="15" x14ac:dyDescent="0.25">
      <c r="A15777" s="734">
        <v>45119</v>
      </c>
      <c r="B15777" s="63" t="s">
        <v>9661</v>
      </c>
      <c r="C15777" s="63" t="s">
        <v>5741</v>
      </c>
      <c r="D15777" s="183" t="s">
        <v>370</v>
      </c>
      <c r="E15777" s="126">
        <v>2000</v>
      </c>
      <c r="F15777" s="126"/>
      <c r="G15777" s="126">
        <f t="shared" si="252"/>
        <v>-2000</v>
      </c>
      <c r="H15777" s="705" t="s">
        <v>10324</v>
      </c>
    </row>
    <row r="15778" spans="1:8" s="682" customFormat="1" ht="15" customHeight="1" x14ac:dyDescent="0.25">
      <c r="A15778" s="734">
        <v>45119</v>
      </c>
      <c r="B15778" s="63" t="s">
        <v>9464</v>
      </c>
      <c r="C15778" s="63" t="s">
        <v>392</v>
      </c>
      <c r="D15778" s="183" t="s">
        <v>10408</v>
      </c>
      <c r="E15778" s="126">
        <v>460</v>
      </c>
      <c r="F15778" s="126"/>
      <c r="G15778" s="126">
        <f t="shared" si="252"/>
        <v>-460</v>
      </c>
      <c r="H15778" s="705" t="s">
        <v>10324</v>
      </c>
    </row>
    <row r="15779" spans="1:8" s="682" customFormat="1" ht="15" customHeight="1" x14ac:dyDescent="0.25">
      <c r="A15779" s="734">
        <v>45119</v>
      </c>
      <c r="B15779" s="63" t="s">
        <v>16</v>
      </c>
      <c r="C15779" s="63" t="s">
        <v>16</v>
      </c>
      <c r="D15779" s="183" t="s">
        <v>10211</v>
      </c>
      <c r="E15779" s="126">
        <v>3500</v>
      </c>
      <c r="F15779" s="126"/>
      <c r="G15779" s="126">
        <f t="shared" si="252"/>
        <v>-3500</v>
      </c>
      <c r="H15779" s="705" t="s">
        <v>10324</v>
      </c>
    </row>
    <row r="15780" spans="1:8" s="682" customFormat="1" ht="15" customHeight="1" x14ac:dyDescent="0.25">
      <c r="A15780" s="734">
        <v>45119</v>
      </c>
      <c r="B15780" s="63" t="s">
        <v>10232</v>
      </c>
      <c r="C15780" s="63" t="s">
        <v>5741</v>
      </c>
      <c r="D15780" s="183" t="s">
        <v>370</v>
      </c>
      <c r="E15780" s="126">
        <v>900</v>
      </c>
      <c r="F15780" s="126"/>
      <c r="G15780" s="126">
        <f t="shared" si="252"/>
        <v>-900</v>
      </c>
      <c r="H15780" s="705" t="s">
        <v>10324</v>
      </c>
    </row>
    <row r="15781" spans="1:8" s="682" customFormat="1" ht="15" customHeight="1" x14ac:dyDescent="0.25">
      <c r="A15781" s="734">
        <v>45119</v>
      </c>
      <c r="B15781" s="63" t="s">
        <v>8876</v>
      </c>
      <c r="C15781" s="63" t="s">
        <v>794</v>
      </c>
      <c r="D15781" s="183" t="s">
        <v>10409</v>
      </c>
      <c r="E15781" s="126">
        <v>2170</v>
      </c>
      <c r="F15781" s="126"/>
      <c r="G15781" s="126">
        <f t="shared" si="252"/>
        <v>-2170</v>
      </c>
      <c r="H15781" s="705" t="s">
        <v>10324</v>
      </c>
    </row>
    <row r="15782" spans="1:8" s="682" customFormat="1" ht="15" customHeight="1" x14ac:dyDescent="0.25">
      <c r="A15782" s="734">
        <v>45119</v>
      </c>
      <c r="B15782" s="63" t="s">
        <v>8876</v>
      </c>
      <c r="C15782" s="63" t="s">
        <v>286</v>
      </c>
      <c r="D15782" s="183" t="s">
        <v>10410</v>
      </c>
      <c r="E15782" s="126">
        <v>4500</v>
      </c>
      <c r="F15782" s="126"/>
      <c r="G15782" s="126">
        <f t="shared" si="252"/>
        <v>-4500</v>
      </c>
      <c r="H15782" s="705" t="s">
        <v>10324</v>
      </c>
    </row>
    <row r="15783" spans="1:8" s="682" customFormat="1" ht="15" customHeight="1" x14ac:dyDescent="0.25">
      <c r="A15783" s="734">
        <v>45119</v>
      </c>
      <c r="B15783" s="63" t="s">
        <v>8876</v>
      </c>
      <c r="C15783" s="63" t="s">
        <v>10411</v>
      </c>
      <c r="D15783" s="183" t="s">
        <v>10101</v>
      </c>
      <c r="E15783" s="126">
        <v>5820</v>
      </c>
      <c r="F15783" s="126"/>
      <c r="G15783" s="126">
        <f t="shared" si="252"/>
        <v>-5820</v>
      </c>
      <c r="H15783" s="705" t="s">
        <v>10324</v>
      </c>
    </row>
    <row r="15784" spans="1:8" s="682" customFormat="1" ht="15" customHeight="1" x14ac:dyDescent="0.25">
      <c r="A15784" s="734">
        <v>45119</v>
      </c>
      <c r="B15784" s="63" t="s">
        <v>10232</v>
      </c>
      <c r="C15784" s="63" t="s">
        <v>5741</v>
      </c>
      <c r="D15784" s="183" t="s">
        <v>370</v>
      </c>
      <c r="E15784" s="126">
        <v>1000</v>
      </c>
      <c r="F15784" s="126"/>
      <c r="G15784" s="126">
        <f t="shared" si="252"/>
        <v>-1000</v>
      </c>
      <c r="H15784" s="705" t="s">
        <v>10324</v>
      </c>
    </row>
    <row r="15785" spans="1:8" s="682" customFormat="1" ht="15" customHeight="1" x14ac:dyDescent="0.25">
      <c r="A15785" s="734">
        <v>45119</v>
      </c>
      <c r="B15785" s="63" t="s">
        <v>9356</v>
      </c>
      <c r="C15785" s="63" t="s">
        <v>5741</v>
      </c>
      <c r="D15785" s="183" t="s">
        <v>10337</v>
      </c>
      <c r="E15785" s="126">
        <v>160</v>
      </c>
      <c r="F15785" s="126"/>
      <c r="G15785" s="126">
        <f t="shared" si="252"/>
        <v>-160</v>
      </c>
      <c r="H15785" s="705" t="s">
        <v>10324</v>
      </c>
    </row>
    <row r="15786" spans="1:8" s="682" customFormat="1" ht="15" customHeight="1" x14ac:dyDescent="0.25">
      <c r="A15786" s="734">
        <v>45119</v>
      </c>
      <c r="B15786" s="63" t="s">
        <v>8876</v>
      </c>
      <c r="C15786" s="63" t="s">
        <v>5741</v>
      </c>
      <c r="D15786" s="183" t="s">
        <v>370</v>
      </c>
      <c r="E15786" s="126">
        <v>250</v>
      </c>
      <c r="F15786" s="126"/>
      <c r="G15786" s="126">
        <f t="shared" si="252"/>
        <v>-250</v>
      </c>
      <c r="H15786" s="705" t="s">
        <v>10324</v>
      </c>
    </row>
    <row r="15787" spans="1:8" s="682" customFormat="1" ht="15" customHeight="1" x14ac:dyDescent="0.25">
      <c r="A15787" s="734">
        <v>45119</v>
      </c>
      <c r="B15787" s="63" t="s">
        <v>9769</v>
      </c>
      <c r="C15787" s="63" t="s">
        <v>392</v>
      </c>
      <c r="D15787" s="183" t="s">
        <v>10412</v>
      </c>
      <c r="E15787" s="126">
        <v>2250</v>
      </c>
      <c r="F15787" s="126"/>
      <c r="G15787" s="126">
        <f t="shared" si="252"/>
        <v>-2250</v>
      </c>
      <c r="H15787" s="705" t="s">
        <v>10324</v>
      </c>
    </row>
    <row r="15788" spans="1:8" s="682" customFormat="1" ht="15" customHeight="1" x14ac:dyDescent="0.25">
      <c r="A15788" s="734">
        <v>45119</v>
      </c>
      <c r="B15788" s="63" t="s">
        <v>2933</v>
      </c>
      <c r="C15788" s="63" t="s">
        <v>392</v>
      </c>
      <c r="D15788" s="183" t="s">
        <v>10413</v>
      </c>
      <c r="E15788" s="126">
        <v>1310</v>
      </c>
      <c r="F15788" s="126"/>
      <c r="G15788" s="126">
        <f t="shared" si="252"/>
        <v>-1310</v>
      </c>
      <c r="H15788" s="705" t="s">
        <v>10324</v>
      </c>
    </row>
    <row r="15789" spans="1:8" s="682" customFormat="1" ht="15" x14ac:dyDescent="0.25">
      <c r="A15789" s="734">
        <v>45119</v>
      </c>
      <c r="B15789" s="63" t="s">
        <v>9409</v>
      </c>
      <c r="C15789" s="63" t="s">
        <v>3145</v>
      </c>
      <c r="D15789" s="183" t="s">
        <v>4222</v>
      </c>
      <c r="E15789" s="126">
        <v>109910</v>
      </c>
      <c r="F15789" s="126"/>
      <c r="G15789" s="126">
        <f t="shared" si="252"/>
        <v>-109910</v>
      </c>
      <c r="H15789" s="705" t="s">
        <v>10324</v>
      </c>
    </row>
    <row r="15790" spans="1:8" s="682" customFormat="1" ht="15" customHeight="1" x14ac:dyDescent="0.25">
      <c r="A15790" s="734">
        <v>45119</v>
      </c>
      <c r="B15790" s="63" t="s">
        <v>9402</v>
      </c>
      <c r="C15790" s="63" t="s">
        <v>392</v>
      </c>
      <c r="D15790" s="183" t="s">
        <v>10414</v>
      </c>
      <c r="E15790" s="126">
        <v>300</v>
      </c>
      <c r="F15790" s="126"/>
      <c r="G15790" s="126">
        <f t="shared" si="252"/>
        <v>-300</v>
      </c>
      <c r="H15790" s="705" t="s">
        <v>10324</v>
      </c>
    </row>
    <row r="15791" spans="1:8" s="682" customFormat="1" ht="15" customHeight="1" x14ac:dyDescent="0.25">
      <c r="A15791" s="734">
        <v>45119</v>
      </c>
      <c r="B15791" s="63" t="s">
        <v>9769</v>
      </c>
      <c r="C15791" s="63"/>
      <c r="D15791" s="183" t="s">
        <v>10415</v>
      </c>
      <c r="E15791" s="126">
        <v>250000</v>
      </c>
      <c r="F15791" s="126"/>
      <c r="G15791" s="126">
        <f t="shared" si="252"/>
        <v>-250000</v>
      </c>
      <c r="H15791" s="705" t="s">
        <v>10324</v>
      </c>
    </row>
    <row r="15792" spans="1:8" s="682" customFormat="1" ht="15" customHeight="1" x14ac:dyDescent="0.25">
      <c r="A15792" s="734">
        <v>45119</v>
      </c>
      <c r="B15792" s="63" t="s">
        <v>9769</v>
      </c>
      <c r="C15792" s="63"/>
      <c r="D15792" s="183" t="s">
        <v>10416</v>
      </c>
      <c r="E15792" s="126">
        <v>250000</v>
      </c>
      <c r="F15792" s="126"/>
      <c r="G15792" s="126">
        <f t="shared" si="252"/>
        <v>-250000</v>
      </c>
      <c r="H15792" s="705" t="s">
        <v>10324</v>
      </c>
    </row>
    <row r="15793" spans="1:8" s="682" customFormat="1" ht="15" customHeight="1" x14ac:dyDescent="0.25">
      <c r="A15793" s="734">
        <v>45119</v>
      </c>
      <c r="B15793" s="63" t="s">
        <v>9769</v>
      </c>
      <c r="C15793" s="63"/>
      <c r="D15793" s="183" t="s">
        <v>10416</v>
      </c>
      <c r="E15793" s="126">
        <v>250000</v>
      </c>
      <c r="F15793" s="126"/>
      <c r="G15793" s="126">
        <f t="shared" si="252"/>
        <v>-250000</v>
      </c>
      <c r="H15793" s="705" t="s">
        <v>10324</v>
      </c>
    </row>
    <row r="15794" spans="1:8" s="682" customFormat="1" ht="24" customHeight="1" x14ac:dyDescent="0.25">
      <c r="A15794" s="734">
        <v>45119</v>
      </c>
      <c r="B15794" s="63" t="s">
        <v>9356</v>
      </c>
      <c r="C15794" s="63" t="s">
        <v>9775</v>
      </c>
      <c r="D15794" s="183" t="s">
        <v>10419</v>
      </c>
      <c r="E15794" s="126">
        <v>116000</v>
      </c>
      <c r="F15794" s="126"/>
      <c r="G15794" s="126">
        <f t="shared" si="252"/>
        <v>-116000</v>
      </c>
      <c r="H15794" s="705" t="s">
        <v>10324</v>
      </c>
    </row>
    <row r="15795" spans="1:8" s="682" customFormat="1" ht="24" customHeight="1" x14ac:dyDescent="0.25">
      <c r="A15795" s="734">
        <v>45119</v>
      </c>
      <c r="B15795" s="63" t="s">
        <v>10909</v>
      </c>
      <c r="C15795" s="63" t="s">
        <v>3145</v>
      </c>
      <c r="D15795" s="183" t="s">
        <v>10417</v>
      </c>
      <c r="E15795" s="126">
        <v>51550</v>
      </c>
      <c r="F15795" s="126"/>
      <c r="G15795" s="126">
        <f t="shared" si="252"/>
        <v>-51550</v>
      </c>
      <c r="H15795" s="705" t="s">
        <v>10324</v>
      </c>
    </row>
    <row r="15796" spans="1:8" s="682" customFormat="1" ht="24" customHeight="1" x14ac:dyDescent="0.25">
      <c r="A15796" s="734">
        <v>45119</v>
      </c>
      <c r="B15796" s="63" t="s">
        <v>9356</v>
      </c>
      <c r="C15796" s="670" t="s">
        <v>9871</v>
      </c>
      <c r="D15796" s="907" t="s">
        <v>10418</v>
      </c>
      <c r="E15796" s="672">
        <v>185200</v>
      </c>
      <c r="F15796" s="126"/>
      <c r="G15796" s="126">
        <f t="shared" si="252"/>
        <v>-185200</v>
      </c>
      <c r="H15796" s="705" t="s">
        <v>10324</v>
      </c>
    </row>
    <row r="15797" spans="1:8" s="682" customFormat="1" ht="24" customHeight="1" x14ac:dyDescent="0.25">
      <c r="A15797" s="734">
        <v>45119</v>
      </c>
      <c r="B15797" s="63" t="s">
        <v>10338</v>
      </c>
      <c r="C15797" s="670" t="s">
        <v>9871</v>
      </c>
      <c r="D15797" s="907" t="s">
        <v>10418</v>
      </c>
      <c r="E15797" s="672">
        <v>20000</v>
      </c>
      <c r="F15797" s="126"/>
      <c r="G15797" s="126">
        <f t="shared" si="252"/>
        <v>-20000</v>
      </c>
      <c r="H15797" s="705" t="s">
        <v>10324</v>
      </c>
    </row>
    <row r="15798" spans="1:8" s="682" customFormat="1" ht="15" customHeight="1" x14ac:dyDescent="0.25">
      <c r="A15798" s="734">
        <v>45119</v>
      </c>
      <c r="B15798" s="63" t="s">
        <v>9769</v>
      </c>
      <c r="C15798" s="551" t="s">
        <v>3145</v>
      </c>
      <c r="D15798" s="740" t="s">
        <v>10479</v>
      </c>
      <c r="E15798" s="552">
        <v>60000</v>
      </c>
      <c r="F15798" s="126"/>
      <c r="G15798" s="126">
        <f t="shared" si="252"/>
        <v>-60000</v>
      </c>
      <c r="H15798" s="705" t="s">
        <v>10324</v>
      </c>
    </row>
    <row r="15799" spans="1:8" s="682" customFormat="1" ht="15" customHeight="1" x14ac:dyDescent="0.25">
      <c r="A15799" s="734">
        <v>45119</v>
      </c>
      <c r="B15799" s="63" t="s">
        <v>10232</v>
      </c>
      <c r="C15799" s="551" t="s">
        <v>3145</v>
      </c>
      <c r="D15799" s="740" t="s">
        <v>10479</v>
      </c>
      <c r="E15799" s="552">
        <v>60000</v>
      </c>
      <c r="F15799" s="126"/>
      <c r="G15799" s="126">
        <f t="shared" si="252"/>
        <v>-60000</v>
      </c>
      <c r="H15799" s="705" t="s">
        <v>10324</v>
      </c>
    </row>
    <row r="15800" spans="1:8" s="682" customFormat="1" ht="15" customHeight="1" x14ac:dyDescent="0.25">
      <c r="A15800" s="734">
        <v>45119</v>
      </c>
      <c r="B15800" s="63" t="s">
        <v>10379</v>
      </c>
      <c r="C15800" s="551" t="s">
        <v>3145</v>
      </c>
      <c r="D15800" s="740" t="s">
        <v>10479</v>
      </c>
      <c r="E15800" s="552">
        <v>33000</v>
      </c>
      <c r="F15800" s="126"/>
      <c r="G15800" s="126">
        <f t="shared" si="252"/>
        <v>-33000</v>
      </c>
      <c r="H15800" s="705" t="s">
        <v>10324</v>
      </c>
    </row>
    <row r="15801" spans="1:8" s="682" customFormat="1" ht="15" customHeight="1" x14ac:dyDescent="0.25">
      <c r="A15801" s="734">
        <v>45119</v>
      </c>
      <c r="B15801" s="63" t="s">
        <v>10023</v>
      </c>
      <c r="C15801" s="63" t="s">
        <v>3145</v>
      </c>
      <c r="D15801" s="183" t="s">
        <v>10420</v>
      </c>
      <c r="E15801" s="126">
        <v>6700</v>
      </c>
      <c r="F15801" s="126"/>
      <c r="G15801" s="126">
        <f t="shared" si="252"/>
        <v>-6700</v>
      </c>
      <c r="H15801" s="705" t="s">
        <v>10324</v>
      </c>
    </row>
    <row r="15802" spans="1:8" s="682" customFormat="1" ht="15" customHeight="1" x14ac:dyDescent="0.25">
      <c r="A15802" s="734">
        <v>45120</v>
      </c>
      <c r="B15802" s="63" t="s">
        <v>9769</v>
      </c>
      <c r="C15802" s="63" t="s">
        <v>3145</v>
      </c>
      <c r="D15802" s="183" t="s">
        <v>10421</v>
      </c>
      <c r="E15802" s="126">
        <v>18500</v>
      </c>
      <c r="F15802" s="126"/>
      <c r="G15802" s="126">
        <f t="shared" si="252"/>
        <v>-18500</v>
      </c>
      <c r="H15802" s="705" t="s">
        <v>10324</v>
      </c>
    </row>
    <row r="15803" spans="1:8" s="682" customFormat="1" ht="15" customHeight="1" x14ac:dyDescent="0.25">
      <c r="A15803" s="734">
        <v>45120</v>
      </c>
      <c r="B15803" s="63" t="s">
        <v>10909</v>
      </c>
      <c r="C15803" s="63" t="s">
        <v>3145</v>
      </c>
      <c r="D15803" s="183" t="s">
        <v>10422</v>
      </c>
      <c r="E15803" s="126">
        <v>43920</v>
      </c>
      <c r="F15803" s="126"/>
      <c r="G15803" s="126">
        <f t="shared" si="252"/>
        <v>-43920</v>
      </c>
      <c r="H15803" s="705" t="s">
        <v>10324</v>
      </c>
    </row>
    <row r="15804" spans="1:8" s="682" customFormat="1" ht="15" customHeight="1" x14ac:dyDescent="0.25">
      <c r="A15804" s="734">
        <v>45120</v>
      </c>
      <c r="B15804" s="63" t="s">
        <v>10023</v>
      </c>
      <c r="C15804" s="63" t="s">
        <v>3145</v>
      </c>
      <c r="D15804" s="183" t="s">
        <v>10423</v>
      </c>
      <c r="E15804" s="126">
        <v>500</v>
      </c>
      <c r="F15804" s="126"/>
      <c r="G15804" s="126">
        <f t="shared" si="252"/>
        <v>-500</v>
      </c>
      <c r="H15804" s="705" t="s">
        <v>10324</v>
      </c>
    </row>
    <row r="15805" spans="1:8" s="682" customFormat="1" ht="15" customHeight="1" x14ac:dyDescent="0.25">
      <c r="A15805" s="734">
        <v>45120</v>
      </c>
      <c r="B15805" s="63" t="s">
        <v>9661</v>
      </c>
      <c r="C15805" s="63" t="s">
        <v>5741</v>
      </c>
      <c r="D15805" s="183" t="s">
        <v>370</v>
      </c>
      <c r="E15805" s="126">
        <v>800</v>
      </c>
      <c r="F15805" s="126"/>
      <c r="G15805" s="126">
        <f t="shared" si="252"/>
        <v>-800</v>
      </c>
      <c r="H15805" s="705" t="s">
        <v>10324</v>
      </c>
    </row>
    <row r="15806" spans="1:8" s="682" customFormat="1" ht="15" customHeight="1" x14ac:dyDescent="0.25">
      <c r="A15806" s="734">
        <v>45120</v>
      </c>
      <c r="B15806" s="63" t="s">
        <v>10023</v>
      </c>
      <c r="C15806" s="63" t="s">
        <v>5741</v>
      </c>
      <c r="D15806" s="183" t="s">
        <v>370</v>
      </c>
      <c r="E15806" s="126">
        <v>500</v>
      </c>
      <c r="F15806" s="126"/>
      <c r="G15806" s="126">
        <f t="shared" si="252"/>
        <v>-500</v>
      </c>
      <c r="H15806" s="705" t="s">
        <v>10324</v>
      </c>
    </row>
    <row r="15807" spans="1:8" s="682" customFormat="1" ht="15" customHeight="1" x14ac:dyDescent="0.2">
      <c r="A15807" s="734">
        <v>45120</v>
      </c>
      <c r="B15807" s="41" t="s">
        <v>10379</v>
      </c>
      <c r="C15807" s="63" t="s">
        <v>5741</v>
      </c>
      <c r="D15807" s="183" t="s">
        <v>370</v>
      </c>
      <c r="E15807" s="126">
        <v>1500</v>
      </c>
      <c r="F15807" s="126"/>
      <c r="G15807" s="126">
        <f t="shared" ref="G15807:G15870" si="253">F15807-E15807</f>
        <v>-1500</v>
      </c>
      <c r="H15807" s="705" t="s">
        <v>10324</v>
      </c>
    </row>
    <row r="15808" spans="1:8" s="682" customFormat="1" ht="15" customHeight="1" x14ac:dyDescent="0.25">
      <c r="A15808" s="734">
        <v>45120</v>
      </c>
      <c r="B15808" s="63" t="s">
        <v>9661</v>
      </c>
      <c r="C15808" s="63" t="s">
        <v>5741</v>
      </c>
      <c r="D15808" s="183" t="s">
        <v>370</v>
      </c>
      <c r="E15808" s="126">
        <v>500</v>
      </c>
      <c r="F15808" s="126"/>
      <c r="G15808" s="126">
        <f t="shared" si="253"/>
        <v>-500</v>
      </c>
      <c r="H15808" s="705" t="s">
        <v>10324</v>
      </c>
    </row>
    <row r="15809" spans="1:8" s="682" customFormat="1" ht="15" customHeight="1" x14ac:dyDescent="0.25">
      <c r="A15809" s="734">
        <v>45120</v>
      </c>
      <c r="B15809" s="63" t="s">
        <v>10338</v>
      </c>
      <c r="C15809" s="63" t="s">
        <v>5741</v>
      </c>
      <c r="D15809" s="183" t="s">
        <v>370</v>
      </c>
      <c r="E15809" s="126">
        <v>600</v>
      </c>
      <c r="F15809" s="126"/>
      <c r="G15809" s="126">
        <f t="shared" si="253"/>
        <v>-600</v>
      </c>
      <c r="H15809" s="705" t="s">
        <v>10324</v>
      </c>
    </row>
    <row r="15810" spans="1:8" s="682" customFormat="1" ht="15" customHeight="1" x14ac:dyDescent="0.25">
      <c r="A15810" s="734">
        <v>45120</v>
      </c>
      <c r="B15810" s="63" t="s">
        <v>10144</v>
      </c>
      <c r="C15810" s="63" t="s">
        <v>5681</v>
      </c>
      <c r="D15810" s="183" t="s">
        <v>10424</v>
      </c>
      <c r="E15810" s="126">
        <v>200000</v>
      </c>
      <c r="F15810" s="126"/>
      <c r="G15810" s="126">
        <f t="shared" si="253"/>
        <v>-200000</v>
      </c>
      <c r="H15810" s="705" t="s">
        <v>10324</v>
      </c>
    </row>
    <row r="15811" spans="1:8" s="682" customFormat="1" ht="15" customHeight="1" x14ac:dyDescent="0.25">
      <c r="A15811" s="734">
        <v>45120</v>
      </c>
      <c r="B15811" s="63" t="s">
        <v>9769</v>
      </c>
      <c r="C15811" s="63" t="s">
        <v>10236</v>
      </c>
      <c r="D15811" s="183" t="s">
        <v>10237</v>
      </c>
      <c r="E15811" s="126">
        <v>87000</v>
      </c>
      <c r="F15811" s="126"/>
      <c r="G15811" s="126">
        <f t="shared" si="253"/>
        <v>-87000</v>
      </c>
      <c r="H15811" s="705" t="s">
        <v>10324</v>
      </c>
    </row>
    <row r="15812" spans="1:8" s="682" customFormat="1" ht="15" customHeight="1" x14ac:dyDescent="0.25">
      <c r="A15812" s="734">
        <v>45120</v>
      </c>
      <c r="B15812" s="63" t="s">
        <v>9356</v>
      </c>
      <c r="C15812" s="63" t="s">
        <v>3145</v>
      </c>
      <c r="D15812" s="183" t="s">
        <v>9917</v>
      </c>
      <c r="E15812" s="126">
        <v>3166</v>
      </c>
      <c r="F15812" s="126"/>
      <c r="G15812" s="126">
        <f t="shared" si="253"/>
        <v>-3166</v>
      </c>
      <c r="H15812" s="705" t="s">
        <v>10324</v>
      </c>
    </row>
    <row r="15813" spans="1:8" s="682" customFormat="1" ht="15" customHeight="1" x14ac:dyDescent="0.2">
      <c r="A15813" s="734">
        <v>45120</v>
      </c>
      <c r="B15813" s="41" t="s">
        <v>10379</v>
      </c>
      <c r="C15813" s="63" t="s">
        <v>3145</v>
      </c>
      <c r="D15813" s="183" t="s">
        <v>10447</v>
      </c>
      <c r="E15813" s="126">
        <v>6460</v>
      </c>
      <c r="F15813" s="126"/>
      <c r="G15813" s="126">
        <f t="shared" si="253"/>
        <v>-6460</v>
      </c>
      <c r="H15813" s="705" t="s">
        <v>10324</v>
      </c>
    </row>
    <row r="15814" spans="1:8" s="682" customFormat="1" ht="15" customHeight="1" x14ac:dyDescent="0.25">
      <c r="A15814" s="734">
        <v>45120</v>
      </c>
      <c r="B15814" s="63" t="s">
        <v>9832</v>
      </c>
      <c r="C15814" s="63" t="s">
        <v>3145</v>
      </c>
      <c r="D15814" s="183" t="s">
        <v>10448</v>
      </c>
      <c r="E15814" s="126">
        <v>22000</v>
      </c>
      <c r="F15814" s="126"/>
      <c r="G15814" s="126">
        <f t="shared" si="253"/>
        <v>-22000</v>
      </c>
      <c r="H15814" s="705" t="s">
        <v>10324</v>
      </c>
    </row>
    <row r="15815" spans="1:8" s="682" customFormat="1" ht="15" customHeight="1" x14ac:dyDescent="0.25">
      <c r="A15815" s="734">
        <v>45120</v>
      </c>
      <c r="B15815" s="63" t="s">
        <v>103</v>
      </c>
      <c r="C15815" s="63" t="s">
        <v>103</v>
      </c>
      <c r="D15815" s="183" t="s">
        <v>10211</v>
      </c>
      <c r="E15815" s="126">
        <v>4000</v>
      </c>
      <c r="F15815" s="126"/>
      <c r="G15815" s="126">
        <f t="shared" si="253"/>
        <v>-4000</v>
      </c>
      <c r="H15815" s="705" t="s">
        <v>10324</v>
      </c>
    </row>
    <row r="15816" spans="1:8" s="682" customFormat="1" ht="15" customHeight="1" x14ac:dyDescent="0.25">
      <c r="A15816" s="734">
        <v>45120</v>
      </c>
      <c r="B15816" s="63" t="s">
        <v>9832</v>
      </c>
      <c r="C15816" s="63" t="s">
        <v>5741</v>
      </c>
      <c r="D15816" s="183" t="s">
        <v>370</v>
      </c>
      <c r="E15816" s="126">
        <v>1500</v>
      </c>
      <c r="F15816" s="126"/>
      <c r="G15816" s="126">
        <f t="shared" si="253"/>
        <v>-1500</v>
      </c>
      <c r="H15816" s="705" t="s">
        <v>10324</v>
      </c>
    </row>
    <row r="15817" spans="1:8" s="682" customFormat="1" ht="15" customHeight="1" x14ac:dyDescent="0.25">
      <c r="A15817" s="734">
        <v>45120</v>
      </c>
      <c r="B15817" s="63" t="s">
        <v>9661</v>
      </c>
      <c r="C15817" s="63" t="s">
        <v>6624</v>
      </c>
      <c r="D15817" s="183" t="s">
        <v>10450</v>
      </c>
      <c r="E15817" s="126">
        <v>30000</v>
      </c>
      <c r="F15817" s="126"/>
      <c r="G15817" s="126">
        <f t="shared" si="253"/>
        <v>-30000</v>
      </c>
      <c r="H15817" s="705" t="s">
        <v>10324</v>
      </c>
    </row>
    <row r="15818" spans="1:8" s="682" customFormat="1" ht="15" customHeight="1" x14ac:dyDescent="0.25">
      <c r="A15818" s="734">
        <v>45120</v>
      </c>
      <c r="B15818" s="63" t="s">
        <v>8876</v>
      </c>
      <c r="C15818" s="63" t="s">
        <v>10452</v>
      </c>
      <c r="D15818" s="183" t="s">
        <v>10451</v>
      </c>
      <c r="E15818" s="126">
        <v>30000</v>
      </c>
      <c r="F15818" s="126"/>
      <c r="G15818" s="126">
        <f t="shared" si="253"/>
        <v>-30000</v>
      </c>
      <c r="H15818" s="705" t="s">
        <v>10324</v>
      </c>
    </row>
    <row r="15819" spans="1:8" s="682" customFormat="1" ht="15" customHeight="1" x14ac:dyDescent="0.25">
      <c r="A15819" s="734">
        <v>45120</v>
      </c>
      <c r="B15819" s="63" t="s">
        <v>103</v>
      </c>
      <c r="C15819" s="63" t="s">
        <v>2996</v>
      </c>
      <c r="D15819" s="183" t="s">
        <v>10453</v>
      </c>
      <c r="E15819" s="126">
        <v>4670</v>
      </c>
      <c r="F15819" s="126"/>
      <c r="G15819" s="126">
        <f t="shared" si="253"/>
        <v>-4670</v>
      </c>
      <c r="H15819" s="705" t="s">
        <v>10324</v>
      </c>
    </row>
    <row r="15820" spans="1:8" s="682" customFormat="1" ht="15" customHeight="1" x14ac:dyDescent="0.25">
      <c r="A15820" s="734">
        <v>45120</v>
      </c>
      <c r="B15820" s="63" t="s">
        <v>9409</v>
      </c>
      <c r="C15820" s="63" t="s">
        <v>3145</v>
      </c>
      <c r="D15820" s="183" t="s">
        <v>10454</v>
      </c>
      <c r="E15820" s="126">
        <v>15000</v>
      </c>
      <c r="F15820" s="126"/>
      <c r="G15820" s="126">
        <f t="shared" si="253"/>
        <v>-15000</v>
      </c>
      <c r="H15820" s="705" t="s">
        <v>10324</v>
      </c>
    </row>
    <row r="15821" spans="1:8" s="682" customFormat="1" ht="15" customHeight="1" x14ac:dyDescent="0.25">
      <c r="A15821" s="734">
        <v>45120</v>
      </c>
      <c r="B15821" s="63" t="s">
        <v>9769</v>
      </c>
      <c r="C15821" s="63" t="s">
        <v>3145</v>
      </c>
      <c r="D15821" s="183" t="s">
        <v>10455</v>
      </c>
      <c r="E15821" s="126">
        <v>109400</v>
      </c>
      <c r="F15821" s="126"/>
      <c r="G15821" s="126">
        <f t="shared" si="253"/>
        <v>-109400</v>
      </c>
      <c r="H15821" s="705" t="s">
        <v>10324</v>
      </c>
    </row>
    <row r="15822" spans="1:8" s="682" customFormat="1" ht="15" customHeight="1" x14ac:dyDescent="0.25">
      <c r="A15822" s="734">
        <v>45120</v>
      </c>
      <c r="B15822" s="63" t="s">
        <v>10296</v>
      </c>
      <c r="C15822" s="63" t="s">
        <v>3145</v>
      </c>
      <c r="D15822" s="183" t="s">
        <v>10455</v>
      </c>
      <c r="E15822" s="126">
        <v>7890</v>
      </c>
      <c r="F15822" s="126"/>
      <c r="G15822" s="126">
        <f t="shared" si="253"/>
        <v>-7890</v>
      </c>
      <c r="H15822" s="705" t="s">
        <v>10324</v>
      </c>
    </row>
    <row r="15823" spans="1:8" s="682" customFormat="1" ht="15" customHeight="1" x14ac:dyDescent="0.25">
      <c r="A15823" s="734">
        <v>45120</v>
      </c>
      <c r="B15823" s="63" t="s">
        <v>10296</v>
      </c>
      <c r="C15823" s="63" t="s">
        <v>3145</v>
      </c>
      <c r="D15823" s="183" t="s">
        <v>10456</v>
      </c>
      <c r="E15823" s="126">
        <v>2000</v>
      </c>
      <c r="F15823" s="126"/>
      <c r="G15823" s="126">
        <f t="shared" si="253"/>
        <v>-2000</v>
      </c>
      <c r="H15823" s="705" t="s">
        <v>10324</v>
      </c>
    </row>
    <row r="15824" spans="1:8" s="682" customFormat="1" ht="15" customHeight="1" x14ac:dyDescent="0.25">
      <c r="A15824" s="734">
        <v>45120</v>
      </c>
      <c r="B15824" s="63" t="s">
        <v>10296</v>
      </c>
      <c r="C15824" s="63" t="s">
        <v>286</v>
      </c>
      <c r="D15824" s="183" t="s">
        <v>9628</v>
      </c>
      <c r="E15824" s="126">
        <v>300</v>
      </c>
      <c r="F15824" s="126"/>
      <c r="G15824" s="126">
        <f t="shared" si="253"/>
        <v>-300</v>
      </c>
      <c r="H15824" s="705" t="s">
        <v>10324</v>
      </c>
    </row>
    <row r="15825" spans="1:8" s="682" customFormat="1" ht="15" customHeight="1" x14ac:dyDescent="0.25">
      <c r="A15825" s="734">
        <v>45120</v>
      </c>
      <c r="B15825" s="63" t="s">
        <v>103</v>
      </c>
      <c r="C15825" s="63" t="s">
        <v>103</v>
      </c>
      <c r="D15825" s="183" t="s">
        <v>10457</v>
      </c>
      <c r="E15825" s="126">
        <v>1000</v>
      </c>
      <c r="F15825" s="126"/>
      <c r="G15825" s="126">
        <f t="shared" si="253"/>
        <v>-1000</v>
      </c>
      <c r="H15825" s="705" t="s">
        <v>10324</v>
      </c>
    </row>
    <row r="15826" spans="1:8" s="682" customFormat="1" ht="15" customHeight="1" x14ac:dyDescent="0.25">
      <c r="A15826" s="734">
        <v>45120</v>
      </c>
      <c r="B15826" s="63" t="s">
        <v>9464</v>
      </c>
      <c r="C15826" s="63" t="s">
        <v>6852</v>
      </c>
      <c r="D15826" s="183" t="s">
        <v>4436</v>
      </c>
      <c r="E15826" s="126">
        <v>9000</v>
      </c>
      <c r="F15826" s="126"/>
      <c r="G15826" s="126">
        <f t="shared" si="253"/>
        <v>-9000</v>
      </c>
      <c r="H15826" s="705" t="s">
        <v>10324</v>
      </c>
    </row>
    <row r="15827" spans="1:8" s="682" customFormat="1" ht="15" customHeight="1" x14ac:dyDescent="0.25">
      <c r="A15827" s="734">
        <v>45120</v>
      </c>
      <c r="B15827" s="63" t="s">
        <v>9409</v>
      </c>
      <c r="C15827" s="63" t="s">
        <v>10270</v>
      </c>
      <c r="D15827" s="183" t="s">
        <v>10458</v>
      </c>
      <c r="E15827" s="126">
        <v>2000</v>
      </c>
      <c r="F15827" s="126"/>
      <c r="G15827" s="126">
        <f t="shared" si="253"/>
        <v>-2000</v>
      </c>
      <c r="H15827" s="705" t="s">
        <v>10324</v>
      </c>
    </row>
    <row r="15828" spans="1:8" s="682" customFormat="1" ht="15" customHeight="1" x14ac:dyDescent="0.25">
      <c r="A15828" s="734">
        <v>45120</v>
      </c>
      <c r="B15828" s="63" t="s">
        <v>10296</v>
      </c>
      <c r="C15828" s="63" t="s">
        <v>3145</v>
      </c>
      <c r="D15828" s="183" t="s">
        <v>10462</v>
      </c>
      <c r="E15828" s="126">
        <v>5500</v>
      </c>
      <c r="F15828" s="126"/>
      <c r="G15828" s="126">
        <f t="shared" si="253"/>
        <v>-5500</v>
      </c>
      <c r="H15828" s="705" t="s">
        <v>10324</v>
      </c>
    </row>
    <row r="15829" spans="1:8" s="682" customFormat="1" ht="15" customHeight="1" x14ac:dyDescent="0.25">
      <c r="A15829" s="734">
        <v>45120</v>
      </c>
      <c r="B15829" s="63" t="s">
        <v>10144</v>
      </c>
      <c r="C15829" s="63" t="s">
        <v>3145</v>
      </c>
      <c r="D15829" s="183" t="s">
        <v>10462</v>
      </c>
      <c r="E15829" s="126">
        <v>5500</v>
      </c>
      <c r="F15829" s="126"/>
      <c r="G15829" s="126">
        <f t="shared" si="253"/>
        <v>-5500</v>
      </c>
      <c r="H15829" s="705" t="s">
        <v>10324</v>
      </c>
    </row>
    <row r="15830" spans="1:8" s="682" customFormat="1" ht="15" customHeight="1" x14ac:dyDescent="0.25">
      <c r="A15830" s="734">
        <v>45120</v>
      </c>
      <c r="B15830" s="63" t="s">
        <v>10023</v>
      </c>
      <c r="C15830" s="63" t="s">
        <v>3145</v>
      </c>
      <c r="D15830" s="183" t="s">
        <v>10462</v>
      </c>
      <c r="E15830" s="126">
        <v>5500</v>
      </c>
      <c r="F15830" s="126"/>
      <c r="G15830" s="126">
        <f t="shared" si="253"/>
        <v>-5500</v>
      </c>
      <c r="H15830" s="705" t="s">
        <v>10324</v>
      </c>
    </row>
    <row r="15831" spans="1:8" s="682" customFormat="1" ht="15" customHeight="1" x14ac:dyDescent="0.25">
      <c r="A15831" s="734">
        <v>45120</v>
      </c>
      <c r="B15831" s="63" t="s">
        <v>9356</v>
      </c>
      <c r="C15831" s="63" t="s">
        <v>3145</v>
      </c>
      <c r="D15831" s="183" t="s">
        <v>10462</v>
      </c>
      <c r="E15831" s="126">
        <v>5500</v>
      </c>
      <c r="F15831" s="126"/>
      <c r="G15831" s="126">
        <f t="shared" si="253"/>
        <v>-5500</v>
      </c>
      <c r="H15831" s="705" t="s">
        <v>10324</v>
      </c>
    </row>
    <row r="15832" spans="1:8" s="682" customFormat="1" ht="15" customHeight="1" x14ac:dyDescent="0.25">
      <c r="A15832" s="734">
        <v>45120</v>
      </c>
      <c r="B15832" s="63" t="s">
        <v>25</v>
      </c>
      <c r="C15832" s="63" t="s">
        <v>4065</v>
      </c>
      <c r="D15832" s="183" t="s">
        <v>10459</v>
      </c>
      <c r="E15832" s="126">
        <v>2250</v>
      </c>
      <c r="F15832" s="126"/>
      <c r="G15832" s="126">
        <f t="shared" si="253"/>
        <v>-2250</v>
      </c>
      <c r="H15832" s="705" t="s">
        <v>10324</v>
      </c>
    </row>
    <row r="15833" spans="1:8" s="682" customFormat="1" ht="15" customHeight="1" x14ac:dyDescent="0.25">
      <c r="A15833" s="734">
        <v>45120</v>
      </c>
      <c r="B15833" s="63" t="s">
        <v>2933</v>
      </c>
      <c r="C15833" s="63" t="s">
        <v>10112</v>
      </c>
      <c r="D15833" s="183" t="s">
        <v>10460</v>
      </c>
      <c r="E15833" s="126">
        <v>100000</v>
      </c>
      <c r="F15833" s="126"/>
      <c r="G15833" s="126">
        <f t="shared" si="253"/>
        <v>-100000</v>
      </c>
      <c r="H15833" s="705" t="s">
        <v>10324</v>
      </c>
    </row>
    <row r="15834" spans="1:8" s="682" customFormat="1" ht="15" customHeight="1" x14ac:dyDescent="0.25">
      <c r="A15834" s="734">
        <v>45121</v>
      </c>
      <c r="B15834" s="63" t="s">
        <v>8559</v>
      </c>
      <c r="C15834" s="63" t="s">
        <v>10463</v>
      </c>
      <c r="D15834" s="183" t="s">
        <v>10464</v>
      </c>
      <c r="E15834" s="126">
        <v>5000</v>
      </c>
      <c r="F15834" s="126"/>
      <c r="G15834" s="126">
        <f t="shared" si="253"/>
        <v>-5000</v>
      </c>
      <c r="H15834" s="705" t="s">
        <v>10324</v>
      </c>
    </row>
    <row r="15835" spans="1:8" s="682" customFormat="1" ht="15" customHeight="1" x14ac:dyDescent="0.25">
      <c r="A15835" s="734">
        <v>45121</v>
      </c>
      <c r="B15835" s="63" t="s">
        <v>9409</v>
      </c>
      <c r="C15835" s="63" t="s">
        <v>9474</v>
      </c>
      <c r="D15835" s="183" t="s">
        <v>10461</v>
      </c>
      <c r="E15835" s="126">
        <v>20000</v>
      </c>
      <c r="F15835" s="126"/>
      <c r="G15835" s="126">
        <f t="shared" si="253"/>
        <v>-20000</v>
      </c>
      <c r="H15835" s="705" t="s">
        <v>10324</v>
      </c>
    </row>
    <row r="15836" spans="1:8" s="682" customFormat="1" ht="15" customHeight="1" x14ac:dyDescent="0.25">
      <c r="A15836" s="734">
        <v>45121</v>
      </c>
      <c r="B15836" s="63" t="s">
        <v>9769</v>
      </c>
      <c r="C15836" s="63" t="s">
        <v>286</v>
      </c>
      <c r="D15836" s="183" t="s">
        <v>10465</v>
      </c>
      <c r="E15836" s="126">
        <v>4000</v>
      </c>
      <c r="F15836" s="126"/>
      <c r="G15836" s="126">
        <f t="shared" si="253"/>
        <v>-4000</v>
      </c>
      <c r="H15836" s="705" t="s">
        <v>10324</v>
      </c>
    </row>
    <row r="15837" spans="1:8" s="682" customFormat="1" ht="15" customHeight="1" x14ac:dyDescent="0.25">
      <c r="A15837" s="734">
        <v>45121</v>
      </c>
      <c r="B15837" s="63" t="s">
        <v>9409</v>
      </c>
      <c r="C15837" s="63" t="s">
        <v>286</v>
      </c>
      <c r="D15837" s="183" t="s">
        <v>10465</v>
      </c>
      <c r="E15837" s="126">
        <v>6000</v>
      </c>
      <c r="F15837" s="126"/>
      <c r="G15837" s="126">
        <f t="shared" si="253"/>
        <v>-6000</v>
      </c>
      <c r="H15837" s="705" t="s">
        <v>10324</v>
      </c>
    </row>
    <row r="15838" spans="1:8" s="682" customFormat="1" ht="15" customHeight="1" x14ac:dyDescent="0.25">
      <c r="A15838" s="734">
        <v>45121</v>
      </c>
      <c r="B15838" s="63" t="s">
        <v>10144</v>
      </c>
      <c r="C15838" s="63" t="s">
        <v>286</v>
      </c>
      <c r="D15838" s="183" t="s">
        <v>10465</v>
      </c>
      <c r="E15838" s="126">
        <v>3500</v>
      </c>
      <c r="F15838" s="126"/>
      <c r="G15838" s="126">
        <f t="shared" si="253"/>
        <v>-3500</v>
      </c>
      <c r="H15838" s="705" t="s">
        <v>10324</v>
      </c>
    </row>
    <row r="15839" spans="1:8" s="682" customFormat="1" ht="15" customHeight="1" x14ac:dyDescent="0.25">
      <c r="A15839" s="734">
        <v>45121</v>
      </c>
      <c r="B15839" s="63" t="s">
        <v>2933</v>
      </c>
      <c r="C15839" s="63" t="s">
        <v>3145</v>
      </c>
      <c r="D15839" s="183" t="s">
        <v>6486</v>
      </c>
      <c r="E15839" s="126">
        <v>7500</v>
      </c>
      <c r="F15839" s="126"/>
      <c r="G15839" s="126">
        <f t="shared" si="253"/>
        <v>-7500</v>
      </c>
      <c r="H15839" s="705" t="s">
        <v>10324</v>
      </c>
    </row>
    <row r="15840" spans="1:8" s="682" customFormat="1" ht="15" customHeight="1" x14ac:dyDescent="0.25">
      <c r="A15840" s="734">
        <v>45121</v>
      </c>
      <c r="B15840" s="63" t="s">
        <v>10296</v>
      </c>
      <c r="C15840" s="63" t="s">
        <v>3145</v>
      </c>
      <c r="D15840" s="183" t="s">
        <v>4309</v>
      </c>
      <c r="E15840" s="126">
        <v>6290</v>
      </c>
      <c r="F15840" s="126"/>
      <c r="G15840" s="126">
        <f t="shared" si="253"/>
        <v>-6290</v>
      </c>
      <c r="H15840" s="705" t="s">
        <v>10324</v>
      </c>
    </row>
    <row r="15841" spans="1:8" s="682" customFormat="1" ht="15" customHeight="1" x14ac:dyDescent="0.25">
      <c r="A15841" s="734">
        <v>45121</v>
      </c>
      <c r="B15841" s="63" t="s">
        <v>10296</v>
      </c>
      <c r="C15841" s="63" t="s">
        <v>5741</v>
      </c>
      <c r="D15841" s="183" t="s">
        <v>370</v>
      </c>
      <c r="E15841" s="126">
        <v>1000</v>
      </c>
      <c r="F15841" s="126"/>
      <c r="G15841" s="126">
        <f t="shared" si="253"/>
        <v>-1000</v>
      </c>
      <c r="H15841" s="705" t="s">
        <v>10324</v>
      </c>
    </row>
    <row r="15842" spans="1:8" s="682" customFormat="1" ht="15" customHeight="1" x14ac:dyDescent="0.25">
      <c r="A15842" s="734">
        <v>45121</v>
      </c>
      <c r="B15842" s="63" t="s">
        <v>10338</v>
      </c>
      <c r="C15842" s="63" t="s">
        <v>1198</v>
      </c>
      <c r="D15842" s="183" t="s">
        <v>10466</v>
      </c>
      <c r="E15842" s="126">
        <v>1039700</v>
      </c>
      <c r="F15842" s="126"/>
      <c r="G15842" s="126">
        <f t="shared" si="253"/>
        <v>-1039700</v>
      </c>
      <c r="H15842" s="705" t="s">
        <v>10324</v>
      </c>
    </row>
    <row r="15843" spans="1:8" s="682" customFormat="1" ht="15" customHeight="1" x14ac:dyDescent="0.2">
      <c r="A15843" s="734">
        <v>45121</v>
      </c>
      <c r="B15843" s="41" t="s">
        <v>10379</v>
      </c>
      <c r="C15843" s="63" t="s">
        <v>5741</v>
      </c>
      <c r="D15843" s="183" t="s">
        <v>370</v>
      </c>
      <c r="E15843" s="126">
        <v>2000</v>
      </c>
      <c r="F15843" s="126"/>
      <c r="G15843" s="126">
        <f t="shared" si="253"/>
        <v>-2000</v>
      </c>
      <c r="H15843" s="705" t="s">
        <v>10324</v>
      </c>
    </row>
    <row r="15844" spans="1:8" s="682" customFormat="1" ht="15" customHeight="1" x14ac:dyDescent="0.25">
      <c r="A15844" s="734">
        <v>45121</v>
      </c>
      <c r="B15844" s="63" t="s">
        <v>10023</v>
      </c>
      <c r="C15844" s="63" t="s">
        <v>5741</v>
      </c>
      <c r="D15844" s="183" t="s">
        <v>370</v>
      </c>
      <c r="E15844" s="126">
        <v>500</v>
      </c>
      <c r="F15844" s="126"/>
      <c r="G15844" s="126">
        <f t="shared" si="253"/>
        <v>-500</v>
      </c>
      <c r="H15844" s="705" t="s">
        <v>10324</v>
      </c>
    </row>
    <row r="15845" spans="1:8" s="682" customFormat="1" ht="15" customHeight="1" x14ac:dyDescent="0.25">
      <c r="A15845" s="734">
        <v>45121</v>
      </c>
      <c r="B15845" s="63" t="s">
        <v>37</v>
      </c>
      <c r="C15845" s="63" t="s">
        <v>392</v>
      </c>
      <c r="D15845" s="183" t="s">
        <v>10468</v>
      </c>
      <c r="E15845" s="126">
        <v>2000</v>
      </c>
      <c r="F15845" s="126"/>
      <c r="G15845" s="126">
        <f t="shared" si="253"/>
        <v>-2000</v>
      </c>
      <c r="H15845" s="705" t="s">
        <v>10324</v>
      </c>
    </row>
    <row r="15846" spans="1:8" s="682" customFormat="1" ht="15" customHeight="1" x14ac:dyDescent="0.25">
      <c r="A15846" s="734">
        <v>45121</v>
      </c>
      <c r="B15846" s="63" t="s">
        <v>2933</v>
      </c>
      <c r="C15846" s="63" t="s">
        <v>4876</v>
      </c>
      <c r="D15846" s="183" t="s">
        <v>10467</v>
      </c>
      <c r="E15846" s="126">
        <v>9000</v>
      </c>
      <c r="F15846" s="126"/>
      <c r="G15846" s="126">
        <f t="shared" si="253"/>
        <v>-9000</v>
      </c>
      <c r="H15846" s="705" t="s">
        <v>10324</v>
      </c>
    </row>
    <row r="15847" spans="1:8" s="682" customFormat="1" ht="15" customHeight="1" x14ac:dyDescent="0.25">
      <c r="A15847" s="734">
        <v>45121</v>
      </c>
      <c r="B15847" s="63" t="s">
        <v>10023</v>
      </c>
      <c r="C15847" s="63" t="s">
        <v>3145</v>
      </c>
      <c r="D15847" s="183" t="s">
        <v>10482</v>
      </c>
      <c r="E15847" s="126">
        <v>14196</v>
      </c>
      <c r="F15847" s="126"/>
      <c r="G15847" s="126">
        <f t="shared" si="253"/>
        <v>-14196</v>
      </c>
      <c r="H15847" s="705" t="s">
        <v>10324</v>
      </c>
    </row>
    <row r="15848" spans="1:8" s="682" customFormat="1" ht="15" customHeight="1" x14ac:dyDescent="0.25">
      <c r="A15848" s="734">
        <v>45121</v>
      </c>
      <c r="B15848" s="63" t="s">
        <v>10296</v>
      </c>
      <c r="C15848" s="63" t="s">
        <v>3145</v>
      </c>
      <c r="D15848" s="183" t="s">
        <v>10483</v>
      </c>
      <c r="E15848" s="126">
        <v>1350</v>
      </c>
      <c r="F15848" s="126"/>
      <c r="G15848" s="126">
        <f t="shared" si="253"/>
        <v>-1350</v>
      </c>
      <c r="H15848" s="705" t="s">
        <v>10324</v>
      </c>
    </row>
    <row r="15849" spans="1:8" s="682" customFormat="1" ht="15" customHeight="1" x14ac:dyDescent="0.25">
      <c r="A15849" s="734">
        <v>45121</v>
      </c>
      <c r="B15849" s="63" t="s">
        <v>16</v>
      </c>
      <c r="C15849" s="63" t="s">
        <v>103</v>
      </c>
      <c r="D15849" s="183" t="s">
        <v>10211</v>
      </c>
      <c r="E15849" s="126">
        <v>2000</v>
      </c>
      <c r="F15849" s="126"/>
      <c r="G15849" s="126">
        <f t="shared" si="253"/>
        <v>-2000</v>
      </c>
      <c r="H15849" s="705" t="s">
        <v>10324</v>
      </c>
    </row>
    <row r="15850" spans="1:8" s="682" customFormat="1" ht="15" customHeight="1" x14ac:dyDescent="0.25">
      <c r="A15850" s="734">
        <v>45121</v>
      </c>
      <c r="B15850" s="63" t="s">
        <v>10296</v>
      </c>
      <c r="C15850" s="63" t="s">
        <v>5741</v>
      </c>
      <c r="D15850" s="183" t="s">
        <v>370</v>
      </c>
      <c r="E15850" s="126">
        <v>1800</v>
      </c>
      <c r="F15850" s="126"/>
      <c r="G15850" s="126">
        <f t="shared" si="253"/>
        <v>-1800</v>
      </c>
      <c r="H15850" s="705" t="s">
        <v>10324</v>
      </c>
    </row>
    <row r="15851" spans="1:8" s="682" customFormat="1" ht="15" customHeight="1" x14ac:dyDescent="0.25">
      <c r="A15851" s="734">
        <v>45121</v>
      </c>
      <c r="B15851" s="63" t="s">
        <v>25</v>
      </c>
      <c r="C15851" s="63" t="s">
        <v>392</v>
      </c>
      <c r="D15851" s="183" t="s">
        <v>10449</v>
      </c>
      <c r="E15851" s="126">
        <v>4290</v>
      </c>
      <c r="F15851" s="126"/>
      <c r="G15851" s="126">
        <f t="shared" si="253"/>
        <v>-4290</v>
      </c>
      <c r="H15851" s="705" t="s">
        <v>10324</v>
      </c>
    </row>
    <row r="15852" spans="1:8" s="682" customFormat="1" ht="15" customHeight="1" x14ac:dyDescent="0.25">
      <c r="A15852" s="734">
        <v>45121</v>
      </c>
      <c r="B15852" s="63" t="s">
        <v>10144</v>
      </c>
      <c r="C15852" s="63" t="s">
        <v>10484</v>
      </c>
      <c r="D15852" s="183" t="s">
        <v>10485</v>
      </c>
      <c r="E15852" s="126">
        <v>465000</v>
      </c>
      <c r="F15852" s="126"/>
      <c r="G15852" s="126">
        <f t="shared" si="253"/>
        <v>-465000</v>
      </c>
      <c r="H15852" s="705" t="s">
        <v>10324</v>
      </c>
    </row>
    <row r="15853" spans="1:8" s="682" customFormat="1" ht="15" customHeight="1" x14ac:dyDescent="0.25">
      <c r="A15853" s="734">
        <v>45122</v>
      </c>
      <c r="B15853" s="63" t="s">
        <v>10338</v>
      </c>
      <c r="C15853" s="63" t="s">
        <v>10486</v>
      </c>
      <c r="D15853" s="183" t="s">
        <v>10487</v>
      </c>
      <c r="E15853" s="126">
        <v>30000</v>
      </c>
      <c r="F15853" s="126"/>
      <c r="G15853" s="126">
        <f t="shared" si="253"/>
        <v>-30000</v>
      </c>
      <c r="H15853" s="705" t="s">
        <v>10324</v>
      </c>
    </row>
    <row r="15854" spans="1:8" s="682" customFormat="1" ht="15" customHeight="1" x14ac:dyDescent="0.25">
      <c r="A15854" s="734">
        <v>45122</v>
      </c>
      <c r="B15854" s="63" t="s">
        <v>10338</v>
      </c>
      <c r="C15854" s="63" t="s">
        <v>3145</v>
      </c>
      <c r="D15854" s="183" t="s">
        <v>10488</v>
      </c>
      <c r="E15854" s="126">
        <v>51300</v>
      </c>
      <c r="F15854" s="126"/>
      <c r="G15854" s="126">
        <f t="shared" si="253"/>
        <v>-51300</v>
      </c>
      <c r="H15854" s="705" t="s">
        <v>10324</v>
      </c>
    </row>
    <row r="15855" spans="1:8" s="682" customFormat="1" ht="15" customHeight="1" x14ac:dyDescent="0.25">
      <c r="A15855" s="734">
        <v>45122</v>
      </c>
      <c r="B15855" s="63" t="s">
        <v>10338</v>
      </c>
      <c r="C15855" s="63" t="s">
        <v>286</v>
      </c>
      <c r="D15855" s="183" t="s">
        <v>10489</v>
      </c>
      <c r="E15855" s="126">
        <v>1150</v>
      </c>
      <c r="F15855" s="126"/>
      <c r="G15855" s="126">
        <f t="shared" si="253"/>
        <v>-1150</v>
      </c>
      <c r="H15855" s="705" t="s">
        <v>10324</v>
      </c>
    </row>
    <row r="15856" spans="1:8" s="682" customFormat="1" ht="15" customHeight="1" x14ac:dyDescent="0.25">
      <c r="A15856" s="734">
        <v>45122</v>
      </c>
      <c r="B15856" s="63" t="s">
        <v>10338</v>
      </c>
      <c r="C15856" s="63" t="s">
        <v>5741</v>
      </c>
      <c r="D15856" s="183" t="s">
        <v>370</v>
      </c>
      <c r="E15856" s="126">
        <v>2000</v>
      </c>
      <c r="F15856" s="126"/>
      <c r="G15856" s="126">
        <f t="shared" si="253"/>
        <v>-2000</v>
      </c>
      <c r="H15856" s="705" t="s">
        <v>10324</v>
      </c>
    </row>
    <row r="15857" spans="1:8" s="682" customFormat="1" ht="15" customHeight="1" x14ac:dyDescent="0.25">
      <c r="A15857" s="734">
        <v>45122</v>
      </c>
      <c r="B15857" s="63" t="s">
        <v>103</v>
      </c>
      <c r="C15857" s="63" t="s">
        <v>392</v>
      </c>
      <c r="D15857" s="183" t="s">
        <v>10490</v>
      </c>
      <c r="E15857" s="126">
        <v>3200</v>
      </c>
      <c r="F15857" s="126"/>
      <c r="G15857" s="126">
        <f t="shared" si="253"/>
        <v>-3200</v>
      </c>
      <c r="H15857" s="705" t="s">
        <v>10324</v>
      </c>
    </row>
    <row r="15858" spans="1:8" s="682" customFormat="1" ht="15" customHeight="1" x14ac:dyDescent="0.25">
      <c r="A15858" s="734">
        <v>45124</v>
      </c>
      <c r="B15858" s="63" t="s">
        <v>9409</v>
      </c>
      <c r="C15858" s="63" t="s">
        <v>10491</v>
      </c>
      <c r="D15858" s="183" t="s">
        <v>2711</v>
      </c>
      <c r="E15858" s="126">
        <v>25000</v>
      </c>
      <c r="F15858" s="126"/>
      <c r="G15858" s="126">
        <f t="shared" si="253"/>
        <v>-25000</v>
      </c>
      <c r="H15858" s="705" t="s">
        <v>10324</v>
      </c>
    </row>
    <row r="15859" spans="1:8" s="682" customFormat="1" ht="15" customHeight="1" x14ac:dyDescent="0.25">
      <c r="A15859" s="734">
        <v>45124</v>
      </c>
      <c r="B15859" s="63" t="s">
        <v>25</v>
      </c>
      <c r="C15859" s="63" t="s">
        <v>8150</v>
      </c>
      <c r="D15859" s="183" t="s">
        <v>6343</v>
      </c>
      <c r="E15859" s="126">
        <v>4760</v>
      </c>
      <c r="F15859" s="126"/>
      <c r="G15859" s="126">
        <f t="shared" si="253"/>
        <v>-4760</v>
      </c>
      <c r="H15859" s="705" t="s">
        <v>10324</v>
      </c>
    </row>
    <row r="15860" spans="1:8" s="682" customFormat="1" ht="15" customHeight="1" x14ac:dyDescent="0.25">
      <c r="A15860" s="734">
        <v>45124</v>
      </c>
      <c r="B15860" s="63" t="s">
        <v>9769</v>
      </c>
      <c r="C15860" s="63" t="s">
        <v>5741</v>
      </c>
      <c r="D15860" s="183" t="s">
        <v>370</v>
      </c>
      <c r="E15860" s="126">
        <v>800</v>
      </c>
      <c r="F15860" s="126"/>
      <c r="G15860" s="126">
        <f t="shared" si="253"/>
        <v>-800</v>
      </c>
      <c r="H15860" s="705" t="s">
        <v>10324</v>
      </c>
    </row>
    <row r="15861" spans="1:8" s="682" customFormat="1" ht="15" customHeight="1" x14ac:dyDescent="0.25">
      <c r="A15861" s="734">
        <v>45124</v>
      </c>
      <c r="B15861" s="63" t="s">
        <v>10338</v>
      </c>
      <c r="C15861" s="63" t="s">
        <v>5741</v>
      </c>
      <c r="D15861" s="183" t="s">
        <v>370</v>
      </c>
      <c r="E15861" s="126">
        <v>600</v>
      </c>
      <c r="F15861" s="126"/>
      <c r="G15861" s="126">
        <f t="shared" si="253"/>
        <v>-600</v>
      </c>
      <c r="H15861" s="705" t="s">
        <v>10324</v>
      </c>
    </row>
    <row r="15862" spans="1:8" s="682" customFormat="1" ht="15" customHeight="1" x14ac:dyDescent="0.25">
      <c r="A15862" s="734">
        <v>45124</v>
      </c>
      <c r="B15862" s="63" t="s">
        <v>10023</v>
      </c>
      <c r="C15862" s="63" t="s">
        <v>5741</v>
      </c>
      <c r="D15862" s="183" t="s">
        <v>370</v>
      </c>
      <c r="E15862" s="126">
        <v>600</v>
      </c>
      <c r="F15862" s="126"/>
      <c r="G15862" s="126">
        <f t="shared" si="253"/>
        <v>-600</v>
      </c>
      <c r="H15862" s="705" t="s">
        <v>10324</v>
      </c>
    </row>
    <row r="15863" spans="1:8" s="682" customFormat="1" ht="15" customHeight="1" x14ac:dyDescent="0.25">
      <c r="A15863" s="734">
        <v>45124</v>
      </c>
      <c r="B15863" s="63" t="s">
        <v>10909</v>
      </c>
      <c r="C15863" s="63" t="s">
        <v>1230</v>
      </c>
      <c r="D15863" s="183" t="s">
        <v>10492</v>
      </c>
      <c r="E15863" s="126">
        <v>70000</v>
      </c>
      <c r="F15863" s="126"/>
      <c r="G15863" s="126">
        <f t="shared" si="253"/>
        <v>-70000</v>
      </c>
      <c r="H15863" s="705" t="s">
        <v>10324</v>
      </c>
    </row>
    <row r="15864" spans="1:8" s="682" customFormat="1" ht="15" customHeight="1" x14ac:dyDescent="0.25">
      <c r="A15864" s="734">
        <v>45124</v>
      </c>
      <c r="B15864" s="63" t="s">
        <v>8043</v>
      </c>
      <c r="C15864" s="63" t="s">
        <v>392</v>
      </c>
      <c r="D15864" s="183" t="s">
        <v>10414</v>
      </c>
      <c r="E15864" s="126">
        <v>500</v>
      </c>
      <c r="F15864" s="126"/>
      <c r="G15864" s="126">
        <f t="shared" si="253"/>
        <v>-500</v>
      </c>
      <c r="H15864" s="705" t="s">
        <v>10324</v>
      </c>
    </row>
    <row r="15865" spans="1:8" s="682" customFormat="1" ht="24" customHeight="1" x14ac:dyDescent="0.25">
      <c r="A15865" s="734">
        <v>45124</v>
      </c>
      <c r="B15865" s="63" t="s">
        <v>9356</v>
      </c>
      <c r="C15865" s="670" t="s">
        <v>3145</v>
      </c>
      <c r="D15865" s="907" t="s">
        <v>10493</v>
      </c>
      <c r="E15865" s="672">
        <v>25000</v>
      </c>
      <c r="F15865" s="126"/>
      <c r="G15865" s="126">
        <f t="shared" si="253"/>
        <v>-25000</v>
      </c>
      <c r="H15865" s="705" t="s">
        <v>10324</v>
      </c>
    </row>
    <row r="15866" spans="1:8" s="682" customFormat="1" ht="24" customHeight="1" x14ac:dyDescent="0.25">
      <c r="A15866" s="734">
        <v>45124</v>
      </c>
      <c r="B15866" s="63" t="s">
        <v>10023</v>
      </c>
      <c r="C15866" s="670" t="s">
        <v>3145</v>
      </c>
      <c r="D15866" s="907" t="s">
        <v>10493</v>
      </c>
      <c r="E15866" s="672">
        <v>6400</v>
      </c>
      <c r="F15866" s="126"/>
      <c r="G15866" s="126">
        <f t="shared" si="253"/>
        <v>-6400</v>
      </c>
      <c r="H15866" s="705" t="s">
        <v>10324</v>
      </c>
    </row>
    <row r="15867" spans="1:8" s="682" customFormat="1" ht="24" customHeight="1" x14ac:dyDescent="0.25">
      <c r="A15867" s="734">
        <v>45124</v>
      </c>
      <c r="B15867" s="63" t="s">
        <v>10296</v>
      </c>
      <c r="C15867" s="670" t="s">
        <v>3145</v>
      </c>
      <c r="D15867" s="907" t="s">
        <v>10493</v>
      </c>
      <c r="E15867" s="672">
        <v>7000</v>
      </c>
      <c r="F15867" s="126"/>
      <c r="G15867" s="126">
        <f t="shared" si="253"/>
        <v>-7000</v>
      </c>
      <c r="H15867" s="705" t="s">
        <v>10324</v>
      </c>
    </row>
    <row r="15868" spans="1:8" s="682" customFormat="1" ht="24" customHeight="1" x14ac:dyDescent="0.25">
      <c r="A15868" s="734">
        <v>45124</v>
      </c>
      <c r="B15868" s="63" t="s">
        <v>9832</v>
      </c>
      <c r="C15868" s="670" t="s">
        <v>3145</v>
      </c>
      <c r="D15868" s="907" t="s">
        <v>10493</v>
      </c>
      <c r="E15868" s="672">
        <v>44000</v>
      </c>
      <c r="F15868" s="126"/>
      <c r="G15868" s="126">
        <f t="shared" si="253"/>
        <v>-44000</v>
      </c>
      <c r="H15868" s="705" t="s">
        <v>10324</v>
      </c>
    </row>
    <row r="15869" spans="1:8" s="682" customFormat="1" ht="15" customHeight="1" x14ac:dyDescent="0.25">
      <c r="A15869" s="734">
        <v>45124</v>
      </c>
      <c r="B15869" s="63" t="s">
        <v>10232</v>
      </c>
      <c r="C15869" s="63" t="s">
        <v>3145</v>
      </c>
      <c r="D15869" s="183" t="s">
        <v>10499</v>
      </c>
      <c r="E15869" s="126">
        <v>10980</v>
      </c>
      <c r="F15869" s="126"/>
      <c r="G15869" s="126">
        <f t="shared" si="253"/>
        <v>-10980</v>
      </c>
      <c r="H15869" s="705" t="s">
        <v>10324</v>
      </c>
    </row>
    <row r="15870" spans="1:8" s="682" customFormat="1" ht="15" customHeight="1" x14ac:dyDescent="0.25">
      <c r="A15870" s="734">
        <v>45124</v>
      </c>
      <c r="B15870" s="63" t="s">
        <v>9402</v>
      </c>
      <c r="C15870" s="63" t="s">
        <v>3145</v>
      </c>
      <c r="D15870" s="183" t="s">
        <v>10500</v>
      </c>
      <c r="E15870" s="126">
        <v>8215</v>
      </c>
      <c r="F15870" s="126"/>
      <c r="G15870" s="126">
        <f t="shared" si="253"/>
        <v>-8215</v>
      </c>
      <c r="H15870" s="705" t="s">
        <v>10324</v>
      </c>
    </row>
    <row r="15871" spans="1:8" s="682" customFormat="1" ht="15" customHeight="1" x14ac:dyDescent="0.25">
      <c r="A15871" s="734">
        <v>45124</v>
      </c>
      <c r="B15871" s="63" t="s">
        <v>10232</v>
      </c>
      <c r="C15871" s="63" t="s">
        <v>3145</v>
      </c>
      <c r="D15871" s="183" t="s">
        <v>10499</v>
      </c>
      <c r="E15871" s="126">
        <v>75400</v>
      </c>
      <c r="F15871" s="126"/>
      <c r="G15871" s="126">
        <f t="shared" ref="G15871:G15934" si="254">F15871-E15871</f>
        <v>-75400</v>
      </c>
      <c r="H15871" s="705" t="s">
        <v>10324</v>
      </c>
    </row>
    <row r="15872" spans="1:8" s="682" customFormat="1" ht="15" customHeight="1" x14ac:dyDescent="0.25">
      <c r="A15872" s="734">
        <v>45124</v>
      </c>
      <c r="B15872" s="63" t="s">
        <v>10232</v>
      </c>
      <c r="C15872" s="63" t="s">
        <v>5741</v>
      </c>
      <c r="D15872" s="183" t="s">
        <v>370</v>
      </c>
      <c r="E15872" s="126">
        <v>1000</v>
      </c>
      <c r="F15872" s="126"/>
      <c r="G15872" s="126">
        <f t="shared" si="254"/>
        <v>-1000</v>
      </c>
      <c r="H15872" s="705" t="s">
        <v>10324</v>
      </c>
    </row>
    <row r="15873" spans="1:8" s="682" customFormat="1" ht="15" customHeight="1" x14ac:dyDescent="0.25">
      <c r="A15873" s="734">
        <v>45124</v>
      </c>
      <c r="B15873" s="63" t="s">
        <v>10232</v>
      </c>
      <c r="C15873" s="63" t="s">
        <v>286</v>
      </c>
      <c r="D15873" s="183" t="s">
        <v>9561</v>
      </c>
      <c r="E15873" s="126">
        <v>300</v>
      </c>
      <c r="F15873" s="126"/>
      <c r="G15873" s="126">
        <f t="shared" si="254"/>
        <v>-300</v>
      </c>
      <c r="H15873" s="705" t="s">
        <v>10324</v>
      </c>
    </row>
    <row r="15874" spans="1:8" s="682" customFormat="1" ht="15" customHeight="1" x14ac:dyDescent="0.25">
      <c r="A15874" s="734">
        <v>45124</v>
      </c>
      <c r="B15874" s="63" t="s">
        <v>10144</v>
      </c>
      <c r="C15874" s="63" t="s">
        <v>3145</v>
      </c>
      <c r="D15874" s="183" t="s">
        <v>10501</v>
      </c>
      <c r="E15874" s="126">
        <v>9600</v>
      </c>
      <c r="F15874" s="126"/>
      <c r="G15874" s="126">
        <f t="shared" si="254"/>
        <v>-9600</v>
      </c>
      <c r="H15874" s="705" t="s">
        <v>10324</v>
      </c>
    </row>
    <row r="15875" spans="1:8" s="682" customFormat="1" ht="15" customHeight="1" x14ac:dyDescent="0.25">
      <c r="A15875" s="734">
        <v>45124</v>
      </c>
      <c r="B15875" s="63" t="s">
        <v>10338</v>
      </c>
      <c r="C15875" s="63" t="s">
        <v>3145</v>
      </c>
      <c r="D15875" s="183" t="s">
        <v>10502</v>
      </c>
      <c r="E15875" s="126">
        <v>4500</v>
      </c>
      <c r="F15875" s="126"/>
      <c r="G15875" s="126">
        <f t="shared" si="254"/>
        <v>-4500</v>
      </c>
      <c r="H15875" s="705" t="s">
        <v>10324</v>
      </c>
    </row>
    <row r="15876" spans="1:8" s="682" customFormat="1" ht="15" customHeight="1" x14ac:dyDescent="0.25">
      <c r="A15876" s="734">
        <v>45124</v>
      </c>
      <c r="B15876" s="63" t="s">
        <v>9507</v>
      </c>
      <c r="C15876" s="63" t="s">
        <v>3145</v>
      </c>
      <c r="D15876" s="183" t="s">
        <v>10503</v>
      </c>
      <c r="E15876" s="126">
        <v>28000</v>
      </c>
      <c r="F15876" s="126"/>
      <c r="G15876" s="126">
        <f t="shared" si="254"/>
        <v>-28000</v>
      </c>
      <c r="H15876" s="705" t="s">
        <v>10324</v>
      </c>
    </row>
    <row r="15877" spans="1:8" s="682" customFormat="1" ht="15" customHeight="1" x14ac:dyDescent="0.25">
      <c r="A15877" s="734">
        <v>45124</v>
      </c>
      <c r="B15877" s="63" t="s">
        <v>10023</v>
      </c>
      <c r="C15877" s="551" t="s">
        <v>3145</v>
      </c>
      <c r="D15877" s="740" t="s">
        <v>10504</v>
      </c>
      <c r="E15877" s="552">
        <v>9319</v>
      </c>
      <c r="F15877" s="126"/>
      <c r="G15877" s="126">
        <f t="shared" si="254"/>
        <v>-9319</v>
      </c>
      <c r="H15877" s="705" t="s">
        <v>10324</v>
      </c>
    </row>
    <row r="15878" spans="1:8" s="682" customFormat="1" ht="15" customHeight="1" x14ac:dyDescent="0.25">
      <c r="A15878" s="734">
        <v>45124</v>
      </c>
      <c r="B15878" s="63" t="s">
        <v>10232</v>
      </c>
      <c r="C15878" s="551" t="s">
        <v>3145</v>
      </c>
      <c r="D15878" s="740" t="s">
        <v>10504</v>
      </c>
      <c r="E15878" s="552">
        <v>9319</v>
      </c>
      <c r="F15878" s="126"/>
      <c r="G15878" s="126">
        <f t="shared" si="254"/>
        <v>-9319</v>
      </c>
      <c r="H15878" s="705" t="s">
        <v>10324</v>
      </c>
    </row>
    <row r="15879" spans="1:8" s="682" customFormat="1" ht="15" customHeight="1" x14ac:dyDescent="0.25">
      <c r="A15879" s="734">
        <v>45124</v>
      </c>
      <c r="B15879" s="63" t="s">
        <v>9402</v>
      </c>
      <c r="C15879" s="551" t="s">
        <v>3145</v>
      </c>
      <c r="D15879" s="740" t="s">
        <v>10504</v>
      </c>
      <c r="E15879" s="552">
        <v>9319</v>
      </c>
      <c r="F15879" s="126"/>
      <c r="G15879" s="126">
        <f t="shared" si="254"/>
        <v>-9319</v>
      </c>
      <c r="H15879" s="705" t="s">
        <v>10324</v>
      </c>
    </row>
    <row r="15880" spans="1:8" s="682" customFormat="1" ht="15" customHeight="1" x14ac:dyDescent="0.25">
      <c r="A15880" s="734">
        <v>45124</v>
      </c>
      <c r="B15880" s="63" t="s">
        <v>9402</v>
      </c>
      <c r="C15880" s="63" t="s">
        <v>5741</v>
      </c>
      <c r="D15880" s="183" t="s">
        <v>10337</v>
      </c>
      <c r="E15880" s="126">
        <v>200</v>
      </c>
      <c r="F15880" s="126"/>
      <c r="G15880" s="126">
        <f t="shared" si="254"/>
        <v>-200</v>
      </c>
      <c r="H15880" s="705" t="s">
        <v>10324</v>
      </c>
    </row>
    <row r="15881" spans="1:8" s="682" customFormat="1" ht="15" customHeight="1" x14ac:dyDescent="0.25">
      <c r="A15881" s="734">
        <v>45124</v>
      </c>
      <c r="B15881" s="63" t="s">
        <v>25</v>
      </c>
      <c r="C15881" s="63" t="s">
        <v>8150</v>
      </c>
      <c r="D15881" s="183" t="s">
        <v>6343</v>
      </c>
      <c r="E15881" s="126">
        <v>6200</v>
      </c>
      <c r="F15881" s="126"/>
      <c r="G15881" s="126">
        <f t="shared" si="254"/>
        <v>-6200</v>
      </c>
      <c r="H15881" s="705" t="s">
        <v>10324</v>
      </c>
    </row>
    <row r="15882" spans="1:8" s="682" customFormat="1" ht="15" customHeight="1" x14ac:dyDescent="0.25">
      <c r="A15882" s="734">
        <v>45124</v>
      </c>
      <c r="B15882" s="63" t="s">
        <v>10144</v>
      </c>
      <c r="C15882" s="63" t="s">
        <v>5741</v>
      </c>
      <c r="D15882" s="183" t="s">
        <v>370</v>
      </c>
      <c r="E15882" s="126">
        <v>400</v>
      </c>
      <c r="F15882" s="126"/>
      <c r="G15882" s="126">
        <f t="shared" si="254"/>
        <v>-400</v>
      </c>
      <c r="H15882" s="705" t="s">
        <v>10324</v>
      </c>
    </row>
    <row r="15883" spans="1:8" s="682" customFormat="1" ht="15" customHeight="1" x14ac:dyDescent="0.25">
      <c r="A15883" s="734">
        <v>45124</v>
      </c>
      <c r="B15883" s="63" t="s">
        <v>9356</v>
      </c>
      <c r="C15883" s="63" t="s">
        <v>5741</v>
      </c>
      <c r="D15883" s="183" t="s">
        <v>370</v>
      </c>
      <c r="E15883" s="126">
        <v>600</v>
      </c>
      <c r="F15883" s="126"/>
      <c r="G15883" s="126">
        <f t="shared" si="254"/>
        <v>-600</v>
      </c>
      <c r="H15883" s="705" t="s">
        <v>10324</v>
      </c>
    </row>
    <row r="15884" spans="1:8" s="682" customFormat="1" ht="15" customHeight="1" x14ac:dyDescent="0.25">
      <c r="A15884" s="734">
        <v>45124</v>
      </c>
      <c r="B15884" s="63" t="s">
        <v>9464</v>
      </c>
      <c r="C15884" s="63" t="s">
        <v>3145</v>
      </c>
      <c r="D15884" s="183" t="s">
        <v>10505</v>
      </c>
      <c r="E15884" s="126">
        <v>900</v>
      </c>
      <c r="F15884" s="126"/>
      <c r="G15884" s="126">
        <f t="shared" si="254"/>
        <v>-900</v>
      </c>
      <c r="H15884" s="705" t="s">
        <v>10324</v>
      </c>
    </row>
    <row r="15885" spans="1:8" s="682" customFormat="1" ht="15" customHeight="1" x14ac:dyDescent="0.25">
      <c r="A15885" s="734">
        <v>45124</v>
      </c>
      <c r="B15885" s="63" t="s">
        <v>25</v>
      </c>
      <c r="C15885" s="63" t="s">
        <v>2428</v>
      </c>
      <c r="D15885" s="183" t="s">
        <v>10506</v>
      </c>
      <c r="E15885" s="126">
        <v>36563</v>
      </c>
      <c r="F15885" s="126"/>
      <c r="G15885" s="126">
        <f t="shared" si="254"/>
        <v>-36563</v>
      </c>
      <c r="H15885" s="705" t="s">
        <v>10324</v>
      </c>
    </row>
    <row r="15886" spans="1:8" s="682" customFormat="1" ht="15" customHeight="1" x14ac:dyDescent="0.25">
      <c r="A15886" s="734">
        <v>45124</v>
      </c>
      <c r="B15886" s="63" t="s">
        <v>2933</v>
      </c>
      <c r="C15886" s="63" t="s">
        <v>3145</v>
      </c>
      <c r="D15886" s="183" t="s">
        <v>10507</v>
      </c>
      <c r="E15886" s="126">
        <v>4750</v>
      </c>
      <c r="F15886" s="126"/>
      <c r="G15886" s="126">
        <f t="shared" si="254"/>
        <v>-4750</v>
      </c>
      <c r="H15886" s="705" t="s">
        <v>10324</v>
      </c>
    </row>
    <row r="15887" spans="1:8" s="682" customFormat="1" ht="24" customHeight="1" x14ac:dyDescent="0.25">
      <c r="A15887" s="734">
        <v>45125</v>
      </c>
      <c r="B15887" s="63" t="s">
        <v>10242</v>
      </c>
      <c r="C15887" s="63" t="s">
        <v>166</v>
      </c>
      <c r="D15887" s="183" t="s">
        <v>10510</v>
      </c>
      <c r="E15887" s="126">
        <v>115000</v>
      </c>
      <c r="F15887" s="126"/>
      <c r="G15887" s="126">
        <f t="shared" si="254"/>
        <v>-115000</v>
      </c>
      <c r="H15887" s="705" t="s">
        <v>10324</v>
      </c>
    </row>
    <row r="15888" spans="1:8" s="682" customFormat="1" ht="24" customHeight="1" x14ac:dyDescent="0.25">
      <c r="A15888" s="734">
        <v>45125</v>
      </c>
      <c r="B15888" s="63" t="s">
        <v>10338</v>
      </c>
      <c r="C15888" s="63" t="s">
        <v>166</v>
      </c>
      <c r="D15888" s="183" t="s">
        <v>10510</v>
      </c>
      <c r="E15888" s="126">
        <v>130000</v>
      </c>
      <c r="F15888" s="126"/>
      <c r="G15888" s="126">
        <f t="shared" si="254"/>
        <v>-130000</v>
      </c>
      <c r="H15888" s="705" t="s">
        <v>10324</v>
      </c>
    </row>
    <row r="15889" spans="1:8" s="682" customFormat="1" ht="15" customHeight="1" x14ac:dyDescent="0.25">
      <c r="A15889" s="734">
        <v>45125</v>
      </c>
      <c r="B15889" s="63" t="s">
        <v>10023</v>
      </c>
      <c r="C15889" s="63" t="s">
        <v>6476</v>
      </c>
      <c r="D15889" s="183" t="s">
        <v>10511</v>
      </c>
      <c r="E15889" s="126">
        <v>30000</v>
      </c>
      <c r="F15889" s="126"/>
      <c r="G15889" s="126">
        <f t="shared" si="254"/>
        <v>-30000</v>
      </c>
      <c r="H15889" s="705" t="s">
        <v>10324</v>
      </c>
    </row>
    <row r="15890" spans="1:8" s="682" customFormat="1" ht="15" customHeight="1" x14ac:dyDescent="0.25">
      <c r="A15890" s="734">
        <v>45125</v>
      </c>
      <c r="B15890" s="63" t="s">
        <v>103</v>
      </c>
      <c r="C15890" s="63" t="s">
        <v>103</v>
      </c>
      <c r="D15890" s="183" t="s">
        <v>10211</v>
      </c>
      <c r="E15890" s="126">
        <v>3000</v>
      </c>
      <c r="F15890" s="126"/>
      <c r="G15890" s="126">
        <f t="shared" si="254"/>
        <v>-3000</v>
      </c>
      <c r="H15890" s="705" t="s">
        <v>10324</v>
      </c>
    </row>
    <row r="15891" spans="1:8" s="682" customFormat="1" ht="15" customHeight="1" x14ac:dyDescent="0.25">
      <c r="A15891" s="734">
        <v>45125</v>
      </c>
      <c r="B15891" s="63" t="s">
        <v>10379</v>
      </c>
      <c r="C15891" s="63" t="s">
        <v>10508</v>
      </c>
      <c r="D15891" s="183" t="s">
        <v>10509</v>
      </c>
      <c r="E15891" s="126">
        <v>7000</v>
      </c>
      <c r="F15891" s="126"/>
      <c r="G15891" s="126">
        <f t="shared" si="254"/>
        <v>-7000</v>
      </c>
      <c r="H15891" s="705" t="s">
        <v>10324</v>
      </c>
    </row>
    <row r="15892" spans="1:8" s="682" customFormat="1" ht="15" customHeight="1" x14ac:dyDescent="0.25">
      <c r="A15892" s="734">
        <v>45125</v>
      </c>
      <c r="B15892" s="63" t="s">
        <v>10338</v>
      </c>
      <c r="C15892" s="63" t="s">
        <v>3145</v>
      </c>
      <c r="D15892" s="183" t="s">
        <v>10005</v>
      </c>
      <c r="E15892" s="126">
        <v>38750</v>
      </c>
      <c r="F15892" s="126"/>
      <c r="G15892" s="126">
        <f t="shared" si="254"/>
        <v>-38750</v>
      </c>
      <c r="H15892" s="705" t="s">
        <v>10324</v>
      </c>
    </row>
    <row r="15893" spans="1:8" s="682" customFormat="1" ht="15" customHeight="1" x14ac:dyDescent="0.25">
      <c r="A15893" s="734">
        <v>45125</v>
      </c>
      <c r="B15893" s="63" t="s">
        <v>10379</v>
      </c>
      <c r="C15893" s="63" t="s">
        <v>3145</v>
      </c>
      <c r="D15893" s="183" t="s">
        <v>10005</v>
      </c>
      <c r="E15893" s="126">
        <v>11500</v>
      </c>
      <c r="F15893" s="126"/>
      <c r="G15893" s="126">
        <f t="shared" si="254"/>
        <v>-11500</v>
      </c>
      <c r="H15893" s="705" t="s">
        <v>10324</v>
      </c>
    </row>
    <row r="15894" spans="1:8" s="682" customFormat="1" ht="15" customHeight="1" x14ac:dyDescent="0.25">
      <c r="A15894" s="734">
        <v>45125</v>
      </c>
      <c r="B15894" s="63" t="s">
        <v>10379</v>
      </c>
      <c r="C15894" s="63" t="s">
        <v>3145</v>
      </c>
      <c r="D15894" s="183" t="s">
        <v>10512</v>
      </c>
      <c r="E15894" s="126">
        <v>96000</v>
      </c>
      <c r="F15894" s="126"/>
      <c r="G15894" s="126">
        <f t="shared" si="254"/>
        <v>-96000</v>
      </c>
      <c r="H15894" s="705" t="s">
        <v>10324</v>
      </c>
    </row>
    <row r="15895" spans="1:8" s="682" customFormat="1" ht="15" customHeight="1" x14ac:dyDescent="0.25">
      <c r="A15895" s="734">
        <v>45125</v>
      </c>
      <c r="B15895" s="63" t="s">
        <v>9409</v>
      </c>
      <c r="C15895" s="63" t="s">
        <v>10270</v>
      </c>
      <c r="D15895" s="183" t="s">
        <v>10513</v>
      </c>
      <c r="E15895" s="126">
        <v>15000</v>
      </c>
      <c r="F15895" s="126"/>
      <c r="G15895" s="126">
        <f t="shared" si="254"/>
        <v>-15000</v>
      </c>
      <c r="H15895" s="705" t="s">
        <v>10324</v>
      </c>
    </row>
    <row r="15896" spans="1:8" s="682" customFormat="1" ht="15" customHeight="1" x14ac:dyDescent="0.25">
      <c r="A15896" s="734">
        <v>45125</v>
      </c>
      <c r="B15896" s="63" t="s">
        <v>10379</v>
      </c>
      <c r="C15896" s="63" t="s">
        <v>5741</v>
      </c>
      <c r="D15896" s="183" t="s">
        <v>10337</v>
      </c>
      <c r="E15896" s="126">
        <v>400</v>
      </c>
      <c r="F15896" s="126"/>
      <c r="G15896" s="126">
        <f t="shared" si="254"/>
        <v>-400</v>
      </c>
      <c r="H15896" s="705" t="s">
        <v>10324</v>
      </c>
    </row>
    <row r="15897" spans="1:8" s="682" customFormat="1" ht="15" customHeight="1" x14ac:dyDescent="0.25">
      <c r="A15897" s="734">
        <v>45125</v>
      </c>
      <c r="B15897" s="63" t="s">
        <v>9356</v>
      </c>
      <c r="C15897" s="63" t="s">
        <v>10518</v>
      </c>
      <c r="D15897" s="183" t="s">
        <v>2711</v>
      </c>
      <c r="E15897" s="126">
        <v>1000</v>
      </c>
      <c r="F15897" s="126"/>
      <c r="G15897" s="126">
        <f t="shared" si="254"/>
        <v>-1000</v>
      </c>
      <c r="H15897" s="705" t="s">
        <v>10324</v>
      </c>
    </row>
    <row r="15898" spans="1:8" s="682" customFormat="1" ht="15" customHeight="1" x14ac:dyDescent="0.25">
      <c r="A15898" s="734">
        <v>45125</v>
      </c>
      <c r="B15898" s="63" t="s">
        <v>10023</v>
      </c>
      <c r="C15898" s="63" t="s">
        <v>3145</v>
      </c>
      <c r="D15898" s="183" t="s">
        <v>10514</v>
      </c>
      <c r="E15898" s="126">
        <v>580</v>
      </c>
      <c r="F15898" s="126"/>
      <c r="G15898" s="126">
        <f t="shared" si="254"/>
        <v>-580</v>
      </c>
      <c r="H15898" s="705" t="s">
        <v>10324</v>
      </c>
    </row>
    <row r="15899" spans="1:8" s="682" customFormat="1" ht="15" customHeight="1" x14ac:dyDescent="0.25">
      <c r="A15899" s="734">
        <v>45125</v>
      </c>
      <c r="B15899" s="63" t="s">
        <v>9356</v>
      </c>
      <c r="C15899" s="63" t="s">
        <v>392</v>
      </c>
      <c r="D15899" s="183" t="s">
        <v>10519</v>
      </c>
      <c r="E15899" s="126">
        <v>900</v>
      </c>
      <c r="F15899" s="126"/>
      <c r="G15899" s="126">
        <f t="shared" si="254"/>
        <v>-900</v>
      </c>
      <c r="H15899" s="705" t="s">
        <v>10324</v>
      </c>
    </row>
    <row r="15900" spans="1:8" s="682" customFormat="1" ht="15" customHeight="1" x14ac:dyDescent="0.25">
      <c r="A15900" s="734">
        <v>45125</v>
      </c>
      <c r="B15900" s="63" t="s">
        <v>10338</v>
      </c>
      <c r="C15900" s="63" t="s">
        <v>3145</v>
      </c>
      <c r="D15900" s="183" t="s">
        <v>10515</v>
      </c>
      <c r="E15900" s="126">
        <v>88000</v>
      </c>
      <c r="F15900" s="126"/>
      <c r="G15900" s="126">
        <f t="shared" si="254"/>
        <v>-88000</v>
      </c>
      <c r="H15900" s="705" t="s">
        <v>10324</v>
      </c>
    </row>
    <row r="15901" spans="1:8" s="682" customFormat="1" ht="15" customHeight="1" x14ac:dyDescent="0.25">
      <c r="A15901" s="734">
        <v>45125</v>
      </c>
      <c r="B15901" s="63" t="s">
        <v>10296</v>
      </c>
      <c r="C15901" s="63" t="s">
        <v>3145</v>
      </c>
      <c r="D15901" s="183" t="s">
        <v>2272</v>
      </c>
      <c r="E15901" s="126">
        <v>4380</v>
      </c>
      <c r="F15901" s="126"/>
      <c r="G15901" s="126">
        <f t="shared" si="254"/>
        <v>-4380</v>
      </c>
      <c r="H15901" s="705" t="s">
        <v>10324</v>
      </c>
    </row>
    <row r="15902" spans="1:8" s="682" customFormat="1" ht="15" customHeight="1" x14ac:dyDescent="0.25">
      <c r="A15902" s="734">
        <v>45125</v>
      </c>
      <c r="B15902" s="63" t="s">
        <v>10379</v>
      </c>
      <c r="C15902" s="63" t="s">
        <v>3145</v>
      </c>
      <c r="D15902" s="183" t="s">
        <v>2272</v>
      </c>
      <c r="E15902" s="126">
        <v>16560</v>
      </c>
      <c r="F15902" s="126"/>
      <c r="G15902" s="126">
        <f t="shared" si="254"/>
        <v>-16560</v>
      </c>
      <c r="H15902" s="705" t="s">
        <v>10324</v>
      </c>
    </row>
    <row r="15903" spans="1:8" s="682" customFormat="1" ht="15" customHeight="1" x14ac:dyDescent="0.25">
      <c r="A15903" s="734">
        <v>45125</v>
      </c>
      <c r="B15903" s="63" t="s">
        <v>9402</v>
      </c>
      <c r="C15903" s="63" t="s">
        <v>3145</v>
      </c>
      <c r="D15903" s="183" t="s">
        <v>10516</v>
      </c>
      <c r="E15903" s="126">
        <v>1000</v>
      </c>
      <c r="F15903" s="126"/>
      <c r="G15903" s="126">
        <f t="shared" si="254"/>
        <v>-1000</v>
      </c>
      <c r="H15903" s="705" t="s">
        <v>10324</v>
      </c>
    </row>
    <row r="15904" spans="1:8" s="682" customFormat="1" ht="15" customHeight="1" x14ac:dyDescent="0.25">
      <c r="A15904" s="734">
        <v>45125</v>
      </c>
      <c r="B15904" s="63" t="s">
        <v>10338</v>
      </c>
      <c r="C15904" s="63" t="s">
        <v>3145</v>
      </c>
      <c r="D15904" s="183" t="s">
        <v>10517</v>
      </c>
      <c r="E15904" s="126">
        <v>8520</v>
      </c>
      <c r="F15904" s="126"/>
      <c r="G15904" s="126">
        <f t="shared" si="254"/>
        <v>-8520</v>
      </c>
      <c r="H15904" s="705" t="s">
        <v>10324</v>
      </c>
    </row>
    <row r="15905" spans="1:8" s="682" customFormat="1" ht="15" customHeight="1" x14ac:dyDescent="0.25">
      <c r="A15905" s="734">
        <v>45125</v>
      </c>
      <c r="B15905" s="63" t="s">
        <v>10338</v>
      </c>
      <c r="C15905" s="63" t="s">
        <v>286</v>
      </c>
      <c r="D15905" s="183" t="s">
        <v>9628</v>
      </c>
      <c r="E15905" s="126">
        <v>300</v>
      </c>
      <c r="F15905" s="126"/>
      <c r="G15905" s="126">
        <f t="shared" si="254"/>
        <v>-300</v>
      </c>
      <c r="H15905" s="705" t="s">
        <v>10324</v>
      </c>
    </row>
    <row r="15906" spans="1:8" s="682" customFormat="1" ht="15" customHeight="1" x14ac:dyDescent="0.25">
      <c r="A15906" s="734">
        <v>45125</v>
      </c>
      <c r="B15906" s="63" t="s">
        <v>10338</v>
      </c>
      <c r="C15906" s="63" t="s">
        <v>5741</v>
      </c>
      <c r="D15906" s="183" t="s">
        <v>370</v>
      </c>
      <c r="E15906" s="126">
        <v>600</v>
      </c>
      <c r="F15906" s="126"/>
      <c r="G15906" s="126">
        <f t="shared" si="254"/>
        <v>-600</v>
      </c>
      <c r="H15906" s="705" t="s">
        <v>10324</v>
      </c>
    </row>
    <row r="15907" spans="1:8" s="682" customFormat="1" ht="15" customHeight="1" x14ac:dyDescent="0.25">
      <c r="A15907" s="734">
        <v>45126</v>
      </c>
      <c r="B15907" s="63" t="s">
        <v>10338</v>
      </c>
      <c r="C15907" s="63" t="s">
        <v>5741</v>
      </c>
      <c r="D15907" s="183" t="s">
        <v>370</v>
      </c>
      <c r="E15907" s="126">
        <v>1200</v>
      </c>
      <c r="F15907" s="126"/>
      <c r="G15907" s="126">
        <f t="shared" si="254"/>
        <v>-1200</v>
      </c>
      <c r="H15907" s="705" t="s">
        <v>10324</v>
      </c>
    </row>
    <row r="15908" spans="1:8" s="682" customFormat="1" ht="15" customHeight="1" x14ac:dyDescent="0.25">
      <c r="A15908" s="734">
        <v>45126</v>
      </c>
      <c r="B15908" s="63" t="s">
        <v>10379</v>
      </c>
      <c r="C15908" s="63" t="s">
        <v>5741</v>
      </c>
      <c r="D15908" s="183" t="s">
        <v>370</v>
      </c>
      <c r="E15908" s="126">
        <v>800</v>
      </c>
      <c r="F15908" s="126"/>
      <c r="G15908" s="126">
        <f t="shared" si="254"/>
        <v>-800</v>
      </c>
      <c r="H15908" s="705" t="s">
        <v>10324</v>
      </c>
    </row>
    <row r="15909" spans="1:8" s="682" customFormat="1" ht="15" customHeight="1" x14ac:dyDescent="0.25">
      <c r="A15909" s="734">
        <v>45126</v>
      </c>
      <c r="B15909" s="63" t="s">
        <v>10338</v>
      </c>
      <c r="C15909" s="63" t="s">
        <v>5741</v>
      </c>
      <c r="D15909" s="183" t="s">
        <v>10337</v>
      </c>
      <c r="E15909" s="126">
        <v>200</v>
      </c>
      <c r="F15909" s="126"/>
      <c r="G15909" s="126">
        <f t="shared" si="254"/>
        <v>-200</v>
      </c>
      <c r="H15909" s="705" t="s">
        <v>10324</v>
      </c>
    </row>
    <row r="15910" spans="1:8" s="682" customFormat="1" ht="15" customHeight="1" x14ac:dyDescent="0.25">
      <c r="A15910" s="734">
        <v>45126</v>
      </c>
      <c r="B15910" s="63" t="s">
        <v>10296</v>
      </c>
      <c r="C15910" s="63" t="s">
        <v>3145</v>
      </c>
      <c r="D15910" s="183"/>
      <c r="E15910" s="126">
        <v>4450</v>
      </c>
      <c r="F15910" s="126"/>
      <c r="G15910" s="126">
        <f t="shared" si="254"/>
        <v>-4450</v>
      </c>
      <c r="H15910" s="705" t="s">
        <v>10324</v>
      </c>
    </row>
    <row r="15911" spans="1:8" s="682" customFormat="1" ht="15" customHeight="1" x14ac:dyDescent="0.25">
      <c r="A15911" s="734">
        <v>45126</v>
      </c>
      <c r="B15911" s="63" t="s">
        <v>7953</v>
      </c>
      <c r="C15911" s="63" t="s">
        <v>790</v>
      </c>
      <c r="D15911" s="183" t="s">
        <v>10520</v>
      </c>
      <c r="E15911" s="126">
        <v>900</v>
      </c>
      <c r="F15911" s="126"/>
      <c r="G15911" s="126">
        <f t="shared" si="254"/>
        <v>-900</v>
      </c>
      <c r="H15911" s="705" t="s">
        <v>10324</v>
      </c>
    </row>
    <row r="15912" spans="1:8" s="682" customFormat="1" ht="15" customHeight="1" x14ac:dyDescent="0.25">
      <c r="A15912" s="734">
        <v>45126</v>
      </c>
      <c r="B15912" s="63" t="s">
        <v>16</v>
      </c>
      <c r="C15912" s="63" t="s">
        <v>103</v>
      </c>
      <c r="D15912" s="183" t="s">
        <v>10211</v>
      </c>
      <c r="E15912" s="126">
        <v>3000</v>
      </c>
      <c r="F15912" s="126"/>
      <c r="G15912" s="126">
        <f t="shared" si="254"/>
        <v>-3000</v>
      </c>
      <c r="H15912" s="705" t="s">
        <v>10324</v>
      </c>
    </row>
    <row r="15913" spans="1:8" s="682" customFormat="1" ht="15" customHeight="1" x14ac:dyDescent="0.25">
      <c r="A15913" s="734">
        <v>45126</v>
      </c>
      <c r="B15913" s="63" t="s">
        <v>10232</v>
      </c>
      <c r="C15913" s="63" t="s">
        <v>5741</v>
      </c>
      <c r="D15913" s="183" t="s">
        <v>10521</v>
      </c>
      <c r="E15913" s="126">
        <v>3500</v>
      </c>
      <c r="F15913" s="126"/>
      <c r="G15913" s="126">
        <f t="shared" si="254"/>
        <v>-3500</v>
      </c>
      <c r="H15913" s="705" t="s">
        <v>10324</v>
      </c>
    </row>
    <row r="15914" spans="1:8" s="682" customFormat="1" ht="15" customHeight="1" x14ac:dyDescent="0.25">
      <c r="A15914" s="734">
        <v>45126</v>
      </c>
      <c r="B15914" s="63" t="s">
        <v>10232</v>
      </c>
      <c r="C15914" s="63" t="s">
        <v>5741</v>
      </c>
      <c r="D15914" s="183" t="s">
        <v>10522</v>
      </c>
      <c r="E15914" s="126">
        <v>1000</v>
      </c>
      <c r="F15914" s="126"/>
      <c r="G15914" s="126">
        <f t="shared" si="254"/>
        <v>-1000</v>
      </c>
      <c r="H15914" s="705" t="s">
        <v>10324</v>
      </c>
    </row>
    <row r="15915" spans="1:8" s="682" customFormat="1" ht="15" customHeight="1" x14ac:dyDescent="0.25">
      <c r="A15915" s="734">
        <v>45126</v>
      </c>
      <c r="B15915" s="63" t="s">
        <v>10232</v>
      </c>
      <c r="C15915" s="63" t="s">
        <v>3145</v>
      </c>
      <c r="D15915" s="183" t="s">
        <v>10541</v>
      </c>
      <c r="E15915" s="126">
        <v>2950</v>
      </c>
      <c r="F15915" s="126"/>
      <c r="G15915" s="126">
        <f t="shared" si="254"/>
        <v>-2950</v>
      </c>
      <c r="H15915" s="705" t="s">
        <v>10324</v>
      </c>
    </row>
    <row r="15916" spans="1:8" s="682" customFormat="1" ht="15" customHeight="1" x14ac:dyDescent="0.25">
      <c r="A15916" s="734">
        <v>45126</v>
      </c>
      <c r="B15916" s="63" t="s">
        <v>9356</v>
      </c>
      <c r="C15916" s="63" t="s">
        <v>705</v>
      </c>
      <c r="D15916" s="183" t="s">
        <v>10548</v>
      </c>
      <c r="E15916" s="126">
        <v>6000</v>
      </c>
      <c r="F15916" s="126"/>
      <c r="G15916" s="126">
        <f t="shared" si="254"/>
        <v>-6000</v>
      </c>
      <c r="H15916" s="705" t="s">
        <v>10324</v>
      </c>
    </row>
    <row r="15917" spans="1:8" s="682" customFormat="1" ht="15" customHeight="1" x14ac:dyDescent="0.25">
      <c r="A15917" s="734">
        <v>45126</v>
      </c>
      <c r="B15917" s="63" t="s">
        <v>9356</v>
      </c>
      <c r="C15917" s="63" t="s">
        <v>3145</v>
      </c>
      <c r="D15917" s="183" t="s">
        <v>10542</v>
      </c>
      <c r="E15917" s="126">
        <v>4930</v>
      </c>
      <c r="F15917" s="126"/>
      <c r="G15917" s="126">
        <f t="shared" si="254"/>
        <v>-4930</v>
      </c>
      <c r="H15917" s="705" t="s">
        <v>10324</v>
      </c>
    </row>
    <row r="15918" spans="1:8" s="682" customFormat="1" ht="24" customHeight="1" x14ac:dyDescent="0.25">
      <c r="A15918" s="734">
        <v>45126</v>
      </c>
      <c r="B15918" s="63" t="s">
        <v>1400</v>
      </c>
      <c r="C15918" s="63" t="s">
        <v>392</v>
      </c>
      <c r="D15918" s="183" t="s">
        <v>10578</v>
      </c>
      <c r="E15918" s="126">
        <v>8000</v>
      </c>
      <c r="F15918" s="126"/>
      <c r="G15918" s="126">
        <f t="shared" si="254"/>
        <v>-8000</v>
      </c>
      <c r="H15918" s="705" t="s">
        <v>10324</v>
      </c>
    </row>
    <row r="15919" spans="1:8" s="682" customFormat="1" ht="15" x14ac:dyDescent="0.25">
      <c r="A15919" s="734">
        <v>45127</v>
      </c>
      <c r="B15919" s="63" t="s">
        <v>10338</v>
      </c>
      <c r="C15919" s="63" t="s">
        <v>3145</v>
      </c>
      <c r="D15919" s="183" t="s">
        <v>10543</v>
      </c>
      <c r="E15919" s="126">
        <v>46840</v>
      </c>
      <c r="F15919" s="126"/>
      <c r="G15919" s="126">
        <f t="shared" si="254"/>
        <v>-46840</v>
      </c>
      <c r="H15919" s="705" t="s">
        <v>10324</v>
      </c>
    </row>
    <row r="15920" spans="1:8" s="682" customFormat="1" ht="15" customHeight="1" x14ac:dyDescent="0.25">
      <c r="A15920" s="734">
        <v>45127</v>
      </c>
      <c r="B15920" s="63" t="s">
        <v>9402</v>
      </c>
      <c r="C15920" s="63" t="s">
        <v>3145</v>
      </c>
      <c r="D15920" s="183" t="s">
        <v>10544</v>
      </c>
      <c r="E15920" s="126">
        <v>12640</v>
      </c>
      <c r="F15920" s="126"/>
      <c r="G15920" s="126">
        <f t="shared" si="254"/>
        <v>-12640</v>
      </c>
      <c r="H15920" s="705" t="s">
        <v>10324</v>
      </c>
    </row>
    <row r="15921" spans="1:8" s="682" customFormat="1" ht="15" customHeight="1" x14ac:dyDescent="0.25">
      <c r="A15921" s="734">
        <v>45127</v>
      </c>
      <c r="B15921" s="63" t="s">
        <v>10338</v>
      </c>
      <c r="C15921" s="63" t="s">
        <v>3145</v>
      </c>
      <c r="D15921" s="183" t="s">
        <v>10545</v>
      </c>
      <c r="E15921" s="126">
        <v>14400</v>
      </c>
      <c r="F15921" s="126"/>
      <c r="G15921" s="126">
        <f t="shared" si="254"/>
        <v>-14400</v>
      </c>
      <c r="H15921" s="705" t="s">
        <v>10324</v>
      </c>
    </row>
    <row r="15922" spans="1:8" s="682" customFormat="1" ht="15" customHeight="1" x14ac:dyDescent="0.25">
      <c r="A15922" s="734">
        <v>45127</v>
      </c>
      <c r="B15922" s="63" t="s">
        <v>10296</v>
      </c>
      <c r="C15922" s="63" t="s">
        <v>3145</v>
      </c>
      <c r="D15922" s="183" t="s">
        <v>10546</v>
      </c>
      <c r="E15922" s="126">
        <v>800</v>
      </c>
      <c r="F15922" s="126"/>
      <c r="G15922" s="126">
        <f t="shared" si="254"/>
        <v>-800</v>
      </c>
      <c r="H15922" s="705" t="s">
        <v>10324</v>
      </c>
    </row>
    <row r="15923" spans="1:8" s="682" customFormat="1" ht="15" customHeight="1" x14ac:dyDescent="0.25">
      <c r="A15923" s="734">
        <v>45127</v>
      </c>
      <c r="B15923" s="63" t="s">
        <v>10232</v>
      </c>
      <c r="C15923" s="63" t="s">
        <v>3145</v>
      </c>
      <c r="D15923" s="183" t="s">
        <v>10547</v>
      </c>
      <c r="E15923" s="126">
        <v>250</v>
      </c>
      <c r="F15923" s="126"/>
      <c r="G15923" s="126">
        <f t="shared" si="254"/>
        <v>-250</v>
      </c>
      <c r="H15923" s="705" t="s">
        <v>10324</v>
      </c>
    </row>
    <row r="15924" spans="1:8" s="682" customFormat="1" ht="15" customHeight="1" x14ac:dyDescent="0.25">
      <c r="A15924" s="734">
        <v>45127</v>
      </c>
      <c r="B15924" s="63" t="s">
        <v>10232</v>
      </c>
      <c r="C15924" s="63" t="s">
        <v>286</v>
      </c>
      <c r="D15924" s="183" t="s">
        <v>8663</v>
      </c>
      <c r="E15924" s="126">
        <v>1000</v>
      </c>
      <c r="F15924" s="126"/>
      <c r="G15924" s="126">
        <f t="shared" si="254"/>
        <v>-1000</v>
      </c>
      <c r="H15924" s="705" t="s">
        <v>10324</v>
      </c>
    </row>
    <row r="15925" spans="1:8" s="682" customFormat="1" ht="15" customHeight="1" x14ac:dyDescent="0.25">
      <c r="A15925" s="734">
        <v>45127</v>
      </c>
      <c r="B15925" s="63" t="s">
        <v>10338</v>
      </c>
      <c r="C15925" s="63" t="s">
        <v>5741</v>
      </c>
      <c r="D15925" s="183" t="s">
        <v>10337</v>
      </c>
      <c r="E15925" s="126">
        <v>300</v>
      </c>
      <c r="F15925" s="126"/>
      <c r="G15925" s="126">
        <f t="shared" si="254"/>
        <v>-300</v>
      </c>
      <c r="H15925" s="705" t="s">
        <v>10324</v>
      </c>
    </row>
    <row r="15926" spans="1:8" s="682" customFormat="1" ht="15" customHeight="1" x14ac:dyDescent="0.25">
      <c r="A15926" s="734">
        <v>45127</v>
      </c>
      <c r="B15926" s="63" t="s">
        <v>8559</v>
      </c>
      <c r="C15926" s="63" t="s">
        <v>3145</v>
      </c>
      <c r="D15926" s="183" t="s">
        <v>10549</v>
      </c>
      <c r="E15926" s="126">
        <v>4840</v>
      </c>
      <c r="F15926" s="126"/>
      <c r="G15926" s="126">
        <f t="shared" si="254"/>
        <v>-4840</v>
      </c>
      <c r="H15926" s="705" t="s">
        <v>10324</v>
      </c>
    </row>
    <row r="15927" spans="1:8" s="682" customFormat="1" ht="15" customHeight="1" x14ac:dyDescent="0.25">
      <c r="A15927" s="734">
        <v>45127</v>
      </c>
      <c r="B15927" s="63" t="s">
        <v>8559</v>
      </c>
      <c r="C15927" s="63" t="s">
        <v>63</v>
      </c>
      <c r="D15927" s="183" t="s">
        <v>10550</v>
      </c>
      <c r="E15927" s="126">
        <v>25000</v>
      </c>
      <c r="F15927" s="126"/>
      <c r="G15927" s="126">
        <f t="shared" si="254"/>
        <v>-25000</v>
      </c>
      <c r="H15927" s="705" t="s">
        <v>10324</v>
      </c>
    </row>
    <row r="15928" spans="1:8" s="682" customFormat="1" ht="15" customHeight="1" x14ac:dyDescent="0.25">
      <c r="A15928" s="734">
        <v>45127</v>
      </c>
      <c r="B15928" s="63" t="s">
        <v>10296</v>
      </c>
      <c r="C15928" s="63" t="s">
        <v>5741</v>
      </c>
      <c r="D15928" s="183" t="s">
        <v>370</v>
      </c>
      <c r="E15928" s="126">
        <v>1500</v>
      </c>
      <c r="F15928" s="126"/>
      <c r="G15928" s="126">
        <f t="shared" si="254"/>
        <v>-1500</v>
      </c>
      <c r="H15928" s="705" t="s">
        <v>10324</v>
      </c>
    </row>
    <row r="15929" spans="1:8" s="682" customFormat="1" ht="15" customHeight="1" x14ac:dyDescent="0.25">
      <c r="A15929" s="734">
        <v>45127</v>
      </c>
      <c r="B15929" s="63" t="s">
        <v>9402</v>
      </c>
      <c r="C15929" s="63" t="s">
        <v>5741</v>
      </c>
      <c r="D15929" s="183" t="s">
        <v>370</v>
      </c>
      <c r="E15929" s="126">
        <v>3500</v>
      </c>
      <c r="F15929" s="126"/>
      <c r="G15929" s="126">
        <f t="shared" si="254"/>
        <v>-3500</v>
      </c>
      <c r="H15929" s="705" t="s">
        <v>10324</v>
      </c>
    </row>
    <row r="15930" spans="1:8" s="682" customFormat="1" ht="15" customHeight="1" x14ac:dyDescent="0.25">
      <c r="A15930" s="734">
        <v>45127</v>
      </c>
      <c r="B15930" s="63" t="s">
        <v>16</v>
      </c>
      <c r="C15930" s="63" t="s">
        <v>103</v>
      </c>
      <c r="D15930" s="183" t="s">
        <v>10211</v>
      </c>
      <c r="E15930" s="126">
        <v>3000</v>
      </c>
      <c r="F15930" s="126"/>
      <c r="G15930" s="126">
        <f t="shared" si="254"/>
        <v>-3000</v>
      </c>
      <c r="H15930" s="705" t="s">
        <v>10324</v>
      </c>
    </row>
    <row r="15931" spans="1:8" s="682" customFormat="1" ht="15" customHeight="1" x14ac:dyDescent="0.25">
      <c r="A15931" s="734">
        <v>45127</v>
      </c>
      <c r="B15931" s="63" t="s">
        <v>8657</v>
      </c>
      <c r="C15931" s="551" t="s">
        <v>8394</v>
      </c>
      <c r="D15931" s="740" t="s">
        <v>10551</v>
      </c>
      <c r="E15931" s="552">
        <v>12087</v>
      </c>
      <c r="F15931" s="126"/>
      <c r="G15931" s="126">
        <f t="shared" si="254"/>
        <v>-12087</v>
      </c>
      <c r="H15931" s="705" t="s">
        <v>10324</v>
      </c>
    </row>
    <row r="15932" spans="1:8" s="682" customFormat="1" ht="15" customHeight="1" x14ac:dyDescent="0.25">
      <c r="A15932" s="734">
        <v>45127</v>
      </c>
      <c r="B15932" s="63" t="s">
        <v>10242</v>
      </c>
      <c r="C15932" s="551" t="s">
        <v>8394</v>
      </c>
      <c r="D15932" s="740" t="s">
        <v>10551</v>
      </c>
      <c r="E15932" s="552">
        <v>182717</v>
      </c>
      <c r="F15932" s="126"/>
      <c r="G15932" s="126">
        <f t="shared" si="254"/>
        <v>-182717</v>
      </c>
      <c r="H15932" s="705" t="s">
        <v>10324</v>
      </c>
    </row>
    <row r="15933" spans="1:8" s="682" customFormat="1" ht="15" customHeight="1" x14ac:dyDescent="0.25">
      <c r="A15933" s="734">
        <v>45127</v>
      </c>
      <c r="B15933" s="63" t="s">
        <v>9356</v>
      </c>
      <c r="C15933" s="551" t="s">
        <v>8394</v>
      </c>
      <c r="D15933" s="740" t="s">
        <v>10551</v>
      </c>
      <c r="E15933" s="552">
        <v>190000</v>
      </c>
      <c r="F15933" s="126"/>
      <c r="G15933" s="126">
        <f t="shared" si="254"/>
        <v>-190000</v>
      </c>
      <c r="H15933" s="705" t="s">
        <v>10324</v>
      </c>
    </row>
    <row r="15934" spans="1:8" s="682" customFormat="1" ht="15" customHeight="1" x14ac:dyDescent="0.25">
      <c r="A15934" s="734">
        <v>45127</v>
      </c>
      <c r="B15934" s="63" t="s">
        <v>9661</v>
      </c>
      <c r="C15934" s="551" t="s">
        <v>8394</v>
      </c>
      <c r="D15934" s="740" t="s">
        <v>10551</v>
      </c>
      <c r="E15934" s="552">
        <v>45196</v>
      </c>
      <c r="F15934" s="126"/>
      <c r="G15934" s="126">
        <f t="shared" si="254"/>
        <v>-45196</v>
      </c>
      <c r="H15934" s="705" t="s">
        <v>10324</v>
      </c>
    </row>
    <row r="15935" spans="1:8" s="682" customFormat="1" ht="15" customHeight="1" x14ac:dyDescent="0.25">
      <c r="A15935" s="734">
        <v>45127</v>
      </c>
      <c r="B15935" s="63" t="s">
        <v>9769</v>
      </c>
      <c r="C15935" s="551" t="s">
        <v>8394</v>
      </c>
      <c r="D15935" s="740" t="s">
        <v>10551</v>
      </c>
      <c r="E15935" s="552">
        <v>190000</v>
      </c>
      <c r="F15935" s="126"/>
      <c r="G15935" s="126">
        <f t="shared" ref="G15935:G15998" si="255">F15935-E15935</f>
        <v>-190000</v>
      </c>
      <c r="H15935" s="705" t="s">
        <v>10324</v>
      </c>
    </row>
    <row r="15936" spans="1:8" s="682" customFormat="1" ht="15" customHeight="1" x14ac:dyDescent="0.25">
      <c r="A15936" s="734">
        <v>45127</v>
      </c>
      <c r="B15936" s="63" t="s">
        <v>10144</v>
      </c>
      <c r="C15936" s="551" t="s">
        <v>8394</v>
      </c>
      <c r="D15936" s="740" t="s">
        <v>10551</v>
      </c>
      <c r="E15936" s="552">
        <v>190000</v>
      </c>
      <c r="F15936" s="126"/>
      <c r="G15936" s="126">
        <f t="shared" si="255"/>
        <v>-190000</v>
      </c>
      <c r="H15936" s="705" t="s">
        <v>10324</v>
      </c>
    </row>
    <row r="15937" spans="1:8" s="682" customFormat="1" ht="15" customHeight="1" x14ac:dyDescent="0.25">
      <c r="A15937" s="734">
        <v>45127</v>
      </c>
      <c r="B15937" s="63" t="s">
        <v>10296</v>
      </c>
      <c r="C15937" s="551" t="s">
        <v>8394</v>
      </c>
      <c r="D15937" s="740" t="s">
        <v>10551</v>
      </c>
      <c r="E15937" s="552">
        <v>190000</v>
      </c>
      <c r="F15937" s="126"/>
      <c r="G15937" s="126">
        <f t="shared" si="255"/>
        <v>-190000</v>
      </c>
      <c r="H15937" s="705" t="s">
        <v>10324</v>
      </c>
    </row>
    <row r="15938" spans="1:8" s="682" customFormat="1" ht="15" customHeight="1" x14ac:dyDescent="0.25">
      <c r="A15938" s="734">
        <v>45127</v>
      </c>
      <c r="B15938" s="63" t="s">
        <v>10338</v>
      </c>
      <c r="C15938" s="63" t="s">
        <v>9460</v>
      </c>
      <c r="D15938" s="183" t="s">
        <v>10552</v>
      </c>
      <c r="E15938" s="126">
        <v>100000</v>
      </c>
      <c r="F15938" s="126"/>
      <c r="G15938" s="126">
        <f t="shared" si="255"/>
        <v>-100000</v>
      </c>
      <c r="H15938" s="705" t="s">
        <v>10324</v>
      </c>
    </row>
    <row r="15939" spans="1:8" s="682" customFormat="1" ht="15" customHeight="1" x14ac:dyDescent="0.25">
      <c r="A15939" s="734">
        <v>45128</v>
      </c>
      <c r="B15939" s="63" t="s">
        <v>9409</v>
      </c>
      <c r="C15939" s="63" t="s">
        <v>3145</v>
      </c>
      <c r="D15939" s="183" t="s">
        <v>5136</v>
      </c>
      <c r="E15939" s="126">
        <v>10050</v>
      </c>
      <c r="F15939" s="126"/>
      <c r="G15939" s="126">
        <f t="shared" si="255"/>
        <v>-10050</v>
      </c>
      <c r="H15939" s="705" t="s">
        <v>10324</v>
      </c>
    </row>
    <row r="15940" spans="1:8" s="682" customFormat="1" ht="15" customHeight="1" x14ac:dyDescent="0.25">
      <c r="A15940" s="734">
        <v>45128</v>
      </c>
      <c r="B15940" s="63" t="s">
        <v>9409</v>
      </c>
      <c r="C15940" s="63" t="s">
        <v>3145</v>
      </c>
      <c r="D15940" s="183" t="s">
        <v>5136</v>
      </c>
      <c r="E15940" s="126">
        <v>7260</v>
      </c>
      <c r="F15940" s="126"/>
      <c r="G15940" s="126">
        <f t="shared" si="255"/>
        <v>-7260</v>
      </c>
      <c r="H15940" s="705" t="s">
        <v>10324</v>
      </c>
    </row>
    <row r="15941" spans="1:8" s="682" customFormat="1" ht="15" customHeight="1" x14ac:dyDescent="0.25">
      <c r="A15941" s="734">
        <v>45128</v>
      </c>
      <c r="B15941" s="63" t="s">
        <v>9356</v>
      </c>
      <c r="C15941" s="63" t="s">
        <v>3145</v>
      </c>
      <c r="D15941" s="183" t="s">
        <v>9917</v>
      </c>
      <c r="E15941" s="126">
        <v>1250</v>
      </c>
      <c r="F15941" s="126"/>
      <c r="G15941" s="126">
        <f t="shared" si="255"/>
        <v>-1250</v>
      </c>
      <c r="H15941" s="705" t="s">
        <v>10324</v>
      </c>
    </row>
    <row r="15942" spans="1:8" s="682" customFormat="1" ht="15" customHeight="1" x14ac:dyDescent="0.25">
      <c r="A15942" s="734">
        <v>45128</v>
      </c>
      <c r="B15942" s="63" t="s">
        <v>10338</v>
      </c>
      <c r="C15942" s="63" t="s">
        <v>3145</v>
      </c>
      <c r="D15942" s="183" t="s">
        <v>10553</v>
      </c>
      <c r="E15942" s="126">
        <v>22790</v>
      </c>
      <c r="F15942" s="126"/>
      <c r="G15942" s="126">
        <f t="shared" si="255"/>
        <v>-22790</v>
      </c>
      <c r="H15942" s="705" t="s">
        <v>10324</v>
      </c>
    </row>
    <row r="15943" spans="1:8" s="682" customFormat="1" ht="15" customHeight="1" x14ac:dyDescent="0.25">
      <c r="A15943" s="734">
        <v>45128</v>
      </c>
      <c r="B15943" s="63" t="s">
        <v>10242</v>
      </c>
      <c r="C15943" s="63" t="s">
        <v>9549</v>
      </c>
      <c r="D15943" s="183" t="s">
        <v>10554</v>
      </c>
      <c r="E15943" s="126">
        <v>25000</v>
      </c>
      <c r="F15943" s="126"/>
      <c r="G15943" s="126">
        <f t="shared" si="255"/>
        <v>-25000</v>
      </c>
      <c r="H15943" s="705" t="s">
        <v>10324</v>
      </c>
    </row>
    <row r="15944" spans="1:8" s="682" customFormat="1" ht="15" customHeight="1" x14ac:dyDescent="0.25">
      <c r="A15944" s="734">
        <v>45128</v>
      </c>
      <c r="B15944" s="63" t="s">
        <v>9402</v>
      </c>
      <c r="C15944" s="63" t="s">
        <v>9549</v>
      </c>
      <c r="D15944" s="183" t="s">
        <v>10554</v>
      </c>
      <c r="E15944" s="126">
        <v>25000</v>
      </c>
      <c r="F15944" s="126"/>
      <c r="G15944" s="126">
        <f t="shared" si="255"/>
        <v>-25000</v>
      </c>
      <c r="H15944" s="705" t="s">
        <v>10324</v>
      </c>
    </row>
    <row r="15945" spans="1:8" s="682" customFormat="1" ht="15" customHeight="1" x14ac:dyDescent="0.25">
      <c r="A15945" s="734">
        <v>45128</v>
      </c>
      <c r="B15945" s="63" t="s">
        <v>9832</v>
      </c>
      <c r="C15945" s="63" t="s">
        <v>392</v>
      </c>
      <c r="D15945" s="183" t="s">
        <v>10555</v>
      </c>
      <c r="E15945" s="126">
        <v>300</v>
      </c>
      <c r="F15945" s="126"/>
      <c r="G15945" s="126">
        <f t="shared" si="255"/>
        <v>-300</v>
      </c>
      <c r="H15945" s="705" t="s">
        <v>10324</v>
      </c>
    </row>
    <row r="15946" spans="1:8" s="682" customFormat="1" ht="15" customHeight="1" x14ac:dyDescent="0.25">
      <c r="A15946" s="734">
        <v>45128</v>
      </c>
      <c r="B15946" s="63" t="s">
        <v>10296</v>
      </c>
      <c r="C15946" s="63" t="s">
        <v>392</v>
      </c>
      <c r="D15946" s="183" t="s">
        <v>10556</v>
      </c>
      <c r="E15946" s="126">
        <v>3000</v>
      </c>
      <c r="F15946" s="126"/>
      <c r="G15946" s="126">
        <f t="shared" si="255"/>
        <v>-3000</v>
      </c>
      <c r="H15946" s="705" t="s">
        <v>10324</v>
      </c>
    </row>
    <row r="15947" spans="1:8" s="682" customFormat="1" ht="24" customHeight="1" x14ac:dyDescent="0.25">
      <c r="A15947" s="734">
        <v>45129</v>
      </c>
      <c r="B15947" s="63" t="s">
        <v>9402</v>
      </c>
      <c r="C15947" s="63" t="s">
        <v>10561</v>
      </c>
      <c r="D15947" s="183" t="s">
        <v>10562</v>
      </c>
      <c r="E15947" s="126">
        <v>36000</v>
      </c>
      <c r="F15947" s="126"/>
      <c r="G15947" s="126">
        <f t="shared" si="255"/>
        <v>-36000</v>
      </c>
      <c r="H15947" s="705" t="s">
        <v>10324</v>
      </c>
    </row>
    <row r="15948" spans="1:8" s="682" customFormat="1" ht="15" customHeight="1" x14ac:dyDescent="0.25">
      <c r="A15948" s="734">
        <v>45129</v>
      </c>
      <c r="B15948" s="63" t="s">
        <v>10296</v>
      </c>
      <c r="C15948" s="63" t="s">
        <v>5741</v>
      </c>
      <c r="D15948" s="183" t="s">
        <v>370</v>
      </c>
      <c r="E15948" s="126">
        <v>1000</v>
      </c>
      <c r="F15948" s="126"/>
      <c r="G15948" s="126">
        <f t="shared" si="255"/>
        <v>-1000</v>
      </c>
      <c r="H15948" s="705" t="s">
        <v>10324</v>
      </c>
    </row>
    <row r="15949" spans="1:8" s="682" customFormat="1" ht="15" customHeight="1" x14ac:dyDescent="0.25">
      <c r="A15949" s="734">
        <v>45129</v>
      </c>
      <c r="B15949" s="63" t="s">
        <v>10296</v>
      </c>
      <c r="C15949" s="63" t="s">
        <v>10563</v>
      </c>
      <c r="D15949" s="183" t="s">
        <v>10557</v>
      </c>
      <c r="E15949" s="126">
        <v>94000</v>
      </c>
      <c r="F15949" s="126"/>
      <c r="G15949" s="126">
        <f t="shared" si="255"/>
        <v>-94000</v>
      </c>
      <c r="H15949" s="705" t="s">
        <v>10324</v>
      </c>
    </row>
    <row r="15950" spans="1:8" s="682" customFormat="1" ht="15" customHeight="1" x14ac:dyDescent="0.25">
      <c r="A15950" s="734">
        <v>45129</v>
      </c>
      <c r="B15950" s="63" t="s">
        <v>10296</v>
      </c>
      <c r="C15950" s="63" t="s">
        <v>10558</v>
      </c>
      <c r="D15950" s="183" t="s">
        <v>10559</v>
      </c>
      <c r="E15950" s="126">
        <v>44000</v>
      </c>
      <c r="F15950" s="126"/>
      <c r="G15950" s="126">
        <f t="shared" si="255"/>
        <v>-44000</v>
      </c>
      <c r="H15950" s="705" t="s">
        <v>10324</v>
      </c>
    </row>
    <row r="15951" spans="1:8" s="682" customFormat="1" ht="15" customHeight="1" x14ac:dyDescent="0.25">
      <c r="A15951" s="734">
        <v>45129</v>
      </c>
      <c r="B15951" s="63" t="s">
        <v>9402</v>
      </c>
      <c r="C15951" s="63" t="s">
        <v>5741</v>
      </c>
      <c r="D15951" s="183" t="s">
        <v>10560</v>
      </c>
      <c r="E15951" s="126">
        <v>3500</v>
      </c>
      <c r="F15951" s="126"/>
      <c r="G15951" s="126">
        <f t="shared" si="255"/>
        <v>-3500</v>
      </c>
      <c r="H15951" s="705" t="s">
        <v>10324</v>
      </c>
    </row>
    <row r="15952" spans="1:8" s="682" customFormat="1" ht="15" customHeight="1" x14ac:dyDescent="0.25">
      <c r="A15952" s="734">
        <v>45129</v>
      </c>
      <c r="B15952" s="63" t="s">
        <v>10296</v>
      </c>
      <c r="C15952" s="63" t="s">
        <v>5741</v>
      </c>
      <c r="D15952" s="183" t="s">
        <v>370</v>
      </c>
      <c r="E15952" s="126">
        <v>1500</v>
      </c>
      <c r="F15952" s="126"/>
      <c r="G15952" s="126">
        <f t="shared" si="255"/>
        <v>-1500</v>
      </c>
      <c r="H15952" s="705" t="s">
        <v>10324</v>
      </c>
    </row>
    <row r="15953" spans="1:8" s="682" customFormat="1" ht="15" customHeight="1" x14ac:dyDescent="0.25">
      <c r="A15953" s="734">
        <v>45129</v>
      </c>
      <c r="B15953" s="63" t="s">
        <v>2933</v>
      </c>
      <c r="C15953" s="63" t="s">
        <v>3145</v>
      </c>
      <c r="D15953" s="183" t="s">
        <v>6486</v>
      </c>
      <c r="E15953" s="126">
        <v>13310</v>
      </c>
      <c r="F15953" s="126"/>
      <c r="G15953" s="126">
        <f t="shared" si="255"/>
        <v>-13310</v>
      </c>
      <c r="H15953" s="705" t="s">
        <v>10324</v>
      </c>
    </row>
    <row r="15954" spans="1:8" s="682" customFormat="1" ht="15" customHeight="1" x14ac:dyDescent="0.25">
      <c r="A15954" s="734">
        <v>45129</v>
      </c>
      <c r="B15954" s="63" t="s">
        <v>10296</v>
      </c>
      <c r="C15954" s="63" t="s">
        <v>3145</v>
      </c>
      <c r="D15954" s="183" t="s">
        <v>6641</v>
      </c>
      <c r="E15954" s="126">
        <v>7380</v>
      </c>
      <c r="F15954" s="126"/>
      <c r="G15954" s="126">
        <f t="shared" si="255"/>
        <v>-7380</v>
      </c>
      <c r="H15954" s="705" t="s">
        <v>10324</v>
      </c>
    </row>
    <row r="15955" spans="1:8" s="682" customFormat="1" ht="15" customHeight="1" x14ac:dyDescent="0.25">
      <c r="A15955" s="734">
        <v>45129</v>
      </c>
      <c r="B15955" s="63" t="s">
        <v>10296</v>
      </c>
      <c r="C15955" s="63" t="s">
        <v>1198</v>
      </c>
      <c r="D15955" s="183" t="s">
        <v>10564</v>
      </c>
      <c r="E15955" s="126">
        <v>77000</v>
      </c>
      <c r="F15955" s="126"/>
      <c r="G15955" s="126">
        <f t="shared" si="255"/>
        <v>-77000</v>
      </c>
      <c r="H15955" s="705" t="s">
        <v>10324</v>
      </c>
    </row>
    <row r="15956" spans="1:8" s="682" customFormat="1" ht="15" customHeight="1" x14ac:dyDescent="0.25">
      <c r="A15956" s="734">
        <v>45129</v>
      </c>
      <c r="B15956" s="63" t="s">
        <v>9356</v>
      </c>
      <c r="C15956" s="63" t="s">
        <v>10518</v>
      </c>
      <c r="D15956" s="183" t="s">
        <v>10565</v>
      </c>
      <c r="E15956" s="126">
        <v>1000</v>
      </c>
      <c r="F15956" s="126"/>
      <c r="G15956" s="126">
        <f t="shared" si="255"/>
        <v>-1000</v>
      </c>
      <c r="H15956" s="705" t="s">
        <v>10324</v>
      </c>
    </row>
    <row r="15957" spans="1:8" s="682" customFormat="1" ht="15" customHeight="1" x14ac:dyDescent="0.25">
      <c r="A15957" s="734">
        <v>45129</v>
      </c>
      <c r="B15957" s="63" t="s">
        <v>2933</v>
      </c>
      <c r="C15957" s="63" t="s">
        <v>286</v>
      </c>
      <c r="D15957" s="183" t="s">
        <v>10567</v>
      </c>
      <c r="E15957" s="126">
        <v>120000</v>
      </c>
      <c r="F15957" s="126"/>
      <c r="G15957" s="126">
        <f t="shared" si="255"/>
        <v>-120000</v>
      </c>
      <c r="H15957" s="705" t="s">
        <v>10324</v>
      </c>
    </row>
    <row r="15958" spans="1:8" s="682" customFormat="1" ht="15" customHeight="1" x14ac:dyDescent="0.25">
      <c r="A15958" s="734">
        <v>45129</v>
      </c>
      <c r="B15958" s="63" t="s">
        <v>9356</v>
      </c>
      <c r="C15958" s="63" t="s">
        <v>3145</v>
      </c>
      <c r="D15958" s="183" t="s">
        <v>9917</v>
      </c>
      <c r="E15958" s="126">
        <v>3230</v>
      </c>
      <c r="F15958" s="126"/>
      <c r="G15958" s="126">
        <f t="shared" si="255"/>
        <v>-3230</v>
      </c>
      <c r="H15958" s="705" t="s">
        <v>10324</v>
      </c>
    </row>
    <row r="15959" spans="1:8" s="682" customFormat="1" ht="15" customHeight="1" x14ac:dyDescent="0.25">
      <c r="A15959" s="734">
        <v>45129</v>
      </c>
      <c r="B15959" s="63" t="s">
        <v>103</v>
      </c>
      <c r="C15959" s="63" t="s">
        <v>103</v>
      </c>
      <c r="D15959" s="183" t="s">
        <v>10211</v>
      </c>
      <c r="E15959" s="126">
        <v>2000</v>
      </c>
      <c r="F15959" s="126"/>
      <c r="G15959" s="126">
        <f t="shared" si="255"/>
        <v>-2000</v>
      </c>
      <c r="H15959" s="705" t="s">
        <v>10324</v>
      </c>
    </row>
    <row r="15960" spans="1:8" s="682" customFormat="1" ht="15" customHeight="1" x14ac:dyDescent="0.25">
      <c r="A15960" s="734">
        <v>45131</v>
      </c>
      <c r="B15960" s="63" t="s">
        <v>9356</v>
      </c>
      <c r="C15960" s="962" t="s">
        <v>3145</v>
      </c>
      <c r="D15960" s="891" t="s">
        <v>10574</v>
      </c>
      <c r="E15960" s="674">
        <v>110000</v>
      </c>
      <c r="F15960" s="126"/>
      <c r="G15960" s="126">
        <f t="shared" si="255"/>
        <v>-110000</v>
      </c>
      <c r="H15960" s="705" t="s">
        <v>10324</v>
      </c>
    </row>
    <row r="15961" spans="1:8" s="682" customFormat="1" ht="15" customHeight="1" x14ac:dyDescent="0.25">
      <c r="A15961" s="734">
        <v>45131</v>
      </c>
      <c r="B15961" s="63" t="s">
        <v>10144</v>
      </c>
      <c r="C15961" s="63" t="s">
        <v>5741</v>
      </c>
      <c r="D15961" s="183" t="s">
        <v>370</v>
      </c>
      <c r="E15961" s="126">
        <v>400</v>
      </c>
      <c r="F15961" s="126"/>
      <c r="G15961" s="126">
        <f t="shared" si="255"/>
        <v>-400</v>
      </c>
      <c r="H15961" s="705" t="s">
        <v>10324</v>
      </c>
    </row>
    <row r="15962" spans="1:8" s="682" customFormat="1" ht="15" customHeight="1" x14ac:dyDescent="0.25">
      <c r="A15962" s="734">
        <v>45131</v>
      </c>
      <c r="B15962" s="63" t="s">
        <v>10576</v>
      </c>
      <c r="C15962" s="63" t="s">
        <v>10577</v>
      </c>
      <c r="D15962" s="183" t="s">
        <v>10575</v>
      </c>
      <c r="E15962" s="126">
        <v>200000</v>
      </c>
      <c r="F15962" s="126"/>
      <c r="G15962" s="126">
        <f t="shared" si="255"/>
        <v>-200000</v>
      </c>
      <c r="H15962" s="705" t="s">
        <v>10324</v>
      </c>
    </row>
    <row r="15963" spans="1:8" s="682" customFormat="1" ht="15" customHeight="1" x14ac:dyDescent="0.25">
      <c r="A15963" s="734">
        <v>45131</v>
      </c>
      <c r="B15963" s="63" t="s">
        <v>25</v>
      </c>
      <c r="C15963" s="63" t="s">
        <v>8150</v>
      </c>
      <c r="D15963" s="183" t="s">
        <v>10241</v>
      </c>
      <c r="E15963" s="126">
        <v>97736</v>
      </c>
      <c r="F15963" s="126"/>
      <c r="G15963" s="126">
        <f t="shared" si="255"/>
        <v>-97736</v>
      </c>
      <c r="H15963" s="705" t="s">
        <v>10324</v>
      </c>
    </row>
    <row r="15964" spans="1:8" s="682" customFormat="1" ht="15" customHeight="1" x14ac:dyDescent="0.25">
      <c r="A15964" s="734">
        <v>45131</v>
      </c>
      <c r="B15964" s="63" t="s">
        <v>103</v>
      </c>
      <c r="C15964" s="63" t="s">
        <v>8150</v>
      </c>
      <c r="D15964" s="183" t="s">
        <v>10241</v>
      </c>
      <c r="E15964" s="126">
        <v>48454</v>
      </c>
      <c r="F15964" s="126"/>
      <c r="G15964" s="126">
        <f t="shared" si="255"/>
        <v>-48454</v>
      </c>
      <c r="H15964" s="705" t="s">
        <v>10324</v>
      </c>
    </row>
    <row r="15965" spans="1:8" s="682" customFormat="1" ht="24" customHeight="1" x14ac:dyDescent="0.25">
      <c r="A15965" s="734">
        <v>45131</v>
      </c>
      <c r="B15965" s="63" t="s">
        <v>1400</v>
      </c>
      <c r="C15965" s="63" t="s">
        <v>392</v>
      </c>
      <c r="D15965" s="183" t="s">
        <v>10578</v>
      </c>
      <c r="E15965" s="126">
        <v>4000</v>
      </c>
      <c r="F15965" s="126"/>
      <c r="G15965" s="126">
        <f t="shared" si="255"/>
        <v>-4000</v>
      </c>
      <c r="H15965" s="705" t="s">
        <v>10324</v>
      </c>
    </row>
    <row r="15966" spans="1:8" s="682" customFormat="1" ht="15" x14ac:dyDescent="0.25">
      <c r="A15966" s="734">
        <v>45131</v>
      </c>
      <c r="B15966" s="63" t="s">
        <v>103</v>
      </c>
      <c r="C15966" s="63" t="s">
        <v>103</v>
      </c>
      <c r="D15966" s="183" t="s">
        <v>10041</v>
      </c>
      <c r="E15966" s="126">
        <v>500</v>
      </c>
      <c r="F15966" s="126"/>
      <c r="G15966" s="126">
        <f t="shared" si="255"/>
        <v>-500</v>
      </c>
      <c r="H15966" s="705" t="s">
        <v>10324</v>
      </c>
    </row>
    <row r="15967" spans="1:8" s="682" customFormat="1" ht="15" customHeight="1" x14ac:dyDescent="0.25">
      <c r="A15967" s="734">
        <v>45131</v>
      </c>
      <c r="B15967" s="63" t="s">
        <v>10232</v>
      </c>
      <c r="C15967" s="63" t="s">
        <v>790</v>
      </c>
      <c r="D15967" s="183" t="s">
        <v>370</v>
      </c>
      <c r="E15967" s="126">
        <v>2300</v>
      </c>
      <c r="F15967" s="126"/>
      <c r="G15967" s="126">
        <f t="shared" si="255"/>
        <v>-2300</v>
      </c>
      <c r="H15967" s="705" t="s">
        <v>10324</v>
      </c>
    </row>
    <row r="15968" spans="1:8" s="682" customFormat="1" ht="15" customHeight="1" x14ac:dyDescent="0.25">
      <c r="A15968" s="734">
        <v>45131</v>
      </c>
      <c r="B15968" s="63" t="s">
        <v>103</v>
      </c>
      <c r="C15968" s="63" t="s">
        <v>790</v>
      </c>
      <c r="D15968" s="183" t="s">
        <v>370</v>
      </c>
      <c r="E15968" s="126">
        <v>400</v>
      </c>
      <c r="F15968" s="126"/>
      <c r="G15968" s="126">
        <f t="shared" si="255"/>
        <v>-400</v>
      </c>
      <c r="H15968" s="705" t="s">
        <v>10324</v>
      </c>
    </row>
    <row r="15969" spans="1:8" s="682" customFormat="1" ht="15" customHeight="1" x14ac:dyDescent="0.25">
      <c r="A15969" s="734">
        <v>45131</v>
      </c>
      <c r="B15969" s="63" t="s">
        <v>9832</v>
      </c>
      <c r="C15969" s="63" t="s">
        <v>790</v>
      </c>
      <c r="D15969" s="183" t="s">
        <v>370</v>
      </c>
      <c r="E15969" s="126">
        <v>1500</v>
      </c>
      <c r="F15969" s="126"/>
      <c r="G15969" s="126">
        <f t="shared" si="255"/>
        <v>-1500</v>
      </c>
      <c r="H15969" s="705" t="s">
        <v>10324</v>
      </c>
    </row>
    <row r="15970" spans="1:8" s="682" customFormat="1" ht="15" customHeight="1" x14ac:dyDescent="0.25">
      <c r="A15970" s="734">
        <v>45131</v>
      </c>
      <c r="B15970" s="63" t="s">
        <v>9402</v>
      </c>
      <c r="C15970" s="63" t="s">
        <v>790</v>
      </c>
      <c r="D15970" s="183" t="s">
        <v>370</v>
      </c>
      <c r="E15970" s="126">
        <v>1900</v>
      </c>
      <c r="F15970" s="126"/>
      <c r="G15970" s="126">
        <f t="shared" si="255"/>
        <v>-1900</v>
      </c>
      <c r="H15970" s="705" t="s">
        <v>10324</v>
      </c>
    </row>
    <row r="15971" spans="1:8" s="682" customFormat="1" ht="15" customHeight="1" x14ac:dyDescent="0.25">
      <c r="A15971" s="734">
        <v>45131</v>
      </c>
      <c r="B15971" s="63" t="s">
        <v>9402</v>
      </c>
      <c r="C15971" s="63" t="s">
        <v>3145</v>
      </c>
      <c r="D15971" s="183" t="s">
        <v>10579</v>
      </c>
      <c r="E15971" s="126">
        <v>4350</v>
      </c>
      <c r="F15971" s="126"/>
      <c r="G15971" s="126">
        <f t="shared" si="255"/>
        <v>-4350</v>
      </c>
      <c r="H15971" s="705" t="s">
        <v>10324</v>
      </c>
    </row>
    <row r="15972" spans="1:8" s="682" customFormat="1" ht="15" customHeight="1" x14ac:dyDescent="0.25">
      <c r="A15972" s="734">
        <v>45131</v>
      </c>
      <c r="B15972" s="63" t="s">
        <v>9402</v>
      </c>
      <c r="C15972" s="63" t="s">
        <v>286</v>
      </c>
      <c r="D15972" s="183" t="s">
        <v>8663</v>
      </c>
      <c r="E15972" s="126">
        <v>1620</v>
      </c>
      <c r="F15972" s="126"/>
      <c r="G15972" s="126">
        <f t="shared" si="255"/>
        <v>-1620</v>
      </c>
      <c r="H15972" s="705" t="s">
        <v>10324</v>
      </c>
    </row>
    <row r="15973" spans="1:8" s="682" customFormat="1" ht="15" customHeight="1" x14ac:dyDescent="0.25">
      <c r="A15973" s="734">
        <v>45131</v>
      </c>
      <c r="B15973" s="63" t="s">
        <v>9769</v>
      </c>
      <c r="C15973" s="63" t="s">
        <v>3145</v>
      </c>
      <c r="D15973" s="183" t="s">
        <v>7376</v>
      </c>
      <c r="E15973" s="126">
        <v>3610</v>
      </c>
      <c r="F15973" s="126"/>
      <c r="G15973" s="126">
        <f t="shared" si="255"/>
        <v>-3610</v>
      </c>
      <c r="H15973" s="705" t="s">
        <v>10324</v>
      </c>
    </row>
    <row r="15974" spans="1:8" s="682" customFormat="1" ht="15" customHeight="1" x14ac:dyDescent="0.25">
      <c r="A15974" s="734">
        <v>45131</v>
      </c>
      <c r="B15974" s="63" t="s">
        <v>103</v>
      </c>
      <c r="C15974" s="63" t="s">
        <v>103</v>
      </c>
      <c r="D15974" s="183" t="s">
        <v>10211</v>
      </c>
      <c r="E15974" s="126">
        <v>2000</v>
      </c>
      <c r="F15974" s="126"/>
      <c r="G15974" s="126">
        <f t="shared" si="255"/>
        <v>-2000</v>
      </c>
      <c r="H15974" s="705" t="s">
        <v>10324</v>
      </c>
    </row>
    <row r="15975" spans="1:8" s="682" customFormat="1" ht="15" customHeight="1" x14ac:dyDescent="0.25">
      <c r="A15975" s="734">
        <v>45131</v>
      </c>
      <c r="B15975" s="63" t="s">
        <v>10023</v>
      </c>
      <c r="C15975" s="63" t="s">
        <v>10173</v>
      </c>
      <c r="D15975" s="183" t="s">
        <v>10515</v>
      </c>
      <c r="E15975" s="126">
        <v>275000</v>
      </c>
      <c r="F15975" s="126"/>
      <c r="G15975" s="126">
        <f t="shared" si="255"/>
        <v>-275000</v>
      </c>
      <c r="H15975" s="705" t="s">
        <v>10324</v>
      </c>
    </row>
    <row r="15976" spans="1:8" s="682" customFormat="1" ht="15" customHeight="1" x14ac:dyDescent="0.25">
      <c r="A15976" s="734">
        <v>45131</v>
      </c>
      <c r="B15976" s="63" t="s">
        <v>10296</v>
      </c>
      <c r="C15976" s="63" t="s">
        <v>5741</v>
      </c>
      <c r="D15976" s="183" t="s">
        <v>370</v>
      </c>
      <c r="E15976" s="126">
        <v>2000</v>
      </c>
      <c r="F15976" s="126"/>
      <c r="G15976" s="126">
        <f t="shared" si="255"/>
        <v>-2000</v>
      </c>
      <c r="H15976" s="705" t="s">
        <v>10324</v>
      </c>
    </row>
    <row r="15977" spans="1:8" s="682" customFormat="1" ht="15" customHeight="1" x14ac:dyDescent="0.25">
      <c r="A15977" s="734">
        <v>45131</v>
      </c>
      <c r="B15977" s="63" t="s">
        <v>10023</v>
      </c>
      <c r="C15977" s="63" t="s">
        <v>5741</v>
      </c>
      <c r="D15977" s="183" t="s">
        <v>370</v>
      </c>
      <c r="E15977" s="126">
        <v>800</v>
      </c>
      <c r="F15977" s="126"/>
      <c r="G15977" s="126">
        <f t="shared" si="255"/>
        <v>-800</v>
      </c>
      <c r="H15977" s="705" t="s">
        <v>10324</v>
      </c>
    </row>
    <row r="15978" spans="1:8" s="682" customFormat="1" ht="15" customHeight="1" x14ac:dyDescent="0.25">
      <c r="A15978" s="734">
        <v>45131</v>
      </c>
      <c r="B15978" s="63" t="s">
        <v>9464</v>
      </c>
      <c r="C15978" s="63" t="s">
        <v>5741</v>
      </c>
      <c r="D15978" s="183" t="s">
        <v>370</v>
      </c>
      <c r="E15978" s="126">
        <v>800</v>
      </c>
      <c r="F15978" s="126"/>
      <c r="G15978" s="126">
        <f t="shared" si="255"/>
        <v>-800</v>
      </c>
      <c r="H15978" s="705" t="s">
        <v>10324</v>
      </c>
    </row>
    <row r="15979" spans="1:8" s="682" customFormat="1" ht="15" customHeight="1" x14ac:dyDescent="0.25">
      <c r="A15979" s="734">
        <v>45132</v>
      </c>
      <c r="B15979" s="63" t="s">
        <v>9409</v>
      </c>
      <c r="C15979" s="63" t="s">
        <v>392</v>
      </c>
      <c r="D15979" s="183" t="s">
        <v>4966</v>
      </c>
      <c r="E15979" s="126">
        <v>35500</v>
      </c>
      <c r="F15979" s="126"/>
      <c r="G15979" s="126">
        <f t="shared" si="255"/>
        <v>-35500</v>
      </c>
      <c r="H15979" s="705" t="s">
        <v>10324</v>
      </c>
    </row>
    <row r="15980" spans="1:8" s="682" customFormat="1" ht="15" customHeight="1" x14ac:dyDescent="0.25">
      <c r="A15980" s="734">
        <v>45132</v>
      </c>
      <c r="B15980" s="63" t="s">
        <v>9409</v>
      </c>
      <c r="C15980" s="63" t="s">
        <v>10270</v>
      </c>
      <c r="D15980" s="183" t="s">
        <v>10580</v>
      </c>
      <c r="E15980" s="126">
        <v>2000</v>
      </c>
      <c r="F15980" s="126"/>
      <c r="G15980" s="126">
        <f t="shared" si="255"/>
        <v>-2000</v>
      </c>
      <c r="H15980" s="705" t="s">
        <v>10324</v>
      </c>
    </row>
    <row r="15981" spans="1:8" s="682" customFormat="1" ht="15" customHeight="1" x14ac:dyDescent="0.25">
      <c r="A15981" s="734">
        <v>45132</v>
      </c>
      <c r="B15981" s="63" t="s">
        <v>10144</v>
      </c>
      <c r="C15981" s="63" t="s">
        <v>3145</v>
      </c>
      <c r="D15981" s="183" t="s">
        <v>10581</v>
      </c>
      <c r="E15981" s="126">
        <v>49020</v>
      </c>
      <c r="F15981" s="126"/>
      <c r="G15981" s="126">
        <f t="shared" si="255"/>
        <v>-49020</v>
      </c>
      <c r="H15981" s="705" t="s">
        <v>10324</v>
      </c>
    </row>
    <row r="15982" spans="1:8" s="682" customFormat="1" ht="15" customHeight="1" x14ac:dyDescent="0.25">
      <c r="A15982" s="734">
        <v>45132</v>
      </c>
      <c r="B15982" s="63" t="s">
        <v>9356</v>
      </c>
      <c r="C15982" s="63" t="s">
        <v>9460</v>
      </c>
      <c r="D15982" s="183" t="s">
        <v>10582</v>
      </c>
      <c r="E15982" s="126">
        <v>100000</v>
      </c>
      <c r="F15982" s="126"/>
      <c r="G15982" s="126">
        <f t="shared" si="255"/>
        <v>-100000</v>
      </c>
      <c r="H15982" s="705" t="s">
        <v>10324</v>
      </c>
    </row>
    <row r="15983" spans="1:8" s="682" customFormat="1" ht="15" customHeight="1" x14ac:dyDescent="0.25">
      <c r="A15983" s="734">
        <v>45132</v>
      </c>
      <c r="B15983" s="63" t="s">
        <v>9356</v>
      </c>
      <c r="C15983" s="63" t="s">
        <v>3145</v>
      </c>
      <c r="D15983" s="183" t="s">
        <v>10583</v>
      </c>
      <c r="E15983" s="126">
        <v>2850</v>
      </c>
      <c r="F15983" s="126"/>
      <c r="G15983" s="126">
        <f t="shared" si="255"/>
        <v>-2850</v>
      </c>
      <c r="H15983" s="705" t="s">
        <v>10324</v>
      </c>
    </row>
    <row r="15984" spans="1:8" s="682" customFormat="1" ht="15" customHeight="1" x14ac:dyDescent="0.25">
      <c r="A15984" s="734">
        <v>45132</v>
      </c>
      <c r="B15984" s="63" t="s">
        <v>7807</v>
      </c>
      <c r="C15984" s="63" t="s">
        <v>6852</v>
      </c>
      <c r="D15984" s="183" t="s">
        <v>1157</v>
      </c>
      <c r="E15984" s="126">
        <v>10000</v>
      </c>
      <c r="F15984" s="126"/>
      <c r="G15984" s="126">
        <f t="shared" si="255"/>
        <v>-10000</v>
      </c>
      <c r="H15984" s="705" t="s">
        <v>10324</v>
      </c>
    </row>
    <row r="15985" spans="1:8" s="682" customFormat="1" ht="15" customHeight="1" x14ac:dyDescent="0.25">
      <c r="A15985" s="734">
        <v>45132</v>
      </c>
      <c r="B15985" s="63" t="s">
        <v>9769</v>
      </c>
      <c r="C15985" s="63" t="s">
        <v>8900</v>
      </c>
      <c r="D15985" s="183" t="s">
        <v>10416</v>
      </c>
      <c r="E15985" s="126">
        <v>150000</v>
      </c>
      <c r="F15985" s="126"/>
      <c r="G15985" s="126">
        <f t="shared" si="255"/>
        <v>-150000</v>
      </c>
      <c r="H15985" s="705" t="s">
        <v>10324</v>
      </c>
    </row>
    <row r="15986" spans="1:8" s="682" customFormat="1" ht="15" customHeight="1" x14ac:dyDescent="0.25">
      <c r="A15986" s="734">
        <v>45132</v>
      </c>
      <c r="B15986" s="63" t="s">
        <v>10296</v>
      </c>
      <c r="C15986" s="63" t="s">
        <v>3145</v>
      </c>
      <c r="D15986" s="183" t="s">
        <v>10584</v>
      </c>
      <c r="E15986" s="126">
        <v>111560</v>
      </c>
      <c r="F15986" s="126"/>
      <c r="G15986" s="126">
        <f t="shared" si="255"/>
        <v>-111560</v>
      </c>
      <c r="H15986" s="705" t="s">
        <v>10324</v>
      </c>
    </row>
    <row r="15987" spans="1:8" s="682" customFormat="1" ht="24" customHeight="1" x14ac:dyDescent="0.25">
      <c r="A15987" s="734">
        <v>45132</v>
      </c>
      <c r="B15987" s="63" t="s">
        <v>10023</v>
      </c>
      <c r="C15987" s="63" t="s">
        <v>9871</v>
      </c>
      <c r="D15987" s="183" t="s">
        <v>10585</v>
      </c>
      <c r="E15987" s="126">
        <v>47470</v>
      </c>
      <c r="F15987" s="126"/>
      <c r="G15987" s="126">
        <f t="shared" si="255"/>
        <v>-47470</v>
      </c>
      <c r="H15987" s="705" t="s">
        <v>10324</v>
      </c>
    </row>
    <row r="15988" spans="1:8" s="682" customFormat="1" ht="15" customHeight="1" x14ac:dyDescent="0.25">
      <c r="A15988" s="734">
        <v>45132</v>
      </c>
      <c r="B15988" s="63" t="s">
        <v>3946</v>
      </c>
      <c r="C15988" s="63" t="s">
        <v>3145</v>
      </c>
      <c r="D15988" s="183" t="s">
        <v>10588</v>
      </c>
      <c r="E15988" s="126">
        <v>30605</v>
      </c>
      <c r="F15988" s="126"/>
      <c r="G15988" s="126">
        <f t="shared" si="255"/>
        <v>-30605</v>
      </c>
      <c r="H15988" s="705" t="s">
        <v>10324</v>
      </c>
    </row>
    <row r="15989" spans="1:8" s="682" customFormat="1" ht="15" customHeight="1" x14ac:dyDescent="0.25">
      <c r="A15989" s="734">
        <v>45132</v>
      </c>
      <c r="B15989" s="63" t="s">
        <v>16</v>
      </c>
      <c r="C15989" s="63" t="s">
        <v>10589</v>
      </c>
      <c r="D15989" s="183" t="s">
        <v>10590</v>
      </c>
      <c r="E15989" s="126">
        <v>21000</v>
      </c>
      <c r="F15989" s="126"/>
      <c r="G15989" s="126">
        <f t="shared" si="255"/>
        <v>-21000</v>
      </c>
      <c r="H15989" s="705" t="s">
        <v>10324</v>
      </c>
    </row>
    <row r="15990" spans="1:8" s="682" customFormat="1" ht="15" customHeight="1" x14ac:dyDescent="0.25">
      <c r="A15990" s="734">
        <v>45132</v>
      </c>
      <c r="B15990" s="63" t="s">
        <v>10592</v>
      </c>
      <c r="C15990" s="63" t="s">
        <v>3145</v>
      </c>
      <c r="D15990" s="183" t="s">
        <v>10591</v>
      </c>
      <c r="E15990" s="126">
        <v>15816</v>
      </c>
      <c r="F15990" s="126"/>
      <c r="G15990" s="126">
        <f t="shared" si="255"/>
        <v>-15816</v>
      </c>
      <c r="H15990" s="705" t="s">
        <v>10324</v>
      </c>
    </row>
    <row r="15991" spans="1:8" s="682" customFormat="1" ht="15" customHeight="1" x14ac:dyDescent="0.25">
      <c r="A15991" s="734">
        <v>45132</v>
      </c>
      <c r="B15991" s="63" t="s">
        <v>6408</v>
      </c>
      <c r="C15991" s="63" t="s">
        <v>3145</v>
      </c>
      <c r="D15991" s="183" t="s">
        <v>10593</v>
      </c>
      <c r="E15991" s="126">
        <v>40000</v>
      </c>
      <c r="F15991" s="126"/>
      <c r="G15991" s="126">
        <f t="shared" si="255"/>
        <v>-40000</v>
      </c>
      <c r="H15991" s="705" t="s">
        <v>10324</v>
      </c>
    </row>
    <row r="15992" spans="1:8" s="682" customFormat="1" ht="24" customHeight="1" x14ac:dyDescent="0.25">
      <c r="A15992" s="734">
        <v>45132</v>
      </c>
      <c r="B15992" s="63" t="s">
        <v>8876</v>
      </c>
      <c r="C15992" s="63" t="s">
        <v>3145</v>
      </c>
      <c r="D15992" s="183" t="s">
        <v>10594</v>
      </c>
      <c r="E15992" s="126">
        <v>7100</v>
      </c>
      <c r="F15992" s="126"/>
      <c r="G15992" s="126">
        <f t="shared" si="255"/>
        <v>-7100</v>
      </c>
      <c r="H15992" s="705" t="s">
        <v>10324</v>
      </c>
    </row>
    <row r="15993" spans="1:8" s="682" customFormat="1" ht="15" customHeight="1" x14ac:dyDescent="0.25">
      <c r="A15993" s="734">
        <v>45132</v>
      </c>
      <c r="B15993" s="63" t="s">
        <v>9356</v>
      </c>
      <c r="C15993" s="63" t="s">
        <v>3145</v>
      </c>
      <c r="D15993" s="183" t="s">
        <v>9917</v>
      </c>
      <c r="E15993" s="126">
        <v>6360</v>
      </c>
      <c r="F15993" s="126"/>
      <c r="G15993" s="126">
        <f t="shared" si="255"/>
        <v>-6360</v>
      </c>
      <c r="H15993" s="705" t="s">
        <v>10324</v>
      </c>
    </row>
    <row r="15994" spans="1:8" s="682" customFormat="1" ht="24" customHeight="1" x14ac:dyDescent="0.25">
      <c r="A15994" s="734">
        <v>45132</v>
      </c>
      <c r="B15994" s="63" t="s">
        <v>9356</v>
      </c>
      <c r="C15994" s="551" t="s">
        <v>3145</v>
      </c>
      <c r="D15994" s="740" t="s">
        <v>10596</v>
      </c>
      <c r="E15994" s="552">
        <v>57375</v>
      </c>
      <c r="F15994" s="126"/>
      <c r="G15994" s="126">
        <f t="shared" si="255"/>
        <v>-57375</v>
      </c>
      <c r="H15994" s="705" t="s">
        <v>10324</v>
      </c>
    </row>
    <row r="15995" spans="1:8" s="682" customFormat="1" ht="24" customHeight="1" x14ac:dyDescent="0.25">
      <c r="A15995" s="734">
        <v>45132</v>
      </c>
      <c r="B15995" s="63" t="s">
        <v>10296</v>
      </c>
      <c r="C15995" s="551" t="s">
        <v>3145</v>
      </c>
      <c r="D15995" s="740" t="s">
        <v>10596</v>
      </c>
      <c r="E15995" s="552">
        <v>57375</v>
      </c>
      <c r="F15995" s="126"/>
      <c r="G15995" s="126">
        <f t="shared" si="255"/>
        <v>-57375</v>
      </c>
      <c r="H15995" s="705" t="s">
        <v>10324</v>
      </c>
    </row>
    <row r="15996" spans="1:8" s="682" customFormat="1" ht="24" customHeight="1" x14ac:dyDescent="0.25">
      <c r="A15996" s="734">
        <v>45132</v>
      </c>
      <c r="B15996" s="63" t="s">
        <v>9402</v>
      </c>
      <c r="C15996" s="551" t="s">
        <v>3145</v>
      </c>
      <c r="D15996" s="740" t="s">
        <v>10596</v>
      </c>
      <c r="E15996" s="552">
        <v>57375</v>
      </c>
      <c r="F15996" s="126"/>
      <c r="G15996" s="126">
        <f t="shared" si="255"/>
        <v>-57375</v>
      </c>
      <c r="H15996" s="705" t="s">
        <v>10324</v>
      </c>
    </row>
    <row r="15997" spans="1:8" s="682" customFormat="1" ht="24" customHeight="1" x14ac:dyDescent="0.25">
      <c r="A15997" s="734">
        <v>45132</v>
      </c>
      <c r="B15997" s="63" t="s">
        <v>10023</v>
      </c>
      <c r="C15997" s="551" t="s">
        <v>3145</v>
      </c>
      <c r="D15997" s="740" t="s">
        <v>10596</v>
      </c>
      <c r="E15997" s="552">
        <v>57375</v>
      </c>
      <c r="F15997" s="126"/>
      <c r="G15997" s="126">
        <f t="shared" si="255"/>
        <v>-57375</v>
      </c>
      <c r="H15997" s="705" t="s">
        <v>10324</v>
      </c>
    </row>
    <row r="15998" spans="1:8" s="682" customFormat="1" ht="15" customHeight="1" x14ac:dyDescent="0.25">
      <c r="A15998" s="734">
        <v>45132</v>
      </c>
      <c r="B15998" s="63" t="s">
        <v>10379</v>
      </c>
      <c r="C15998" s="670" t="s">
        <v>3145</v>
      </c>
      <c r="D15998" s="907" t="s">
        <v>10601</v>
      </c>
      <c r="E15998" s="672">
        <v>14167</v>
      </c>
      <c r="F15998" s="126"/>
      <c r="G15998" s="126">
        <f t="shared" si="255"/>
        <v>-14167</v>
      </c>
      <c r="H15998" s="705" t="s">
        <v>10324</v>
      </c>
    </row>
    <row r="15999" spans="1:8" s="682" customFormat="1" ht="15" customHeight="1" x14ac:dyDescent="0.25">
      <c r="A15999" s="734">
        <v>45132</v>
      </c>
      <c r="B15999" s="63" t="s">
        <v>8657</v>
      </c>
      <c r="C15999" s="670" t="s">
        <v>3145</v>
      </c>
      <c r="D15999" s="907" t="s">
        <v>10601</v>
      </c>
      <c r="E15999" s="672">
        <v>14167</v>
      </c>
      <c r="F15999" s="126"/>
      <c r="G15999" s="126">
        <f t="shared" ref="G15999:G16062" si="256">F15999-E15999</f>
        <v>-14167</v>
      </c>
      <c r="H15999" s="705" t="s">
        <v>10324</v>
      </c>
    </row>
    <row r="16000" spans="1:8" s="682" customFormat="1" ht="15" customHeight="1" x14ac:dyDescent="0.25">
      <c r="A16000" s="734">
        <v>45132</v>
      </c>
      <c r="B16000" s="63" t="s">
        <v>10296</v>
      </c>
      <c r="C16000" s="670" t="s">
        <v>3145</v>
      </c>
      <c r="D16000" s="907" t="s">
        <v>10601</v>
      </c>
      <c r="E16000" s="672">
        <v>14167</v>
      </c>
      <c r="F16000" s="126"/>
      <c r="G16000" s="126">
        <f t="shared" si="256"/>
        <v>-14167</v>
      </c>
      <c r="H16000" s="705" t="s">
        <v>10324</v>
      </c>
    </row>
    <row r="16001" spans="1:8" s="682" customFormat="1" ht="24" customHeight="1" x14ac:dyDescent="0.25">
      <c r="A16001" s="734">
        <v>45132</v>
      </c>
      <c r="B16001" s="63" t="s">
        <v>10379</v>
      </c>
      <c r="C16001" s="634" t="s">
        <v>3145</v>
      </c>
      <c r="D16001" s="896" t="s">
        <v>10602</v>
      </c>
      <c r="E16001" s="636">
        <v>8000</v>
      </c>
      <c r="F16001" s="126"/>
      <c r="G16001" s="126">
        <f t="shared" si="256"/>
        <v>-8000</v>
      </c>
      <c r="H16001" s="705" t="s">
        <v>10324</v>
      </c>
    </row>
    <row r="16002" spans="1:8" s="682" customFormat="1" ht="24" customHeight="1" x14ac:dyDescent="0.25">
      <c r="A16002" s="734">
        <v>45132</v>
      </c>
      <c r="B16002" s="63" t="s">
        <v>10296</v>
      </c>
      <c r="C16002" s="634" t="s">
        <v>3145</v>
      </c>
      <c r="D16002" s="896" t="s">
        <v>10602</v>
      </c>
      <c r="E16002" s="636">
        <v>8000</v>
      </c>
      <c r="F16002" s="126"/>
      <c r="G16002" s="126">
        <f t="shared" si="256"/>
        <v>-8000</v>
      </c>
      <c r="H16002" s="705" t="s">
        <v>10324</v>
      </c>
    </row>
    <row r="16003" spans="1:8" s="682" customFormat="1" ht="24" customHeight="1" x14ac:dyDescent="0.25">
      <c r="A16003" s="734">
        <v>45132</v>
      </c>
      <c r="B16003" s="63" t="s">
        <v>9402</v>
      </c>
      <c r="C16003" s="634" t="s">
        <v>3145</v>
      </c>
      <c r="D16003" s="896" t="s">
        <v>10602</v>
      </c>
      <c r="E16003" s="636">
        <v>8000</v>
      </c>
      <c r="F16003" s="126"/>
      <c r="G16003" s="126">
        <f t="shared" si="256"/>
        <v>-8000</v>
      </c>
      <c r="H16003" s="705" t="s">
        <v>10324</v>
      </c>
    </row>
    <row r="16004" spans="1:8" s="682" customFormat="1" ht="15" customHeight="1" x14ac:dyDescent="0.25">
      <c r="A16004" s="734">
        <v>45132</v>
      </c>
      <c r="B16004" s="63" t="s">
        <v>10296</v>
      </c>
      <c r="C16004" s="63" t="s">
        <v>3145</v>
      </c>
      <c r="D16004" s="183" t="s">
        <v>10597</v>
      </c>
      <c r="E16004" s="126">
        <v>2000</v>
      </c>
      <c r="F16004" s="126"/>
      <c r="G16004" s="126">
        <f t="shared" si="256"/>
        <v>-2000</v>
      </c>
      <c r="H16004" s="705" t="s">
        <v>10324</v>
      </c>
    </row>
    <row r="16005" spans="1:8" s="682" customFormat="1" ht="15" customHeight="1" x14ac:dyDescent="0.25">
      <c r="A16005" s="734">
        <v>45132</v>
      </c>
      <c r="B16005" s="63" t="s">
        <v>16</v>
      </c>
      <c r="C16005" s="63" t="s">
        <v>392</v>
      </c>
      <c r="D16005" s="183" t="s">
        <v>10598</v>
      </c>
      <c r="E16005" s="126">
        <v>250</v>
      </c>
      <c r="F16005" s="126"/>
      <c r="G16005" s="126">
        <f t="shared" si="256"/>
        <v>-250</v>
      </c>
      <c r="H16005" s="705" t="s">
        <v>10324</v>
      </c>
    </row>
    <row r="16006" spans="1:8" s="682" customFormat="1" ht="15" customHeight="1" x14ac:dyDescent="0.25">
      <c r="A16006" s="734">
        <v>45132</v>
      </c>
      <c r="B16006" s="63" t="s">
        <v>10296</v>
      </c>
      <c r="C16006" s="63" t="s">
        <v>5741</v>
      </c>
      <c r="D16006" s="183" t="s">
        <v>10599</v>
      </c>
      <c r="E16006" s="126">
        <v>300</v>
      </c>
      <c r="F16006" s="126"/>
      <c r="G16006" s="126">
        <f t="shared" si="256"/>
        <v>-300</v>
      </c>
      <c r="H16006" s="705" t="s">
        <v>10324</v>
      </c>
    </row>
    <row r="16007" spans="1:8" s="682" customFormat="1" ht="15" customHeight="1" x14ac:dyDescent="0.25">
      <c r="A16007" s="734">
        <v>45132</v>
      </c>
      <c r="B16007" s="63" t="s">
        <v>10296</v>
      </c>
      <c r="C16007" s="63" t="s">
        <v>5741</v>
      </c>
      <c r="D16007" s="183" t="s">
        <v>370</v>
      </c>
      <c r="E16007" s="126">
        <v>800</v>
      </c>
      <c r="F16007" s="126"/>
      <c r="G16007" s="126">
        <f t="shared" si="256"/>
        <v>-800</v>
      </c>
      <c r="H16007" s="705" t="s">
        <v>10324</v>
      </c>
    </row>
    <row r="16008" spans="1:8" s="682" customFormat="1" ht="15" customHeight="1" x14ac:dyDescent="0.25">
      <c r="A16008" s="734">
        <v>45132</v>
      </c>
      <c r="B16008" s="63" t="s">
        <v>9507</v>
      </c>
      <c r="C16008" s="63" t="s">
        <v>3145</v>
      </c>
      <c r="D16008" s="183" t="s">
        <v>10600</v>
      </c>
      <c r="E16008" s="126">
        <v>4600</v>
      </c>
      <c r="F16008" s="126"/>
      <c r="G16008" s="126">
        <f t="shared" si="256"/>
        <v>-4600</v>
      </c>
      <c r="H16008" s="705" t="s">
        <v>10324</v>
      </c>
    </row>
    <row r="16009" spans="1:8" s="682" customFormat="1" ht="15" customHeight="1" x14ac:dyDescent="0.25">
      <c r="A16009" s="734">
        <v>45132</v>
      </c>
      <c r="B16009" s="63" t="s">
        <v>16</v>
      </c>
      <c r="C16009" s="63" t="s">
        <v>103</v>
      </c>
      <c r="D16009" s="183" t="s">
        <v>10211</v>
      </c>
      <c r="E16009" s="126">
        <v>2000</v>
      </c>
      <c r="F16009" s="126"/>
      <c r="G16009" s="126">
        <f t="shared" si="256"/>
        <v>-2000</v>
      </c>
      <c r="H16009" s="705" t="s">
        <v>10324</v>
      </c>
    </row>
    <row r="16010" spans="1:8" s="682" customFormat="1" ht="15" customHeight="1" x14ac:dyDescent="0.25">
      <c r="A16010" s="734">
        <v>45132</v>
      </c>
      <c r="B16010" s="63" t="s">
        <v>9356</v>
      </c>
      <c r="C16010" s="63" t="s">
        <v>5741</v>
      </c>
      <c r="D16010" s="183" t="s">
        <v>370</v>
      </c>
      <c r="E16010" s="126">
        <v>1200</v>
      </c>
      <c r="F16010" s="126"/>
      <c r="G16010" s="126">
        <f t="shared" si="256"/>
        <v>-1200</v>
      </c>
      <c r="H16010" s="705" t="s">
        <v>10324</v>
      </c>
    </row>
    <row r="16011" spans="1:8" s="682" customFormat="1" ht="15" customHeight="1" x14ac:dyDescent="0.25">
      <c r="A16011" s="734">
        <v>45132</v>
      </c>
      <c r="B16011" s="63" t="s">
        <v>9356</v>
      </c>
      <c r="C16011" s="63" t="s">
        <v>392</v>
      </c>
      <c r="D16011" s="183" t="s">
        <v>10603</v>
      </c>
      <c r="E16011" s="126">
        <v>7000</v>
      </c>
      <c r="F16011" s="126"/>
      <c r="G16011" s="126">
        <f t="shared" si="256"/>
        <v>-7000</v>
      </c>
      <c r="H16011" s="705" t="s">
        <v>10324</v>
      </c>
    </row>
    <row r="16012" spans="1:8" s="682" customFormat="1" ht="15" customHeight="1" x14ac:dyDescent="0.25">
      <c r="A16012" s="734">
        <v>45132</v>
      </c>
      <c r="B16012" s="63" t="s">
        <v>10296</v>
      </c>
      <c r="C16012" s="63" t="s">
        <v>392</v>
      </c>
      <c r="D16012" s="183" t="s">
        <v>10604</v>
      </c>
      <c r="E16012" s="126">
        <v>1900</v>
      </c>
      <c r="F16012" s="126"/>
      <c r="G16012" s="126">
        <f t="shared" si="256"/>
        <v>-1900</v>
      </c>
      <c r="H16012" s="705" t="s">
        <v>10324</v>
      </c>
    </row>
    <row r="16013" spans="1:8" s="682" customFormat="1" ht="15" customHeight="1" x14ac:dyDescent="0.25">
      <c r="A16013" s="734">
        <v>45133</v>
      </c>
      <c r="B16013" s="63" t="s">
        <v>10338</v>
      </c>
      <c r="C16013" s="63" t="s">
        <v>10173</v>
      </c>
      <c r="D16013" s="183" t="s">
        <v>10605</v>
      </c>
      <c r="E16013" s="126">
        <v>250000</v>
      </c>
      <c r="F16013" s="126"/>
      <c r="G16013" s="126">
        <f t="shared" si="256"/>
        <v>-250000</v>
      </c>
      <c r="H16013" s="705" t="s">
        <v>10324</v>
      </c>
    </row>
    <row r="16014" spans="1:8" s="682" customFormat="1" ht="15" customHeight="1" x14ac:dyDescent="0.25">
      <c r="A16014" s="734">
        <v>45133</v>
      </c>
      <c r="B16014" s="63" t="s">
        <v>10338</v>
      </c>
      <c r="C16014" s="63" t="s">
        <v>10173</v>
      </c>
      <c r="D16014" s="183" t="s">
        <v>10605</v>
      </c>
      <c r="E16014" s="126">
        <v>100000</v>
      </c>
      <c r="F16014" s="126"/>
      <c r="G16014" s="126">
        <f t="shared" si="256"/>
        <v>-100000</v>
      </c>
      <c r="H16014" s="705" t="s">
        <v>10324</v>
      </c>
    </row>
    <row r="16015" spans="1:8" s="682" customFormat="1" ht="15" customHeight="1" x14ac:dyDescent="0.25">
      <c r="A16015" s="734">
        <v>45133</v>
      </c>
      <c r="B16015" s="63" t="s">
        <v>9769</v>
      </c>
      <c r="C16015" s="63" t="s">
        <v>1509</v>
      </c>
      <c r="D16015" s="183" t="s">
        <v>10606</v>
      </c>
      <c r="E16015" s="126">
        <v>150000</v>
      </c>
      <c r="F16015" s="126"/>
      <c r="G16015" s="126">
        <f t="shared" si="256"/>
        <v>-150000</v>
      </c>
      <c r="H16015" s="705" t="s">
        <v>10324</v>
      </c>
    </row>
    <row r="16016" spans="1:8" s="682" customFormat="1" ht="15" customHeight="1" x14ac:dyDescent="0.25">
      <c r="A16016" s="734">
        <v>45133</v>
      </c>
      <c r="B16016" s="63" t="s">
        <v>10296</v>
      </c>
      <c r="C16016" s="63" t="s">
        <v>5741</v>
      </c>
      <c r="D16016" s="183" t="s">
        <v>370</v>
      </c>
      <c r="E16016" s="126">
        <v>2400</v>
      </c>
      <c r="F16016" s="126"/>
      <c r="G16016" s="126">
        <f t="shared" si="256"/>
        <v>-2400</v>
      </c>
      <c r="H16016" s="705" t="s">
        <v>10324</v>
      </c>
    </row>
    <row r="16017" spans="1:8" s="682" customFormat="1" ht="15" customHeight="1" x14ac:dyDescent="0.25">
      <c r="A16017" s="734">
        <v>45133</v>
      </c>
      <c r="B16017" s="63" t="s">
        <v>8876</v>
      </c>
      <c r="C16017" s="63" t="s">
        <v>3145</v>
      </c>
      <c r="D16017" s="183" t="s">
        <v>10607</v>
      </c>
      <c r="E16017" s="126">
        <v>13720</v>
      </c>
      <c r="F16017" s="126"/>
      <c r="G16017" s="126">
        <f t="shared" si="256"/>
        <v>-13720</v>
      </c>
      <c r="H16017" s="705" t="s">
        <v>10324</v>
      </c>
    </row>
    <row r="16018" spans="1:8" s="682" customFormat="1" ht="15" customHeight="1" x14ac:dyDescent="0.25">
      <c r="A16018" s="734">
        <v>45133</v>
      </c>
      <c r="B16018" s="63" t="s">
        <v>10296</v>
      </c>
      <c r="C16018" s="63" t="s">
        <v>392</v>
      </c>
      <c r="D16018" s="183" t="s">
        <v>10608</v>
      </c>
      <c r="E16018" s="126">
        <v>1000</v>
      </c>
      <c r="F16018" s="126"/>
      <c r="G16018" s="126">
        <f t="shared" si="256"/>
        <v>-1000</v>
      </c>
      <c r="H16018" s="705" t="s">
        <v>10324</v>
      </c>
    </row>
    <row r="16019" spans="1:8" s="682" customFormat="1" ht="15" customHeight="1" x14ac:dyDescent="0.25">
      <c r="A16019" s="734">
        <v>45133</v>
      </c>
      <c r="B16019" s="63" t="s">
        <v>10242</v>
      </c>
      <c r="C16019" s="63" t="s">
        <v>3145</v>
      </c>
      <c r="D16019" s="183" t="s">
        <v>10609</v>
      </c>
      <c r="E16019" s="126">
        <v>5600</v>
      </c>
      <c r="F16019" s="126"/>
      <c r="G16019" s="126">
        <f t="shared" si="256"/>
        <v>-5600</v>
      </c>
      <c r="H16019" s="705" t="s">
        <v>10324</v>
      </c>
    </row>
    <row r="16020" spans="1:8" s="682" customFormat="1" ht="15" customHeight="1" x14ac:dyDescent="0.25">
      <c r="A16020" s="734">
        <v>45134</v>
      </c>
      <c r="B16020" s="63" t="s">
        <v>25</v>
      </c>
      <c r="C16020" s="63" t="s">
        <v>392</v>
      </c>
      <c r="D16020" s="183" t="s">
        <v>10610</v>
      </c>
      <c r="E16020" s="126">
        <v>20000</v>
      </c>
      <c r="F16020" s="126"/>
      <c r="G16020" s="126">
        <f t="shared" si="256"/>
        <v>-20000</v>
      </c>
      <c r="H16020" s="705" t="s">
        <v>10324</v>
      </c>
    </row>
    <row r="16021" spans="1:8" s="682" customFormat="1" ht="15" customHeight="1" x14ac:dyDescent="0.25">
      <c r="A16021" s="734">
        <v>45134</v>
      </c>
      <c r="B16021" s="63" t="s">
        <v>16</v>
      </c>
      <c r="C16021" s="63" t="s">
        <v>2996</v>
      </c>
      <c r="D16021" s="183" t="s">
        <v>370</v>
      </c>
      <c r="E16021" s="126">
        <v>4670</v>
      </c>
      <c r="F16021" s="126"/>
      <c r="G16021" s="126">
        <f t="shared" si="256"/>
        <v>-4670</v>
      </c>
      <c r="H16021" s="705" t="s">
        <v>10324</v>
      </c>
    </row>
    <row r="16022" spans="1:8" s="682" customFormat="1" ht="15" customHeight="1" x14ac:dyDescent="0.25">
      <c r="A16022" s="734">
        <v>45134</v>
      </c>
      <c r="B16022" s="63" t="s">
        <v>9832</v>
      </c>
      <c r="C16022" s="63" t="s">
        <v>5387</v>
      </c>
      <c r="D16022" s="183" t="s">
        <v>10611</v>
      </c>
      <c r="E16022" s="126">
        <v>6000</v>
      </c>
      <c r="F16022" s="126"/>
      <c r="G16022" s="126">
        <f t="shared" si="256"/>
        <v>-6000</v>
      </c>
      <c r="H16022" s="705" t="s">
        <v>10324</v>
      </c>
    </row>
    <row r="16023" spans="1:8" s="682" customFormat="1" ht="15" customHeight="1" x14ac:dyDescent="0.25">
      <c r="A16023" s="734">
        <v>45134</v>
      </c>
      <c r="B16023" s="63" t="s">
        <v>10242</v>
      </c>
      <c r="C16023" s="63" t="s">
        <v>3145</v>
      </c>
      <c r="D16023" s="183" t="s">
        <v>10619</v>
      </c>
      <c r="E16023" s="126">
        <v>2500</v>
      </c>
      <c r="F16023" s="126"/>
      <c r="G16023" s="126">
        <f t="shared" si="256"/>
        <v>-2500</v>
      </c>
      <c r="H16023" s="705" t="s">
        <v>10324</v>
      </c>
    </row>
    <row r="16024" spans="1:8" s="682" customFormat="1" ht="15" customHeight="1" x14ac:dyDescent="0.25">
      <c r="A16024" s="734">
        <v>45134</v>
      </c>
      <c r="B16024" s="63" t="s">
        <v>10296</v>
      </c>
      <c r="C16024" s="63" t="s">
        <v>5741</v>
      </c>
      <c r="D16024" s="183" t="s">
        <v>370</v>
      </c>
      <c r="E16024" s="126">
        <v>600</v>
      </c>
      <c r="F16024" s="126"/>
      <c r="G16024" s="126">
        <f t="shared" si="256"/>
        <v>-600</v>
      </c>
      <c r="H16024" s="705" t="s">
        <v>10324</v>
      </c>
    </row>
    <row r="16025" spans="1:8" s="682" customFormat="1" ht="15" customHeight="1" x14ac:dyDescent="0.25">
      <c r="A16025" s="734">
        <v>45134</v>
      </c>
      <c r="B16025" s="63" t="s">
        <v>9402</v>
      </c>
      <c r="C16025" s="63" t="s">
        <v>5741</v>
      </c>
      <c r="D16025" s="183" t="s">
        <v>370</v>
      </c>
      <c r="E16025" s="126">
        <v>600</v>
      </c>
      <c r="F16025" s="126"/>
      <c r="G16025" s="126">
        <f t="shared" si="256"/>
        <v>-600</v>
      </c>
      <c r="H16025" s="705" t="s">
        <v>10324</v>
      </c>
    </row>
    <row r="16026" spans="1:8" s="682" customFormat="1" ht="15" customHeight="1" x14ac:dyDescent="0.25">
      <c r="A16026" s="734">
        <v>45134</v>
      </c>
      <c r="B16026" s="63" t="s">
        <v>9356</v>
      </c>
      <c r="C16026" s="63" t="s">
        <v>10518</v>
      </c>
      <c r="D16026" s="183" t="s">
        <v>10612</v>
      </c>
      <c r="E16026" s="126">
        <v>1500</v>
      </c>
      <c r="F16026" s="126"/>
      <c r="G16026" s="126">
        <f t="shared" si="256"/>
        <v>-1500</v>
      </c>
      <c r="H16026" s="705" t="s">
        <v>10324</v>
      </c>
    </row>
    <row r="16027" spans="1:8" s="682" customFormat="1" ht="15" customHeight="1" x14ac:dyDescent="0.25">
      <c r="A16027" s="734">
        <v>45134</v>
      </c>
      <c r="B16027" s="63" t="s">
        <v>2933</v>
      </c>
      <c r="C16027" s="63" t="s">
        <v>10613</v>
      </c>
      <c r="D16027" s="183" t="s">
        <v>10614</v>
      </c>
      <c r="E16027" s="126">
        <v>48730</v>
      </c>
      <c r="F16027" s="126"/>
      <c r="G16027" s="126">
        <f t="shared" si="256"/>
        <v>-48730</v>
      </c>
      <c r="H16027" s="705" t="s">
        <v>10324</v>
      </c>
    </row>
    <row r="16028" spans="1:8" s="682" customFormat="1" ht="15" customHeight="1" x14ac:dyDescent="0.25">
      <c r="A16028" s="734">
        <v>45134</v>
      </c>
      <c r="B16028" s="63" t="s">
        <v>10379</v>
      </c>
      <c r="C16028" s="63" t="s">
        <v>10615</v>
      </c>
      <c r="D16028" s="183" t="s">
        <v>10219</v>
      </c>
      <c r="E16028" s="126">
        <v>10000</v>
      </c>
      <c r="F16028" s="126"/>
      <c r="G16028" s="126">
        <f t="shared" si="256"/>
        <v>-10000</v>
      </c>
      <c r="H16028" s="705" t="s">
        <v>10324</v>
      </c>
    </row>
    <row r="16029" spans="1:8" s="682" customFormat="1" ht="15" customHeight="1" x14ac:dyDescent="0.25">
      <c r="A16029" s="734">
        <v>45134</v>
      </c>
      <c r="B16029" s="63" t="s">
        <v>10379</v>
      </c>
      <c r="C16029" s="63" t="s">
        <v>3446</v>
      </c>
      <c r="D16029" s="183" t="s">
        <v>10219</v>
      </c>
      <c r="E16029" s="126">
        <v>30000</v>
      </c>
      <c r="F16029" s="126"/>
      <c r="G16029" s="126">
        <f t="shared" si="256"/>
        <v>-30000</v>
      </c>
      <c r="H16029" s="705" t="s">
        <v>10324</v>
      </c>
    </row>
    <row r="16030" spans="1:8" s="682" customFormat="1" ht="15" customHeight="1" x14ac:dyDescent="0.25">
      <c r="A16030" s="734">
        <v>45135</v>
      </c>
      <c r="B16030" s="63" t="s">
        <v>10379</v>
      </c>
      <c r="C16030" s="63" t="s">
        <v>3446</v>
      </c>
      <c r="D16030" s="183" t="s">
        <v>10616</v>
      </c>
      <c r="E16030" s="126">
        <v>10000</v>
      </c>
      <c r="F16030" s="126"/>
      <c r="G16030" s="126">
        <f t="shared" si="256"/>
        <v>-10000</v>
      </c>
      <c r="H16030" s="705" t="s">
        <v>10324</v>
      </c>
    </row>
    <row r="16031" spans="1:8" s="682" customFormat="1" ht="15" customHeight="1" x14ac:dyDescent="0.25">
      <c r="A16031" s="734">
        <v>45138</v>
      </c>
      <c r="B16031" s="63" t="s">
        <v>9769</v>
      </c>
      <c r="C16031" s="63" t="s">
        <v>5741</v>
      </c>
      <c r="D16031" s="183" t="s">
        <v>10337</v>
      </c>
      <c r="E16031" s="126">
        <v>250</v>
      </c>
      <c r="F16031" s="126"/>
      <c r="G16031" s="126">
        <f t="shared" si="256"/>
        <v>-250</v>
      </c>
      <c r="H16031" s="705" t="s">
        <v>10324</v>
      </c>
    </row>
    <row r="16032" spans="1:8" s="682" customFormat="1" ht="15" customHeight="1" x14ac:dyDescent="0.25">
      <c r="A16032" s="734">
        <v>45138</v>
      </c>
      <c r="B16032" s="63" t="s">
        <v>16</v>
      </c>
      <c r="C16032" s="63" t="s">
        <v>103</v>
      </c>
      <c r="D16032" s="183" t="s">
        <v>10211</v>
      </c>
      <c r="E16032" s="126">
        <v>2000</v>
      </c>
      <c r="F16032" s="126"/>
      <c r="G16032" s="126">
        <f t="shared" si="256"/>
        <v>-2000</v>
      </c>
      <c r="H16032" s="705" t="s">
        <v>10324</v>
      </c>
    </row>
    <row r="16033" spans="1:8" s="682" customFormat="1" ht="15" customHeight="1" x14ac:dyDescent="0.25">
      <c r="A16033" s="734">
        <v>45138</v>
      </c>
      <c r="B16033" s="63" t="s">
        <v>10296</v>
      </c>
      <c r="C16033" s="63" t="s">
        <v>286</v>
      </c>
      <c r="D16033" s="183" t="s">
        <v>8663</v>
      </c>
      <c r="E16033" s="126">
        <v>1400</v>
      </c>
      <c r="F16033" s="126"/>
      <c r="G16033" s="126">
        <f t="shared" si="256"/>
        <v>-1400</v>
      </c>
      <c r="H16033" s="705" t="s">
        <v>10324</v>
      </c>
    </row>
    <row r="16034" spans="1:8" s="682" customFormat="1" ht="15" customHeight="1" x14ac:dyDescent="0.25">
      <c r="A16034" s="734">
        <v>45138</v>
      </c>
      <c r="B16034" s="63" t="s">
        <v>10232</v>
      </c>
      <c r="C16034" s="63" t="s">
        <v>3145</v>
      </c>
      <c r="D16034" s="183" t="s">
        <v>2272</v>
      </c>
      <c r="E16034" s="126">
        <v>30724</v>
      </c>
      <c r="F16034" s="126"/>
      <c r="G16034" s="126">
        <f t="shared" si="256"/>
        <v>-30724</v>
      </c>
      <c r="H16034" s="705" t="s">
        <v>10657</v>
      </c>
    </row>
    <row r="16035" spans="1:8" s="682" customFormat="1" ht="15" customHeight="1" x14ac:dyDescent="0.25">
      <c r="A16035" s="734">
        <v>45138</v>
      </c>
      <c r="B16035" s="63" t="s">
        <v>10296</v>
      </c>
      <c r="C16035" s="63" t="s">
        <v>3145</v>
      </c>
      <c r="D16035" s="183" t="s">
        <v>2272</v>
      </c>
      <c r="E16035" s="126">
        <v>6350</v>
      </c>
      <c r="F16035" s="126"/>
      <c r="G16035" s="126">
        <f t="shared" si="256"/>
        <v>-6350</v>
      </c>
      <c r="H16035" s="705" t="s">
        <v>10658</v>
      </c>
    </row>
    <row r="16036" spans="1:8" s="682" customFormat="1" ht="15" customHeight="1" x14ac:dyDescent="0.25">
      <c r="A16036" s="734">
        <v>45138</v>
      </c>
      <c r="B16036" s="63" t="s">
        <v>10379</v>
      </c>
      <c r="C16036" s="63" t="s">
        <v>3145</v>
      </c>
      <c r="D16036" s="183" t="s">
        <v>2272</v>
      </c>
      <c r="E16036" s="126">
        <v>22890</v>
      </c>
      <c r="F16036" s="126"/>
      <c r="G16036" s="126">
        <f t="shared" si="256"/>
        <v>-22890</v>
      </c>
      <c r="H16036" s="705" t="s">
        <v>10659</v>
      </c>
    </row>
    <row r="16037" spans="1:8" s="682" customFormat="1" ht="15" customHeight="1" x14ac:dyDescent="0.25">
      <c r="A16037" s="734">
        <v>45138</v>
      </c>
      <c r="B16037" s="63" t="s">
        <v>10338</v>
      </c>
      <c r="C16037" s="63" t="s">
        <v>3145</v>
      </c>
      <c r="D16037" s="183" t="s">
        <v>10631</v>
      </c>
      <c r="E16037" s="126">
        <v>4000</v>
      </c>
      <c r="F16037" s="126"/>
      <c r="G16037" s="126">
        <f t="shared" si="256"/>
        <v>-4000</v>
      </c>
      <c r="H16037" s="705" t="s">
        <v>10660</v>
      </c>
    </row>
    <row r="16038" spans="1:8" s="682" customFormat="1" ht="15" customHeight="1" x14ac:dyDescent="0.25">
      <c r="A16038" s="734">
        <v>45138</v>
      </c>
      <c r="B16038" s="63" t="s">
        <v>9507</v>
      </c>
      <c r="C16038" s="63" t="s">
        <v>5741</v>
      </c>
      <c r="D16038" s="183" t="s">
        <v>10337</v>
      </c>
      <c r="E16038" s="126">
        <v>600</v>
      </c>
      <c r="F16038" s="126"/>
      <c r="G16038" s="126">
        <f t="shared" si="256"/>
        <v>-600</v>
      </c>
      <c r="H16038" s="705" t="s">
        <v>10661</v>
      </c>
    </row>
    <row r="16039" spans="1:8" s="682" customFormat="1" ht="15" customHeight="1" x14ac:dyDescent="0.25">
      <c r="A16039" s="734">
        <v>45138</v>
      </c>
      <c r="B16039" s="63" t="s">
        <v>9507</v>
      </c>
      <c r="C16039" s="63" t="s">
        <v>9549</v>
      </c>
      <c r="D16039" s="183" t="s">
        <v>10632</v>
      </c>
      <c r="E16039" s="126">
        <v>15000</v>
      </c>
      <c r="F16039" s="126"/>
      <c r="G16039" s="126">
        <f t="shared" si="256"/>
        <v>-15000</v>
      </c>
      <c r="H16039" s="705" t="s">
        <v>10662</v>
      </c>
    </row>
    <row r="16040" spans="1:8" s="682" customFormat="1" ht="15" customHeight="1" x14ac:dyDescent="0.25">
      <c r="A16040" s="734">
        <v>45138</v>
      </c>
      <c r="B16040" s="63" t="s">
        <v>8559</v>
      </c>
      <c r="C16040" s="63" t="s">
        <v>63</v>
      </c>
      <c r="D16040" s="183" t="s">
        <v>10633</v>
      </c>
      <c r="E16040" s="126">
        <v>10000</v>
      </c>
      <c r="F16040" s="126"/>
      <c r="G16040" s="126">
        <f t="shared" si="256"/>
        <v>-10000</v>
      </c>
      <c r="H16040" s="705" t="s">
        <v>10663</v>
      </c>
    </row>
    <row r="16041" spans="1:8" s="682" customFormat="1" ht="15" customHeight="1" x14ac:dyDescent="0.25">
      <c r="A16041" s="734">
        <v>45138</v>
      </c>
      <c r="B16041" s="63" t="s">
        <v>10232</v>
      </c>
      <c r="C16041" s="63" t="s">
        <v>5741</v>
      </c>
      <c r="D16041" s="183" t="s">
        <v>370</v>
      </c>
      <c r="E16041" s="126">
        <v>1400</v>
      </c>
      <c r="F16041" s="126"/>
      <c r="G16041" s="126">
        <f t="shared" si="256"/>
        <v>-1400</v>
      </c>
      <c r="H16041" s="705" t="s">
        <v>10664</v>
      </c>
    </row>
    <row r="16042" spans="1:8" ht="24" x14ac:dyDescent="0.2">
      <c r="A16042" s="733">
        <v>45112</v>
      </c>
      <c r="B16042" s="174" t="s">
        <v>8657</v>
      </c>
      <c r="C16042" s="174" t="s">
        <v>8394</v>
      </c>
      <c r="D16042" s="228" t="s">
        <v>10325</v>
      </c>
      <c r="E16042" s="236">
        <v>100000</v>
      </c>
      <c r="F16042" s="236"/>
      <c r="G16042" s="236">
        <f t="shared" si="256"/>
        <v>-100000</v>
      </c>
      <c r="H16042" s="709" t="s">
        <v>10324</v>
      </c>
    </row>
    <row r="16043" spans="1:8" ht="24" x14ac:dyDescent="0.2">
      <c r="A16043" s="733">
        <v>45112</v>
      </c>
      <c r="B16043" s="174" t="s">
        <v>10242</v>
      </c>
      <c r="C16043" s="174" t="s">
        <v>8394</v>
      </c>
      <c r="D16043" s="228" t="s">
        <v>10325</v>
      </c>
      <c r="E16043" s="236">
        <v>200000</v>
      </c>
      <c r="F16043" s="236"/>
      <c r="G16043" s="236">
        <f t="shared" si="256"/>
        <v>-200000</v>
      </c>
      <c r="H16043" s="709" t="s">
        <v>10324</v>
      </c>
    </row>
    <row r="16044" spans="1:8" ht="24" x14ac:dyDescent="0.2">
      <c r="A16044" s="733">
        <v>45112</v>
      </c>
      <c r="B16044" s="174" t="s">
        <v>9356</v>
      </c>
      <c r="C16044" s="174" t="s">
        <v>8394</v>
      </c>
      <c r="D16044" s="228" t="s">
        <v>10325</v>
      </c>
      <c r="E16044" s="236">
        <v>270000</v>
      </c>
      <c r="F16044" s="236"/>
      <c r="G16044" s="236">
        <f t="shared" si="256"/>
        <v>-270000</v>
      </c>
      <c r="H16044" s="709" t="s">
        <v>10324</v>
      </c>
    </row>
    <row r="16045" spans="1:8" ht="24" x14ac:dyDescent="0.2">
      <c r="A16045" s="733">
        <v>45112</v>
      </c>
      <c r="B16045" s="174" t="s">
        <v>9661</v>
      </c>
      <c r="C16045" s="174" t="s">
        <v>8394</v>
      </c>
      <c r="D16045" s="228" t="s">
        <v>10325</v>
      </c>
      <c r="E16045" s="236">
        <v>430000</v>
      </c>
      <c r="F16045" s="236"/>
      <c r="G16045" s="236">
        <f t="shared" si="256"/>
        <v>-430000</v>
      </c>
      <c r="H16045" s="709" t="s">
        <v>10324</v>
      </c>
    </row>
    <row r="16046" spans="1:8" ht="24" x14ac:dyDescent="0.2">
      <c r="A16046" s="733">
        <v>45112</v>
      </c>
      <c r="B16046" s="174" t="s">
        <v>10144</v>
      </c>
      <c r="C16046" s="174" t="s">
        <v>8394</v>
      </c>
      <c r="D16046" s="228" t="s">
        <v>10325</v>
      </c>
      <c r="E16046" s="236">
        <v>50000</v>
      </c>
      <c r="F16046" s="236"/>
      <c r="G16046" s="236">
        <f t="shared" si="256"/>
        <v>-50000</v>
      </c>
      <c r="H16046" s="709" t="s">
        <v>10324</v>
      </c>
    </row>
    <row r="16047" spans="1:8" ht="15" x14ac:dyDescent="0.2">
      <c r="A16047" s="733">
        <v>45113</v>
      </c>
      <c r="B16047" s="174" t="s">
        <v>3946</v>
      </c>
      <c r="C16047" s="670" t="s">
        <v>3003</v>
      </c>
      <c r="D16047" s="907" t="s">
        <v>10326</v>
      </c>
      <c r="E16047" s="672">
        <v>35352</v>
      </c>
      <c r="F16047" s="236"/>
      <c r="G16047" s="236">
        <f t="shared" si="256"/>
        <v>-35352</v>
      </c>
      <c r="H16047" s="709" t="s">
        <v>10324</v>
      </c>
    </row>
    <row r="16048" spans="1:8" ht="15" x14ac:dyDescent="0.2">
      <c r="A16048" s="733">
        <v>45113</v>
      </c>
      <c r="B16048" s="174" t="s">
        <v>3945</v>
      </c>
      <c r="C16048" s="670" t="s">
        <v>3003</v>
      </c>
      <c r="D16048" s="907" t="s">
        <v>10326</v>
      </c>
      <c r="E16048" s="672">
        <v>32760</v>
      </c>
      <c r="F16048" s="236"/>
      <c r="G16048" s="236">
        <f t="shared" si="256"/>
        <v>-32760</v>
      </c>
      <c r="H16048" s="709" t="s">
        <v>10324</v>
      </c>
    </row>
    <row r="16049" spans="1:8" ht="15" x14ac:dyDescent="0.2">
      <c r="A16049" s="733">
        <v>45113</v>
      </c>
      <c r="B16049" s="174" t="s">
        <v>9409</v>
      </c>
      <c r="C16049" s="670" t="s">
        <v>3003</v>
      </c>
      <c r="D16049" s="907" t="s">
        <v>10326</v>
      </c>
      <c r="E16049" s="672">
        <v>97105</v>
      </c>
      <c r="F16049" s="236"/>
      <c r="G16049" s="236">
        <f t="shared" si="256"/>
        <v>-97105</v>
      </c>
      <c r="H16049" s="709" t="s">
        <v>10324</v>
      </c>
    </row>
    <row r="16050" spans="1:8" ht="15" x14ac:dyDescent="0.2">
      <c r="A16050" s="733">
        <v>45113</v>
      </c>
      <c r="B16050" s="174" t="s">
        <v>37</v>
      </c>
      <c r="C16050" s="670" t="s">
        <v>3003</v>
      </c>
      <c r="D16050" s="907" t="s">
        <v>10326</v>
      </c>
      <c r="E16050" s="672">
        <v>15560</v>
      </c>
      <c r="F16050" s="236"/>
      <c r="G16050" s="236">
        <f t="shared" si="256"/>
        <v>-15560</v>
      </c>
      <c r="H16050" s="709" t="s">
        <v>10324</v>
      </c>
    </row>
    <row r="16051" spans="1:8" ht="15" x14ac:dyDescent="0.2">
      <c r="A16051" s="733">
        <v>45113</v>
      </c>
      <c r="B16051" s="174" t="s">
        <v>37</v>
      </c>
      <c r="C16051" s="670" t="s">
        <v>3003</v>
      </c>
      <c r="D16051" s="907" t="s">
        <v>10326</v>
      </c>
      <c r="E16051" s="672">
        <v>15560</v>
      </c>
      <c r="F16051" s="236"/>
      <c r="G16051" s="236">
        <f t="shared" si="256"/>
        <v>-15560</v>
      </c>
      <c r="H16051" s="709" t="s">
        <v>10324</v>
      </c>
    </row>
    <row r="16052" spans="1:8" s="682" customFormat="1" ht="24" customHeight="1" x14ac:dyDescent="0.25">
      <c r="A16052" s="733">
        <v>45113</v>
      </c>
      <c r="B16052" s="174" t="s">
        <v>9832</v>
      </c>
      <c r="C16052" s="174" t="s">
        <v>9869</v>
      </c>
      <c r="D16052" s="228" t="s">
        <v>10327</v>
      </c>
      <c r="E16052" s="236">
        <v>985000</v>
      </c>
      <c r="F16052" s="236"/>
      <c r="G16052" s="236">
        <f t="shared" si="256"/>
        <v>-985000</v>
      </c>
      <c r="H16052" s="709" t="s">
        <v>10324</v>
      </c>
    </row>
    <row r="16053" spans="1:8" ht="15" x14ac:dyDescent="0.2">
      <c r="A16053" s="733">
        <v>45113</v>
      </c>
      <c r="B16053" s="122" t="s">
        <v>10232</v>
      </c>
      <c r="C16053" s="122" t="s">
        <v>8792</v>
      </c>
      <c r="D16053" s="228" t="s">
        <v>10328</v>
      </c>
      <c r="E16053" s="123">
        <v>200000</v>
      </c>
      <c r="F16053" s="123"/>
      <c r="G16053" s="123">
        <f t="shared" si="256"/>
        <v>-200000</v>
      </c>
      <c r="H16053" s="709" t="s">
        <v>10324</v>
      </c>
    </row>
    <row r="16054" spans="1:8" ht="24" x14ac:dyDescent="0.2">
      <c r="A16054" s="733">
        <v>45120</v>
      </c>
      <c r="B16054" s="174" t="s">
        <v>10232</v>
      </c>
      <c r="C16054" s="174" t="s">
        <v>10445</v>
      </c>
      <c r="D16054" s="228" t="s">
        <v>10446</v>
      </c>
      <c r="E16054" s="236">
        <v>975000</v>
      </c>
      <c r="F16054" s="236"/>
      <c r="G16054" s="236">
        <f t="shared" si="256"/>
        <v>-975000</v>
      </c>
      <c r="H16054" s="709" t="s">
        <v>10324</v>
      </c>
    </row>
    <row r="16055" spans="1:8" ht="15" x14ac:dyDescent="0.2">
      <c r="A16055" s="733">
        <v>45124</v>
      </c>
      <c r="B16055" s="174" t="s">
        <v>9661</v>
      </c>
      <c r="C16055" s="670" t="s">
        <v>166</v>
      </c>
      <c r="D16055" s="907" t="s">
        <v>10480</v>
      </c>
      <c r="E16055" s="672">
        <v>64100</v>
      </c>
      <c r="F16055" s="236"/>
      <c r="G16055" s="236">
        <f t="shared" si="256"/>
        <v>-64100</v>
      </c>
      <c r="H16055" s="709" t="s">
        <v>10324</v>
      </c>
    </row>
    <row r="16056" spans="1:8" ht="15" x14ac:dyDescent="0.2">
      <c r="A16056" s="733">
        <v>45124</v>
      </c>
      <c r="B16056" s="174" t="s">
        <v>9769</v>
      </c>
      <c r="C16056" s="670" t="s">
        <v>166</v>
      </c>
      <c r="D16056" s="907" t="s">
        <v>10480</v>
      </c>
      <c r="E16056" s="672">
        <v>66000</v>
      </c>
      <c r="F16056" s="236"/>
      <c r="G16056" s="236">
        <f t="shared" si="256"/>
        <v>-66000</v>
      </c>
      <c r="H16056" s="709" t="s">
        <v>10324</v>
      </c>
    </row>
    <row r="16057" spans="1:8" ht="15" x14ac:dyDescent="0.2">
      <c r="A16057" s="733">
        <v>45124</v>
      </c>
      <c r="B16057" s="174" t="s">
        <v>9967</v>
      </c>
      <c r="C16057" s="670" t="s">
        <v>166</v>
      </c>
      <c r="D16057" s="907" t="s">
        <v>10480</v>
      </c>
      <c r="E16057" s="672">
        <v>15800</v>
      </c>
      <c r="F16057" s="236"/>
      <c r="G16057" s="236">
        <f t="shared" si="256"/>
        <v>-15800</v>
      </c>
      <c r="H16057" s="709" t="s">
        <v>10324</v>
      </c>
    </row>
    <row r="16058" spans="1:8" ht="15" x14ac:dyDescent="0.2">
      <c r="A16058" s="733">
        <v>45124</v>
      </c>
      <c r="B16058" s="174" t="s">
        <v>10338</v>
      </c>
      <c r="C16058" s="670" t="s">
        <v>166</v>
      </c>
      <c r="D16058" s="907" t="s">
        <v>10480</v>
      </c>
      <c r="E16058" s="672">
        <v>13260</v>
      </c>
      <c r="F16058" s="236"/>
      <c r="G16058" s="236">
        <f t="shared" si="256"/>
        <v>-13260</v>
      </c>
      <c r="H16058" s="709" t="s">
        <v>10324</v>
      </c>
    </row>
    <row r="16059" spans="1:8" ht="15" x14ac:dyDescent="0.2">
      <c r="A16059" s="733">
        <v>45124</v>
      </c>
      <c r="B16059" s="174" t="s">
        <v>8657</v>
      </c>
      <c r="C16059" s="670" t="s">
        <v>166</v>
      </c>
      <c r="D16059" s="907" t="s">
        <v>10480</v>
      </c>
      <c r="E16059" s="672">
        <v>290840</v>
      </c>
      <c r="F16059" s="236"/>
      <c r="G16059" s="236">
        <f t="shared" si="256"/>
        <v>-290840</v>
      </c>
      <c r="H16059" s="709" t="s">
        <v>10324</v>
      </c>
    </row>
    <row r="16060" spans="1:8" ht="15" x14ac:dyDescent="0.2">
      <c r="A16060" s="733">
        <v>45124</v>
      </c>
      <c r="B16060" s="174" t="s">
        <v>9769</v>
      </c>
      <c r="C16060" s="174" t="s">
        <v>8071</v>
      </c>
      <c r="D16060" s="228" t="s">
        <v>10481</v>
      </c>
      <c r="E16060" s="236">
        <v>96000</v>
      </c>
      <c r="F16060" s="236"/>
      <c r="G16060" s="236">
        <f t="shared" si="256"/>
        <v>-96000</v>
      </c>
      <c r="H16060" s="709" t="s">
        <v>10324</v>
      </c>
    </row>
    <row r="16061" spans="1:8" ht="15" x14ac:dyDescent="0.2">
      <c r="A16061" s="733">
        <v>45131</v>
      </c>
      <c r="B16061" s="174" t="s">
        <v>8876</v>
      </c>
      <c r="C16061" s="174" t="s">
        <v>7467</v>
      </c>
      <c r="D16061" s="228" t="s">
        <v>10485</v>
      </c>
      <c r="E16061" s="236">
        <v>385000</v>
      </c>
      <c r="F16061" s="236"/>
      <c r="G16061" s="236">
        <f t="shared" si="256"/>
        <v>-385000</v>
      </c>
      <c r="H16061" s="709" t="s">
        <v>10324</v>
      </c>
    </row>
    <row r="16062" spans="1:8" ht="15" x14ac:dyDescent="0.2">
      <c r="A16062" s="733">
        <v>45131</v>
      </c>
      <c r="B16062" s="174" t="s">
        <v>3946</v>
      </c>
      <c r="C16062" s="174" t="s">
        <v>10617</v>
      </c>
      <c r="D16062" s="228" t="s">
        <v>10618</v>
      </c>
      <c r="E16062" s="236">
        <v>250000</v>
      </c>
      <c r="F16062" s="236"/>
      <c r="G16062" s="236">
        <f t="shared" si="256"/>
        <v>-250000</v>
      </c>
      <c r="H16062" s="709" t="s">
        <v>10324</v>
      </c>
    </row>
    <row r="16063" spans="1:8" ht="15" x14ac:dyDescent="0.2">
      <c r="A16063" s="730">
        <v>45118</v>
      </c>
      <c r="B16063" s="91" t="s">
        <v>3946</v>
      </c>
      <c r="C16063" s="94" t="s">
        <v>559</v>
      </c>
      <c r="D16063" s="892" t="s">
        <v>10359</v>
      </c>
      <c r="E16063" s="92"/>
      <c r="F16063" s="92">
        <v>359992</v>
      </c>
      <c r="G16063" s="92">
        <f t="shared" ref="G16063:G16126" si="257">F16063-E16063</f>
        <v>359992</v>
      </c>
      <c r="H16063" s="702" t="s">
        <v>10324</v>
      </c>
    </row>
    <row r="16064" spans="1:8" ht="15" x14ac:dyDescent="0.2">
      <c r="A16064" s="730">
        <v>45118</v>
      </c>
      <c r="B16064" s="91" t="s">
        <v>10338</v>
      </c>
      <c r="C16064" s="94" t="s">
        <v>559</v>
      </c>
      <c r="D16064" s="801" t="s">
        <v>8767</v>
      </c>
      <c r="E16064" s="92"/>
      <c r="F16064" s="92">
        <v>2316250</v>
      </c>
      <c r="G16064" s="92">
        <f t="shared" si="257"/>
        <v>2316250</v>
      </c>
      <c r="H16064" s="702" t="s">
        <v>10324</v>
      </c>
    </row>
    <row r="16065" spans="1:10" ht="15" x14ac:dyDescent="0.2">
      <c r="A16065" s="730">
        <v>45118</v>
      </c>
      <c r="B16065" s="91" t="s">
        <v>7953</v>
      </c>
      <c r="C16065" s="94" t="s">
        <v>559</v>
      </c>
      <c r="D16065" s="801" t="s">
        <v>10360</v>
      </c>
      <c r="E16065" s="92"/>
      <c r="F16065" s="92">
        <v>500000</v>
      </c>
      <c r="G16065" s="92">
        <f t="shared" si="257"/>
        <v>500000</v>
      </c>
      <c r="H16065" s="702" t="s">
        <v>10324</v>
      </c>
    </row>
    <row r="16066" spans="1:10" ht="15" x14ac:dyDescent="0.2">
      <c r="A16066" s="730">
        <v>45118</v>
      </c>
      <c r="B16066" s="91" t="s">
        <v>10338</v>
      </c>
      <c r="C16066" s="94" t="s">
        <v>559</v>
      </c>
      <c r="D16066" s="801" t="s">
        <v>10566</v>
      </c>
      <c r="E16066" s="92">
        <v>18163</v>
      </c>
      <c r="F16066" s="92"/>
      <c r="G16066" s="92">
        <f t="shared" si="257"/>
        <v>-18163</v>
      </c>
      <c r="H16066" s="702" t="s">
        <v>10324</v>
      </c>
    </row>
    <row r="16067" spans="1:10" ht="15" x14ac:dyDescent="0.2">
      <c r="A16067" s="730">
        <v>45118</v>
      </c>
      <c r="B16067" s="91" t="s">
        <v>7953</v>
      </c>
      <c r="C16067" s="94" t="s">
        <v>559</v>
      </c>
      <c r="D16067" s="801" t="s">
        <v>10361</v>
      </c>
      <c r="E16067" s="92"/>
      <c r="F16067" s="92">
        <v>500000</v>
      </c>
      <c r="G16067" s="92">
        <f t="shared" si="257"/>
        <v>500000</v>
      </c>
      <c r="H16067" s="702" t="s">
        <v>10324</v>
      </c>
    </row>
    <row r="16068" spans="1:10" ht="15" x14ac:dyDescent="0.2">
      <c r="A16068" s="730">
        <v>45119</v>
      </c>
      <c r="B16068" s="91" t="s">
        <v>37</v>
      </c>
      <c r="C16068" s="94" t="s">
        <v>559</v>
      </c>
      <c r="D16068" s="892" t="s">
        <v>10397</v>
      </c>
      <c r="E16068" s="92"/>
      <c r="F16068" s="92">
        <v>188568</v>
      </c>
      <c r="G16068" s="176">
        <f t="shared" si="257"/>
        <v>188568</v>
      </c>
      <c r="H16068" s="702" t="s">
        <v>10324</v>
      </c>
    </row>
    <row r="16069" spans="1:10" ht="15" x14ac:dyDescent="0.2">
      <c r="A16069" s="730">
        <v>45120</v>
      </c>
      <c r="B16069" s="91" t="s">
        <v>3945</v>
      </c>
      <c r="C16069" s="94" t="s">
        <v>559</v>
      </c>
      <c r="D16069" s="892" t="s">
        <v>10436</v>
      </c>
      <c r="E16069" s="92"/>
      <c r="F16069" s="92">
        <v>337081</v>
      </c>
      <c r="G16069" s="176">
        <f t="shared" si="257"/>
        <v>337081</v>
      </c>
      <c r="H16069" s="702" t="s">
        <v>10324</v>
      </c>
    </row>
    <row r="16070" spans="1:10" s="682" customFormat="1" ht="24" customHeight="1" x14ac:dyDescent="0.25">
      <c r="A16070" s="730">
        <v>45120</v>
      </c>
      <c r="B16070" s="94" t="s">
        <v>2933</v>
      </c>
      <c r="C16070" s="94" t="s">
        <v>559</v>
      </c>
      <c r="D16070" s="802" t="s">
        <v>10440</v>
      </c>
      <c r="E16070" s="176"/>
      <c r="F16070" s="176">
        <v>575000</v>
      </c>
      <c r="G16070" s="176">
        <f t="shared" si="257"/>
        <v>575000</v>
      </c>
      <c r="H16070" s="702" t="s">
        <v>10324</v>
      </c>
    </row>
    <row r="16071" spans="1:10" ht="15" x14ac:dyDescent="0.2">
      <c r="A16071" s="730">
        <v>45122</v>
      </c>
      <c r="B16071" s="91" t="s">
        <v>9356</v>
      </c>
      <c r="C16071" s="94" t="s">
        <v>559</v>
      </c>
      <c r="D16071" s="801" t="s">
        <v>10477</v>
      </c>
      <c r="E16071" s="176"/>
      <c r="F16071" s="92">
        <v>450000</v>
      </c>
      <c r="G16071" s="92">
        <f t="shared" si="257"/>
        <v>450000</v>
      </c>
      <c r="H16071" s="702" t="s">
        <v>10324</v>
      </c>
      <c r="I16071" s="40"/>
    </row>
    <row r="16072" spans="1:10" ht="15" x14ac:dyDescent="0.2">
      <c r="A16072" s="730">
        <v>45124</v>
      </c>
      <c r="B16072" s="91" t="s">
        <v>10379</v>
      </c>
      <c r="C16072" s="94" t="s">
        <v>559</v>
      </c>
      <c r="D16072" s="801" t="s">
        <v>10478</v>
      </c>
      <c r="E16072" s="176"/>
      <c r="F16072" s="92">
        <v>1000000</v>
      </c>
      <c r="G16072" s="92">
        <f t="shared" si="257"/>
        <v>1000000</v>
      </c>
      <c r="H16072" s="702" t="s">
        <v>10324</v>
      </c>
    </row>
    <row r="16073" spans="1:10" ht="15" x14ac:dyDescent="0.2">
      <c r="A16073" s="730">
        <v>45138</v>
      </c>
      <c r="B16073" s="91" t="s">
        <v>9507</v>
      </c>
      <c r="C16073" s="94" t="s">
        <v>559</v>
      </c>
      <c r="D16073" s="801" t="s">
        <v>10622</v>
      </c>
      <c r="E16073" s="176"/>
      <c r="F16073" s="92">
        <v>885630</v>
      </c>
      <c r="G16073" s="92">
        <f t="shared" si="257"/>
        <v>885630</v>
      </c>
      <c r="H16073" s="702" t="s">
        <v>10324</v>
      </c>
    </row>
    <row r="16074" spans="1:10" ht="15" x14ac:dyDescent="0.2">
      <c r="A16074" s="730">
        <v>45138</v>
      </c>
      <c r="B16074" s="91" t="s">
        <v>9507</v>
      </c>
      <c r="C16074" s="94" t="s">
        <v>559</v>
      </c>
      <c r="D16074" s="801" t="s">
        <v>10566</v>
      </c>
      <c r="E16074" s="176">
        <v>8856</v>
      </c>
      <c r="F16074" s="92"/>
      <c r="G16074" s="92">
        <f t="shared" si="257"/>
        <v>-8856</v>
      </c>
      <c r="H16074" s="702" t="s">
        <v>10324</v>
      </c>
      <c r="J16074" s="40"/>
    </row>
    <row r="16075" spans="1:10" ht="15" x14ac:dyDescent="0.2">
      <c r="A16075" s="734">
        <v>45139</v>
      </c>
      <c r="B16075" s="63" t="s">
        <v>9356</v>
      </c>
      <c r="C16075" s="63" t="s">
        <v>10518</v>
      </c>
      <c r="D16075" s="183" t="s">
        <v>10634</v>
      </c>
      <c r="E16075" s="126">
        <v>500</v>
      </c>
      <c r="F16075" s="126"/>
      <c r="G16075" s="58">
        <f t="shared" si="257"/>
        <v>-500</v>
      </c>
      <c r="H16075" s="705" t="s">
        <v>10628</v>
      </c>
    </row>
    <row r="16076" spans="1:10" ht="15" x14ac:dyDescent="0.2">
      <c r="A16076" s="734">
        <v>45139</v>
      </c>
      <c r="B16076" s="63" t="s">
        <v>9402</v>
      </c>
      <c r="C16076" s="63" t="s">
        <v>3145</v>
      </c>
      <c r="D16076" s="183" t="s">
        <v>10635</v>
      </c>
      <c r="E16076" s="126">
        <v>2940</v>
      </c>
      <c r="F16076" s="126"/>
      <c r="G16076" s="58">
        <f t="shared" si="257"/>
        <v>-2940</v>
      </c>
      <c r="H16076" s="705" t="s">
        <v>10628</v>
      </c>
      <c r="J16076" s="40"/>
    </row>
    <row r="16077" spans="1:10" ht="15" customHeight="1" x14ac:dyDescent="0.2">
      <c r="A16077" s="734">
        <v>45139</v>
      </c>
      <c r="B16077" s="63" t="s">
        <v>9402</v>
      </c>
      <c r="C16077" s="63" t="s">
        <v>286</v>
      </c>
      <c r="D16077" s="183" t="s">
        <v>10637</v>
      </c>
      <c r="E16077" s="126">
        <v>2800</v>
      </c>
      <c r="F16077" s="126"/>
      <c r="G16077" s="58">
        <f t="shared" si="257"/>
        <v>-2800</v>
      </c>
      <c r="H16077" s="705" t="s">
        <v>10628</v>
      </c>
      <c r="J16077" s="40"/>
    </row>
    <row r="16078" spans="1:10" ht="15" customHeight="1" x14ac:dyDescent="0.2">
      <c r="A16078" s="734">
        <v>45139</v>
      </c>
      <c r="B16078" s="63" t="s">
        <v>10296</v>
      </c>
      <c r="C16078" s="63" t="s">
        <v>8792</v>
      </c>
      <c r="D16078" s="183" t="s">
        <v>10636</v>
      </c>
      <c r="E16078" s="126">
        <v>70000</v>
      </c>
      <c r="F16078" s="126"/>
      <c r="G16078" s="58">
        <f t="shared" si="257"/>
        <v>-70000</v>
      </c>
      <c r="H16078" s="705" t="s">
        <v>10628</v>
      </c>
    </row>
    <row r="16079" spans="1:10" ht="15" customHeight="1" x14ac:dyDescent="0.2">
      <c r="A16079" s="734">
        <v>45139</v>
      </c>
      <c r="B16079" s="63" t="s">
        <v>9402</v>
      </c>
      <c r="C16079" s="63" t="s">
        <v>5741</v>
      </c>
      <c r="D16079" s="183" t="s">
        <v>370</v>
      </c>
      <c r="E16079" s="126">
        <v>350</v>
      </c>
      <c r="F16079" s="126"/>
      <c r="G16079" s="58">
        <f t="shared" si="257"/>
        <v>-350</v>
      </c>
      <c r="H16079" s="705" t="s">
        <v>10628</v>
      </c>
    </row>
    <row r="16080" spans="1:10" ht="15" customHeight="1" x14ac:dyDescent="0.2">
      <c r="A16080" s="734">
        <v>45139</v>
      </c>
      <c r="B16080" s="63" t="s">
        <v>9402</v>
      </c>
      <c r="C16080" s="63" t="s">
        <v>5741</v>
      </c>
      <c r="D16080" s="183" t="s">
        <v>370</v>
      </c>
      <c r="E16080" s="126">
        <v>350</v>
      </c>
      <c r="F16080" s="126"/>
      <c r="G16080" s="58">
        <f t="shared" si="257"/>
        <v>-350</v>
      </c>
      <c r="H16080" s="705" t="s">
        <v>10628</v>
      </c>
    </row>
    <row r="16081" spans="1:8" ht="15" customHeight="1" x14ac:dyDescent="0.2">
      <c r="A16081" s="734">
        <v>45139</v>
      </c>
      <c r="B16081" s="63" t="s">
        <v>16</v>
      </c>
      <c r="C16081" s="63" t="s">
        <v>103</v>
      </c>
      <c r="D16081" s="183" t="s">
        <v>10211</v>
      </c>
      <c r="E16081" s="126">
        <v>2000</v>
      </c>
      <c r="F16081" s="126"/>
      <c r="G16081" s="58">
        <f t="shared" si="257"/>
        <v>-2000</v>
      </c>
      <c r="H16081" s="705" t="s">
        <v>10628</v>
      </c>
    </row>
    <row r="16082" spans="1:8" ht="15" x14ac:dyDescent="0.2">
      <c r="A16082" s="734">
        <v>45139</v>
      </c>
      <c r="B16082" s="63" t="s">
        <v>10232</v>
      </c>
      <c r="C16082" s="63" t="s">
        <v>5741</v>
      </c>
      <c r="D16082" s="183" t="s">
        <v>370</v>
      </c>
      <c r="E16082" s="126">
        <v>3500</v>
      </c>
      <c r="F16082" s="126"/>
      <c r="G16082" s="58">
        <f t="shared" si="257"/>
        <v>-3500</v>
      </c>
      <c r="H16082" s="705" t="s">
        <v>10628</v>
      </c>
    </row>
    <row r="16083" spans="1:8" ht="15" x14ac:dyDescent="0.2">
      <c r="A16083" s="734">
        <v>45139</v>
      </c>
      <c r="B16083" s="63" t="s">
        <v>10576</v>
      </c>
      <c r="C16083" s="63" t="s">
        <v>392</v>
      </c>
      <c r="D16083" s="183" t="s">
        <v>10638</v>
      </c>
      <c r="E16083" s="126">
        <v>150</v>
      </c>
      <c r="F16083" s="126"/>
      <c r="G16083" s="58">
        <f t="shared" si="257"/>
        <v>-150</v>
      </c>
      <c r="H16083" s="705" t="s">
        <v>10628</v>
      </c>
    </row>
    <row r="16084" spans="1:8" ht="15" x14ac:dyDescent="0.2">
      <c r="A16084" s="734">
        <v>45139</v>
      </c>
      <c r="B16084" s="63" t="s">
        <v>9402</v>
      </c>
      <c r="C16084" s="63" t="s">
        <v>3145</v>
      </c>
      <c r="D16084" s="183" t="s">
        <v>10639</v>
      </c>
      <c r="E16084" s="126">
        <v>57000</v>
      </c>
      <c r="F16084" s="126"/>
      <c r="G16084" s="58">
        <f t="shared" si="257"/>
        <v>-57000</v>
      </c>
      <c r="H16084" s="705" t="s">
        <v>10628</v>
      </c>
    </row>
    <row r="16085" spans="1:8" ht="15" x14ac:dyDescent="0.2">
      <c r="A16085" s="734">
        <v>45139</v>
      </c>
      <c r="B16085" s="63" t="s">
        <v>10144</v>
      </c>
      <c r="C16085" s="63" t="s">
        <v>10484</v>
      </c>
      <c r="D16085" s="183" t="s">
        <v>10640</v>
      </c>
      <c r="E16085" s="126">
        <v>250000</v>
      </c>
      <c r="F16085" s="126"/>
      <c r="G16085" s="58">
        <f t="shared" si="257"/>
        <v>-250000</v>
      </c>
      <c r="H16085" s="705" t="s">
        <v>10628</v>
      </c>
    </row>
    <row r="16086" spans="1:8" ht="15" x14ac:dyDescent="0.2">
      <c r="A16086" s="734">
        <v>45139</v>
      </c>
      <c r="B16086" s="63" t="s">
        <v>10144</v>
      </c>
      <c r="C16086" s="63" t="s">
        <v>10484</v>
      </c>
      <c r="D16086" s="183" t="s">
        <v>10640</v>
      </c>
      <c r="E16086" s="126">
        <v>250000</v>
      </c>
      <c r="F16086" s="126"/>
      <c r="G16086" s="58">
        <f t="shared" si="257"/>
        <v>-250000</v>
      </c>
      <c r="H16086" s="705" t="s">
        <v>10628</v>
      </c>
    </row>
    <row r="16087" spans="1:8" ht="15" customHeight="1" x14ac:dyDescent="0.2">
      <c r="A16087" s="734">
        <v>45139</v>
      </c>
      <c r="B16087" s="63" t="s">
        <v>10296</v>
      </c>
      <c r="C16087" s="63" t="s">
        <v>10484</v>
      </c>
      <c r="D16087" s="183" t="s">
        <v>10640</v>
      </c>
      <c r="E16087" s="126">
        <v>250000</v>
      </c>
      <c r="F16087" s="126"/>
      <c r="G16087" s="58">
        <f t="shared" si="257"/>
        <v>-250000</v>
      </c>
      <c r="H16087" s="705" t="s">
        <v>10628</v>
      </c>
    </row>
    <row r="16088" spans="1:8" ht="15" customHeight="1" x14ac:dyDescent="0.2">
      <c r="A16088" s="734">
        <v>45139</v>
      </c>
      <c r="B16088" s="63" t="s">
        <v>10296</v>
      </c>
      <c r="C16088" s="63" t="s">
        <v>10484</v>
      </c>
      <c r="D16088" s="183" t="s">
        <v>10640</v>
      </c>
      <c r="E16088" s="126">
        <v>50000</v>
      </c>
      <c r="F16088" s="126"/>
      <c r="G16088" s="58">
        <f t="shared" si="257"/>
        <v>-50000</v>
      </c>
      <c r="H16088" s="705" t="s">
        <v>10628</v>
      </c>
    </row>
    <row r="16089" spans="1:8" ht="15" customHeight="1" x14ac:dyDescent="0.2">
      <c r="A16089" s="734">
        <v>45139</v>
      </c>
      <c r="B16089" s="63" t="s">
        <v>10144</v>
      </c>
      <c r="C16089" s="63" t="s">
        <v>9750</v>
      </c>
      <c r="D16089" s="183" t="s">
        <v>10641</v>
      </c>
      <c r="E16089" s="126">
        <v>100000</v>
      </c>
      <c r="F16089" s="126"/>
      <c r="G16089" s="58">
        <f t="shared" si="257"/>
        <v>-100000</v>
      </c>
      <c r="H16089" s="705" t="s">
        <v>10628</v>
      </c>
    </row>
    <row r="16090" spans="1:8" ht="15" customHeight="1" x14ac:dyDescent="0.2">
      <c r="A16090" s="734">
        <v>45140</v>
      </c>
      <c r="B16090" s="63" t="s">
        <v>25</v>
      </c>
      <c r="C16090" s="63" t="s">
        <v>8150</v>
      </c>
      <c r="D16090" s="183" t="s">
        <v>6310</v>
      </c>
      <c r="E16090" s="126">
        <v>230</v>
      </c>
      <c r="F16090" s="126"/>
      <c r="G16090" s="58">
        <f t="shared" si="257"/>
        <v>-230</v>
      </c>
      <c r="H16090" s="705" t="s">
        <v>10628</v>
      </c>
    </row>
    <row r="16091" spans="1:8" ht="15" customHeight="1" x14ac:dyDescent="0.2">
      <c r="A16091" s="734">
        <v>45140</v>
      </c>
      <c r="B16091" s="63" t="s">
        <v>16</v>
      </c>
      <c r="C16091" s="63" t="s">
        <v>8150</v>
      </c>
      <c r="D16091" s="183" t="s">
        <v>6310</v>
      </c>
      <c r="E16091" s="126">
        <v>240</v>
      </c>
      <c r="F16091" s="126"/>
      <c r="G16091" s="58">
        <f t="shared" si="257"/>
        <v>-240</v>
      </c>
      <c r="H16091" s="705" t="s">
        <v>10628</v>
      </c>
    </row>
    <row r="16092" spans="1:8" ht="15" customHeight="1" x14ac:dyDescent="0.2">
      <c r="A16092" s="734">
        <v>45140</v>
      </c>
      <c r="B16092" s="63" t="s">
        <v>10379</v>
      </c>
      <c r="C16092" s="63" t="s">
        <v>5741</v>
      </c>
      <c r="D16092" s="183" t="s">
        <v>370</v>
      </c>
      <c r="E16092" s="126">
        <v>350</v>
      </c>
      <c r="F16092" s="126"/>
      <c r="G16092" s="58">
        <f t="shared" si="257"/>
        <v>-350</v>
      </c>
      <c r="H16092" s="705" t="s">
        <v>10628</v>
      </c>
    </row>
    <row r="16093" spans="1:8" ht="15" customHeight="1" x14ac:dyDescent="0.2">
      <c r="A16093" s="734">
        <v>45140</v>
      </c>
      <c r="B16093" s="63" t="s">
        <v>9356</v>
      </c>
      <c r="C16093" s="63" t="s">
        <v>392</v>
      </c>
      <c r="D16093" s="183" t="s">
        <v>7592</v>
      </c>
      <c r="E16093" s="126">
        <v>1410</v>
      </c>
      <c r="F16093" s="126"/>
      <c r="G16093" s="58">
        <f t="shared" si="257"/>
        <v>-1410</v>
      </c>
      <c r="H16093" s="705" t="s">
        <v>10628</v>
      </c>
    </row>
    <row r="16094" spans="1:8" ht="15" customHeight="1" x14ac:dyDescent="0.2">
      <c r="A16094" s="734">
        <v>45140</v>
      </c>
      <c r="B16094" s="63" t="s">
        <v>103</v>
      </c>
      <c r="C16094" s="63" t="s">
        <v>103</v>
      </c>
      <c r="D16094" s="183" t="s">
        <v>10642</v>
      </c>
      <c r="E16094" s="126">
        <v>1000</v>
      </c>
      <c r="F16094" s="126"/>
      <c r="G16094" s="58">
        <f t="shared" si="257"/>
        <v>-1000</v>
      </c>
      <c r="H16094" s="705" t="s">
        <v>10628</v>
      </c>
    </row>
    <row r="16095" spans="1:8" ht="15" customHeight="1" x14ac:dyDescent="0.2">
      <c r="A16095" s="734">
        <v>45140</v>
      </c>
      <c r="B16095" s="63" t="s">
        <v>10338</v>
      </c>
      <c r="C16095" s="63" t="s">
        <v>5741</v>
      </c>
      <c r="D16095" s="183" t="s">
        <v>10643</v>
      </c>
      <c r="E16095" s="126">
        <v>7890</v>
      </c>
      <c r="F16095" s="126"/>
      <c r="G16095" s="58">
        <f t="shared" si="257"/>
        <v>-7890</v>
      </c>
      <c r="H16095" s="705" t="s">
        <v>10628</v>
      </c>
    </row>
    <row r="16096" spans="1:8" ht="15" customHeight="1" x14ac:dyDescent="0.2">
      <c r="A16096" s="734">
        <v>45140</v>
      </c>
      <c r="B16096" s="63" t="s">
        <v>10379</v>
      </c>
      <c r="C16096" s="63" t="s">
        <v>3145</v>
      </c>
      <c r="D16096" s="183" t="s">
        <v>2159</v>
      </c>
      <c r="E16096" s="126">
        <v>9450</v>
      </c>
      <c r="F16096" s="126"/>
      <c r="G16096" s="58">
        <f t="shared" si="257"/>
        <v>-9450</v>
      </c>
      <c r="H16096" s="705" t="s">
        <v>10628</v>
      </c>
    </row>
    <row r="16097" spans="1:8" ht="15" customHeight="1" x14ac:dyDescent="0.2">
      <c r="A16097" s="734">
        <v>45140</v>
      </c>
      <c r="B16097" s="63" t="s">
        <v>10232</v>
      </c>
      <c r="C16097" s="63" t="s">
        <v>3145</v>
      </c>
      <c r="D16097" s="183" t="s">
        <v>2272</v>
      </c>
      <c r="E16097" s="126">
        <v>2300</v>
      </c>
      <c r="F16097" s="126"/>
      <c r="G16097" s="58">
        <f t="shared" si="257"/>
        <v>-2300</v>
      </c>
      <c r="H16097" s="705" t="s">
        <v>10628</v>
      </c>
    </row>
    <row r="16098" spans="1:8" ht="15" x14ac:dyDescent="0.2">
      <c r="A16098" s="734">
        <v>45140</v>
      </c>
      <c r="B16098" s="63" t="s">
        <v>103</v>
      </c>
      <c r="C16098" s="63" t="s">
        <v>103</v>
      </c>
      <c r="D16098" s="183" t="s">
        <v>10211</v>
      </c>
      <c r="E16098" s="126">
        <v>2000</v>
      </c>
      <c r="F16098" s="126"/>
      <c r="G16098" s="58">
        <f t="shared" si="257"/>
        <v>-2000</v>
      </c>
      <c r="H16098" s="705" t="s">
        <v>10628</v>
      </c>
    </row>
    <row r="16099" spans="1:8" ht="15" x14ac:dyDescent="0.2">
      <c r="A16099" s="734">
        <v>45140</v>
      </c>
      <c r="B16099" s="63" t="s">
        <v>10379</v>
      </c>
      <c r="C16099" s="63" t="s">
        <v>3446</v>
      </c>
      <c r="D16099" s="183" t="s">
        <v>9517</v>
      </c>
      <c r="E16099" s="126">
        <v>40000</v>
      </c>
      <c r="F16099" s="126"/>
      <c r="G16099" s="58">
        <f t="shared" si="257"/>
        <v>-40000</v>
      </c>
      <c r="H16099" s="705" t="s">
        <v>10628</v>
      </c>
    </row>
    <row r="16100" spans="1:8" ht="15" x14ac:dyDescent="0.2">
      <c r="A16100" s="734">
        <v>45140</v>
      </c>
      <c r="B16100" s="63" t="s">
        <v>10232</v>
      </c>
      <c r="C16100" s="63" t="s">
        <v>5741</v>
      </c>
      <c r="D16100" s="183" t="s">
        <v>370</v>
      </c>
      <c r="E16100" s="126">
        <v>800</v>
      </c>
      <c r="F16100" s="126"/>
      <c r="G16100" s="58">
        <f t="shared" si="257"/>
        <v>-800</v>
      </c>
      <c r="H16100" s="705" t="s">
        <v>10628</v>
      </c>
    </row>
    <row r="16101" spans="1:8" ht="15" x14ac:dyDescent="0.2">
      <c r="A16101" s="734">
        <v>45140</v>
      </c>
      <c r="B16101" s="63" t="s">
        <v>10338</v>
      </c>
      <c r="C16101" s="63" t="s">
        <v>5741</v>
      </c>
      <c r="D16101" s="183" t="s">
        <v>370</v>
      </c>
      <c r="E16101" s="126">
        <v>1700</v>
      </c>
      <c r="F16101" s="126"/>
      <c r="G16101" s="58">
        <f t="shared" si="257"/>
        <v>-1700</v>
      </c>
      <c r="H16101" s="705" t="s">
        <v>10628</v>
      </c>
    </row>
    <row r="16102" spans="1:8" ht="15" x14ac:dyDescent="0.2">
      <c r="A16102" s="734">
        <v>45140</v>
      </c>
      <c r="B16102" s="63" t="s">
        <v>9402</v>
      </c>
      <c r="C16102" s="63" t="s">
        <v>3145</v>
      </c>
      <c r="D16102" s="183" t="s">
        <v>10644</v>
      </c>
      <c r="E16102" s="126">
        <v>800</v>
      </c>
      <c r="F16102" s="126"/>
      <c r="G16102" s="58">
        <f t="shared" si="257"/>
        <v>-800</v>
      </c>
      <c r="H16102" s="705" t="s">
        <v>10628</v>
      </c>
    </row>
    <row r="16103" spans="1:8" ht="15" x14ac:dyDescent="0.2">
      <c r="A16103" s="734">
        <v>45140</v>
      </c>
      <c r="B16103" s="63" t="s">
        <v>9832</v>
      </c>
      <c r="C16103" s="63" t="s">
        <v>286</v>
      </c>
      <c r="D16103" s="183" t="s">
        <v>8163</v>
      </c>
      <c r="E16103" s="126">
        <v>250</v>
      </c>
      <c r="F16103" s="126"/>
      <c r="G16103" s="58">
        <f t="shared" si="257"/>
        <v>-250</v>
      </c>
      <c r="H16103" s="705" t="s">
        <v>10628</v>
      </c>
    </row>
    <row r="16104" spans="1:8" ht="15" x14ac:dyDescent="0.2">
      <c r="A16104" s="734">
        <v>45140</v>
      </c>
      <c r="B16104" s="63" t="s">
        <v>10379</v>
      </c>
      <c r="C16104" s="63" t="s">
        <v>5741</v>
      </c>
      <c r="D16104" s="183" t="s">
        <v>10337</v>
      </c>
      <c r="E16104" s="126">
        <v>300</v>
      </c>
      <c r="F16104" s="126"/>
      <c r="G16104" s="58">
        <f t="shared" si="257"/>
        <v>-300</v>
      </c>
      <c r="H16104" s="705" t="s">
        <v>10628</v>
      </c>
    </row>
    <row r="16105" spans="1:8" ht="15" x14ac:dyDescent="0.2">
      <c r="A16105" s="734">
        <v>45140</v>
      </c>
      <c r="B16105" s="63" t="s">
        <v>10296</v>
      </c>
      <c r="C16105" s="63" t="s">
        <v>5741</v>
      </c>
      <c r="D16105" s="183" t="s">
        <v>10337</v>
      </c>
      <c r="E16105" s="126">
        <v>600</v>
      </c>
      <c r="F16105" s="126"/>
      <c r="G16105" s="58">
        <f t="shared" si="257"/>
        <v>-600</v>
      </c>
      <c r="H16105" s="705" t="s">
        <v>10628</v>
      </c>
    </row>
    <row r="16106" spans="1:8" ht="15" x14ac:dyDescent="0.2">
      <c r="A16106" s="734">
        <v>45140</v>
      </c>
      <c r="B16106" s="63" t="s">
        <v>10296</v>
      </c>
      <c r="C16106" s="63" t="s">
        <v>8953</v>
      </c>
      <c r="D16106" s="183" t="s">
        <v>10645</v>
      </c>
      <c r="E16106" s="126">
        <v>1000</v>
      </c>
      <c r="F16106" s="126"/>
      <c r="G16106" s="58">
        <f t="shared" si="257"/>
        <v>-1000</v>
      </c>
      <c r="H16106" s="705" t="s">
        <v>10628</v>
      </c>
    </row>
    <row r="16107" spans="1:8" ht="15" x14ac:dyDescent="0.2">
      <c r="A16107" s="734">
        <v>45139</v>
      </c>
      <c r="B16107" s="41" t="s">
        <v>10379</v>
      </c>
      <c r="C16107" s="63" t="s">
        <v>3145</v>
      </c>
      <c r="D16107" s="108" t="s">
        <v>10646</v>
      </c>
      <c r="E16107" s="126">
        <v>142500</v>
      </c>
      <c r="F16107" s="58"/>
      <c r="G16107" s="58">
        <f t="shared" si="257"/>
        <v>-142500</v>
      </c>
      <c r="H16107" s="705" t="s">
        <v>10628</v>
      </c>
    </row>
    <row r="16108" spans="1:8" ht="15" customHeight="1" x14ac:dyDescent="0.2">
      <c r="A16108" s="734">
        <v>45139</v>
      </c>
      <c r="B16108" s="41" t="s">
        <v>2933</v>
      </c>
      <c r="C16108" s="63" t="s">
        <v>392</v>
      </c>
      <c r="D16108" s="108" t="s">
        <v>6386</v>
      </c>
      <c r="E16108" s="126">
        <v>5950</v>
      </c>
      <c r="F16108" s="58"/>
      <c r="G16108" s="58">
        <f t="shared" si="257"/>
        <v>-5950</v>
      </c>
      <c r="H16108" s="705" t="s">
        <v>10628</v>
      </c>
    </row>
    <row r="16109" spans="1:8" ht="15" x14ac:dyDescent="0.2">
      <c r="A16109" s="734">
        <v>45139</v>
      </c>
      <c r="B16109" s="41" t="s">
        <v>10576</v>
      </c>
      <c r="C16109" s="63" t="s">
        <v>757</v>
      </c>
      <c r="D16109" s="108" t="s">
        <v>10651</v>
      </c>
      <c r="E16109" s="126">
        <v>3420</v>
      </c>
      <c r="F16109" s="58"/>
      <c r="G16109" s="58">
        <f t="shared" si="257"/>
        <v>-3420</v>
      </c>
      <c r="H16109" s="705" t="s">
        <v>10628</v>
      </c>
    </row>
    <row r="16110" spans="1:8" ht="15" x14ac:dyDescent="0.2">
      <c r="A16110" s="734">
        <v>45139</v>
      </c>
      <c r="B16110" s="41" t="s">
        <v>2933</v>
      </c>
      <c r="C16110" s="63" t="s">
        <v>3003</v>
      </c>
      <c r="D16110" s="108" t="s">
        <v>10652</v>
      </c>
      <c r="E16110" s="126">
        <v>74516</v>
      </c>
      <c r="F16110" s="58"/>
      <c r="G16110" s="58">
        <f t="shared" si="257"/>
        <v>-74516</v>
      </c>
      <c r="H16110" s="705" t="s">
        <v>10628</v>
      </c>
    </row>
    <row r="16111" spans="1:8" ht="15" x14ac:dyDescent="0.2">
      <c r="A16111" s="734">
        <v>45139</v>
      </c>
      <c r="B16111" s="41" t="s">
        <v>10296</v>
      </c>
      <c r="C16111" s="63" t="s">
        <v>3145</v>
      </c>
      <c r="D16111" s="108" t="s">
        <v>10653</v>
      </c>
      <c r="E16111" s="126">
        <v>5464</v>
      </c>
      <c r="F16111" s="58"/>
      <c r="G16111" s="58">
        <f t="shared" si="257"/>
        <v>-5464</v>
      </c>
      <c r="H16111" s="705" t="s">
        <v>10628</v>
      </c>
    </row>
    <row r="16112" spans="1:8" ht="15" x14ac:dyDescent="0.2">
      <c r="A16112" s="734">
        <v>45139</v>
      </c>
      <c r="B16112" s="41" t="s">
        <v>10379</v>
      </c>
      <c r="C16112" s="63" t="s">
        <v>8071</v>
      </c>
      <c r="D16112" s="108" t="s">
        <v>10654</v>
      </c>
      <c r="E16112" s="126">
        <v>50000</v>
      </c>
      <c r="F16112" s="58"/>
      <c r="G16112" s="58">
        <f t="shared" si="257"/>
        <v>-50000</v>
      </c>
      <c r="H16112" s="705" t="s">
        <v>10628</v>
      </c>
    </row>
    <row r="16113" spans="1:8" ht="15" x14ac:dyDescent="0.2">
      <c r="A16113" s="734">
        <v>45139</v>
      </c>
      <c r="B16113" s="41" t="s">
        <v>10379</v>
      </c>
      <c r="C16113" s="63" t="s">
        <v>286</v>
      </c>
      <c r="D16113" s="108" t="s">
        <v>370</v>
      </c>
      <c r="E16113" s="126">
        <v>900</v>
      </c>
      <c r="F16113" s="58"/>
      <c r="G16113" s="58">
        <f t="shared" si="257"/>
        <v>-900</v>
      </c>
      <c r="H16113" s="705" t="s">
        <v>10628</v>
      </c>
    </row>
    <row r="16114" spans="1:8" ht="15" x14ac:dyDescent="0.2">
      <c r="A16114" s="734">
        <v>45139</v>
      </c>
      <c r="B16114" s="41" t="s">
        <v>10144</v>
      </c>
      <c r="C16114" s="63" t="s">
        <v>392</v>
      </c>
      <c r="D16114" s="108" t="s">
        <v>10655</v>
      </c>
      <c r="E16114" s="126">
        <v>1000</v>
      </c>
      <c r="F16114" s="58"/>
      <c r="G16114" s="58">
        <f t="shared" si="257"/>
        <v>-1000</v>
      </c>
      <c r="H16114" s="705" t="s">
        <v>10628</v>
      </c>
    </row>
    <row r="16115" spans="1:8" ht="15" x14ac:dyDescent="0.2">
      <c r="A16115" s="734">
        <v>45139</v>
      </c>
      <c r="B16115" s="41" t="s">
        <v>9402</v>
      </c>
      <c r="C16115" s="63" t="s">
        <v>5741</v>
      </c>
      <c r="D16115" s="108" t="s">
        <v>370</v>
      </c>
      <c r="E16115" s="126">
        <v>1700</v>
      </c>
      <c r="F16115" s="58"/>
      <c r="G16115" s="58">
        <f t="shared" si="257"/>
        <v>-1700</v>
      </c>
      <c r="H16115" s="705" t="s">
        <v>10628</v>
      </c>
    </row>
    <row r="16116" spans="1:8" ht="15" x14ac:dyDescent="0.2">
      <c r="A16116" s="734">
        <v>45139</v>
      </c>
      <c r="B16116" s="41" t="s">
        <v>9356</v>
      </c>
      <c r="C16116" s="63" t="s">
        <v>9460</v>
      </c>
      <c r="D16116" s="108" t="s">
        <v>10656</v>
      </c>
      <c r="E16116" s="126">
        <v>100000</v>
      </c>
      <c r="F16116" s="58"/>
      <c r="G16116" s="58">
        <f t="shared" si="257"/>
        <v>-100000</v>
      </c>
      <c r="H16116" s="705" t="s">
        <v>10628</v>
      </c>
    </row>
    <row r="16117" spans="1:8" ht="15" customHeight="1" x14ac:dyDescent="0.2">
      <c r="A16117" s="734">
        <v>45142</v>
      </c>
      <c r="B16117" s="41" t="s">
        <v>16</v>
      </c>
      <c r="C16117" s="63" t="s">
        <v>392</v>
      </c>
      <c r="D16117" s="108" t="s">
        <v>10665</v>
      </c>
      <c r="E16117" s="126">
        <v>9500</v>
      </c>
      <c r="F16117" s="58"/>
      <c r="G16117" s="58">
        <f t="shared" si="257"/>
        <v>-9500</v>
      </c>
      <c r="H16117" s="705" t="s">
        <v>10628</v>
      </c>
    </row>
    <row r="16118" spans="1:8" ht="15" customHeight="1" x14ac:dyDescent="0.2">
      <c r="A16118" s="734">
        <v>45142</v>
      </c>
      <c r="B16118" s="41" t="s">
        <v>16</v>
      </c>
      <c r="C16118" s="63" t="s">
        <v>392</v>
      </c>
      <c r="D16118" s="108" t="s">
        <v>10666</v>
      </c>
      <c r="E16118" s="126">
        <v>2500</v>
      </c>
      <c r="F16118" s="58"/>
      <c r="G16118" s="58">
        <f t="shared" si="257"/>
        <v>-2500</v>
      </c>
      <c r="H16118" s="705" t="s">
        <v>10628</v>
      </c>
    </row>
    <row r="16119" spans="1:8" ht="15" x14ac:dyDescent="0.2">
      <c r="A16119" s="734">
        <v>45142</v>
      </c>
      <c r="B16119" s="41" t="s">
        <v>103</v>
      </c>
      <c r="C16119" s="63" t="s">
        <v>103</v>
      </c>
      <c r="D16119" s="108" t="s">
        <v>10211</v>
      </c>
      <c r="E16119" s="126">
        <v>3000</v>
      </c>
      <c r="F16119" s="58"/>
      <c r="G16119" s="58">
        <f t="shared" si="257"/>
        <v>-3000</v>
      </c>
      <c r="H16119" s="705" t="s">
        <v>10628</v>
      </c>
    </row>
    <row r="16120" spans="1:8" ht="15" x14ac:dyDescent="0.2">
      <c r="A16120" s="734">
        <v>45142</v>
      </c>
      <c r="B16120" s="41" t="s">
        <v>10576</v>
      </c>
      <c r="C16120" s="63" t="s">
        <v>8372</v>
      </c>
      <c r="D16120" s="108" t="s">
        <v>370</v>
      </c>
      <c r="E16120" s="126">
        <v>3000</v>
      </c>
      <c r="F16120" s="58"/>
      <c r="G16120" s="58">
        <f t="shared" si="257"/>
        <v>-3000</v>
      </c>
      <c r="H16120" s="705" t="s">
        <v>10628</v>
      </c>
    </row>
    <row r="16121" spans="1:8" ht="15" x14ac:dyDescent="0.2">
      <c r="A16121" s="734">
        <v>45142</v>
      </c>
      <c r="B16121" s="41" t="s">
        <v>9402</v>
      </c>
      <c r="C16121" s="63" t="s">
        <v>3145</v>
      </c>
      <c r="D16121" s="108" t="s">
        <v>10811</v>
      </c>
      <c r="E16121" s="126">
        <v>21000</v>
      </c>
      <c r="F16121" s="58"/>
      <c r="G16121" s="58">
        <f t="shared" si="257"/>
        <v>-21000</v>
      </c>
      <c r="H16121" s="705" t="s">
        <v>10628</v>
      </c>
    </row>
    <row r="16122" spans="1:8" ht="15" x14ac:dyDescent="0.2">
      <c r="A16122" s="734">
        <v>45142</v>
      </c>
      <c r="B16122" s="41" t="s">
        <v>10379</v>
      </c>
      <c r="C16122" s="63" t="s">
        <v>3145</v>
      </c>
      <c r="D16122" s="108" t="s">
        <v>10667</v>
      </c>
      <c r="E16122" s="126">
        <v>42000</v>
      </c>
      <c r="F16122" s="58"/>
      <c r="G16122" s="58">
        <f t="shared" si="257"/>
        <v>-42000</v>
      </c>
      <c r="H16122" s="705" t="s">
        <v>10628</v>
      </c>
    </row>
    <row r="16123" spans="1:8" ht="15" x14ac:dyDescent="0.2">
      <c r="A16123" s="734">
        <v>45142</v>
      </c>
      <c r="B16123" s="63" t="s">
        <v>10338</v>
      </c>
      <c r="C16123" s="63" t="s">
        <v>3145</v>
      </c>
      <c r="D16123" s="108" t="s">
        <v>10668</v>
      </c>
      <c r="E16123" s="126">
        <v>11105</v>
      </c>
      <c r="F16123" s="58"/>
      <c r="G16123" s="58">
        <f t="shared" si="257"/>
        <v>-11105</v>
      </c>
      <c r="H16123" s="705" t="s">
        <v>10628</v>
      </c>
    </row>
    <row r="16124" spans="1:8" ht="15" x14ac:dyDescent="0.2">
      <c r="A16124" s="734">
        <v>45142</v>
      </c>
      <c r="B16124" s="63" t="s">
        <v>10338</v>
      </c>
      <c r="C16124" s="63" t="s">
        <v>5741</v>
      </c>
      <c r="D16124" s="108" t="s">
        <v>10669</v>
      </c>
      <c r="E16124" s="126">
        <v>3400</v>
      </c>
      <c r="F16124" s="58"/>
      <c r="G16124" s="58">
        <f t="shared" si="257"/>
        <v>-3400</v>
      </c>
      <c r="H16124" s="705" t="s">
        <v>10628</v>
      </c>
    </row>
    <row r="16125" spans="1:8" ht="15" x14ac:dyDescent="0.2">
      <c r="A16125" s="734">
        <v>45142</v>
      </c>
      <c r="B16125" s="41" t="s">
        <v>10296</v>
      </c>
      <c r="C16125" s="63" t="s">
        <v>3145</v>
      </c>
      <c r="D16125" s="108" t="s">
        <v>10670</v>
      </c>
      <c r="E16125" s="126">
        <v>148275</v>
      </c>
      <c r="F16125" s="58"/>
      <c r="G16125" s="58">
        <f t="shared" si="257"/>
        <v>-148275</v>
      </c>
      <c r="H16125" s="705" t="s">
        <v>10628</v>
      </c>
    </row>
    <row r="16126" spans="1:8" ht="15" x14ac:dyDescent="0.2">
      <c r="A16126" s="734">
        <v>45142</v>
      </c>
      <c r="B16126" s="41" t="s">
        <v>10296</v>
      </c>
      <c r="C16126" s="63" t="s">
        <v>5741</v>
      </c>
      <c r="D16126" s="108" t="s">
        <v>370</v>
      </c>
      <c r="E16126" s="126">
        <v>1000</v>
      </c>
      <c r="F16126" s="58"/>
      <c r="G16126" s="58">
        <f t="shared" si="257"/>
        <v>-1000</v>
      </c>
      <c r="H16126" s="705" t="s">
        <v>10628</v>
      </c>
    </row>
    <row r="16127" spans="1:8" ht="15" x14ac:dyDescent="0.2">
      <c r="A16127" s="734">
        <v>45142</v>
      </c>
      <c r="B16127" s="63" t="s">
        <v>10338</v>
      </c>
      <c r="C16127" s="63" t="s">
        <v>9825</v>
      </c>
      <c r="D16127" s="108" t="s">
        <v>10671</v>
      </c>
      <c r="E16127" s="126">
        <v>60000</v>
      </c>
      <c r="F16127" s="58"/>
      <c r="G16127" s="58">
        <f t="shared" ref="G16127:G16190" si="258">F16127-E16127</f>
        <v>-60000</v>
      </c>
      <c r="H16127" s="705" t="s">
        <v>10628</v>
      </c>
    </row>
    <row r="16128" spans="1:8" ht="15" x14ac:dyDescent="0.2">
      <c r="A16128" s="734">
        <v>45142</v>
      </c>
      <c r="B16128" s="41" t="s">
        <v>7807</v>
      </c>
      <c r="C16128" s="63" t="s">
        <v>6852</v>
      </c>
      <c r="D16128" s="108" t="s">
        <v>10672</v>
      </c>
      <c r="E16128" s="126">
        <v>10000</v>
      </c>
      <c r="F16128" s="58"/>
      <c r="G16128" s="58">
        <f t="shared" si="258"/>
        <v>-10000</v>
      </c>
      <c r="H16128" s="705" t="s">
        <v>10628</v>
      </c>
    </row>
    <row r="16129" spans="1:8" ht="15" x14ac:dyDescent="0.2">
      <c r="A16129" s="734">
        <v>45142</v>
      </c>
      <c r="B16129" s="41" t="s">
        <v>9402</v>
      </c>
      <c r="C16129" s="63" t="s">
        <v>5741</v>
      </c>
      <c r="D16129" s="108" t="s">
        <v>10673</v>
      </c>
      <c r="E16129" s="126">
        <v>1200</v>
      </c>
      <c r="F16129" s="58"/>
      <c r="G16129" s="58">
        <f t="shared" si="258"/>
        <v>-1200</v>
      </c>
      <c r="H16129" s="705" t="s">
        <v>10628</v>
      </c>
    </row>
    <row r="16130" spans="1:8" ht="15" x14ac:dyDescent="0.2">
      <c r="A16130" s="734">
        <v>45142</v>
      </c>
      <c r="B16130" s="41" t="s">
        <v>9356</v>
      </c>
      <c r="C16130" s="63" t="s">
        <v>3145</v>
      </c>
      <c r="D16130" s="108" t="s">
        <v>7889</v>
      </c>
      <c r="E16130" s="126">
        <v>800</v>
      </c>
      <c r="F16130" s="58"/>
      <c r="G16130" s="58">
        <f t="shared" si="258"/>
        <v>-800</v>
      </c>
      <c r="H16130" s="705" t="s">
        <v>10628</v>
      </c>
    </row>
    <row r="16131" spans="1:8" ht="15" x14ac:dyDescent="0.2">
      <c r="A16131" s="734">
        <v>45142</v>
      </c>
      <c r="B16131" s="41" t="s">
        <v>10338</v>
      </c>
      <c r="C16131" s="63" t="s">
        <v>286</v>
      </c>
      <c r="D16131" s="108" t="s">
        <v>2431</v>
      </c>
      <c r="E16131" s="126">
        <v>200</v>
      </c>
      <c r="F16131" s="58"/>
      <c r="G16131" s="58">
        <f t="shared" si="258"/>
        <v>-200</v>
      </c>
      <c r="H16131" s="705" t="s">
        <v>10628</v>
      </c>
    </row>
    <row r="16132" spans="1:8" ht="15" x14ac:dyDescent="0.2">
      <c r="A16132" s="734">
        <v>45142</v>
      </c>
      <c r="B16132" s="41" t="s">
        <v>10296</v>
      </c>
      <c r="C16132" s="63" t="s">
        <v>5741</v>
      </c>
      <c r="D16132" s="108" t="s">
        <v>2431</v>
      </c>
      <c r="E16132" s="126">
        <v>500</v>
      </c>
      <c r="F16132" s="58"/>
      <c r="G16132" s="58">
        <f t="shared" si="258"/>
        <v>-500</v>
      </c>
      <c r="H16132" s="705" t="s">
        <v>10628</v>
      </c>
    </row>
    <row r="16133" spans="1:8" ht="15" x14ac:dyDescent="0.2">
      <c r="A16133" s="734">
        <v>45142</v>
      </c>
      <c r="B16133" s="41" t="s">
        <v>10296</v>
      </c>
      <c r="C16133" s="63" t="s">
        <v>5741</v>
      </c>
      <c r="D16133" s="108" t="s">
        <v>10337</v>
      </c>
      <c r="E16133" s="126">
        <v>250</v>
      </c>
      <c r="F16133" s="58"/>
      <c r="G16133" s="58">
        <f t="shared" si="258"/>
        <v>-250</v>
      </c>
      <c r="H16133" s="705" t="s">
        <v>10628</v>
      </c>
    </row>
    <row r="16134" spans="1:8" ht="15" x14ac:dyDescent="0.2">
      <c r="A16134" s="734">
        <v>45143</v>
      </c>
      <c r="B16134" s="41" t="s">
        <v>10296</v>
      </c>
      <c r="C16134" s="63" t="s">
        <v>1803</v>
      </c>
      <c r="D16134" s="108" t="s">
        <v>10219</v>
      </c>
      <c r="E16134" s="126">
        <v>231000</v>
      </c>
      <c r="F16134" s="58"/>
      <c r="G16134" s="58">
        <f t="shared" si="258"/>
        <v>-231000</v>
      </c>
      <c r="H16134" s="705" t="s">
        <v>10628</v>
      </c>
    </row>
    <row r="16135" spans="1:8" ht="15" x14ac:dyDescent="0.2">
      <c r="A16135" s="734">
        <v>45143</v>
      </c>
      <c r="B16135" s="41" t="s">
        <v>10023</v>
      </c>
      <c r="C16135" s="63" t="s">
        <v>3145</v>
      </c>
      <c r="D16135" s="108" t="s">
        <v>10693</v>
      </c>
      <c r="E16135" s="126">
        <v>50000</v>
      </c>
      <c r="F16135" s="58"/>
      <c r="G16135" s="58">
        <f t="shared" si="258"/>
        <v>-50000</v>
      </c>
      <c r="H16135" s="705" t="s">
        <v>10628</v>
      </c>
    </row>
    <row r="16136" spans="1:8" ht="15" x14ac:dyDescent="0.2">
      <c r="A16136" s="734">
        <v>45143</v>
      </c>
      <c r="B16136" s="41" t="s">
        <v>10379</v>
      </c>
      <c r="C16136" s="63" t="s">
        <v>10615</v>
      </c>
      <c r="D16136" s="108" t="s">
        <v>10721</v>
      </c>
      <c r="E16136" s="126">
        <v>20000</v>
      </c>
      <c r="F16136" s="58"/>
      <c r="G16136" s="58">
        <f t="shared" si="258"/>
        <v>-20000</v>
      </c>
      <c r="H16136" s="705" t="s">
        <v>10628</v>
      </c>
    </row>
    <row r="16137" spans="1:8" ht="15" x14ac:dyDescent="0.2">
      <c r="A16137" s="734">
        <v>45143</v>
      </c>
      <c r="B16137" s="41" t="s">
        <v>8043</v>
      </c>
      <c r="C16137" s="63" t="s">
        <v>3145</v>
      </c>
      <c r="D16137" s="108" t="s">
        <v>392</v>
      </c>
      <c r="E16137" s="126">
        <v>570</v>
      </c>
      <c r="F16137" s="58"/>
      <c r="G16137" s="58">
        <f t="shared" si="258"/>
        <v>-570</v>
      </c>
      <c r="H16137" s="705" t="s">
        <v>10628</v>
      </c>
    </row>
    <row r="16138" spans="1:8" ht="15" x14ac:dyDescent="0.2">
      <c r="A16138" s="734">
        <v>45143</v>
      </c>
      <c r="B16138" s="41" t="s">
        <v>9832</v>
      </c>
      <c r="C16138" s="63" t="s">
        <v>3145</v>
      </c>
      <c r="D16138" s="108" t="s">
        <v>10694</v>
      </c>
      <c r="E16138" s="126">
        <v>2000</v>
      </c>
      <c r="F16138" s="58"/>
      <c r="G16138" s="58">
        <f t="shared" si="258"/>
        <v>-2000</v>
      </c>
      <c r="H16138" s="705" t="s">
        <v>10628</v>
      </c>
    </row>
    <row r="16139" spans="1:8" ht="15" x14ac:dyDescent="0.2">
      <c r="A16139" s="734">
        <v>45145</v>
      </c>
      <c r="B16139" s="41" t="s">
        <v>9409</v>
      </c>
      <c r="C16139" s="63" t="s">
        <v>10270</v>
      </c>
      <c r="D16139" s="108" t="s">
        <v>10695</v>
      </c>
      <c r="E16139" s="126">
        <v>22000</v>
      </c>
      <c r="F16139" s="58"/>
      <c r="G16139" s="58">
        <f t="shared" si="258"/>
        <v>-22000</v>
      </c>
      <c r="H16139" s="705" t="s">
        <v>10628</v>
      </c>
    </row>
    <row r="16140" spans="1:8" ht="15" x14ac:dyDescent="0.2">
      <c r="A16140" s="734">
        <v>45145</v>
      </c>
      <c r="B16140" s="41" t="s">
        <v>8559</v>
      </c>
      <c r="C16140" s="63" t="s">
        <v>63</v>
      </c>
      <c r="D16140" s="108" t="s">
        <v>10696</v>
      </c>
      <c r="E16140" s="126">
        <v>10000</v>
      </c>
      <c r="F16140" s="58"/>
      <c r="G16140" s="58">
        <f t="shared" si="258"/>
        <v>-10000</v>
      </c>
      <c r="H16140" s="705" t="s">
        <v>10628</v>
      </c>
    </row>
    <row r="16141" spans="1:8" ht="15" x14ac:dyDescent="0.2">
      <c r="A16141" s="734">
        <v>45145</v>
      </c>
      <c r="B16141" s="41" t="s">
        <v>9967</v>
      </c>
      <c r="C16141" s="63" t="s">
        <v>3145</v>
      </c>
      <c r="D16141" s="108" t="s">
        <v>10697</v>
      </c>
      <c r="E16141" s="126">
        <v>3500</v>
      </c>
      <c r="F16141" s="58"/>
      <c r="G16141" s="58">
        <f t="shared" si="258"/>
        <v>-3500</v>
      </c>
      <c r="H16141" s="705" t="s">
        <v>10628</v>
      </c>
    </row>
    <row r="16142" spans="1:8" ht="15" x14ac:dyDescent="0.2">
      <c r="A16142" s="734">
        <v>45145</v>
      </c>
      <c r="B16142" s="41" t="s">
        <v>16</v>
      </c>
      <c r="C16142" s="63" t="s">
        <v>103</v>
      </c>
      <c r="D16142" s="108" t="s">
        <v>10211</v>
      </c>
      <c r="E16142" s="126">
        <v>3500</v>
      </c>
      <c r="F16142" s="58"/>
      <c r="G16142" s="58">
        <f t="shared" si="258"/>
        <v>-3500</v>
      </c>
      <c r="H16142" s="705" t="s">
        <v>10628</v>
      </c>
    </row>
    <row r="16143" spans="1:8" ht="15" x14ac:dyDescent="0.2">
      <c r="A16143" s="734">
        <v>45145</v>
      </c>
      <c r="B16143" s="41" t="s">
        <v>10296</v>
      </c>
      <c r="C16143" s="63" t="s">
        <v>6967</v>
      </c>
      <c r="D16143" s="108" t="s">
        <v>370</v>
      </c>
      <c r="E16143" s="126">
        <v>15000</v>
      </c>
      <c r="F16143" s="58"/>
      <c r="G16143" s="58">
        <f t="shared" si="258"/>
        <v>-15000</v>
      </c>
      <c r="H16143" s="705" t="s">
        <v>10628</v>
      </c>
    </row>
    <row r="16144" spans="1:8" ht="15" x14ac:dyDescent="0.2">
      <c r="A16144" s="734">
        <v>45145</v>
      </c>
      <c r="B16144" s="41" t="s">
        <v>10144</v>
      </c>
      <c r="C16144" s="63" t="s">
        <v>5741</v>
      </c>
      <c r="D16144" s="108" t="s">
        <v>370</v>
      </c>
      <c r="E16144" s="126">
        <v>1000</v>
      </c>
      <c r="F16144" s="58"/>
      <c r="G16144" s="58">
        <f t="shared" si="258"/>
        <v>-1000</v>
      </c>
      <c r="H16144" s="705" t="s">
        <v>10628</v>
      </c>
    </row>
    <row r="16145" spans="1:8" ht="15" x14ac:dyDescent="0.2">
      <c r="A16145" s="734">
        <v>45145</v>
      </c>
      <c r="B16145" s="41" t="s">
        <v>10296</v>
      </c>
      <c r="C16145" s="63" t="s">
        <v>5741</v>
      </c>
      <c r="D16145" s="108" t="s">
        <v>370</v>
      </c>
      <c r="E16145" s="126">
        <v>1800</v>
      </c>
      <c r="F16145" s="58"/>
      <c r="G16145" s="58">
        <f t="shared" si="258"/>
        <v>-1800</v>
      </c>
      <c r="H16145" s="705" t="s">
        <v>10628</v>
      </c>
    </row>
    <row r="16146" spans="1:8" ht="15" x14ac:dyDescent="0.2">
      <c r="A16146" s="734">
        <v>45145</v>
      </c>
      <c r="B16146" s="41" t="s">
        <v>37</v>
      </c>
      <c r="C16146" s="63" t="s">
        <v>392</v>
      </c>
      <c r="D16146" s="108" t="s">
        <v>10101</v>
      </c>
      <c r="E16146" s="126">
        <v>3000</v>
      </c>
      <c r="F16146" s="58"/>
      <c r="G16146" s="58">
        <f t="shared" si="258"/>
        <v>-3000</v>
      </c>
      <c r="H16146" s="705" t="s">
        <v>10628</v>
      </c>
    </row>
    <row r="16147" spans="1:8" ht="15" x14ac:dyDescent="0.2">
      <c r="A16147" s="734">
        <v>45145</v>
      </c>
      <c r="B16147" s="41" t="s">
        <v>37</v>
      </c>
      <c r="C16147" s="63" t="s">
        <v>392</v>
      </c>
      <c r="D16147" s="108" t="s">
        <v>10698</v>
      </c>
      <c r="E16147" s="126">
        <v>3000</v>
      </c>
      <c r="F16147" s="58"/>
      <c r="G16147" s="58">
        <f t="shared" si="258"/>
        <v>-3000</v>
      </c>
      <c r="H16147" s="705" t="s">
        <v>10628</v>
      </c>
    </row>
    <row r="16148" spans="1:8" ht="15" x14ac:dyDescent="0.2">
      <c r="A16148" s="734">
        <v>45145</v>
      </c>
      <c r="B16148" s="41" t="s">
        <v>37</v>
      </c>
      <c r="C16148" s="63" t="s">
        <v>286</v>
      </c>
      <c r="D16148" s="108" t="s">
        <v>8755</v>
      </c>
      <c r="E16148" s="126">
        <v>200</v>
      </c>
      <c r="F16148" s="58"/>
      <c r="G16148" s="58">
        <f t="shared" si="258"/>
        <v>-200</v>
      </c>
      <c r="H16148" s="705" t="s">
        <v>10628</v>
      </c>
    </row>
    <row r="16149" spans="1:8" ht="15" x14ac:dyDescent="0.2">
      <c r="A16149" s="734">
        <v>45145</v>
      </c>
      <c r="B16149" s="41" t="s">
        <v>7807</v>
      </c>
      <c r="C16149" s="63" t="s">
        <v>6852</v>
      </c>
      <c r="D16149" s="108" t="s">
        <v>10700</v>
      </c>
      <c r="E16149" s="126">
        <v>50000</v>
      </c>
      <c r="F16149" s="58"/>
      <c r="G16149" s="58">
        <f t="shared" si="258"/>
        <v>-50000</v>
      </c>
      <c r="H16149" s="705" t="s">
        <v>10628</v>
      </c>
    </row>
    <row r="16150" spans="1:8" ht="15" x14ac:dyDescent="0.2">
      <c r="A16150" s="734">
        <v>45145</v>
      </c>
      <c r="B16150" s="41" t="s">
        <v>16</v>
      </c>
      <c r="C16150" s="63" t="s">
        <v>10704</v>
      </c>
      <c r="D16150" s="108" t="s">
        <v>10702</v>
      </c>
      <c r="E16150" s="126">
        <v>2500</v>
      </c>
      <c r="F16150" s="58"/>
      <c r="G16150" s="58">
        <f t="shared" si="258"/>
        <v>-2500</v>
      </c>
      <c r="H16150" s="705" t="s">
        <v>10628</v>
      </c>
    </row>
    <row r="16151" spans="1:8" ht="15" x14ac:dyDescent="0.2">
      <c r="A16151" s="734">
        <v>45145</v>
      </c>
      <c r="B16151" s="41" t="s">
        <v>9356</v>
      </c>
      <c r="C16151" s="63" t="s">
        <v>10518</v>
      </c>
      <c r="D16151" s="108" t="s">
        <v>10703</v>
      </c>
      <c r="E16151" s="126">
        <v>500</v>
      </c>
      <c r="F16151" s="58"/>
      <c r="G16151" s="58">
        <f t="shared" si="258"/>
        <v>-500</v>
      </c>
      <c r="H16151" s="705" t="s">
        <v>10628</v>
      </c>
    </row>
    <row r="16152" spans="1:8" ht="15" x14ac:dyDescent="0.2">
      <c r="A16152" s="734">
        <v>45145</v>
      </c>
      <c r="B16152" s="41" t="s">
        <v>9402</v>
      </c>
      <c r="C16152" s="63" t="s">
        <v>5741</v>
      </c>
      <c r="D16152" s="108" t="s">
        <v>10337</v>
      </c>
      <c r="E16152" s="126">
        <v>250</v>
      </c>
      <c r="F16152" s="58"/>
      <c r="G16152" s="58">
        <f t="shared" si="258"/>
        <v>-250</v>
      </c>
      <c r="H16152" s="705" t="s">
        <v>10628</v>
      </c>
    </row>
    <row r="16153" spans="1:8" ht="15" customHeight="1" x14ac:dyDescent="0.2">
      <c r="A16153" s="734">
        <v>45145</v>
      </c>
      <c r="B16153" s="41" t="s">
        <v>8339</v>
      </c>
      <c r="C16153" s="63" t="s">
        <v>3145</v>
      </c>
      <c r="D16153" s="108" t="s">
        <v>10705</v>
      </c>
      <c r="E16153" s="126">
        <v>19226</v>
      </c>
      <c r="F16153" s="58"/>
      <c r="G16153" s="58">
        <f t="shared" si="258"/>
        <v>-19226</v>
      </c>
      <c r="H16153" s="705" t="s">
        <v>10628</v>
      </c>
    </row>
    <row r="16154" spans="1:8" ht="15" customHeight="1" x14ac:dyDescent="0.2">
      <c r="A16154" s="734">
        <v>45145</v>
      </c>
      <c r="B16154" s="41" t="s">
        <v>10242</v>
      </c>
      <c r="C16154" s="63" t="s">
        <v>3145</v>
      </c>
      <c r="D16154" s="108" t="s">
        <v>10705</v>
      </c>
      <c r="E16154" s="126">
        <v>57780</v>
      </c>
      <c r="F16154" s="58"/>
      <c r="G16154" s="58">
        <f t="shared" si="258"/>
        <v>-57780</v>
      </c>
      <c r="H16154" s="705" t="s">
        <v>10628</v>
      </c>
    </row>
    <row r="16155" spans="1:8" ht="15" x14ac:dyDescent="0.2">
      <c r="A16155" s="734">
        <v>45145</v>
      </c>
      <c r="B16155" s="41" t="s">
        <v>9661</v>
      </c>
      <c r="C16155" s="63" t="s">
        <v>3145</v>
      </c>
      <c r="D16155" s="108" t="s">
        <v>10705</v>
      </c>
      <c r="E16155" s="126">
        <v>45024</v>
      </c>
      <c r="F16155" s="58"/>
      <c r="G16155" s="58">
        <f t="shared" si="258"/>
        <v>-45024</v>
      </c>
      <c r="H16155" s="705" t="s">
        <v>10628</v>
      </c>
    </row>
    <row r="16156" spans="1:8" ht="15" x14ac:dyDescent="0.2">
      <c r="A16156" s="734">
        <v>45145</v>
      </c>
      <c r="B16156" s="41" t="s">
        <v>10023</v>
      </c>
      <c r="C16156" s="63" t="s">
        <v>10706</v>
      </c>
      <c r="D16156" s="108" t="s">
        <v>10707</v>
      </c>
      <c r="E16156" s="126">
        <v>88000</v>
      </c>
      <c r="F16156" s="58"/>
      <c r="G16156" s="58">
        <f t="shared" si="258"/>
        <v>-88000</v>
      </c>
      <c r="H16156" s="705" t="s">
        <v>10628</v>
      </c>
    </row>
    <row r="16157" spans="1:8" ht="15" x14ac:dyDescent="0.2">
      <c r="A16157" s="734">
        <v>45145</v>
      </c>
      <c r="B16157" s="41" t="s">
        <v>10296</v>
      </c>
      <c r="C16157" s="63" t="s">
        <v>10708</v>
      </c>
      <c r="D16157" s="108" t="s">
        <v>10709</v>
      </c>
      <c r="E16157" s="126">
        <v>27000</v>
      </c>
      <c r="F16157" s="58"/>
      <c r="G16157" s="58">
        <f t="shared" si="258"/>
        <v>-27000</v>
      </c>
      <c r="H16157" s="705" t="s">
        <v>10628</v>
      </c>
    </row>
    <row r="16158" spans="1:8" ht="15" x14ac:dyDescent="0.2">
      <c r="A16158" s="734">
        <v>45147</v>
      </c>
      <c r="B16158" s="41" t="s">
        <v>9507</v>
      </c>
      <c r="C16158" s="63" t="s">
        <v>359</v>
      </c>
      <c r="D16158" s="108" t="s">
        <v>10710</v>
      </c>
      <c r="E16158" s="126">
        <v>22500</v>
      </c>
      <c r="F16158" s="58"/>
      <c r="G16158" s="58">
        <f t="shared" si="258"/>
        <v>-22500</v>
      </c>
      <c r="H16158" s="705" t="s">
        <v>10628</v>
      </c>
    </row>
    <row r="16159" spans="1:8" ht="15" x14ac:dyDescent="0.2">
      <c r="A16159" s="734">
        <v>45147</v>
      </c>
      <c r="B16159" s="41" t="s">
        <v>9356</v>
      </c>
      <c r="C16159" s="63" t="s">
        <v>6967</v>
      </c>
      <c r="D16159" s="108" t="s">
        <v>2711</v>
      </c>
      <c r="E16159" s="126">
        <v>12000</v>
      </c>
      <c r="F16159" s="58"/>
      <c r="G16159" s="58">
        <f t="shared" si="258"/>
        <v>-12000</v>
      </c>
      <c r="H16159" s="705" t="s">
        <v>10628</v>
      </c>
    </row>
    <row r="16160" spans="1:8" ht="15" x14ac:dyDescent="0.2">
      <c r="A16160" s="734">
        <v>45147</v>
      </c>
      <c r="B16160" s="41" t="s">
        <v>16</v>
      </c>
      <c r="C16160" s="63" t="s">
        <v>103</v>
      </c>
      <c r="D16160" s="108" t="s">
        <v>392</v>
      </c>
      <c r="E16160" s="126">
        <v>1000</v>
      </c>
      <c r="F16160" s="58"/>
      <c r="G16160" s="58">
        <f t="shared" si="258"/>
        <v>-1000</v>
      </c>
      <c r="H16160" s="705" t="s">
        <v>10628</v>
      </c>
    </row>
    <row r="16161" spans="1:8" ht="15" x14ac:dyDescent="0.2">
      <c r="A16161" s="734">
        <v>45147</v>
      </c>
      <c r="B16161" s="41" t="s">
        <v>10338</v>
      </c>
      <c r="C16161" s="63" t="s">
        <v>3145</v>
      </c>
      <c r="D16161" s="108" t="s">
        <v>10711</v>
      </c>
      <c r="E16161" s="126">
        <v>10000</v>
      </c>
      <c r="F16161" s="58"/>
      <c r="G16161" s="58">
        <f t="shared" si="258"/>
        <v>-10000</v>
      </c>
      <c r="H16161" s="705" t="s">
        <v>10628</v>
      </c>
    </row>
    <row r="16162" spans="1:8" ht="15" x14ac:dyDescent="0.2">
      <c r="A16162" s="734">
        <v>45147</v>
      </c>
      <c r="B16162" s="41" t="s">
        <v>10023</v>
      </c>
      <c r="C16162" s="63" t="s">
        <v>5741</v>
      </c>
      <c r="D16162" s="108" t="s">
        <v>370</v>
      </c>
      <c r="E16162" s="126">
        <v>1000</v>
      </c>
      <c r="F16162" s="58"/>
      <c r="G16162" s="58">
        <f t="shared" si="258"/>
        <v>-1000</v>
      </c>
      <c r="H16162" s="705" t="s">
        <v>10628</v>
      </c>
    </row>
    <row r="16163" spans="1:8" ht="15" x14ac:dyDescent="0.2">
      <c r="A16163" s="734">
        <v>45147</v>
      </c>
      <c r="B16163" s="41" t="s">
        <v>10296</v>
      </c>
      <c r="C16163" s="63" t="s">
        <v>5741</v>
      </c>
      <c r="E16163" s="126">
        <v>8000</v>
      </c>
      <c r="F16163" s="58"/>
      <c r="G16163" s="58">
        <f t="shared" si="258"/>
        <v>-8000</v>
      </c>
      <c r="H16163" s="705" t="s">
        <v>10628</v>
      </c>
    </row>
    <row r="16164" spans="1:8" ht="15" x14ac:dyDescent="0.2">
      <c r="A16164" s="734">
        <v>45147</v>
      </c>
      <c r="B16164" s="63" t="s">
        <v>25</v>
      </c>
      <c r="C16164" s="63" t="s">
        <v>392</v>
      </c>
      <c r="D16164" s="108" t="s">
        <v>10713</v>
      </c>
      <c r="E16164" s="126">
        <v>4000</v>
      </c>
      <c r="F16164" s="58"/>
      <c r="G16164" s="58">
        <f t="shared" si="258"/>
        <v>-4000</v>
      </c>
      <c r="H16164" s="705" t="s">
        <v>10628</v>
      </c>
    </row>
    <row r="16165" spans="1:8" ht="15" x14ac:dyDescent="0.2">
      <c r="A16165" s="734">
        <v>45147</v>
      </c>
      <c r="B16165" s="41" t="s">
        <v>10379</v>
      </c>
      <c r="C16165" s="63" t="s">
        <v>4876</v>
      </c>
      <c r="D16165" s="108" t="s">
        <v>10712</v>
      </c>
      <c r="E16165" s="126">
        <v>3000</v>
      </c>
      <c r="F16165" s="58"/>
      <c r="G16165" s="58">
        <f t="shared" si="258"/>
        <v>-3000</v>
      </c>
      <c r="H16165" s="705" t="s">
        <v>10628</v>
      </c>
    </row>
    <row r="16166" spans="1:8" ht="15" x14ac:dyDescent="0.2">
      <c r="A16166" s="734">
        <v>45147</v>
      </c>
      <c r="B16166" s="41" t="s">
        <v>9832</v>
      </c>
      <c r="C16166" s="63" t="s">
        <v>6784</v>
      </c>
      <c r="D16166" s="108" t="s">
        <v>11002</v>
      </c>
      <c r="E16166" s="126">
        <v>200000</v>
      </c>
      <c r="F16166" s="58"/>
      <c r="G16166" s="58">
        <f t="shared" si="258"/>
        <v>-200000</v>
      </c>
      <c r="H16166" s="705" t="s">
        <v>10628</v>
      </c>
    </row>
    <row r="16167" spans="1:8" ht="15" x14ac:dyDescent="0.2">
      <c r="A16167" s="734">
        <v>45147</v>
      </c>
      <c r="B16167" s="41" t="s">
        <v>10338</v>
      </c>
      <c r="C16167" s="63" t="s">
        <v>9460</v>
      </c>
      <c r="D16167" s="108" t="s">
        <v>10720</v>
      </c>
      <c r="E16167" s="126">
        <v>100000</v>
      </c>
      <c r="F16167" s="58"/>
      <c r="G16167" s="58">
        <f t="shared" si="258"/>
        <v>-100000</v>
      </c>
      <c r="H16167" s="705" t="s">
        <v>10628</v>
      </c>
    </row>
    <row r="16168" spans="1:8" ht="15" x14ac:dyDescent="0.2">
      <c r="A16168" s="734">
        <v>45147</v>
      </c>
      <c r="B16168" s="41" t="s">
        <v>103</v>
      </c>
      <c r="C16168" s="63" t="s">
        <v>103</v>
      </c>
      <c r="D16168" s="108" t="s">
        <v>10211</v>
      </c>
      <c r="E16168" s="126">
        <v>2500</v>
      </c>
      <c r="F16168" s="58"/>
      <c r="G16168" s="58">
        <f t="shared" si="258"/>
        <v>-2500</v>
      </c>
      <c r="H16168" s="705" t="s">
        <v>10628</v>
      </c>
    </row>
    <row r="16169" spans="1:8" ht="15" x14ac:dyDescent="0.2">
      <c r="A16169" s="734">
        <v>45147</v>
      </c>
      <c r="B16169" s="41" t="s">
        <v>103</v>
      </c>
      <c r="C16169" s="63" t="s">
        <v>392</v>
      </c>
      <c r="D16169" s="108" t="s">
        <v>10714</v>
      </c>
      <c r="E16169" s="126">
        <v>1000</v>
      </c>
      <c r="F16169" s="58"/>
      <c r="G16169" s="58">
        <f t="shared" si="258"/>
        <v>-1000</v>
      </c>
      <c r="H16169" s="705" t="s">
        <v>10628</v>
      </c>
    </row>
    <row r="16170" spans="1:8" ht="15" x14ac:dyDescent="0.2">
      <c r="A16170" s="734">
        <v>45147</v>
      </c>
      <c r="B16170" s="41" t="s">
        <v>9356</v>
      </c>
      <c r="C16170" s="63" t="s">
        <v>10518</v>
      </c>
      <c r="D16170" s="108" t="s">
        <v>10715</v>
      </c>
      <c r="E16170" s="126">
        <v>1000</v>
      </c>
      <c r="F16170" s="58"/>
      <c r="G16170" s="58">
        <f t="shared" si="258"/>
        <v>-1000</v>
      </c>
      <c r="H16170" s="705" t="s">
        <v>10628</v>
      </c>
    </row>
    <row r="16171" spans="1:8" ht="15" x14ac:dyDescent="0.2">
      <c r="A16171" s="734">
        <v>45147</v>
      </c>
      <c r="B16171" s="41" t="s">
        <v>9402</v>
      </c>
      <c r="C16171" s="63" t="s">
        <v>5741</v>
      </c>
      <c r="D16171" s="108" t="s">
        <v>10337</v>
      </c>
      <c r="E16171" s="126">
        <v>500</v>
      </c>
      <c r="F16171" s="58"/>
      <c r="G16171" s="58">
        <f t="shared" si="258"/>
        <v>-500</v>
      </c>
      <c r="H16171" s="705" t="s">
        <v>10628</v>
      </c>
    </row>
    <row r="16172" spans="1:8" ht="15" x14ac:dyDescent="0.2">
      <c r="A16172" s="734">
        <v>45148</v>
      </c>
      <c r="B16172" s="41" t="s">
        <v>9507</v>
      </c>
      <c r="C16172" s="63" t="s">
        <v>3145</v>
      </c>
      <c r="D16172" s="108" t="s">
        <v>10716</v>
      </c>
      <c r="E16172" s="126">
        <v>1630</v>
      </c>
      <c r="F16172" s="58"/>
      <c r="G16172" s="58">
        <f t="shared" si="258"/>
        <v>-1630</v>
      </c>
      <c r="H16172" s="705" t="s">
        <v>10628</v>
      </c>
    </row>
    <row r="16173" spans="1:8" ht="15" x14ac:dyDescent="0.2">
      <c r="A16173" s="734">
        <v>45148</v>
      </c>
      <c r="B16173" s="41" t="s">
        <v>9507</v>
      </c>
      <c r="C16173" s="63" t="s">
        <v>286</v>
      </c>
      <c r="D16173" s="108" t="s">
        <v>8448</v>
      </c>
      <c r="E16173" s="126">
        <v>1340</v>
      </c>
      <c r="F16173" s="58"/>
      <c r="G16173" s="58">
        <f t="shared" si="258"/>
        <v>-1340</v>
      </c>
      <c r="H16173" s="705" t="s">
        <v>10628</v>
      </c>
    </row>
    <row r="16174" spans="1:8" ht="15" x14ac:dyDescent="0.2">
      <c r="A16174" s="734">
        <v>45148</v>
      </c>
      <c r="B16174" s="41" t="s">
        <v>10296</v>
      </c>
      <c r="C16174" s="63" t="s">
        <v>5387</v>
      </c>
      <c r="D16174" s="108" t="s">
        <v>10717</v>
      </c>
      <c r="E16174" s="126">
        <v>13000</v>
      </c>
      <c r="F16174" s="58"/>
      <c r="G16174" s="58">
        <f t="shared" si="258"/>
        <v>-13000</v>
      </c>
      <c r="H16174" s="705" t="s">
        <v>10628</v>
      </c>
    </row>
    <row r="16175" spans="1:8" ht="15" x14ac:dyDescent="0.2">
      <c r="A16175" s="734">
        <v>45148</v>
      </c>
      <c r="B16175" s="41" t="s">
        <v>103</v>
      </c>
      <c r="C16175" s="63" t="s">
        <v>103</v>
      </c>
      <c r="D16175" s="108" t="s">
        <v>10211</v>
      </c>
      <c r="E16175" s="126">
        <v>2500</v>
      </c>
      <c r="F16175" s="58"/>
      <c r="G16175" s="58">
        <f t="shared" si="258"/>
        <v>-2500</v>
      </c>
      <c r="H16175" s="705" t="s">
        <v>10628</v>
      </c>
    </row>
    <row r="16176" spans="1:8" ht="15" x14ac:dyDescent="0.2">
      <c r="A16176" s="734">
        <v>45148</v>
      </c>
      <c r="B16176" s="41" t="s">
        <v>10296</v>
      </c>
      <c r="C16176" s="63" t="s">
        <v>392</v>
      </c>
      <c r="D16176" s="108" t="s">
        <v>4309</v>
      </c>
      <c r="E16176" s="126">
        <v>4280</v>
      </c>
      <c r="F16176" s="58"/>
      <c r="G16176" s="58">
        <f t="shared" si="258"/>
        <v>-4280</v>
      </c>
      <c r="H16176" s="705" t="s">
        <v>10628</v>
      </c>
    </row>
    <row r="16177" spans="1:8" ht="15" x14ac:dyDescent="0.2">
      <c r="A16177" s="734">
        <v>45148</v>
      </c>
      <c r="B16177" s="41" t="s">
        <v>16</v>
      </c>
      <c r="C16177" s="63" t="s">
        <v>7929</v>
      </c>
      <c r="D16177" s="108" t="s">
        <v>10734</v>
      </c>
      <c r="E16177" s="126">
        <v>30000</v>
      </c>
      <c r="F16177" s="58"/>
      <c r="G16177" s="58">
        <f t="shared" si="258"/>
        <v>-30000</v>
      </c>
      <c r="H16177" s="705" t="s">
        <v>10628</v>
      </c>
    </row>
    <row r="16178" spans="1:8" ht="15" x14ac:dyDescent="0.2">
      <c r="A16178" s="734">
        <v>45148</v>
      </c>
      <c r="B16178" s="41" t="s">
        <v>9356</v>
      </c>
      <c r="C16178" s="63" t="s">
        <v>10518</v>
      </c>
      <c r="D16178" s="108" t="s">
        <v>10715</v>
      </c>
      <c r="E16178" s="126">
        <v>500</v>
      </c>
      <c r="F16178" s="58"/>
      <c r="G16178" s="58">
        <f t="shared" si="258"/>
        <v>-500</v>
      </c>
      <c r="H16178" s="705" t="s">
        <v>10628</v>
      </c>
    </row>
    <row r="16179" spans="1:8" ht="15" x14ac:dyDescent="0.2">
      <c r="A16179" s="734">
        <v>45148</v>
      </c>
      <c r="B16179" s="41" t="s">
        <v>10576</v>
      </c>
      <c r="C16179" s="63" t="s">
        <v>10704</v>
      </c>
      <c r="D16179" s="108" t="s">
        <v>10731</v>
      </c>
      <c r="E16179" s="126">
        <v>200</v>
      </c>
      <c r="F16179" s="58"/>
      <c r="G16179" s="58">
        <f t="shared" si="258"/>
        <v>-200</v>
      </c>
      <c r="H16179" s="705" t="s">
        <v>10628</v>
      </c>
    </row>
    <row r="16180" spans="1:8" ht="15" x14ac:dyDescent="0.2">
      <c r="A16180" s="734">
        <v>45148</v>
      </c>
      <c r="B16180" s="41" t="s">
        <v>9402</v>
      </c>
      <c r="C16180" s="63" t="s">
        <v>392</v>
      </c>
      <c r="D16180" s="108" t="s">
        <v>10732</v>
      </c>
      <c r="E16180" s="126">
        <v>1000</v>
      </c>
      <c r="F16180" s="58"/>
      <c r="G16180" s="58">
        <f t="shared" si="258"/>
        <v>-1000</v>
      </c>
      <c r="H16180" s="705" t="s">
        <v>10628</v>
      </c>
    </row>
    <row r="16181" spans="1:8" ht="15" x14ac:dyDescent="0.2">
      <c r="A16181" s="734">
        <v>45148</v>
      </c>
      <c r="B16181" s="41" t="s">
        <v>9402</v>
      </c>
      <c r="C16181" s="63" t="s">
        <v>286</v>
      </c>
      <c r="D16181" s="108" t="s">
        <v>2431</v>
      </c>
      <c r="E16181" s="126">
        <v>1000</v>
      </c>
      <c r="F16181" s="58"/>
      <c r="G16181" s="58">
        <f t="shared" si="258"/>
        <v>-1000</v>
      </c>
      <c r="H16181" s="705" t="s">
        <v>10628</v>
      </c>
    </row>
    <row r="16182" spans="1:8" ht="15" x14ac:dyDescent="0.2">
      <c r="A16182" s="734">
        <v>45148</v>
      </c>
      <c r="B16182" s="41" t="s">
        <v>10338</v>
      </c>
      <c r="C16182" s="63" t="s">
        <v>3145</v>
      </c>
      <c r="D16182" s="108" t="s">
        <v>10733</v>
      </c>
      <c r="E16182" s="126">
        <v>2000</v>
      </c>
      <c r="F16182" s="58"/>
      <c r="G16182" s="58">
        <f t="shared" si="258"/>
        <v>-2000</v>
      </c>
      <c r="H16182" s="705" t="s">
        <v>10628</v>
      </c>
    </row>
    <row r="16183" spans="1:8" ht="15" x14ac:dyDescent="0.2">
      <c r="A16183" s="734">
        <v>45148</v>
      </c>
      <c r="B16183" s="41" t="s">
        <v>9507</v>
      </c>
      <c r="C16183" s="63" t="s">
        <v>3145</v>
      </c>
      <c r="D16183" s="108" t="s">
        <v>10735</v>
      </c>
      <c r="E16183" s="126">
        <v>2200</v>
      </c>
      <c r="F16183" s="58"/>
      <c r="G16183" s="58">
        <f t="shared" si="258"/>
        <v>-2200</v>
      </c>
      <c r="H16183" s="705" t="s">
        <v>10628</v>
      </c>
    </row>
    <row r="16184" spans="1:8" ht="15" customHeight="1" x14ac:dyDescent="0.2">
      <c r="A16184" s="734">
        <v>45148</v>
      </c>
      <c r="B16184" s="41" t="s">
        <v>9356</v>
      </c>
      <c r="C16184" s="63" t="s">
        <v>392</v>
      </c>
      <c r="D16184" s="108" t="s">
        <v>10736</v>
      </c>
      <c r="E16184" s="126">
        <v>1760</v>
      </c>
      <c r="F16184" s="58"/>
      <c r="G16184" s="58">
        <f t="shared" si="258"/>
        <v>-1760</v>
      </c>
      <c r="H16184" s="705" t="s">
        <v>10628</v>
      </c>
    </row>
    <row r="16185" spans="1:8" ht="15" x14ac:dyDescent="0.2">
      <c r="A16185" s="734">
        <v>45148</v>
      </c>
      <c r="B16185" s="41" t="s">
        <v>7807</v>
      </c>
      <c r="C16185" s="63" t="s">
        <v>790</v>
      </c>
      <c r="D16185" s="108" t="s">
        <v>10737</v>
      </c>
      <c r="E16185" s="126">
        <v>5600</v>
      </c>
      <c r="F16185" s="58"/>
      <c r="G16185" s="58">
        <f t="shared" si="258"/>
        <v>-5600</v>
      </c>
      <c r="H16185" s="705" t="s">
        <v>10628</v>
      </c>
    </row>
    <row r="16186" spans="1:8" ht="15" x14ac:dyDescent="0.2">
      <c r="A16186" s="734">
        <v>45148</v>
      </c>
      <c r="B16186" s="63" t="s">
        <v>10909</v>
      </c>
      <c r="C16186" s="63" t="s">
        <v>790</v>
      </c>
      <c r="D16186" s="108" t="s">
        <v>370</v>
      </c>
      <c r="E16186" s="126">
        <v>650</v>
      </c>
      <c r="F16186" s="58"/>
      <c r="G16186" s="58">
        <f t="shared" si="258"/>
        <v>-650</v>
      </c>
      <c r="H16186" s="705" t="s">
        <v>10628</v>
      </c>
    </row>
    <row r="16187" spans="1:8" ht="15" customHeight="1" x14ac:dyDescent="0.2">
      <c r="A16187" s="734">
        <v>45148</v>
      </c>
      <c r="B16187" s="41" t="s">
        <v>10232</v>
      </c>
      <c r="C16187" s="63" t="s">
        <v>790</v>
      </c>
      <c r="D16187" s="108" t="s">
        <v>370</v>
      </c>
      <c r="E16187" s="126">
        <v>3200</v>
      </c>
      <c r="F16187" s="58"/>
      <c r="G16187" s="58">
        <f t="shared" si="258"/>
        <v>-3200</v>
      </c>
      <c r="H16187" s="705" t="s">
        <v>10628</v>
      </c>
    </row>
    <row r="16188" spans="1:8" ht="15" customHeight="1" x14ac:dyDescent="0.2">
      <c r="A16188" s="734">
        <v>45148</v>
      </c>
      <c r="B16188" s="41" t="s">
        <v>8043</v>
      </c>
      <c r="C16188" s="63" t="s">
        <v>790</v>
      </c>
      <c r="D16188" s="108" t="s">
        <v>370</v>
      </c>
      <c r="E16188" s="126">
        <v>3400</v>
      </c>
      <c r="F16188" s="58"/>
      <c r="G16188" s="58">
        <f t="shared" si="258"/>
        <v>-3400</v>
      </c>
      <c r="H16188" s="705" t="s">
        <v>10628</v>
      </c>
    </row>
    <row r="16189" spans="1:8" ht="15" x14ac:dyDescent="0.2">
      <c r="A16189" s="734">
        <v>45148</v>
      </c>
      <c r="B16189" s="41" t="s">
        <v>10379</v>
      </c>
      <c r="C16189" s="63" t="s">
        <v>790</v>
      </c>
      <c r="D16189" s="108" t="s">
        <v>370</v>
      </c>
      <c r="E16189" s="126">
        <v>1050</v>
      </c>
      <c r="F16189" s="58"/>
      <c r="G16189" s="58">
        <f t="shared" si="258"/>
        <v>-1050</v>
      </c>
      <c r="H16189" s="705" t="s">
        <v>10628</v>
      </c>
    </row>
    <row r="16190" spans="1:8" ht="15" x14ac:dyDescent="0.2">
      <c r="A16190" s="734">
        <v>45148</v>
      </c>
      <c r="B16190" s="41" t="s">
        <v>10576</v>
      </c>
      <c r="C16190" s="63" t="s">
        <v>790</v>
      </c>
      <c r="D16190" s="108" t="s">
        <v>370</v>
      </c>
      <c r="E16190" s="126">
        <v>2100</v>
      </c>
      <c r="F16190" s="58"/>
      <c r="G16190" s="58">
        <f t="shared" si="258"/>
        <v>-2100</v>
      </c>
      <c r="H16190" s="705" t="s">
        <v>10628</v>
      </c>
    </row>
    <row r="16191" spans="1:8" ht="15" x14ac:dyDescent="0.2">
      <c r="A16191" s="734">
        <v>45148</v>
      </c>
      <c r="B16191" s="41" t="s">
        <v>16</v>
      </c>
      <c r="C16191" s="63" t="s">
        <v>1495</v>
      </c>
      <c r="D16191" s="108" t="s">
        <v>370</v>
      </c>
      <c r="E16191" s="126">
        <v>2000</v>
      </c>
      <c r="F16191" s="58"/>
      <c r="G16191" s="58">
        <f t="shared" ref="G16191:G16254" si="259">F16191-E16191</f>
        <v>-2000</v>
      </c>
      <c r="H16191" s="705" t="s">
        <v>10628</v>
      </c>
    </row>
    <row r="16192" spans="1:8" ht="15" x14ac:dyDescent="0.2">
      <c r="A16192" s="734">
        <v>45148</v>
      </c>
      <c r="B16192" s="41" t="s">
        <v>10144</v>
      </c>
      <c r="C16192" s="63" t="s">
        <v>1230</v>
      </c>
      <c r="D16192" s="108" t="s">
        <v>10738</v>
      </c>
      <c r="E16192" s="126">
        <v>17360</v>
      </c>
      <c r="F16192" s="58"/>
      <c r="G16192" s="58">
        <f t="shared" si="259"/>
        <v>-17360</v>
      </c>
      <c r="H16192" s="705" t="s">
        <v>10628</v>
      </c>
    </row>
    <row r="16193" spans="1:8" ht="15" x14ac:dyDescent="0.2">
      <c r="A16193" s="734">
        <v>45149</v>
      </c>
      <c r="B16193" s="41" t="s">
        <v>3946</v>
      </c>
      <c r="C16193" s="63" t="s">
        <v>3033</v>
      </c>
      <c r="D16193" s="108" t="s">
        <v>370</v>
      </c>
      <c r="E16193" s="126">
        <v>20000</v>
      </c>
      <c r="F16193" s="58"/>
      <c r="G16193" s="58">
        <f t="shared" si="259"/>
        <v>-20000</v>
      </c>
      <c r="H16193" s="705" t="s">
        <v>10628</v>
      </c>
    </row>
    <row r="16194" spans="1:8" ht="15" customHeight="1" x14ac:dyDescent="0.2">
      <c r="A16194" s="734">
        <v>45149</v>
      </c>
      <c r="B16194" s="41" t="s">
        <v>9402</v>
      </c>
      <c r="C16194" s="63" t="s">
        <v>5741</v>
      </c>
      <c r="D16194" s="108" t="s">
        <v>370</v>
      </c>
      <c r="E16194" s="126">
        <v>2800</v>
      </c>
      <c r="F16194" s="58"/>
      <c r="G16194" s="58">
        <f t="shared" si="259"/>
        <v>-2800</v>
      </c>
      <c r="H16194" s="705" t="s">
        <v>10628</v>
      </c>
    </row>
    <row r="16195" spans="1:8" ht="15" customHeight="1" x14ac:dyDescent="0.2">
      <c r="A16195" s="734">
        <v>45149</v>
      </c>
      <c r="B16195" s="41" t="s">
        <v>8559</v>
      </c>
      <c r="C16195" s="63" t="s">
        <v>63</v>
      </c>
      <c r="D16195" s="108" t="s">
        <v>10739</v>
      </c>
      <c r="E16195" s="126">
        <v>6000</v>
      </c>
      <c r="F16195" s="58"/>
      <c r="G16195" s="58">
        <f t="shared" si="259"/>
        <v>-6000</v>
      </c>
      <c r="H16195" s="705" t="s">
        <v>10628</v>
      </c>
    </row>
    <row r="16196" spans="1:8" ht="15" x14ac:dyDescent="0.2">
      <c r="A16196" s="734">
        <v>45149</v>
      </c>
      <c r="B16196" s="41" t="s">
        <v>8876</v>
      </c>
      <c r="C16196" s="63" t="s">
        <v>286</v>
      </c>
      <c r="D16196" s="108" t="s">
        <v>8163</v>
      </c>
      <c r="E16196" s="126">
        <v>200</v>
      </c>
      <c r="F16196" s="58"/>
      <c r="G16196" s="58">
        <f t="shared" si="259"/>
        <v>-200</v>
      </c>
      <c r="H16196" s="705" t="s">
        <v>10628</v>
      </c>
    </row>
    <row r="16197" spans="1:8" ht="15" x14ac:dyDescent="0.2">
      <c r="A16197" s="734">
        <v>45149</v>
      </c>
      <c r="B16197" s="41" t="s">
        <v>9402</v>
      </c>
      <c r="C16197" s="63" t="s">
        <v>5741</v>
      </c>
      <c r="D16197" s="108" t="s">
        <v>370</v>
      </c>
      <c r="E16197" s="126">
        <v>600</v>
      </c>
      <c r="F16197" s="58"/>
      <c r="G16197" s="58">
        <f t="shared" si="259"/>
        <v>-600</v>
      </c>
      <c r="H16197" s="705" t="s">
        <v>10628</v>
      </c>
    </row>
    <row r="16198" spans="1:8" ht="15" customHeight="1" x14ac:dyDescent="0.2">
      <c r="A16198" s="734">
        <v>45150</v>
      </c>
      <c r="B16198" s="41" t="s">
        <v>103</v>
      </c>
      <c r="C16198" s="63" t="s">
        <v>103</v>
      </c>
      <c r="D16198" s="108" t="s">
        <v>10211</v>
      </c>
      <c r="E16198" s="126">
        <v>3000</v>
      </c>
      <c r="F16198" s="58"/>
      <c r="G16198" s="58">
        <f t="shared" si="259"/>
        <v>-3000</v>
      </c>
      <c r="H16198" s="705" t="s">
        <v>10628</v>
      </c>
    </row>
    <row r="16199" spans="1:8" ht="15" x14ac:dyDescent="0.2">
      <c r="A16199" s="734">
        <v>45150</v>
      </c>
      <c r="B16199" s="41" t="s">
        <v>10379</v>
      </c>
      <c r="C16199" s="63" t="s">
        <v>5741</v>
      </c>
      <c r="D16199" s="108" t="s">
        <v>370</v>
      </c>
      <c r="E16199" s="126">
        <v>300</v>
      </c>
      <c r="F16199" s="58"/>
      <c r="G16199" s="58">
        <f t="shared" si="259"/>
        <v>-300</v>
      </c>
      <c r="H16199" s="705" t="s">
        <v>10628</v>
      </c>
    </row>
    <row r="16200" spans="1:8" ht="15" x14ac:dyDescent="0.2">
      <c r="A16200" s="734">
        <v>45150</v>
      </c>
      <c r="B16200" s="41" t="s">
        <v>10296</v>
      </c>
      <c r="C16200" s="63" t="s">
        <v>5387</v>
      </c>
      <c r="D16200" s="108" t="s">
        <v>10742</v>
      </c>
      <c r="E16200" s="126">
        <v>2000</v>
      </c>
      <c r="F16200" s="58"/>
      <c r="G16200" s="58">
        <f t="shared" si="259"/>
        <v>-2000</v>
      </c>
      <c r="H16200" s="705" t="s">
        <v>10628</v>
      </c>
    </row>
    <row r="16201" spans="1:8" ht="15" x14ac:dyDescent="0.2">
      <c r="A16201" s="734">
        <v>45150</v>
      </c>
      <c r="B16201" s="41" t="s">
        <v>9356</v>
      </c>
      <c r="C16201" s="63" t="s">
        <v>392</v>
      </c>
      <c r="D16201" s="108" t="s">
        <v>10743</v>
      </c>
      <c r="E16201" s="126">
        <v>12200</v>
      </c>
      <c r="F16201" s="58"/>
      <c r="G16201" s="58">
        <f t="shared" si="259"/>
        <v>-12200</v>
      </c>
      <c r="H16201" s="705" t="s">
        <v>10628</v>
      </c>
    </row>
    <row r="16202" spans="1:8" ht="15" x14ac:dyDescent="0.2">
      <c r="A16202" s="734">
        <v>45150</v>
      </c>
      <c r="B16202" s="41" t="s">
        <v>9769</v>
      </c>
      <c r="C16202" s="63" t="s">
        <v>1509</v>
      </c>
      <c r="D16202" s="108" t="s">
        <v>10219</v>
      </c>
      <c r="E16202" s="126">
        <v>250000</v>
      </c>
      <c r="F16202" s="58"/>
      <c r="G16202" s="58">
        <f t="shared" si="259"/>
        <v>-250000</v>
      </c>
      <c r="H16202" s="705" t="s">
        <v>10628</v>
      </c>
    </row>
    <row r="16203" spans="1:8" ht="15" x14ac:dyDescent="0.2">
      <c r="A16203" s="734">
        <v>45150</v>
      </c>
      <c r="B16203" s="41" t="s">
        <v>10296</v>
      </c>
      <c r="C16203" s="63" t="s">
        <v>392</v>
      </c>
      <c r="D16203" s="108" t="s">
        <v>4309</v>
      </c>
      <c r="E16203" s="126">
        <v>1500</v>
      </c>
      <c r="F16203" s="58"/>
      <c r="G16203" s="58">
        <f t="shared" si="259"/>
        <v>-1500</v>
      </c>
      <c r="H16203" s="705" t="s">
        <v>10628</v>
      </c>
    </row>
    <row r="16204" spans="1:8" ht="15" customHeight="1" x14ac:dyDescent="0.2">
      <c r="A16204" s="734">
        <v>45150</v>
      </c>
      <c r="B16204" s="41" t="s">
        <v>10379</v>
      </c>
      <c r="C16204" s="63" t="s">
        <v>3145</v>
      </c>
      <c r="D16204" s="108" t="s">
        <v>9414</v>
      </c>
      <c r="E16204" s="126">
        <v>5470</v>
      </c>
      <c r="F16204" s="58"/>
      <c r="G16204" s="58">
        <f t="shared" si="259"/>
        <v>-5470</v>
      </c>
      <c r="H16204" s="705" t="s">
        <v>10628</v>
      </c>
    </row>
    <row r="16205" spans="1:8" ht="15" customHeight="1" x14ac:dyDescent="0.2">
      <c r="A16205" s="734">
        <v>45150</v>
      </c>
      <c r="B16205" s="41" t="s">
        <v>10296</v>
      </c>
      <c r="C16205" s="63" t="s">
        <v>3145</v>
      </c>
      <c r="D16205" s="108" t="s">
        <v>10755</v>
      </c>
      <c r="E16205" s="126">
        <v>19300</v>
      </c>
      <c r="F16205" s="58"/>
      <c r="G16205" s="58">
        <f t="shared" si="259"/>
        <v>-19300</v>
      </c>
      <c r="H16205" s="705" t="s">
        <v>10628</v>
      </c>
    </row>
    <row r="16206" spans="1:8" ht="15" customHeight="1" x14ac:dyDescent="0.2">
      <c r="A16206" s="734">
        <v>45150</v>
      </c>
      <c r="B16206" s="41" t="s">
        <v>10379</v>
      </c>
      <c r="C16206" s="63" t="s">
        <v>3145</v>
      </c>
      <c r="D16206" s="108" t="s">
        <v>10756</v>
      </c>
      <c r="E16206" s="126">
        <v>13000</v>
      </c>
      <c r="F16206" s="58"/>
      <c r="G16206" s="58">
        <f t="shared" si="259"/>
        <v>-13000</v>
      </c>
      <c r="H16206" s="705" t="s">
        <v>10628</v>
      </c>
    </row>
    <row r="16207" spans="1:8" ht="15" customHeight="1" x14ac:dyDescent="0.2">
      <c r="A16207" s="734">
        <v>45150</v>
      </c>
      <c r="B16207" s="41" t="s">
        <v>10296</v>
      </c>
      <c r="C16207" s="551" t="s">
        <v>3145</v>
      </c>
      <c r="D16207" s="893" t="s">
        <v>10759</v>
      </c>
      <c r="E16207" s="552">
        <v>6167</v>
      </c>
      <c r="F16207" s="58"/>
      <c r="G16207" s="58">
        <f t="shared" si="259"/>
        <v>-6167</v>
      </c>
      <c r="H16207" s="705" t="s">
        <v>10628</v>
      </c>
    </row>
    <row r="16208" spans="1:8" ht="15" customHeight="1" x14ac:dyDescent="0.2">
      <c r="A16208" s="734">
        <v>45150</v>
      </c>
      <c r="B16208" s="41" t="s">
        <v>10232</v>
      </c>
      <c r="C16208" s="551" t="s">
        <v>3145</v>
      </c>
      <c r="D16208" s="893" t="s">
        <v>10759</v>
      </c>
      <c r="E16208" s="552">
        <v>6167</v>
      </c>
      <c r="F16208" s="58"/>
      <c r="G16208" s="58">
        <f t="shared" si="259"/>
        <v>-6167</v>
      </c>
      <c r="H16208" s="705" t="s">
        <v>10628</v>
      </c>
    </row>
    <row r="16209" spans="1:8" ht="15" customHeight="1" x14ac:dyDescent="0.2">
      <c r="A16209" s="734">
        <v>45150</v>
      </c>
      <c r="B16209" s="41" t="s">
        <v>10379</v>
      </c>
      <c r="C16209" s="551" t="s">
        <v>3145</v>
      </c>
      <c r="D16209" s="893" t="s">
        <v>10759</v>
      </c>
      <c r="E16209" s="552">
        <v>6167</v>
      </c>
      <c r="F16209" s="58"/>
      <c r="G16209" s="58">
        <f t="shared" si="259"/>
        <v>-6167</v>
      </c>
      <c r="H16209" s="705" t="s">
        <v>10628</v>
      </c>
    </row>
    <row r="16210" spans="1:8" ht="15" customHeight="1" x14ac:dyDescent="0.2">
      <c r="A16210" s="734">
        <v>45150</v>
      </c>
      <c r="B16210" s="41" t="s">
        <v>10296</v>
      </c>
      <c r="C16210" s="670" t="s">
        <v>3145</v>
      </c>
      <c r="D16210" s="913" t="s">
        <v>10760</v>
      </c>
      <c r="E16210" s="672">
        <v>14673</v>
      </c>
      <c r="F16210" s="58"/>
      <c r="G16210" s="58">
        <f t="shared" si="259"/>
        <v>-14673</v>
      </c>
      <c r="H16210" s="705" t="s">
        <v>10628</v>
      </c>
    </row>
    <row r="16211" spans="1:8" ht="15" customHeight="1" x14ac:dyDescent="0.2">
      <c r="A16211" s="734">
        <v>45150</v>
      </c>
      <c r="B16211" s="41" t="s">
        <v>10232</v>
      </c>
      <c r="C16211" s="670" t="s">
        <v>3145</v>
      </c>
      <c r="D16211" s="913" t="s">
        <v>10760</v>
      </c>
      <c r="E16211" s="672">
        <v>14673</v>
      </c>
      <c r="F16211" s="58"/>
      <c r="G16211" s="58">
        <f t="shared" si="259"/>
        <v>-14673</v>
      </c>
      <c r="H16211" s="705" t="s">
        <v>10628</v>
      </c>
    </row>
    <row r="16212" spans="1:8" ht="15" customHeight="1" x14ac:dyDescent="0.2">
      <c r="A16212" s="734">
        <v>45150</v>
      </c>
      <c r="B16212" s="41" t="s">
        <v>10379</v>
      </c>
      <c r="C16212" s="670" t="s">
        <v>3145</v>
      </c>
      <c r="D16212" s="913" t="s">
        <v>10760</v>
      </c>
      <c r="E16212" s="672">
        <v>14673</v>
      </c>
      <c r="F16212" s="58"/>
      <c r="G16212" s="58">
        <f t="shared" si="259"/>
        <v>-14673</v>
      </c>
      <c r="H16212" s="705" t="s">
        <v>10628</v>
      </c>
    </row>
    <row r="16213" spans="1:8" ht="15" customHeight="1" x14ac:dyDescent="0.2">
      <c r="A16213" s="734">
        <v>45150</v>
      </c>
      <c r="B16213" s="41" t="s">
        <v>10296</v>
      </c>
      <c r="C16213" s="551" t="s">
        <v>3145</v>
      </c>
      <c r="D16213" s="893" t="s">
        <v>10761</v>
      </c>
      <c r="E16213" s="552">
        <v>14167</v>
      </c>
      <c r="F16213" s="58"/>
      <c r="G16213" s="58">
        <f t="shared" si="259"/>
        <v>-14167</v>
      </c>
      <c r="H16213" s="705" t="s">
        <v>10628</v>
      </c>
    </row>
    <row r="16214" spans="1:8" ht="15" customHeight="1" x14ac:dyDescent="0.2">
      <c r="A16214" s="734">
        <v>45150</v>
      </c>
      <c r="B16214" s="41" t="s">
        <v>10232</v>
      </c>
      <c r="C16214" s="551" t="s">
        <v>3145</v>
      </c>
      <c r="D16214" s="893" t="s">
        <v>10761</v>
      </c>
      <c r="E16214" s="552">
        <v>14167</v>
      </c>
      <c r="F16214" s="58"/>
      <c r="G16214" s="58">
        <f t="shared" si="259"/>
        <v>-14167</v>
      </c>
      <c r="H16214" s="705" t="s">
        <v>10628</v>
      </c>
    </row>
    <row r="16215" spans="1:8" ht="15" customHeight="1" x14ac:dyDescent="0.2">
      <c r="A16215" s="734">
        <v>45150</v>
      </c>
      <c r="B16215" s="41" t="s">
        <v>10379</v>
      </c>
      <c r="C16215" s="551" t="s">
        <v>3145</v>
      </c>
      <c r="D16215" s="893" t="s">
        <v>10761</v>
      </c>
      <c r="E16215" s="552">
        <v>14167</v>
      </c>
      <c r="F16215" s="58"/>
      <c r="G16215" s="58">
        <f t="shared" si="259"/>
        <v>-14167</v>
      </c>
      <c r="H16215" s="705" t="s">
        <v>10628</v>
      </c>
    </row>
    <row r="16216" spans="1:8" ht="15" customHeight="1" x14ac:dyDescent="0.2">
      <c r="A16216" s="734">
        <v>45150</v>
      </c>
      <c r="B16216" s="41" t="s">
        <v>10296</v>
      </c>
      <c r="C16216" s="63" t="s">
        <v>8792</v>
      </c>
      <c r="D16216" s="108" t="s">
        <v>10758</v>
      </c>
      <c r="E16216" s="126">
        <v>60000</v>
      </c>
      <c r="F16216" s="58"/>
      <c r="G16216" s="58">
        <f t="shared" si="259"/>
        <v>-60000</v>
      </c>
      <c r="H16216" s="705" t="s">
        <v>10628</v>
      </c>
    </row>
    <row r="16217" spans="1:8" ht="15" x14ac:dyDescent="0.2">
      <c r="A16217" s="734">
        <v>45150</v>
      </c>
      <c r="B16217" s="41" t="s">
        <v>9402</v>
      </c>
      <c r="C16217" s="63" t="s">
        <v>359</v>
      </c>
      <c r="D16217" s="108" t="s">
        <v>10757</v>
      </c>
      <c r="E16217" s="126">
        <v>18000</v>
      </c>
      <c r="F16217" s="58"/>
      <c r="G16217" s="58">
        <f t="shared" si="259"/>
        <v>-18000</v>
      </c>
      <c r="H16217" s="705" t="s">
        <v>10628</v>
      </c>
    </row>
    <row r="16218" spans="1:8" ht="15" x14ac:dyDescent="0.2">
      <c r="A16218" s="734">
        <v>45150</v>
      </c>
      <c r="B16218" s="41" t="s">
        <v>2933</v>
      </c>
      <c r="C16218" s="63" t="s">
        <v>392</v>
      </c>
      <c r="D16218" s="108" t="s">
        <v>6486</v>
      </c>
      <c r="E16218" s="126">
        <v>3390</v>
      </c>
      <c r="F16218" s="58"/>
      <c r="G16218" s="58">
        <f t="shared" si="259"/>
        <v>-3390</v>
      </c>
      <c r="H16218" s="705" t="s">
        <v>10628</v>
      </c>
    </row>
    <row r="16219" spans="1:8" ht="15" x14ac:dyDescent="0.2">
      <c r="A16219" s="734">
        <v>45150</v>
      </c>
      <c r="B16219" s="41" t="s">
        <v>10379</v>
      </c>
      <c r="C16219" s="63" t="s">
        <v>10236</v>
      </c>
      <c r="D16219" s="108" t="s">
        <v>10237</v>
      </c>
      <c r="E16219" s="126">
        <v>36104</v>
      </c>
      <c r="F16219" s="58"/>
      <c r="G16219" s="58">
        <f t="shared" si="259"/>
        <v>-36104</v>
      </c>
      <c r="H16219" s="705" t="s">
        <v>10628</v>
      </c>
    </row>
    <row r="16220" spans="1:8" ht="15" x14ac:dyDescent="0.2">
      <c r="A16220" s="734">
        <v>45153</v>
      </c>
      <c r="B16220" s="41" t="s">
        <v>9661</v>
      </c>
      <c r="C16220" s="63" t="s">
        <v>3446</v>
      </c>
      <c r="D16220" s="108" t="s">
        <v>9525</v>
      </c>
      <c r="E16220" s="126">
        <v>30000</v>
      </c>
      <c r="F16220" s="58"/>
      <c r="G16220" s="58">
        <f t="shared" si="259"/>
        <v>-30000</v>
      </c>
      <c r="H16220" s="705" t="s">
        <v>10628</v>
      </c>
    </row>
    <row r="16221" spans="1:8" ht="15" x14ac:dyDescent="0.2">
      <c r="A16221" s="734">
        <v>45153</v>
      </c>
      <c r="B16221" s="41" t="s">
        <v>10379</v>
      </c>
      <c r="C16221" s="63" t="s">
        <v>3446</v>
      </c>
      <c r="D16221" s="108" t="s">
        <v>9525</v>
      </c>
      <c r="E16221" s="126">
        <v>30000</v>
      </c>
      <c r="F16221" s="58"/>
      <c r="G16221" s="58">
        <f t="shared" si="259"/>
        <v>-30000</v>
      </c>
      <c r="H16221" s="705" t="s">
        <v>10628</v>
      </c>
    </row>
    <row r="16222" spans="1:8" ht="15" x14ac:dyDescent="0.2">
      <c r="A16222" s="734">
        <v>45153</v>
      </c>
      <c r="B16222" s="41" t="s">
        <v>10296</v>
      </c>
      <c r="C16222" s="63" t="s">
        <v>286</v>
      </c>
      <c r="D16222" s="108" t="s">
        <v>10764</v>
      </c>
      <c r="E16222" s="126">
        <v>1400</v>
      </c>
      <c r="F16222" s="58"/>
      <c r="G16222" s="58">
        <f t="shared" si="259"/>
        <v>-1400</v>
      </c>
      <c r="H16222" s="705" t="s">
        <v>10628</v>
      </c>
    </row>
    <row r="16223" spans="1:8" ht="15" x14ac:dyDescent="0.2">
      <c r="A16223" s="734">
        <v>45153</v>
      </c>
      <c r="B16223" s="41" t="s">
        <v>10296</v>
      </c>
      <c r="C16223" s="63" t="s">
        <v>5741</v>
      </c>
      <c r="D16223" s="108" t="s">
        <v>10762</v>
      </c>
      <c r="E16223" s="126">
        <v>4000</v>
      </c>
      <c r="F16223" s="58"/>
      <c r="G16223" s="58">
        <f t="shared" si="259"/>
        <v>-4000</v>
      </c>
      <c r="H16223" s="705" t="s">
        <v>10628</v>
      </c>
    </row>
    <row r="16224" spans="1:8" ht="15" x14ac:dyDescent="0.2">
      <c r="A16224" s="734">
        <v>45153</v>
      </c>
      <c r="B16224" s="41" t="s">
        <v>10379</v>
      </c>
      <c r="C16224" s="63" t="s">
        <v>3145</v>
      </c>
      <c r="D16224" s="108" t="s">
        <v>10763</v>
      </c>
      <c r="E16224" s="126">
        <v>16050</v>
      </c>
      <c r="F16224" s="58"/>
      <c r="G16224" s="58">
        <f t="shared" si="259"/>
        <v>-16050</v>
      </c>
      <c r="H16224" s="705" t="s">
        <v>10628</v>
      </c>
    </row>
    <row r="16225" spans="1:8" ht="15" x14ac:dyDescent="0.2">
      <c r="A16225" s="734">
        <v>45153</v>
      </c>
      <c r="B16225" s="41" t="s">
        <v>9507</v>
      </c>
      <c r="C16225" s="63" t="s">
        <v>6967</v>
      </c>
      <c r="D16225" s="108" t="s">
        <v>10765</v>
      </c>
      <c r="E16225" s="126">
        <v>5000</v>
      </c>
      <c r="F16225" s="58"/>
      <c r="G16225" s="58">
        <f t="shared" si="259"/>
        <v>-5000</v>
      </c>
      <c r="H16225" s="705" t="s">
        <v>10628</v>
      </c>
    </row>
    <row r="16226" spans="1:8" ht="15" x14ac:dyDescent="0.2">
      <c r="A16226" s="734">
        <v>45153</v>
      </c>
      <c r="B16226" s="63" t="s">
        <v>25</v>
      </c>
      <c r="C16226" s="63" t="s">
        <v>4065</v>
      </c>
      <c r="D16226" s="108" t="s">
        <v>10766</v>
      </c>
      <c r="E16226" s="126">
        <v>2750</v>
      </c>
      <c r="F16226" s="58"/>
      <c r="G16226" s="58">
        <f t="shared" si="259"/>
        <v>-2750</v>
      </c>
      <c r="H16226" s="705" t="s">
        <v>10628</v>
      </c>
    </row>
    <row r="16227" spans="1:8" ht="15" x14ac:dyDescent="0.2">
      <c r="A16227" s="734">
        <v>45153</v>
      </c>
      <c r="B16227" s="41" t="s">
        <v>16</v>
      </c>
      <c r="C16227" s="63" t="s">
        <v>103</v>
      </c>
      <c r="D16227" s="108" t="s">
        <v>10211</v>
      </c>
      <c r="E16227" s="126">
        <v>3500</v>
      </c>
      <c r="F16227" s="58"/>
      <c r="G16227" s="58">
        <f t="shared" si="259"/>
        <v>-3500</v>
      </c>
      <c r="H16227" s="705" t="s">
        <v>10628</v>
      </c>
    </row>
    <row r="16228" spans="1:8" ht="15" x14ac:dyDescent="0.2">
      <c r="A16228" s="734">
        <v>45153</v>
      </c>
      <c r="B16228" s="41" t="s">
        <v>10379</v>
      </c>
      <c r="C16228" s="63" t="s">
        <v>5741</v>
      </c>
      <c r="D16228" s="108" t="s">
        <v>370</v>
      </c>
      <c r="E16228" s="126">
        <v>1000</v>
      </c>
      <c r="F16228" s="58"/>
      <c r="G16228" s="58">
        <f t="shared" si="259"/>
        <v>-1000</v>
      </c>
      <c r="H16228" s="705" t="s">
        <v>10628</v>
      </c>
    </row>
    <row r="16229" spans="1:8" ht="15" x14ac:dyDescent="0.2">
      <c r="A16229" s="734">
        <v>45153</v>
      </c>
      <c r="B16229" s="41" t="s">
        <v>9402</v>
      </c>
      <c r="C16229" s="63" t="s">
        <v>5741</v>
      </c>
      <c r="D16229" s="108" t="s">
        <v>370</v>
      </c>
      <c r="E16229" s="126">
        <v>600</v>
      </c>
      <c r="F16229" s="58"/>
      <c r="G16229" s="58">
        <f t="shared" si="259"/>
        <v>-600</v>
      </c>
      <c r="H16229" s="705" t="s">
        <v>10628</v>
      </c>
    </row>
    <row r="16230" spans="1:8" ht="15" x14ac:dyDescent="0.2">
      <c r="A16230" s="734">
        <v>45153</v>
      </c>
      <c r="B16230" s="41" t="s">
        <v>10296</v>
      </c>
      <c r="C16230" s="63" t="s">
        <v>5741</v>
      </c>
      <c r="D16230" s="108" t="s">
        <v>9705</v>
      </c>
      <c r="E16230" s="126">
        <v>1200</v>
      </c>
      <c r="F16230" s="58"/>
      <c r="G16230" s="58">
        <f t="shared" si="259"/>
        <v>-1200</v>
      </c>
      <c r="H16230" s="705" t="s">
        <v>10628</v>
      </c>
    </row>
    <row r="16231" spans="1:8" ht="15" x14ac:dyDescent="0.2">
      <c r="A16231" s="734">
        <v>45153</v>
      </c>
      <c r="B16231" s="41" t="s">
        <v>10379</v>
      </c>
      <c r="C16231" s="63" t="s">
        <v>3145</v>
      </c>
      <c r="D16231" s="108" t="s">
        <v>2272</v>
      </c>
      <c r="E16231" s="126">
        <v>12776</v>
      </c>
      <c r="F16231" s="58"/>
      <c r="G16231" s="58">
        <f t="shared" si="259"/>
        <v>-12776</v>
      </c>
      <c r="H16231" s="705" t="s">
        <v>10628</v>
      </c>
    </row>
    <row r="16232" spans="1:8" ht="24" x14ac:dyDescent="0.2">
      <c r="A16232" s="734">
        <v>45154</v>
      </c>
      <c r="B16232" s="63" t="s">
        <v>10232</v>
      </c>
      <c r="C16232" s="551" t="s">
        <v>3145</v>
      </c>
      <c r="D16232" s="740" t="s">
        <v>10754</v>
      </c>
      <c r="E16232" s="552">
        <v>27800</v>
      </c>
      <c r="F16232" s="58"/>
      <c r="G16232" s="58">
        <f t="shared" si="259"/>
        <v>-27800</v>
      </c>
      <c r="H16232" s="705" t="s">
        <v>10628</v>
      </c>
    </row>
    <row r="16233" spans="1:8" ht="24" x14ac:dyDescent="0.2">
      <c r="A16233" s="734">
        <v>45154</v>
      </c>
      <c r="B16233" s="63" t="s">
        <v>9356</v>
      </c>
      <c r="C16233" s="551" t="s">
        <v>3145</v>
      </c>
      <c r="D16233" s="740" t="s">
        <v>10754</v>
      </c>
      <c r="E16233" s="552">
        <v>27800</v>
      </c>
      <c r="F16233" s="58"/>
      <c r="G16233" s="58">
        <f t="shared" si="259"/>
        <v>-27800</v>
      </c>
      <c r="H16233" s="705" t="s">
        <v>10628</v>
      </c>
    </row>
    <row r="16234" spans="1:8" ht="24" x14ac:dyDescent="0.2">
      <c r="A16234" s="734">
        <v>45154</v>
      </c>
      <c r="B16234" s="63" t="s">
        <v>9402</v>
      </c>
      <c r="C16234" s="551" t="s">
        <v>3145</v>
      </c>
      <c r="D16234" s="740" t="s">
        <v>10754</v>
      </c>
      <c r="E16234" s="552">
        <v>27800</v>
      </c>
      <c r="F16234" s="58"/>
      <c r="G16234" s="58">
        <f t="shared" si="259"/>
        <v>-27800</v>
      </c>
      <c r="H16234" s="705" t="s">
        <v>10628</v>
      </c>
    </row>
    <row r="16235" spans="1:8" ht="24" x14ac:dyDescent="0.2">
      <c r="A16235" s="734">
        <v>45154</v>
      </c>
      <c r="B16235" s="63" t="s">
        <v>10144</v>
      </c>
      <c r="C16235" s="551" t="s">
        <v>3145</v>
      </c>
      <c r="D16235" s="740" t="s">
        <v>10754</v>
      </c>
      <c r="E16235" s="552">
        <v>27800</v>
      </c>
      <c r="F16235" s="58"/>
      <c r="G16235" s="58">
        <f t="shared" si="259"/>
        <v>-27800</v>
      </c>
      <c r="H16235" s="705" t="s">
        <v>10628</v>
      </c>
    </row>
    <row r="16236" spans="1:8" ht="24" x14ac:dyDescent="0.2">
      <c r="A16236" s="734">
        <v>45154</v>
      </c>
      <c r="B16236" s="63" t="s">
        <v>10296</v>
      </c>
      <c r="C16236" s="551" t="s">
        <v>3145</v>
      </c>
      <c r="D16236" s="740" t="s">
        <v>10754</v>
      </c>
      <c r="E16236" s="552">
        <v>27800</v>
      </c>
      <c r="F16236" s="58"/>
      <c r="G16236" s="58">
        <f t="shared" si="259"/>
        <v>-27800</v>
      </c>
      <c r="H16236" s="705" t="s">
        <v>10628</v>
      </c>
    </row>
    <row r="16237" spans="1:8" ht="15" x14ac:dyDescent="0.2">
      <c r="A16237" s="734">
        <v>45154</v>
      </c>
      <c r="B16237" s="41" t="s">
        <v>10379</v>
      </c>
      <c r="C16237" s="63" t="s">
        <v>8071</v>
      </c>
      <c r="D16237" s="108" t="s">
        <v>10767</v>
      </c>
      <c r="E16237" s="126">
        <v>100000</v>
      </c>
      <c r="F16237" s="58"/>
      <c r="G16237" s="58">
        <f t="shared" si="259"/>
        <v>-100000</v>
      </c>
      <c r="H16237" s="705" t="s">
        <v>10628</v>
      </c>
    </row>
    <row r="16238" spans="1:8" ht="15" x14ac:dyDescent="0.2">
      <c r="A16238" s="734">
        <v>45154</v>
      </c>
      <c r="B16238" s="41" t="s">
        <v>7807</v>
      </c>
      <c r="C16238" s="63" t="s">
        <v>10768</v>
      </c>
      <c r="D16238" s="108" t="s">
        <v>10769</v>
      </c>
      <c r="E16238" s="126">
        <v>205000</v>
      </c>
      <c r="F16238" s="58"/>
      <c r="G16238" s="58">
        <f t="shared" si="259"/>
        <v>-205000</v>
      </c>
      <c r="H16238" s="705" t="s">
        <v>10628</v>
      </c>
    </row>
    <row r="16239" spans="1:8" ht="15" x14ac:dyDescent="0.2">
      <c r="A16239" s="734">
        <v>45154</v>
      </c>
      <c r="B16239" s="41" t="s">
        <v>10242</v>
      </c>
      <c r="C16239" s="670" t="s">
        <v>8394</v>
      </c>
      <c r="D16239" s="913" t="s">
        <v>10770</v>
      </c>
      <c r="E16239" s="672">
        <v>72078</v>
      </c>
      <c r="F16239" s="58"/>
      <c r="G16239" s="58">
        <f t="shared" si="259"/>
        <v>-72078</v>
      </c>
      <c r="H16239" s="705" t="s">
        <v>10628</v>
      </c>
    </row>
    <row r="16240" spans="1:8" ht="15" x14ac:dyDescent="0.2">
      <c r="A16240" s="734">
        <v>45154</v>
      </c>
      <c r="B16240" s="41" t="s">
        <v>9356</v>
      </c>
      <c r="C16240" s="670" t="s">
        <v>8394</v>
      </c>
      <c r="D16240" s="913" t="s">
        <v>10770</v>
      </c>
      <c r="E16240" s="672">
        <v>150000</v>
      </c>
      <c r="F16240" s="58"/>
      <c r="G16240" s="58">
        <f t="shared" si="259"/>
        <v>-150000</v>
      </c>
      <c r="H16240" s="705" t="s">
        <v>10628</v>
      </c>
    </row>
    <row r="16241" spans="1:8" ht="15" x14ac:dyDescent="0.2">
      <c r="A16241" s="734">
        <v>45154</v>
      </c>
      <c r="B16241" s="41" t="s">
        <v>9769</v>
      </c>
      <c r="C16241" s="670" t="s">
        <v>8394</v>
      </c>
      <c r="D16241" s="913" t="s">
        <v>10770</v>
      </c>
      <c r="E16241" s="672">
        <v>372320</v>
      </c>
      <c r="F16241" s="58"/>
      <c r="G16241" s="58">
        <f t="shared" si="259"/>
        <v>-372320</v>
      </c>
      <c r="H16241" s="705" t="s">
        <v>10628</v>
      </c>
    </row>
    <row r="16242" spans="1:8" ht="15" x14ac:dyDescent="0.2">
      <c r="A16242" s="734">
        <v>45154</v>
      </c>
      <c r="B16242" s="41" t="s">
        <v>10144</v>
      </c>
      <c r="C16242" s="670" t="s">
        <v>8394</v>
      </c>
      <c r="D16242" s="913" t="s">
        <v>10770</v>
      </c>
      <c r="E16242" s="672">
        <v>300000</v>
      </c>
      <c r="F16242" s="58"/>
      <c r="G16242" s="58">
        <f t="shared" si="259"/>
        <v>-300000</v>
      </c>
      <c r="H16242" s="705" t="s">
        <v>10628</v>
      </c>
    </row>
    <row r="16243" spans="1:8" ht="15" x14ac:dyDescent="0.2">
      <c r="A16243" s="734">
        <v>45154</v>
      </c>
      <c r="B16243" s="41" t="s">
        <v>10379</v>
      </c>
      <c r="C16243" s="670" t="s">
        <v>8394</v>
      </c>
      <c r="D16243" s="913" t="s">
        <v>10770</v>
      </c>
      <c r="E16243" s="672">
        <v>100000</v>
      </c>
      <c r="F16243" s="58"/>
      <c r="G16243" s="58">
        <f t="shared" si="259"/>
        <v>-100000</v>
      </c>
      <c r="H16243" s="705" t="s">
        <v>10628</v>
      </c>
    </row>
    <row r="16244" spans="1:8" ht="15" x14ac:dyDescent="0.2">
      <c r="A16244" s="734">
        <v>45154</v>
      </c>
      <c r="B16244" s="41" t="s">
        <v>10232</v>
      </c>
      <c r="C16244" s="670" t="s">
        <v>8394</v>
      </c>
      <c r="D16244" s="913" t="s">
        <v>10770</v>
      </c>
      <c r="E16244" s="672">
        <v>5602</v>
      </c>
      <c r="F16244" s="58"/>
      <c r="G16244" s="58">
        <f t="shared" si="259"/>
        <v>-5602</v>
      </c>
      <c r="H16244" s="705" t="s">
        <v>10628</v>
      </c>
    </row>
    <row r="16245" spans="1:8" ht="15" x14ac:dyDescent="0.2">
      <c r="A16245" s="734">
        <v>45154</v>
      </c>
      <c r="B16245" s="41" t="s">
        <v>9967</v>
      </c>
      <c r="C16245" s="63" t="s">
        <v>6852</v>
      </c>
      <c r="D16245" s="108" t="s">
        <v>370</v>
      </c>
      <c r="E16245" s="126">
        <v>6000</v>
      </c>
      <c r="F16245" s="58"/>
      <c r="G16245" s="58">
        <f t="shared" si="259"/>
        <v>-6000</v>
      </c>
      <c r="H16245" s="705" t="s">
        <v>10628</v>
      </c>
    </row>
    <row r="16246" spans="1:8" ht="15" x14ac:dyDescent="0.2">
      <c r="A16246" s="734">
        <v>45154</v>
      </c>
      <c r="B16246" s="41" t="s">
        <v>10379</v>
      </c>
      <c r="C16246" s="63" t="s">
        <v>3145</v>
      </c>
      <c r="D16246" s="108" t="s">
        <v>10824</v>
      </c>
      <c r="E16246" s="126">
        <v>18000</v>
      </c>
      <c r="F16246" s="58"/>
      <c r="G16246" s="58">
        <f t="shared" si="259"/>
        <v>-18000</v>
      </c>
      <c r="H16246" s="705" t="s">
        <v>10628</v>
      </c>
    </row>
    <row r="16247" spans="1:8" ht="15" x14ac:dyDescent="0.2">
      <c r="A16247" s="734">
        <v>45154</v>
      </c>
      <c r="B16247" s="41" t="s">
        <v>10338</v>
      </c>
      <c r="C16247" s="63" t="s">
        <v>3145</v>
      </c>
      <c r="D16247" s="108" t="s">
        <v>10812</v>
      </c>
      <c r="E16247" s="126">
        <v>65000</v>
      </c>
      <c r="F16247" s="58"/>
      <c r="G16247" s="58">
        <f t="shared" si="259"/>
        <v>-65000</v>
      </c>
      <c r="H16247" s="705" t="s">
        <v>10628</v>
      </c>
    </row>
    <row r="16248" spans="1:8" ht="15" x14ac:dyDescent="0.2">
      <c r="A16248" s="734">
        <v>45154</v>
      </c>
      <c r="B16248" s="41" t="s">
        <v>8043</v>
      </c>
      <c r="C16248" s="63" t="s">
        <v>392</v>
      </c>
      <c r="D16248" s="108" t="s">
        <v>5384</v>
      </c>
      <c r="E16248" s="126">
        <v>4000</v>
      </c>
      <c r="F16248" s="58"/>
      <c r="G16248" s="58">
        <f t="shared" si="259"/>
        <v>-4000</v>
      </c>
      <c r="H16248" s="705" t="s">
        <v>10628</v>
      </c>
    </row>
    <row r="16249" spans="1:8" ht="15" x14ac:dyDescent="0.2">
      <c r="A16249" s="734">
        <v>45154</v>
      </c>
      <c r="B16249" s="41" t="s">
        <v>9409</v>
      </c>
      <c r="C16249" s="63" t="s">
        <v>392</v>
      </c>
      <c r="D16249" s="108" t="s">
        <v>5384</v>
      </c>
      <c r="E16249" s="126">
        <v>11800</v>
      </c>
      <c r="F16249" s="58"/>
      <c r="G16249" s="58">
        <f t="shared" si="259"/>
        <v>-11800</v>
      </c>
      <c r="H16249" s="705" t="s">
        <v>10628</v>
      </c>
    </row>
    <row r="16250" spans="1:8" ht="15" x14ac:dyDescent="0.2">
      <c r="A16250" s="734">
        <v>45154</v>
      </c>
      <c r="B16250" s="41" t="s">
        <v>10144</v>
      </c>
      <c r="C16250" s="63" t="s">
        <v>392</v>
      </c>
      <c r="D16250" s="108" t="s">
        <v>5384</v>
      </c>
      <c r="E16250" s="126">
        <v>4250</v>
      </c>
      <c r="F16250" s="58"/>
      <c r="G16250" s="58">
        <f t="shared" si="259"/>
        <v>-4250</v>
      </c>
      <c r="H16250" s="705" t="s">
        <v>10628</v>
      </c>
    </row>
    <row r="16251" spans="1:8" ht="15" x14ac:dyDescent="0.2">
      <c r="A16251" s="734">
        <v>45154</v>
      </c>
      <c r="B16251" s="41" t="s">
        <v>10776</v>
      </c>
      <c r="C16251" s="63" t="s">
        <v>392</v>
      </c>
      <c r="D16251" s="108" t="s">
        <v>5384</v>
      </c>
      <c r="E16251" s="126">
        <v>2000</v>
      </c>
      <c r="F16251" s="58"/>
      <c r="G16251" s="58">
        <f t="shared" si="259"/>
        <v>-2000</v>
      </c>
      <c r="H16251" s="705" t="s">
        <v>10628</v>
      </c>
    </row>
    <row r="16252" spans="1:8" ht="15" x14ac:dyDescent="0.2">
      <c r="A16252" s="734">
        <v>45154</v>
      </c>
      <c r="B16252" s="41" t="s">
        <v>9356</v>
      </c>
      <c r="C16252" s="63" t="s">
        <v>392</v>
      </c>
      <c r="D16252" s="108" t="s">
        <v>5384</v>
      </c>
      <c r="E16252" s="126">
        <v>3000</v>
      </c>
      <c r="F16252" s="58"/>
      <c r="G16252" s="58">
        <f t="shared" si="259"/>
        <v>-3000</v>
      </c>
      <c r="H16252" s="705" t="s">
        <v>10628</v>
      </c>
    </row>
    <row r="16253" spans="1:8" ht="15" x14ac:dyDescent="0.2">
      <c r="A16253" s="734">
        <v>45154</v>
      </c>
      <c r="B16253" s="41" t="s">
        <v>37</v>
      </c>
      <c r="C16253" s="63" t="s">
        <v>392</v>
      </c>
      <c r="D16253" s="108" t="s">
        <v>5384</v>
      </c>
      <c r="E16253" s="126">
        <v>4000</v>
      </c>
      <c r="F16253" s="58"/>
      <c r="G16253" s="58">
        <f t="shared" si="259"/>
        <v>-4000</v>
      </c>
      <c r="H16253" s="705" t="s">
        <v>10628</v>
      </c>
    </row>
    <row r="16254" spans="1:8" ht="15" x14ac:dyDescent="0.2">
      <c r="A16254" s="734">
        <v>45154</v>
      </c>
      <c r="B16254" s="41" t="s">
        <v>9409</v>
      </c>
      <c r="C16254" s="63" t="s">
        <v>392</v>
      </c>
      <c r="D16254" s="108" t="s">
        <v>5384</v>
      </c>
      <c r="E16254" s="126">
        <v>4000</v>
      </c>
      <c r="F16254" s="58"/>
      <c r="G16254" s="58">
        <f t="shared" si="259"/>
        <v>-4000</v>
      </c>
      <c r="H16254" s="705" t="s">
        <v>10628</v>
      </c>
    </row>
    <row r="16255" spans="1:8" ht="15" x14ac:dyDescent="0.2">
      <c r="A16255" s="734">
        <v>45154</v>
      </c>
      <c r="B16255" s="41" t="s">
        <v>8876</v>
      </c>
      <c r="C16255" s="63" t="s">
        <v>392</v>
      </c>
      <c r="D16255" s="108" t="s">
        <v>5384</v>
      </c>
      <c r="E16255" s="126">
        <v>5000</v>
      </c>
      <c r="F16255" s="58"/>
      <c r="G16255" s="58">
        <f t="shared" ref="G16255:G16318" si="260">F16255-E16255</f>
        <v>-5000</v>
      </c>
      <c r="H16255" s="705" t="s">
        <v>10628</v>
      </c>
    </row>
    <row r="16256" spans="1:8" ht="15" x14ac:dyDescent="0.2">
      <c r="A16256" s="734">
        <v>45154</v>
      </c>
      <c r="B16256" s="41" t="s">
        <v>9769</v>
      </c>
      <c r="C16256" s="63" t="s">
        <v>392</v>
      </c>
      <c r="D16256" s="108" t="s">
        <v>5384</v>
      </c>
      <c r="E16256" s="126">
        <v>7000</v>
      </c>
      <c r="F16256" s="58"/>
      <c r="G16256" s="58">
        <f t="shared" si="260"/>
        <v>-7000</v>
      </c>
      <c r="H16256" s="705" t="s">
        <v>10628</v>
      </c>
    </row>
    <row r="16257" spans="1:8" ht="15" x14ac:dyDescent="0.2">
      <c r="A16257" s="734">
        <v>45154</v>
      </c>
      <c r="B16257" s="41" t="s">
        <v>7807</v>
      </c>
      <c r="C16257" s="63" t="s">
        <v>6852</v>
      </c>
      <c r="D16257" s="108" t="s">
        <v>10777</v>
      </c>
      <c r="E16257" s="126">
        <v>5000</v>
      </c>
      <c r="F16257" s="58"/>
      <c r="G16257" s="58">
        <f t="shared" si="260"/>
        <v>-5000</v>
      </c>
      <c r="H16257" s="705" t="s">
        <v>10628</v>
      </c>
    </row>
    <row r="16258" spans="1:8" ht="15" customHeight="1" x14ac:dyDescent="0.2">
      <c r="A16258" s="734">
        <v>45154</v>
      </c>
      <c r="B16258" s="41" t="s">
        <v>10379</v>
      </c>
      <c r="C16258" s="63" t="s">
        <v>3145</v>
      </c>
      <c r="D16258" s="108" t="s">
        <v>6942</v>
      </c>
      <c r="E16258" s="126">
        <v>17540</v>
      </c>
      <c r="F16258" s="58"/>
      <c r="G16258" s="58">
        <f t="shared" si="260"/>
        <v>-17540</v>
      </c>
      <c r="H16258" s="705" t="s">
        <v>10628</v>
      </c>
    </row>
    <row r="16259" spans="1:8" ht="15" x14ac:dyDescent="0.2">
      <c r="A16259" s="734">
        <v>45154</v>
      </c>
      <c r="B16259" s="41" t="s">
        <v>9409</v>
      </c>
      <c r="C16259" s="63" t="s">
        <v>3145</v>
      </c>
      <c r="D16259" s="108" t="s">
        <v>4450</v>
      </c>
      <c r="E16259" s="126">
        <v>49205</v>
      </c>
      <c r="F16259" s="58"/>
      <c r="G16259" s="58">
        <f t="shared" si="260"/>
        <v>-49205</v>
      </c>
      <c r="H16259" s="705" t="s">
        <v>10628</v>
      </c>
    </row>
    <row r="16260" spans="1:8" ht="15" x14ac:dyDescent="0.2">
      <c r="A16260" s="734">
        <v>45154</v>
      </c>
      <c r="B16260" s="41" t="s">
        <v>10379</v>
      </c>
      <c r="C16260" s="63" t="s">
        <v>5741</v>
      </c>
      <c r="D16260" s="108" t="s">
        <v>10337</v>
      </c>
      <c r="E16260" s="126">
        <v>300</v>
      </c>
      <c r="F16260" s="58"/>
      <c r="G16260" s="58">
        <f t="shared" si="260"/>
        <v>-300</v>
      </c>
      <c r="H16260" s="705" t="s">
        <v>10628</v>
      </c>
    </row>
    <row r="16261" spans="1:8" ht="15" x14ac:dyDescent="0.2">
      <c r="A16261" s="734">
        <v>45154</v>
      </c>
      <c r="B16261" s="41" t="s">
        <v>10379</v>
      </c>
      <c r="C16261" s="63" t="s">
        <v>5741</v>
      </c>
      <c r="D16261" s="108" t="s">
        <v>370</v>
      </c>
      <c r="E16261" s="126">
        <v>2000</v>
      </c>
      <c r="F16261" s="58"/>
      <c r="G16261" s="58">
        <f t="shared" si="260"/>
        <v>-2000</v>
      </c>
      <c r="H16261" s="705" t="s">
        <v>10628</v>
      </c>
    </row>
    <row r="16262" spans="1:8" ht="15" x14ac:dyDescent="0.2">
      <c r="A16262" s="734">
        <v>45154</v>
      </c>
      <c r="B16262" s="41" t="s">
        <v>10576</v>
      </c>
      <c r="C16262" s="63" t="s">
        <v>8372</v>
      </c>
      <c r="D16262" s="108" t="s">
        <v>9420</v>
      </c>
      <c r="E16262" s="126">
        <v>2600</v>
      </c>
      <c r="F16262" s="58"/>
      <c r="G16262" s="58">
        <f t="shared" si="260"/>
        <v>-2600</v>
      </c>
      <c r="H16262" s="705" t="s">
        <v>10628</v>
      </c>
    </row>
    <row r="16263" spans="1:8" ht="15" x14ac:dyDescent="0.2">
      <c r="A16263" s="734">
        <v>45154</v>
      </c>
      <c r="B16263" s="41" t="s">
        <v>9967</v>
      </c>
      <c r="C16263" s="63" t="s">
        <v>5741</v>
      </c>
      <c r="D16263" s="108" t="s">
        <v>370</v>
      </c>
      <c r="E16263" s="126">
        <v>2000</v>
      </c>
      <c r="F16263" s="58"/>
      <c r="G16263" s="58">
        <f t="shared" si="260"/>
        <v>-2000</v>
      </c>
      <c r="H16263" s="705" t="s">
        <v>10628</v>
      </c>
    </row>
    <row r="16264" spans="1:8" ht="15" x14ac:dyDescent="0.2">
      <c r="A16264" s="734">
        <v>45154</v>
      </c>
      <c r="B16264" s="41" t="s">
        <v>9356</v>
      </c>
      <c r="C16264" s="63" t="s">
        <v>5741</v>
      </c>
      <c r="D16264" s="108" t="s">
        <v>370</v>
      </c>
      <c r="E16264" s="126">
        <v>2000</v>
      </c>
      <c r="F16264" s="58"/>
      <c r="G16264" s="58">
        <f t="shared" si="260"/>
        <v>-2000</v>
      </c>
      <c r="H16264" s="705" t="s">
        <v>10628</v>
      </c>
    </row>
    <row r="16265" spans="1:8" ht="15" x14ac:dyDescent="0.2">
      <c r="A16265" s="734">
        <v>45154</v>
      </c>
      <c r="B16265" s="41" t="s">
        <v>10232</v>
      </c>
      <c r="C16265" s="63" t="s">
        <v>5741</v>
      </c>
      <c r="D16265" s="108" t="s">
        <v>370</v>
      </c>
      <c r="E16265" s="126">
        <v>2000</v>
      </c>
      <c r="F16265" s="58"/>
      <c r="G16265" s="58">
        <f t="shared" si="260"/>
        <v>-2000</v>
      </c>
      <c r="H16265" s="705" t="s">
        <v>10628</v>
      </c>
    </row>
    <row r="16266" spans="1:8" ht="15" x14ac:dyDescent="0.2">
      <c r="A16266" s="734">
        <v>45154</v>
      </c>
      <c r="B16266" s="63" t="s">
        <v>25</v>
      </c>
      <c r="C16266" s="63" t="s">
        <v>8150</v>
      </c>
      <c r="D16266" s="108" t="s">
        <v>6343</v>
      </c>
      <c r="E16266" s="126">
        <v>2500</v>
      </c>
      <c r="F16266" s="58"/>
      <c r="G16266" s="58">
        <f t="shared" si="260"/>
        <v>-2500</v>
      </c>
      <c r="H16266" s="705" t="s">
        <v>10628</v>
      </c>
    </row>
    <row r="16267" spans="1:8" ht="15" x14ac:dyDescent="0.2">
      <c r="A16267" s="734">
        <v>45154</v>
      </c>
      <c r="B16267" s="41" t="s">
        <v>103</v>
      </c>
      <c r="C16267" s="63" t="s">
        <v>8150</v>
      </c>
      <c r="D16267" s="108" t="s">
        <v>6343</v>
      </c>
      <c r="E16267" s="126">
        <v>7000</v>
      </c>
      <c r="F16267" s="58"/>
      <c r="G16267" s="58">
        <f t="shared" si="260"/>
        <v>-7000</v>
      </c>
      <c r="H16267" s="705" t="s">
        <v>10628</v>
      </c>
    </row>
    <row r="16268" spans="1:8" ht="15" x14ac:dyDescent="0.2">
      <c r="A16268" s="734">
        <v>45155</v>
      </c>
      <c r="B16268" s="41" t="s">
        <v>10379</v>
      </c>
      <c r="C16268" s="63" t="s">
        <v>5741</v>
      </c>
      <c r="D16268" s="108" t="s">
        <v>370</v>
      </c>
      <c r="E16268" s="126">
        <v>2000</v>
      </c>
      <c r="F16268" s="58"/>
      <c r="G16268" s="58">
        <f t="shared" si="260"/>
        <v>-2000</v>
      </c>
      <c r="H16268" s="705" t="s">
        <v>10628</v>
      </c>
    </row>
    <row r="16269" spans="1:8" ht="15" x14ac:dyDescent="0.2">
      <c r="A16269" s="734">
        <v>45155</v>
      </c>
      <c r="B16269" s="41" t="s">
        <v>10232</v>
      </c>
      <c r="C16269" s="63" t="s">
        <v>3145</v>
      </c>
      <c r="D16269" s="108" t="s">
        <v>10778</v>
      </c>
      <c r="E16269" s="126">
        <v>40000</v>
      </c>
      <c r="F16269" s="58"/>
      <c r="G16269" s="58">
        <f t="shared" si="260"/>
        <v>-40000</v>
      </c>
      <c r="H16269" s="705" t="s">
        <v>10628</v>
      </c>
    </row>
    <row r="16270" spans="1:8" ht="15" x14ac:dyDescent="0.2">
      <c r="A16270" s="734">
        <v>45155</v>
      </c>
      <c r="B16270" s="41" t="s">
        <v>9402</v>
      </c>
      <c r="C16270" s="63" t="s">
        <v>3145</v>
      </c>
      <c r="D16270" s="108" t="s">
        <v>10787</v>
      </c>
      <c r="E16270" s="126">
        <v>2000</v>
      </c>
      <c r="F16270" s="58"/>
      <c r="G16270" s="58">
        <f t="shared" si="260"/>
        <v>-2000</v>
      </c>
      <c r="H16270" s="705" t="s">
        <v>10628</v>
      </c>
    </row>
    <row r="16271" spans="1:8" ht="15" x14ac:dyDescent="0.2">
      <c r="A16271" s="734">
        <v>45155</v>
      </c>
      <c r="B16271" s="41" t="s">
        <v>10338</v>
      </c>
      <c r="C16271" s="63" t="s">
        <v>5741</v>
      </c>
      <c r="D16271" s="108" t="s">
        <v>10337</v>
      </c>
      <c r="E16271" s="126">
        <v>200</v>
      </c>
      <c r="F16271" s="58"/>
      <c r="G16271" s="58">
        <f t="shared" si="260"/>
        <v>-200</v>
      </c>
      <c r="H16271" s="705" t="s">
        <v>10628</v>
      </c>
    </row>
    <row r="16272" spans="1:8" ht="15" x14ac:dyDescent="0.2">
      <c r="A16272" s="734">
        <v>45155</v>
      </c>
      <c r="B16272" s="41" t="s">
        <v>16</v>
      </c>
      <c r="C16272" s="63" t="s">
        <v>103</v>
      </c>
      <c r="D16272" s="108" t="s">
        <v>10211</v>
      </c>
      <c r="E16272" s="126">
        <v>3500</v>
      </c>
      <c r="F16272" s="58"/>
      <c r="G16272" s="58">
        <f t="shared" si="260"/>
        <v>-3500</v>
      </c>
      <c r="H16272" s="705" t="s">
        <v>10628</v>
      </c>
    </row>
    <row r="16273" spans="1:8" ht="15" x14ac:dyDescent="0.2">
      <c r="A16273" s="734">
        <v>45155</v>
      </c>
      <c r="B16273" s="41" t="s">
        <v>10296</v>
      </c>
      <c r="C16273" s="63" t="s">
        <v>3145</v>
      </c>
      <c r="D16273" s="108" t="s">
        <v>10779</v>
      </c>
      <c r="E16273" s="126">
        <v>230</v>
      </c>
      <c r="F16273" s="58"/>
      <c r="G16273" s="58">
        <f t="shared" si="260"/>
        <v>-230</v>
      </c>
      <c r="H16273" s="705" t="s">
        <v>10628</v>
      </c>
    </row>
    <row r="16274" spans="1:8" ht="15" x14ac:dyDescent="0.2">
      <c r="A16274" s="734">
        <v>45155</v>
      </c>
      <c r="B16274" s="41" t="s">
        <v>9967</v>
      </c>
      <c r="C16274" s="63" t="s">
        <v>3145</v>
      </c>
      <c r="D16274" s="108" t="s">
        <v>10780</v>
      </c>
      <c r="E16274" s="126">
        <v>12936</v>
      </c>
      <c r="F16274" s="58"/>
      <c r="G16274" s="58">
        <f t="shared" si="260"/>
        <v>-12936</v>
      </c>
      <c r="H16274" s="705" t="s">
        <v>10628</v>
      </c>
    </row>
    <row r="16275" spans="1:8" ht="15" x14ac:dyDescent="0.2">
      <c r="A16275" s="734">
        <v>45155</v>
      </c>
      <c r="B16275" s="41" t="s">
        <v>9507</v>
      </c>
      <c r="C16275" s="63" t="s">
        <v>6967</v>
      </c>
      <c r="D16275" s="108" t="s">
        <v>10765</v>
      </c>
      <c r="E16275" s="126">
        <v>4500</v>
      </c>
      <c r="F16275" s="58"/>
      <c r="G16275" s="58">
        <f t="shared" si="260"/>
        <v>-4500</v>
      </c>
      <c r="H16275" s="705" t="s">
        <v>10628</v>
      </c>
    </row>
    <row r="16276" spans="1:8" ht="15" x14ac:dyDescent="0.2">
      <c r="A16276" s="734">
        <v>45155</v>
      </c>
      <c r="B16276" s="41" t="s">
        <v>10296</v>
      </c>
      <c r="C16276" s="63" t="s">
        <v>6967</v>
      </c>
      <c r="D16276" s="108" t="s">
        <v>10765</v>
      </c>
      <c r="E16276" s="126">
        <v>5000</v>
      </c>
      <c r="F16276" s="58"/>
      <c r="G16276" s="58">
        <f t="shared" si="260"/>
        <v>-5000</v>
      </c>
      <c r="H16276" s="705" t="s">
        <v>10628</v>
      </c>
    </row>
    <row r="16277" spans="1:8" ht="15" x14ac:dyDescent="0.2">
      <c r="A16277" s="734">
        <v>45155</v>
      </c>
      <c r="B16277" s="41" t="s">
        <v>10576</v>
      </c>
      <c r="C16277" s="63" t="s">
        <v>3145</v>
      </c>
      <c r="D16277" s="108" t="s">
        <v>10781</v>
      </c>
      <c r="E16277" s="126">
        <v>48000</v>
      </c>
      <c r="F16277" s="58"/>
      <c r="G16277" s="58">
        <f t="shared" si="260"/>
        <v>-48000</v>
      </c>
      <c r="H16277" s="705" t="s">
        <v>10628</v>
      </c>
    </row>
    <row r="16278" spans="1:8" ht="15" x14ac:dyDescent="0.2">
      <c r="A16278" s="734">
        <v>45155</v>
      </c>
      <c r="B16278" s="41" t="s">
        <v>9967</v>
      </c>
      <c r="C16278" s="63" t="s">
        <v>3145</v>
      </c>
      <c r="D16278" s="108" t="s">
        <v>10782</v>
      </c>
      <c r="E16278" s="126">
        <v>13500</v>
      </c>
      <c r="F16278" s="58"/>
      <c r="G16278" s="58">
        <f t="shared" si="260"/>
        <v>-13500</v>
      </c>
      <c r="H16278" s="705" t="s">
        <v>10628</v>
      </c>
    </row>
    <row r="16279" spans="1:8" ht="15" x14ac:dyDescent="0.2">
      <c r="A16279" s="734">
        <v>45155</v>
      </c>
      <c r="B16279" s="41" t="s">
        <v>10023</v>
      </c>
      <c r="C16279" s="63" t="s">
        <v>6476</v>
      </c>
      <c r="D16279" s="108" t="s">
        <v>10783</v>
      </c>
      <c r="E16279" s="126">
        <v>50000</v>
      </c>
      <c r="F16279" s="58"/>
      <c r="G16279" s="58">
        <f t="shared" si="260"/>
        <v>-50000</v>
      </c>
      <c r="H16279" s="705" t="s">
        <v>10628</v>
      </c>
    </row>
    <row r="16280" spans="1:8" ht="15" x14ac:dyDescent="0.2">
      <c r="A16280" s="734">
        <v>45155</v>
      </c>
      <c r="B16280" s="41" t="s">
        <v>9967</v>
      </c>
      <c r="C16280" s="63" t="s">
        <v>5741</v>
      </c>
      <c r="D16280" s="108" t="s">
        <v>370</v>
      </c>
      <c r="E16280" s="126">
        <v>600</v>
      </c>
      <c r="F16280" s="58"/>
      <c r="G16280" s="58">
        <f t="shared" si="260"/>
        <v>-600</v>
      </c>
      <c r="H16280" s="705" t="s">
        <v>10628</v>
      </c>
    </row>
    <row r="16281" spans="1:8" ht="15" x14ac:dyDescent="0.2">
      <c r="A16281" s="734">
        <v>45155</v>
      </c>
      <c r="B16281" s="41" t="s">
        <v>9967</v>
      </c>
      <c r="C16281" s="63" t="s">
        <v>5741</v>
      </c>
      <c r="D16281" s="108" t="s">
        <v>10337</v>
      </c>
      <c r="E16281" s="126">
        <v>300</v>
      </c>
      <c r="F16281" s="58"/>
      <c r="G16281" s="58">
        <f t="shared" si="260"/>
        <v>-300</v>
      </c>
      <c r="H16281" s="705" t="s">
        <v>10628</v>
      </c>
    </row>
    <row r="16282" spans="1:8" ht="15" x14ac:dyDescent="0.2">
      <c r="A16282" s="734">
        <v>45155</v>
      </c>
      <c r="B16282" s="41" t="s">
        <v>10232</v>
      </c>
      <c r="C16282" s="63" t="s">
        <v>5741</v>
      </c>
      <c r="D16282" s="108" t="s">
        <v>370</v>
      </c>
      <c r="E16282" s="126">
        <v>1500</v>
      </c>
      <c r="F16282" s="58"/>
      <c r="G16282" s="58">
        <f t="shared" si="260"/>
        <v>-1500</v>
      </c>
      <c r="H16282" s="705" t="s">
        <v>10628</v>
      </c>
    </row>
    <row r="16283" spans="1:8" ht="15" x14ac:dyDescent="0.2">
      <c r="A16283" s="734">
        <v>45155</v>
      </c>
      <c r="B16283" s="41" t="s">
        <v>10232</v>
      </c>
      <c r="C16283" s="63" t="s">
        <v>3145</v>
      </c>
      <c r="D16283" s="108" t="s">
        <v>10784</v>
      </c>
      <c r="E16283" s="126">
        <v>35500</v>
      </c>
      <c r="F16283" s="58"/>
      <c r="G16283" s="58">
        <f t="shared" si="260"/>
        <v>-35500</v>
      </c>
      <c r="H16283" s="705" t="s">
        <v>10628</v>
      </c>
    </row>
    <row r="16284" spans="1:8" ht="15" x14ac:dyDescent="0.2">
      <c r="A16284" s="734">
        <v>45155</v>
      </c>
      <c r="B16284" s="41" t="s">
        <v>10144</v>
      </c>
      <c r="C16284" s="63" t="s">
        <v>9750</v>
      </c>
      <c r="D16284" s="108" t="s">
        <v>10864</v>
      </c>
      <c r="E16284" s="126">
        <v>100000</v>
      </c>
      <c r="F16284" s="58"/>
      <c r="G16284" s="58">
        <f t="shared" si="260"/>
        <v>-100000</v>
      </c>
      <c r="H16284" s="705" t="s">
        <v>10628</v>
      </c>
    </row>
    <row r="16285" spans="1:8" ht="15" x14ac:dyDescent="0.2">
      <c r="A16285" s="734">
        <v>45156</v>
      </c>
      <c r="B16285" s="41" t="s">
        <v>16</v>
      </c>
      <c r="C16285" s="63" t="s">
        <v>2996</v>
      </c>
      <c r="D16285" s="108" t="s">
        <v>10785</v>
      </c>
      <c r="E16285" s="126">
        <v>9340</v>
      </c>
      <c r="F16285" s="58"/>
      <c r="G16285" s="58">
        <f t="shared" si="260"/>
        <v>-9340</v>
      </c>
      <c r="H16285" s="705" t="s">
        <v>10628</v>
      </c>
    </row>
    <row r="16286" spans="1:8" ht="15" x14ac:dyDescent="0.2">
      <c r="A16286" s="734">
        <v>45156</v>
      </c>
      <c r="B16286" s="41" t="s">
        <v>3946</v>
      </c>
      <c r="C16286" s="63" t="s">
        <v>392</v>
      </c>
      <c r="D16286" s="108" t="s">
        <v>10788</v>
      </c>
      <c r="E16286" s="126">
        <v>10000</v>
      </c>
      <c r="F16286" s="58"/>
      <c r="G16286" s="58">
        <f t="shared" si="260"/>
        <v>-10000</v>
      </c>
      <c r="H16286" s="705" t="s">
        <v>10628</v>
      </c>
    </row>
    <row r="16287" spans="1:8" ht="15" x14ac:dyDescent="0.2">
      <c r="A16287" s="734">
        <v>45156</v>
      </c>
      <c r="B16287" s="41" t="s">
        <v>9356</v>
      </c>
      <c r="C16287" s="63" t="s">
        <v>2796</v>
      </c>
      <c r="D16287" s="108" t="s">
        <v>10786</v>
      </c>
      <c r="E16287" s="126">
        <v>900</v>
      </c>
      <c r="F16287" s="58"/>
      <c r="G16287" s="58">
        <f t="shared" si="260"/>
        <v>-900</v>
      </c>
      <c r="H16287" s="705" t="s">
        <v>10628</v>
      </c>
    </row>
    <row r="16288" spans="1:8" ht="15" x14ac:dyDescent="0.2">
      <c r="A16288" s="734">
        <v>45156</v>
      </c>
      <c r="B16288" s="41" t="s">
        <v>10232</v>
      </c>
      <c r="C16288" s="63" t="s">
        <v>5741</v>
      </c>
      <c r="D16288" s="108" t="s">
        <v>370</v>
      </c>
      <c r="E16288" s="126">
        <v>1700</v>
      </c>
      <c r="F16288" s="58"/>
      <c r="G16288" s="58">
        <f t="shared" si="260"/>
        <v>-1700</v>
      </c>
      <c r="H16288" s="705" t="s">
        <v>10628</v>
      </c>
    </row>
    <row r="16289" spans="1:8" ht="15" x14ac:dyDescent="0.2">
      <c r="A16289" s="734">
        <v>45156</v>
      </c>
      <c r="B16289" s="41" t="s">
        <v>2933</v>
      </c>
      <c r="C16289" s="63" t="s">
        <v>392</v>
      </c>
      <c r="D16289" s="108" t="s">
        <v>6386</v>
      </c>
      <c r="E16289" s="126">
        <v>4250</v>
      </c>
      <c r="F16289" s="58"/>
      <c r="G16289" s="58">
        <f t="shared" si="260"/>
        <v>-4250</v>
      </c>
      <c r="H16289" s="705" t="s">
        <v>10628</v>
      </c>
    </row>
    <row r="16290" spans="1:8" ht="15" x14ac:dyDescent="0.2">
      <c r="A16290" s="734">
        <v>45156</v>
      </c>
      <c r="B16290" s="41" t="s">
        <v>9356</v>
      </c>
      <c r="C16290" s="63" t="s">
        <v>10789</v>
      </c>
      <c r="D16290" s="108" t="s">
        <v>10790</v>
      </c>
      <c r="E16290" s="126">
        <v>220000</v>
      </c>
      <c r="F16290" s="58"/>
      <c r="G16290" s="58">
        <f t="shared" si="260"/>
        <v>-220000</v>
      </c>
      <c r="H16290" s="705" t="s">
        <v>10628</v>
      </c>
    </row>
    <row r="16291" spans="1:8" ht="15" x14ac:dyDescent="0.2">
      <c r="A16291" s="734">
        <v>45157</v>
      </c>
      <c r="B16291" s="41" t="s">
        <v>10144</v>
      </c>
      <c r="C16291" s="63" t="s">
        <v>3145</v>
      </c>
      <c r="D16291" s="108" t="s">
        <v>5136</v>
      </c>
      <c r="E16291" s="126">
        <v>4010</v>
      </c>
      <c r="F16291" s="58"/>
      <c r="G16291" s="58">
        <f t="shared" si="260"/>
        <v>-4010</v>
      </c>
      <c r="H16291" s="705" t="s">
        <v>10628</v>
      </c>
    </row>
    <row r="16292" spans="1:8" ht="15" x14ac:dyDescent="0.2">
      <c r="A16292" s="734">
        <v>45157</v>
      </c>
      <c r="B16292" s="41" t="s">
        <v>9409</v>
      </c>
      <c r="C16292" s="63" t="s">
        <v>3145</v>
      </c>
      <c r="D16292" s="108" t="s">
        <v>5136</v>
      </c>
      <c r="E16292" s="126">
        <v>34165</v>
      </c>
      <c r="F16292" s="58"/>
      <c r="G16292" s="58">
        <f t="shared" si="260"/>
        <v>-34165</v>
      </c>
      <c r="H16292" s="705" t="s">
        <v>10628</v>
      </c>
    </row>
    <row r="16293" spans="1:8" ht="15" x14ac:dyDescent="0.2">
      <c r="A16293" s="734">
        <v>45157</v>
      </c>
      <c r="B16293" s="41" t="s">
        <v>10232</v>
      </c>
      <c r="C16293" s="551" t="s">
        <v>3145</v>
      </c>
      <c r="D16293" s="893" t="s">
        <v>10792</v>
      </c>
      <c r="E16293" s="552">
        <v>6000</v>
      </c>
      <c r="F16293" s="58"/>
      <c r="G16293" s="58">
        <f t="shared" si="260"/>
        <v>-6000</v>
      </c>
      <c r="H16293" s="705" t="s">
        <v>10628</v>
      </c>
    </row>
    <row r="16294" spans="1:8" ht="15" x14ac:dyDescent="0.2">
      <c r="A16294" s="734">
        <v>45157</v>
      </c>
      <c r="B16294" s="41" t="s">
        <v>9356</v>
      </c>
      <c r="C16294" s="551" t="s">
        <v>3145</v>
      </c>
      <c r="D16294" s="893" t="s">
        <v>10792</v>
      </c>
      <c r="E16294" s="552">
        <v>6000</v>
      </c>
      <c r="F16294" s="58"/>
      <c r="G16294" s="58">
        <f t="shared" si="260"/>
        <v>-6000</v>
      </c>
      <c r="H16294" s="705" t="s">
        <v>10628</v>
      </c>
    </row>
    <row r="16295" spans="1:8" ht="15" x14ac:dyDescent="0.2">
      <c r="A16295" s="734">
        <v>45157</v>
      </c>
      <c r="B16295" s="41" t="s">
        <v>9409</v>
      </c>
      <c r="C16295" s="551" t="s">
        <v>3145</v>
      </c>
      <c r="D16295" s="893" t="s">
        <v>10792</v>
      </c>
      <c r="E16295" s="552">
        <v>6000</v>
      </c>
      <c r="F16295" s="58"/>
      <c r="G16295" s="58">
        <f t="shared" si="260"/>
        <v>-6000</v>
      </c>
      <c r="H16295" s="705" t="s">
        <v>10628</v>
      </c>
    </row>
    <row r="16296" spans="1:8" ht="15" x14ac:dyDescent="0.2">
      <c r="A16296" s="734">
        <v>45157</v>
      </c>
      <c r="B16296" s="41" t="s">
        <v>10576</v>
      </c>
      <c r="C16296" s="551" t="s">
        <v>3145</v>
      </c>
      <c r="D16296" s="893" t="s">
        <v>10792</v>
      </c>
      <c r="E16296" s="552">
        <v>6000</v>
      </c>
      <c r="F16296" s="58"/>
      <c r="G16296" s="58">
        <f t="shared" si="260"/>
        <v>-6000</v>
      </c>
      <c r="H16296" s="705" t="s">
        <v>10628</v>
      </c>
    </row>
    <row r="16297" spans="1:8" ht="15" x14ac:dyDescent="0.2">
      <c r="A16297" s="734">
        <v>45157</v>
      </c>
      <c r="B16297" s="41" t="s">
        <v>10379</v>
      </c>
      <c r="C16297" s="63" t="s">
        <v>3145</v>
      </c>
      <c r="D16297" s="108" t="s">
        <v>10813</v>
      </c>
      <c r="E16297" s="75">
        <v>56000</v>
      </c>
      <c r="F16297" s="58"/>
      <c r="G16297" s="58">
        <f t="shared" si="260"/>
        <v>-56000</v>
      </c>
      <c r="H16297" s="705" t="s">
        <v>10628</v>
      </c>
    </row>
    <row r="16298" spans="1:8" ht="15" x14ac:dyDescent="0.2">
      <c r="A16298" s="734">
        <v>45157</v>
      </c>
      <c r="B16298" s="41" t="s">
        <v>8876</v>
      </c>
      <c r="C16298" s="63" t="s">
        <v>2710</v>
      </c>
      <c r="D16298" s="108" t="s">
        <v>10793</v>
      </c>
      <c r="E16298" s="75">
        <v>18950</v>
      </c>
      <c r="F16298" s="58"/>
      <c r="G16298" s="58">
        <f t="shared" si="260"/>
        <v>-18950</v>
      </c>
      <c r="H16298" s="705" t="s">
        <v>10628</v>
      </c>
    </row>
    <row r="16299" spans="1:8" ht="15" x14ac:dyDescent="0.2">
      <c r="A16299" s="734">
        <v>45157</v>
      </c>
      <c r="B16299" s="41" t="s">
        <v>9409</v>
      </c>
      <c r="C16299" s="63" t="s">
        <v>10791</v>
      </c>
      <c r="D16299" s="108" t="s">
        <v>10794</v>
      </c>
      <c r="E16299" s="126">
        <v>25000</v>
      </c>
      <c r="F16299" s="58"/>
      <c r="G16299" s="58">
        <f t="shared" si="260"/>
        <v>-25000</v>
      </c>
      <c r="H16299" s="705" t="s">
        <v>10628</v>
      </c>
    </row>
    <row r="16300" spans="1:8" ht="15" x14ac:dyDescent="0.2">
      <c r="A16300" s="734">
        <v>45157</v>
      </c>
      <c r="B16300" s="41" t="s">
        <v>103</v>
      </c>
      <c r="C16300" s="63" t="s">
        <v>103</v>
      </c>
      <c r="D16300" s="108" t="s">
        <v>10211</v>
      </c>
      <c r="E16300" s="126">
        <v>3000</v>
      </c>
      <c r="F16300" s="58"/>
      <c r="G16300" s="58">
        <f t="shared" si="260"/>
        <v>-3000</v>
      </c>
      <c r="H16300" s="705" t="s">
        <v>10628</v>
      </c>
    </row>
    <row r="16301" spans="1:8" ht="15" x14ac:dyDescent="0.2">
      <c r="A16301" s="734">
        <v>45157</v>
      </c>
      <c r="B16301" s="41" t="s">
        <v>10379</v>
      </c>
      <c r="C16301" s="63" t="s">
        <v>5741</v>
      </c>
      <c r="D16301" s="108" t="s">
        <v>370</v>
      </c>
      <c r="E16301" s="126">
        <v>2000</v>
      </c>
      <c r="F16301" s="58"/>
      <c r="G16301" s="58">
        <f t="shared" si="260"/>
        <v>-2000</v>
      </c>
      <c r="H16301" s="705" t="s">
        <v>10628</v>
      </c>
    </row>
    <row r="16302" spans="1:8" ht="15" x14ac:dyDescent="0.2">
      <c r="A16302" s="734">
        <v>45157</v>
      </c>
      <c r="B16302" s="41" t="s">
        <v>10232</v>
      </c>
      <c r="C16302" s="551" t="s">
        <v>3145</v>
      </c>
      <c r="D16302" s="893" t="s">
        <v>10796</v>
      </c>
      <c r="E16302" s="552">
        <v>126800</v>
      </c>
      <c r="F16302" s="58"/>
      <c r="G16302" s="58">
        <f t="shared" si="260"/>
        <v>-126800</v>
      </c>
      <c r="H16302" s="705" t="s">
        <v>10628</v>
      </c>
    </row>
    <row r="16303" spans="1:8" ht="15" x14ac:dyDescent="0.2">
      <c r="A16303" s="734">
        <v>45157</v>
      </c>
      <c r="B16303" s="41" t="s">
        <v>10379</v>
      </c>
      <c r="C16303" s="551" t="s">
        <v>3145</v>
      </c>
      <c r="D16303" s="893" t="s">
        <v>10795</v>
      </c>
      <c r="E16303" s="552">
        <v>13060</v>
      </c>
      <c r="F16303" s="58"/>
      <c r="G16303" s="58">
        <f t="shared" si="260"/>
        <v>-13060</v>
      </c>
      <c r="H16303" s="705" t="s">
        <v>10628</v>
      </c>
    </row>
    <row r="16304" spans="1:8" ht="15" x14ac:dyDescent="0.2">
      <c r="A16304" s="734">
        <v>45159</v>
      </c>
      <c r="B16304" s="41" t="s">
        <v>10379</v>
      </c>
      <c r="C16304" s="63" t="s">
        <v>5741</v>
      </c>
      <c r="D16304" s="108" t="s">
        <v>370</v>
      </c>
      <c r="E16304" s="126">
        <v>1600</v>
      </c>
      <c r="F16304" s="58"/>
      <c r="G16304" s="58">
        <f t="shared" si="260"/>
        <v>-1600</v>
      </c>
      <c r="H16304" s="705" t="s">
        <v>10628</v>
      </c>
    </row>
    <row r="16305" spans="1:8" ht="15" x14ac:dyDescent="0.2">
      <c r="A16305" s="734">
        <v>45159</v>
      </c>
      <c r="B16305" s="41" t="s">
        <v>10379</v>
      </c>
      <c r="C16305" s="63" t="s">
        <v>5741</v>
      </c>
      <c r="D16305" s="108" t="s">
        <v>370</v>
      </c>
      <c r="E16305" s="126">
        <v>1500</v>
      </c>
      <c r="F16305" s="58"/>
      <c r="G16305" s="58">
        <f t="shared" si="260"/>
        <v>-1500</v>
      </c>
      <c r="H16305" s="705" t="s">
        <v>10628</v>
      </c>
    </row>
    <row r="16306" spans="1:8" ht="15" x14ac:dyDescent="0.2">
      <c r="A16306" s="734">
        <v>45159</v>
      </c>
      <c r="B16306" s="41" t="s">
        <v>9356</v>
      </c>
      <c r="C16306" s="63" t="s">
        <v>3145</v>
      </c>
      <c r="D16306" s="108" t="s">
        <v>10816</v>
      </c>
      <c r="E16306" s="126">
        <v>13200</v>
      </c>
      <c r="F16306" s="58"/>
      <c r="G16306" s="58">
        <f t="shared" si="260"/>
        <v>-13200</v>
      </c>
      <c r="H16306" s="705" t="s">
        <v>10628</v>
      </c>
    </row>
    <row r="16307" spans="1:8" ht="15" x14ac:dyDescent="0.2">
      <c r="A16307" s="734">
        <v>45159</v>
      </c>
      <c r="B16307" s="41" t="s">
        <v>9356</v>
      </c>
      <c r="C16307" s="63" t="s">
        <v>3145</v>
      </c>
      <c r="D16307" s="108" t="s">
        <v>10032</v>
      </c>
      <c r="E16307" s="126">
        <v>880</v>
      </c>
      <c r="F16307" s="58"/>
      <c r="G16307" s="58">
        <f t="shared" si="260"/>
        <v>-880</v>
      </c>
      <c r="H16307" s="705" t="s">
        <v>10628</v>
      </c>
    </row>
    <row r="16308" spans="1:8" ht="15" x14ac:dyDescent="0.2">
      <c r="A16308" s="734">
        <v>45159</v>
      </c>
      <c r="B16308" s="41" t="s">
        <v>16</v>
      </c>
      <c r="C16308" s="63" t="s">
        <v>8230</v>
      </c>
      <c r="D16308" s="108" t="s">
        <v>4911</v>
      </c>
      <c r="E16308" s="126">
        <v>4500</v>
      </c>
      <c r="F16308" s="58"/>
      <c r="G16308" s="58">
        <f t="shared" si="260"/>
        <v>-4500</v>
      </c>
      <c r="H16308" s="705" t="s">
        <v>10628</v>
      </c>
    </row>
    <row r="16309" spans="1:8" ht="15" x14ac:dyDescent="0.2">
      <c r="A16309" s="734">
        <v>45159</v>
      </c>
      <c r="B16309" s="41" t="s">
        <v>10576</v>
      </c>
      <c r="C16309" s="63" t="s">
        <v>3145</v>
      </c>
      <c r="D16309" s="108" t="s">
        <v>10817</v>
      </c>
      <c r="E16309" s="126">
        <v>5120</v>
      </c>
      <c r="F16309" s="58"/>
      <c r="G16309" s="58">
        <f t="shared" si="260"/>
        <v>-5120</v>
      </c>
      <c r="H16309" s="705" t="s">
        <v>10628</v>
      </c>
    </row>
    <row r="16310" spans="1:8" ht="15" x14ac:dyDescent="0.2">
      <c r="A16310" s="734">
        <v>45159</v>
      </c>
      <c r="B16310" s="41" t="s">
        <v>10379</v>
      </c>
      <c r="C16310" s="63" t="s">
        <v>3145</v>
      </c>
      <c r="D16310" s="108" t="s">
        <v>10818</v>
      </c>
      <c r="E16310" s="126">
        <v>31200</v>
      </c>
      <c r="F16310" s="58"/>
      <c r="G16310" s="58">
        <f t="shared" si="260"/>
        <v>-31200</v>
      </c>
      <c r="H16310" s="705" t="s">
        <v>10628</v>
      </c>
    </row>
    <row r="16311" spans="1:8" ht="15" x14ac:dyDescent="0.2">
      <c r="A16311" s="734">
        <v>45159</v>
      </c>
      <c r="B16311" s="41" t="s">
        <v>10379</v>
      </c>
      <c r="C16311" s="63" t="s">
        <v>286</v>
      </c>
      <c r="D16311" s="108" t="s">
        <v>3150</v>
      </c>
      <c r="E16311" s="126">
        <v>250</v>
      </c>
      <c r="F16311" s="58"/>
      <c r="G16311" s="58">
        <f t="shared" si="260"/>
        <v>-250</v>
      </c>
      <c r="H16311" s="705" t="s">
        <v>10628</v>
      </c>
    </row>
    <row r="16312" spans="1:8" ht="15" x14ac:dyDescent="0.2">
      <c r="A16312" s="734">
        <v>45160</v>
      </c>
      <c r="B16312" s="41" t="s">
        <v>9402</v>
      </c>
      <c r="C16312" s="63" t="s">
        <v>5741</v>
      </c>
      <c r="D16312" s="108" t="s">
        <v>370</v>
      </c>
      <c r="E16312" s="126">
        <v>2900</v>
      </c>
      <c r="F16312" s="58"/>
      <c r="G16312" s="58">
        <f t="shared" si="260"/>
        <v>-2900</v>
      </c>
      <c r="H16312" s="705" t="s">
        <v>10628</v>
      </c>
    </row>
    <row r="16313" spans="1:8" ht="15" x14ac:dyDescent="0.2">
      <c r="A16313" s="734">
        <v>45160</v>
      </c>
      <c r="B16313" s="41" t="s">
        <v>10296</v>
      </c>
      <c r="C16313" s="63" t="s">
        <v>5741</v>
      </c>
      <c r="D16313" s="108" t="s">
        <v>370</v>
      </c>
      <c r="E16313" s="126">
        <v>1500</v>
      </c>
      <c r="F16313" s="58"/>
      <c r="G16313" s="58">
        <f t="shared" si="260"/>
        <v>-1500</v>
      </c>
      <c r="H16313" s="705" t="s">
        <v>10628</v>
      </c>
    </row>
    <row r="16314" spans="1:8" ht="15" x14ac:dyDescent="0.2">
      <c r="A16314" s="734">
        <v>45160</v>
      </c>
      <c r="B16314" s="41" t="s">
        <v>9409</v>
      </c>
      <c r="C16314" s="63" t="s">
        <v>8372</v>
      </c>
      <c r="D16314" s="108" t="s">
        <v>10819</v>
      </c>
      <c r="E16314" s="126">
        <v>1850</v>
      </c>
      <c r="F16314" s="58"/>
      <c r="G16314" s="58">
        <f t="shared" si="260"/>
        <v>-1850</v>
      </c>
      <c r="H16314" s="705" t="s">
        <v>10628</v>
      </c>
    </row>
    <row r="16315" spans="1:8" ht="15" x14ac:dyDescent="0.2">
      <c r="A16315" s="734">
        <v>45160</v>
      </c>
      <c r="B16315" s="41" t="s">
        <v>9356</v>
      </c>
      <c r="C16315" s="63" t="s">
        <v>392</v>
      </c>
      <c r="D16315" s="108" t="s">
        <v>10820</v>
      </c>
      <c r="E16315" s="126">
        <v>5500</v>
      </c>
      <c r="F16315" s="58"/>
      <c r="G16315" s="58">
        <f t="shared" si="260"/>
        <v>-5500</v>
      </c>
      <c r="H16315" s="705" t="s">
        <v>10628</v>
      </c>
    </row>
    <row r="16316" spans="1:8" ht="15" x14ac:dyDescent="0.2">
      <c r="A16316" s="734">
        <v>45160</v>
      </c>
      <c r="B16316" s="41" t="s">
        <v>9356</v>
      </c>
      <c r="C16316" s="63" t="s">
        <v>286</v>
      </c>
      <c r="D16316" s="108" t="s">
        <v>2431</v>
      </c>
      <c r="E16316" s="126">
        <v>1200</v>
      </c>
      <c r="F16316" s="58"/>
      <c r="G16316" s="58">
        <f t="shared" si="260"/>
        <v>-1200</v>
      </c>
      <c r="H16316" s="705" t="s">
        <v>10628</v>
      </c>
    </row>
    <row r="16317" spans="1:8" ht="15" x14ac:dyDescent="0.2">
      <c r="A16317" s="734">
        <v>45160</v>
      </c>
      <c r="B16317" s="41" t="s">
        <v>10576</v>
      </c>
      <c r="C16317" s="63" t="s">
        <v>3145</v>
      </c>
      <c r="D16317" s="108" t="s">
        <v>10821</v>
      </c>
      <c r="E16317" s="126">
        <v>1740</v>
      </c>
      <c r="F16317" s="58"/>
      <c r="G16317" s="58">
        <f t="shared" si="260"/>
        <v>-1740</v>
      </c>
      <c r="H16317" s="705" t="s">
        <v>10628</v>
      </c>
    </row>
    <row r="16318" spans="1:8" ht="15" x14ac:dyDescent="0.2">
      <c r="A16318" s="734">
        <v>45160</v>
      </c>
      <c r="B16318" s="41" t="s">
        <v>9967</v>
      </c>
      <c r="C16318" s="63" t="s">
        <v>10173</v>
      </c>
      <c r="D16318" s="108" t="s">
        <v>10822</v>
      </c>
      <c r="E16318" s="126">
        <v>30000</v>
      </c>
      <c r="F16318" s="58"/>
      <c r="G16318" s="58">
        <f t="shared" si="260"/>
        <v>-30000</v>
      </c>
      <c r="H16318" s="705" t="s">
        <v>10628</v>
      </c>
    </row>
    <row r="16319" spans="1:8" ht="15" x14ac:dyDescent="0.2">
      <c r="A16319" s="734">
        <v>45160</v>
      </c>
      <c r="B16319" s="41" t="s">
        <v>10023</v>
      </c>
      <c r="C16319" s="63" t="s">
        <v>3145</v>
      </c>
      <c r="D16319" s="108" t="s">
        <v>10823</v>
      </c>
      <c r="E16319" s="126">
        <v>1800</v>
      </c>
      <c r="F16319" s="58"/>
      <c r="G16319" s="58">
        <f t="shared" ref="G16319:G16382" si="261">F16319-E16319</f>
        <v>-1800</v>
      </c>
      <c r="H16319" s="705" t="s">
        <v>10628</v>
      </c>
    </row>
    <row r="16320" spans="1:8" ht="15" x14ac:dyDescent="0.2">
      <c r="A16320" s="734">
        <v>45160</v>
      </c>
      <c r="B16320" s="41" t="s">
        <v>2933</v>
      </c>
      <c r="C16320" s="63" t="s">
        <v>3145</v>
      </c>
      <c r="D16320" s="108" t="s">
        <v>6486</v>
      </c>
      <c r="E16320" s="126">
        <v>10020</v>
      </c>
      <c r="F16320" s="58"/>
      <c r="G16320" s="58">
        <f t="shared" si="261"/>
        <v>-10020</v>
      </c>
      <c r="H16320" s="705" t="s">
        <v>10628</v>
      </c>
    </row>
    <row r="16321" spans="1:8" ht="15" x14ac:dyDescent="0.2">
      <c r="A16321" s="734">
        <v>45161</v>
      </c>
      <c r="B16321" s="41" t="s">
        <v>10379</v>
      </c>
      <c r="C16321" s="63" t="s">
        <v>3446</v>
      </c>
      <c r="D16321" s="108" t="s">
        <v>10825</v>
      </c>
      <c r="E16321" s="126">
        <v>25000</v>
      </c>
      <c r="F16321" s="58"/>
      <c r="G16321" s="58">
        <f t="shared" si="261"/>
        <v>-25000</v>
      </c>
      <c r="H16321" s="705" t="s">
        <v>10628</v>
      </c>
    </row>
    <row r="16322" spans="1:8" ht="15" x14ac:dyDescent="0.2">
      <c r="A16322" s="734">
        <v>45161</v>
      </c>
      <c r="B16322" s="41" t="s">
        <v>9402</v>
      </c>
      <c r="C16322" s="63" t="s">
        <v>5741</v>
      </c>
      <c r="D16322" s="108" t="s">
        <v>370</v>
      </c>
      <c r="E16322" s="126">
        <v>2500</v>
      </c>
      <c r="F16322" s="58"/>
      <c r="G16322" s="58">
        <f t="shared" si="261"/>
        <v>-2500</v>
      </c>
      <c r="H16322" s="705" t="s">
        <v>10628</v>
      </c>
    </row>
    <row r="16323" spans="1:8" ht="15" x14ac:dyDescent="0.2">
      <c r="A16323" s="734">
        <v>45161</v>
      </c>
      <c r="B16323" s="41" t="s">
        <v>10232</v>
      </c>
      <c r="C16323" s="63" t="s">
        <v>5741</v>
      </c>
      <c r="D16323" s="108" t="s">
        <v>370</v>
      </c>
      <c r="E16323" s="126">
        <v>1500</v>
      </c>
      <c r="F16323" s="58"/>
      <c r="G16323" s="58">
        <f t="shared" si="261"/>
        <v>-1500</v>
      </c>
      <c r="H16323" s="705" t="s">
        <v>10628</v>
      </c>
    </row>
    <row r="16324" spans="1:8" ht="15" x14ac:dyDescent="0.2">
      <c r="A16324" s="734">
        <v>45161</v>
      </c>
      <c r="B16324" s="41" t="s">
        <v>10576</v>
      </c>
      <c r="C16324" s="63" t="s">
        <v>5741</v>
      </c>
      <c r="D16324" s="108" t="s">
        <v>370</v>
      </c>
      <c r="E16324" s="126">
        <v>1500</v>
      </c>
      <c r="F16324" s="58"/>
      <c r="G16324" s="58">
        <f t="shared" si="261"/>
        <v>-1500</v>
      </c>
      <c r="H16324" s="705" t="s">
        <v>10628</v>
      </c>
    </row>
    <row r="16325" spans="1:8" ht="15" x14ac:dyDescent="0.2">
      <c r="A16325" s="734">
        <v>45161</v>
      </c>
      <c r="B16325" s="41" t="s">
        <v>9409</v>
      </c>
      <c r="C16325" s="63" t="s">
        <v>392</v>
      </c>
      <c r="D16325" s="108" t="s">
        <v>10655</v>
      </c>
      <c r="E16325" s="126">
        <v>1000</v>
      </c>
      <c r="F16325" s="58"/>
      <c r="G16325" s="58">
        <f t="shared" si="261"/>
        <v>-1000</v>
      </c>
      <c r="H16325" s="705" t="s">
        <v>10628</v>
      </c>
    </row>
    <row r="16326" spans="1:8" ht="15" x14ac:dyDescent="0.2">
      <c r="A16326" s="734">
        <v>45161</v>
      </c>
      <c r="B16326" s="41" t="s">
        <v>103</v>
      </c>
      <c r="C16326" s="63" t="s">
        <v>103</v>
      </c>
      <c r="D16326" s="108" t="s">
        <v>10211</v>
      </c>
      <c r="E16326" s="126">
        <v>3000</v>
      </c>
      <c r="F16326" s="58"/>
      <c r="G16326" s="58">
        <f t="shared" si="261"/>
        <v>-3000</v>
      </c>
      <c r="H16326" s="705" t="s">
        <v>10628</v>
      </c>
    </row>
    <row r="16327" spans="1:8" ht="15" x14ac:dyDescent="0.2">
      <c r="A16327" s="734">
        <v>45161</v>
      </c>
      <c r="B16327" s="41" t="s">
        <v>10242</v>
      </c>
      <c r="C16327" s="63" t="s">
        <v>392</v>
      </c>
      <c r="D16327" s="108" t="s">
        <v>10827</v>
      </c>
      <c r="E16327" s="126">
        <v>1000</v>
      </c>
      <c r="F16327" s="58"/>
      <c r="G16327" s="58">
        <f t="shared" si="261"/>
        <v>-1000</v>
      </c>
      <c r="H16327" s="705" t="s">
        <v>10628</v>
      </c>
    </row>
    <row r="16328" spans="1:8" ht="15" x14ac:dyDescent="0.2">
      <c r="A16328" s="734">
        <v>45161</v>
      </c>
      <c r="B16328" s="41" t="s">
        <v>10232</v>
      </c>
      <c r="C16328" s="63" t="s">
        <v>3145</v>
      </c>
      <c r="D16328" s="108" t="s">
        <v>10826</v>
      </c>
      <c r="E16328" s="126">
        <v>1500</v>
      </c>
      <c r="F16328" s="58"/>
      <c r="G16328" s="58">
        <f t="shared" si="261"/>
        <v>-1500</v>
      </c>
      <c r="H16328" s="705" t="s">
        <v>10628</v>
      </c>
    </row>
    <row r="16329" spans="1:8" ht="15" x14ac:dyDescent="0.2">
      <c r="A16329" s="734">
        <v>45161</v>
      </c>
      <c r="B16329" s="41" t="s">
        <v>9356</v>
      </c>
      <c r="C16329" s="63" t="s">
        <v>10883</v>
      </c>
      <c r="D16329" s="108" t="s">
        <v>10828</v>
      </c>
      <c r="E16329" s="126">
        <v>500000</v>
      </c>
      <c r="F16329" s="58"/>
      <c r="G16329" s="58">
        <f t="shared" si="261"/>
        <v>-500000</v>
      </c>
      <c r="H16329" s="705" t="s">
        <v>10628</v>
      </c>
    </row>
    <row r="16330" spans="1:8" ht="15" x14ac:dyDescent="0.2">
      <c r="A16330" s="734">
        <v>45161</v>
      </c>
      <c r="B16330" s="670" t="s">
        <v>9507</v>
      </c>
      <c r="C16330" s="670" t="s">
        <v>8394</v>
      </c>
      <c r="D16330" s="907" t="s">
        <v>10849</v>
      </c>
      <c r="E16330" s="672">
        <v>28019</v>
      </c>
      <c r="F16330" s="58"/>
      <c r="G16330" s="58">
        <f t="shared" si="261"/>
        <v>-28019</v>
      </c>
      <c r="H16330" s="705" t="s">
        <v>10628</v>
      </c>
    </row>
    <row r="16331" spans="1:8" ht="15" x14ac:dyDescent="0.2">
      <c r="A16331" s="734">
        <v>45161</v>
      </c>
      <c r="B16331" s="670" t="s">
        <v>10296</v>
      </c>
      <c r="C16331" s="670" t="s">
        <v>8394</v>
      </c>
      <c r="D16331" s="907" t="s">
        <v>10849</v>
      </c>
      <c r="E16331" s="672">
        <v>112135</v>
      </c>
      <c r="F16331" s="58"/>
      <c r="G16331" s="58">
        <f t="shared" si="261"/>
        <v>-112135</v>
      </c>
      <c r="H16331" s="705" t="s">
        <v>10628</v>
      </c>
    </row>
    <row r="16332" spans="1:8" ht="15" x14ac:dyDescent="0.2">
      <c r="A16332" s="734">
        <v>45161</v>
      </c>
      <c r="B16332" s="670" t="s">
        <v>9356</v>
      </c>
      <c r="C16332" s="670" t="s">
        <v>8394</v>
      </c>
      <c r="D16332" s="907" t="s">
        <v>10849</v>
      </c>
      <c r="E16332" s="672">
        <v>22065</v>
      </c>
      <c r="F16332" s="58"/>
      <c r="G16332" s="58">
        <f t="shared" si="261"/>
        <v>-22065</v>
      </c>
      <c r="H16332" s="705" t="s">
        <v>10628</v>
      </c>
    </row>
    <row r="16333" spans="1:8" ht="15" x14ac:dyDescent="0.2">
      <c r="A16333" s="734">
        <v>45161</v>
      </c>
      <c r="B16333" s="670" t="s">
        <v>10144</v>
      </c>
      <c r="C16333" s="670" t="s">
        <v>8394</v>
      </c>
      <c r="D16333" s="907" t="s">
        <v>10849</v>
      </c>
      <c r="E16333" s="672">
        <v>300000</v>
      </c>
      <c r="F16333" s="58"/>
      <c r="G16333" s="58">
        <f t="shared" si="261"/>
        <v>-300000</v>
      </c>
      <c r="H16333" s="705" t="s">
        <v>10628</v>
      </c>
    </row>
    <row r="16334" spans="1:8" ht="15" x14ac:dyDescent="0.2">
      <c r="A16334" s="734">
        <v>45161</v>
      </c>
      <c r="B16334" s="670" t="s">
        <v>10379</v>
      </c>
      <c r="C16334" s="670" t="s">
        <v>8394</v>
      </c>
      <c r="D16334" s="907" t="s">
        <v>10849</v>
      </c>
      <c r="E16334" s="672">
        <v>200000</v>
      </c>
      <c r="F16334" s="58"/>
      <c r="G16334" s="58">
        <f t="shared" si="261"/>
        <v>-200000</v>
      </c>
      <c r="H16334" s="705" t="s">
        <v>10628</v>
      </c>
    </row>
    <row r="16335" spans="1:8" ht="15" x14ac:dyDescent="0.2">
      <c r="A16335" s="734">
        <v>45161</v>
      </c>
      <c r="B16335" s="670" t="s">
        <v>10232</v>
      </c>
      <c r="C16335" s="670" t="s">
        <v>8394</v>
      </c>
      <c r="D16335" s="907" t="s">
        <v>10849</v>
      </c>
      <c r="E16335" s="672">
        <v>337781</v>
      </c>
      <c r="F16335" s="58"/>
      <c r="G16335" s="58">
        <f t="shared" si="261"/>
        <v>-337781</v>
      </c>
      <c r="H16335" s="705" t="s">
        <v>10628</v>
      </c>
    </row>
    <row r="16336" spans="1:8" ht="24" x14ac:dyDescent="0.2">
      <c r="A16336" s="734">
        <v>45161</v>
      </c>
      <c r="B16336" s="41" t="s">
        <v>10379</v>
      </c>
      <c r="C16336" s="63" t="s">
        <v>10173</v>
      </c>
      <c r="D16336" s="183" t="s">
        <v>10830</v>
      </c>
      <c r="E16336" s="126">
        <v>201800</v>
      </c>
      <c r="F16336" s="58"/>
      <c r="G16336" s="58">
        <f t="shared" si="261"/>
        <v>-201800</v>
      </c>
      <c r="H16336" s="705" t="s">
        <v>10628</v>
      </c>
    </row>
    <row r="16337" spans="1:8" ht="24" x14ac:dyDescent="0.2">
      <c r="A16337" s="734">
        <v>45161</v>
      </c>
      <c r="B16337" s="63" t="s">
        <v>9356</v>
      </c>
      <c r="C16337" s="63" t="s">
        <v>10173</v>
      </c>
      <c r="D16337" s="183" t="s">
        <v>10831</v>
      </c>
      <c r="E16337" s="126">
        <v>1200</v>
      </c>
      <c r="F16337" s="58"/>
      <c r="G16337" s="58">
        <f t="shared" si="261"/>
        <v>-1200</v>
      </c>
      <c r="H16337" s="705" t="s">
        <v>10628</v>
      </c>
    </row>
    <row r="16338" spans="1:8" ht="15" x14ac:dyDescent="0.2">
      <c r="A16338" s="734">
        <v>45161</v>
      </c>
      <c r="B16338" s="63" t="s">
        <v>10576</v>
      </c>
      <c r="C16338" s="63" t="s">
        <v>3145</v>
      </c>
      <c r="D16338" s="183" t="s">
        <v>10817</v>
      </c>
      <c r="E16338" s="126">
        <v>9640</v>
      </c>
      <c r="F16338" s="58"/>
      <c r="G16338" s="58">
        <f t="shared" si="261"/>
        <v>-9640</v>
      </c>
      <c r="H16338" s="705" t="s">
        <v>10628</v>
      </c>
    </row>
    <row r="16339" spans="1:8" ht="15" x14ac:dyDescent="0.2">
      <c r="A16339" s="734">
        <v>45161</v>
      </c>
      <c r="B16339" s="63" t="s">
        <v>9356</v>
      </c>
      <c r="C16339" s="63" t="s">
        <v>392</v>
      </c>
      <c r="D16339" s="183" t="s">
        <v>10847</v>
      </c>
      <c r="E16339" s="126">
        <v>3000</v>
      </c>
      <c r="F16339" s="58"/>
      <c r="G16339" s="58">
        <f t="shared" si="261"/>
        <v>-3000</v>
      </c>
      <c r="H16339" s="705" t="s">
        <v>10628</v>
      </c>
    </row>
    <row r="16340" spans="1:8" ht="15" x14ac:dyDescent="0.2">
      <c r="A16340" s="734">
        <v>45161</v>
      </c>
      <c r="B16340" s="63" t="s">
        <v>10576</v>
      </c>
      <c r="C16340" s="63" t="s">
        <v>5387</v>
      </c>
      <c r="D16340" s="183" t="s">
        <v>10845</v>
      </c>
      <c r="E16340" s="126">
        <v>8000</v>
      </c>
      <c r="F16340" s="58"/>
      <c r="G16340" s="58">
        <f t="shared" si="261"/>
        <v>-8000</v>
      </c>
      <c r="H16340" s="705" t="s">
        <v>10628</v>
      </c>
    </row>
    <row r="16341" spans="1:8" ht="15" x14ac:dyDescent="0.2">
      <c r="A16341" s="734">
        <v>45161</v>
      </c>
      <c r="B16341" s="63" t="s">
        <v>9402</v>
      </c>
      <c r="C16341" s="63" t="s">
        <v>9871</v>
      </c>
      <c r="D16341" s="183" t="s">
        <v>10846</v>
      </c>
      <c r="E16341" s="126">
        <v>10616</v>
      </c>
      <c r="F16341" s="58"/>
      <c r="G16341" s="58">
        <f t="shared" si="261"/>
        <v>-10616</v>
      </c>
      <c r="H16341" s="705" t="s">
        <v>10628</v>
      </c>
    </row>
    <row r="16342" spans="1:8" ht="15" x14ac:dyDescent="0.2">
      <c r="A16342" s="734">
        <v>45161</v>
      </c>
      <c r="B16342" s="63" t="s">
        <v>10232</v>
      </c>
      <c r="C16342" s="63" t="s">
        <v>9871</v>
      </c>
      <c r="D16342" s="183" t="s">
        <v>10846</v>
      </c>
      <c r="E16342" s="126">
        <v>9986</v>
      </c>
      <c r="F16342" s="58"/>
      <c r="G16342" s="58">
        <f t="shared" si="261"/>
        <v>-9986</v>
      </c>
      <c r="H16342" s="705" t="s">
        <v>10628</v>
      </c>
    </row>
    <row r="16343" spans="1:8" ht="15" x14ac:dyDescent="0.2">
      <c r="A16343" s="734">
        <v>45161</v>
      </c>
      <c r="B16343" s="41" t="s">
        <v>10379</v>
      </c>
      <c r="C16343" s="63" t="s">
        <v>5741</v>
      </c>
      <c r="D16343" s="183" t="s">
        <v>370</v>
      </c>
      <c r="E16343" s="126">
        <v>5200</v>
      </c>
      <c r="F16343" s="58"/>
      <c r="G16343" s="58">
        <f t="shared" si="261"/>
        <v>-5200</v>
      </c>
      <c r="H16343" s="705" t="s">
        <v>10628</v>
      </c>
    </row>
    <row r="16344" spans="1:8" ht="15" x14ac:dyDescent="0.2">
      <c r="A16344" s="734">
        <v>45161</v>
      </c>
      <c r="B16344" s="63" t="s">
        <v>3946</v>
      </c>
      <c r="C16344" s="63" t="s">
        <v>1230</v>
      </c>
      <c r="D16344" s="183" t="s">
        <v>8430</v>
      </c>
      <c r="E16344" s="126">
        <v>20000</v>
      </c>
      <c r="F16344" s="58"/>
      <c r="G16344" s="58">
        <f t="shared" si="261"/>
        <v>-20000</v>
      </c>
      <c r="H16344" s="705" t="s">
        <v>10628</v>
      </c>
    </row>
    <row r="16345" spans="1:8" ht="15" x14ac:dyDescent="0.2">
      <c r="A16345" s="734">
        <v>45161</v>
      </c>
      <c r="B16345" s="63" t="s">
        <v>9832</v>
      </c>
      <c r="C16345" s="63" t="s">
        <v>794</v>
      </c>
      <c r="D16345" s="183" t="s">
        <v>11011</v>
      </c>
      <c r="E16345" s="126">
        <v>25000</v>
      </c>
      <c r="F16345" s="58"/>
      <c r="G16345" s="58">
        <f t="shared" si="261"/>
        <v>-25000</v>
      </c>
      <c r="H16345" s="705" t="s">
        <v>10628</v>
      </c>
    </row>
    <row r="16346" spans="1:8" ht="15" customHeight="1" x14ac:dyDescent="0.2">
      <c r="A16346" s="734">
        <v>45161</v>
      </c>
      <c r="B16346" s="63" t="s">
        <v>9986</v>
      </c>
      <c r="C16346" s="63" t="s">
        <v>794</v>
      </c>
      <c r="D16346" s="183" t="s">
        <v>11011</v>
      </c>
      <c r="E16346" s="126">
        <v>25000</v>
      </c>
      <c r="F16346" s="58"/>
      <c r="G16346" s="58">
        <f t="shared" si="261"/>
        <v>-25000</v>
      </c>
      <c r="H16346" s="705" t="s">
        <v>10628</v>
      </c>
    </row>
    <row r="16347" spans="1:8" ht="15" customHeight="1" x14ac:dyDescent="0.2">
      <c r="A16347" s="734">
        <v>45161</v>
      </c>
      <c r="B16347" s="63" t="s">
        <v>9356</v>
      </c>
      <c r="C16347" s="63" t="s">
        <v>794</v>
      </c>
      <c r="D16347" s="183" t="s">
        <v>11012</v>
      </c>
      <c r="E16347" s="126">
        <v>25000</v>
      </c>
      <c r="F16347" s="58"/>
      <c r="G16347" s="58">
        <f t="shared" si="261"/>
        <v>-25000</v>
      </c>
      <c r="H16347" s="705" t="s">
        <v>10628</v>
      </c>
    </row>
    <row r="16348" spans="1:8" ht="15" customHeight="1" x14ac:dyDescent="0.2">
      <c r="A16348" s="734">
        <v>45161</v>
      </c>
      <c r="B16348" s="63" t="s">
        <v>10571</v>
      </c>
      <c r="C16348" s="63" t="s">
        <v>794</v>
      </c>
      <c r="D16348" s="183" t="s">
        <v>11012</v>
      </c>
      <c r="E16348" s="126">
        <v>25000</v>
      </c>
      <c r="F16348" s="58"/>
      <c r="G16348" s="58">
        <f t="shared" si="261"/>
        <v>-25000</v>
      </c>
      <c r="H16348" s="705" t="s">
        <v>10628</v>
      </c>
    </row>
    <row r="16349" spans="1:8" ht="15" customHeight="1" x14ac:dyDescent="0.2">
      <c r="A16349" s="734">
        <v>45161</v>
      </c>
      <c r="B16349" s="63" t="s">
        <v>25</v>
      </c>
      <c r="C16349" s="63" t="s">
        <v>794</v>
      </c>
      <c r="D16349" s="183" t="s">
        <v>11118</v>
      </c>
      <c r="E16349" s="126">
        <v>80000</v>
      </c>
      <c r="F16349" s="58"/>
      <c r="G16349" s="58">
        <f t="shared" si="261"/>
        <v>-80000</v>
      </c>
      <c r="H16349" s="705" t="s">
        <v>10628</v>
      </c>
    </row>
    <row r="16350" spans="1:8" ht="15" customHeight="1" x14ac:dyDescent="0.2">
      <c r="A16350" s="734">
        <v>45161</v>
      </c>
      <c r="B16350" s="63" t="s">
        <v>10179</v>
      </c>
      <c r="C16350" s="63" t="s">
        <v>794</v>
      </c>
      <c r="D16350" s="183" t="s">
        <v>9012</v>
      </c>
      <c r="E16350" s="126">
        <v>5000</v>
      </c>
      <c r="F16350" s="58"/>
      <c r="G16350" s="58">
        <f t="shared" si="261"/>
        <v>-5000</v>
      </c>
      <c r="H16350" s="705" t="s">
        <v>10628</v>
      </c>
    </row>
    <row r="16351" spans="1:8" ht="15" customHeight="1" x14ac:dyDescent="0.2">
      <c r="A16351" s="734">
        <v>45161</v>
      </c>
      <c r="B16351" s="63" t="s">
        <v>16</v>
      </c>
      <c r="C16351" s="63" t="s">
        <v>794</v>
      </c>
      <c r="D16351" s="183" t="s">
        <v>10966</v>
      </c>
      <c r="E16351" s="126">
        <v>23000</v>
      </c>
      <c r="F16351" s="58"/>
      <c r="G16351" s="58">
        <f t="shared" si="261"/>
        <v>-23000</v>
      </c>
      <c r="H16351" s="705" t="s">
        <v>10628</v>
      </c>
    </row>
    <row r="16352" spans="1:8" ht="15" customHeight="1" x14ac:dyDescent="0.2">
      <c r="A16352" s="734">
        <v>45161</v>
      </c>
      <c r="B16352" s="63" t="s">
        <v>10296</v>
      </c>
      <c r="C16352" s="63" t="s">
        <v>794</v>
      </c>
      <c r="D16352" s="183" t="s">
        <v>10973</v>
      </c>
      <c r="E16352" s="126">
        <v>47120</v>
      </c>
      <c r="F16352" s="58"/>
      <c r="G16352" s="58">
        <f t="shared" si="261"/>
        <v>-47120</v>
      </c>
      <c r="H16352" s="705" t="s">
        <v>10628</v>
      </c>
    </row>
    <row r="16353" spans="1:8" ht="15" x14ac:dyDescent="0.2">
      <c r="A16353" s="734">
        <v>45161</v>
      </c>
      <c r="B16353" s="63" t="s">
        <v>103</v>
      </c>
      <c r="C16353" s="63" t="s">
        <v>794</v>
      </c>
      <c r="D16353" s="183" t="s">
        <v>10981</v>
      </c>
      <c r="E16353" s="126">
        <v>229050</v>
      </c>
      <c r="F16353" s="58"/>
      <c r="G16353" s="58">
        <f t="shared" si="261"/>
        <v>-229050</v>
      </c>
      <c r="H16353" s="705" t="s">
        <v>10628</v>
      </c>
    </row>
    <row r="16354" spans="1:8" ht="15" x14ac:dyDescent="0.2">
      <c r="A16354" s="734">
        <v>45161</v>
      </c>
      <c r="B16354" s="63" t="s">
        <v>3946</v>
      </c>
      <c r="C16354" s="63" t="s">
        <v>794</v>
      </c>
      <c r="D16354" s="183" t="s">
        <v>10982</v>
      </c>
      <c r="E16354" s="126">
        <v>149794</v>
      </c>
      <c r="F16354" s="58"/>
      <c r="G16354" s="58">
        <f t="shared" si="261"/>
        <v>-149794</v>
      </c>
      <c r="H16354" s="705" t="s">
        <v>10628</v>
      </c>
    </row>
    <row r="16355" spans="1:8" ht="15" x14ac:dyDescent="0.2">
      <c r="A16355" s="734">
        <v>45161</v>
      </c>
      <c r="B16355" s="63" t="s">
        <v>37</v>
      </c>
      <c r="C16355" s="63" t="s">
        <v>794</v>
      </c>
      <c r="D16355" s="183" t="s">
        <v>10097</v>
      </c>
      <c r="E16355" s="126">
        <v>130524.19354838709</v>
      </c>
      <c r="F16355" s="58"/>
      <c r="G16355" s="58">
        <f t="shared" si="261"/>
        <v>-130524.19354838709</v>
      </c>
      <c r="H16355" s="705" t="s">
        <v>10628</v>
      </c>
    </row>
    <row r="16356" spans="1:8" ht="15" customHeight="1" x14ac:dyDescent="0.2">
      <c r="A16356" s="734">
        <v>45161</v>
      </c>
      <c r="B16356" s="63" t="s">
        <v>9409</v>
      </c>
      <c r="C16356" s="63" t="s">
        <v>794</v>
      </c>
      <c r="D16356" s="183" t="s">
        <v>10984</v>
      </c>
      <c r="E16356" s="126">
        <v>107735</v>
      </c>
      <c r="F16356" s="58"/>
      <c r="G16356" s="58">
        <f t="shared" si="261"/>
        <v>-107735</v>
      </c>
      <c r="H16356" s="705" t="s">
        <v>10628</v>
      </c>
    </row>
    <row r="16357" spans="1:8" ht="15" customHeight="1" x14ac:dyDescent="0.2">
      <c r="A16357" s="734">
        <v>45161</v>
      </c>
      <c r="B16357" s="63" t="s">
        <v>10576</v>
      </c>
      <c r="C16357" s="63" t="s">
        <v>794</v>
      </c>
      <c r="D16357" s="183" t="s">
        <v>10985</v>
      </c>
      <c r="E16357" s="126">
        <v>88065</v>
      </c>
      <c r="F16357" s="58"/>
      <c r="G16357" s="58">
        <f t="shared" si="261"/>
        <v>-88065</v>
      </c>
      <c r="H16357" s="705" t="s">
        <v>10628</v>
      </c>
    </row>
    <row r="16358" spans="1:8" ht="15" customHeight="1" x14ac:dyDescent="0.2">
      <c r="A16358" s="734">
        <v>45161</v>
      </c>
      <c r="B16358" s="63" t="s">
        <v>9402</v>
      </c>
      <c r="C16358" s="63" t="s">
        <v>794</v>
      </c>
      <c r="D16358" s="183" t="s">
        <v>10986</v>
      </c>
      <c r="E16358" s="126">
        <v>65000</v>
      </c>
      <c r="F16358" s="58"/>
      <c r="G16358" s="58">
        <f t="shared" si="261"/>
        <v>-65000</v>
      </c>
      <c r="H16358" s="705" t="s">
        <v>10628</v>
      </c>
    </row>
    <row r="16359" spans="1:8" ht="15" customHeight="1" x14ac:dyDescent="0.2">
      <c r="A16359" s="734">
        <v>45161</v>
      </c>
      <c r="B16359" s="63" t="s">
        <v>3945</v>
      </c>
      <c r="C16359" s="63" t="s">
        <v>794</v>
      </c>
      <c r="D16359" s="183" t="s">
        <v>10987</v>
      </c>
      <c r="E16359" s="126">
        <v>126000</v>
      </c>
      <c r="F16359" s="58"/>
      <c r="G16359" s="58">
        <f t="shared" si="261"/>
        <v>-126000</v>
      </c>
      <c r="H16359" s="705" t="s">
        <v>10628</v>
      </c>
    </row>
    <row r="16360" spans="1:8" ht="15" customHeight="1" x14ac:dyDescent="0.2">
      <c r="A16360" s="734">
        <v>45161</v>
      </c>
      <c r="B16360" s="63" t="s">
        <v>9356</v>
      </c>
      <c r="C16360" s="63" t="s">
        <v>794</v>
      </c>
      <c r="D16360" s="183" t="s">
        <v>10989</v>
      </c>
      <c r="E16360" s="126">
        <v>46150</v>
      </c>
      <c r="F16360" s="58"/>
      <c r="G16360" s="58">
        <f t="shared" si="261"/>
        <v>-46150</v>
      </c>
      <c r="H16360" s="705" t="s">
        <v>10628</v>
      </c>
    </row>
    <row r="16361" spans="1:8" ht="15" customHeight="1" x14ac:dyDescent="0.2">
      <c r="A16361" s="734">
        <v>45161</v>
      </c>
      <c r="B16361" s="63" t="s">
        <v>7807</v>
      </c>
      <c r="C16361" s="63" t="s">
        <v>794</v>
      </c>
      <c r="D16361" s="183" t="s">
        <v>10990</v>
      </c>
      <c r="E16361" s="126">
        <v>24040</v>
      </c>
      <c r="F16361" s="58"/>
      <c r="G16361" s="58">
        <f t="shared" si="261"/>
        <v>-24040</v>
      </c>
      <c r="H16361" s="705" t="s">
        <v>10628</v>
      </c>
    </row>
    <row r="16362" spans="1:8" ht="15" customHeight="1" x14ac:dyDescent="0.2">
      <c r="A16362" s="734">
        <v>45161</v>
      </c>
      <c r="B16362" s="63" t="s">
        <v>9356</v>
      </c>
      <c r="C16362" s="63" t="s">
        <v>794</v>
      </c>
      <c r="D16362" s="183" t="s">
        <v>10991</v>
      </c>
      <c r="E16362" s="126">
        <v>106980</v>
      </c>
      <c r="F16362" s="58"/>
      <c r="G16362" s="58">
        <f t="shared" si="261"/>
        <v>-106980</v>
      </c>
      <c r="H16362" s="705" t="s">
        <v>10628</v>
      </c>
    </row>
    <row r="16363" spans="1:8" ht="15" customHeight="1" x14ac:dyDescent="0.2">
      <c r="A16363" s="734">
        <v>45161</v>
      </c>
      <c r="B16363" s="63" t="s">
        <v>2933</v>
      </c>
      <c r="C16363" s="63" t="s">
        <v>2503</v>
      </c>
      <c r="D16363" s="183" t="s">
        <v>11027</v>
      </c>
      <c r="E16363" s="126">
        <v>292919.35483870964</v>
      </c>
      <c r="F16363" s="58"/>
      <c r="G16363" s="58">
        <f t="shared" si="261"/>
        <v>-292919.35483870964</v>
      </c>
      <c r="H16363" s="705" t="s">
        <v>10628</v>
      </c>
    </row>
    <row r="16364" spans="1:8" ht="15" customHeight="1" x14ac:dyDescent="0.2">
      <c r="A16364" s="734">
        <v>45161</v>
      </c>
      <c r="B16364" s="63" t="s">
        <v>10576</v>
      </c>
      <c r="C16364" s="63" t="s">
        <v>2503</v>
      </c>
      <c r="D16364" s="183" t="s">
        <v>11030</v>
      </c>
      <c r="E16364" s="126">
        <v>24670</v>
      </c>
      <c r="F16364" s="58"/>
      <c r="G16364" s="58">
        <f t="shared" si="261"/>
        <v>-24670</v>
      </c>
      <c r="H16364" s="705" t="s">
        <v>10628</v>
      </c>
    </row>
    <row r="16365" spans="1:8" ht="15" customHeight="1" x14ac:dyDescent="0.2">
      <c r="A16365" s="734">
        <v>45161</v>
      </c>
      <c r="B16365" s="63" t="s">
        <v>103</v>
      </c>
      <c r="C16365" s="63" t="s">
        <v>2503</v>
      </c>
      <c r="D16365" s="183" t="s">
        <v>11066</v>
      </c>
      <c r="E16365" s="126">
        <v>65000</v>
      </c>
      <c r="F16365" s="58"/>
      <c r="G16365" s="58">
        <f t="shared" si="261"/>
        <v>-65000</v>
      </c>
      <c r="H16365" s="705" t="s">
        <v>10628</v>
      </c>
    </row>
    <row r="16366" spans="1:8" ht="15" customHeight="1" x14ac:dyDescent="0.2">
      <c r="A16366" s="734">
        <v>45161</v>
      </c>
      <c r="B16366" s="63" t="s">
        <v>10379</v>
      </c>
      <c r="C16366" s="63" t="s">
        <v>3145</v>
      </c>
      <c r="D16366" s="183" t="s">
        <v>10865</v>
      </c>
      <c r="E16366" s="126">
        <v>44000</v>
      </c>
      <c r="F16366" s="58"/>
      <c r="G16366" s="58">
        <f t="shared" si="261"/>
        <v>-44000</v>
      </c>
      <c r="H16366" s="705" t="s">
        <v>10628</v>
      </c>
    </row>
    <row r="16367" spans="1:8" ht="15" customHeight="1" x14ac:dyDescent="0.2">
      <c r="A16367" s="734">
        <v>45161</v>
      </c>
      <c r="B16367" s="63" t="s">
        <v>10379</v>
      </c>
      <c r="C16367" s="63" t="s">
        <v>5741</v>
      </c>
      <c r="D16367" s="183" t="s">
        <v>10337</v>
      </c>
      <c r="E16367" s="126">
        <v>200</v>
      </c>
      <c r="F16367" s="58"/>
      <c r="G16367" s="58">
        <f t="shared" si="261"/>
        <v>-200</v>
      </c>
      <c r="H16367" s="705" t="s">
        <v>10628</v>
      </c>
    </row>
    <row r="16368" spans="1:8" ht="15" customHeight="1" x14ac:dyDescent="0.2">
      <c r="A16368" s="734">
        <v>45161</v>
      </c>
      <c r="B16368" s="63" t="s">
        <v>8876</v>
      </c>
      <c r="C16368" s="63" t="s">
        <v>3145</v>
      </c>
      <c r="D16368" s="183" t="s">
        <v>10866</v>
      </c>
      <c r="E16368" s="126">
        <v>450</v>
      </c>
      <c r="F16368" s="58"/>
      <c r="G16368" s="58">
        <f t="shared" si="261"/>
        <v>-450</v>
      </c>
      <c r="H16368" s="705" t="s">
        <v>10628</v>
      </c>
    </row>
    <row r="16369" spans="1:8" ht="15" customHeight="1" x14ac:dyDescent="0.2">
      <c r="A16369" s="734">
        <v>45162</v>
      </c>
      <c r="B16369" s="63" t="s">
        <v>10296</v>
      </c>
      <c r="C16369" s="63" t="s">
        <v>3145</v>
      </c>
      <c r="D16369" s="183" t="s">
        <v>10867</v>
      </c>
      <c r="E16369" s="126">
        <v>26000</v>
      </c>
      <c r="F16369" s="58"/>
      <c r="G16369" s="58">
        <f t="shared" si="261"/>
        <v>-26000</v>
      </c>
      <c r="H16369" s="705" t="s">
        <v>10628</v>
      </c>
    </row>
    <row r="16370" spans="1:8" ht="15" customHeight="1" x14ac:dyDescent="0.2">
      <c r="A16370" s="734">
        <v>45162</v>
      </c>
      <c r="B16370" s="63" t="s">
        <v>10576</v>
      </c>
      <c r="C16370" s="63" t="s">
        <v>3145</v>
      </c>
      <c r="D16370" s="183" t="s">
        <v>10868</v>
      </c>
      <c r="E16370" s="126">
        <v>3100</v>
      </c>
      <c r="F16370" s="58"/>
      <c r="G16370" s="58">
        <f t="shared" si="261"/>
        <v>-3100</v>
      </c>
      <c r="H16370" s="705" t="s">
        <v>10628</v>
      </c>
    </row>
    <row r="16371" spans="1:8" ht="15" customHeight="1" x14ac:dyDescent="0.2">
      <c r="A16371" s="734">
        <v>45162</v>
      </c>
      <c r="B16371" s="63" t="s">
        <v>9769</v>
      </c>
      <c r="C16371" s="63" t="s">
        <v>8900</v>
      </c>
      <c r="D16371" s="108" t="s">
        <v>10869</v>
      </c>
      <c r="E16371" s="126">
        <v>200000</v>
      </c>
      <c r="F16371" s="58"/>
      <c r="G16371" s="58">
        <f t="shared" si="261"/>
        <v>-200000</v>
      </c>
      <c r="H16371" s="705" t="s">
        <v>10628</v>
      </c>
    </row>
    <row r="16372" spans="1:8" ht="24" x14ac:dyDescent="0.2">
      <c r="A16372" s="734">
        <v>45162</v>
      </c>
      <c r="B16372" s="63" t="s">
        <v>2933</v>
      </c>
      <c r="C16372" s="63" t="s">
        <v>392</v>
      </c>
      <c r="D16372" s="183" t="s">
        <v>10870</v>
      </c>
      <c r="E16372" s="126">
        <v>5000</v>
      </c>
      <c r="F16372" s="58"/>
      <c r="G16372" s="58">
        <f t="shared" si="261"/>
        <v>-5000</v>
      </c>
      <c r="H16372" s="705" t="s">
        <v>10628</v>
      </c>
    </row>
    <row r="16373" spans="1:8" ht="15" x14ac:dyDescent="0.2">
      <c r="A16373" s="734">
        <v>45163</v>
      </c>
      <c r="B16373" s="63" t="s">
        <v>103</v>
      </c>
      <c r="C16373" s="63" t="s">
        <v>103</v>
      </c>
      <c r="D16373" s="183" t="s">
        <v>10211</v>
      </c>
      <c r="E16373" s="126">
        <v>3000</v>
      </c>
      <c r="F16373" s="58"/>
      <c r="G16373" s="58">
        <f t="shared" si="261"/>
        <v>-3000</v>
      </c>
      <c r="H16373" s="705" t="s">
        <v>10628</v>
      </c>
    </row>
    <row r="16374" spans="1:8" ht="15" x14ac:dyDescent="0.2">
      <c r="A16374" s="734">
        <v>45163</v>
      </c>
      <c r="B16374" s="63" t="s">
        <v>10379</v>
      </c>
      <c r="C16374" s="63" t="s">
        <v>3145</v>
      </c>
      <c r="D16374" s="183" t="s">
        <v>10871</v>
      </c>
      <c r="E16374" s="126">
        <v>1100</v>
      </c>
      <c r="F16374" s="58"/>
      <c r="G16374" s="58">
        <f t="shared" si="261"/>
        <v>-1100</v>
      </c>
      <c r="H16374" s="705" t="s">
        <v>10628</v>
      </c>
    </row>
    <row r="16375" spans="1:8" ht="15" x14ac:dyDescent="0.2">
      <c r="A16375" s="734">
        <v>45163</v>
      </c>
      <c r="B16375" s="63" t="s">
        <v>10379</v>
      </c>
      <c r="C16375" s="63" t="s">
        <v>5741</v>
      </c>
      <c r="D16375" s="183" t="s">
        <v>370</v>
      </c>
      <c r="E16375" s="126">
        <v>850</v>
      </c>
      <c r="F16375" s="58"/>
      <c r="G16375" s="58">
        <f t="shared" si="261"/>
        <v>-850</v>
      </c>
      <c r="H16375" s="705" t="s">
        <v>10628</v>
      </c>
    </row>
    <row r="16376" spans="1:8" ht="15" x14ac:dyDescent="0.2">
      <c r="A16376" s="734">
        <v>45163</v>
      </c>
      <c r="B16376" s="63" t="s">
        <v>10576</v>
      </c>
      <c r="C16376" s="63" t="s">
        <v>5741</v>
      </c>
      <c r="D16376" s="183" t="s">
        <v>370</v>
      </c>
      <c r="E16376" s="126">
        <v>1000</v>
      </c>
      <c r="F16376" s="58"/>
      <c r="G16376" s="58">
        <f t="shared" si="261"/>
        <v>-1000</v>
      </c>
      <c r="H16376" s="705" t="s">
        <v>10628</v>
      </c>
    </row>
    <row r="16377" spans="1:8" ht="15" x14ac:dyDescent="0.2">
      <c r="A16377" s="734">
        <v>45163</v>
      </c>
      <c r="B16377" s="63" t="s">
        <v>10296</v>
      </c>
      <c r="C16377" s="63" t="s">
        <v>5741</v>
      </c>
      <c r="D16377" s="183" t="s">
        <v>370</v>
      </c>
      <c r="E16377" s="126">
        <v>1000</v>
      </c>
      <c r="F16377" s="58"/>
      <c r="G16377" s="58">
        <f t="shared" si="261"/>
        <v>-1000</v>
      </c>
      <c r="H16377" s="705" t="s">
        <v>10628</v>
      </c>
    </row>
    <row r="16378" spans="1:8" ht="15" x14ac:dyDescent="0.2">
      <c r="A16378" s="734">
        <v>45164</v>
      </c>
      <c r="B16378" s="63" t="s">
        <v>3946</v>
      </c>
      <c r="C16378" s="63" t="s">
        <v>10617</v>
      </c>
      <c r="D16378" s="183" t="s">
        <v>10873</v>
      </c>
      <c r="E16378" s="126">
        <v>100000</v>
      </c>
      <c r="F16378" s="58"/>
      <c r="G16378" s="58">
        <f t="shared" si="261"/>
        <v>-100000</v>
      </c>
      <c r="H16378" s="705" t="s">
        <v>10628</v>
      </c>
    </row>
    <row r="16379" spans="1:8" ht="15" x14ac:dyDescent="0.2">
      <c r="A16379" s="734">
        <v>45164</v>
      </c>
      <c r="B16379" s="63" t="s">
        <v>10576</v>
      </c>
      <c r="C16379" s="63" t="s">
        <v>3145</v>
      </c>
      <c r="D16379" s="183" t="s">
        <v>10872</v>
      </c>
      <c r="E16379" s="126">
        <v>133700</v>
      </c>
      <c r="F16379" s="58"/>
      <c r="G16379" s="58">
        <f t="shared" si="261"/>
        <v>-133700</v>
      </c>
      <c r="H16379" s="705" t="s">
        <v>10628</v>
      </c>
    </row>
    <row r="16380" spans="1:8" ht="15" customHeight="1" x14ac:dyDescent="0.2">
      <c r="A16380" s="734">
        <v>45164</v>
      </c>
      <c r="B16380" s="63" t="s">
        <v>10379</v>
      </c>
      <c r="C16380" s="63" t="s">
        <v>5741</v>
      </c>
      <c r="D16380" s="183" t="s">
        <v>370</v>
      </c>
      <c r="E16380" s="126">
        <v>1700</v>
      </c>
      <c r="F16380" s="58"/>
      <c r="G16380" s="58">
        <f t="shared" si="261"/>
        <v>-1700</v>
      </c>
      <c r="H16380" s="705" t="s">
        <v>10628</v>
      </c>
    </row>
    <row r="16381" spans="1:8" ht="15" customHeight="1" x14ac:dyDescent="0.2">
      <c r="A16381" s="734">
        <v>45164</v>
      </c>
      <c r="B16381" s="63" t="s">
        <v>10296</v>
      </c>
      <c r="C16381" s="63" t="s">
        <v>392</v>
      </c>
      <c r="D16381" s="183" t="s">
        <v>10874</v>
      </c>
      <c r="E16381" s="126">
        <v>1000</v>
      </c>
      <c r="F16381" s="58"/>
      <c r="G16381" s="58">
        <f t="shared" si="261"/>
        <v>-1000</v>
      </c>
      <c r="H16381" s="705" t="s">
        <v>10628</v>
      </c>
    </row>
    <row r="16382" spans="1:8" ht="15" x14ac:dyDescent="0.2">
      <c r="A16382" s="734">
        <v>45164</v>
      </c>
      <c r="B16382" s="63" t="s">
        <v>25</v>
      </c>
      <c r="C16382" s="63" t="s">
        <v>8150</v>
      </c>
      <c r="D16382" s="183" t="s">
        <v>10241</v>
      </c>
      <c r="E16382" s="126">
        <v>110227</v>
      </c>
      <c r="F16382" s="58"/>
      <c r="G16382" s="58">
        <f t="shared" si="261"/>
        <v>-110227</v>
      </c>
      <c r="H16382" s="705" t="s">
        <v>10628</v>
      </c>
    </row>
    <row r="16383" spans="1:8" ht="15" x14ac:dyDescent="0.2">
      <c r="A16383" s="734">
        <v>45164</v>
      </c>
      <c r="B16383" s="63" t="s">
        <v>103</v>
      </c>
      <c r="C16383" s="63" t="s">
        <v>8150</v>
      </c>
      <c r="D16383" s="183" t="s">
        <v>10241</v>
      </c>
      <c r="E16383" s="126">
        <v>50343</v>
      </c>
      <c r="F16383" s="58"/>
      <c r="G16383" s="58">
        <f t="shared" ref="G16383:G16446" si="262">F16383-E16383</f>
        <v>-50343</v>
      </c>
      <c r="H16383" s="705" t="s">
        <v>10628</v>
      </c>
    </row>
    <row r="16384" spans="1:8" ht="15" x14ac:dyDescent="0.2">
      <c r="A16384" s="734">
        <v>45164</v>
      </c>
      <c r="B16384" s="63" t="s">
        <v>9356</v>
      </c>
      <c r="C16384" s="63" t="s">
        <v>10883</v>
      </c>
      <c r="D16384" s="183" t="s">
        <v>10875</v>
      </c>
      <c r="E16384" s="126">
        <v>1600000</v>
      </c>
      <c r="F16384" s="58"/>
      <c r="G16384" s="58">
        <f t="shared" si="262"/>
        <v>-1600000</v>
      </c>
      <c r="H16384" s="705" t="s">
        <v>10628</v>
      </c>
    </row>
    <row r="16385" spans="1:8" ht="15" x14ac:dyDescent="0.2">
      <c r="A16385" s="734">
        <v>45164</v>
      </c>
      <c r="B16385" s="63" t="s">
        <v>9967</v>
      </c>
      <c r="C16385" s="551" t="s">
        <v>1803</v>
      </c>
      <c r="D16385" s="740" t="s">
        <v>10876</v>
      </c>
      <c r="E16385" s="552">
        <v>73080</v>
      </c>
      <c r="F16385" s="58"/>
      <c r="G16385" s="58">
        <f t="shared" si="262"/>
        <v>-73080</v>
      </c>
      <c r="H16385" s="705" t="s">
        <v>10628</v>
      </c>
    </row>
    <row r="16386" spans="1:8" ht="15" customHeight="1" x14ac:dyDescent="0.2">
      <c r="A16386" s="734">
        <v>45164</v>
      </c>
      <c r="B16386" s="63" t="s">
        <v>10296</v>
      </c>
      <c r="C16386" s="551" t="s">
        <v>1803</v>
      </c>
      <c r="D16386" s="740" t="s">
        <v>10876</v>
      </c>
      <c r="E16386" s="552">
        <v>4870</v>
      </c>
      <c r="F16386" s="58"/>
      <c r="G16386" s="58">
        <f t="shared" si="262"/>
        <v>-4870</v>
      </c>
      <c r="H16386" s="705" t="s">
        <v>10628</v>
      </c>
    </row>
    <row r="16387" spans="1:8" ht="15" customHeight="1" x14ac:dyDescent="0.2">
      <c r="A16387" s="734">
        <v>45164</v>
      </c>
      <c r="B16387" s="63" t="s">
        <v>10909</v>
      </c>
      <c r="C16387" s="551" t="s">
        <v>1803</v>
      </c>
      <c r="D16387" s="740" t="s">
        <v>10876</v>
      </c>
      <c r="E16387" s="552">
        <v>75050</v>
      </c>
      <c r="F16387" s="58"/>
      <c r="G16387" s="58">
        <f t="shared" si="262"/>
        <v>-75050</v>
      </c>
      <c r="H16387" s="705" t="s">
        <v>10628</v>
      </c>
    </row>
    <row r="16388" spans="1:8" ht="15" x14ac:dyDescent="0.2">
      <c r="A16388" s="734">
        <v>45164</v>
      </c>
      <c r="B16388" s="63" t="s">
        <v>9832</v>
      </c>
      <c r="C16388" s="63" t="s">
        <v>3145</v>
      </c>
      <c r="D16388" s="183" t="s">
        <v>10877</v>
      </c>
      <c r="E16388" s="126">
        <v>53000</v>
      </c>
      <c r="F16388" s="58"/>
      <c r="G16388" s="58">
        <f t="shared" si="262"/>
        <v>-53000</v>
      </c>
      <c r="H16388" s="705" t="s">
        <v>10628</v>
      </c>
    </row>
    <row r="16389" spans="1:8" ht="15" x14ac:dyDescent="0.2">
      <c r="A16389" s="734">
        <v>45164</v>
      </c>
      <c r="B16389" s="63" t="s">
        <v>10379</v>
      </c>
      <c r="C16389" s="63" t="s">
        <v>3145</v>
      </c>
      <c r="D16389" s="183" t="s">
        <v>10878</v>
      </c>
      <c r="E16389" s="126">
        <v>30000</v>
      </c>
      <c r="F16389" s="58"/>
      <c r="G16389" s="58">
        <f t="shared" si="262"/>
        <v>-30000</v>
      </c>
      <c r="H16389" s="705" t="s">
        <v>10628</v>
      </c>
    </row>
    <row r="16390" spans="1:8" ht="15" x14ac:dyDescent="0.2">
      <c r="A16390" s="734">
        <v>45164</v>
      </c>
      <c r="B16390" s="63" t="s">
        <v>10232</v>
      </c>
      <c r="C16390" s="63" t="s">
        <v>790</v>
      </c>
      <c r="D16390" s="183" t="s">
        <v>370</v>
      </c>
      <c r="E16390" s="126">
        <v>2050</v>
      </c>
      <c r="F16390" s="58"/>
      <c r="G16390" s="58">
        <f t="shared" si="262"/>
        <v>-2050</v>
      </c>
      <c r="H16390" s="705" t="s">
        <v>10628</v>
      </c>
    </row>
    <row r="16391" spans="1:8" ht="15" x14ac:dyDescent="0.2">
      <c r="A16391" s="734">
        <v>45164</v>
      </c>
      <c r="B16391" s="63" t="s">
        <v>10576</v>
      </c>
      <c r="C16391" s="63" t="s">
        <v>790</v>
      </c>
      <c r="D16391" s="183" t="s">
        <v>370</v>
      </c>
      <c r="E16391" s="126">
        <v>7150</v>
      </c>
      <c r="F16391" s="58"/>
      <c r="G16391" s="58">
        <f t="shared" si="262"/>
        <v>-7150</v>
      </c>
      <c r="H16391" s="705" t="s">
        <v>10628</v>
      </c>
    </row>
    <row r="16392" spans="1:8" ht="15" x14ac:dyDescent="0.2">
      <c r="A16392" s="734">
        <v>45164</v>
      </c>
      <c r="B16392" s="63" t="s">
        <v>9832</v>
      </c>
      <c r="C16392" s="63" t="s">
        <v>790</v>
      </c>
      <c r="D16392" s="183" t="s">
        <v>370</v>
      </c>
      <c r="E16392" s="126">
        <v>400</v>
      </c>
      <c r="F16392" s="58"/>
      <c r="G16392" s="58">
        <f t="shared" si="262"/>
        <v>-400</v>
      </c>
      <c r="H16392" s="705" t="s">
        <v>10628</v>
      </c>
    </row>
    <row r="16393" spans="1:8" ht="15" x14ac:dyDescent="0.2">
      <c r="A16393" s="734">
        <v>45164</v>
      </c>
      <c r="B16393" s="63" t="s">
        <v>10144</v>
      </c>
      <c r="C16393" s="63" t="s">
        <v>790</v>
      </c>
      <c r="D16393" s="183" t="s">
        <v>370</v>
      </c>
      <c r="E16393" s="126">
        <v>250</v>
      </c>
      <c r="F16393" s="58"/>
      <c r="G16393" s="58">
        <f t="shared" si="262"/>
        <v>-250</v>
      </c>
      <c r="H16393" s="705" t="s">
        <v>10628</v>
      </c>
    </row>
    <row r="16394" spans="1:8" ht="15" x14ac:dyDescent="0.2">
      <c r="A16394" s="734">
        <v>45164</v>
      </c>
      <c r="B16394" s="63" t="s">
        <v>9402</v>
      </c>
      <c r="C16394" s="63" t="s">
        <v>790</v>
      </c>
      <c r="D16394" s="183" t="s">
        <v>370</v>
      </c>
      <c r="E16394" s="126">
        <v>200</v>
      </c>
      <c r="F16394" s="58"/>
      <c r="G16394" s="58">
        <f t="shared" si="262"/>
        <v>-200</v>
      </c>
      <c r="H16394" s="705" t="s">
        <v>10628</v>
      </c>
    </row>
    <row r="16395" spans="1:8" ht="15" x14ac:dyDescent="0.2">
      <c r="A16395" s="734">
        <v>45164</v>
      </c>
      <c r="B16395" s="63" t="s">
        <v>10379</v>
      </c>
      <c r="C16395" s="63" t="s">
        <v>790</v>
      </c>
      <c r="D16395" s="183" t="s">
        <v>370</v>
      </c>
      <c r="E16395" s="126">
        <v>4690</v>
      </c>
      <c r="F16395" s="58"/>
      <c r="G16395" s="58">
        <f t="shared" si="262"/>
        <v>-4690</v>
      </c>
      <c r="H16395" s="705" t="s">
        <v>10628</v>
      </c>
    </row>
    <row r="16396" spans="1:8" ht="15" x14ac:dyDescent="0.2">
      <c r="A16396" s="734">
        <v>45164</v>
      </c>
      <c r="B16396" s="63" t="s">
        <v>9402</v>
      </c>
      <c r="C16396" s="63" t="s">
        <v>9549</v>
      </c>
      <c r="D16396" s="183" t="s">
        <v>10879</v>
      </c>
      <c r="E16396" s="126">
        <v>30000</v>
      </c>
      <c r="F16396" s="58"/>
      <c r="G16396" s="58">
        <f t="shared" si="262"/>
        <v>-30000</v>
      </c>
      <c r="H16396" s="705" t="s">
        <v>10628</v>
      </c>
    </row>
    <row r="16397" spans="1:8" ht="15" x14ac:dyDescent="0.2">
      <c r="A16397" s="734">
        <v>45164</v>
      </c>
      <c r="B16397" s="63" t="s">
        <v>9402</v>
      </c>
      <c r="C16397" s="63" t="s">
        <v>9549</v>
      </c>
      <c r="D16397" s="183" t="s">
        <v>6927</v>
      </c>
      <c r="E16397" s="126">
        <v>25000</v>
      </c>
      <c r="F16397" s="58"/>
      <c r="G16397" s="58">
        <f t="shared" si="262"/>
        <v>-25000</v>
      </c>
      <c r="H16397" s="705" t="s">
        <v>10628</v>
      </c>
    </row>
    <row r="16398" spans="1:8" ht="15" x14ac:dyDescent="0.2">
      <c r="A16398" s="734">
        <v>45166</v>
      </c>
      <c r="B16398" s="63" t="s">
        <v>103</v>
      </c>
      <c r="C16398" s="63" t="s">
        <v>103</v>
      </c>
      <c r="D16398" s="183" t="s">
        <v>10211</v>
      </c>
      <c r="E16398" s="126">
        <v>3000</v>
      </c>
      <c r="F16398" s="58"/>
      <c r="G16398" s="58">
        <f t="shared" si="262"/>
        <v>-3000</v>
      </c>
      <c r="H16398" s="705" t="s">
        <v>10628</v>
      </c>
    </row>
    <row r="16399" spans="1:8" ht="15" x14ac:dyDescent="0.2">
      <c r="A16399" s="734">
        <v>45166</v>
      </c>
      <c r="B16399" s="63" t="s">
        <v>10576</v>
      </c>
      <c r="C16399" s="63" t="s">
        <v>3145</v>
      </c>
      <c r="D16399" s="183" t="s">
        <v>2272</v>
      </c>
      <c r="E16399" s="126">
        <v>10000</v>
      </c>
      <c r="F16399" s="58"/>
      <c r="G16399" s="58">
        <f t="shared" si="262"/>
        <v>-10000</v>
      </c>
      <c r="H16399" s="705" t="s">
        <v>10628</v>
      </c>
    </row>
    <row r="16400" spans="1:8" ht="15" x14ac:dyDescent="0.2">
      <c r="A16400" s="734">
        <v>45166</v>
      </c>
      <c r="B16400" s="63" t="s">
        <v>10576</v>
      </c>
      <c r="C16400" s="63" t="s">
        <v>3145</v>
      </c>
      <c r="D16400" s="183" t="s">
        <v>10880</v>
      </c>
      <c r="E16400" s="126">
        <v>51000</v>
      </c>
      <c r="F16400" s="58"/>
      <c r="G16400" s="58">
        <f t="shared" si="262"/>
        <v>-51000</v>
      </c>
      <c r="H16400" s="705" t="s">
        <v>10628</v>
      </c>
    </row>
    <row r="16401" spans="1:8" ht="15" x14ac:dyDescent="0.2">
      <c r="A16401" s="734">
        <v>45166</v>
      </c>
      <c r="B16401" s="63" t="s">
        <v>9356</v>
      </c>
      <c r="C16401" s="63" t="s">
        <v>5741</v>
      </c>
      <c r="D16401" s="183" t="s">
        <v>10337</v>
      </c>
      <c r="E16401" s="126">
        <v>500</v>
      </c>
      <c r="F16401" s="58"/>
      <c r="G16401" s="58">
        <f t="shared" si="262"/>
        <v>-500</v>
      </c>
      <c r="H16401" s="705" t="s">
        <v>10628</v>
      </c>
    </row>
    <row r="16402" spans="1:8" ht="15" x14ac:dyDescent="0.2">
      <c r="A16402" s="734">
        <v>45166</v>
      </c>
      <c r="B16402" s="63" t="s">
        <v>10379</v>
      </c>
      <c r="C16402" s="63" t="s">
        <v>5741</v>
      </c>
      <c r="D16402" s="183" t="s">
        <v>370</v>
      </c>
      <c r="E16402" s="126">
        <v>1800</v>
      </c>
      <c r="F16402" s="58"/>
      <c r="G16402" s="58">
        <f t="shared" si="262"/>
        <v>-1800</v>
      </c>
      <c r="H16402" s="705" t="s">
        <v>10628</v>
      </c>
    </row>
    <row r="16403" spans="1:8" ht="15" x14ac:dyDescent="0.2">
      <c r="A16403" s="734">
        <v>45166</v>
      </c>
      <c r="B16403" s="63" t="s">
        <v>10379</v>
      </c>
      <c r="C16403" s="63" t="s">
        <v>3145</v>
      </c>
      <c r="D16403" s="183" t="s">
        <v>2272</v>
      </c>
      <c r="E16403" s="126">
        <v>22830</v>
      </c>
      <c r="F16403" s="58"/>
      <c r="G16403" s="58">
        <f t="shared" si="262"/>
        <v>-22830</v>
      </c>
      <c r="H16403" s="705" t="s">
        <v>10628</v>
      </c>
    </row>
    <row r="16404" spans="1:8" ht="15" x14ac:dyDescent="0.2">
      <c r="A16404" s="734">
        <v>45166</v>
      </c>
      <c r="B16404" s="63" t="s">
        <v>9356</v>
      </c>
      <c r="C16404" s="63" t="s">
        <v>3145</v>
      </c>
      <c r="D16404" s="183" t="s">
        <v>10881</v>
      </c>
      <c r="E16404" s="126">
        <v>69000</v>
      </c>
      <c r="F16404" s="58"/>
      <c r="G16404" s="58">
        <f t="shared" si="262"/>
        <v>-69000</v>
      </c>
      <c r="H16404" s="705" t="s">
        <v>10628</v>
      </c>
    </row>
    <row r="16405" spans="1:8" ht="15" x14ac:dyDescent="0.2">
      <c r="A16405" s="734">
        <v>45166</v>
      </c>
      <c r="B16405" s="63" t="s">
        <v>10576</v>
      </c>
      <c r="C16405" s="63" t="s">
        <v>5741</v>
      </c>
      <c r="D16405" s="183" t="s">
        <v>370</v>
      </c>
      <c r="E16405" s="126">
        <v>3500</v>
      </c>
      <c r="F16405" s="58"/>
      <c r="G16405" s="58">
        <f t="shared" si="262"/>
        <v>-3500</v>
      </c>
      <c r="H16405" s="705" t="s">
        <v>10628</v>
      </c>
    </row>
    <row r="16406" spans="1:8" ht="15" x14ac:dyDescent="0.2">
      <c r="A16406" s="734">
        <v>45166</v>
      </c>
      <c r="B16406" s="63" t="s">
        <v>103</v>
      </c>
      <c r="C16406" s="63" t="s">
        <v>103</v>
      </c>
      <c r="D16406" s="183" t="s">
        <v>10211</v>
      </c>
      <c r="E16406" s="126">
        <v>3500</v>
      </c>
      <c r="F16406" s="58"/>
      <c r="G16406" s="58">
        <f t="shared" si="262"/>
        <v>-3500</v>
      </c>
      <c r="H16406" s="705" t="s">
        <v>10628</v>
      </c>
    </row>
    <row r="16407" spans="1:8" ht="24" x14ac:dyDescent="0.2">
      <c r="A16407" s="734">
        <v>45166</v>
      </c>
      <c r="B16407" s="63" t="s">
        <v>9356</v>
      </c>
      <c r="C16407" s="63" t="s">
        <v>10883</v>
      </c>
      <c r="D16407" s="183" t="s">
        <v>10882</v>
      </c>
      <c r="E16407" s="126">
        <v>200000</v>
      </c>
      <c r="F16407" s="58"/>
      <c r="G16407" s="58">
        <f t="shared" si="262"/>
        <v>-200000</v>
      </c>
      <c r="H16407" s="705" t="s">
        <v>10628</v>
      </c>
    </row>
    <row r="16408" spans="1:8" ht="15" x14ac:dyDescent="0.2">
      <c r="A16408" s="734">
        <v>45166</v>
      </c>
      <c r="B16408" s="63" t="s">
        <v>2933</v>
      </c>
      <c r="C16408" s="63" t="s">
        <v>392</v>
      </c>
      <c r="D16408" s="183" t="s">
        <v>370</v>
      </c>
      <c r="E16408" s="126">
        <v>6250</v>
      </c>
      <c r="F16408" s="58"/>
      <c r="G16408" s="58">
        <f t="shared" si="262"/>
        <v>-6250</v>
      </c>
      <c r="H16408" s="705" t="s">
        <v>10628</v>
      </c>
    </row>
    <row r="16409" spans="1:8" ht="15" x14ac:dyDescent="0.2">
      <c r="A16409" s="734">
        <v>45166</v>
      </c>
      <c r="B16409" s="63" t="s">
        <v>9409</v>
      </c>
      <c r="C16409" s="63" t="s">
        <v>3145</v>
      </c>
      <c r="D16409" s="183" t="s">
        <v>5136</v>
      </c>
      <c r="E16409" s="126">
        <v>18720</v>
      </c>
      <c r="F16409" s="58"/>
      <c r="G16409" s="58">
        <f t="shared" si="262"/>
        <v>-18720</v>
      </c>
      <c r="H16409" s="705" t="s">
        <v>10628</v>
      </c>
    </row>
    <row r="16410" spans="1:8" ht="15" x14ac:dyDescent="0.2">
      <c r="A16410" s="734">
        <v>45166</v>
      </c>
      <c r="B16410" s="63" t="s">
        <v>10296</v>
      </c>
      <c r="C16410" s="63" t="s">
        <v>6967</v>
      </c>
      <c r="D16410" s="183" t="s">
        <v>9517</v>
      </c>
      <c r="E16410" s="126">
        <v>8000</v>
      </c>
      <c r="F16410" s="58"/>
      <c r="G16410" s="58">
        <f t="shared" si="262"/>
        <v>-8000</v>
      </c>
      <c r="H16410" s="705" t="s">
        <v>10628</v>
      </c>
    </row>
    <row r="16411" spans="1:8" ht="15" x14ac:dyDescent="0.2">
      <c r="A16411" s="734">
        <v>45167</v>
      </c>
      <c r="B16411" s="63" t="s">
        <v>10338</v>
      </c>
      <c r="C16411" s="63" t="s">
        <v>3145</v>
      </c>
      <c r="D16411" s="183" t="s">
        <v>10891</v>
      </c>
      <c r="E16411" s="126">
        <v>17400</v>
      </c>
      <c r="F16411" s="58"/>
      <c r="G16411" s="58">
        <f t="shared" si="262"/>
        <v>-17400</v>
      </c>
      <c r="H16411" s="705" t="s">
        <v>10628</v>
      </c>
    </row>
    <row r="16412" spans="1:8" ht="15" x14ac:dyDescent="0.2">
      <c r="A16412" s="734">
        <v>45167</v>
      </c>
      <c r="B16412" s="63" t="s">
        <v>10576</v>
      </c>
      <c r="C16412" s="63" t="s">
        <v>3145</v>
      </c>
      <c r="D16412" s="183" t="s">
        <v>10892</v>
      </c>
      <c r="E16412" s="126">
        <v>6924</v>
      </c>
      <c r="F16412" s="58"/>
      <c r="G16412" s="58">
        <f t="shared" si="262"/>
        <v>-6924</v>
      </c>
      <c r="H16412" s="705" t="s">
        <v>10628</v>
      </c>
    </row>
    <row r="16413" spans="1:8" ht="15" x14ac:dyDescent="0.2">
      <c r="A16413" s="734">
        <v>45167</v>
      </c>
      <c r="B16413" s="63" t="s">
        <v>10338</v>
      </c>
      <c r="C16413" s="63" t="s">
        <v>3145</v>
      </c>
      <c r="D16413" s="183" t="s">
        <v>10893</v>
      </c>
      <c r="E16413" s="126">
        <v>480</v>
      </c>
      <c r="F16413" s="58"/>
      <c r="G16413" s="58">
        <f t="shared" si="262"/>
        <v>-480</v>
      </c>
      <c r="H16413" s="705" t="s">
        <v>10628</v>
      </c>
    </row>
    <row r="16414" spans="1:8" ht="15" x14ac:dyDescent="0.2">
      <c r="A16414" s="734">
        <v>45167</v>
      </c>
      <c r="B16414" s="63" t="s">
        <v>10576</v>
      </c>
      <c r="C16414" s="63" t="s">
        <v>5387</v>
      </c>
      <c r="D16414" s="183" t="s">
        <v>10894</v>
      </c>
      <c r="E16414" s="126">
        <v>7000</v>
      </c>
      <c r="F16414" s="58"/>
      <c r="G16414" s="58">
        <f t="shared" si="262"/>
        <v>-7000</v>
      </c>
      <c r="H16414" s="705" t="s">
        <v>10628</v>
      </c>
    </row>
    <row r="16415" spans="1:8" ht="15" x14ac:dyDescent="0.2">
      <c r="A16415" s="734">
        <v>45167</v>
      </c>
      <c r="B16415" s="63" t="s">
        <v>10232</v>
      </c>
      <c r="C16415" s="63" t="s">
        <v>5741</v>
      </c>
      <c r="D16415" s="183" t="s">
        <v>370</v>
      </c>
      <c r="E16415" s="126">
        <v>1600</v>
      </c>
      <c r="F16415" s="58"/>
      <c r="G16415" s="58">
        <f t="shared" si="262"/>
        <v>-1600</v>
      </c>
      <c r="H16415" s="705" t="s">
        <v>10628</v>
      </c>
    </row>
    <row r="16416" spans="1:8" ht="15" x14ac:dyDescent="0.2">
      <c r="A16416" s="734">
        <v>45167</v>
      </c>
      <c r="B16416" s="63" t="s">
        <v>10232</v>
      </c>
      <c r="C16416" s="63" t="s">
        <v>5741</v>
      </c>
      <c r="D16416" s="183" t="s">
        <v>370</v>
      </c>
      <c r="E16416" s="126">
        <v>3000</v>
      </c>
      <c r="F16416" s="58"/>
      <c r="G16416" s="58">
        <f t="shared" si="262"/>
        <v>-3000</v>
      </c>
      <c r="H16416" s="705" t="s">
        <v>10628</v>
      </c>
    </row>
    <row r="16417" spans="1:8" ht="15" x14ac:dyDescent="0.2">
      <c r="A16417" s="734">
        <v>45167</v>
      </c>
      <c r="B16417" s="63" t="s">
        <v>10232</v>
      </c>
      <c r="C16417" s="63" t="s">
        <v>5741</v>
      </c>
      <c r="D16417" s="183" t="s">
        <v>370</v>
      </c>
      <c r="E16417" s="126">
        <v>1600</v>
      </c>
      <c r="F16417" s="58"/>
      <c r="G16417" s="58">
        <f t="shared" si="262"/>
        <v>-1600</v>
      </c>
      <c r="H16417" s="705" t="s">
        <v>10628</v>
      </c>
    </row>
    <row r="16418" spans="1:8" ht="15" x14ac:dyDescent="0.2">
      <c r="A16418" s="734">
        <v>45167</v>
      </c>
      <c r="B16418" s="63" t="s">
        <v>10338</v>
      </c>
      <c r="C16418" s="63" t="s">
        <v>5741</v>
      </c>
      <c r="D16418" s="183" t="s">
        <v>370</v>
      </c>
      <c r="E16418" s="126">
        <v>1000</v>
      </c>
      <c r="F16418" s="58"/>
      <c r="G16418" s="58">
        <f t="shared" si="262"/>
        <v>-1000</v>
      </c>
      <c r="H16418" s="705" t="s">
        <v>10628</v>
      </c>
    </row>
    <row r="16419" spans="1:8" ht="15" x14ac:dyDescent="0.2">
      <c r="A16419" s="734">
        <v>45167</v>
      </c>
      <c r="B16419" s="63" t="s">
        <v>10232</v>
      </c>
      <c r="C16419" s="63" t="s">
        <v>286</v>
      </c>
      <c r="D16419" s="183" t="s">
        <v>10887</v>
      </c>
      <c r="E16419" s="126">
        <v>1500</v>
      </c>
      <c r="F16419" s="58"/>
      <c r="G16419" s="58">
        <f t="shared" si="262"/>
        <v>-1500</v>
      </c>
      <c r="H16419" s="705" t="s">
        <v>10628</v>
      </c>
    </row>
    <row r="16420" spans="1:8" ht="24" x14ac:dyDescent="0.2">
      <c r="A16420" s="734">
        <v>45167</v>
      </c>
      <c r="B16420" s="63" t="s">
        <v>10576</v>
      </c>
      <c r="C16420" s="551" t="s">
        <v>10889</v>
      </c>
      <c r="D16420" s="740" t="s">
        <v>10888</v>
      </c>
      <c r="E16420" s="552">
        <v>170000</v>
      </c>
      <c r="F16420" s="58"/>
      <c r="G16420" s="58">
        <f t="shared" si="262"/>
        <v>-170000</v>
      </c>
      <c r="H16420" s="705" t="s">
        <v>10628</v>
      </c>
    </row>
    <row r="16421" spans="1:8" ht="24" x14ac:dyDescent="0.2">
      <c r="A16421" s="734">
        <v>45167</v>
      </c>
      <c r="B16421" s="63" t="s">
        <v>9356</v>
      </c>
      <c r="C16421" s="551" t="s">
        <v>10889</v>
      </c>
      <c r="D16421" s="740" t="s">
        <v>10888</v>
      </c>
      <c r="E16421" s="552">
        <v>55000</v>
      </c>
      <c r="F16421" s="58"/>
      <c r="G16421" s="58">
        <f t="shared" si="262"/>
        <v>-55000</v>
      </c>
      <c r="H16421" s="705" t="s">
        <v>10628</v>
      </c>
    </row>
    <row r="16422" spans="1:8" ht="24" x14ac:dyDescent="0.2">
      <c r="A16422" s="734">
        <v>45167</v>
      </c>
      <c r="B16422" s="63" t="s">
        <v>10232</v>
      </c>
      <c r="C16422" s="551" t="s">
        <v>10889</v>
      </c>
      <c r="D16422" s="740" t="s">
        <v>10888</v>
      </c>
      <c r="E16422" s="552">
        <v>65000</v>
      </c>
      <c r="F16422" s="58"/>
      <c r="G16422" s="58">
        <f t="shared" si="262"/>
        <v>-65000</v>
      </c>
      <c r="H16422" s="705" t="s">
        <v>10628</v>
      </c>
    </row>
    <row r="16423" spans="1:8" ht="24" x14ac:dyDescent="0.2">
      <c r="A16423" s="734">
        <v>45167</v>
      </c>
      <c r="B16423" s="63" t="s">
        <v>10296</v>
      </c>
      <c r="C16423" s="551" t="s">
        <v>10889</v>
      </c>
      <c r="D16423" s="740" t="s">
        <v>10888</v>
      </c>
      <c r="E16423" s="552">
        <v>53000</v>
      </c>
      <c r="F16423" s="58"/>
      <c r="G16423" s="58">
        <f t="shared" si="262"/>
        <v>-53000</v>
      </c>
      <c r="H16423" s="705" t="s">
        <v>10628</v>
      </c>
    </row>
    <row r="16424" spans="1:8" ht="27.75" customHeight="1" x14ac:dyDescent="0.2">
      <c r="A16424" s="734">
        <v>45167</v>
      </c>
      <c r="B16424" s="63" t="s">
        <v>10576</v>
      </c>
      <c r="C16424" s="670" t="s">
        <v>3145</v>
      </c>
      <c r="D16424" s="907" t="s">
        <v>10890</v>
      </c>
      <c r="E16424" s="672">
        <v>93000</v>
      </c>
      <c r="F16424" s="58"/>
      <c r="G16424" s="58">
        <f t="shared" si="262"/>
        <v>-93000</v>
      </c>
      <c r="H16424" s="705" t="s">
        <v>10628</v>
      </c>
    </row>
    <row r="16425" spans="1:8" ht="27.75" customHeight="1" x14ac:dyDescent="0.2">
      <c r="A16425" s="734">
        <v>45167</v>
      </c>
      <c r="B16425" s="63" t="s">
        <v>10232</v>
      </c>
      <c r="C16425" s="670" t="s">
        <v>3145</v>
      </c>
      <c r="D16425" s="907" t="s">
        <v>10890</v>
      </c>
      <c r="E16425" s="672">
        <v>250000</v>
      </c>
      <c r="F16425" s="58"/>
      <c r="G16425" s="58">
        <f t="shared" si="262"/>
        <v>-250000</v>
      </c>
      <c r="H16425" s="705" t="s">
        <v>10628</v>
      </c>
    </row>
    <row r="16426" spans="1:8" ht="27.75" customHeight="1" x14ac:dyDescent="0.2">
      <c r="A16426" s="734">
        <v>45167</v>
      </c>
      <c r="B16426" s="63" t="s">
        <v>9356</v>
      </c>
      <c r="C16426" s="670" t="s">
        <v>3145</v>
      </c>
      <c r="D16426" s="907" t="s">
        <v>10890</v>
      </c>
      <c r="E16426" s="672">
        <v>82800</v>
      </c>
      <c r="F16426" s="58"/>
      <c r="G16426" s="58">
        <f t="shared" si="262"/>
        <v>-82800</v>
      </c>
      <c r="H16426" s="705" t="s">
        <v>10628</v>
      </c>
    </row>
    <row r="16427" spans="1:8" ht="15" x14ac:dyDescent="0.2">
      <c r="A16427" s="734">
        <v>45168</v>
      </c>
      <c r="B16427" s="63" t="s">
        <v>10144</v>
      </c>
      <c r="C16427" s="63" t="s">
        <v>3145</v>
      </c>
      <c r="D16427" s="183" t="s">
        <v>6641</v>
      </c>
      <c r="E16427" s="126">
        <v>17700</v>
      </c>
      <c r="F16427" s="58"/>
      <c r="G16427" s="58">
        <f t="shared" si="262"/>
        <v>-17700</v>
      </c>
      <c r="H16427" s="705" t="s">
        <v>10628</v>
      </c>
    </row>
    <row r="16428" spans="1:8" ht="15" x14ac:dyDescent="0.2">
      <c r="A16428" s="734">
        <v>45168</v>
      </c>
      <c r="B16428" s="63" t="s">
        <v>9832</v>
      </c>
      <c r="C16428" s="63" t="s">
        <v>9869</v>
      </c>
      <c r="D16428" s="183" t="s">
        <v>10923</v>
      </c>
      <c r="E16428" s="126">
        <v>999000</v>
      </c>
      <c r="F16428" s="58"/>
      <c r="G16428" s="58">
        <f t="shared" si="262"/>
        <v>-999000</v>
      </c>
      <c r="H16428" s="705" t="s">
        <v>10628</v>
      </c>
    </row>
    <row r="16429" spans="1:8" ht="15" x14ac:dyDescent="0.2">
      <c r="A16429" s="734">
        <v>45168</v>
      </c>
      <c r="B16429" s="63" t="s">
        <v>10338</v>
      </c>
      <c r="C16429" s="63" t="s">
        <v>9460</v>
      </c>
      <c r="D16429" s="183" t="s">
        <v>10879</v>
      </c>
      <c r="E16429" s="126">
        <v>20000</v>
      </c>
      <c r="F16429" s="58"/>
      <c r="G16429" s="58">
        <f t="shared" si="262"/>
        <v>-20000</v>
      </c>
      <c r="H16429" s="705" t="s">
        <v>10628</v>
      </c>
    </row>
    <row r="16430" spans="1:8" ht="15" x14ac:dyDescent="0.2">
      <c r="A16430" s="734">
        <v>45168</v>
      </c>
      <c r="B16430" s="63" t="s">
        <v>10144</v>
      </c>
      <c r="C16430" s="551" t="s">
        <v>10484</v>
      </c>
      <c r="D16430" s="740" t="s">
        <v>11053</v>
      </c>
      <c r="E16430" s="552">
        <v>300000</v>
      </c>
      <c r="F16430" s="58"/>
      <c r="G16430" s="58">
        <f t="shared" si="262"/>
        <v>-300000</v>
      </c>
      <c r="H16430" s="705" t="s">
        <v>10628</v>
      </c>
    </row>
    <row r="16431" spans="1:8" ht="15" x14ac:dyDescent="0.2">
      <c r="A16431" s="734">
        <v>45168</v>
      </c>
      <c r="B16431" s="63" t="s">
        <v>10296</v>
      </c>
      <c r="C16431" s="551" t="s">
        <v>10484</v>
      </c>
      <c r="D16431" s="740" t="s">
        <v>11053</v>
      </c>
      <c r="E16431" s="552">
        <v>300000</v>
      </c>
      <c r="F16431" s="58"/>
      <c r="G16431" s="58">
        <f t="shared" si="262"/>
        <v>-300000</v>
      </c>
      <c r="H16431" s="705" t="s">
        <v>10628</v>
      </c>
    </row>
    <row r="16432" spans="1:8" ht="15" x14ac:dyDescent="0.2">
      <c r="A16432" s="734">
        <v>45168</v>
      </c>
      <c r="B16432" s="63" t="s">
        <v>8043</v>
      </c>
      <c r="C16432" s="63" t="s">
        <v>8091</v>
      </c>
      <c r="D16432" s="183" t="s">
        <v>10219</v>
      </c>
      <c r="E16432" s="126">
        <v>800000</v>
      </c>
      <c r="F16432" s="58"/>
      <c r="G16432" s="58">
        <f t="shared" si="262"/>
        <v>-800000</v>
      </c>
      <c r="H16432" s="705" t="s">
        <v>10628</v>
      </c>
    </row>
    <row r="16433" spans="1:8" ht="15" x14ac:dyDescent="0.2">
      <c r="A16433" s="734">
        <v>45168</v>
      </c>
      <c r="B16433" s="63" t="s">
        <v>9356</v>
      </c>
      <c r="C16433" s="63" t="s">
        <v>10883</v>
      </c>
      <c r="D16433" s="183" t="s">
        <v>10879</v>
      </c>
      <c r="E16433" s="126">
        <v>100000</v>
      </c>
      <c r="F16433" s="58"/>
      <c r="G16433" s="58">
        <f t="shared" si="262"/>
        <v>-100000</v>
      </c>
      <c r="H16433" s="705" t="s">
        <v>10628</v>
      </c>
    </row>
    <row r="16434" spans="1:8" ht="15" x14ac:dyDescent="0.2">
      <c r="A16434" s="734">
        <v>45168</v>
      </c>
      <c r="B16434" s="63" t="s">
        <v>10576</v>
      </c>
      <c r="C16434" s="63" t="s">
        <v>8091</v>
      </c>
      <c r="D16434" s="183" t="s">
        <v>10920</v>
      </c>
      <c r="E16434" s="126">
        <v>1000000</v>
      </c>
      <c r="F16434" s="58"/>
      <c r="G16434" s="58">
        <f t="shared" si="262"/>
        <v>-1000000</v>
      </c>
      <c r="H16434" s="705" t="s">
        <v>10628</v>
      </c>
    </row>
    <row r="16435" spans="1:8" ht="15" x14ac:dyDescent="0.2">
      <c r="A16435" s="734">
        <v>45168</v>
      </c>
      <c r="B16435" s="63" t="s">
        <v>103</v>
      </c>
      <c r="C16435" s="63" t="s">
        <v>103</v>
      </c>
      <c r="D16435" s="183" t="s">
        <v>10211</v>
      </c>
      <c r="E16435" s="126">
        <v>3500</v>
      </c>
      <c r="F16435" s="58"/>
      <c r="G16435" s="58">
        <f t="shared" si="262"/>
        <v>-3500</v>
      </c>
      <c r="H16435" s="705" t="s">
        <v>10628</v>
      </c>
    </row>
    <row r="16436" spans="1:8" ht="15" x14ac:dyDescent="0.2">
      <c r="A16436" s="734">
        <v>45168</v>
      </c>
      <c r="B16436" s="63" t="s">
        <v>10296</v>
      </c>
      <c r="C16436" s="63" t="s">
        <v>286</v>
      </c>
      <c r="D16436" s="183" t="s">
        <v>10949</v>
      </c>
      <c r="E16436" s="126">
        <v>1500</v>
      </c>
      <c r="F16436" s="58"/>
      <c r="G16436" s="58">
        <f t="shared" si="262"/>
        <v>-1500</v>
      </c>
      <c r="H16436" s="705" t="s">
        <v>10628</v>
      </c>
    </row>
    <row r="16437" spans="1:8" ht="15" x14ac:dyDescent="0.2">
      <c r="A16437" s="734">
        <v>45168</v>
      </c>
      <c r="B16437" s="63" t="s">
        <v>10576</v>
      </c>
      <c r="C16437" s="63" t="s">
        <v>3145</v>
      </c>
      <c r="D16437" s="183" t="s">
        <v>10950</v>
      </c>
      <c r="E16437" s="126">
        <v>20000</v>
      </c>
      <c r="F16437" s="58"/>
      <c r="G16437" s="58">
        <f t="shared" si="262"/>
        <v>-20000</v>
      </c>
      <c r="H16437" s="705" t="s">
        <v>10628</v>
      </c>
    </row>
    <row r="16438" spans="1:8" ht="15" x14ac:dyDescent="0.2">
      <c r="A16438" s="734">
        <v>45168</v>
      </c>
      <c r="B16438" s="63" t="s">
        <v>10232</v>
      </c>
      <c r="C16438" s="63" t="s">
        <v>5741</v>
      </c>
      <c r="D16438" s="183" t="s">
        <v>370</v>
      </c>
      <c r="E16438" s="126">
        <v>1500</v>
      </c>
      <c r="F16438" s="58"/>
      <c r="G16438" s="58">
        <f t="shared" si="262"/>
        <v>-1500</v>
      </c>
      <c r="H16438" s="705" t="s">
        <v>10628</v>
      </c>
    </row>
    <row r="16439" spans="1:8" ht="15" x14ac:dyDescent="0.2">
      <c r="A16439" s="734">
        <v>45169</v>
      </c>
      <c r="B16439" s="63" t="s">
        <v>10576</v>
      </c>
      <c r="C16439" s="63" t="s">
        <v>10921</v>
      </c>
      <c r="D16439" s="183" t="s">
        <v>10916</v>
      </c>
      <c r="E16439" s="126">
        <v>500000</v>
      </c>
      <c r="F16439" s="58"/>
      <c r="G16439" s="58">
        <f t="shared" si="262"/>
        <v>-500000</v>
      </c>
      <c r="H16439" s="705" t="s">
        <v>10628</v>
      </c>
    </row>
    <row r="16440" spans="1:8" ht="15" x14ac:dyDescent="0.2">
      <c r="A16440" s="734">
        <v>45169</v>
      </c>
      <c r="B16440" s="63" t="s">
        <v>9356</v>
      </c>
      <c r="C16440" s="63" t="s">
        <v>8394</v>
      </c>
      <c r="D16440" s="183" t="s">
        <v>10237</v>
      </c>
      <c r="E16440" s="126">
        <v>657900</v>
      </c>
      <c r="F16440" s="58"/>
      <c r="G16440" s="58">
        <f t="shared" si="262"/>
        <v>-657900</v>
      </c>
      <c r="H16440" s="705" t="s">
        <v>10628</v>
      </c>
    </row>
    <row r="16441" spans="1:8" ht="15" x14ac:dyDescent="0.2">
      <c r="A16441" s="734">
        <v>45169</v>
      </c>
      <c r="B16441" s="63" t="s">
        <v>10576</v>
      </c>
      <c r="C16441" s="63" t="s">
        <v>10921</v>
      </c>
      <c r="D16441" s="183" t="s">
        <v>10916</v>
      </c>
      <c r="E16441" s="126">
        <v>150000</v>
      </c>
      <c r="F16441" s="58"/>
      <c r="G16441" s="58">
        <f t="shared" si="262"/>
        <v>-150000</v>
      </c>
      <c r="H16441" s="705" t="s">
        <v>10628</v>
      </c>
    </row>
    <row r="16442" spans="1:8" ht="15" x14ac:dyDescent="0.2">
      <c r="A16442" s="734">
        <v>45169</v>
      </c>
      <c r="B16442" s="63" t="s">
        <v>10338</v>
      </c>
      <c r="C16442" s="63" t="s">
        <v>10173</v>
      </c>
      <c r="D16442" s="183" t="s">
        <v>10922</v>
      </c>
      <c r="E16442" s="126">
        <v>228400</v>
      </c>
      <c r="F16442" s="58"/>
      <c r="G16442" s="58">
        <f t="shared" si="262"/>
        <v>-228400</v>
      </c>
      <c r="H16442" s="705" t="s">
        <v>10628</v>
      </c>
    </row>
    <row r="16443" spans="1:8" ht="15" x14ac:dyDescent="0.2">
      <c r="A16443" s="734">
        <v>45169</v>
      </c>
      <c r="B16443" s="63" t="s">
        <v>10576</v>
      </c>
      <c r="C16443" s="63" t="s">
        <v>392</v>
      </c>
      <c r="D16443" s="183" t="s">
        <v>10951</v>
      </c>
      <c r="E16443" s="126">
        <v>5000</v>
      </c>
      <c r="F16443" s="58"/>
      <c r="G16443" s="58">
        <f t="shared" si="262"/>
        <v>-5000</v>
      </c>
      <c r="H16443" s="705" t="s">
        <v>10628</v>
      </c>
    </row>
    <row r="16444" spans="1:8" ht="15" x14ac:dyDescent="0.2">
      <c r="A16444" s="734">
        <v>45169</v>
      </c>
      <c r="B16444" s="63" t="s">
        <v>103</v>
      </c>
      <c r="C16444" s="63" t="s">
        <v>103</v>
      </c>
      <c r="D16444" s="183" t="s">
        <v>10211</v>
      </c>
      <c r="E16444" s="126">
        <v>3500</v>
      </c>
      <c r="F16444" s="58"/>
      <c r="G16444" s="58">
        <f t="shared" si="262"/>
        <v>-3500</v>
      </c>
      <c r="H16444" s="705" t="s">
        <v>10628</v>
      </c>
    </row>
    <row r="16445" spans="1:8" ht="15" x14ac:dyDescent="0.2">
      <c r="A16445" s="734">
        <v>45169</v>
      </c>
      <c r="B16445" s="63" t="s">
        <v>103</v>
      </c>
      <c r="C16445" s="63" t="s">
        <v>5741</v>
      </c>
      <c r="D16445" s="183" t="s">
        <v>10337</v>
      </c>
      <c r="E16445" s="126">
        <v>350</v>
      </c>
      <c r="F16445" s="58"/>
      <c r="G16445" s="58">
        <f t="shared" si="262"/>
        <v>-350</v>
      </c>
      <c r="H16445" s="705" t="s">
        <v>10628</v>
      </c>
    </row>
    <row r="16446" spans="1:8" ht="15" x14ac:dyDescent="0.2">
      <c r="A16446" s="734">
        <v>45169</v>
      </c>
      <c r="B16446" s="63" t="s">
        <v>10576</v>
      </c>
      <c r="C16446" s="63" t="s">
        <v>5741</v>
      </c>
      <c r="D16446" s="183" t="s">
        <v>370</v>
      </c>
      <c r="E16446" s="126">
        <v>2000</v>
      </c>
      <c r="F16446" s="58"/>
      <c r="G16446" s="58">
        <f t="shared" si="262"/>
        <v>-2000</v>
      </c>
      <c r="H16446" s="705" t="s">
        <v>10628</v>
      </c>
    </row>
    <row r="16447" spans="1:8" ht="15" x14ac:dyDescent="0.2">
      <c r="A16447" s="734">
        <v>45169</v>
      </c>
      <c r="B16447" s="63" t="s">
        <v>10232</v>
      </c>
      <c r="C16447" s="63" t="s">
        <v>5741</v>
      </c>
      <c r="D16447" s="183" t="s">
        <v>370</v>
      </c>
      <c r="E16447" s="126">
        <v>2400</v>
      </c>
      <c r="F16447" s="58"/>
      <c r="G16447" s="58">
        <f t="shared" ref="G16447:G16510" si="263">F16447-E16447</f>
        <v>-2400</v>
      </c>
      <c r="H16447" s="705" t="s">
        <v>10628</v>
      </c>
    </row>
    <row r="16448" spans="1:8" ht="15" x14ac:dyDescent="0.2">
      <c r="A16448" s="733">
        <v>45139</v>
      </c>
      <c r="B16448" s="174" t="s">
        <v>10144</v>
      </c>
      <c r="C16448" s="174" t="s">
        <v>8394</v>
      </c>
      <c r="D16448" s="228" t="s">
        <v>10485</v>
      </c>
      <c r="E16448" s="236">
        <v>895000</v>
      </c>
      <c r="F16448" s="236"/>
      <c r="G16448" s="236">
        <f t="shared" si="263"/>
        <v>-895000</v>
      </c>
      <c r="H16448" s="709" t="s">
        <v>10628</v>
      </c>
    </row>
    <row r="16449" spans="1:8" ht="15" x14ac:dyDescent="0.2">
      <c r="A16449" s="733">
        <v>45139</v>
      </c>
      <c r="B16449" s="174" t="s">
        <v>10023</v>
      </c>
      <c r="C16449" s="174" t="s">
        <v>6476</v>
      </c>
      <c r="D16449" s="228" t="s">
        <v>10629</v>
      </c>
      <c r="E16449" s="236">
        <v>50000</v>
      </c>
      <c r="F16449" s="236"/>
      <c r="G16449" s="236">
        <f t="shared" si="263"/>
        <v>-50000</v>
      </c>
      <c r="H16449" s="709" t="s">
        <v>10628</v>
      </c>
    </row>
    <row r="16450" spans="1:8" ht="15" x14ac:dyDescent="0.2">
      <c r="A16450" s="733">
        <v>45139</v>
      </c>
      <c r="B16450" s="174" t="s">
        <v>9507</v>
      </c>
      <c r="C16450" s="174" t="s">
        <v>10445</v>
      </c>
      <c r="D16450" s="228" t="s">
        <v>10630</v>
      </c>
      <c r="E16450" s="236">
        <v>86500</v>
      </c>
      <c r="F16450" s="236"/>
      <c r="G16450" s="236">
        <f t="shared" si="263"/>
        <v>-86500</v>
      </c>
      <c r="H16450" s="709" t="s">
        <v>10628</v>
      </c>
    </row>
    <row r="16451" spans="1:8" ht="15" x14ac:dyDescent="0.2">
      <c r="A16451" s="733">
        <v>45142</v>
      </c>
      <c r="B16451" s="174" t="s">
        <v>9356</v>
      </c>
      <c r="C16451" s="551" t="s">
        <v>8251</v>
      </c>
      <c r="D16451" s="740" t="s">
        <v>10649</v>
      </c>
      <c r="E16451" s="552">
        <v>16000</v>
      </c>
      <c r="F16451" s="236"/>
      <c r="G16451" s="236">
        <f t="shared" si="263"/>
        <v>-16000</v>
      </c>
      <c r="H16451" s="709" t="s">
        <v>10628</v>
      </c>
    </row>
    <row r="16452" spans="1:8" ht="15" x14ac:dyDescent="0.2">
      <c r="A16452" s="733">
        <v>45142</v>
      </c>
      <c r="B16452" s="174" t="s">
        <v>8657</v>
      </c>
      <c r="C16452" s="551" t="s">
        <v>8251</v>
      </c>
      <c r="D16452" s="740" t="s">
        <v>10649</v>
      </c>
      <c r="E16452" s="552">
        <v>32000</v>
      </c>
      <c r="F16452" s="236"/>
      <c r="G16452" s="236">
        <f t="shared" si="263"/>
        <v>-32000</v>
      </c>
      <c r="H16452" s="709" t="s">
        <v>10628</v>
      </c>
    </row>
    <row r="16453" spans="1:8" ht="15" x14ac:dyDescent="0.2">
      <c r="A16453" s="733">
        <v>45142</v>
      </c>
      <c r="B16453" s="174" t="s">
        <v>10379</v>
      </c>
      <c r="C16453" s="551" t="s">
        <v>8251</v>
      </c>
      <c r="D16453" s="740" t="s">
        <v>10649</v>
      </c>
      <c r="E16453" s="552">
        <v>37500</v>
      </c>
      <c r="F16453" s="236"/>
      <c r="G16453" s="236">
        <f t="shared" si="263"/>
        <v>-37500</v>
      </c>
      <c r="H16453" s="709" t="s">
        <v>10628</v>
      </c>
    </row>
    <row r="16454" spans="1:8" ht="15" x14ac:dyDescent="0.2">
      <c r="A16454" s="733">
        <v>45142</v>
      </c>
      <c r="B16454" s="174" t="s">
        <v>10242</v>
      </c>
      <c r="C16454" s="174" t="s">
        <v>8251</v>
      </c>
      <c r="D16454" s="228" t="s">
        <v>10650</v>
      </c>
      <c r="E16454" s="236">
        <v>60000</v>
      </c>
      <c r="F16454" s="236"/>
      <c r="G16454" s="236">
        <f t="shared" si="263"/>
        <v>-60000</v>
      </c>
      <c r="H16454" s="709" t="s">
        <v>10628</v>
      </c>
    </row>
    <row r="16455" spans="1:8" ht="15" x14ac:dyDescent="0.2">
      <c r="A16455" s="733">
        <v>45142</v>
      </c>
      <c r="B16455" s="174" t="s">
        <v>3946</v>
      </c>
      <c r="C16455" s="174" t="s">
        <v>3003</v>
      </c>
      <c r="D16455" s="228" t="s">
        <v>10674</v>
      </c>
      <c r="E16455" s="236">
        <v>32760</v>
      </c>
      <c r="F16455" s="236"/>
      <c r="G16455" s="236">
        <f t="shared" si="263"/>
        <v>-32760</v>
      </c>
      <c r="H16455" s="709" t="s">
        <v>10628</v>
      </c>
    </row>
    <row r="16456" spans="1:8" ht="15" x14ac:dyDescent="0.2">
      <c r="A16456" s="733">
        <v>45142</v>
      </c>
      <c r="B16456" s="174" t="s">
        <v>3945</v>
      </c>
      <c r="C16456" s="174" t="s">
        <v>3003</v>
      </c>
      <c r="D16456" s="228" t="s">
        <v>10674</v>
      </c>
      <c r="E16456" s="236">
        <v>35360</v>
      </c>
      <c r="F16456" s="236"/>
      <c r="G16456" s="236">
        <f t="shared" si="263"/>
        <v>-35360</v>
      </c>
      <c r="H16456" s="709" t="s">
        <v>10628</v>
      </c>
    </row>
    <row r="16457" spans="1:8" ht="15" x14ac:dyDescent="0.2">
      <c r="A16457" s="733">
        <v>45145</v>
      </c>
      <c r="B16457" s="174" t="s">
        <v>10144</v>
      </c>
      <c r="C16457" s="174" t="s">
        <v>9750</v>
      </c>
      <c r="D16457" s="228" t="s">
        <v>10675</v>
      </c>
      <c r="E16457" s="236">
        <v>150000</v>
      </c>
      <c r="F16457" s="236"/>
      <c r="G16457" s="236">
        <f t="shared" si="263"/>
        <v>-150000</v>
      </c>
      <c r="H16457" s="709" t="s">
        <v>10628</v>
      </c>
    </row>
    <row r="16458" spans="1:8" ht="15" x14ac:dyDescent="0.2">
      <c r="A16458" s="733">
        <v>45145</v>
      </c>
      <c r="B16458" s="174" t="s">
        <v>9967</v>
      </c>
      <c r="C16458" s="174" t="s">
        <v>10676</v>
      </c>
      <c r="D16458" s="228" t="s">
        <v>10677</v>
      </c>
      <c r="E16458" s="236">
        <v>100000</v>
      </c>
      <c r="F16458" s="236"/>
      <c r="G16458" s="236">
        <f t="shared" si="263"/>
        <v>-100000</v>
      </c>
      <c r="H16458" s="709" t="s">
        <v>10628</v>
      </c>
    </row>
    <row r="16459" spans="1:8" ht="15" x14ac:dyDescent="0.2">
      <c r="A16459" s="733">
        <v>45145</v>
      </c>
      <c r="B16459" s="174" t="s">
        <v>9769</v>
      </c>
      <c r="C16459" s="174" t="s">
        <v>3292</v>
      </c>
      <c r="D16459" s="228" t="s">
        <v>10718</v>
      </c>
      <c r="E16459" s="236">
        <v>124500</v>
      </c>
      <c r="F16459" s="236"/>
      <c r="G16459" s="236">
        <f t="shared" si="263"/>
        <v>-124500</v>
      </c>
      <c r="H16459" s="709" t="s">
        <v>10628</v>
      </c>
    </row>
    <row r="16460" spans="1:8" ht="15" x14ac:dyDescent="0.2">
      <c r="A16460" s="733">
        <v>45145</v>
      </c>
      <c r="B16460" s="174" t="s">
        <v>9661</v>
      </c>
      <c r="C16460" s="174" t="s">
        <v>3292</v>
      </c>
      <c r="D16460" s="228" t="s">
        <v>10719</v>
      </c>
      <c r="E16460" s="236">
        <v>30000</v>
      </c>
      <c r="F16460" s="236"/>
      <c r="G16460" s="236">
        <f t="shared" si="263"/>
        <v>-30000</v>
      </c>
      <c r="H16460" s="709" t="s">
        <v>10628</v>
      </c>
    </row>
    <row r="16461" spans="1:8" ht="15" x14ac:dyDescent="0.2">
      <c r="A16461" s="733">
        <v>45147</v>
      </c>
      <c r="B16461" s="174" t="s">
        <v>9832</v>
      </c>
      <c r="C16461" s="174" t="s">
        <v>3145</v>
      </c>
      <c r="D16461" s="228" t="s">
        <v>11003</v>
      </c>
      <c r="E16461" s="236">
        <v>100000</v>
      </c>
      <c r="F16461" s="236"/>
      <c r="G16461" s="236">
        <f t="shared" si="263"/>
        <v>-100000</v>
      </c>
      <c r="H16461" s="709" t="s">
        <v>10628</v>
      </c>
    </row>
    <row r="16462" spans="1:8" ht="15" x14ac:dyDescent="0.2">
      <c r="A16462" s="733">
        <v>45147</v>
      </c>
      <c r="B16462" s="174" t="s">
        <v>9832</v>
      </c>
      <c r="C16462" s="174" t="s">
        <v>3145</v>
      </c>
      <c r="D16462" s="228" t="s">
        <v>11004</v>
      </c>
      <c r="E16462" s="236">
        <v>144000</v>
      </c>
      <c r="F16462" s="236"/>
      <c r="G16462" s="236">
        <f t="shared" si="263"/>
        <v>-144000</v>
      </c>
      <c r="H16462" s="709" t="s">
        <v>10628</v>
      </c>
    </row>
    <row r="16463" spans="1:8" ht="15" x14ac:dyDescent="0.2">
      <c r="A16463" s="733">
        <v>45149</v>
      </c>
      <c r="B16463" s="174" t="s">
        <v>10338</v>
      </c>
      <c r="C16463" s="174" t="s">
        <v>2386</v>
      </c>
      <c r="D16463" s="228" t="s">
        <v>10726</v>
      </c>
      <c r="E16463" s="236">
        <v>30000</v>
      </c>
      <c r="F16463" s="236"/>
      <c r="G16463" s="236">
        <f t="shared" si="263"/>
        <v>-30000</v>
      </c>
      <c r="H16463" s="709" t="s">
        <v>10628</v>
      </c>
    </row>
    <row r="16464" spans="1:8" ht="15" x14ac:dyDescent="0.2">
      <c r="A16464" s="733">
        <v>45149</v>
      </c>
      <c r="B16464" s="174" t="s">
        <v>9356</v>
      </c>
      <c r="C16464" s="174" t="s">
        <v>10706</v>
      </c>
      <c r="D16464" s="228" t="s">
        <v>10727</v>
      </c>
      <c r="E16464" s="236">
        <v>179000</v>
      </c>
      <c r="F16464" s="236"/>
      <c r="G16464" s="236">
        <f t="shared" si="263"/>
        <v>-179000</v>
      </c>
      <c r="H16464" s="709" t="s">
        <v>10628</v>
      </c>
    </row>
    <row r="16465" spans="1:8" ht="15" x14ac:dyDescent="0.2">
      <c r="A16465" s="733">
        <v>45149</v>
      </c>
      <c r="B16465" s="174" t="s">
        <v>10379</v>
      </c>
      <c r="C16465" s="174" t="s">
        <v>8071</v>
      </c>
      <c r="D16465" s="228" t="s">
        <v>10728</v>
      </c>
      <c r="E16465" s="236">
        <v>50000</v>
      </c>
      <c r="F16465" s="236"/>
      <c r="G16465" s="236">
        <f t="shared" si="263"/>
        <v>-50000</v>
      </c>
      <c r="H16465" s="709" t="s">
        <v>10628</v>
      </c>
    </row>
    <row r="16466" spans="1:8" ht="15" x14ac:dyDescent="0.2">
      <c r="A16466" s="733">
        <v>45149</v>
      </c>
      <c r="B16466" s="174" t="s">
        <v>10232</v>
      </c>
      <c r="C16466" s="174" t="s">
        <v>9549</v>
      </c>
      <c r="D16466" s="228" t="s">
        <v>10729</v>
      </c>
      <c r="E16466" s="236">
        <v>100000</v>
      </c>
      <c r="F16466" s="236"/>
      <c r="G16466" s="236">
        <f t="shared" si="263"/>
        <v>-100000</v>
      </c>
      <c r="H16466" s="709" t="s">
        <v>10628</v>
      </c>
    </row>
    <row r="16467" spans="1:8" ht="15" x14ac:dyDescent="0.2">
      <c r="A16467" s="733">
        <v>45149</v>
      </c>
      <c r="B16467" s="174" t="s">
        <v>9769</v>
      </c>
      <c r="C16467" s="174" t="s">
        <v>1509</v>
      </c>
      <c r="D16467" s="228" t="s">
        <v>10730</v>
      </c>
      <c r="E16467" s="236">
        <v>150000</v>
      </c>
      <c r="F16467" s="236"/>
      <c r="G16467" s="236">
        <f t="shared" si="263"/>
        <v>-150000</v>
      </c>
      <c r="H16467" s="709" t="s">
        <v>10628</v>
      </c>
    </row>
    <row r="16468" spans="1:8" ht="15" x14ac:dyDescent="0.2">
      <c r="A16468" s="733">
        <v>45153</v>
      </c>
      <c r="B16468" s="174" t="s">
        <v>7921</v>
      </c>
      <c r="C16468" s="551" t="s">
        <v>7467</v>
      </c>
      <c r="D16468" s="740" t="s">
        <v>10752</v>
      </c>
      <c r="E16468" s="552">
        <v>665882</v>
      </c>
      <c r="F16468" s="236"/>
      <c r="G16468" s="236">
        <f t="shared" si="263"/>
        <v>-665882</v>
      </c>
      <c r="H16468" s="709" t="s">
        <v>10628</v>
      </c>
    </row>
    <row r="16469" spans="1:8" ht="15" x14ac:dyDescent="0.2">
      <c r="A16469" s="733">
        <v>45153</v>
      </c>
      <c r="B16469" s="174" t="s">
        <v>8876</v>
      </c>
      <c r="C16469" s="551" t="s">
        <v>7467</v>
      </c>
      <c r="D16469" s="740" t="s">
        <v>10752</v>
      </c>
      <c r="E16469" s="552">
        <v>201658</v>
      </c>
      <c r="F16469" s="236"/>
      <c r="G16469" s="236">
        <f t="shared" si="263"/>
        <v>-201658</v>
      </c>
      <c r="H16469" s="709" t="s">
        <v>10628</v>
      </c>
    </row>
    <row r="16470" spans="1:8" ht="15" x14ac:dyDescent="0.2">
      <c r="A16470" s="733">
        <v>45153</v>
      </c>
      <c r="B16470" s="174" t="s">
        <v>9661</v>
      </c>
      <c r="C16470" s="551" t="s">
        <v>7467</v>
      </c>
      <c r="D16470" s="740" t="s">
        <v>10752</v>
      </c>
      <c r="E16470" s="552">
        <v>482460</v>
      </c>
      <c r="F16470" s="236"/>
      <c r="G16470" s="236">
        <f t="shared" si="263"/>
        <v>-482460</v>
      </c>
      <c r="H16470" s="709" t="s">
        <v>10628</v>
      </c>
    </row>
    <row r="16471" spans="1:8" ht="15" x14ac:dyDescent="0.2">
      <c r="A16471" s="733">
        <v>45153</v>
      </c>
      <c r="B16471" s="174" t="s">
        <v>8657</v>
      </c>
      <c r="C16471" s="174" t="s">
        <v>5681</v>
      </c>
      <c r="D16471" s="228" t="s">
        <v>10753</v>
      </c>
      <c r="E16471" s="236">
        <v>200000</v>
      </c>
      <c r="F16471" s="236"/>
      <c r="G16471" s="236">
        <f t="shared" si="263"/>
        <v>-200000</v>
      </c>
      <c r="H16471" s="709" t="s">
        <v>10628</v>
      </c>
    </row>
    <row r="16472" spans="1:8" ht="15" x14ac:dyDescent="0.2">
      <c r="A16472" s="733">
        <v>45154</v>
      </c>
      <c r="B16472" s="174" t="s">
        <v>16</v>
      </c>
      <c r="C16472" s="174" t="s">
        <v>4441</v>
      </c>
      <c r="D16472" s="228" t="s">
        <v>10797</v>
      </c>
      <c r="E16472" s="236">
        <v>60000</v>
      </c>
      <c r="F16472" s="236"/>
      <c r="G16472" s="236">
        <f t="shared" si="263"/>
        <v>-60000</v>
      </c>
      <c r="H16472" s="709" t="s">
        <v>10628</v>
      </c>
    </row>
    <row r="16473" spans="1:8" ht="15" x14ac:dyDescent="0.2">
      <c r="A16473" s="733">
        <v>45154</v>
      </c>
      <c r="B16473" s="174" t="s">
        <v>9402</v>
      </c>
      <c r="C16473" s="174" t="s">
        <v>8251</v>
      </c>
      <c r="D16473" s="228" t="s">
        <v>10798</v>
      </c>
      <c r="E16473" s="236">
        <v>100000</v>
      </c>
      <c r="F16473" s="236"/>
      <c r="G16473" s="236">
        <f t="shared" si="263"/>
        <v>-100000</v>
      </c>
      <c r="H16473" s="709" t="s">
        <v>10628</v>
      </c>
    </row>
    <row r="16474" spans="1:8" ht="72" x14ac:dyDescent="0.2">
      <c r="A16474" s="733">
        <v>45156</v>
      </c>
      <c r="B16474" s="174" t="s">
        <v>10576</v>
      </c>
      <c r="C16474" s="174" t="s">
        <v>10799</v>
      </c>
      <c r="D16474" s="228" t="s">
        <v>10800</v>
      </c>
      <c r="E16474" s="236">
        <v>247647</v>
      </c>
      <c r="F16474" s="236"/>
      <c r="G16474" s="236">
        <f t="shared" si="263"/>
        <v>-247647</v>
      </c>
      <c r="H16474" s="709" t="s">
        <v>10628</v>
      </c>
    </row>
    <row r="16475" spans="1:8" ht="15" x14ac:dyDescent="0.2">
      <c r="A16475" s="733">
        <v>45156</v>
      </c>
      <c r="B16475" s="174" t="s">
        <v>9769</v>
      </c>
      <c r="C16475" s="551" t="s">
        <v>8087</v>
      </c>
      <c r="D16475" s="740" t="s">
        <v>10801</v>
      </c>
      <c r="E16475" s="552">
        <v>13333</v>
      </c>
      <c r="F16475" s="236"/>
      <c r="G16475" s="236">
        <f t="shared" si="263"/>
        <v>-13333</v>
      </c>
      <c r="H16475" s="709" t="s">
        <v>10628</v>
      </c>
    </row>
    <row r="16476" spans="1:8" ht="15" x14ac:dyDescent="0.2">
      <c r="A16476" s="733">
        <v>45156</v>
      </c>
      <c r="B16476" s="174" t="s">
        <v>10379</v>
      </c>
      <c r="C16476" s="551" t="s">
        <v>8087</v>
      </c>
      <c r="D16476" s="740" t="s">
        <v>10801</v>
      </c>
      <c r="E16476" s="552">
        <v>13333</v>
      </c>
      <c r="F16476" s="236"/>
      <c r="G16476" s="236">
        <f t="shared" si="263"/>
        <v>-13333</v>
      </c>
      <c r="H16476" s="709" t="s">
        <v>10628</v>
      </c>
    </row>
    <row r="16477" spans="1:8" ht="15" x14ac:dyDescent="0.2">
      <c r="A16477" s="733">
        <v>45156</v>
      </c>
      <c r="B16477" s="174" t="s">
        <v>10232</v>
      </c>
      <c r="C16477" s="551" t="s">
        <v>8087</v>
      </c>
      <c r="D16477" s="740" t="s">
        <v>10801</v>
      </c>
      <c r="E16477" s="552">
        <v>13333</v>
      </c>
      <c r="F16477" s="236"/>
      <c r="G16477" s="236">
        <f t="shared" si="263"/>
        <v>-13333</v>
      </c>
      <c r="H16477" s="709" t="s">
        <v>10628</v>
      </c>
    </row>
    <row r="16478" spans="1:8" ht="15" x14ac:dyDescent="0.2">
      <c r="A16478" s="733">
        <v>45156</v>
      </c>
      <c r="B16478" s="670" t="s">
        <v>8657</v>
      </c>
      <c r="C16478" s="670" t="s">
        <v>166</v>
      </c>
      <c r="D16478" s="907" t="s">
        <v>10807</v>
      </c>
      <c r="E16478" s="672">
        <v>64845</v>
      </c>
      <c r="F16478" s="236"/>
      <c r="G16478" s="236">
        <f t="shared" si="263"/>
        <v>-64845</v>
      </c>
      <c r="H16478" s="709" t="s">
        <v>10628</v>
      </c>
    </row>
    <row r="16479" spans="1:8" ht="15" x14ac:dyDescent="0.2">
      <c r="A16479" s="733">
        <v>45156</v>
      </c>
      <c r="B16479" s="670" t="s">
        <v>10242</v>
      </c>
      <c r="C16479" s="670" t="s">
        <v>166</v>
      </c>
      <c r="D16479" s="907" t="s">
        <v>10807</v>
      </c>
      <c r="E16479" s="672">
        <v>22500</v>
      </c>
      <c r="F16479" s="236"/>
      <c r="G16479" s="236">
        <f t="shared" si="263"/>
        <v>-22500</v>
      </c>
      <c r="H16479" s="709" t="s">
        <v>10628</v>
      </c>
    </row>
    <row r="16480" spans="1:8" ht="15" x14ac:dyDescent="0.2">
      <c r="A16480" s="733">
        <v>45156</v>
      </c>
      <c r="B16480" s="670" t="s">
        <v>10144</v>
      </c>
      <c r="C16480" s="670" t="s">
        <v>166</v>
      </c>
      <c r="D16480" s="907" t="s">
        <v>10807</v>
      </c>
      <c r="E16480" s="672">
        <v>19260</v>
      </c>
      <c r="F16480" s="236"/>
      <c r="G16480" s="236">
        <f t="shared" si="263"/>
        <v>-19260</v>
      </c>
      <c r="H16480" s="709" t="s">
        <v>10628</v>
      </c>
    </row>
    <row r="16481" spans="1:8" ht="15" x14ac:dyDescent="0.2">
      <c r="A16481" s="733">
        <v>45156</v>
      </c>
      <c r="B16481" s="670" t="s">
        <v>10338</v>
      </c>
      <c r="C16481" s="670" t="s">
        <v>166</v>
      </c>
      <c r="D16481" s="907" t="s">
        <v>10807</v>
      </c>
      <c r="E16481" s="672">
        <v>34640</v>
      </c>
      <c r="F16481" s="236"/>
      <c r="G16481" s="236">
        <f t="shared" si="263"/>
        <v>-34640</v>
      </c>
      <c r="H16481" s="709" t="s">
        <v>10628</v>
      </c>
    </row>
    <row r="16482" spans="1:8" ht="15" x14ac:dyDescent="0.2">
      <c r="A16482" s="733">
        <v>45156</v>
      </c>
      <c r="B16482" s="670" t="s">
        <v>10379</v>
      </c>
      <c r="C16482" s="670" t="s">
        <v>166</v>
      </c>
      <c r="D16482" s="907" t="s">
        <v>10807</v>
      </c>
      <c r="E16482" s="672">
        <v>58755</v>
      </c>
      <c r="F16482" s="236"/>
      <c r="G16482" s="236">
        <f t="shared" si="263"/>
        <v>-58755</v>
      </c>
      <c r="H16482" s="709" t="s">
        <v>10628</v>
      </c>
    </row>
    <row r="16483" spans="1:8" ht="15" x14ac:dyDescent="0.2">
      <c r="A16483" s="733">
        <v>45161</v>
      </c>
      <c r="B16483" s="174" t="s">
        <v>10232</v>
      </c>
      <c r="C16483" s="551" t="s">
        <v>2019</v>
      </c>
      <c r="D16483" s="740" t="s">
        <v>10829</v>
      </c>
      <c r="E16483" s="552">
        <v>21150</v>
      </c>
      <c r="F16483" s="236"/>
      <c r="G16483" s="236">
        <f t="shared" si="263"/>
        <v>-21150</v>
      </c>
      <c r="H16483" s="709" t="s">
        <v>10628</v>
      </c>
    </row>
    <row r="16484" spans="1:8" ht="15" x14ac:dyDescent="0.2">
      <c r="A16484" s="733">
        <v>45161</v>
      </c>
      <c r="B16484" s="174" t="s">
        <v>9402</v>
      </c>
      <c r="C16484" s="551" t="s">
        <v>2019</v>
      </c>
      <c r="D16484" s="740" t="s">
        <v>10829</v>
      </c>
      <c r="E16484" s="552">
        <v>25800</v>
      </c>
      <c r="F16484" s="236"/>
      <c r="G16484" s="236">
        <f t="shared" si="263"/>
        <v>-25800</v>
      </c>
      <c r="H16484" s="709" t="s">
        <v>10628</v>
      </c>
    </row>
    <row r="16485" spans="1:8" ht="15" x14ac:dyDescent="0.2">
      <c r="A16485" s="733">
        <v>45161</v>
      </c>
      <c r="B16485" s="174" t="s">
        <v>10909</v>
      </c>
      <c r="C16485" s="174" t="s">
        <v>10853</v>
      </c>
      <c r="D16485" s="228" t="s">
        <v>10854</v>
      </c>
      <c r="E16485" s="236">
        <v>82305</v>
      </c>
      <c r="F16485" s="236"/>
      <c r="G16485" s="236">
        <f t="shared" si="263"/>
        <v>-82305</v>
      </c>
      <c r="H16485" s="709" t="s">
        <v>10628</v>
      </c>
    </row>
    <row r="16486" spans="1:8" ht="15" x14ac:dyDescent="0.2">
      <c r="A16486" s="733">
        <v>45164</v>
      </c>
      <c r="B16486" s="174" t="s">
        <v>3946</v>
      </c>
      <c r="C16486" s="174" t="s">
        <v>10617</v>
      </c>
      <c r="D16486" s="228" t="s">
        <v>10855</v>
      </c>
      <c r="E16486" s="236">
        <v>200000</v>
      </c>
      <c r="F16486" s="236"/>
      <c r="G16486" s="236">
        <f t="shared" si="263"/>
        <v>-200000</v>
      </c>
      <c r="H16486" s="709" t="s">
        <v>10628</v>
      </c>
    </row>
    <row r="16487" spans="1:8" ht="24" x14ac:dyDescent="0.2">
      <c r="A16487" s="733">
        <v>45164</v>
      </c>
      <c r="B16487" s="174" t="s">
        <v>9356</v>
      </c>
      <c r="C16487" s="551" t="s">
        <v>705</v>
      </c>
      <c r="D16487" s="740" t="s">
        <v>10857</v>
      </c>
      <c r="E16487" s="552">
        <v>200204</v>
      </c>
      <c r="F16487" s="236"/>
      <c r="G16487" s="236">
        <f t="shared" si="263"/>
        <v>-200204</v>
      </c>
      <c r="H16487" s="709" t="s">
        <v>10628</v>
      </c>
    </row>
    <row r="16488" spans="1:8" ht="24" x14ac:dyDescent="0.2">
      <c r="A16488" s="733">
        <v>45164</v>
      </c>
      <c r="B16488" s="174" t="s">
        <v>9967</v>
      </c>
      <c r="C16488" s="551" t="s">
        <v>705</v>
      </c>
      <c r="D16488" s="740" t="s">
        <v>10857</v>
      </c>
      <c r="E16488" s="552">
        <v>23382</v>
      </c>
      <c r="F16488" s="236"/>
      <c r="G16488" s="236">
        <f t="shared" si="263"/>
        <v>-23382</v>
      </c>
      <c r="H16488" s="709" t="s">
        <v>10628</v>
      </c>
    </row>
    <row r="16489" spans="1:8" ht="24" x14ac:dyDescent="0.2">
      <c r="A16489" s="733">
        <v>45164</v>
      </c>
      <c r="B16489" s="174" t="s">
        <v>10023</v>
      </c>
      <c r="C16489" s="551" t="s">
        <v>705</v>
      </c>
      <c r="D16489" s="740" t="s">
        <v>10857</v>
      </c>
      <c r="E16489" s="552">
        <v>37222</v>
      </c>
      <c r="F16489" s="236"/>
      <c r="G16489" s="236">
        <f t="shared" si="263"/>
        <v>-37222</v>
      </c>
      <c r="H16489" s="709" t="s">
        <v>10628</v>
      </c>
    </row>
    <row r="16490" spans="1:8" ht="24" x14ac:dyDescent="0.2">
      <c r="A16490" s="733">
        <v>45164</v>
      </c>
      <c r="B16490" s="174" t="s">
        <v>10296</v>
      </c>
      <c r="C16490" s="551" t="s">
        <v>705</v>
      </c>
      <c r="D16490" s="740" t="s">
        <v>10857</v>
      </c>
      <c r="E16490" s="552">
        <v>129892</v>
      </c>
      <c r="F16490" s="236"/>
      <c r="G16490" s="236">
        <f t="shared" si="263"/>
        <v>-129892</v>
      </c>
      <c r="H16490" s="709" t="s">
        <v>10628</v>
      </c>
    </row>
    <row r="16491" spans="1:8" ht="24" x14ac:dyDescent="0.2">
      <c r="A16491" s="733">
        <v>45164</v>
      </c>
      <c r="B16491" s="174" t="s">
        <v>9402</v>
      </c>
      <c r="C16491" s="551" t="s">
        <v>705</v>
      </c>
      <c r="D16491" s="740" t="s">
        <v>10857</v>
      </c>
      <c r="E16491" s="552">
        <v>7300</v>
      </c>
      <c r="F16491" s="236"/>
      <c r="G16491" s="236">
        <f t="shared" si="263"/>
        <v>-7300</v>
      </c>
      <c r="H16491" s="709" t="s">
        <v>10628</v>
      </c>
    </row>
    <row r="16492" spans="1:8" ht="24" x14ac:dyDescent="0.2">
      <c r="A16492" s="733">
        <v>45164</v>
      </c>
      <c r="B16492" s="174" t="s">
        <v>10576</v>
      </c>
      <c r="C16492" s="174" t="s">
        <v>10858</v>
      </c>
      <c r="D16492" s="228" t="s">
        <v>10859</v>
      </c>
      <c r="E16492" s="236">
        <v>950000</v>
      </c>
      <c r="F16492" s="236"/>
      <c r="G16492" s="236">
        <f t="shared" si="263"/>
        <v>-950000</v>
      </c>
      <c r="H16492" s="709" t="s">
        <v>10628</v>
      </c>
    </row>
    <row r="16493" spans="1:8" ht="15" x14ac:dyDescent="0.2">
      <c r="A16493" s="733">
        <v>45167</v>
      </c>
      <c r="B16493" s="174" t="s">
        <v>7807</v>
      </c>
      <c r="C16493" s="174" t="s">
        <v>10768</v>
      </c>
      <c r="D16493" s="228" t="s">
        <v>10885</v>
      </c>
      <c r="E16493" s="236">
        <v>336000</v>
      </c>
      <c r="F16493" s="236"/>
      <c r="G16493" s="236">
        <f t="shared" si="263"/>
        <v>-336000</v>
      </c>
      <c r="H16493" s="709" t="s">
        <v>10628</v>
      </c>
    </row>
    <row r="16494" spans="1:8" ht="15" x14ac:dyDescent="0.2">
      <c r="A16494" s="733">
        <v>45167</v>
      </c>
      <c r="B16494" s="174" t="s">
        <v>7807</v>
      </c>
      <c r="C16494" s="174" t="s">
        <v>431</v>
      </c>
      <c r="D16494" s="228" t="s">
        <v>10886</v>
      </c>
      <c r="E16494" s="236">
        <v>40000</v>
      </c>
      <c r="F16494" s="236"/>
      <c r="G16494" s="236">
        <f t="shared" si="263"/>
        <v>-40000</v>
      </c>
      <c r="H16494" s="709" t="s">
        <v>10628</v>
      </c>
    </row>
    <row r="16495" spans="1:8" ht="15" x14ac:dyDescent="0.2">
      <c r="A16495" s="733">
        <v>45167</v>
      </c>
      <c r="B16495" s="174" t="s">
        <v>9832</v>
      </c>
      <c r="C16495" s="174" t="s">
        <v>9869</v>
      </c>
      <c r="D16495" s="228" t="s">
        <v>10924</v>
      </c>
      <c r="E16495" s="236">
        <v>500000</v>
      </c>
      <c r="F16495" s="236"/>
      <c r="G16495" s="236">
        <f t="shared" si="263"/>
        <v>-500000</v>
      </c>
      <c r="H16495" s="709" t="s">
        <v>10628</v>
      </c>
    </row>
    <row r="16496" spans="1:8" ht="15" x14ac:dyDescent="0.2">
      <c r="A16496" s="733">
        <v>45167</v>
      </c>
      <c r="B16496" s="174" t="s">
        <v>9832</v>
      </c>
      <c r="C16496" s="174" t="s">
        <v>9869</v>
      </c>
      <c r="D16496" s="228" t="s">
        <v>10913</v>
      </c>
      <c r="E16496" s="236">
        <v>250000</v>
      </c>
      <c r="F16496" s="236"/>
      <c r="G16496" s="236">
        <f t="shared" si="263"/>
        <v>-250000</v>
      </c>
      <c r="H16496" s="709" t="s">
        <v>10628</v>
      </c>
    </row>
    <row r="16497" spans="1:8" ht="15" x14ac:dyDescent="0.2">
      <c r="A16497" s="733">
        <v>45167</v>
      </c>
      <c r="B16497" s="174" t="s">
        <v>9832</v>
      </c>
      <c r="C16497" s="174" t="s">
        <v>9869</v>
      </c>
      <c r="D16497" s="228" t="s">
        <v>10925</v>
      </c>
      <c r="E16497" s="236">
        <v>250000</v>
      </c>
      <c r="F16497" s="236"/>
      <c r="G16497" s="236">
        <f t="shared" si="263"/>
        <v>-250000</v>
      </c>
      <c r="H16497" s="709" t="s">
        <v>10628</v>
      </c>
    </row>
    <row r="16498" spans="1:8" ht="15" x14ac:dyDescent="0.2">
      <c r="A16498" s="733">
        <v>45168</v>
      </c>
      <c r="B16498" s="174" t="s">
        <v>10338</v>
      </c>
      <c r="C16498" s="174" t="s">
        <v>9460</v>
      </c>
      <c r="D16498" s="228" t="s">
        <v>10914</v>
      </c>
      <c r="E16498" s="236">
        <v>100000</v>
      </c>
      <c r="F16498" s="236"/>
      <c r="G16498" s="236">
        <f t="shared" si="263"/>
        <v>-100000</v>
      </c>
      <c r="H16498" s="709" t="s">
        <v>10628</v>
      </c>
    </row>
    <row r="16499" spans="1:8" ht="15" x14ac:dyDescent="0.2">
      <c r="A16499" s="733">
        <v>45169</v>
      </c>
      <c r="B16499" s="174" t="s">
        <v>10576</v>
      </c>
      <c r="C16499" s="174" t="s">
        <v>10577</v>
      </c>
      <c r="D16499" s="228" t="s">
        <v>10915</v>
      </c>
      <c r="E16499" s="236">
        <v>150000</v>
      </c>
      <c r="F16499" s="236"/>
      <c r="G16499" s="236">
        <f t="shared" si="263"/>
        <v>-150000</v>
      </c>
      <c r="H16499" s="709" t="s">
        <v>10628</v>
      </c>
    </row>
    <row r="16500" spans="1:8" ht="15" x14ac:dyDescent="0.2">
      <c r="A16500" s="733">
        <v>45169</v>
      </c>
      <c r="B16500" s="174" t="s">
        <v>8043</v>
      </c>
      <c r="C16500" s="174" t="s">
        <v>8091</v>
      </c>
      <c r="D16500" s="228" t="s">
        <v>10919</v>
      </c>
      <c r="E16500" s="236">
        <v>148000</v>
      </c>
      <c r="F16500" s="236"/>
      <c r="G16500" s="236">
        <f t="shared" si="263"/>
        <v>-148000</v>
      </c>
      <c r="H16500" s="709" t="s">
        <v>10628</v>
      </c>
    </row>
    <row r="16501" spans="1:8" ht="15" x14ac:dyDescent="0.2">
      <c r="A16501" s="730">
        <v>45139</v>
      </c>
      <c r="B16501" s="91" t="s">
        <v>8043</v>
      </c>
      <c r="C16501" s="91" t="s">
        <v>559</v>
      </c>
      <c r="D16501" s="801" t="s">
        <v>10647</v>
      </c>
      <c r="E16501" s="92"/>
      <c r="F16501" s="92">
        <v>677449</v>
      </c>
      <c r="G16501" s="176">
        <f t="shared" si="263"/>
        <v>677449</v>
      </c>
      <c r="H16501" s="702" t="s">
        <v>10628</v>
      </c>
    </row>
    <row r="16502" spans="1:8" ht="15" x14ac:dyDescent="0.2">
      <c r="A16502" s="730">
        <v>45139</v>
      </c>
      <c r="B16502" s="91" t="s">
        <v>8339</v>
      </c>
      <c r="C16502" s="91" t="s">
        <v>559</v>
      </c>
      <c r="D16502" s="801" t="s">
        <v>10647</v>
      </c>
      <c r="E16502" s="92"/>
      <c r="F16502" s="92">
        <v>2322551</v>
      </c>
      <c r="G16502" s="176">
        <f t="shared" si="263"/>
        <v>2322551</v>
      </c>
      <c r="H16502" s="702" t="s">
        <v>10628</v>
      </c>
    </row>
    <row r="16503" spans="1:8" ht="15" x14ac:dyDescent="0.2">
      <c r="A16503" s="730">
        <v>45139</v>
      </c>
      <c r="B16503" s="91" t="s">
        <v>8339</v>
      </c>
      <c r="C16503" s="94" t="s">
        <v>559</v>
      </c>
      <c r="D16503" s="801" t="s">
        <v>10566</v>
      </c>
      <c r="E16503" s="674"/>
      <c r="F16503" s="92"/>
      <c r="G16503" s="176">
        <f t="shared" si="263"/>
        <v>0</v>
      </c>
      <c r="H16503" s="702" t="s">
        <v>10628</v>
      </c>
    </row>
    <row r="16504" spans="1:8" ht="15" x14ac:dyDescent="0.2">
      <c r="A16504" s="730">
        <v>45139</v>
      </c>
      <c r="B16504" s="91" t="s">
        <v>10338</v>
      </c>
      <c r="C16504" s="91" t="s">
        <v>559</v>
      </c>
      <c r="D16504" s="801" t="s">
        <v>10648</v>
      </c>
      <c r="E16504" s="92"/>
      <c r="F16504" s="92">
        <v>1389750</v>
      </c>
      <c r="G16504" s="176">
        <f t="shared" si="263"/>
        <v>1389750</v>
      </c>
      <c r="H16504" s="702" t="s">
        <v>10628</v>
      </c>
    </row>
    <row r="16505" spans="1:8" ht="15" x14ac:dyDescent="0.2">
      <c r="A16505" s="730">
        <v>45139</v>
      </c>
      <c r="B16505" s="91" t="s">
        <v>10338</v>
      </c>
      <c r="C16505" s="94" t="s">
        <v>559</v>
      </c>
      <c r="D16505" s="801" t="s">
        <v>10566</v>
      </c>
      <c r="E16505" s="176">
        <v>13898</v>
      </c>
      <c r="F16505" s="92"/>
      <c r="G16505" s="176">
        <f t="shared" si="263"/>
        <v>-13898</v>
      </c>
      <c r="H16505" s="702" t="s">
        <v>10628</v>
      </c>
    </row>
    <row r="16506" spans="1:8" ht="15" x14ac:dyDescent="0.2">
      <c r="A16506" s="730">
        <v>45149</v>
      </c>
      <c r="B16506" s="91" t="s">
        <v>10576</v>
      </c>
      <c r="C16506" s="91" t="s">
        <v>559</v>
      </c>
      <c r="D16506" s="801" t="s">
        <v>10722</v>
      </c>
      <c r="E16506" s="92"/>
      <c r="F16506" s="92">
        <v>10150085</v>
      </c>
      <c r="G16506" s="176">
        <f t="shared" si="263"/>
        <v>10150085</v>
      </c>
      <c r="H16506" s="702" t="s">
        <v>10628</v>
      </c>
    </row>
    <row r="16507" spans="1:8" ht="15" x14ac:dyDescent="0.2">
      <c r="A16507" s="730">
        <v>45149</v>
      </c>
      <c r="B16507" s="91" t="s">
        <v>3945</v>
      </c>
      <c r="C16507" s="94" t="s">
        <v>559</v>
      </c>
      <c r="D16507" s="892" t="s">
        <v>10723</v>
      </c>
      <c r="E16507" s="92"/>
      <c r="F16507" s="92">
        <v>333522</v>
      </c>
      <c r="G16507" s="176">
        <f t="shared" si="263"/>
        <v>333522</v>
      </c>
      <c r="H16507" s="702" t="s">
        <v>10628</v>
      </c>
    </row>
    <row r="16508" spans="1:8" ht="15" x14ac:dyDescent="0.2">
      <c r="A16508" s="730">
        <v>45149</v>
      </c>
      <c r="B16508" s="91" t="s">
        <v>3946</v>
      </c>
      <c r="C16508" s="94" t="s">
        <v>559</v>
      </c>
      <c r="D16508" s="892" t="s">
        <v>10724</v>
      </c>
      <c r="E16508" s="92"/>
      <c r="F16508" s="92">
        <v>359992</v>
      </c>
      <c r="G16508" s="176">
        <f t="shared" si="263"/>
        <v>359992</v>
      </c>
      <c r="H16508" s="702" t="s">
        <v>10628</v>
      </c>
    </row>
    <row r="16509" spans="1:8" ht="15" x14ac:dyDescent="0.2">
      <c r="A16509" s="730">
        <v>45149</v>
      </c>
      <c r="B16509" s="91" t="s">
        <v>10179</v>
      </c>
      <c r="C16509" s="94" t="s">
        <v>559</v>
      </c>
      <c r="D16509" s="892" t="s">
        <v>10802</v>
      </c>
      <c r="E16509" s="92"/>
      <c r="F16509" s="92">
        <v>156000</v>
      </c>
      <c r="G16509" s="176">
        <f t="shared" si="263"/>
        <v>156000</v>
      </c>
      <c r="H16509" s="702" t="s">
        <v>10628</v>
      </c>
    </row>
    <row r="16510" spans="1:8" ht="15" x14ac:dyDescent="0.2">
      <c r="A16510" s="730">
        <v>45155</v>
      </c>
      <c r="B16510" s="91" t="s">
        <v>9356</v>
      </c>
      <c r="C16510" s="94" t="s">
        <v>559</v>
      </c>
      <c r="D16510" s="892" t="s">
        <v>10771</v>
      </c>
      <c r="E16510" s="92"/>
      <c r="F16510" s="92">
        <v>220000</v>
      </c>
      <c r="G16510" s="176">
        <f t="shared" si="263"/>
        <v>220000</v>
      </c>
      <c r="H16510" s="702" t="s">
        <v>10628</v>
      </c>
    </row>
    <row r="16511" spans="1:8" ht="15" x14ac:dyDescent="0.2">
      <c r="A16511" s="730">
        <v>45156</v>
      </c>
      <c r="B16511" s="91" t="s">
        <v>9356</v>
      </c>
      <c r="C16511" s="94" t="s">
        <v>559</v>
      </c>
      <c r="D16511" s="892" t="s">
        <v>10772</v>
      </c>
      <c r="E16511" s="92"/>
      <c r="F16511" s="92">
        <v>200000</v>
      </c>
      <c r="G16511" s="176">
        <f t="shared" ref="G16511:G16574" si="264">F16511-E16511</f>
        <v>200000</v>
      </c>
      <c r="H16511" s="702" t="s">
        <v>10628</v>
      </c>
    </row>
    <row r="16512" spans="1:8" ht="15" x14ac:dyDescent="0.2">
      <c r="A16512" s="730">
        <v>45156</v>
      </c>
      <c r="B16512" s="91" t="s">
        <v>9356</v>
      </c>
      <c r="C16512" s="94" t="s">
        <v>559</v>
      </c>
      <c r="D16512" s="892" t="s">
        <v>10773</v>
      </c>
      <c r="E16512" s="92"/>
      <c r="F16512" s="92">
        <v>500000</v>
      </c>
      <c r="G16512" s="176">
        <f t="shared" si="264"/>
        <v>500000</v>
      </c>
      <c r="H16512" s="702" t="s">
        <v>10628</v>
      </c>
    </row>
    <row r="16513" spans="1:10" ht="15" x14ac:dyDescent="0.2">
      <c r="A16513" s="730">
        <v>45160</v>
      </c>
      <c r="B16513" s="91" t="s">
        <v>9356</v>
      </c>
      <c r="C16513" s="94" t="s">
        <v>559</v>
      </c>
      <c r="D16513" s="892" t="s">
        <v>10814</v>
      </c>
      <c r="E16513" s="92"/>
      <c r="F16513" s="92">
        <v>517123</v>
      </c>
      <c r="G16513" s="176">
        <f t="shared" si="264"/>
        <v>517123</v>
      </c>
      <c r="H16513" s="702" t="s">
        <v>10628</v>
      </c>
    </row>
    <row r="16514" spans="1:10" ht="15" x14ac:dyDescent="0.2">
      <c r="A16514" s="730">
        <v>45160</v>
      </c>
      <c r="B16514" s="91" t="s">
        <v>9356</v>
      </c>
      <c r="C16514" s="94" t="s">
        <v>559</v>
      </c>
      <c r="D16514" s="892" t="s">
        <v>10815</v>
      </c>
      <c r="E16514" s="92"/>
      <c r="F16514" s="92">
        <v>6179844</v>
      </c>
      <c r="G16514" s="176">
        <f t="shared" si="264"/>
        <v>6179844</v>
      </c>
      <c r="H16514" s="702" t="s">
        <v>10628</v>
      </c>
    </row>
    <row r="16515" spans="1:10" ht="15" x14ac:dyDescent="0.2">
      <c r="A16515" s="730">
        <v>45160</v>
      </c>
      <c r="B16515" s="130" t="s">
        <v>9661</v>
      </c>
      <c r="C16515" s="488" t="s">
        <v>559</v>
      </c>
      <c r="D16515" s="1053" t="s">
        <v>10814</v>
      </c>
      <c r="E16515" s="485"/>
      <c r="F16515" s="485">
        <v>5000000</v>
      </c>
      <c r="G16515" s="489">
        <f t="shared" si="264"/>
        <v>5000000</v>
      </c>
      <c r="H16515" s="1054" t="s">
        <v>10628</v>
      </c>
    </row>
    <row r="16516" spans="1:10" ht="15" x14ac:dyDescent="0.2">
      <c r="A16516" s="730">
        <v>45160</v>
      </c>
      <c r="B16516" s="130" t="s">
        <v>9661</v>
      </c>
      <c r="C16516" s="488" t="s">
        <v>559</v>
      </c>
      <c r="D16516" s="801" t="s">
        <v>10566</v>
      </c>
      <c r="E16516" s="176">
        <v>50000</v>
      </c>
      <c r="F16516" s="485"/>
      <c r="G16516" s="489">
        <f t="shared" si="264"/>
        <v>-50000</v>
      </c>
      <c r="H16516" s="1054" t="s">
        <v>10628</v>
      </c>
    </row>
    <row r="16517" spans="1:10" ht="15" customHeight="1" x14ac:dyDescent="0.2">
      <c r="A16517" s="730">
        <v>45167</v>
      </c>
      <c r="B16517" s="91" t="s">
        <v>10232</v>
      </c>
      <c r="C16517" s="94" t="s">
        <v>559</v>
      </c>
      <c r="D16517" s="892" t="s">
        <v>10862</v>
      </c>
      <c r="E16517" s="92"/>
      <c r="F16517" s="92">
        <v>2000000</v>
      </c>
      <c r="G16517" s="176">
        <f t="shared" si="264"/>
        <v>2000000</v>
      </c>
      <c r="H16517" s="702" t="s">
        <v>10628</v>
      </c>
    </row>
    <row r="16518" spans="1:10" ht="15" customHeight="1" x14ac:dyDescent="0.2">
      <c r="A16518" s="730">
        <v>45167</v>
      </c>
      <c r="B16518" s="91" t="s">
        <v>10232</v>
      </c>
      <c r="C16518" s="94" t="s">
        <v>559</v>
      </c>
      <c r="D16518" s="892" t="s">
        <v>10863</v>
      </c>
      <c r="E16518" s="92"/>
      <c r="F16518" s="92">
        <v>3500000</v>
      </c>
      <c r="G16518" s="176">
        <f t="shared" si="264"/>
        <v>3500000</v>
      </c>
      <c r="H16518" s="702" t="s">
        <v>10628</v>
      </c>
    </row>
    <row r="16519" spans="1:10" ht="15" customHeight="1" x14ac:dyDescent="0.2">
      <c r="A16519" s="730">
        <v>45168</v>
      </c>
      <c r="B16519" s="91" t="s">
        <v>10232</v>
      </c>
      <c r="C16519" s="94" t="s">
        <v>559</v>
      </c>
      <c r="D16519" s="892" t="s">
        <v>10895</v>
      </c>
      <c r="E16519" s="92"/>
      <c r="F16519" s="92">
        <v>1000000</v>
      </c>
      <c r="G16519" s="176">
        <f t="shared" si="264"/>
        <v>1000000</v>
      </c>
      <c r="H16519" s="702" t="s">
        <v>10628</v>
      </c>
    </row>
    <row r="16520" spans="1:10" ht="24" customHeight="1" x14ac:dyDescent="0.2">
      <c r="A16520" s="730">
        <v>45168</v>
      </c>
      <c r="B16520" s="94" t="s">
        <v>10909</v>
      </c>
      <c r="C16520" s="94" t="s">
        <v>559</v>
      </c>
      <c r="D16520" s="802" t="s">
        <v>11078</v>
      </c>
      <c r="E16520" s="176"/>
      <c r="F16520" s="176">
        <v>2500000</v>
      </c>
      <c r="G16520" s="176">
        <f t="shared" si="264"/>
        <v>2500000</v>
      </c>
      <c r="H16520" s="702" t="s">
        <v>10628</v>
      </c>
    </row>
    <row r="16521" spans="1:10" ht="24" x14ac:dyDescent="0.2">
      <c r="A16521" s="730">
        <v>45168</v>
      </c>
      <c r="B16521" s="94" t="s">
        <v>10909</v>
      </c>
      <c r="C16521" s="94" t="s">
        <v>10853</v>
      </c>
      <c r="D16521" s="802" t="s">
        <v>11079</v>
      </c>
      <c r="E16521" s="176">
        <v>2500000</v>
      </c>
      <c r="F16521" s="176"/>
      <c r="G16521" s="176">
        <f t="shared" si="264"/>
        <v>-2500000</v>
      </c>
      <c r="H16521" s="702" t="s">
        <v>10628</v>
      </c>
    </row>
    <row r="16522" spans="1:10" s="682" customFormat="1" ht="135.75" customHeight="1" x14ac:dyDescent="0.25">
      <c r="A16522" s="730">
        <v>45168</v>
      </c>
      <c r="B16522" s="94" t="s">
        <v>10909</v>
      </c>
      <c r="C16522" s="94" t="s">
        <v>559</v>
      </c>
      <c r="D16522" s="802" t="s">
        <v>11686</v>
      </c>
      <c r="E16522" s="176"/>
      <c r="F16522" s="176">
        <v>7656392</v>
      </c>
      <c r="G16522" s="176">
        <f t="shared" si="264"/>
        <v>7656392</v>
      </c>
      <c r="H16522" s="702" t="s">
        <v>10628</v>
      </c>
      <c r="J16522" s="1093"/>
    </row>
    <row r="16523" spans="1:10" ht="31.5" customHeight="1" x14ac:dyDescent="0.2">
      <c r="A16523" s="730">
        <v>45168</v>
      </c>
      <c r="B16523" s="94" t="s">
        <v>9356</v>
      </c>
      <c r="C16523" s="94" t="s">
        <v>559</v>
      </c>
      <c r="D16523" s="802" t="s">
        <v>11685</v>
      </c>
      <c r="E16523" s="176"/>
      <c r="F16523" s="176">
        <v>1969887</v>
      </c>
      <c r="G16523" s="176">
        <f t="shared" si="264"/>
        <v>1969887</v>
      </c>
      <c r="H16523" s="702" t="s">
        <v>10628</v>
      </c>
    </row>
    <row r="16524" spans="1:10" ht="48" x14ac:dyDescent="0.2">
      <c r="A16524" s="730">
        <v>45168</v>
      </c>
      <c r="B16524" s="94" t="s">
        <v>14</v>
      </c>
      <c r="C16524" s="94" t="s">
        <v>559</v>
      </c>
      <c r="D16524" s="802" t="s">
        <v>11687</v>
      </c>
      <c r="E16524" s="176"/>
      <c r="F16524" s="176">
        <v>288788</v>
      </c>
      <c r="G16524" s="176">
        <f t="shared" si="264"/>
        <v>288788</v>
      </c>
      <c r="H16524" s="702" t="s">
        <v>10628</v>
      </c>
    </row>
    <row r="16525" spans="1:10" ht="15" customHeight="1" x14ac:dyDescent="0.2">
      <c r="A16525" s="730">
        <v>45168</v>
      </c>
      <c r="B16525" s="94" t="s">
        <v>14</v>
      </c>
      <c r="C16525" s="94" t="s">
        <v>559</v>
      </c>
      <c r="D16525" s="802" t="s">
        <v>10912</v>
      </c>
      <c r="E16525" s="176"/>
      <c r="F16525" s="643">
        <v>-288788</v>
      </c>
      <c r="G16525" s="176">
        <f t="shared" si="264"/>
        <v>-288788</v>
      </c>
      <c r="H16525" s="702" t="s">
        <v>10628</v>
      </c>
    </row>
    <row r="16526" spans="1:10" ht="15" customHeight="1" x14ac:dyDescent="0.2">
      <c r="A16526" s="734">
        <v>45170</v>
      </c>
      <c r="B16526" s="63" t="s">
        <v>10338</v>
      </c>
      <c r="C16526" s="63" t="s">
        <v>3145</v>
      </c>
      <c r="D16526" s="183" t="s">
        <v>10961</v>
      </c>
      <c r="E16526" s="126">
        <v>39000</v>
      </c>
      <c r="F16526" s="58"/>
      <c r="G16526" s="58">
        <f t="shared" si="264"/>
        <v>-39000</v>
      </c>
      <c r="H16526" s="705" t="s">
        <v>10954</v>
      </c>
    </row>
    <row r="16527" spans="1:10" ht="15" customHeight="1" x14ac:dyDescent="0.2">
      <c r="A16527" s="734">
        <v>45170</v>
      </c>
      <c r="B16527" s="63" t="s">
        <v>10471</v>
      </c>
      <c r="C16527" s="63" t="s">
        <v>3145</v>
      </c>
      <c r="D16527" s="183" t="s">
        <v>10962</v>
      </c>
      <c r="E16527" s="126">
        <v>8640</v>
      </c>
      <c r="F16527" s="58"/>
      <c r="G16527" s="58">
        <f t="shared" si="264"/>
        <v>-8640</v>
      </c>
      <c r="H16527" s="705" t="s">
        <v>10954</v>
      </c>
      <c r="J16527" s="1092"/>
    </row>
    <row r="16528" spans="1:10" ht="15" customHeight="1" x14ac:dyDescent="0.2">
      <c r="A16528" s="734">
        <v>45170</v>
      </c>
      <c r="B16528" s="63" t="s">
        <v>103</v>
      </c>
      <c r="C16528" s="63" t="s">
        <v>392</v>
      </c>
      <c r="D16528" s="183" t="s">
        <v>10211</v>
      </c>
      <c r="E16528" s="126">
        <v>3000</v>
      </c>
      <c r="F16528" s="58"/>
      <c r="G16528" s="58">
        <f t="shared" si="264"/>
        <v>-3000</v>
      </c>
      <c r="H16528" s="705" t="s">
        <v>10954</v>
      </c>
      <c r="J16528" s="1092"/>
    </row>
    <row r="16529" spans="1:10" ht="15" x14ac:dyDescent="0.2">
      <c r="A16529" s="734">
        <v>45171</v>
      </c>
      <c r="B16529" s="63" t="s">
        <v>16</v>
      </c>
      <c r="C16529" s="63" t="s">
        <v>392</v>
      </c>
      <c r="D16529" s="183" t="s">
        <v>10963</v>
      </c>
      <c r="E16529" s="126">
        <v>4000</v>
      </c>
      <c r="F16529" s="58"/>
      <c r="G16529" s="58">
        <f t="shared" si="264"/>
        <v>-4000</v>
      </c>
      <c r="H16529" s="705" t="s">
        <v>10954</v>
      </c>
      <c r="J16529" s="1092"/>
    </row>
    <row r="16530" spans="1:10" ht="15" x14ac:dyDescent="0.2">
      <c r="A16530" s="734">
        <v>45171</v>
      </c>
      <c r="B16530" s="63" t="s">
        <v>9356</v>
      </c>
      <c r="C16530" s="63" t="s">
        <v>6967</v>
      </c>
      <c r="D16530" s="183" t="s">
        <v>9525</v>
      </c>
      <c r="E16530" s="126">
        <v>10000</v>
      </c>
      <c r="F16530" s="58"/>
      <c r="G16530" s="58">
        <f t="shared" si="264"/>
        <v>-10000</v>
      </c>
      <c r="H16530" s="705" t="s">
        <v>10954</v>
      </c>
    </row>
    <row r="16531" spans="1:10" ht="15" x14ac:dyDescent="0.2">
      <c r="A16531" s="734">
        <v>45171</v>
      </c>
      <c r="B16531" s="63" t="s">
        <v>10576</v>
      </c>
      <c r="C16531" s="63" t="s">
        <v>5741</v>
      </c>
      <c r="D16531" s="183" t="s">
        <v>370</v>
      </c>
      <c r="E16531" s="126">
        <v>3200</v>
      </c>
      <c r="F16531" s="58"/>
      <c r="G16531" s="58">
        <f t="shared" si="264"/>
        <v>-3200</v>
      </c>
      <c r="H16531" s="705" t="s">
        <v>10954</v>
      </c>
    </row>
    <row r="16532" spans="1:10" ht="15" x14ac:dyDescent="0.2">
      <c r="A16532" s="734">
        <v>45173</v>
      </c>
      <c r="B16532" s="63" t="s">
        <v>25</v>
      </c>
      <c r="C16532" s="63" t="s">
        <v>8150</v>
      </c>
      <c r="D16532" s="183" t="s">
        <v>6310</v>
      </c>
      <c r="E16532" s="126">
        <v>240</v>
      </c>
      <c r="F16532" s="58"/>
      <c r="G16532" s="58">
        <f t="shared" si="264"/>
        <v>-240</v>
      </c>
      <c r="H16532" s="705" t="s">
        <v>10954</v>
      </c>
    </row>
    <row r="16533" spans="1:10" ht="15" x14ac:dyDescent="0.2">
      <c r="A16533" s="734">
        <v>45173</v>
      </c>
      <c r="B16533" s="63" t="s">
        <v>16</v>
      </c>
      <c r="C16533" s="63" t="s">
        <v>8150</v>
      </c>
      <c r="D16533" s="183" t="s">
        <v>6310</v>
      </c>
      <c r="E16533" s="126">
        <v>310</v>
      </c>
      <c r="F16533" s="58"/>
      <c r="G16533" s="58">
        <f t="shared" si="264"/>
        <v>-310</v>
      </c>
      <c r="H16533" s="705" t="s">
        <v>10954</v>
      </c>
    </row>
    <row r="16534" spans="1:10" ht="15" x14ac:dyDescent="0.2">
      <c r="A16534" s="734">
        <v>45173</v>
      </c>
      <c r="B16534" s="63" t="s">
        <v>103</v>
      </c>
      <c r="C16534" s="63" t="s">
        <v>392</v>
      </c>
      <c r="D16534" s="183" t="s">
        <v>10211</v>
      </c>
      <c r="E16534" s="126">
        <v>3000</v>
      </c>
      <c r="F16534" s="58"/>
      <c r="G16534" s="58">
        <f t="shared" si="264"/>
        <v>-3000</v>
      </c>
      <c r="H16534" s="705" t="s">
        <v>10954</v>
      </c>
    </row>
    <row r="16535" spans="1:10" ht="15" x14ac:dyDescent="0.2">
      <c r="A16535" s="734">
        <v>45173</v>
      </c>
      <c r="B16535" s="63" t="s">
        <v>9356</v>
      </c>
      <c r="C16535" s="63" t="s">
        <v>392</v>
      </c>
      <c r="D16535" s="183" t="s">
        <v>9917</v>
      </c>
      <c r="E16535" s="126">
        <v>16940</v>
      </c>
      <c r="F16535" s="58"/>
      <c r="G16535" s="58">
        <f t="shared" si="264"/>
        <v>-16940</v>
      </c>
      <c r="H16535" s="705" t="s">
        <v>10954</v>
      </c>
    </row>
    <row r="16536" spans="1:10" ht="15" x14ac:dyDescent="0.2">
      <c r="A16536" s="734">
        <v>45173</v>
      </c>
      <c r="B16536" s="63" t="s">
        <v>10379</v>
      </c>
      <c r="C16536" s="63" t="s">
        <v>392</v>
      </c>
      <c r="D16536" s="183" t="s">
        <v>6486</v>
      </c>
      <c r="E16536" s="126">
        <v>6650</v>
      </c>
      <c r="F16536" s="58"/>
      <c r="G16536" s="58">
        <f t="shared" si="264"/>
        <v>-6650</v>
      </c>
      <c r="H16536" s="705" t="s">
        <v>10954</v>
      </c>
    </row>
    <row r="16537" spans="1:10" ht="15" x14ac:dyDescent="0.2">
      <c r="A16537" s="734">
        <v>45173</v>
      </c>
      <c r="B16537" s="63" t="s">
        <v>10296</v>
      </c>
      <c r="C16537" s="63" t="s">
        <v>392</v>
      </c>
      <c r="D16537" s="183" t="s">
        <v>4309</v>
      </c>
      <c r="E16537" s="126">
        <v>8070</v>
      </c>
      <c r="F16537" s="58"/>
      <c r="G16537" s="58">
        <f t="shared" si="264"/>
        <v>-8070</v>
      </c>
      <c r="H16537" s="705" t="s">
        <v>10954</v>
      </c>
    </row>
    <row r="16538" spans="1:10" ht="15" x14ac:dyDescent="0.2">
      <c r="A16538" s="734">
        <v>45173</v>
      </c>
      <c r="B16538" s="63" t="s">
        <v>9356</v>
      </c>
      <c r="C16538" s="63"/>
      <c r="D16538" s="183" t="s">
        <v>10964</v>
      </c>
      <c r="E16538" s="126">
        <v>5000</v>
      </c>
      <c r="F16538" s="58"/>
      <c r="G16538" s="58">
        <f t="shared" si="264"/>
        <v>-5000</v>
      </c>
      <c r="H16538" s="705" t="s">
        <v>10954</v>
      </c>
    </row>
    <row r="16539" spans="1:10" ht="15" x14ac:dyDescent="0.2">
      <c r="A16539" s="734">
        <v>45173</v>
      </c>
      <c r="B16539" s="63" t="s">
        <v>10576</v>
      </c>
      <c r="C16539" s="63" t="s">
        <v>3145</v>
      </c>
      <c r="D16539" s="183" t="s">
        <v>10965</v>
      </c>
      <c r="E16539" s="126">
        <v>34000</v>
      </c>
      <c r="F16539" s="58"/>
      <c r="G16539" s="58">
        <f t="shared" si="264"/>
        <v>-34000</v>
      </c>
      <c r="H16539" s="705" t="s">
        <v>10954</v>
      </c>
    </row>
    <row r="16540" spans="1:10" ht="15" x14ac:dyDescent="0.2">
      <c r="A16540" s="734">
        <v>45173</v>
      </c>
      <c r="B16540" s="63" t="s">
        <v>10379</v>
      </c>
      <c r="C16540" s="63" t="s">
        <v>5741</v>
      </c>
      <c r="D16540" s="183" t="s">
        <v>370</v>
      </c>
      <c r="E16540" s="126">
        <v>1700</v>
      </c>
      <c r="F16540" s="58"/>
      <c r="G16540" s="58">
        <f t="shared" si="264"/>
        <v>-1700</v>
      </c>
      <c r="H16540" s="705" t="s">
        <v>10954</v>
      </c>
    </row>
    <row r="16541" spans="1:10" ht="15" x14ac:dyDescent="0.2">
      <c r="A16541" s="734">
        <v>45173</v>
      </c>
      <c r="B16541" s="63" t="s">
        <v>9356</v>
      </c>
      <c r="C16541" s="63" t="s">
        <v>3033</v>
      </c>
      <c r="D16541" s="183" t="s">
        <v>370</v>
      </c>
      <c r="E16541" s="126">
        <v>7000</v>
      </c>
      <c r="F16541" s="58"/>
      <c r="G16541" s="58">
        <f t="shared" si="264"/>
        <v>-7000</v>
      </c>
      <c r="H16541" s="705" t="s">
        <v>10954</v>
      </c>
    </row>
    <row r="16542" spans="1:10" ht="15" x14ac:dyDescent="0.2">
      <c r="A16542" s="734">
        <v>45173</v>
      </c>
      <c r="B16542" s="63" t="s">
        <v>10471</v>
      </c>
      <c r="C16542" s="63" t="s">
        <v>9460</v>
      </c>
      <c r="D16542" s="183" t="s">
        <v>9525</v>
      </c>
      <c r="E16542" s="126">
        <v>50000</v>
      </c>
      <c r="F16542" s="58"/>
      <c r="G16542" s="58">
        <f t="shared" si="264"/>
        <v>-50000</v>
      </c>
      <c r="H16542" s="705" t="s">
        <v>10954</v>
      </c>
    </row>
    <row r="16543" spans="1:10" ht="24" x14ac:dyDescent="0.2">
      <c r="A16543" s="734">
        <v>45173</v>
      </c>
      <c r="B16543" s="63" t="s">
        <v>10379</v>
      </c>
      <c r="C16543" s="551" t="s">
        <v>9825</v>
      </c>
      <c r="D16543" s="740" t="s">
        <v>10967</v>
      </c>
      <c r="E16543" s="552">
        <v>65000</v>
      </c>
      <c r="F16543" s="58"/>
      <c r="G16543" s="58">
        <f t="shared" si="264"/>
        <v>-65000</v>
      </c>
      <c r="H16543" s="705" t="s">
        <v>10954</v>
      </c>
    </row>
    <row r="16544" spans="1:10" ht="24" x14ac:dyDescent="0.2">
      <c r="A16544" s="734">
        <v>45173</v>
      </c>
      <c r="B16544" s="63" t="s">
        <v>9356</v>
      </c>
      <c r="C16544" s="551" t="s">
        <v>9825</v>
      </c>
      <c r="D16544" s="740" t="s">
        <v>10967</v>
      </c>
      <c r="E16544" s="552">
        <v>22000</v>
      </c>
      <c r="F16544" s="58"/>
      <c r="G16544" s="58">
        <f t="shared" si="264"/>
        <v>-22000</v>
      </c>
      <c r="H16544" s="705" t="s">
        <v>10954</v>
      </c>
    </row>
    <row r="16545" spans="1:8" ht="24" x14ac:dyDescent="0.2">
      <c r="A16545" s="734">
        <v>45173</v>
      </c>
      <c r="B16545" s="63" t="s">
        <v>10338</v>
      </c>
      <c r="C16545" s="551" t="s">
        <v>9825</v>
      </c>
      <c r="D16545" s="740" t="s">
        <v>10967</v>
      </c>
      <c r="E16545" s="552">
        <v>59500</v>
      </c>
      <c r="F16545" s="58"/>
      <c r="G16545" s="58">
        <f t="shared" si="264"/>
        <v>-59500</v>
      </c>
      <c r="H16545" s="705" t="s">
        <v>10954</v>
      </c>
    </row>
    <row r="16546" spans="1:8" ht="15" x14ac:dyDescent="0.2">
      <c r="A16546" s="734">
        <v>45173</v>
      </c>
      <c r="B16546" s="63" t="s">
        <v>10576</v>
      </c>
      <c r="C16546" s="63" t="s">
        <v>10858</v>
      </c>
      <c r="D16546" s="183" t="s">
        <v>10968</v>
      </c>
      <c r="E16546" s="126">
        <v>350000</v>
      </c>
      <c r="F16546" s="58"/>
      <c r="G16546" s="58">
        <f t="shared" si="264"/>
        <v>-350000</v>
      </c>
      <c r="H16546" s="705" t="s">
        <v>10954</v>
      </c>
    </row>
    <row r="16547" spans="1:8" ht="15" x14ac:dyDescent="0.2">
      <c r="A16547" s="734">
        <v>45173</v>
      </c>
      <c r="B16547" s="63" t="s">
        <v>10144</v>
      </c>
      <c r="C16547" s="63" t="s">
        <v>5681</v>
      </c>
      <c r="D16547" s="183" t="s">
        <v>10968</v>
      </c>
      <c r="E16547" s="126">
        <v>200000</v>
      </c>
      <c r="F16547" s="58"/>
      <c r="G16547" s="58">
        <f t="shared" si="264"/>
        <v>-200000</v>
      </c>
      <c r="H16547" s="705" t="s">
        <v>10954</v>
      </c>
    </row>
    <row r="16548" spans="1:8" ht="15" x14ac:dyDescent="0.2">
      <c r="A16548" s="734">
        <v>45174</v>
      </c>
      <c r="B16548" s="63" t="s">
        <v>10232</v>
      </c>
      <c r="C16548" s="670" t="s">
        <v>256</v>
      </c>
      <c r="D16548" s="907" t="s">
        <v>10969</v>
      </c>
      <c r="E16548" s="672">
        <v>374080</v>
      </c>
      <c r="F16548" s="58"/>
      <c r="G16548" s="58">
        <f t="shared" si="264"/>
        <v>-374080</v>
      </c>
      <c r="H16548" s="705" t="s">
        <v>10954</v>
      </c>
    </row>
    <row r="16549" spans="1:8" ht="15" x14ac:dyDescent="0.2">
      <c r="A16549" s="734">
        <v>45174</v>
      </c>
      <c r="B16549" s="63" t="s">
        <v>10571</v>
      </c>
      <c r="C16549" s="670" t="s">
        <v>256</v>
      </c>
      <c r="D16549" s="907" t="s">
        <v>10969</v>
      </c>
      <c r="E16549" s="672">
        <v>120960</v>
      </c>
      <c r="F16549" s="58"/>
      <c r="G16549" s="58">
        <f t="shared" si="264"/>
        <v>-120960</v>
      </c>
      <c r="H16549" s="705" t="s">
        <v>10954</v>
      </c>
    </row>
    <row r="16550" spans="1:8" ht="15" x14ac:dyDescent="0.2">
      <c r="A16550" s="734">
        <v>45174</v>
      </c>
      <c r="B16550" s="63" t="s">
        <v>10379</v>
      </c>
      <c r="C16550" s="670" t="s">
        <v>256</v>
      </c>
      <c r="D16550" s="907" t="s">
        <v>10969</v>
      </c>
      <c r="E16550" s="672">
        <v>4960</v>
      </c>
      <c r="F16550" s="58"/>
      <c r="G16550" s="58">
        <f t="shared" si="264"/>
        <v>-4960</v>
      </c>
      <c r="H16550" s="705" t="s">
        <v>10954</v>
      </c>
    </row>
    <row r="16551" spans="1:8" ht="15" x14ac:dyDescent="0.2">
      <c r="A16551" s="734">
        <v>45174</v>
      </c>
      <c r="B16551" s="63" t="s">
        <v>9356</v>
      </c>
      <c r="C16551" s="63" t="s">
        <v>5741</v>
      </c>
      <c r="D16551" s="183" t="s">
        <v>370</v>
      </c>
      <c r="E16551" s="126">
        <v>600</v>
      </c>
      <c r="F16551" s="58"/>
      <c r="G16551" s="58">
        <f t="shared" si="264"/>
        <v>-600</v>
      </c>
      <c r="H16551" s="705" t="s">
        <v>10954</v>
      </c>
    </row>
    <row r="16552" spans="1:8" ht="15" customHeight="1" x14ac:dyDescent="0.2">
      <c r="A16552" s="734">
        <v>45174</v>
      </c>
      <c r="B16552" s="63" t="s">
        <v>10232</v>
      </c>
      <c r="C16552" s="63" t="s">
        <v>5741</v>
      </c>
      <c r="D16552" s="183" t="s">
        <v>10970</v>
      </c>
      <c r="E16552" s="126">
        <v>2300</v>
      </c>
      <c r="F16552" s="58"/>
      <c r="G16552" s="58">
        <f t="shared" si="264"/>
        <v>-2300</v>
      </c>
      <c r="H16552" s="705" t="s">
        <v>10954</v>
      </c>
    </row>
    <row r="16553" spans="1:8" ht="15" customHeight="1" x14ac:dyDescent="0.2">
      <c r="A16553" s="734">
        <v>45174</v>
      </c>
      <c r="B16553" s="63" t="s">
        <v>10338</v>
      </c>
      <c r="C16553" s="63" t="s">
        <v>3033</v>
      </c>
      <c r="D16553" s="183" t="s">
        <v>1157</v>
      </c>
      <c r="E16553" s="126">
        <v>11500</v>
      </c>
      <c r="F16553" s="58"/>
      <c r="G16553" s="58">
        <f t="shared" si="264"/>
        <v>-11500</v>
      </c>
      <c r="H16553" s="705" t="s">
        <v>10954</v>
      </c>
    </row>
    <row r="16554" spans="1:8" ht="15" x14ac:dyDescent="0.2">
      <c r="A16554" s="734">
        <v>45174</v>
      </c>
      <c r="B16554" s="63" t="s">
        <v>10232</v>
      </c>
      <c r="C16554" s="63" t="s">
        <v>3145</v>
      </c>
      <c r="D16554" s="183" t="s">
        <v>2272</v>
      </c>
      <c r="E16554" s="126">
        <v>62965</v>
      </c>
      <c r="F16554" s="58"/>
      <c r="G16554" s="58">
        <f t="shared" si="264"/>
        <v>-62965</v>
      </c>
      <c r="H16554" s="705" t="s">
        <v>10954</v>
      </c>
    </row>
    <row r="16555" spans="1:8" ht="15" x14ac:dyDescent="0.2">
      <c r="A16555" s="734">
        <v>45174</v>
      </c>
      <c r="B16555" s="63" t="s">
        <v>10242</v>
      </c>
      <c r="C16555" s="63" t="s">
        <v>3145</v>
      </c>
      <c r="D16555" s="183" t="s">
        <v>2272</v>
      </c>
      <c r="E16555" s="126">
        <v>2800</v>
      </c>
      <c r="F16555" s="58"/>
      <c r="G16555" s="58">
        <f t="shared" si="264"/>
        <v>-2800</v>
      </c>
      <c r="H16555" s="705" t="s">
        <v>10954</v>
      </c>
    </row>
    <row r="16556" spans="1:8" ht="15" x14ac:dyDescent="0.2">
      <c r="A16556" s="734">
        <v>45174</v>
      </c>
      <c r="B16556" s="63" t="s">
        <v>10576</v>
      </c>
      <c r="C16556" s="63" t="s">
        <v>3145</v>
      </c>
      <c r="D16556" s="183" t="s">
        <v>10971</v>
      </c>
      <c r="E16556" s="126">
        <v>2950</v>
      </c>
      <c r="F16556" s="58"/>
      <c r="G16556" s="58">
        <f t="shared" si="264"/>
        <v>-2950</v>
      </c>
      <c r="H16556" s="705" t="s">
        <v>10954</v>
      </c>
    </row>
    <row r="16557" spans="1:8" ht="15" x14ac:dyDescent="0.2">
      <c r="A16557" s="734">
        <v>45174</v>
      </c>
      <c r="B16557" s="63" t="s">
        <v>10232</v>
      </c>
      <c r="C16557" s="63" t="s">
        <v>3145</v>
      </c>
      <c r="D16557" s="183" t="s">
        <v>10972</v>
      </c>
      <c r="E16557" s="126">
        <v>16500</v>
      </c>
      <c r="F16557" s="58"/>
      <c r="G16557" s="58">
        <f t="shared" si="264"/>
        <v>-16500</v>
      </c>
      <c r="H16557" s="705" t="s">
        <v>10954</v>
      </c>
    </row>
    <row r="16558" spans="1:8" ht="15" x14ac:dyDescent="0.2">
      <c r="A16558" s="734">
        <v>45174</v>
      </c>
      <c r="B16558" s="63" t="s">
        <v>10232</v>
      </c>
      <c r="C16558" s="63" t="s">
        <v>5741</v>
      </c>
      <c r="D16558" s="183" t="s">
        <v>370</v>
      </c>
      <c r="E16558" s="126">
        <v>700</v>
      </c>
      <c r="F16558" s="58"/>
      <c r="G16558" s="58">
        <f t="shared" si="264"/>
        <v>-700</v>
      </c>
      <c r="H16558" s="705" t="s">
        <v>10954</v>
      </c>
    </row>
    <row r="16559" spans="1:8" ht="15" x14ac:dyDescent="0.2">
      <c r="A16559" s="734">
        <v>45174</v>
      </c>
      <c r="B16559" s="63" t="s">
        <v>10232</v>
      </c>
      <c r="C16559" s="63" t="s">
        <v>286</v>
      </c>
      <c r="D16559" s="183" t="s">
        <v>8663</v>
      </c>
      <c r="E16559" s="126">
        <v>1330</v>
      </c>
      <c r="F16559" s="58"/>
      <c r="G16559" s="58">
        <f t="shared" si="264"/>
        <v>-1330</v>
      </c>
      <c r="H16559" s="705" t="s">
        <v>10954</v>
      </c>
    </row>
    <row r="16560" spans="1:8" ht="15" x14ac:dyDescent="0.2">
      <c r="A16560" s="734">
        <v>45174</v>
      </c>
      <c r="B16560" s="63" t="s">
        <v>103</v>
      </c>
      <c r="C16560" s="63" t="s">
        <v>103</v>
      </c>
      <c r="D16560" s="183" t="s">
        <v>10211</v>
      </c>
      <c r="E16560" s="126">
        <v>3500</v>
      </c>
      <c r="F16560" s="58"/>
      <c r="G16560" s="58">
        <f t="shared" si="264"/>
        <v>-3500</v>
      </c>
      <c r="H16560" s="705" t="s">
        <v>10954</v>
      </c>
    </row>
    <row r="16561" spans="1:8" ht="15" x14ac:dyDescent="0.2">
      <c r="A16561" s="734">
        <v>45175</v>
      </c>
      <c r="B16561" s="63" t="s">
        <v>7807</v>
      </c>
      <c r="C16561" s="63" t="s">
        <v>6852</v>
      </c>
      <c r="D16561" s="183" t="s">
        <v>8196</v>
      </c>
      <c r="E16561" s="126">
        <v>25000</v>
      </c>
      <c r="F16561" s="58"/>
      <c r="G16561" s="58">
        <f t="shared" si="264"/>
        <v>-25000</v>
      </c>
      <c r="H16561" s="705" t="s">
        <v>10954</v>
      </c>
    </row>
    <row r="16562" spans="1:8" ht="15" x14ac:dyDescent="0.2">
      <c r="A16562" s="734">
        <v>45175</v>
      </c>
      <c r="B16562" s="63" t="s">
        <v>9356</v>
      </c>
      <c r="C16562" s="63" t="s">
        <v>10974</v>
      </c>
      <c r="D16562" s="183" t="s">
        <v>8196</v>
      </c>
      <c r="E16562" s="126">
        <v>25000</v>
      </c>
      <c r="F16562" s="58"/>
      <c r="G16562" s="58">
        <f t="shared" si="264"/>
        <v>-25000</v>
      </c>
      <c r="H16562" s="705" t="s">
        <v>10954</v>
      </c>
    </row>
    <row r="16563" spans="1:8" ht="15" x14ac:dyDescent="0.2">
      <c r="A16563" s="734">
        <v>45175</v>
      </c>
      <c r="B16563" s="63" t="s">
        <v>9356</v>
      </c>
      <c r="C16563" s="63" t="s">
        <v>9775</v>
      </c>
      <c r="D16563" s="183" t="s">
        <v>10975</v>
      </c>
      <c r="E16563" s="126">
        <v>100000</v>
      </c>
      <c r="F16563" s="58"/>
      <c r="G16563" s="58">
        <f t="shared" si="264"/>
        <v>-100000</v>
      </c>
      <c r="H16563" s="705" t="s">
        <v>10954</v>
      </c>
    </row>
    <row r="16564" spans="1:8" ht="15" x14ac:dyDescent="0.2">
      <c r="A16564" s="734">
        <v>45175</v>
      </c>
      <c r="B16564" s="63" t="s">
        <v>10296</v>
      </c>
      <c r="C16564" s="63" t="s">
        <v>10976</v>
      </c>
      <c r="D16564" s="183" t="s">
        <v>11010</v>
      </c>
      <c r="E16564" s="126">
        <v>250000</v>
      </c>
      <c r="F16564" s="58"/>
      <c r="G16564" s="58">
        <f t="shared" si="264"/>
        <v>-250000</v>
      </c>
      <c r="H16564" s="705" t="s">
        <v>10954</v>
      </c>
    </row>
    <row r="16565" spans="1:8" ht="15" x14ac:dyDescent="0.2">
      <c r="A16565" s="734">
        <v>45175</v>
      </c>
      <c r="B16565" s="63" t="s">
        <v>10296</v>
      </c>
      <c r="C16565" s="63" t="s">
        <v>10976</v>
      </c>
      <c r="D16565" s="183" t="s">
        <v>11010</v>
      </c>
      <c r="E16565" s="126">
        <v>70000</v>
      </c>
      <c r="F16565" s="58"/>
      <c r="G16565" s="58">
        <f t="shared" si="264"/>
        <v>-70000</v>
      </c>
      <c r="H16565" s="705" t="s">
        <v>10954</v>
      </c>
    </row>
    <row r="16566" spans="1:8" ht="24" x14ac:dyDescent="0.2">
      <c r="A16566" s="734">
        <v>45175</v>
      </c>
      <c r="B16566" s="63" t="s">
        <v>8876</v>
      </c>
      <c r="C16566" s="63" t="s">
        <v>3145</v>
      </c>
      <c r="D16566" s="183" t="s">
        <v>10977</v>
      </c>
      <c r="E16566" s="126">
        <v>-90000</v>
      </c>
      <c r="F16566" s="58"/>
      <c r="G16566" s="58">
        <f t="shared" si="264"/>
        <v>90000</v>
      </c>
      <c r="H16566" s="705" t="s">
        <v>10954</v>
      </c>
    </row>
    <row r="16567" spans="1:8" ht="15" x14ac:dyDescent="0.2">
      <c r="A16567" s="734">
        <v>45175</v>
      </c>
      <c r="B16567" s="63" t="s">
        <v>9356</v>
      </c>
      <c r="C16567" s="63" t="s">
        <v>705</v>
      </c>
      <c r="D16567" s="183" t="s">
        <v>10978</v>
      </c>
      <c r="E16567" s="126">
        <v>36500</v>
      </c>
      <c r="F16567" s="58"/>
      <c r="G16567" s="58">
        <f t="shared" si="264"/>
        <v>-36500</v>
      </c>
      <c r="H16567" s="705" t="s">
        <v>10954</v>
      </c>
    </row>
    <row r="16568" spans="1:8" ht="24" x14ac:dyDescent="0.2">
      <c r="A16568" s="734">
        <v>45175</v>
      </c>
      <c r="B16568" s="63" t="s">
        <v>8876</v>
      </c>
      <c r="C16568" s="63" t="s">
        <v>3145</v>
      </c>
      <c r="D16568" s="183" t="s">
        <v>11009</v>
      </c>
      <c r="E16568" s="126">
        <v>10000</v>
      </c>
      <c r="F16568" s="58"/>
      <c r="G16568" s="58">
        <f t="shared" si="264"/>
        <v>-10000</v>
      </c>
      <c r="H16568" s="705" t="s">
        <v>10954</v>
      </c>
    </row>
    <row r="16569" spans="1:8" ht="15" x14ac:dyDescent="0.2">
      <c r="A16569" s="734">
        <v>45175</v>
      </c>
      <c r="B16569" s="63" t="s">
        <v>8876</v>
      </c>
      <c r="C16569" s="63" t="s">
        <v>10979</v>
      </c>
      <c r="D16569" s="183" t="s">
        <v>10980</v>
      </c>
      <c r="E16569" s="126">
        <v>28950</v>
      </c>
      <c r="F16569" s="58"/>
      <c r="G16569" s="58">
        <f t="shared" si="264"/>
        <v>-28950</v>
      </c>
      <c r="H16569" s="705" t="s">
        <v>10954</v>
      </c>
    </row>
    <row r="16570" spans="1:8" ht="15" x14ac:dyDescent="0.2">
      <c r="A16570" s="734">
        <v>45175</v>
      </c>
      <c r="B16570" s="63" t="s">
        <v>10232</v>
      </c>
      <c r="C16570" s="63" t="s">
        <v>5741</v>
      </c>
      <c r="D16570" s="183" t="s">
        <v>370</v>
      </c>
      <c r="E16570" s="126">
        <v>1600</v>
      </c>
      <c r="F16570" s="58"/>
      <c r="G16570" s="58">
        <f t="shared" si="264"/>
        <v>-1600</v>
      </c>
      <c r="H16570" s="705" t="s">
        <v>10954</v>
      </c>
    </row>
    <row r="16571" spans="1:8" ht="15" x14ac:dyDescent="0.2">
      <c r="A16571" s="734">
        <v>45175</v>
      </c>
      <c r="B16571" s="63" t="s">
        <v>37</v>
      </c>
      <c r="C16571" s="63" t="s">
        <v>392</v>
      </c>
      <c r="D16571" s="183" t="s">
        <v>10101</v>
      </c>
      <c r="E16571" s="126">
        <v>3000</v>
      </c>
      <c r="F16571" s="58"/>
      <c r="G16571" s="58">
        <f t="shared" si="264"/>
        <v>-3000</v>
      </c>
      <c r="H16571" s="705" t="s">
        <v>10954</v>
      </c>
    </row>
    <row r="16572" spans="1:8" ht="15" x14ac:dyDescent="0.2">
      <c r="A16572" s="734">
        <v>45175</v>
      </c>
      <c r="B16572" s="63" t="s">
        <v>37</v>
      </c>
      <c r="C16572" s="63" t="s">
        <v>286</v>
      </c>
      <c r="D16572" s="183" t="s">
        <v>9027</v>
      </c>
      <c r="E16572" s="126">
        <v>500</v>
      </c>
      <c r="F16572" s="58"/>
      <c r="G16572" s="58">
        <f t="shared" si="264"/>
        <v>-500</v>
      </c>
      <c r="H16572" s="705" t="s">
        <v>10954</v>
      </c>
    </row>
    <row r="16573" spans="1:8" ht="15" x14ac:dyDescent="0.2">
      <c r="A16573" s="734">
        <v>45175</v>
      </c>
      <c r="B16573" s="63" t="s">
        <v>37</v>
      </c>
      <c r="C16573" s="63"/>
      <c r="D16573" s="183" t="s">
        <v>10983</v>
      </c>
      <c r="E16573" s="126">
        <v>1200</v>
      </c>
      <c r="F16573" s="58"/>
      <c r="G16573" s="58">
        <f t="shared" si="264"/>
        <v>-1200</v>
      </c>
      <c r="H16573" s="705" t="s">
        <v>10954</v>
      </c>
    </row>
    <row r="16574" spans="1:8" ht="15" x14ac:dyDescent="0.2">
      <c r="A16574" s="734">
        <v>45175</v>
      </c>
      <c r="B16574" s="63" t="s">
        <v>10576</v>
      </c>
      <c r="C16574" s="63" t="s">
        <v>5741</v>
      </c>
      <c r="D16574" s="183" t="s">
        <v>370</v>
      </c>
      <c r="E16574" s="126">
        <v>3300</v>
      </c>
      <c r="F16574" s="58"/>
      <c r="G16574" s="58">
        <f t="shared" si="264"/>
        <v>-3300</v>
      </c>
      <c r="H16574" s="705" t="s">
        <v>10954</v>
      </c>
    </row>
    <row r="16575" spans="1:8" ht="15" x14ac:dyDescent="0.2">
      <c r="A16575" s="734">
        <v>45175</v>
      </c>
      <c r="B16575" s="63" t="s">
        <v>10379</v>
      </c>
      <c r="C16575" s="63" t="s">
        <v>286</v>
      </c>
      <c r="D16575" s="183" t="s">
        <v>3150</v>
      </c>
      <c r="E16575" s="126">
        <v>500</v>
      </c>
      <c r="F16575" s="58"/>
      <c r="G16575" s="58">
        <f t="shared" ref="G16575:G16638" si="265">F16575-E16575</f>
        <v>-500</v>
      </c>
      <c r="H16575" s="705" t="s">
        <v>10954</v>
      </c>
    </row>
    <row r="16576" spans="1:8" ht="15" x14ac:dyDescent="0.2">
      <c r="A16576" s="734">
        <v>45175</v>
      </c>
      <c r="B16576" s="63" t="s">
        <v>103</v>
      </c>
      <c r="C16576" s="63" t="s">
        <v>103</v>
      </c>
      <c r="D16576" s="183" t="s">
        <v>10988</v>
      </c>
      <c r="E16576" s="126">
        <v>2500</v>
      </c>
      <c r="F16576" s="58"/>
      <c r="G16576" s="58">
        <f t="shared" si="265"/>
        <v>-2500</v>
      </c>
      <c r="H16576" s="705" t="s">
        <v>10954</v>
      </c>
    </row>
    <row r="16577" spans="1:8" ht="15" x14ac:dyDescent="0.2">
      <c r="A16577" s="734">
        <v>45175</v>
      </c>
      <c r="B16577" s="63" t="s">
        <v>3945</v>
      </c>
      <c r="C16577" s="63" t="s">
        <v>392</v>
      </c>
      <c r="D16577" s="183" t="s">
        <v>10333</v>
      </c>
      <c r="E16577" s="126">
        <v>300</v>
      </c>
      <c r="F16577" s="58"/>
      <c r="G16577" s="58">
        <f t="shared" si="265"/>
        <v>-300</v>
      </c>
      <c r="H16577" s="705" t="s">
        <v>10954</v>
      </c>
    </row>
    <row r="16578" spans="1:8" ht="15" x14ac:dyDescent="0.2">
      <c r="A16578" s="734">
        <v>45175</v>
      </c>
      <c r="B16578" s="63" t="s">
        <v>9986</v>
      </c>
      <c r="C16578" s="63" t="s">
        <v>5741</v>
      </c>
      <c r="D16578" s="183" t="s">
        <v>370</v>
      </c>
      <c r="E16578" s="126">
        <v>500</v>
      </c>
      <c r="F16578" s="58"/>
      <c r="G16578" s="58">
        <f t="shared" si="265"/>
        <v>-500</v>
      </c>
      <c r="H16578" s="705" t="s">
        <v>10954</v>
      </c>
    </row>
    <row r="16579" spans="1:8" ht="15" x14ac:dyDescent="0.2">
      <c r="A16579" s="734">
        <v>45176</v>
      </c>
      <c r="B16579" s="63" t="s">
        <v>1400</v>
      </c>
      <c r="C16579" s="63" t="s">
        <v>5387</v>
      </c>
      <c r="D16579" s="183" t="s">
        <v>370</v>
      </c>
      <c r="E16579" s="126">
        <v>6000</v>
      </c>
      <c r="F16579" s="58"/>
      <c r="G16579" s="58">
        <f t="shared" si="265"/>
        <v>-6000</v>
      </c>
      <c r="H16579" s="705" t="s">
        <v>10954</v>
      </c>
    </row>
    <row r="16580" spans="1:8" ht="15" x14ac:dyDescent="0.2">
      <c r="A16580" s="734">
        <v>45176</v>
      </c>
      <c r="B16580" s="63" t="s">
        <v>11007</v>
      </c>
      <c r="C16580" s="63" t="s">
        <v>9474</v>
      </c>
      <c r="D16580" s="183" t="s">
        <v>370</v>
      </c>
      <c r="E16580" s="126">
        <v>20000</v>
      </c>
      <c r="F16580" s="58"/>
      <c r="G16580" s="58">
        <f t="shared" si="265"/>
        <v>-20000</v>
      </c>
      <c r="H16580" s="705" t="s">
        <v>10954</v>
      </c>
    </row>
    <row r="16581" spans="1:8" ht="15" x14ac:dyDescent="0.2">
      <c r="A16581" s="734">
        <v>45176</v>
      </c>
      <c r="B16581" s="63" t="s">
        <v>9986</v>
      </c>
      <c r="C16581" s="63" t="s">
        <v>3145</v>
      </c>
      <c r="D16581" s="183" t="s">
        <v>10992</v>
      </c>
      <c r="E16581" s="126">
        <v>482000</v>
      </c>
      <c r="F16581" s="58"/>
      <c r="G16581" s="58">
        <f t="shared" si="265"/>
        <v>-482000</v>
      </c>
      <c r="H16581" s="705" t="s">
        <v>10954</v>
      </c>
    </row>
    <row r="16582" spans="1:8" ht="15" x14ac:dyDescent="0.2">
      <c r="A16582" s="734">
        <v>45176</v>
      </c>
      <c r="B16582" s="63" t="s">
        <v>10338</v>
      </c>
      <c r="C16582" s="63" t="s">
        <v>3145</v>
      </c>
      <c r="D16582" s="183" t="s">
        <v>10992</v>
      </c>
      <c r="E16582" s="126">
        <v>21600</v>
      </c>
      <c r="F16582" s="58"/>
      <c r="G16582" s="58">
        <f t="shared" si="265"/>
        <v>-21600</v>
      </c>
      <c r="H16582" s="705" t="s">
        <v>10954</v>
      </c>
    </row>
    <row r="16583" spans="1:8" ht="15" x14ac:dyDescent="0.2">
      <c r="A16583" s="734">
        <v>45176</v>
      </c>
      <c r="B16583" s="63" t="s">
        <v>9986</v>
      </c>
      <c r="C16583" s="63" t="s">
        <v>10993</v>
      </c>
      <c r="D16583" s="183" t="s">
        <v>10868</v>
      </c>
      <c r="E16583" s="126">
        <v>1860</v>
      </c>
      <c r="F16583" s="58"/>
      <c r="G16583" s="58">
        <f t="shared" si="265"/>
        <v>-1860</v>
      </c>
      <c r="H16583" s="705" t="s">
        <v>10954</v>
      </c>
    </row>
    <row r="16584" spans="1:8" ht="15" x14ac:dyDescent="0.2">
      <c r="A16584" s="734">
        <v>45176</v>
      </c>
      <c r="B16584" s="63" t="s">
        <v>10379</v>
      </c>
      <c r="C16584" s="63" t="s">
        <v>10993</v>
      </c>
      <c r="D16584" s="183" t="s">
        <v>10994</v>
      </c>
      <c r="E16584" s="126">
        <v>16000</v>
      </c>
      <c r="F16584" s="58"/>
      <c r="G16584" s="58">
        <f t="shared" si="265"/>
        <v>-16000</v>
      </c>
      <c r="H16584" s="705" t="s">
        <v>10954</v>
      </c>
    </row>
    <row r="16585" spans="1:8" ht="15" x14ac:dyDescent="0.2">
      <c r="A16585" s="734">
        <v>45176</v>
      </c>
      <c r="B16585" s="63" t="s">
        <v>10576</v>
      </c>
      <c r="C16585" s="63" t="s">
        <v>10993</v>
      </c>
      <c r="D16585" s="183" t="s">
        <v>8528</v>
      </c>
      <c r="E16585" s="126">
        <v>36070</v>
      </c>
      <c r="F16585" s="58"/>
      <c r="G16585" s="58">
        <f t="shared" si="265"/>
        <v>-36070</v>
      </c>
      <c r="H16585" s="705" t="s">
        <v>10954</v>
      </c>
    </row>
    <row r="16586" spans="1:8" ht="15" x14ac:dyDescent="0.2">
      <c r="A16586" s="734">
        <v>45177</v>
      </c>
      <c r="B16586" s="63" t="s">
        <v>10576</v>
      </c>
      <c r="C16586" s="63" t="s">
        <v>8394</v>
      </c>
      <c r="D16586" s="183" t="s">
        <v>11018</v>
      </c>
      <c r="E16586" s="126">
        <v>1000000</v>
      </c>
      <c r="F16586" s="58"/>
      <c r="G16586" s="58">
        <f t="shared" si="265"/>
        <v>-1000000</v>
      </c>
      <c r="H16586" s="705" t="s">
        <v>10954</v>
      </c>
    </row>
    <row r="16587" spans="1:8" ht="15" x14ac:dyDescent="0.2">
      <c r="A16587" s="734">
        <v>45177</v>
      </c>
      <c r="B16587" s="63" t="s">
        <v>10576</v>
      </c>
      <c r="C16587" s="63" t="s">
        <v>8372</v>
      </c>
      <c r="D16587" s="183"/>
      <c r="E16587" s="126">
        <v>3250</v>
      </c>
      <c r="F16587" s="58"/>
      <c r="G16587" s="58">
        <f t="shared" si="265"/>
        <v>-3250</v>
      </c>
      <c r="H16587" s="705" t="s">
        <v>10954</v>
      </c>
    </row>
    <row r="16588" spans="1:8" ht="15" x14ac:dyDescent="0.2">
      <c r="A16588" s="734">
        <v>45178</v>
      </c>
      <c r="B16588" s="63" t="s">
        <v>103</v>
      </c>
      <c r="C16588" s="63" t="s">
        <v>103</v>
      </c>
      <c r="D16588" s="183" t="s">
        <v>10211</v>
      </c>
      <c r="E16588" s="126">
        <v>3500</v>
      </c>
      <c r="F16588" s="58"/>
      <c r="G16588" s="58">
        <f t="shared" si="265"/>
        <v>-3500</v>
      </c>
      <c r="H16588" s="705" t="s">
        <v>10954</v>
      </c>
    </row>
    <row r="16589" spans="1:8" ht="15" x14ac:dyDescent="0.2">
      <c r="A16589" s="734">
        <v>45178</v>
      </c>
      <c r="B16589" s="63" t="s">
        <v>103</v>
      </c>
      <c r="C16589" s="63" t="s">
        <v>11025</v>
      </c>
      <c r="D16589" s="183" t="s">
        <v>9794</v>
      </c>
      <c r="E16589" s="126">
        <v>5000</v>
      </c>
      <c r="F16589" s="58"/>
      <c r="G16589" s="58">
        <f t="shared" si="265"/>
        <v>-5000</v>
      </c>
      <c r="H16589" s="705" t="s">
        <v>10954</v>
      </c>
    </row>
    <row r="16590" spans="1:8" ht="15" x14ac:dyDescent="0.2">
      <c r="A16590" s="734">
        <v>45178</v>
      </c>
      <c r="B16590" s="63" t="s">
        <v>11026</v>
      </c>
      <c r="C16590" s="63" t="s">
        <v>5741</v>
      </c>
      <c r="D16590" s="183" t="s">
        <v>370</v>
      </c>
      <c r="E16590" s="126">
        <v>1200</v>
      </c>
      <c r="F16590" s="58"/>
      <c r="G16590" s="58">
        <f t="shared" si="265"/>
        <v>-1200</v>
      </c>
      <c r="H16590" s="705" t="s">
        <v>10954</v>
      </c>
    </row>
    <row r="16591" spans="1:8" ht="15" x14ac:dyDescent="0.2">
      <c r="A16591" s="734">
        <v>45178</v>
      </c>
      <c r="B16591" s="63" t="s">
        <v>103</v>
      </c>
      <c r="C16591" s="63" t="s">
        <v>392</v>
      </c>
      <c r="D16591" s="183" t="s">
        <v>11028</v>
      </c>
      <c r="E16591" s="126">
        <v>2870</v>
      </c>
      <c r="F16591" s="58"/>
      <c r="G16591" s="58">
        <f t="shared" si="265"/>
        <v>-2870</v>
      </c>
      <c r="H16591" s="705" t="s">
        <v>10954</v>
      </c>
    </row>
    <row r="16592" spans="1:8" ht="15" x14ac:dyDescent="0.2">
      <c r="A16592" s="734">
        <v>45178</v>
      </c>
      <c r="B16592" s="63" t="s">
        <v>10576</v>
      </c>
      <c r="C16592" s="63" t="s">
        <v>11029</v>
      </c>
      <c r="D16592" s="183" t="s">
        <v>10654</v>
      </c>
      <c r="E16592" s="126">
        <v>50000</v>
      </c>
      <c r="F16592" s="58"/>
      <c r="G16592" s="58">
        <f t="shared" si="265"/>
        <v>-50000</v>
      </c>
      <c r="H16592" s="705" t="s">
        <v>10954</v>
      </c>
    </row>
    <row r="16593" spans="1:8" ht="15" x14ac:dyDescent="0.2">
      <c r="A16593" s="734">
        <v>45178</v>
      </c>
      <c r="B16593" s="63" t="s">
        <v>9356</v>
      </c>
      <c r="C16593" s="63" t="s">
        <v>5741</v>
      </c>
      <c r="D16593" s="183" t="s">
        <v>370</v>
      </c>
      <c r="E16593" s="126">
        <v>1200</v>
      </c>
      <c r="F16593" s="58"/>
      <c r="G16593" s="58">
        <f t="shared" si="265"/>
        <v>-1200</v>
      </c>
      <c r="H16593" s="705" t="s">
        <v>10954</v>
      </c>
    </row>
    <row r="16594" spans="1:8" ht="15" x14ac:dyDescent="0.2">
      <c r="A16594" s="734">
        <v>45178</v>
      </c>
      <c r="B16594" s="63" t="s">
        <v>9356</v>
      </c>
      <c r="C16594" s="63" t="s">
        <v>9775</v>
      </c>
      <c r="D16594" s="183" t="s">
        <v>10721</v>
      </c>
      <c r="E16594" s="126">
        <v>174000</v>
      </c>
      <c r="F16594" s="58"/>
      <c r="G16594" s="58">
        <f t="shared" si="265"/>
        <v>-174000</v>
      </c>
      <c r="H16594" s="705" t="s">
        <v>10954</v>
      </c>
    </row>
    <row r="16595" spans="1:8" ht="15" x14ac:dyDescent="0.2">
      <c r="A16595" s="734">
        <v>45178</v>
      </c>
      <c r="B16595" s="63" t="s">
        <v>9356</v>
      </c>
      <c r="C16595" s="63" t="s">
        <v>9460</v>
      </c>
      <c r="D16595" s="183" t="s">
        <v>10721</v>
      </c>
      <c r="E16595" s="126">
        <v>100000</v>
      </c>
      <c r="F16595" s="58"/>
      <c r="G16595" s="58">
        <f t="shared" si="265"/>
        <v>-100000</v>
      </c>
      <c r="H16595" s="705" t="s">
        <v>10954</v>
      </c>
    </row>
    <row r="16596" spans="1:8" ht="15" x14ac:dyDescent="0.2">
      <c r="A16596" s="734">
        <v>45178</v>
      </c>
      <c r="B16596" s="63" t="s">
        <v>2933</v>
      </c>
      <c r="C16596" s="63" t="s">
        <v>3145</v>
      </c>
      <c r="D16596" s="183" t="s">
        <v>11031</v>
      </c>
      <c r="E16596" s="126">
        <v>43410</v>
      </c>
      <c r="F16596" s="58"/>
      <c r="G16596" s="58">
        <f t="shared" si="265"/>
        <v>-43410</v>
      </c>
      <c r="H16596" s="705" t="s">
        <v>10954</v>
      </c>
    </row>
    <row r="16597" spans="1:8" ht="15" x14ac:dyDescent="0.2">
      <c r="A16597" s="734">
        <v>45178</v>
      </c>
      <c r="B16597" s="63" t="s">
        <v>10379</v>
      </c>
      <c r="C16597" s="63" t="s">
        <v>3145</v>
      </c>
      <c r="D16597" s="183" t="s">
        <v>11032</v>
      </c>
      <c r="E16597" s="126">
        <v>1150</v>
      </c>
      <c r="F16597" s="58"/>
      <c r="G16597" s="58">
        <f t="shared" si="265"/>
        <v>-1150</v>
      </c>
      <c r="H16597" s="705" t="s">
        <v>10954</v>
      </c>
    </row>
    <row r="16598" spans="1:8" ht="15" x14ac:dyDescent="0.2">
      <c r="A16598" s="734">
        <v>45180</v>
      </c>
      <c r="B16598" s="63" t="s">
        <v>9356</v>
      </c>
      <c r="C16598" s="63" t="s">
        <v>3145</v>
      </c>
      <c r="D16598" s="183" t="s">
        <v>11033</v>
      </c>
      <c r="E16598" s="126">
        <v>47848</v>
      </c>
      <c r="F16598" s="58"/>
      <c r="G16598" s="58">
        <f t="shared" si="265"/>
        <v>-47848</v>
      </c>
      <c r="H16598" s="705" t="s">
        <v>10954</v>
      </c>
    </row>
    <row r="16599" spans="1:8" ht="15" x14ac:dyDescent="0.2">
      <c r="A16599" s="734">
        <v>45180</v>
      </c>
      <c r="B16599" s="63" t="s">
        <v>10576</v>
      </c>
      <c r="C16599" s="63" t="s">
        <v>3145</v>
      </c>
      <c r="D16599" s="183" t="s">
        <v>11033</v>
      </c>
      <c r="E16599" s="126">
        <v>18800</v>
      </c>
      <c r="F16599" s="58"/>
      <c r="G16599" s="58">
        <f t="shared" si="265"/>
        <v>-18800</v>
      </c>
      <c r="H16599" s="705" t="s">
        <v>10954</v>
      </c>
    </row>
    <row r="16600" spans="1:8" ht="15" x14ac:dyDescent="0.2">
      <c r="A16600" s="734">
        <v>45180</v>
      </c>
      <c r="B16600" s="63" t="s">
        <v>10379</v>
      </c>
      <c r="C16600" s="63" t="s">
        <v>3145</v>
      </c>
      <c r="D16600" s="183" t="s">
        <v>11033</v>
      </c>
      <c r="E16600" s="126">
        <v>40290</v>
      </c>
      <c r="F16600" s="58"/>
      <c r="G16600" s="58">
        <f t="shared" si="265"/>
        <v>-40290</v>
      </c>
      <c r="H16600" s="705" t="s">
        <v>10954</v>
      </c>
    </row>
    <row r="16601" spans="1:8" ht="15" x14ac:dyDescent="0.2">
      <c r="A16601" s="734">
        <v>45180</v>
      </c>
      <c r="B16601" s="63" t="s">
        <v>10576</v>
      </c>
      <c r="C16601" s="63" t="s">
        <v>5741</v>
      </c>
      <c r="D16601" s="183" t="s">
        <v>370</v>
      </c>
      <c r="E16601" s="126">
        <v>1467</v>
      </c>
      <c r="F16601" s="58"/>
      <c r="G16601" s="58">
        <f t="shared" si="265"/>
        <v>-1467</v>
      </c>
      <c r="H16601" s="705" t="s">
        <v>10954</v>
      </c>
    </row>
    <row r="16602" spans="1:8" ht="15" x14ac:dyDescent="0.2">
      <c r="A16602" s="734">
        <v>45180</v>
      </c>
      <c r="B16602" s="63" t="s">
        <v>9356</v>
      </c>
      <c r="C16602" s="63" t="s">
        <v>5741</v>
      </c>
      <c r="D16602" s="183" t="s">
        <v>370</v>
      </c>
      <c r="E16602" s="126">
        <v>1467</v>
      </c>
      <c r="F16602" s="58"/>
      <c r="G16602" s="58">
        <f t="shared" si="265"/>
        <v>-1467</v>
      </c>
      <c r="H16602" s="705" t="s">
        <v>10954</v>
      </c>
    </row>
    <row r="16603" spans="1:8" ht="15" x14ac:dyDescent="0.2">
      <c r="A16603" s="734">
        <v>45180</v>
      </c>
      <c r="B16603" s="63" t="s">
        <v>10379</v>
      </c>
      <c r="C16603" s="63" t="s">
        <v>5741</v>
      </c>
      <c r="D16603" s="183" t="s">
        <v>370</v>
      </c>
      <c r="E16603" s="126">
        <v>1468</v>
      </c>
      <c r="F16603" s="58"/>
      <c r="G16603" s="58">
        <f t="shared" si="265"/>
        <v>-1468</v>
      </c>
      <c r="H16603" s="705" t="s">
        <v>10954</v>
      </c>
    </row>
    <row r="16604" spans="1:8" ht="15" x14ac:dyDescent="0.2">
      <c r="A16604" s="734">
        <v>45180</v>
      </c>
      <c r="B16604" s="63" t="s">
        <v>10379</v>
      </c>
      <c r="C16604" s="63" t="s">
        <v>5741</v>
      </c>
      <c r="D16604" s="183" t="s">
        <v>11034</v>
      </c>
      <c r="E16604" s="126">
        <v>1600</v>
      </c>
      <c r="F16604" s="58"/>
      <c r="G16604" s="58">
        <f t="shared" si="265"/>
        <v>-1600</v>
      </c>
      <c r="H16604" s="705" t="s">
        <v>10954</v>
      </c>
    </row>
    <row r="16605" spans="1:8" ht="15" x14ac:dyDescent="0.2">
      <c r="A16605" s="734">
        <v>45180</v>
      </c>
      <c r="B16605" s="63" t="s">
        <v>10576</v>
      </c>
      <c r="C16605" s="63" t="s">
        <v>5741</v>
      </c>
      <c r="D16605" s="183" t="s">
        <v>11034</v>
      </c>
      <c r="E16605" s="126">
        <v>800</v>
      </c>
      <c r="F16605" s="58"/>
      <c r="G16605" s="58">
        <f t="shared" si="265"/>
        <v>-800</v>
      </c>
      <c r="H16605" s="705" t="s">
        <v>10954</v>
      </c>
    </row>
    <row r="16606" spans="1:8" ht="15" x14ac:dyDescent="0.2">
      <c r="A16606" s="734">
        <v>45180</v>
      </c>
      <c r="B16606" s="63" t="s">
        <v>10576</v>
      </c>
      <c r="C16606" s="63" t="s">
        <v>5741</v>
      </c>
      <c r="D16606" s="183" t="s">
        <v>11034</v>
      </c>
      <c r="E16606" s="126">
        <v>500</v>
      </c>
      <c r="F16606" s="58"/>
      <c r="G16606" s="58">
        <f t="shared" si="265"/>
        <v>-500</v>
      </c>
      <c r="H16606" s="705" t="s">
        <v>10954</v>
      </c>
    </row>
    <row r="16607" spans="1:8" ht="15" x14ac:dyDescent="0.2">
      <c r="A16607" s="734">
        <v>45180</v>
      </c>
      <c r="B16607" s="63" t="s">
        <v>10576</v>
      </c>
      <c r="C16607" s="63" t="s">
        <v>286</v>
      </c>
      <c r="D16607" s="183" t="s">
        <v>11034</v>
      </c>
      <c r="E16607" s="126">
        <v>1000</v>
      </c>
      <c r="F16607" s="58"/>
      <c r="G16607" s="58">
        <f t="shared" si="265"/>
        <v>-1000</v>
      </c>
      <c r="H16607" s="705" t="s">
        <v>10954</v>
      </c>
    </row>
    <row r="16608" spans="1:8" ht="15" x14ac:dyDescent="0.2">
      <c r="A16608" s="734">
        <v>45180</v>
      </c>
      <c r="B16608" s="63" t="s">
        <v>10379</v>
      </c>
      <c r="C16608" s="63" t="s">
        <v>3145</v>
      </c>
      <c r="D16608" s="183" t="s">
        <v>11035</v>
      </c>
      <c r="E16608" s="126">
        <v>4150</v>
      </c>
      <c r="F16608" s="58"/>
      <c r="G16608" s="58">
        <f t="shared" si="265"/>
        <v>-4150</v>
      </c>
      <c r="H16608" s="705" t="s">
        <v>10954</v>
      </c>
    </row>
    <row r="16609" spans="1:8" ht="15" x14ac:dyDescent="0.2">
      <c r="A16609" s="734">
        <v>45180</v>
      </c>
      <c r="B16609" s="63" t="s">
        <v>9507</v>
      </c>
      <c r="C16609" s="63" t="s">
        <v>3145</v>
      </c>
      <c r="D16609" s="183" t="s">
        <v>11035</v>
      </c>
      <c r="E16609" s="126">
        <v>2980</v>
      </c>
      <c r="F16609" s="58"/>
      <c r="G16609" s="58">
        <f t="shared" si="265"/>
        <v>-2980</v>
      </c>
      <c r="H16609" s="705" t="s">
        <v>10954</v>
      </c>
    </row>
    <row r="16610" spans="1:8" ht="15" x14ac:dyDescent="0.2">
      <c r="A16610" s="734">
        <v>45180</v>
      </c>
      <c r="B16610" s="63" t="s">
        <v>103</v>
      </c>
      <c r="C16610" s="63" t="s">
        <v>103</v>
      </c>
      <c r="D16610" s="183" t="s">
        <v>10211</v>
      </c>
      <c r="E16610" s="126">
        <v>3500</v>
      </c>
      <c r="F16610" s="58"/>
      <c r="G16610" s="58">
        <f t="shared" si="265"/>
        <v>-3500</v>
      </c>
      <c r="H16610" s="705" t="s">
        <v>10954</v>
      </c>
    </row>
    <row r="16611" spans="1:8" ht="15" customHeight="1" x14ac:dyDescent="0.2">
      <c r="A16611" s="734">
        <v>45180</v>
      </c>
      <c r="B16611" s="63" t="s">
        <v>10232</v>
      </c>
      <c r="C16611" s="63" t="s">
        <v>3145</v>
      </c>
      <c r="D16611" s="183" t="s">
        <v>11069</v>
      </c>
      <c r="E16611" s="126">
        <v>26800</v>
      </c>
      <c r="F16611" s="58"/>
      <c r="G16611" s="58">
        <f t="shared" si="265"/>
        <v>-26800</v>
      </c>
      <c r="H16611" s="705" t="s">
        <v>10954</v>
      </c>
    </row>
    <row r="16612" spans="1:8" ht="24" x14ac:dyDescent="0.2">
      <c r="A16612" s="734">
        <v>45180</v>
      </c>
      <c r="B16612" s="63" t="s">
        <v>9986</v>
      </c>
      <c r="C16612" s="63" t="s">
        <v>3145</v>
      </c>
      <c r="D16612" s="183" t="s">
        <v>11070</v>
      </c>
      <c r="E16612" s="126">
        <v>90000</v>
      </c>
      <c r="F16612" s="58"/>
      <c r="G16612" s="58">
        <f t="shared" si="265"/>
        <v>-90000</v>
      </c>
      <c r="H16612" s="705" t="s">
        <v>10954</v>
      </c>
    </row>
    <row r="16613" spans="1:8" ht="15" x14ac:dyDescent="0.2">
      <c r="A16613" s="734">
        <v>45180</v>
      </c>
      <c r="B16613" s="63" t="s">
        <v>10379</v>
      </c>
      <c r="C16613" s="63" t="s">
        <v>2503</v>
      </c>
      <c r="D16613" s="183" t="s">
        <v>11036</v>
      </c>
      <c r="E16613" s="126">
        <v>27750</v>
      </c>
      <c r="F16613" s="58"/>
      <c r="G16613" s="58">
        <f t="shared" si="265"/>
        <v>-27750</v>
      </c>
      <c r="H16613" s="705" t="s">
        <v>10954</v>
      </c>
    </row>
    <row r="16614" spans="1:8" ht="15" x14ac:dyDescent="0.2">
      <c r="A16614" s="734">
        <v>45180</v>
      </c>
      <c r="B16614" s="63" t="s">
        <v>103</v>
      </c>
      <c r="C16614" s="63" t="s">
        <v>392</v>
      </c>
      <c r="D16614" s="183" t="s">
        <v>1495</v>
      </c>
      <c r="E16614" s="126">
        <v>2400</v>
      </c>
      <c r="F16614" s="58"/>
      <c r="G16614" s="58">
        <f t="shared" si="265"/>
        <v>-2400</v>
      </c>
      <c r="H16614" s="705" t="s">
        <v>10954</v>
      </c>
    </row>
    <row r="16615" spans="1:8" ht="15" x14ac:dyDescent="0.2">
      <c r="A16615" s="734">
        <v>45180</v>
      </c>
      <c r="B16615" s="63" t="s">
        <v>10379</v>
      </c>
      <c r="C16615" s="63" t="s">
        <v>5741</v>
      </c>
      <c r="D16615" s="183" t="s">
        <v>370</v>
      </c>
      <c r="E16615" s="126">
        <v>2900</v>
      </c>
      <c r="F16615" s="58"/>
      <c r="G16615" s="58">
        <f t="shared" si="265"/>
        <v>-2900</v>
      </c>
      <c r="H16615" s="705" t="s">
        <v>10954</v>
      </c>
    </row>
    <row r="16616" spans="1:8" ht="15" x14ac:dyDescent="0.2">
      <c r="A16616" s="734">
        <v>45180</v>
      </c>
      <c r="B16616" s="63" t="s">
        <v>10232</v>
      </c>
      <c r="C16616" s="63" t="s">
        <v>11054</v>
      </c>
      <c r="D16616" s="183" t="s">
        <v>11055</v>
      </c>
      <c r="E16616" s="126">
        <v>14400</v>
      </c>
      <c r="F16616" s="58"/>
      <c r="G16616" s="58">
        <f t="shared" si="265"/>
        <v>-14400</v>
      </c>
      <c r="H16616" s="705" t="s">
        <v>10954</v>
      </c>
    </row>
    <row r="16617" spans="1:8" ht="15" x14ac:dyDescent="0.2">
      <c r="A16617" s="734">
        <v>45181</v>
      </c>
      <c r="B16617" s="63" t="s">
        <v>10232</v>
      </c>
      <c r="C16617" s="63" t="s">
        <v>3145</v>
      </c>
      <c r="D16617" s="183" t="s">
        <v>11143</v>
      </c>
      <c r="E16617" s="126">
        <v>2000</v>
      </c>
      <c r="F16617" s="58"/>
      <c r="G16617" s="58">
        <f t="shared" si="265"/>
        <v>-2000</v>
      </c>
      <c r="H16617" s="705" t="s">
        <v>10954</v>
      </c>
    </row>
    <row r="16618" spans="1:8" ht="15" x14ac:dyDescent="0.2">
      <c r="A16618" s="734">
        <v>45181</v>
      </c>
      <c r="B16618" s="63" t="s">
        <v>10232</v>
      </c>
      <c r="C16618" s="63" t="s">
        <v>5741</v>
      </c>
      <c r="D16618" s="183" t="s">
        <v>370</v>
      </c>
      <c r="E16618" s="126">
        <v>1700</v>
      </c>
      <c r="F16618" s="58"/>
      <c r="G16618" s="58">
        <f t="shared" si="265"/>
        <v>-1700</v>
      </c>
      <c r="H16618" s="705" t="s">
        <v>10954</v>
      </c>
    </row>
    <row r="16619" spans="1:8" ht="15" x14ac:dyDescent="0.2">
      <c r="A16619" s="734">
        <v>45181</v>
      </c>
      <c r="B16619" s="63" t="s">
        <v>10571</v>
      </c>
      <c r="C16619" s="63" t="s">
        <v>11056</v>
      </c>
      <c r="D16619" s="183" t="s">
        <v>11057</v>
      </c>
      <c r="E16619" s="126">
        <v>1960</v>
      </c>
      <c r="F16619" s="58"/>
      <c r="G16619" s="58">
        <f t="shared" si="265"/>
        <v>-1960</v>
      </c>
      <c r="H16619" s="705" t="s">
        <v>10954</v>
      </c>
    </row>
    <row r="16620" spans="1:8" ht="15" x14ac:dyDescent="0.2">
      <c r="A16620" s="734">
        <v>45181</v>
      </c>
      <c r="B16620" s="63" t="s">
        <v>9356</v>
      </c>
      <c r="C16620" s="63" t="s">
        <v>3145</v>
      </c>
      <c r="D16620" s="183" t="s">
        <v>11058</v>
      </c>
      <c r="E16620" s="126">
        <v>5600</v>
      </c>
      <c r="F16620" s="58"/>
      <c r="G16620" s="58">
        <f t="shared" si="265"/>
        <v>-5600</v>
      </c>
      <c r="H16620" s="705" t="s">
        <v>10954</v>
      </c>
    </row>
    <row r="16621" spans="1:8" ht="15" x14ac:dyDescent="0.2">
      <c r="A16621" s="734">
        <v>45181</v>
      </c>
      <c r="B16621" s="63" t="s">
        <v>10379</v>
      </c>
      <c r="C16621" s="63" t="s">
        <v>3145</v>
      </c>
      <c r="D16621" s="183" t="s">
        <v>11059</v>
      </c>
      <c r="E16621" s="126">
        <v>12590</v>
      </c>
      <c r="F16621" s="58"/>
      <c r="G16621" s="58">
        <f t="shared" si="265"/>
        <v>-12590</v>
      </c>
      <c r="H16621" s="705" t="s">
        <v>10954</v>
      </c>
    </row>
    <row r="16622" spans="1:8" ht="15" x14ac:dyDescent="0.2">
      <c r="A16622" s="734">
        <v>45181</v>
      </c>
      <c r="B16622" s="63" t="s">
        <v>10379</v>
      </c>
      <c r="C16622" s="551" t="s">
        <v>1509</v>
      </c>
      <c r="D16622" s="740" t="s">
        <v>11060</v>
      </c>
      <c r="E16622" s="552">
        <v>200000</v>
      </c>
      <c r="F16622" s="58"/>
      <c r="G16622" s="58">
        <f t="shared" si="265"/>
        <v>-200000</v>
      </c>
      <c r="H16622" s="705" t="s">
        <v>10954</v>
      </c>
    </row>
    <row r="16623" spans="1:8" ht="24" x14ac:dyDescent="0.2">
      <c r="A16623" s="734">
        <v>45181</v>
      </c>
      <c r="B16623" s="63" t="s">
        <v>10232</v>
      </c>
      <c r="C16623" s="551" t="s">
        <v>3145</v>
      </c>
      <c r="D16623" s="740" t="s">
        <v>11061</v>
      </c>
      <c r="E16623" s="552">
        <v>21313</v>
      </c>
      <c r="F16623" s="58"/>
      <c r="G16623" s="58">
        <f t="shared" si="265"/>
        <v>-21313</v>
      </c>
      <c r="H16623" s="705" t="s">
        <v>10954</v>
      </c>
    </row>
    <row r="16624" spans="1:8" ht="24" x14ac:dyDescent="0.2">
      <c r="A16624" s="734">
        <v>45181</v>
      </c>
      <c r="B16624" s="63" t="s">
        <v>10571</v>
      </c>
      <c r="C16624" s="551" t="s">
        <v>3145</v>
      </c>
      <c r="D16624" s="740" t="s">
        <v>11061</v>
      </c>
      <c r="E16624" s="552">
        <v>21313</v>
      </c>
      <c r="F16624" s="58"/>
      <c r="G16624" s="58">
        <f t="shared" si="265"/>
        <v>-21313</v>
      </c>
      <c r="H16624" s="705" t="s">
        <v>10954</v>
      </c>
    </row>
    <row r="16625" spans="1:10" ht="24" x14ac:dyDescent="0.2">
      <c r="A16625" s="734">
        <v>45181</v>
      </c>
      <c r="B16625" s="63" t="s">
        <v>9356</v>
      </c>
      <c r="C16625" s="551" t="s">
        <v>3145</v>
      </c>
      <c r="D16625" s="740" t="s">
        <v>11061</v>
      </c>
      <c r="E16625" s="552">
        <v>21313</v>
      </c>
      <c r="F16625" s="58"/>
      <c r="G16625" s="58">
        <f t="shared" si="265"/>
        <v>-21313</v>
      </c>
      <c r="H16625" s="705" t="s">
        <v>10954</v>
      </c>
    </row>
    <row r="16626" spans="1:10" ht="24" x14ac:dyDescent="0.2">
      <c r="A16626" s="734">
        <v>45181</v>
      </c>
      <c r="B16626" s="63" t="s">
        <v>10379</v>
      </c>
      <c r="C16626" s="551" t="s">
        <v>3145</v>
      </c>
      <c r="D16626" s="740" t="s">
        <v>11061</v>
      </c>
      <c r="E16626" s="552">
        <v>21311</v>
      </c>
      <c r="F16626" s="58"/>
      <c r="G16626" s="58">
        <f t="shared" si="265"/>
        <v>-21311</v>
      </c>
      <c r="H16626" s="705" t="s">
        <v>10954</v>
      </c>
    </row>
    <row r="16627" spans="1:10" ht="15" x14ac:dyDescent="0.2">
      <c r="A16627" s="734">
        <v>45181</v>
      </c>
      <c r="B16627" s="63" t="s">
        <v>10571</v>
      </c>
      <c r="C16627" s="63" t="s">
        <v>3145</v>
      </c>
      <c r="D16627" s="183" t="s">
        <v>11062</v>
      </c>
      <c r="E16627" s="126">
        <v>600</v>
      </c>
      <c r="F16627" s="58"/>
      <c r="G16627" s="58">
        <f t="shared" si="265"/>
        <v>-600</v>
      </c>
      <c r="H16627" s="705" t="s">
        <v>10954</v>
      </c>
    </row>
    <row r="16628" spans="1:10" ht="15" x14ac:dyDescent="0.2">
      <c r="A16628" s="734">
        <v>45181</v>
      </c>
      <c r="B16628" s="63" t="s">
        <v>10576</v>
      </c>
      <c r="C16628" s="63" t="s">
        <v>11063</v>
      </c>
      <c r="D16628" s="183" t="s">
        <v>11064</v>
      </c>
      <c r="E16628" s="126">
        <v>10000</v>
      </c>
      <c r="F16628" s="58"/>
      <c r="G16628" s="58">
        <f t="shared" si="265"/>
        <v>-10000</v>
      </c>
      <c r="H16628" s="705" t="s">
        <v>10954</v>
      </c>
    </row>
    <row r="16629" spans="1:10" ht="15" x14ac:dyDescent="0.2">
      <c r="A16629" s="734">
        <v>45181</v>
      </c>
      <c r="B16629" s="63" t="s">
        <v>10379</v>
      </c>
      <c r="C16629" s="63" t="s">
        <v>5741</v>
      </c>
      <c r="D16629" s="183" t="s">
        <v>11065</v>
      </c>
      <c r="E16629" s="126">
        <v>300</v>
      </c>
      <c r="F16629" s="58"/>
      <c r="G16629" s="58">
        <f t="shared" si="265"/>
        <v>-300</v>
      </c>
      <c r="H16629" s="705" t="s">
        <v>10954</v>
      </c>
    </row>
    <row r="16630" spans="1:10" ht="15" x14ac:dyDescent="0.2">
      <c r="A16630" s="734">
        <v>45182</v>
      </c>
      <c r="B16630" s="63" t="s">
        <v>9986</v>
      </c>
      <c r="C16630" s="63" t="s">
        <v>6476</v>
      </c>
      <c r="D16630" s="183" t="s">
        <v>10721</v>
      </c>
      <c r="E16630" s="126">
        <v>50000</v>
      </c>
      <c r="F16630" s="58"/>
      <c r="G16630" s="58">
        <f t="shared" si="265"/>
        <v>-50000</v>
      </c>
      <c r="H16630" s="705" t="s">
        <v>10954</v>
      </c>
    </row>
    <row r="16631" spans="1:10" ht="15" customHeight="1" x14ac:dyDescent="0.2">
      <c r="A16631" s="734">
        <v>45182</v>
      </c>
      <c r="B16631" s="63" t="s">
        <v>9356</v>
      </c>
      <c r="C16631" s="63" t="s">
        <v>9460</v>
      </c>
      <c r="D16631" s="183" t="s">
        <v>10721</v>
      </c>
      <c r="E16631" s="126">
        <v>50000</v>
      </c>
      <c r="F16631" s="58"/>
      <c r="G16631" s="58">
        <f t="shared" si="265"/>
        <v>-50000</v>
      </c>
      <c r="H16631" s="705" t="s">
        <v>10954</v>
      </c>
    </row>
    <row r="16632" spans="1:10" ht="15" customHeight="1" x14ac:dyDescent="0.2">
      <c r="A16632" s="734">
        <v>45182</v>
      </c>
      <c r="B16632" s="63" t="s">
        <v>9832</v>
      </c>
      <c r="C16632" s="63" t="s">
        <v>790</v>
      </c>
      <c r="D16632" s="183" t="s">
        <v>370</v>
      </c>
      <c r="E16632" s="126">
        <v>2000</v>
      </c>
      <c r="F16632" s="58"/>
      <c r="G16632" s="58">
        <f t="shared" si="265"/>
        <v>-2000</v>
      </c>
      <c r="H16632" s="705" t="s">
        <v>10954</v>
      </c>
    </row>
    <row r="16633" spans="1:10" ht="15" customHeight="1" x14ac:dyDescent="0.2">
      <c r="A16633" s="734">
        <v>45182</v>
      </c>
      <c r="B16633" s="63" t="s">
        <v>10232</v>
      </c>
      <c r="C16633" s="63" t="s">
        <v>790</v>
      </c>
      <c r="D16633" s="183" t="s">
        <v>370</v>
      </c>
      <c r="E16633" s="126">
        <v>1950</v>
      </c>
      <c r="F16633" s="58"/>
      <c r="G16633" s="58">
        <f t="shared" si="265"/>
        <v>-1950</v>
      </c>
      <c r="H16633" s="705" t="s">
        <v>10954</v>
      </c>
    </row>
    <row r="16634" spans="1:10" ht="15" customHeight="1" x14ac:dyDescent="0.2">
      <c r="A16634" s="734">
        <v>45182</v>
      </c>
      <c r="B16634" s="63" t="s">
        <v>10909</v>
      </c>
      <c r="C16634" s="63" t="s">
        <v>790</v>
      </c>
      <c r="D16634" s="183" t="s">
        <v>370</v>
      </c>
      <c r="E16634" s="126">
        <v>8200</v>
      </c>
      <c r="F16634" s="58"/>
      <c r="G16634" s="58">
        <f t="shared" si="265"/>
        <v>-8200</v>
      </c>
      <c r="H16634" s="705" t="s">
        <v>10954</v>
      </c>
      <c r="J16634" s="1092"/>
    </row>
    <row r="16635" spans="1:10" ht="15" customHeight="1" x14ac:dyDescent="0.2">
      <c r="A16635" s="734">
        <v>45182</v>
      </c>
      <c r="B16635" s="63" t="s">
        <v>10576</v>
      </c>
      <c r="C16635" s="63" t="s">
        <v>790</v>
      </c>
      <c r="D16635" s="183" t="s">
        <v>370</v>
      </c>
      <c r="E16635" s="126">
        <v>350</v>
      </c>
      <c r="F16635" s="58"/>
      <c r="G16635" s="58">
        <f t="shared" si="265"/>
        <v>-350</v>
      </c>
      <c r="H16635" s="705" t="s">
        <v>10954</v>
      </c>
    </row>
    <row r="16636" spans="1:10" ht="15" customHeight="1" x14ac:dyDescent="0.2">
      <c r="A16636" s="734">
        <v>45182</v>
      </c>
      <c r="B16636" s="63" t="s">
        <v>7807</v>
      </c>
      <c r="C16636" s="63" t="s">
        <v>790</v>
      </c>
      <c r="D16636" s="183" t="s">
        <v>370</v>
      </c>
      <c r="E16636" s="126">
        <v>2840</v>
      </c>
      <c r="F16636" s="58"/>
      <c r="G16636" s="58">
        <f t="shared" si="265"/>
        <v>-2840</v>
      </c>
      <c r="H16636" s="705" t="s">
        <v>10954</v>
      </c>
    </row>
    <row r="16637" spans="1:10" ht="15" x14ac:dyDescent="0.2">
      <c r="A16637" s="734">
        <v>45182</v>
      </c>
      <c r="B16637" s="63" t="s">
        <v>10379</v>
      </c>
      <c r="C16637" s="63" t="s">
        <v>790</v>
      </c>
      <c r="D16637" s="183" t="s">
        <v>370</v>
      </c>
      <c r="E16637" s="126">
        <v>440</v>
      </c>
      <c r="F16637" s="58"/>
      <c r="G16637" s="58">
        <f t="shared" si="265"/>
        <v>-440</v>
      </c>
      <c r="H16637" s="705" t="s">
        <v>10954</v>
      </c>
    </row>
    <row r="16638" spans="1:10" ht="15" x14ac:dyDescent="0.2">
      <c r="A16638" s="734">
        <v>45182</v>
      </c>
      <c r="B16638" s="63" t="s">
        <v>9661</v>
      </c>
      <c r="C16638" s="63" t="s">
        <v>9750</v>
      </c>
      <c r="D16638" s="183" t="s">
        <v>2711</v>
      </c>
      <c r="E16638" s="126">
        <v>10000</v>
      </c>
      <c r="F16638" s="58"/>
      <c r="G16638" s="58">
        <f t="shared" si="265"/>
        <v>-10000</v>
      </c>
      <c r="H16638" s="705" t="s">
        <v>10954</v>
      </c>
    </row>
    <row r="16639" spans="1:10" ht="15" x14ac:dyDescent="0.2">
      <c r="A16639" s="734">
        <v>45182</v>
      </c>
      <c r="B16639" s="63" t="s">
        <v>103</v>
      </c>
      <c r="C16639" s="63" t="s">
        <v>103</v>
      </c>
      <c r="D16639" s="183" t="s">
        <v>10211</v>
      </c>
      <c r="E16639" s="126">
        <v>3500</v>
      </c>
      <c r="F16639" s="58"/>
      <c r="G16639" s="58">
        <f t="shared" ref="G16639:G16702" si="266">F16639-E16639</f>
        <v>-3500</v>
      </c>
      <c r="H16639" s="705" t="s">
        <v>10954</v>
      </c>
    </row>
    <row r="16640" spans="1:10" ht="15" x14ac:dyDescent="0.2">
      <c r="A16640" s="734">
        <v>45182</v>
      </c>
      <c r="B16640" s="63" t="s">
        <v>9409</v>
      </c>
      <c r="C16640" s="63" t="s">
        <v>11080</v>
      </c>
      <c r="D16640" s="183" t="s">
        <v>11081</v>
      </c>
      <c r="E16640" s="126">
        <v>17000</v>
      </c>
      <c r="F16640" s="58"/>
      <c r="G16640" s="58">
        <f t="shared" si="266"/>
        <v>-17000</v>
      </c>
      <c r="H16640" s="705" t="s">
        <v>10954</v>
      </c>
    </row>
    <row r="16641" spans="1:10" ht="15" x14ac:dyDescent="0.2">
      <c r="A16641" s="734">
        <v>45182</v>
      </c>
      <c r="B16641" s="63" t="s">
        <v>10242</v>
      </c>
      <c r="C16641" s="551" t="s">
        <v>3446</v>
      </c>
      <c r="D16641" s="740" t="s">
        <v>11082</v>
      </c>
      <c r="E16641" s="552">
        <v>15000</v>
      </c>
      <c r="F16641" s="58"/>
      <c r="G16641" s="58">
        <f t="shared" si="266"/>
        <v>-15000</v>
      </c>
      <c r="H16641" s="705" t="s">
        <v>10954</v>
      </c>
    </row>
    <row r="16642" spans="1:10" ht="15" x14ac:dyDescent="0.2">
      <c r="A16642" s="734">
        <v>45182</v>
      </c>
      <c r="B16642" s="63" t="s">
        <v>10379</v>
      </c>
      <c r="C16642" s="551" t="s">
        <v>3446</v>
      </c>
      <c r="D16642" s="740" t="s">
        <v>11082</v>
      </c>
      <c r="E16642" s="552">
        <v>40000</v>
      </c>
      <c r="F16642" s="58"/>
      <c r="G16642" s="58">
        <f t="shared" si="266"/>
        <v>-40000</v>
      </c>
      <c r="H16642" s="705" t="s">
        <v>10954</v>
      </c>
    </row>
    <row r="16643" spans="1:10" ht="15" x14ac:dyDescent="0.2">
      <c r="A16643" s="734">
        <v>45182</v>
      </c>
      <c r="B16643" s="63" t="s">
        <v>9356</v>
      </c>
      <c r="C16643" s="551" t="s">
        <v>3446</v>
      </c>
      <c r="D16643" s="740" t="s">
        <v>11082</v>
      </c>
      <c r="E16643" s="552">
        <v>25000</v>
      </c>
      <c r="F16643" s="58"/>
      <c r="G16643" s="58">
        <f t="shared" si="266"/>
        <v>-25000</v>
      </c>
      <c r="H16643" s="705" t="s">
        <v>10954</v>
      </c>
    </row>
    <row r="16644" spans="1:10" ht="15" x14ac:dyDescent="0.2">
      <c r="A16644" s="734">
        <v>45182</v>
      </c>
      <c r="B16644" s="63" t="s">
        <v>9356</v>
      </c>
      <c r="C16644" s="63" t="s">
        <v>10993</v>
      </c>
      <c r="D16644" s="183" t="s">
        <v>11083</v>
      </c>
      <c r="E16644" s="126">
        <v>3140</v>
      </c>
      <c r="F16644" s="58"/>
      <c r="G16644" s="58">
        <f t="shared" si="266"/>
        <v>-3140</v>
      </c>
      <c r="H16644" s="705" t="s">
        <v>10954</v>
      </c>
    </row>
    <row r="16645" spans="1:10" ht="15" x14ac:dyDescent="0.2">
      <c r="A16645" s="734">
        <v>45182</v>
      </c>
      <c r="B16645" s="63" t="s">
        <v>10232</v>
      </c>
      <c r="C16645" s="63" t="s">
        <v>10993</v>
      </c>
      <c r="D16645" s="183" t="s">
        <v>11084</v>
      </c>
      <c r="E16645" s="126">
        <v>19870</v>
      </c>
      <c r="F16645" s="58"/>
      <c r="G16645" s="58">
        <f t="shared" si="266"/>
        <v>-19870</v>
      </c>
      <c r="H16645" s="705" t="s">
        <v>10954</v>
      </c>
    </row>
    <row r="16646" spans="1:10" ht="15" x14ac:dyDescent="0.2">
      <c r="A16646" s="734">
        <v>45182</v>
      </c>
      <c r="B16646" s="63" t="s">
        <v>10909</v>
      </c>
      <c r="C16646" s="63" t="s">
        <v>5741</v>
      </c>
      <c r="D16646" s="183" t="s">
        <v>370</v>
      </c>
      <c r="E16646" s="126">
        <v>1500</v>
      </c>
      <c r="F16646" s="58"/>
      <c r="G16646" s="58">
        <f t="shared" si="266"/>
        <v>-1500</v>
      </c>
      <c r="H16646" s="705" t="s">
        <v>10954</v>
      </c>
      <c r="J16646" s="1092"/>
    </row>
    <row r="16647" spans="1:10" ht="15" x14ac:dyDescent="0.2">
      <c r="A16647" s="734">
        <v>45182</v>
      </c>
      <c r="B16647" s="63" t="s">
        <v>9356</v>
      </c>
      <c r="C16647" s="63" t="s">
        <v>5741</v>
      </c>
      <c r="D16647" s="183" t="s">
        <v>370</v>
      </c>
      <c r="E16647" s="126">
        <v>1700</v>
      </c>
      <c r="F16647" s="58"/>
      <c r="G16647" s="58">
        <f t="shared" si="266"/>
        <v>-1700</v>
      </c>
      <c r="H16647" s="705" t="s">
        <v>10954</v>
      </c>
    </row>
    <row r="16648" spans="1:10" ht="15" x14ac:dyDescent="0.2">
      <c r="A16648" s="734">
        <v>45182</v>
      </c>
      <c r="B16648" s="63" t="s">
        <v>25</v>
      </c>
      <c r="C16648" s="63" t="s">
        <v>4065</v>
      </c>
      <c r="D16648" s="183" t="s">
        <v>11085</v>
      </c>
      <c r="E16648" s="126">
        <v>2300</v>
      </c>
      <c r="F16648" s="58"/>
      <c r="G16648" s="58">
        <f t="shared" si="266"/>
        <v>-2300</v>
      </c>
      <c r="H16648" s="705" t="s">
        <v>10954</v>
      </c>
    </row>
    <row r="16649" spans="1:10" ht="15" x14ac:dyDescent="0.2">
      <c r="A16649" s="734">
        <v>45182</v>
      </c>
      <c r="B16649" s="63" t="s">
        <v>10379</v>
      </c>
      <c r="C16649" s="63" t="s">
        <v>5741</v>
      </c>
      <c r="D16649" s="183" t="s">
        <v>11086</v>
      </c>
      <c r="E16649" s="126">
        <v>1800</v>
      </c>
      <c r="F16649" s="58"/>
      <c r="G16649" s="58">
        <f t="shared" si="266"/>
        <v>-1800</v>
      </c>
      <c r="H16649" s="705" t="s">
        <v>10954</v>
      </c>
    </row>
    <row r="16650" spans="1:10" ht="15" x14ac:dyDescent="0.2">
      <c r="A16650" s="734">
        <v>45182</v>
      </c>
      <c r="B16650" s="63" t="s">
        <v>10232</v>
      </c>
      <c r="C16650" s="63" t="s">
        <v>286</v>
      </c>
      <c r="D16650" s="183" t="s">
        <v>10887</v>
      </c>
      <c r="E16650" s="126">
        <v>1500</v>
      </c>
      <c r="F16650" s="58"/>
      <c r="G16650" s="58">
        <f t="shared" si="266"/>
        <v>-1500</v>
      </c>
      <c r="H16650" s="705" t="s">
        <v>10954</v>
      </c>
    </row>
    <row r="16651" spans="1:10" ht="15" x14ac:dyDescent="0.2">
      <c r="A16651" s="734">
        <v>45182</v>
      </c>
      <c r="B16651" s="63" t="s">
        <v>10379</v>
      </c>
      <c r="C16651" s="63" t="s">
        <v>5741</v>
      </c>
      <c r="D16651" s="183" t="s">
        <v>370</v>
      </c>
      <c r="E16651" s="126">
        <v>2700</v>
      </c>
      <c r="F16651" s="58"/>
      <c r="G16651" s="58">
        <f t="shared" si="266"/>
        <v>-2700</v>
      </c>
      <c r="H16651" s="705" t="s">
        <v>10954</v>
      </c>
    </row>
    <row r="16652" spans="1:10" ht="15" x14ac:dyDescent="0.2">
      <c r="A16652" s="734">
        <v>45182</v>
      </c>
      <c r="B16652" s="63" t="s">
        <v>10908</v>
      </c>
      <c r="C16652" s="63" t="s">
        <v>392</v>
      </c>
      <c r="D16652" s="183" t="s">
        <v>11087</v>
      </c>
      <c r="E16652" s="126">
        <v>7000</v>
      </c>
      <c r="F16652" s="58"/>
      <c r="G16652" s="58">
        <f t="shared" si="266"/>
        <v>-7000</v>
      </c>
      <c r="H16652" s="705" t="s">
        <v>10954</v>
      </c>
      <c r="J16652" s="1092"/>
    </row>
    <row r="16653" spans="1:10" ht="15" x14ac:dyDescent="0.2">
      <c r="A16653" s="734">
        <v>45182</v>
      </c>
      <c r="B16653" s="63" t="s">
        <v>10908</v>
      </c>
      <c r="C16653" s="63" t="s">
        <v>5741</v>
      </c>
      <c r="D16653" s="183" t="s">
        <v>11088</v>
      </c>
      <c r="E16653" s="126">
        <v>10000</v>
      </c>
      <c r="F16653" s="58"/>
      <c r="G16653" s="58">
        <f t="shared" si="266"/>
        <v>-10000</v>
      </c>
      <c r="H16653" s="705" t="s">
        <v>10954</v>
      </c>
      <c r="J16653" s="1092"/>
    </row>
    <row r="16654" spans="1:10" ht="15" x14ac:dyDescent="0.2">
      <c r="A16654" s="734">
        <v>45182</v>
      </c>
      <c r="B16654" s="63" t="s">
        <v>11089</v>
      </c>
      <c r="C16654" s="63" t="s">
        <v>10993</v>
      </c>
      <c r="D16654" s="183" t="s">
        <v>11090</v>
      </c>
      <c r="E16654" s="126">
        <v>1800</v>
      </c>
      <c r="F16654" s="58"/>
      <c r="G16654" s="58">
        <f t="shared" si="266"/>
        <v>-1800</v>
      </c>
      <c r="H16654" s="705" t="s">
        <v>10954</v>
      </c>
    </row>
    <row r="16655" spans="1:10" ht="15" x14ac:dyDescent="0.2">
      <c r="A16655" s="734">
        <v>45182</v>
      </c>
      <c r="B16655" s="63" t="s">
        <v>10908</v>
      </c>
      <c r="C16655" s="63" t="s">
        <v>10993</v>
      </c>
      <c r="D16655" s="183" t="s">
        <v>11091</v>
      </c>
      <c r="E16655" s="126">
        <v>4700</v>
      </c>
      <c r="F16655" s="58"/>
      <c r="G16655" s="58">
        <f t="shared" si="266"/>
        <v>-4700</v>
      </c>
      <c r="H16655" s="705" t="s">
        <v>10954</v>
      </c>
      <c r="J16655" s="1092"/>
    </row>
    <row r="16656" spans="1:10" ht="15" x14ac:dyDescent="0.2">
      <c r="A16656" s="734">
        <v>45182</v>
      </c>
      <c r="B16656" s="63" t="s">
        <v>8559</v>
      </c>
      <c r="C16656" s="63" t="s">
        <v>10993</v>
      </c>
      <c r="D16656" s="183" t="s">
        <v>11092</v>
      </c>
      <c r="E16656" s="126">
        <v>5000</v>
      </c>
      <c r="F16656" s="58"/>
      <c r="G16656" s="58">
        <f t="shared" si="266"/>
        <v>-5000</v>
      </c>
      <c r="H16656" s="705" t="s">
        <v>10954</v>
      </c>
    </row>
    <row r="16657" spans="1:10" ht="15" x14ac:dyDescent="0.2">
      <c r="A16657" s="734">
        <v>45182</v>
      </c>
      <c r="B16657" s="63" t="s">
        <v>9409</v>
      </c>
      <c r="C16657" s="63" t="s">
        <v>10993</v>
      </c>
      <c r="D16657" s="183" t="s">
        <v>11092</v>
      </c>
      <c r="E16657" s="126">
        <v>5000</v>
      </c>
      <c r="F16657" s="58"/>
      <c r="G16657" s="58">
        <f t="shared" si="266"/>
        <v>-5000</v>
      </c>
      <c r="H16657" s="705" t="s">
        <v>10954</v>
      </c>
    </row>
    <row r="16658" spans="1:10" ht="15" x14ac:dyDescent="0.2">
      <c r="A16658" s="734">
        <v>45182</v>
      </c>
      <c r="B16658" s="63" t="s">
        <v>10144</v>
      </c>
      <c r="C16658" s="63" t="s">
        <v>10993</v>
      </c>
      <c r="D16658" s="183" t="s">
        <v>11092</v>
      </c>
      <c r="E16658" s="126">
        <v>61610</v>
      </c>
      <c r="F16658" s="58"/>
      <c r="G16658" s="58">
        <f t="shared" si="266"/>
        <v>-61610</v>
      </c>
      <c r="H16658" s="705" t="s">
        <v>10954</v>
      </c>
    </row>
    <row r="16659" spans="1:10" ht="15" x14ac:dyDescent="0.2">
      <c r="A16659" s="734">
        <v>45183</v>
      </c>
      <c r="B16659" s="63" t="s">
        <v>11093</v>
      </c>
      <c r="C16659" s="63" t="s">
        <v>8251</v>
      </c>
      <c r="D16659" s="183" t="s">
        <v>2711</v>
      </c>
      <c r="E16659" s="126">
        <v>50000</v>
      </c>
      <c r="F16659" s="58"/>
      <c r="G16659" s="58">
        <f t="shared" si="266"/>
        <v>-50000</v>
      </c>
      <c r="H16659" s="705" t="s">
        <v>10954</v>
      </c>
    </row>
    <row r="16660" spans="1:10" ht="15" x14ac:dyDescent="0.2">
      <c r="A16660" s="734">
        <v>45183</v>
      </c>
      <c r="B16660" s="63" t="s">
        <v>9356</v>
      </c>
      <c r="C16660" s="63" t="s">
        <v>8251</v>
      </c>
      <c r="D16660" s="183" t="s">
        <v>2711</v>
      </c>
      <c r="E16660" s="126">
        <v>100000</v>
      </c>
      <c r="F16660" s="58"/>
      <c r="G16660" s="58">
        <f t="shared" si="266"/>
        <v>-100000</v>
      </c>
      <c r="H16660" s="705" t="s">
        <v>10954</v>
      </c>
    </row>
    <row r="16661" spans="1:10" ht="15" x14ac:dyDescent="0.2">
      <c r="A16661" s="734">
        <v>45183</v>
      </c>
      <c r="B16661" s="63" t="s">
        <v>9769</v>
      </c>
      <c r="C16661" s="63" t="s">
        <v>8251</v>
      </c>
      <c r="D16661" s="183" t="s">
        <v>2711</v>
      </c>
      <c r="E16661" s="126">
        <v>50000</v>
      </c>
      <c r="F16661" s="58"/>
      <c r="G16661" s="58">
        <f t="shared" si="266"/>
        <v>-50000</v>
      </c>
      <c r="H16661" s="705" t="s">
        <v>10954</v>
      </c>
    </row>
    <row r="16662" spans="1:10" ht="15" x14ac:dyDescent="0.2">
      <c r="A16662" s="734">
        <v>45183</v>
      </c>
      <c r="B16662" s="63" t="s">
        <v>10909</v>
      </c>
      <c r="C16662" s="63" t="s">
        <v>11110</v>
      </c>
      <c r="D16662" s="183" t="s">
        <v>11111</v>
      </c>
      <c r="E16662" s="126">
        <v>500000</v>
      </c>
      <c r="F16662" s="58"/>
      <c r="G16662" s="58">
        <f t="shared" si="266"/>
        <v>-500000</v>
      </c>
      <c r="H16662" s="705" t="s">
        <v>10954</v>
      </c>
      <c r="J16662" s="1092"/>
    </row>
    <row r="16663" spans="1:10" ht="15" x14ac:dyDescent="0.2">
      <c r="A16663" s="734">
        <v>45184</v>
      </c>
      <c r="B16663" s="63" t="s">
        <v>10379</v>
      </c>
      <c r="C16663" s="63" t="s">
        <v>5741</v>
      </c>
      <c r="D16663" s="183" t="s">
        <v>11094</v>
      </c>
      <c r="E16663" s="126">
        <v>1000</v>
      </c>
      <c r="F16663" s="58"/>
      <c r="G16663" s="58">
        <f t="shared" si="266"/>
        <v>-1000</v>
      </c>
      <c r="H16663" s="705" t="s">
        <v>10954</v>
      </c>
    </row>
    <row r="16664" spans="1:10" ht="15" x14ac:dyDescent="0.2">
      <c r="A16664" s="734">
        <v>45184</v>
      </c>
      <c r="B16664" s="63" t="s">
        <v>25</v>
      </c>
      <c r="C16664" s="63" t="s">
        <v>8150</v>
      </c>
      <c r="D16664" s="183" t="s">
        <v>7326</v>
      </c>
      <c r="E16664" s="126">
        <v>2500</v>
      </c>
      <c r="F16664" s="58"/>
      <c r="G16664" s="58">
        <f t="shared" si="266"/>
        <v>-2500</v>
      </c>
      <c r="H16664" s="705" t="s">
        <v>10954</v>
      </c>
    </row>
    <row r="16665" spans="1:10" ht="15" x14ac:dyDescent="0.2">
      <c r="A16665" s="734">
        <v>45184</v>
      </c>
      <c r="B16665" s="63" t="s">
        <v>103</v>
      </c>
      <c r="C16665" s="63" t="s">
        <v>8150</v>
      </c>
      <c r="D16665" s="183" t="s">
        <v>7326</v>
      </c>
      <c r="E16665" s="126">
        <v>8000</v>
      </c>
      <c r="F16665" s="58"/>
      <c r="G16665" s="58">
        <f t="shared" si="266"/>
        <v>-8000</v>
      </c>
      <c r="H16665" s="705" t="s">
        <v>10954</v>
      </c>
    </row>
    <row r="16666" spans="1:10" ht="15" x14ac:dyDescent="0.2">
      <c r="A16666" s="734">
        <v>45184</v>
      </c>
      <c r="B16666" s="63" t="s">
        <v>10232</v>
      </c>
      <c r="C16666" s="63" t="s">
        <v>10993</v>
      </c>
      <c r="D16666" s="183" t="s">
        <v>11095</v>
      </c>
      <c r="E16666" s="126">
        <v>15200</v>
      </c>
      <c r="F16666" s="58"/>
      <c r="G16666" s="58">
        <f t="shared" si="266"/>
        <v>-15200</v>
      </c>
      <c r="H16666" s="705" t="s">
        <v>10954</v>
      </c>
    </row>
    <row r="16667" spans="1:10" ht="15" x14ac:dyDescent="0.2">
      <c r="A16667" s="734">
        <v>45184</v>
      </c>
      <c r="B16667" s="63" t="s">
        <v>9356</v>
      </c>
      <c r="C16667" s="63" t="s">
        <v>10993</v>
      </c>
      <c r="D16667" s="183" t="s">
        <v>11096</v>
      </c>
      <c r="E16667" s="126">
        <v>9400</v>
      </c>
      <c r="F16667" s="58"/>
      <c r="G16667" s="58">
        <f t="shared" si="266"/>
        <v>-9400</v>
      </c>
      <c r="H16667" s="705" t="s">
        <v>10954</v>
      </c>
    </row>
    <row r="16668" spans="1:10" ht="15" x14ac:dyDescent="0.2">
      <c r="A16668" s="734">
        <v>45184</v>
      </c>
      <c r="B16668" s="63" t="s">
        <v>10571</v>
      </c>
      <c r="C16668" s="63" t="s">
        <v>10993</v>
      </c>
      <c r="D16668" s="183" t="s">
        <v>11095</v>
      </c>
      <c r="E16668" s="126">
        <v>780</v>
      </c>
      <c r="F16668" s="58"/>
      <c r="G16668" s="58">
        <f t="shared" si="266"/>
        <v>-780</v>
      </c>
      <c r="H16668" s="705" t="s">
        <v>10954</v>
      </c>
    </row>
    <row r="16669" spans="1:10" ht="15" x14ac:dyDescent="0.2">
      <c r="A16669" s="734">
        <v>45184</v>
      </c>
      <c r="B16669" s="63" t="s">
        <v>10576</v>
      </c>
      <c r="C16669" s="63" t="s">
        <v>8251</v>
      </c>
      <c r="D16669" s="183" t="s">
        <v>10632</v>
      </c>
      <c r="E16669" s="126">
        <v>150000</v>
      </c>
      <c r="F16669" s="58"/>
      <c r="G16669" s="58">
        <f t="shared" si="266"/>
        <v>-150000</v>
      </c>
      <c r="H16669" s="705" t="s">
        <v>10954</v>
      </c>
    </row>
    <row r="16670" spans="1:10" ht="15" x14ac:dyDescent="0.2">
      <c r="A16670" s="734">
        <v>45184</v>
      </c>
      <c r="B16670" s="63" t="s">
        <v>9769</v>
      </c>
      <c r="C16670" s="63" t="s">
        <v>8251</v>
      </c>
      <c r="D16670" s="183" t="s">
        <v>11097</v>
      </c>
      <c r="E16670" s="126">
        <v>5500</v>
      </c>
      <c r="F16670" s="58"/>
      <c r="G16670" s="58">
        <f t="shared" si="266"/>
        <v>-5500</v>
      </c>
      <c r="H16670" s="705" t="s">
        <v>10954</v>
      </c>
    </row>
    <row r="16671" spans="1:10" ht="15" x14ac:dyDescent="0.2">
      <c r="A16671" s="734">
        <v>45184</v>
      </c>
      <c r="B16671" s="63" t="s">
        <v>8868</v>
      </c>
      <c r="C16671" s="63" t="s">
        <v>286</v>
      </c>
      <c r="D16671" s="183" t="s">
        <v>11098</v>
      </c>
      <c r="E16671" s="126">
        <v>500</v>
      </c>
      <c r="F16671" s="58"/>
      <c r="G16671" s="58">
        <f t="shared" si="266"/>
        <v>-500</v>
      </c>
      <c r="H16671" s="705" t="s">
        <v>10954</v>
      </c>
    </row>
    <row r="16672" spans="1:10" ht="15" x14ac:dyDescent="0.2">
      <c r="A16672" s="734">
        <v>45184</v>
      </c>
      <c r="B16672" s="63" t="s">
        <v>103</v>
      </c>
      <c r="C16672" s="63" t="s">
        <v>103</v>
      </c>
      <c r="D16672" s="183" t="s">
        <v>10211</v>
      </c>
      <c r="E16672" s="126">
        <v>3000</v>
      </c>
      <c r="F16672" s="58"/>
      <c r="G16672" s="58">
        <f t="shared" si="266"/>
        <v>-3000</v>
      </c>
      <c r="H16672" s="705" t="s">
        <v>10954</v>
      </c>
    </row>
    <row r="16673" spans="1:8" ht="15" x14ac:dyDescent="0.2">
      <c r="A16673" s="734">
        <v>45184</v>
      </c>
      <c r="B16673" s="63" t="s">
        <v>9769</v>
      </c>
      <c r="C16673" s="63" t="s">
        <v>11099</v>
      </c>
      <c r="D16673" s="183" t="s">
        <v>11100</v>
      </c>
      <c r="E16673" s="126">
        <v>35000</v>
      </c>
      <c r="F16673" s="58"/>
      <c r="G16673" s="58">
        <f t="shared" si="266"/>
        <v>-35000</v>
      </c>
      <c r="H16673" s="705" t="s">
        <v>10954</v>
      </c>
    </row>
    <row r="16674" spans="1:8" ht="15" x14ac:dyDescent="0.2">
      <c r="A16674" s="734">
        <v>45184</v>
      </c>
      <c r="B16674" s="63" t="s">
        <v>8043</v>
      </c>
      <c r="C16674" s="63" t="s">
        <v>11099</v>
      </c>
      <c r="D16674" s="183" t="s">
        <v>11100</v>
      </c>
      <c r="E16674" s="126">
        <v>25000</v>
      </c>
      <c r="F16674" s="58"/>
      <c r="G16674" s="58">
        <f t="shared" si="266"/>
        <v>-25000</v>
      </c>
      <c r="H16674" s="705" t="s">
        <v>10954</v>
      </c>
    </row>
    <row r="16675" spans="1:8" ht="15" x14ac:dyDescent="0.2">
      <c r="A16675" s="734">
        <v>45184</v>
      </c>
      <c r="B16675" s="63" t="s">
        <v>9356</v>
      </c>
      <c r="C16675" s="63" t="s">
        <v>10993</v>
      </c>
      <c r="D16675" s="183" t="s">
        <v>11101</v>
      </c>
      <c r="E16675" s="126">
        <v>16000</v>
      </c>
      <c r="F16675" s="58"/>
      <c r="G16675" s="58">
        <f t="shared" si="266"/>
        <v>-16000</v>
      </c>
      <c r="H16675" s="705" t="s">
        <v>10954</v>
      </c>
    </row>
    <row r="16676" spans="1:8" ht="15" x14ac:dyDescent="0.2">
      <c r="A16676" s="734">
        <v>45184</v>
      </c>
      <c r="B16676" s="63" t="s">
        <v>9769</v>
      </c>
      <c r="C16676" s="63" t="s">
        <v>10993</v>
      </c>
      <c r="D16676" s="183" t="s">
        <v>11102</v>
      </c>
      <c r="E16676" s="126">
        <v>850</v>
      </c>
      <c r="F16676" s="58"/>
      <c r="G16676" s="58">
        <f t="shared" si="266"/>
        <v>-850</v>
      </c>
      <c r="H16676" s="705" t="s">
        <v>10954</v>
      </c>
    </row>
    <row r="16677" spans="1:8" ht="15" x14ac:dyDescent="0.2">
      <c r="A16677" s="734">
        <v>45184</v>
      </c>
      <c r="B16677" s="63" t="s">
        <v>3946</v>
      </c>
      <c r="C16677" s="63" t="s">
        <v>11103</v>
      </c>
      <c r="D16677" s="183" t="s">
        <v>11104</v>
      </c>
      <c r="E16677" s="126">
        <v>100000</v>
      </c>
      <c r="F16677" s="58"/>
      <c r="G16677" s="58">
        <f t="shared" si="266"/>
        <v>-100000</v>
      </c>
      <c r="H16677" s="705" t="s">
        <v>10954</v>
      </c>
    </row>
    <row r="16678" spans="1:8" ht="24" x14ac:dyDescent="0.2">
      <c r="A16678" s="734">
        <v>45184</v>
      </c>
      <c r="B16678" s="63" t="s">
        <v>9356</v>
      </c>
      <c r="C16678" s="63" t="s">
        <v>11105</v>
      </c>
      <c r="D16678" s="183" t="s">
        <v>11107</v>
      </c>
      <c r="E16678" s="126">
        <v>55000</v>
      </c>
      <c r="F16678" s="58"/>
      <c r="G16678" s="58">
        <f t="shared" si="266"/>
        <v>-55000</v>
      </c>
      <c r="H16678" s="705" t="s">
        <v>10954</v>
      </c>
    </row>
    <row r="16679" spans="1:8" ht="15" x14ac:dyDescent="0.2">
      <c r="A16679" s="734">
        <v>45184</v>
      </c>
      <c r="B16679" s="63" t="s">
        <v>10379</v>
      </c>
      <c r="C16679" s="63" t="s">
        <v>11106</v>
      </c>
      <c r="D16679" s="183" t="s">
        <v>11116</v>
      </c>
      <c r="E16679" s="126">
        <v>60000</v>
      </c>
      <c r="F16679" s="58"/>
      <c r="G16679" s="58">
        <f t="shared" si="266"/>
        <v>-60000</v>
      </c>
      <c r="H16679" s="705" t="s">
        <v>10954</v>
      </c>
    </row>
    <row r="16680" spans="1:8" ht="15" x14ac:dyDescent="0.2">
      <c r="A16680" s="734">
        <v>45184</v>
      </c>
      <c r="B16680" s="63" t="s">
        <v>11007</v>
      </c>
      <c r="C16680" s="63" t="s">
        <v>9474</v>
      </c>
      <c r="D16680" s="183" t="s">
        <v>1157</v>
      </c>
      <c r="E16680" s="126">
        <v>20000</v>
      </c>
      <c r="F16680" s="58"/>
      <c r="G16680" s="58">
        <f t="shared" si="266"/>
        <v>-20000</v>
      </c>
      <c r="H16680" s="705" t="s">
        <v>10954</v>
      </c>
    </row>
    <row r="16681" spans="1:8" ht="15" x14ac:dyDescent="0.2">
      <c r="A16681" s="734">
        <v>45184</v>
      </c>
      <c r="B16681" s="63" t="s">
        <v>10232</v>
      </c>
      <c r="C16681" s="63" t="s">
        <v>5741</v>
      </c>
      <c r="D16681" s="183" t="s">
        <v>370</v>
      </c>
      <c r="E16681" s="126">
        <v>1200</v>
      </c>
      <c r="F16681" s="58"/>
      <c r="G16681" s="58">
        <f t="shared" si="266"/>
        <v>-1200</v>
      </c>
      <c r="H16681" s="705" t="s">
        <v>10954</v>
      </c>
    </row>
    <row r="16682" spans="1:8" ht="15" x14ac:dyDescent="0.2">
      <c r="A16682" s="734">
        <v>45184</v>
      </c>
      <c r="B16682" s="63" t="s">
        <v>11089</v>
      </c>
      <c r="C16682" s="63" t="s">
        <v>5741</v>
      </c>
      <c r="D16682" s="183" t="s">
        <v>370</v>
      </c>
      <c r="E16682" s="126">
        <v>1500</v>
      </c>
      <c r="F16682" s="58"/>
      <c r="G16682" s="58">
        <f t="shared" si="266"/>
        <v>-1500</v>
      </c>
      <c r="H16682" s="705" t="s">
        <v>10954</v>
      </c>
    </row>
    <row r="16683" spans="1:8" ht="15" x14ac:dyDescent="0.2">
      <c r="A16683" s="734">
        <v>45184</v>
      </c>
      <c r="B16683" s="63" t="s">
        <v>9356</v>
      </c>
      <c r="C16683" s="63" t="s">
        <v>10883</v>
      </c>
      <c r="D16683" s="183" t="s">
        <v>11108</v>
      </c>
      <c r="E16683" s="126">
        <v>500000</v>
      </c>
      <c r="F16683" s="58"/>
      <c r="G16683" s="58">
        <f t="shared" si="266"/>
        <v>-500000</v>
      </c>
      <c r="H16683" s="705" t="s">
        <v>10954</v>
      </c>
    </row>
    <row r="16684" spans="1:8" ht="15" x14ac:dyDescent="0.2">
      <c r="A16684" s="734">
        <v>45184</v>
      </c>
      <c r="B16684" s="63" t="s">
        <v>9769</v>
      </c>
      <c r="C16684" s="63" t="s">
        <v>392</v>
      </c>
      <c r="D16684" s="183" t="s">
        <v>11109</v>
      </c>
      <c r="E16684" s="126">
        <v>35000</v>
      </c>
      <c r="F16684" s="58"/>
      <c r="G16684" s="58">
        <f t="shared" si="266"/>
        <v>-35000</v>
      </c>
      <c r="H16684" s="705" t="s">
        <v>10954</v>
      </c>
    </row>
    <row r="16685" spans="1:8" ht="15" x14ac:dyDescent="0.2">
      <c r="A16685" s="734">
        <v>45184</v>
      </c>
      <c r="B16685" s="63" t="s">
        <v>9769</v>
      </c>
      <c r="C16685" s="551" t="s">
        <v>10889</v>
      </c>
      <c r="D16685" s="740" t="s">
        <v>11119</v>
      </c>
      <c r="E16685" s="552">
        <v>17100</v>
      </c>
      <c r="F16685" s="58"/>
      <c r="G16685" s="58">
        <f t="shared" si="266"/>
        <v>-17100</v>
      </c>
      <c r="H16685" s="705" t="s">
        <v>10954</v>
      </c>
    </row>
    <row r="16686" spans="1:8" ht="15" x14ac:dyDescent="0.2">
      <c r="A16686" s="734">
        <v>45184</v>
      </c>
      <c r="B16686" s="63" t="s">
        <v>10576</v>
      </c>
      <c r="C16686" s="551" t="s">
        <v>10889</v>
      </c>
      <c r="D16686" s="740" t="s">
        <v>11119</v>
      </c>
      <c r="E16686" s="552">
        <v>188950</v>
      </c>
      <c r="F16686" s="58"/>
      <c r="G16686" s="58">
        <f t="shared" si="266"/>
        <v>-188950</v>
      </c>
      <c r="H16686" s="705" t="s">
        <v>10954</v>
      </c>
    </row>
    <row r="16687" spans="1:8" ht="15" x14ac:dyDescent="0.2">
      <c r="A16687" s="734">
        <v>45184</v>
      </c>
      <c r="B16687" s="63" t="s">
        <v>7807</v>
      </c>
      <c r="C16687" s="551" t="s">
        <v>10889</v>
      </c>
      <c r="D16687" s="740" t="s">
        <v>11119</v>
      </c>
      <c r="E16687" s="552">
        <v>101900</v>
      </c>
      <c r="F16687" s="58"/>
      <c r="G16687" s="58">
        <f t="shared" si="266"/>
        <v>-101900</v>
      </c>
      <c r="H16687" s="705" t="s">
        <v>10954</v>
      </c>
    </row>
    <row r="16688" spans="1:8" ht="15" x14ac:dyDescent="0.2">
      <c r="A16688" s="734">
        <v>45184</v>
      </c>
      <c r="B16688" s="63" t="s">
        <v>10232</v>
      </c>
      <c r="C16688" s="551" t="s">
        <v>10889</v>
      </c>
      <c r="D16688" s="740" t="s">
        <v>11119</v>
      </c>
      <c r="E16688" s="552">
        <v>49200</v>
      </c>
      <c r="F16688" s="58"/>
      <c r="G16688" s="58">
        <f t="shared" si="266"/>
        <v>-49200</v>
      </c>
      <c r="H16688" s="705" t="s">
        <v>10954</v>
      </c>
    </row>
    <row r="16689" spans="1:10" ht="24" x14ac:dyDescent="0.2">
      <c r="A16689" s="734">
        <v>45184</v>
      </c>
      <c r="B16689" s="63" t="s">
        <v>10909</v>
      </c>
      <c r="C16689" s="551" t="s">
        <v>10889</v>
      </c>
      <c r="D16689" s="740" t="s">
        <v>11120</v>
      </c>
      <c r="E16689" s="552">
        <v>26850</v>
      </c>
      <c r="F16689" s="58"/>
      <c r="G16689" s="58">
        <f t="shared" si="266"/>
        <v>-26850</v>
      </c>
      <c r="H16689" s="705" t="s">
        <v>10954</v>
      </c>
      <c r="J16689" s="1092"/>
    </row>
    <row r="16690" spans="1:10" ht="15" x14ac:dyDescent="0.2">
      <c r="A16690" s="734">
        <v>45184</v>
      </c>
      <c r="B16690" s="63" t="s">
        <v>10576</v>
      </c>
      <c r="C16690" s="63" t="s">
        <v>11025</v>
      </c>
      <c r="D16690" s="183" t="s">
        <v>11112</v>
      </c>
      <c r="E16690" s="126">
        <v>9500</v>
      </c>
      <c r="F16690" s="58"/>
      <c r="G16690" s="58">
        <f t="shared" si="266"/>
        <v>-9500</v>
      </c>
      <c r="H16690" s="705" t="s">
        <v>10954</v>
      </c>
    </row>
    <row r="16691" spans="1:10" ht="15" x14ac:dyDescent="0.2">
      <c r="A16691" s="734">
        <v>45184</v>
      </c>
      <c r="B16691" s="63" t="s">
        <v>9356</v>
      </c>
      <c r="C16691" s="63" t="s">
        <v>9460</v>
      </c>
      <c r="D16691" s="183" t="s">
        <v>11115</v>
      </c>
      <c r="E16691" s="126">
        <v>100000</v>
      </c>
      <c r="F16691" s="58"/>
      <c r="G16691" s="58">
        <f t="shared" si="266"/>
        <v>-100000</v>
      </c>
      <c r="H16691" s="705" t="s">
        <v>10954</v>
      </c>
    </row>
    <row r="16692" spans="1:10" ht="15" x14ac:dyDescent="0.2">
      <c r="A16692" s="734">
        <v>45185</v>
      </c>
      <c r="B16692" s="63" t="s">
        <v>9356</v>
      </c>
      <c r="C16692" s="63" t="s">
        <v>5741</v>
      </c>
      <c r="D16692" s="183" t="s">
        <v>370</v>
      </c>
      <c r="E16692" s="126">
        <v>1800</v>
      </c>
      <c r="F16692" s="58"/>
      <c r="G16692" s="58">
        <f t="shared" si="266"/>
        <v>-1800</v>
      </c>
      <c r="H16692" s="705" t="s">
        <v>10954</v>
      </c>
    </row>
    <row r="16693" spans="1:10" ht="15" x14ac:dyDescent="0.2">
      <c r="A16693" s="734">
        <v>45185</v>
      </c>
      <c r="B16693" s="63" t="s">
        <v>10232</v>
      </c>
      <c r="C16693" s="63" t="s">
        <v>5741</v>
      </c>
      <c r="D16693" s="183" t="s">
        <v>5741</v>
      </c>
      <c r="E16693" s="126">
        <v>900</v>
      </c>
      <c r="F16693" s="58"/>
      <c r="G16693" s="58">
        <f t="shared" si="266"/>
        <v>-900</v>
      </c>
      <c r="H16693" s="705" t="s">
        <v>10954</v>
      </c>
    </row>
    <row r="16694" spans="1:10" ht="15" x14ac:dyDescent="0.2">
      <c r="A16694" s="734">
        <v>45185</v>
      </c>
      <c r="B16694" s="63" t="s">
        <v>10908</v>
      </c>
      <c r="C16694" s="63" t="s">
        <v>5741</v>
      </c>
      <c r="D16694" s="183" t="s">
        <v>10337</v>
      </c>
      <c r="E16694" s="126">
        <v>210</v>
      </c>
      <c r="F16694" s="58"/>
      <c r="G16694" s="58">
        <f t="shared" si="266"/>
        <v>-210</v>
      </c>
      <c r="H16694" s="705" t="s">
        <v>10954</v>
      </c>
      <c r="J16694" s="1092"/>
    </row>
    <row r="16695" spans="1:10" ht="15" x14ac:dyDescent="0.2">
      <c r="A16695" s="734">
        <v>45185</v>
      </c>
      <c r="B16695" s="63" t="s">
        <v>10908</v>
      </c>
      <c r="C16695" s="63" t="s">
        <v>3145</v>
      </c>
      <c r="D16695" s="183" t="s">
        <v>11123</v>
      </c>
      <c r="E16695" s="126">
        <v>16350</v>
      </c>
      <c r="F16695" s="58"/>
      <c r="G16695" s="58">
        <f t="shared" si="266"/>
        <v>-16350</v>
      </c>
      <c r="H16695" s="705" t="s">
        <v>10954</v>
      </c>
    </row>
    <row r="16696" spans="1:10" ht="15" x14ac:dyDescent="0.2">
      <c r="A16696" s="734">
        <v>45185</v>
      </c>
      <c r="B16696" s="63" t="s">
        <v>103</v>
      </c>
      <c r="C16696" s="63" t="s">
        <v>2996</v>
      </c>
      <c r="D16696" s="183" t="s">
        <v>370</v>
      </c>
      <c r="E16696" s="126">
        <v>4670</v>
      </c>
      <c r="F16696" s="58"/>
      <c r="G16696" s="58">
        <f t="shared" si="266"/>
        <v>-4670</v>
      </c>
      <c r="H16696" s="705" t="s">
        <v>10954</v>
      </c>
    </row>
    <row r="16697" spans="1:10" ht="15" x14ac:dyDescent="0.2">
      <c r="A16697" s="734">
        <v>45185</v>
      </c>
      <c r="B16697" s="63" t="s">
        <v>103</v>
      </c>
      <c r="C16697" s="63" t="s">
        <v>392</v>
      </c>
      <c r="D16697" s="183" t="s">
        <v>11124</v>
      </c>
      <c r="E16697" s="126">
        <v>1100</v>
      </c>
      <c r="F16697" s="58"/>
      <c r="G16697" s="58">
        <f t="shared" si="266"/>
        <v>-1100</v>
      </c>
      <c r="H16697" s="705" t="s">
        <v>10954</v>
      </c>
    </row>
    <row r="16698" spans="1:10" ht="15" x14ac:dyDescent="0.2">
      <c r="A16698" s="734">
        <v>45185</v>
      </c>
      <c r="B16698" s="63" t="s">
        <v>9769</v>
      </c>
      <c r="C16698" s="63" t="s">
        <v>10236</v>
      </c>
      <c r="D16698" s="183" t="s">
        <v>11125</v>
      </c>
      <c r="E16698" s="126">
        <v>71200</v>
      </c>
      <c r="F16698" s="58"/>
      <c r="G16698" s="58">
        <f t="shared" si="266"/>
        <v>-71200</v>
      </c>
      <c r="H16698" s="705" t="s">
        <v>10954</v>
      </c>
    </row>
    <row r="16699" spans="1:10" ht="15" x14ac:dyDescent="0.2">
      <c r="A16699" s="734">
        <v>45185</v>
      </c>
      <c r="B16699" s="63" t="s">
        <v>9409</v>
      </c>
      <c r="C16699" s="63" t="s">
        <v>3145</v>
      </c>
      <c r="D16699" s="183" t="s">
        <v>6057</v>
      </c>
      <c r="E16699" s="126">
        <v>10060</v>
      </c>
      <c r="F16699" s="58"/>
      <c r="G16699" s="58">
        <f t="shared" si="266"/>
        <v>-10060</v>
      </c>
      <c r="H16699" s="705" t="s">
        <v>10954</v>
      </c>
    </row>
    <row r="16700" spans="1:10" ht="15" x14ac:dyDescent="0.2">
      <c r="A16700" s="734">
        <v>45187</v>
      </c>
      <c r="B16700" s="63" t="s">
        <v>10232</v>
      </c>
      <c r="C16700" s="63" t="s">
        <v>10993</v>
      </c>
      <c r="D16700" s="183" t="s">
        <v>11126</v>
      </c>
      <c r="E16700" s="126">
        <v>8450</v>
      </c>
      <c r="F16700" s="58"/>
      <c r="G16700" s="58">
        <f t="shared" si="266"/>
        <v>-8450</v>
      </c>
      <c r="H16700" s="705" t="s">
        <v>10954</v>
      </c>
    </row>
    <row r="16701" spans="1:10" ht="15" x14ac:dyDescent="0.2">
      <c r="A16701" s="734">
        <v>45187</v>
      </c>
      <c r="B16701" s="63" t="s">
        <v>10908</v>
      </c>
      <c r="C16701" s="63" t="s">
        <v>10993</v>
      </c>
      <c r="D16701" s="183" t="s">
        <v>11127</v>
      </c>
      <c r="E16701" s="126">
        <v>62125</v>
      </c>
      <c r="F16701" s="58"/>
      <c r="G16701" s="58">
        <f t="shared" si="266"/>
        <v>-62125</v>
      </c>
      <c r="H16701" s="705" t="s">
        <v>10954</v>
      </c>
    </row>
    <row r="16702" spans="1:10" ht="15" x14ac:dyDescent="0.2">
      <c r="A16702" s="734">
        <v>45187</v>
      </c>
      <c r="B16702" s="63" t="s">
        <v>9986</v>
      </c>
      <c r="C16702" s="63" t="s">
        <v>10993</v>
      </c>
      <c r="D16702" s="183" t="s">
        <v>2272</v>
      </c>
      <c r="E16702" s="126">
        <v>1885</v>
      </c>
      <c r="F16702" s="58"/>
      <c r="G16702" s="58">
        <f t="shared" si="266"/>
        <v>-1885</v>
      </c>
      <c r="H16702" s="705" t="s">
        <v>10954</v>
      </c>
    </row>
    <row r="16703" spans="1:10" ht="15" x14ac:dyDescent="0.2">
      <c r="A16703" s="734">
        <v>45187</v>
      </c>
      <c r="B16703" s="63" t="s">
        <v>10151</v>
      </c>
      <c r="C16703" s="63" t="s">
        <v>10993</v>
      </c>
      <c r="D16703" s="183" t="s">
        <v>11128</v>
      </c>
      <c r="E16703" s="126">
        <v>6500</v>
      </c>
      <c r="F16703" s="58"/>
      <c r="G16703" s="58">
        <f t="shared" ref="G16703:G16766" si="267">F16703-E16703</f>
        <v>-6500</v>
      </c>
      <c r="H16703" s="705" t="s">
        <v>10954</v>
      </c>
    </row>
    <row r="16704" spans="1:10" ht="15" x14ac:dyDescent="0.2">
      <c r="A16704" s="734">
        <v>45187</v>
      </c>
      <c r="B16704" s="63" t="s">
        <v>10908</v>
      </c>
      <c r="C16704" s="63" t="s">
        <v>5741</v>
      </c>
      <c r="D16704" s="183" t="s">
        <v>370</v>
      </c>
      <c r="E16704" s="126">
        <v>3000</v>
      </c>
      <c r="F16704" s="58"/>
      <c r="G16704" s="58">
        <f t="shared" si="267"/>
        <v>-3000</v>
      </c>
      <c r="H16704" s="705" t="s">
        <v>10954</v>
      </c>
    </row>
    <row r="16705" spans="1:8" ht="15" x14ac:dyDescent="0.2">
      <c r="A16705" s="734">
        <v>45187</v>
      </c>
      <c r="B16705" s="63" t="s">
        <v>9986</v>
      </c>
      <c r="C16705" s="63" t="s">
        <v>5741</v>
      </c>
      <c r="D16705" s="183" t="s">
        <v>370</v>
      </c>
      <c r="E16705" s="126">
        <v>800</v>
      </c>
      <c r="F16705" s="58"/>
      <c r="G16705" s="58">
        <f t="shared" si="267"/>
        <v>-800</v>
      </c>
      <c r="H16705" s="705" t="s">
        <v>10954</v>
      </c>
    </row>
    <row r="16706" spans="1:8" ht="15" x14ac:dyDescent="0.2">
      <c r="A16706" s="734">
        <v>45188</v>
      </c>
      <c r="B16706" s="63" t="s">
        <v>9356</v>
      </c>
      <c r="C16706" s="63" t="s">
        <v>10993</v>
      </c>
      <c r="D16706" s="183" t="s">
        <v>11129</v>
      </c>
      <c r="E16706" s="126">
        <v>5080</v>
      </c>
      <c r="F16706" s="58"/>
      <c r="G16706" s="58">
        <f t="shared" si="267"/>
        <v>-5080</v>
      </c>
      <c r="H16706" s="705" t="s">
        <v>10954</v>
      </c>
    </row>
    <row r="16707" spans="1:8" ht="15" x14ac:dyDescent="0.2">
      <c r="A16707" s="734">
        <v>45188</v>
      </c>
      <c r="B16707" s="63" t="s">
        <v>103</v>
      </c>
      <c r="C16707" s="63" t="s">
        <v>103</v>
      </c>
      <c r="D16707" s="183" t="s">
        <v>10211</v>
      </c>
      <c r="E16707" s="126">
        <v>3000</v>
      </c>
      <c r="F16707" s="58"/>
      <c r="G16707" s="58">
        <f t="shared" si="267"/>
        <v>-3000</v>
      </c>
      <c r="H16707" s="705" t="s">
        <v>10954</v>
      </c>
    </row>
    <row r="16708" spans="1:8" ht="15" x14ac:dyDescent="0.2">
      <c r="A16708" s="734">
        <v>45188</v>
      </c>
      <c r="B16708" s="63" t="s">
        <v>10909</v>
      </c>
      <c r="C16708" s="551" t="s">
        <v>3145</v>
      </c>
      <c r="D16708" s="740" t="s">
        <v>11130</v>
      </c>
      <c r="E16708" s="552">
        <v>9417</v>
      </c>
      <c r="F16708" s="58"/>
      <c r="G16708" s="58">
        <f t="shared" si="267"/>
        <v>-9417</v>
      </c>
      <c r="H16708" s="705" t="s">
        <v>10954</v>
      </c>
    </row>
    <row r="16709" spans="1:8" ht="15" x14ac:dyDescent="0.2">
      <c r="A16709" s="734">
        <v>45188</v>
      </c>
      <c r="B16709" s="63" t="s">
        <v>10576</v>
      </c>
      <c r="C16709" s="551" t="s">
        <v>3145</v>
      </c>
      <c r="D16709" s="740" t="s">
        <v>11130</v>
      </c>
      <c r="E16709" s="552">
        <v>9417</v>
      </c>
      <c r="F16709" s="58"/>
      <c r="G16709" s="58">
        <f t="shared" si="267"/>
        <v>-9417</v>
      </c>
      <c r="H16709" s="705" t="s">
        <v>10954</v>
      </c>
    </row>
    <row r="16710" spans="1:8" ht="15" x14ac:dyDescent="0.2">
      <c r="A16710" s="734">
        <v>45188</v>
      </c>
      <c r="B16710" s="63" t="s">
        <v>10232</v>
      </c>
      <c r="C16710" s="551" t="s">
        <v>3145</v>
      </c>
      <c r="D16710" s="740" t="s">
        <v>11130</v>
      </c>
      <c r="E16710" s="552">
        <v>9417</v>
      </c>
      <c r="F16710" s="58"/>
      <c r="G16710" s="58">
        <f t="shared" si="267"/>
        <v>-9417</v>
      </c>
      <c r="H16710" s="705" t="s">
        <v>10954</v>
      </c>
    </row>
    <row r="16711" spans="1:8" ht="36" x14ac:dyDescent="0.2">
      <c r="A16711" s="734">
        <v>45188</v>
      </c>
      <c r="B16711" s="63" t="s">
        <v>9356</v>
      </c>
      <c r="C16711" s="63" t="s">
        <v>10993</v>
      </c>
      <c r="D16711" s="183" t="s">
        <v>11131</v>
      </c>
      <c r="E16711" s="126">
        <v>395000</v>
      </c>
      <c r="F16711" s="58"/>
      <c r="G16711" s="126">
        <f t="shared" si="267"/>
        <v>-395000</v>
      </c>
      <c r="H16711" s="705" t="s">
        <v>10954</v>
      </c>
    </row>
    <row r="16712" spans="1:8" ht="15" x14ac:dyDescent="0.2">
      <c r="A16712" s="734">
        <v>45188</v>
      </c>
      <c r="B16712" s="63" t="s">
        <v>9356</v>
      </c>
      <c r="C16712" s="63" t="s">
        <v>11132</v>
      </c>
      <c r="D16712" s="183" t="s">
        <v>11133</v>
      </c>
      <c r="E16712" s="126">
        <v>42300</v>
      </c>
      <c r="F16712" s="58"/>
      <c r="G16712" s="126">
        <f t="shared" si="267"/>
        <v>-42300</v>
      </c>
      <c r="H16712" s="705" t="s">
        <v>10954</v>
      </c>
    </row>
    <row r="16713" spans="1:8" ht="15" x14ac:dyDescent="0.2">
      <c r="A16713" s="734">
        <v>45188</v>
      </c>
      <c r="B16713" s="63" t="s">
        <v>10908</v>
      </c>
      <c r="C16713" s="63" t="s">
        <v>5741</v>
      </c>
      <c r="D16713" s="183" t="s">
        <v>370</v>
      </c>
      <c r="E16713" s="126">
        <v>800</v>
      </c>
      <c r="F16713" s="58"/>
      <c r="G16713" s="126">
        <f t="shared" si="267"/>
        <v>-800</v>
      </c>
      <c r="H16713" s="705" t="s">
        <v>10954</v>
      </c>
    </row>
    <row r="16714" spans="1:8" ht="15" x14ac:dyDescent="0.2">
      <c r="A16714" s="734">
        <v>45188</v>
      </c>
      <c r="B16714" s="63" t="s">
        <v>2933</v>
      </c>
      <c r="C16714" s="63" t="s">
        <v>3145</v>
      </c>
      <c r="D16714" s="183" t="s">
        <v>3588</v>
      </c>
      <c r="E16714" s="126">
        <v>9180</v>
      </c>
      <c r="F16714" s="58"/>
      <c r="G16714" s="58">
        <f t="shared" si="267"/>
        <v>-9180</v>
      </c>
      <c r="H16714" s="705" t="s">
        <v>10954</v>
      </c>
    </row>
    <row r="16715" spans="1:8" ht="15" x14ac:dyDescent="0.2">
      <c r="A16715" s="734">
        <v>45188</v>
      </c>
      <c r="B16715" s="63" t="s">
        <v>10909</v>
      </c>
      <c r="C16715" s="63" t="s">
        <v>3145</v>
      </c>
      <c r="D16715" s="183" t="s">
        <v>11144</v>
      </c>
      <c r="E16715" s="126">
        <v>10450</v>
      </c>
      <c r="F16715" s="58"/>
      <c r="G16715" s="58">
        <f t="shared" si="267"/>
        <v>-10450</v>
      </c>
      <c r="H16715" s="705" t="s">
        <v>10954</v>
      </c>
    </row>
    <row r="16716" spans="1:8" ht="15" x14ac:dyDescent="0.2">
      <c r="A16716" s="734">
        <v>45188</v>
      </c>
      <c r="B16716" s="63" t="s">
        <v>9356</v>
      </c>
      <c r="C16716" s="63" t="s">
        <v>10993</v>
      </c>
      <c r="D16716" s="183" t="s">
        <v>11134</v>
      </c>
      <c r="E16716" s="126">
        <v>1800</v>
      </c>
      <c r="F16716" s="58"/>
      <c r="G16716" s="58">
        <f t="shared" si="267"/>
        <v>-1800</v>
      </c>
      <c r="H16716" s="705" t="s">
        <v>10954</v>
      </c>
    </row>
    <row r="16717" spans="1:8" ht="15" x14ac:dyDescent="0.2">
      <c r="A16717" s="734">
        <v>45188</v>
      </c>
      <c r="B16717" s="63" t="s">
        <v>9986</v>
      </c>
      <c r="C16717" s="63" t="s">
        <v>6852</v>
      </c>
      <c r="D16717" s="183" t="s">
        <v>11133</v>
      </c>
      <c r="E16717" s="126">
        <v>45000</v>
      </c>
      <c r="F16717" s="58"/>
      <c r="G16717" s="58">
        <f t="shared" si="267"/>
        <v>-45000</v>
      </c>
      <c r="H16717" s="705" t="s">
        <v>10954</v>
      </c>
    </row>
    <row r="16718" spans="1:8" ht="15" x14ac:dyDescent="0.2">
      <c r="A16718" s="734">
        <v>45188</v>
      </c>
      <c r="B16718" s="63" t="s">
        <v>11135</v>
      </c>
      <c r="C16718" s="63" t="s">
        <v>6852</v>
      </c>
      <c r="D16718" s="183" t="s">
        <v>11133</v>
      </c>
      <c r="E16718" s="126">
        <v>5000</v>
      </c>
      <c r="F16718" s="58"/>
      <c r="G16718" s="58">
        <f t="shared" si="267"/>
        <v>-5000</v>
      </c>
      <c r="H16718" s="705" t="s">
        <v>10954</v>
      </c>
    </row>
    <row r="16719" spans="1:8" ht="15" x14ac:dyDescent="0.2">
      <c r="A16719" s="734">
        <v>45188</v>
      </c>
      <c r="B16719" s="63" t="s">
        <v>10232</v>
      </c>
      <c r="C16719" s="551" t="s">
        <v>10993</v>
      </c>
      <c r="D16719" s="740" t="s">
        <v>11137</v>
      </c>
      <c r="E16719" s="552">
        <v>19139</v>
      </c>
      <c r="F16719" s="58"/>
      <c r="G16719" s="58">
        <f t="shared" si="267"/>
        <v>-19139</v>
      </c>
      <c r="H16719" s="705" t="s">
        <v>10954</v>
      </c>
    </row>
    <row r="16720" spans="1:8" ht="15" x14ac:dyDescent="0.2">
      <c r="A16720" s="734">
        <v>45188</v>
      </c>
      <c r="B16720" s="63" t="s">
        <v>9356</v>
      </c>
      <c r="C16720" s="551" t="s">
        <v>10993</v>
      </c>
      <c r="D16720" s="740" t="s">
        <v>11137</v>
      </c>
      <c r="E16720" s="552">
        <v>19139</v>
      </c>
      <c r="F16720" s="58"/>
      <c r="G16720" s="58">
        <f t="shared" si="267"/>
        <v>-19139</v>
      </c>
      <c r="H16720" s="705" t="s">
        <v>10954</v>
      </c>
    </row>
    <row r="16721" spans="1:8" ht="15" x14ac:dyDescent="0.2">
      <c r="A16721" s="734">
        <v>45188</v>
      </c>
      <c r="B16721" s="63" t="s">
        <v>10576</v>
      </c>
      <c r="C16721" s="551" t="s">
        <v>10993</v>
      </c>
      <c r="D16721" s="740" t="s">
        <v>11137</v>
      </c>
      <c r="E16721" s="552">
        <v>19139</v>
      </c>
      <c r="F16721" s="58"/>
      <c r="G16721" s="58">
        <f t="shared" si="267"/>
        <v>-19139</v>
      </c>
      <c r="H16721" s="705" t="s">
        <v>10954</v>
      </c>
    </row>
    <row r="16722" spans="1:8" ht="15" x14ac:dyDescent="0.2">
      <c r="A16722" s="734">
        <v>45188</v>
      </c>
      <c r="B16722" s="63" t="s">
        <v>10909</v>
      </c>
      <c r="C16722" s="551" t="s">
        <v>10993</v>
      </c>
      <c r="D16722" s="740" t="s">
        <v>11137</v>
      </c>
      <c r="E16722" s="552">
        <v>19139</v>
      </c>
      <c r="F16722" s="58"/>
      <c r="G16722" s="58">
        <f t="shared" si="267"/>
        <v>-19139</v>
      </c>
      <c r="H16722" s="705" t="s">
        <v>10954</v>
      </c>
    </row>
    <row r="16723" spans="1:8" ht="15" x14ac:dyDescent="0.2">
      <c r="A16723" s="734">
        <v>45188</v>
      </c>
      <c r="B16723" s="63" t="s">
        <v>10232</v>
      </c>
      <c r="C16723" s="670" t="s">
        <v>10993</v>
      </c>
      <c r="D16723" s="907" t="s">
        <v>11138</v>
      </c>
      <c r="E16723" s="672">
        <v>11722</v>
      </c>
      <c r="F16723" s="58"/>
      <c r="G16723" s="58">
        <f t="shared" si="267"/>
        <v>-11722</v>
      </c>
      <c r="H16723" s="705" t="s">
        <v>10954</v>
      </c>
    </row>
    <row r="16724" spans="1:8" ht="15" x14ac:dyDescent="0.2">
      <c r="A16724" s="734">
        <v>45188</v>
      </c>
      <c r="B16724" s="63" t="s">
        <v>9356</v>
      </c>
      <c r="C16724" s="670" t="s">
        <v>10993</v>
      </c>
      <c r="D16724" s="907" t="s">
        <v>11138</v>
      </c>
      <c r="E16724" s="672">
        <v>11722</v>
      </c>
      <c r="F16724" s="58"/>
      <c r="G16724" s="58">
        <f t="shared" si="267"/>
        <v>-11722</v>
      </c>
      <c r="H16724" s="705" t="s">
        <v>10954</v>
      </c>
    </row>
    <row r="16725" spans="1:8" ht="15" x14ac:dyDescent="0.2">
      <c r="A16725" s="734">
        <v>45188</v>
      </c>
      <c r="B16725" s="63" t="s">
        <v>10576</v>
      </c>
      <c r="C16725" s="670" t="s">
        <v>10993</v>
      </c>
      <c r="D16725" s="907" t="s">
        <v>11138</v>
      </c>
      <c r="E16725" s="672">
        <v>11722</v>
      </c>
      <c r="F16725" s="58"/>
      <c r="G16725" s="58">
        <f t="shared" si="267"/>
        <v>-11722</v>
      </c>
      <c r="H16725" s="705" t="s">
        <v>10954</v>
      </c>
    </row>
    <row r="16726" spans="1:8" ht="15" x14ac:dyDescent="0.2">
      <c r="A16726" s="734">
        <v>45188</v>
      </c>
      <c r="B16726" s="63" t="s">
        <v>10576</v>
      </c>
      <c r="C16726" s="63" t="s">
        <v>10993</v>
      </c>
      <c r="D16726" s="183" t="s">
        <v>11136</v>
      </c>
      <c r="E16726" s="126">
        <v>913</v>
      </c>
      <c r="F16726" s="58"/>
      <c r="G16726" s="58">
        <f t="shared" si="267"/>
        <v>-913</v>
      </c>
      <c r="H16726" s="705" t="s">
        <v>10954</v>
      </c>
    </row>
    <row r="16727" spans="1:8" ht="15" x14ac:dyDescent="0.2">
      <c r="A16727" s="734">
        <v>45188</v>
      </c>
      <c r="B16727" s="63" t="s">
        <v>10909</v>
      </c>
      <c r="C16727" s="63" t="s">
        <v>5741</v>
      </c>
      <c r="D16727" s="183" t="s">
        <v>370</v>
      </c>
      <c r="E16727" s="126">
        <v>1500</v>
      </c>
      <c r="F16727" s="58"/>
      <c r="G16727" s="58">
        <f t="shared" si="267"/>
        <v>-1500</v>
      </c>
      <c r="H16727" s="705" t="s">
        <v>10954</v>
      </c>
    </row>
    <row r="16728" spans="1:8" ht="15" x14ac:dyDescent="0.2">
      <c r="A16728" s="734">
        <v>45188</v>
      </c>
      <c r="B16728" s="63" t="s">
        <v>10232</v>
      </c>
      <c r="C16728" s="63" t="s">
        <v>5741</v>
      </c>
      <c r="D16728" s="183" t="s">
        <v>370</v>
      </c>
      <c r="E16728" s="126">
        <v>300</v>
      </c>
      <c r="F16728" s="58"/>
      <c r="G16728" s="58">
        <f t="shared" si="267"/>
        <v>-300</v>
      </c>
      <c r="H16728" s="705" t="s">
        <v>10954</v>
      </c>
    </row>
    <row r="16729" spans="1:8" s="682" customFormat="1" ht="24" customHeight="1" x14ac:dyDescent="0.25">
      <c r="A16729" s="734">
        <v>45188</v>
      </c>
      <c r="B16729" s="63" t="s">
        <v>10909</v>
      </c>
      <c r="C16729" s="63" t="s">
        <v>11110</v>
      </c>
      <c r="D16729" s="183" t="s">
        <v>11139</v>
      </c>
      <c r="E16729" s="126">
        <v>1000000</v>
      </c>
      <c r="F16729" s="126"/>
      <c r="G16729" s="126">
        <f t="shared" si="267"/>
        <v>-1000000</v>
      </c>
      <c r="H16729" s="705" t="s">
        <v>10954</v>
      </c>
    </row>
    <row r="16730" spans="1:8" s="682" customFormat="1" ht="36" customHeight="1" x14ac:dyDescent="0.25">
      <c r="A16730" s="734">
        <v>45188</v>
      </c>
      <c r="B16730" s="63" t="s">
        <v>10909</v>
      </c>
      <c r="C16730" s="63" t="s">
        <v>11110</v>
      </c>
      <c r="D16730" s="183" t="s">
        <v>11140</v>
      </c>
      <c r="E16730" s="126">
        <v>1000000</v>
      </c>
      <c r="F16730" s="126"/>
      <c r="G16730" s="126">
        <f t="shared" si="267"/>
        <v>-1000000</v>
      </c>
      <c r="H16730" s="705" t="s">
        <v>10954</v>
      </c>
    </row>
    <row r="16731" spans="1:8" ht="15" x14ac:dyDescent="0.2">
      <c r="A16731" s="734">
        <v>45188</v>
      </c>
      <c r="B16731" s="63" t="s">
        <v>10232</v>
      </c>
      <c r="C16731" s="63" t="s">
        <v>9549</v>
      </c>
      <c r="D16731" s="183" t="s">
        <v>11142</v>
      </c>
      <c r="E16731" s="126">
        <v>50000</v>
      </c>
      <c r="F16731" s="58"/>
      <c r="G16731" s="58">
        <f t="shared" si="267"/>
        <v>-50000</v>
      </c>
      <c r="H16731" s="705" t="s">
        <v>10954</v>
      </c>
    </row>
    <row r="16732" spans="1:8" ht="15" x14ac:dyDescent="0.2">
      <c r="A16732" s="734">
        <v>45189</v>
      </c>
      <c r="B16732" s="63" t="s">
        <v>11093</v>
      </c>
      <c r="C16732" s="63" t="s">
        <v>6706</v>
      </c>
      <c r="D16732" s="183" t="s">
        <v>11145</v>
      </c>
      <c r="E16732" s="126">
        <v>996000</v>
      </c>
      <c r="F16732" s="58"/>
      <c r="G16732" s="58">
        <f t="shared" si="267"/>
        <v>-996000</v>
      </c>
      <c r="H16732" s="705" t="s">
        <v>10954</v>
      </c>
    </row>
    <row r="16733" spans="1:8" ht="15" x14ac:dyDescent="0.2">
      <c r="A16733" s="734">
        <v>45189</v>
      </c>
      <c r="B16733" s="736" t="s">
        <v>10232</v>
      </c>
      <c r="C16733" s="63" t="s">
        <v>10445</v>
      </c>
      <c r="D16733" s="183" t="s">
        <v>11147</v>
      </c>
      <c r="E16733" s="126">
        <v>850000</v>
      </c>
      <c r="F16733" s="58"/>
      <c r="G16733" s="58">
        <f t="shared" si="267"/>
        <v>-850000</v>
      </c>
      <c r="H16733" s="705" t="s">
        <v>10954</v>
      </c>
    </row>
    <row r="16734" spans="1:8" ht="24" x14ac:dyDescent="0.2">
      <c r="A16734" s="734">
        <v>45189</v>
      </c>
      <c r="B16734" s="63" t="s">
        <v>9356</v>
      </c>
      <c r="C16734" s="63" t="s">
        <v>10993</v>
      </c>
      <c r="D16734" s="183" t="s">
        <v>11148</v>
      </c>
      <c r="E16734" s="126">
        <v>85170</v>
      </c>
      <c r="F16734" s="58"/>
      <c r="G16734" s="58">
        <f t="shared" si="267"/>
        <v>-85170</v>
      </c>
      <c r="H16734" s="705" t="s">
        <v>10954</v>
      </c>
    </row>
    <row r="16735" spans="1:8" ht="15" x14ac:dyDescent="0.2">
      <c r="A16735" s="734">
        <v>45189</v>
      </c>
      <c r="B16735" s="63" t="s">
        <v>9409</v>
      </c>
      <c r="C16735" s="551" t="s">
        <v>379</v>
      </c>
      <c r="D16735" s="740" t="s">
        <v>11149</v>
      </c>
      <c r="E16735" s="552">
        <v>4370</v>
      </c>
      <c r="F16735" s="58"/>
      <c r="G16735" s="58">
        <f t="shared" si="267"/>
        <v>-4370</v>
      </c>
      <c r="H16735" s="705" t="s">
        <v>10954</v>
      </c>
    </row>
    <row r="16736" spans="1:8" ht="15" x14ac:dyDescent="0.2">
      <c r="A16736" s="734">
        <v>45189</v>
      </c>
      <c r="B16736" s="63" t="s">
        <v>9967</v>
      </c>
      <c r="C16736" s="551" t="s">
        <v>379</v>
      </c>
      <c r="D16736" s="740" t="s">
        <v>11149</v>
      </c>
      <c r="E16736" s="552">
        <v>1260</v>
      </c>
      <c r="F16736" s="58"/>
      <c r="G16736" s="58">
        <f t="shared" si="267"/>
        <v>-1260</v>
      </c>
      <c r="H16736" s="705" t="s">
        <v>10954</v>
      </c>
    </row>
    <row r="16737" spans="1:8" ht="15" x14ac:dyDescent="0.2">
      <c r="A16737" s="734">
        <v>45189</v>
      </c>
      <c r="B16737" s="63" t="s">
        <v>9986</v>
      </c>
      <c r="C16737" s="551" t="s">
        <v>379</v>
      </c>
      <c r="D16737" s="740" t="s">
        <v>11149</v>
      </c>
      <c r="E16737" s="552">
        <v>9626</v>
      </c>
      <c r="F16737" s="58"/>
      <c r="G16737" s="58">
        <f t="shared" si="267"/>
        <v>-9626</v>
      </c>
      <c r="H16737" s="705" t="s">
        <v>10954</v>
      </c>
    </row>
    <row r="16738" spans="1:8" ht="15" x14ac:dyDescent="0.2">
      <c r="A16738" s="734">
        <v>45189</v>
      </c>
      <c r="B16738" s="63" t="s">
        <v>10151</v>
      </c>
      <c r="C16738" s="551" t="s">
        <v>379</v>
      </c>
      <c r="D16738" s="740" t="s">
        <v>11149</v>
      </c>
      <c r="E16738" s="552">
        <v>6023</v>
      </c>
      <c r="F16738" s="58"/>
      <c r="G16738" s="58">
        <f t="shared" si="267"/>
        <v>-6023</v>
      </c>
      <c r="H16738" s="705" t="s">
        <v>10954</v>
      </c>
    </row>
    <row r="16739" spans="1:8" ht="15" x14ac:dyDescent="0.2">
      <c r="A16739" s="734">
        <v>45189</v>
      </c>
      <c r="B16739" s="63" t="s">
        <v>10296</v>
      </c>
      <c r="C16739" s="551" t="s">
        <v>379</v>
      </c>
      <c r="D16739" s="740" t="s">
        <v>11149</v>
      </c>
      <c r="E16739" s="552">
        <v>6055</v>
      </c>
      <c r="F16739" s="58"/>
      <c r="G16739" s="58">
        <f t="shared" si="267"/>
        <v>-6055</v>
      </c>
      <c r="H16739" s="705" t="s">
        <v>10954</v>
      </c>
    </row>
    <row r="16740" spans="1:8" ht="15" x14ac:dyDescent="0.2">
      <c r="A16740" s="734">
        <v>45189</v>
      </c>
      <c r="B16740" s="63" t="s">
        <v>10471</v>
      </c>
      <c r="C16740" s="551" t="s">
        <v>379</v>
      </c>
      <c r="D16740" s="740" t="s">
        <v>11149</v>
      </c>
      <c r="E16740" s="552">
        <v>60002</v>
      </c>
      <c r="F16740" s="58"/>
      <c r="G16740" s="58">
        <f t="shared" si="267"/>
        <v>-60002</v>
      </c>
      <c r="H16740" s="705" t="s">
        <v>10954</v>
      </c>
    </row>
    <row r="16741" spans="1:8" ht="15" x14ac:dyDescent="0.2">
      <c r="A16741" s="734">
        <v>45189</v>
      </c>
      <c r="B16741" s="63" t="s">
        <v>10232</v>
      </c>
      <c r="C16741" s="551" t="s">
        <v>379</v>
      </c>
      <c r="D16741" s="740" t="s">
        <v>11149</v>
      </c>
      <c r="E16741" s="552">
        <v>9551</v>
      </c>
      <c r="F16741" s="58"/>
      <c r="G16741" s="58">
        <f t="shared" si="267"/>
        <v>-9551</v>
      </c>
      <c r="H16741" s="705" t="s">
        <v>10954</v>
      </c>
    </row>
    <row r="16742" spans="1:8" ht="15" x14ac:dyDescent="0.2">
      <c r="A16742" s="734">
        <v>45189</v>
      </c>
      <c r="B16742" s="63" t="s">
        <v>9356</v>
      </c>
      <c r="C16742" s="551" t="s">
        <v>379</v>
      </c>
      <c r="D16742" s="740" t="s">
        <v>11149</v>
      </c>
      <c r="E16742" s="552">
        <v>20807</v>
      </c>
      <c r="F16742" s="58"/>
      <c r="G16742" s="58">
        <f t="shared" si="267"/>
        <v>-20807</v>
      </c>
      <c r="H16742" s="705" t="s">
        <v>10954</v>
      </c>
    </row>
    <row r="16743" spans="1:8" ht="15" x14ac:dyDescent="0.2">
      <c r="A16743" s="734">
        <v>45189</v>
      </c>
      <c r="B16743" s="63" t="s">
        <v>10379</v>
      </c>
      <c r="C16743" s="551" t="s">
        <v>379</v>
      </c>
      <c r="D16743" s="740" t="s">
        <v>11149</v>
      </c>
      <c r="E16743" s="552">
        <v>14924</v>
      </c>
      <c r="F16743" s="58"/>
      <c r="G16743" s="58">
        <f t="shared" si="267"/>
        <v>-14924</v>
      </c>
      <c r="H16743" s="705" t="s">
        <v>10954</v>
      </c>
    </row>
    <row r="16744" spans="1:8" ht="15" x14ac:dyDescent="0.2">
      <c r="A16744" s="734">
        <v>45189</v>
      </c>
      <c r="B16744" s="63" t="s">
        <v>6508</v>
      </c>
      <c r="C16744" s="670" t="s">
        <v>2386</v>
      </c>
      <c r="D16744" s="907" t="s">
        <v>11150</v>
      </c>
      <c r="E16744" s="672">
        <v>28855</v>
      </c>
      <c r="F16744" s="58"/>
      <c r="G16744" s="58">
        <f t="shared" si="267"/>
        <v>-28855</v>
      </c>
      <c r="H16744" s="705" t="s">
        <v>10954</v>
      </c>
    </row>
    <row r="16745" spans="1:8" ht="15" x14ac:dyDescent="0.2">
      <c r="A16745" s="734">
        <v>45189</v>
      </c>
      <c r="B16745" s="63" t="s">
        <v>9409</v>
      </c>
      <c r="C16745" s="670" t="s">
        <v>2386</v>
      </c>
      <c r="D16745" s="907" t="s">
        <v>11150</v>
      </c>
      <c r="E16745" s="672">
        <v>4250</v>
      </c>
      <c r="F16745" s="58"/>
      <c r="G16745" s="58">
        <f t="shared" si="267"/>
        <v>-4250</v>
      </c>
      <c r="H16745" s="705" t="s">
        <v>10954</v>
      </c>
    </row>
    <row r="16746" spans="1:8" ht="15" x14ac:dyDescent="0.2">
      <c r="A16746" s="734">
        <v>45189</v>
      </c>
      <c r="B16746" s="63" t="s">
        <v>10471</v>
      </c>
      <c r="C16746" s="670" t="s">
        <v>2386</v>
      </c>
      <c r="D16746" s="907" t="s">
        <v>11150</v>
      </c>
      <c r="E16746" s="672">
        <v>2880</v>
      </c>
      <c r="F16746" s="58"/>
      <c r="G16746" s="58">
        <f t="shared" si="267"/>
        <v>-2880</v>
      </c>
      <c r="H16746" s="705" t="s">
        <v>10954</v>
      </c>
    </row>
    <row r="16747" spans="1:8" ht="15" x14ac:dyDescent="0.2">
      <c r="A16747" s="734">
        <v>45189</v>
      </c>
      <c r="B16747" s="63" t="s">
        <v>10379</v>
      </c>
      <c r="C16747" s="670" t="s">
        <v>2386</v>
      </c>
      <c r="D16747" s="907" t="s">
        <v>11150</v>
      </c>
      <c r="E16747" s="672">
        <v>69164</v>
      </c>
      <c r="F16747" s="58"/>
      <c r="G16747" s="58">
        <f t="shared" si="267"/>
        <v>-69164</v>
      </c>
      <c r="H16747" s="705" t="s">
        <v>10954</v>
      </c>
    </row>
    <row r="16748" spans="1:8" ht="24" x14ac:dyDescent="0.2">
      <c r="A16748" s="734">
        <v>45189</v>
      </c>
      <c r="B16748" s="63" t="s">
        <v>10232</v>
      </c>
      <c r="C16748" s="63" t="s">
        <v>10993</v>
      </c>
      <c r="D16748" s="183" t="s">
        <v>11151</v>
      </c>
      <c r="E16748" s="126">
        <v>25400</v>
      </c>
      <c r="F16748" s="58"/>
      <c r="G16748" s="58">
        <f t="shared" si="267"/>
        <v>-25400</v>
      </c>
      <c r="H16748" s="705" t="s">
        <v>10954</v>
      </c>
    </row>
    <row r="16749" spans="1:8" ht="15" x14ac:dyDescent="0.2">
      <c r="A16749" s="734">
        <v>45190</v>
      </c>
      <c r="B16749" s="63" t="s">
        <v>11093</v>
      </c>
      <c r="C16749" s="63" t="s">
        <v>10993</v>
      </c>
      <c r="D16749" s="183" t="s">
        <v>11152</v>
      </c>
      <c r="E16749" s="126">
        <v>18950</v>
      </c>
      <c r="F16749" s="58"/>
      <c r="G16749" s="58">
        <f t="shared" si="267"/>
        <v>-18950</v>
      </c>
      <c r="H16749" s="705" t="s">
        <v>10954</v>
      </c>
    </row>
    <row r="16750" spans="1:8" ht="15" x14ac:dyDescent="0.2">
      <c r="A16750" s="734">
        <v>45190</v>
      </c>
      <c r="B16750" s="63" t="s">
        <v>10908</v>
      </c>
      <c r="C16750" s="63" t="s">
        <v>5741</v>
      </c>
      <c r="D16750" s="183" t="s">
        <v>370</v>
      </c>
      <c r="E16750" s="126">
        <v>2900</v>
      </c>
      <c r="F16750" s="58"/>
      <c r="G16750" s="58">
        <f t="shared" si="267"/>
        <v>-2900</v>
      </c>
      <c r="H16750" s="705" t="s">
        <v>10954</v>
      </c>
    </row>
    <row r="16751" spans="1:8" ht="15" x14ac:dyDescent="0.2">
      <c r="A16751" s="734">
        <v>45190</v>
      </c>
      <c r="B16751" s="63" t="s">
        <v>103</v>
      </c>
      <c r="C16751" s="63" t="s">
        <v>103</v>
      </c>
      <c r="D16751" s="183" t="s">
        <v>10211</v>
      </c>
      <c r="E16751" s="126">
        <v>3500</v>
      </c>
      <c r="F16751" s="58"/>
      <c r="G16751" s="58">
        <f t="shared" si="267"/>
        <v>-3500</v>
      </c>
      <c r="H16751" s="705" t="s">
        <v>10954</v>
      </c>
    </row>
    <row r="16752" spans="1:8" ht="15" x14ac:dyDescent="0.2">
      <c r="A16752" s="734">
        <v>45190</v>
      </c>
      <c r="B16752" s="63" t="s">
        <v>10232</v>
      </c>
      <c r="C16752" s="63" t="s">
        <v>10993</v>
      </c>
      <c r="D16752" s="183" t="s">
        <v>11166</v>
      </c>
      <c r="E16752" s="126">
        <v>183000</v>
      </c>
      <c r="F16752" s="58"/>
      <c r="G16752" s="58">
        <f t="shared" si="267"/>
        <v>-183000</v>
      </c>
      <c r="H16752" s="705" t="s">
        <v>10954</v>
      </c>
    </row>
    <row r="16753" spans="1:8" ht="15" x14ac:dyDescent="0.2">
      <c r="A16753" s="734">
        <v>45190</v>
      </c>
      <c r="B16753" s="63" t="s">
        <v>9986</v>
      </c>
      <c r="C16753" s="551" t="s">
        <v>705</v>
      </c>
      <c r="D16753" s="740" t="s">
        <v>11167</v>
      </c>
      <c r="E16753" s="552">
        <v>100000</v>
      </c>
      <c r="F16753" s="58"/>
      <c r="G16753" s="58">
        <f t="shared" si="267"/>
        <v>-100000</v>
      </c>
      <c r="H16753" s="705" t="s">
        <v>10954</v>
      </c>
    </row>
    <row r="16754" spans="1:8" ht="15" x14ac:dyDescent="0.2">
      <c r="A16754" s="734">
        <v>45190</v>
      </c>
      <c r="B16754" s="63" t="s">
        <v>11093</v>
      </c>
      <c r="C16754" s="551" t="s">
        <v>705</v>
      </c>
      <c r="D16754" s="740" t="s">
        <v>11167</v>
      </c>
      <c r="E16754" s="552">
        <v>100000</v>
      </c>
      <c r="F16754" s="58"/>
      <c r="G16754" s="58">
        <f t="shared" si="267"/>
        <v>-100000</v>
      </c>
      <c r="H16754" s="705" t="s">
        <v>10954</v>
      </c>
    </row>
    <row r="16755" spans="1:8" ht="15" x14ac:dyDescent="0.2">
      <c r="A16755" s="734">
        <v>45190</v>
      </c>
      <c r="B16755" s="63" t="s">
        <v>9356</v>
      </c>
      <c r="C16755" s="551" t="s">
        <v>705</v>
      </c>
      <c r="D16755" s="740" t="s">
        <v>11167</v>
      </c>
      <c r="E16755" s="552">
        <v>300000</v>
      </c>
      <c r="F16755" s="58"/>
      <c r="G16755" s="58">
        <f t="shared" si="267"/>
        <v>-300000</v>
      </c>
      <c r="H16755" s="705" t="s">
        <v>10954</v>
      </c>
    </row>
    <row r="16756" spans="1:8" ht="15" x14ac:dyDescent="0.2">
      <c r="A16756" s="734">
        <v>45190</v>
      </c>
      <c r="B16756" s="63" t="s">
        <v>10232</v>
      </c>
      <c r="C16756" s="63" t="s">
        <v>8394</v>
      </c>
      <c r="D16756" s="183" t="s">
        <v>11169</v>
      </c>
      <c r="E16756" s="126">
        <v>500000</v>
      </c>
      <c r="F16756" s="58"/>
      <c r="G16756" s="58">
        <f t="shared" si="267"/>
        <v>-500000</v>
      </c>
      <c r="H16756" s="705" t="s">
        <v>10954</v>
      </c>
    </row>
    <row r="16757" spans="1:8" ht="15" x14ac:dyDescent="0.2">
      <c r="A16757" s="734">
        <v>45190</v>
      </c>
      <c r="B16757" s="63" t="s">
        <v>10909</v>
      </c>
      <c r="C16757" s="63" t="s">
        <v>10993</v>
      </c>
      <c r="D16757" s="183" t="s">
        <v>6386</v>
      </c>
      <c r="E16757" s="126">
        <v>1610</v>
      </c>
      <c r="F16757" s="58"/>
      <c r="G16757" s="58">
        <f t="shared" si="267"/>
        <v>-1610</v>
      </c>
      <c r="H16757" s="705" t="s">
        <v>10954</v>
      </c>
    </row>
    <row r="16758" spans="1:8" ht="15" x14ac:dyDescent="0.2">
      <c r="A16758" s="734">
        <v>45190</v>
      </c>
      <c r="B16758" s="63" t="s">
        <v>9356</v>
      </c>
      <c r="C16758" s="63" t="s">
        <v>10993</v>
      </c>
      <c r="D16758" s="183" t="s">
        <v>11154</v>
      </c>
      <c r="E16758" s="126">
        <v>5612</v>
      </c>
      <c r="F16758" s="58"/>
      <c r="G16758" s="58">
        <f t="shared" si="267"/>
        <v>-5612</v>
      </c>
      <c r="H16758" s="705" t="s">
        <v>10954</v>
      </c>
    </row>
    <row r="16759" spans="1:8" ht="15" x14ac:dyDescent="0.2">
      <c r="A16759" s="734">
        <v>45190</v>
      </c>
      <c r="B16759" s="63" t="s">
        <v>10909</v>
      </c>
      <c r="C16759" s="63" t="s">
        <v>286</v>
      </c>
      <c r="D16759" s="183" t="s">
        <v>8663</v>
      </c>
      <c r="E16759" s="126">
        <v>1000</v>
      </c>
      <c r="F16759" s="58"/>
      <c r="G16759" s="58">
        <f t="shared" si="267"/>
        <v>-1000</v>
      </c>
      <c r="H16759" s="705" t="s">
        <v>10954</v>
      </c>
    </row>
    <row r="16760" spans="1:8" ht="15" x14ac:dyDescent="0.2">
      <c r="A16760" s="734">
        <v>45190</v>
      </c>
      <c r="B16760" s="63" t="s">
        <v>11089</v>
      </c>
      <c r="C16760" s="63" t="s">
        <v>5387</v>
      </c>
      <c r="D16760" s="183" t="s">
        <v>370</v>
      </c>
      <c r="E16760" s="126">
        <v>6000</v>
      </c>
      <c r="F16760" s="58"/>
      <c r="G16760" s="58">
        <f t="shared" si="267"/>
        <v>-6000</v>
      </c>
      <c r="H16760" s="705" t="s">
        <v>10954</v>
      </c>
    </row>
    <row r="16761" spans="1:8" ht="15" x14ac:dyDescent="0.2">
      <c r="A16761" s="734">
        <v>45190</v>
      </c>
      <c r="B16761" s="63" t="s">
        <v>10571</v>
      </c>
      <c r="C16761" s="63" t="s">
        <v>286</v>
      </c>
      <c r="D16761" s="183" t="s">
        <v>8163</v>
      </c>
      <c r="E16761" s="126">
        <v>750</v>
      </c>
      <c r="F16761" s="58"/>
      <c r="G16761" s="58">
        <f t="shared" si="267"/>
        <v>-750</v>
      </c>
      <c r="H16761" s="705" t="s">
        <v>10954</v>
      </c>
    </row>
    <row r="16762" spans="1:8" ht="15" x14ac:dyDescent="0.2">
      <c r="A16762" s="734">
        <v>45191</v>
      </c>
      <c r="B16762" s="63" t="s">
        <v>2933</v>
      </c>
      <c r="C16762" s="63" t="s">
        <v>5741</v>
      </c>
      <c r="D16762" s="183" t="s">
        <v>370</v>
      </c>
      <c r="E16762" s="126">
        <v>1600</v>
      </c>
      <c r="F16762" s="58"/>
      <c r="G16762" s="58">
        <f t="shared" si="267"/>
        <v>-1600</v>
      </c>
      <c r="H16762" s="705" t="s">
        <v>10954</v>
      </c>
    </row>
    <row r="16763" spans="1:8" ht="15" x14ac:dyDescent="0.2">
      <c r="A16763" s="734">
        <v>45191</v>
      </c>
      <c r="B16763" s="63" t="s">
        <v>103</v>
      </c>
      <c r="C16763" s="63" t="s">
        <v>103</v>
      </c>
      <c r="D16763" s="183" t="s">
        <v>10211</v>
      </c>
      <c r="E16763" s="126">
        <v>3500</v>
      </c>
      <c r="F16763" s="58"/>
      <c r="G16763" s="58">
        <f t="shared" si="267"/>
        <v>-3500</v>
      </c>
      <c r="H16763" s="705" t="s">
        <v>10954</v>
      </c>
    </row>
    <row r="16764" spans="1:8" ht="15" x14ac:dyDescent="0.2">
      <c r="A16764" s="734">
        <v>45191</v>
      </c>
      <c r="B16764" s="63" t="s">
        <v>10232</v>
      </c>
      <c r="C16764" s="63" t="s">
        <v>286</v>
      </c>
      <c r="D16764" s="183" t="s">
        <v>8663</v>
      </c>
      <c r="E16764" s="126">
        <v>300</v>
      </c>
      <c r="F16764" s="58"/>
      <c r="G16764" s="58">
        <f t="shared" si="267"/>
        <v>-300</v>
      </c>
      <c r="H16764" s="705" t="s">
        <v>10954</v>
      </c>
    </row>
    <row r="16765" spans="1:8" ht="15" x14ac:dyDescent="0.2">
      <c r="A16765" s="734">
        <v>45191</v>
      </c>
      <c r="B16765" s="63" t="s">
        <v>10571</v>
      </c>
      <c r="C16765" s="63" t="s">
        <v>11056</v>
      </c>
      <c r="D16765" s="183" t="s">
        <v>11155</v>
      </c>
      <c r="E16765" s="126">
        <v>1000</v>
      </c>
      <c r="F16765" s="58"/>
      <c r="G16765" s="58">
        <f t="shared" si="267"/>
        <v>-1000</v>
      </c>
      <c r="H16765" s="705" t="s">
        <v>10954</v>
      </c>
    </row>
    <row r="16766" spans="1:8" ht="15" x14ac:dyDescent="0.2">
      <c r="A16766" s="734">
        <v>45191</v>
      </c>
      <c r="B16766" s="63" t="s">
        <v>10571</v>
      </c>
      <c r="C16766" s="63" t="s">
        <v>11056</v>
      </c>
      <c r="D16766" s="183" t="s">
        <v>11156</v>
      </c>
      <c r="E16766" s="126">
        <v>1500</v>
      </c>
      <c r="F16766" s="58"/>
      <c r="G16766" s="58">
        <f t="shared" si="267"/>
        <v>-1500</v>
      </c>
      <c r="H16766" s="705" t="s">
        <v>10954</v>
      </c>
    </row>
    <row r="16767" spans="1:8" ht="15" x14ac:dyDescent="0.2">
      <c r="A16767" s="734">
        <v>45191</v>
      </c>
      <c r="B16767" s="63" t="s">
        <v>10232</v>
      </c>
      <c r="C16767" s="63" t="s">
        <v>5741</v>
      </c>
      <c r="D16767" s="183" t="s">
        <v>10337</v>
      </c>
      <c r="E16767" s="126">
        <v>200</v>
      </c>
      <c r="F16767" s="58"/>
      <c r="G16767" s="58">
        <f t="shared" ref="G16767:G16830" si="268">F16767-E16767</f>
        <v>-200</v>
      </c>
      <c r="H16767" s="705" t="s">
        <v>10954</v>
      </c>
    </row>
    <row r="16768" spans="1:8" ht="15" x14ac:dyDescent="0.2">
      <c r="A16768" s="734">
        <v>45191</v>
      </c>
      <c r="B16768" s="63" t="s">
        <v>10471</v>
      </c>
      <c r="C16768" s="63" t="s">
        <v>10993</v>
      </c>
      <c r="D16768" s="183" t="s">
        <v>11157</v>
      </c>
      <c r="E16768" s="126">
        <v>57600</v>
      </c>
      <c r="F16768" s="58"/>
      <c r="G16768" s="58">
        <f t="shared" si="268"/>
        <v>-57600</v>
      </c>
      <c r="H16768" s="705" t="s">
        <v>10954</v>
      </c>
    </row>
    <row r="16769" spans="1:8" ht="15" customHeight="1" x14ac:dyDescent="0.2">
      <c r="A16769" s="734">
        <v>45191</v>
      </c>
      <c r="B16769" s="63" t="s">
        <v>10296</v>
      </c>
      <c r="C16769" s="63" t="s">
        <v>11158</v>
      </c>
      <c r="D16769" s="183" t="s">
        <v>370</v>
      </c>
      <c r="E16769" s="126">
        <v>40000</v>
      </c>
      <c r="F16769" s="58"/>
      <c r="G16769" s="58">
        <f t="shared" si="268"/>
        <v>-40000</v>
      </c>
      <c r="H16769" s="705" t="s">
        <v>10954</v>
      </c>
    </row>
    <row r="16770" spans="1:8" ht="15" x14ac:dyDescent="0.2">
      <c r="A16770" s="734">
        <v>45191</v>
      </c>
      <c r="B16770" s="63" t="s">
        <v>10576</v>
      </c>
      <c r="C16770" s="63" t="s">
        <v>256</v>
      </c>
      <c r="D16770" s="183" t="s">
        <v>11159</v>
      </c>
      <c r="E16770" s="126">
        <v>1000000</v>
      </c>
      <c r="F16770" s="58"/>
      <c r="G16770" s="58">
        <f t="shared" si="268"/>
        <v>-1000000</v>
      </c>
      <c r="H16770" s="705" t="s">
        <v>10954</v>
      </c>
    </row>
    <row r="16771" spans="1:8" ht="15" x14ac:dyDescent="0.2">
      <c r="A16771" s="734">
        <v>45191</v>
      </c>
      <c r="B16771" s="63"/>
      <c r="C16771" s="63" t="s">
        <v>1509</v>
      </c>
      <c r="D16771" s="183" t="s">
        <v>11184</v>
      </c>
      <c r="E16771" s="126">
        <v>69000</v>
      </c>
      <c r="F16771" s="58"/>
      <c r="G16771" s="58">
        <f t="shared" si="268"/>
        <v>-69000</v>
      </c>
      <c r="H16771" s="705" t="s">
        <v>10954</v>
      </c>
    </row>
    <row r="16772" spans="1:8" ht="15" x14ac:dyDescent="0.2">
      <c r="A16772" s="734">
        <v>45192</v>
      </c>
      <c r="B16772" s="63" t="s">
        <v>9356</v>
      </c>
      <c r="C16772" s="63" t="s">
        <v>10993</v>
      </c>
      <c r="D16772" s="183" t="s">
        <v>9917</v>
      </c>
      <c r="E16772" s="126">
        <v>12750</v>
      </c>
      <c r="F16772" s="58"/>
      <c r="G16772" s="58">
        <f t="shared" si="268"/>
        <v>-12750</v>
      </c>
      <c r="H16772" s="705" t="s">
        <v>10954</v>
      </c>
    </row>
    <row r="16773" spans="1:8" ht="24" x14ac:dyDescent="0.2">
      <c r="A16773" s="734">
        <v>45194</v>
      </c>
      <c r="B16773" s="63" t="s">
        <v>10576</v>
      </c>
      <c r="C16773" s="63" t="s">
        <v>10993</v>
      </c>
      <c r="D16773" s="183" t="s">
        <v>11151</v>
      </c>
      <c r="E16773" s="126">
        <v>25400</v>
      </c>
      <c r="F16773" s="58"/>
      <c r="G16773" s="58">
        <f t="shared" si="268"/>
        <v>-25400</v>
      </c>
      <c r="H16773" s="705" t="s">
        <v>10954</v>
      </c>
    </row>
    <row r="16774" spans="1:8" ht="15" customHeight="1" x14ac:dyDescent="0.2">
      <c r="A16774" s="734">
        <v>45194</v>
      </c>
      <c r="B16774" s="63" t="s">
        <v>9356</v>
      </c>
      <c r="C16774" s="63" t="s">
        <v>10883</v>
      </c>
      <c r="D16774" s="183" t="s">
        <v>11170</v>
      </c>
      <c r="E16774" s="126">
        <v>340000</v>
      </c>
      <c r="F16774" s="58"/>
      <c r="G16774" s="58">
        <f t="shared" si="268"/>
        <v>-340000</v>
      </c>
      <c r="H16774" s="705" t="s">
        <v>10954</v>
      </c>
    </row>
    <row r="16775" spans="1:8" ht="15" x14ac:dyDescent="0.2">
      <c r="A16775" s="734">
        <v>45194</v>
      </c>
      <c r="B16775" s="63" t="s">
        <v>11093</v>
      </c>
      <c r="C16775" s="63" t="s">
        <v>7467</v>
      </c>
      <c r="D16775" s="183" t="s">
        <v>11171</v>
      </c>
      <c r="E16775" s="126">
        <v>500000</v>
      </c>
      <c r="F16775" s="58"/>
      <c r="G16775" s="58">
        <f t="shared" si="268"/>
        <v>-500000</v>
      </c>
      <c r="H16775" s="705" t="s">
        <v>10954</v>
      </c>
    </row>
    <row r="16776" spans="1:8" ht="15" x14ac:dyDescent="0.2">
      <c r="A16776" s="734">
        <v>45194</v>
      </c>
      <c r="B16776" s="63" t="s">
        <v>9967</v>
      </c>
      <c r="C16776" s="551" t="s">
        <v>3033</v>
      </c>
      <c r="D16776" s="740" t="s">
        <v>11175</v>
      </c>
      <c r="E16776" s="552">
        <v>16667</v>
      </c>
      <c r="F16776" s="58"/>
      <c r="G16776" s="58">
        <f t="shared" si="268"/>
        <v>-16667</v>
      </c>
      <c r="H16776" s="705" t="s">
        <v>10954</v>
      </c>
    </row>
    <row r="16777" spans="1:8" ht="15" customHeight="1" x14ac:dyDescent="0.2">
      <c r="A16777" s="734">
        <v>45194</v>
      </c>
      <c r="B16777" s="63" t="s">
        <v>10471</v>
      </c>
      <c r="C16777" s="551" t="s">
        <v>3033</v>
      </c>
      <c r="D16777" s="740" t="s">
        <v>11175</v>
      </c>
      <c r="E16777" s="552">
        <v>16667</v>
      </c>
      <c r="F16777" s="58"/>
      <c r="G16777" s="58">
        <f t="shared" si="268"/>
        <v>-16667</v>
      </c>
      <c r="H16777" s="705" t="s">
        <v>10954</v>
      </c>
    </row>
    <row r="16778" spans="1:8" ht="15" customHeight="1" x14ac:dyDescent="0.2">
      <c r="A16778" s="734">
        <v>45194</v>
      </c>
      <c r="B16778" s="63" t="s">
        <v>9356</v>
      </c>
      <c r="C16778" s="551" t="s">
        <v>3033</v>
      </c>
      <c r="D16778" s="740" t="s">
        <v>11175</v>
      </c>
      <c r="E16778" s="552">
        <v>16666</v>
      </c>
      <c r="F16778" s="58"/>
      <c r="G16778" s="58">
        <f t="shared" si="268"/>
        <v>-16666</v>
      </c>
      <c r="H16778" s="705" t="s">
        <v>10954</v>
      </c>
    </row>
    <row r="16779" spans="1:8" ht="15" x14ac:dyDescent="0.2">
      <c r="A16779" s="734">
        <v>45194</v>
      </c>
      <c r="B16779" s="63" t="s">
        <v>9356</v>
      </c>
      <c r="C16779" s="670" t="s">
        <v>9871</v>
      </c>
      <c r="D16779" s="907" t="s">
        <v>11178</v>
      </c>
      <c r="E16779" s="672">
        <v>76276</v>
      </c>
      <c r="F16779" s="58"/>
      <c r="G16779" s="58">
        <f t="shared" si="268"/>
        <v>-76276</v>
      </c>
      <c r="H16779" s="705" t="s">
        <v>10954</v>
      </c>
    </row>
    <row r="16780" spans="1:8" ht="15" x14ac:dyDescent="0.2">
      <c r="A16780" s="734">
        <v>45194</v>
      </c>
      <c r="B16780" s="63" t="s">
        <v>9986</v>
      </c>
      <c r="C16780" s="670" t="s">
        <v>9871</v>
      </c>
      <c r="D16780" s="907" t="s">
        <v>11178</v>
      </c>
      <c r="E16780" s="672">
        <v>63499</v>
      </c>
      <c r="F16780" s="58"/>
      <c r="G16780" s="58">
        <f t="shared" si="268"/>
        <v>-63499</v>
      </c>
      <c r="H16780" s="705" t="s">
        <v>10954</v>
      </c>
    </row>
    <row r="16781" spans="1:8" ht="24" x14ac:dyDescent="0.2">
      <c r="A16781" s="734">
        <v>45194</v>
      </c>
      <c r="B16781" s="63" t="s">
        <v>8043</v>
      </c>
      <c r="C16781" s="63" t="s">
        <v>11176</v>
      </c>
      <c r="D16781" s="183" t="s">
        <v>11177</v>
      </c>
      <c r="E16781" s="126">
        <v>30000</v>
      </c>
      <c r="F16781" s="58"/>
      <c r="G16781" s="58">
        <f t="shared" si="268"/>
        <v>-30000</v>
      </c>
      <c r="H16781" s="705" t="s">
        <v>10954</v>
      </c>
    </row>
    <row r="16782" spans="1:8" ht="15" x14ac:dyDescent="0.2">
      <c r="A16782" s="734">
        <v>45194</v>
      </c>
      <c r="B16782" s="63" t="s">
        <v>10576</v>
      </c>
      <c r="C16782" s="63" t="s">
        <v>2019</v>
      </c>
      <c r="D16782" s="183" t="s">
        <v>11179</v>
      </c>
      <c r="E16782" s="126">
        <v>400000</v>
      </c>
      <c r="F16782" s="58"/>
      <c r="G16782" s="58">
        <f t="shared" si="268"/>
        <v>-400000</v>
      </c>
      <c r="H16782" s="705" t="s">
        <v>10954</v>
      </c>
    </row>
    <row r="16783" spans="1:8" ht="15" x14ac:dyDescent="0.2">
      <c r="A16783" s="734">
        <v>45194</v>
      </c>
      <c r="B16783" s="63" t="s">
        <v>10232</v>
      </c>
      <c r="C16783" s="63" t="s">
        <v>10445</v>
      </c>
      <c r="D16783" s="183" t="s">
        <v>11315</v>
      </c>
      <c r="E16783" s="126">
        <v>150000</v>
      </c>
      <c r="F16783" s="58"/>
      <c r="G16783" s="58">
        <f t="shared" si="268"/>
        <v>-150000</v>
      </c>
      <c r="H16783" s="705" t="s">
        <v>10954</v>
      </c>
    </row>
    <row r="16784" spans="1:8" ht="15" x14ac:dyDescent="0.2">
      <c r="A16784" s="734">
        <v>45194</v>
      </c>
      <c r="B16784" s="63" t="s">
        <v>10576</v>
      </c>
      <c r="C16784" s="63" t="s">
        <v>11029</v>
      </c>
      <c r="D16784" s="183" t="s">
        <v>6927</v>
      </c>
      <c r="E16784" s="126">
        <v>100000</v>
      </c>
      <c r="F16784" s="58"/>
      <c r="G16784" s="58">
        <f t="shared" si="268"/>
        <v>-100000</v>
      </c>
      <c r="H16784" s="705" t="s">
        <v>10954</v>
      </c>
    </row>
    <row r="16785" spans="1:8" ht="15" x14ac:dyDescent="0.2">
      <c r="A16785" s="734">
        <v>45194</v>
      </c>
      <c r="B16785" s="63" t="s">
        <v>10232</v>
      </c>
      <c r="C16785" s="670" t="s">
        <v>8087</v>
      </c>
      <c r="D16785" s="907" t="s">
        <v>11180</v>
      </c>
      <c r="E16785" s="672">
        <v>13600</v>
      </c>
      <c r="F16785" s="58"/>
      <c r="G16785" s="58">
        <f t="shared" si="268"/>
        <v>-13600</v>
      </c>
      <c r="H16785" s="705" t="s">
        <v>10954</v>
      </c>
    </row>
    <row r="16786" spans="1:8" ht="15" x14ac:dyDescent="0.2">
      <c r="A16786" s="734">
        <v>45194</v>
      </c>
      <c r="B16786" s="63" t="s">
        <v>10576</v>
      </c>
      <c r="C16786" s="670" t="s">
        <v>8087</v>
      </c>
      <c r="D16786" s="907" t="s">
        <v>11180</v>
      </c>
      <c r="E16786" s="672">
        <v>13600</v>
      </c>
      <c r="F16786" s="58"/>
      <c r="G16786" s="58">
        <f t="shared" si="268"/>
        <v>-13600</v>
      </c>
      <c r="H16786" s="705" t="s">
        <v>10954</v>
      </c>
    </row>
    <row r="16787" spans="1:8" ht="15" x14ac:dyDescent="0.2">
      <c r="A16787" s="734">
        <v>45194</v>
      </c>
      <c r="B16787" s="63" t="s">
        <v>10909</v>
      </c>
      <c r="C16787" s="670" t="s">
        <v>8087</v>
      </c>
      <c r="D16787" s="907" t="s">
        <v>11180</v>
      </c>
      <c r="E16787" s="672">
        <v>13600</v>
      </c>
      <c r="F16787" s="58"/>
      <c r="G16787" s="58">
        <f t="shared" si="268"/>
        <v>-13600</v>
      </c>
      <c r="H16787" s="705" t="s">
        <v>10954</v>
      </c>
    </row>
    <row r="16788" spans="1:8" ht="15" x14ac:dyDescent="0.2">
      <c r="A16788" s="734">
        <v>45194</v>
      </c>
      <c r="B16788" s="63" t="s">
        <v>9356</v>
      </c>
      <c r="C16788" s="670" t="s">
        <v>8087</v>
      </c>
      <c r="D16788" s="907" t="s">
        <v>11180</v>
      </c>
      <c r="E16788" s="672">
        <v>13600</v>
      </c>
      <c r="F16788" s="58"/>
      <c r="G16788" s="58">
        <f t="shared" si="268"/>
        <v>-13600</v>
      </c>
      <c r="H16788" s="705" t="s">
        <v>10954</v>
      </c>
    </row>
    <row r="16789" spans="1:8" ht="15" customHeight="1" x14ac:dyDescent="0.2">
      <c r="A16789" s="734">
        <v>45194</v>
      </c>
      <c r="B16789" s="63" t="s">
        <v>10576</v>
      </c>
      <c r="C16789" s="551" t="s">
        <v>10993</v>
      </c>
      <c r="D16789" s="740" t="s">
        <v>11182</v>
      </c>
      <c r="E16789" s="552">
        <v>8730</v>
      </c>
      <c r="F16789" s="58"/>
      <c r="G16789" s="58">
        <f t="shared" si="268"/>
        <v>-8730</v>
      </c>
      <c r="H16789" s="705" t="s">
        <v>10954</v>
      </c>
    </row>
    <row r="16790" spans="1:8" ht="15" x14ac:dyDescent="0.2">
      <c r="A16790" s="734">
        <v>45194</v>
      </c>
      <c r="B16790" s="63" t="s">
        <v>10908</v>
      </c>
      <c r="C16790" s="551" t="s">
        <v>10993</v>
      </c>
      <c r="D16790" s="740" t="s">
        <v>11182</v>
      </c>
      <c r="E16790" s="552">
        <v>8730</v>
      </c>
      <c r="F16790" s="58"/>
      <c r="G16790" s="58">
        <f t="shared" si="268"/>
        <v>-8730</v>
      </c>
      <c r="H16790" s="705" t="s">
        <v>10954</v>
      </c>
    </row>
    <row r="16791" spans="1:8" ht="15" x14ac:dyDescent="0.2">
      <c r="A16791" s="734">
        <v>45194</v>
      </c>
      <c r="B16791" s="63" t="s">
        <v>10232</v>
      </c>
      <c r="C16791" s="551" t="s">
        <v>10993</v>
      </c>
      <c r="D16791" s="740" t="s">
        <v>11182</v>
      </c>
      <c r="E16791" s="552">
        <v>8730</v>
      </c>
      <c r="F16791" s="58"/>
      <c r="G16791" s="58">
        <f t="shared" si="268"/>
        <v>-8730</v>
      </c>
      <c r="H16791" s="705" t="s">
        <v>10954</v>
      </c>
    </row>
    <row r="16792" spans="1:8" ht="15" x14ac:dyDescent="0.2">
      <c r="A16792" s="734">
        <v>45194</v>
      </c>
      <c r="B16792" s="63" t="s">
        <v>10908</v>
      </c>
      <c r="C16792" s="63" t="s">
        <v>5741</v>
      </c>
      <c r="D16792" s="183" t="s">
        <v>370</v>
      </c>
      <c r="E16792" s="126">
        <v>1850</v>
      </c>
      <c r="F16792" s="58"/>
      <c r="G16792" s="58">
        <f t="shared" si="268"/>
        <v>-1850</v>
      </c>
      <c r="H16792" s="705" t="s">
        <v>10954</v>
      </c>
    </row>
    <row r="16793" spans="1:8" ht="15" x14ac:dyDescent="0.2">
      <c r="A16793" s="734">
        <v>45194</v>
      </c>
      <c r="B16793" s="63" t="s">
        <v>8868</v>
      </c>
      <c r="C16793" s="63" t="s">
        <v>286</v>
      </c>
      <c r="D16793" s="183" t="s">
        <v>11181</v>
      </c>
      <c r="E16793" s="126">
        <v>1000</v>
      </c>
      <c r="F16793" s="58"/>
      <c r="G16793" s="58">
        <f t="shared" si="268"/>
        <v>-1000</v>
      </c>
      <c r="H16793" s="705" t="s">
        <v>10954</v>
      </c>
    </row>
    <row r="16794" spans="1:8" ht="15" x14ac:dyDescent="0.2">
      <c r="A16794" s="734">
        <v>45194</v>
      </c>
      <c r="B16794" s="63" t="s">
        <v>103</v>
      </c>
      <c r="C16794" s="63" t="s">
        <v>103</v>
      </c>
      <c r="D16794" s="183" t="s">
        <v>10211</v>
      </c>
      <c r="E16794" s="126">
        <v>3000</v>
      </c>
      <c r="F16794" s="58"/>
      <c r="G16794" s="58">
        <f t="shared" si="268"/>
        <v>-3000</v>
      </c>
      <c r="H16794" s="705" t="s">
        <v>10954</v>
      </c>
    </row>
    <row r="16795" spans="1:8" ht="15" x14ac:dyDescent="0.2">
      <c r="A16795" s="734">
        <v>45194</v>
      </c>
      <c r="B16795" s="63" t="s">
        <v>11007</v>
      </c>
      <c r="C16795" s="63" t="s">
        <v>5741</v>
      </c>
      <c r="D16795" s="183" t="s">
        <v>370</v>
      </c>
      <c r="E16795" s="126">
        <v>1500</v>
      </c>
      <c r="F16795" s="58"/>
      <c r="G16795" s="58">
        <f t="shared" si="268"/>
        <v>-1500</v>
      </c>
      <c r="H16795" s="705" t="s">
        <v>10954</v>
      </c>
    </row>
    <row r="16796" spans="1:8" ht="15" x14ac:dyDescent="0.2">
      <c r="A16796" s="734">
        <v>45194</v>
      </c>
      <c r="B16796" s="63" t="s">
        <v>10576</v>
      </c>
      <c r="C16796" s="670" t="s">
        <v>8087</v>
      </c>
      <c r="D16796" s="907" t="s">
        <v>11183</v>
      </c>
      <c r="E16796" s="672">
        <v>9000</v>
      </c>
      <c r="F16796" s="58"/>
      <c r="G16796" s="58">
        <f t="shared" si="268"/>
        <v>-9000</v>
      </c>
      <c r="H16796" s="705" t="s">
        <v>10954</v>
      </c>
    </row>
    <row r="16797" spans="1:8" ht="15" x14ac:dyDescent="0.2">
      <c r="A16797" s="734">
        <v>45194</v>
      </c>
      <c r="B16797" s="63" t="s">
        <v>10909</v>
      </c>
      <c r="C16797" s="670" t="s">
        <v>8087</v>
      </c>
      <c r="D16797" s="907" t="s">
        <v>11183</v>
      </c>
      <c r="E16797" s="672">
        <v>9000</v>
      </c>
      <c r="F16797" s="58"/>
      <c r="G16797" s="58">
        <f t="shared" si="268"/>
        <v>-9000</v>
      </c>
      <c r="H16797" s="705" t="s">
        <v>10954</v>
      </c>
    </row>
    <row r="16798" spans="1:8" ht="15" x14ac:dyDescent="0.2">
      <c r="A16798" s="734">
        <v>45194</v>
      </c>
      <c r="B16798" s="63" t="s">
        <v>9356</v>
      </c>
      <c r="C16798" s="670" t="s">
        <v>8087</v>
      </c>
      <c r="D16798" s="907" t="s">
        <v>11183</v>
      </c>
      <c r="E16798" s="672">
        <v>9000</v>
      </c>
      <c r="F16798" s="58"/>
      <c r="G16798" s="58">
        <f t="shared" si="268"/>
        <v>-9000</v>
      </c>
      <c r="H16798" s="705" t="s">
        <v>10954</v>
      </c>
    </row>
    <row r="16799" spans="1:8" ht="15" x14ac:dyDescent="0.2">
      <c r="A16799" s="734">
        <v>45194</v>
      </c>
      <c r="B16799" s="63" t="s">
        <v>9356</v>
      </c>
      <c r="C16799" s="63" t="s">
        <v>10993</v>
      </c>
      <c r="D16799" s="183" t="s">
        <v>11185</v>
      </c>
      <c r="E16799" s="126">
        <v>850</v>
      </c>
      <c r="F16799" s="58"/>
      <c r="G16799" s="58">
        <f t="shared" si="268"/>
        <v>-850</v>
      </c>
      <c r="H16799" s="705" t="s">
        <v>10954</v>
      </c>
    </row>
    <row r="16800" spans="1:8" ht="15" x14ac:dyDescent="0.2">
      <c r="A16800" s="734">
        <v>45194</v>
      </c>
      <c r="B16800" s="63" t="s">
        <v>10576</v>
      </c>
      <c r="C16800" s="63" t="s">
        <v>10993</v>
      </c>
      <c r="D16800" s="183" t="s">
        <v>11186</v>
      </c>
      <c r="E16800" s="126">
        <v>1000</v>
      </c>
      <c r="F16800" s="58"/>
      <c r="G16800" s="58">
        <f t="shared" si="268"/>
        <v>-1000</v>
      </c>
      <c r="H16800" s="705" t="s">
        <v>10954</v>
      </c>
    </row>
    <row r="16801" spans="1:8" ht="15" x14ac:dyDescent="0.2">
      <c r="A16801" s="734">
        <v>45194</v>
      </c>
      <c r="B16801" s="63" t="s">
        <v>10576</v>
      </c>
      <c r="C16801" s="63" t="s">
        <v>5741</v>
      </c>
      <c r="D16801" s="183" t="s">
        <v>370</v>
      </c>
      <c r="E16801" s="126">
        <v>2000</v>
      </c>
      <c r="F16801" s="58"/>
      <c r="G16801" s="58">
        <f t="shared" si="268"/>
        <v>-2000</v>
      </c>
      <c r="H16801" s="705" t="s">
        <v>10954</v>
      </c>
    </row>
    <row r="16802" spans="1:8" ht="15" x14ac:dyDescent="0.2">
      <c r="A16802" s="734">
        <v>45195</v>
      </c>
      <c r="B16802" s="63" t="s">
        <v>10379</v>
      </c>
      <c r="C16802" s="63" t="s">
        <v>6476</v>
      </c>
      <c r="D16802" s="183" t="s">
        <v>1157</v>
      </c>
      <c r="E16802" s="126">
        <v>30000</v>
      </c>
      <c r="F16802" s="58"/>
      <c r="G16802" s="58">
        <f t="shared" si="268"/>
        <v>-30000</v>
      </c>
      <c r="H16802" s="705" t="s">
        <v>10954</v>
      </c>
    </row>
    <row r="16803" spans="1:8" ht="15" x14ac:dyDescent="0.2">
      <c r="A16803" s="734">
        <v>45195</v>
      </c>
      <c r="B16803" s="63" t="s">
        <v>10908</v>
      </c>
      <c r="C16803" s="63" t="s">
        <v>10993</v>
      </c>
      <c r="D16803" s="183" t="s">
        <v>11187</v>
      </c>
      <c r="E16803" s="126">
        <v>46590</v>
      </c>
      <c r="F16803" s="58"/>
      <c r="G16803" s="58">
        <f t="shared" si="268"/>
        <v>-46590</v>
      </c>
      <c r="H16803" s="705" t="s">
        <v>10954</v>
      </c>
    </row>
    <row r="16804" spans="1:8" ht="15" x14ac:dyDescent="0.2">
      <c r="A16804" s="734">
        <v>45195</v>
      </c>
      <c r="B16804" s="63" t="s">
        <v>103</v>
      </c>
      <c r="C16804" s="63" t="s">
        <v>8816</v>
      </c>
      <c r="D16804" s="183" t="s">
        <v>11188</v>
      </c>
      <c r="E16804" s="126">
        <v>21820</v>
      </c>
      <c r="F16804" s="58"/>
      <c r="G16804" s="58">
        <f t="shared" si="268"/>
        <v>-21820</v>
      </c>
      <c r="H16804" s="705" t="s">
        <v>10954</v>
      </c>
    </row>
    <row r="16805" spans="1:8" ht="15" x14ac:dyDescent="0.2">
      <c r="A16805" s="734">
        <v>45195</v>
      </c>
      <c r="B16805" s="63" t="s">
        <v>10908</v>
      </c>
      <c r="C16805" s="63" t="s">
        <v>5741</v>
      </c>
      <c r="D16805" s="183" t="s">
        <v>370</v>
      </c>
      <c r="E16805" s="126">
        <v>900</v>
      </c>
      <c r="F16805" s="58"/>
      <c r="G16805" s="58">
        <f t="shared" si="268"/>
        <v>-900</v>
      </c>
      <c r="H16805" s="705" t="s">
        <v>10954</v>
      </c>
    </row>
    <row r="16806" spans="1:8" ht="15" x14ac:dyDescent="0.2">
      <c r="A16806" s="734">
        <v>45195</v>
      </c>
      <c r="B16806" s="63" t="s">
        <v>10908</v>
      </c>
      <c r="C16806" s="63" t="s">
        <v>5741</v>
      </c>
      <c r="D16806" s="183" t="s">
        <v>10337</v>
      </c>
      <c r="E16806" s="126">
        <v>150</v>
      </c>
      <c r="F16806" s="58"/>
      <c r="G16806" s="58">
        <f t="shared" si="268"/>
        <v>-150</v>
      </c>
      <c r="H16806" s="705" t="s">
        <v>10954</v>
      </c>
    </row>
    <row r="16807" spans="1:8" ht="15" x14ac:dyDescent="0.2">
      <c r="A16807" s="734">
        <v>45195</v>
      </c>
      <c r="B16807" s="63" t="s">
        <v>103</v>
      </c>
      <c r="C16807" s="63" t="s">
        <v>5741</v>
      </c>
      <c r="D16807" s="183" t="s">
        <v>11189</v>
      </c>
      <c r="E16807" s="126">
        <v>530</v>
      </c>
      <c r="F16807" s="58"/>
      <c r="G16807" s="58">
        <f t="shared" si="268"/>
        <v>-530</v>
      </c>
      <c r="H16807" s="705" t="s">
        <v>10954</v>
      </c>
    </row>
    <row r="16808" spans="1:8" ht="15" x14ac:dyDescent="0.2">
      <c r="A16808" s="734">
        <v>45195</v>
      </c>
      <c r="B16808" s="63" t="s">
        <v>10232</v>
      </c>
      <c r="C16808" s="551" t="s">
        <v>10993</v>
      </c>
      <c r="D16808" s="740" t="s">
        <v>11230</v>
      </c>
      <c r="E16808" s="552">
        <v>8000</v>
      </c>
      <c r="F16808" s="58"/>
      <c r="G16808" s="58">
        <f t="shared" si="268"/>
        <v>-8000</v>
      </c>
      <c r="H16808" s="705" t="s">
        <v>10954</v>
      </c>
    </row>
    <row r="16809" spans="1:8" ht="15" x14ac:dyDescent="0.2">
      <c r="A16809" s="734">
        <v>45195</v>
      </c>
      <c r="B16809" s="63" t="s">
        <v>10909</v>
      </c>
      <c r="C16809" s="551" t="s">
        <v>10993</v>
      </c>
      <c r="D16809" s="740" t="s">
        <v>11230</v>
      </c>
      <c r="E16809" s="552">
        <v>8000</v>
      </c>
      <c r="F16809" s="58"/>
      <c r="G16809" s="58">
        <f t="shared" si="268"/>
        <v>-8000</v>
      </c>
      <c r="H16809" s="705" t="s">
        <v>10954</v>
      </c>
    </row>
    <row r="16810" spans="1:8" ht="15" x14ac:dyDescent="0.2">
      <c r="A16810" s="734">
        <v>45195</v>
      </c>
      <c r="B16810" s="63" t="s">
        <v>9356</v>
      </c>
      <c r="C16810" s="551" t="s">
        <v>10993</v>
      </c>
      <c r="D16810" s="740" t="s">
        <v>11230</v>
      </c>
      <c r="E16810" s="552">
        <v>8000</v>
      </c>
      <c r="F16810" s="58"/>
      <c r="G16810" s="58">
        <f t="shared" si="268"/>
        <v>-8000</v>
      </c>
      <c r="H16810" s="705" t="s">
        <v>10954</v>
      </c>
    </row>
    <row r="16811" spans="1:8" ht="15" x14ac:dyDescent="0.2">
      <c r="A16811" s="734">
        <v>45195</v>
      </c>
      <c r="B16811" s="63" t="s">
        <v>10232</v>
      </c>
      <c r="C16811" s="670" t="s">
        <v>10993</v>
      </c>
      <c r="D16811" s="907" t="s">
        <v>11231</v>
      </c>
      <c r="E16811" s="672">
        <v>8784</v>
      </c>
      <c r="F16811" s="58"/>
      <c r="G16811" s="58">
        <f t="shared" si="268"/>
        <v>-8784</v>
      </c>
      <c r="H16811" s="705" t="s">
        <v>10954</v>
      </c>
    </row>
    <row r="16812" spans="1:8" ht="15" x14ac:dyDescent="0.2">
      <c r="A16812" s="734">
        <v>45195</v>
      </c>
      <c r="B16812" s="63" t="s">
        <v>10909</v>
      </c>
      <c r="C16812" s="670" t="s">
        <v>10993</v>
      </c>
      <c r="D16812" s="907" t="s">
        <v>11231</v>
      </c>
      <c r="E16812" s="672">
        <v>8784</v>
      </c>
      <c r="F16812" s="58"/>
      <c r="G16812" s="58">
        <f t="shared" si="268"/>
        <v>-8784</v>
      </c>
      <c r="H16812" s="705" t="s">
        <v>10954</v>
      </c>
    </row>
    <row r="16813" spans="1:8" ht="15" x14ac:dyDescent="0.2">
      <c r="A16813" s="734">
        <v>45195</v>
      </c>
      <c r="B16813" s="63" t="s">
        <v>9356</v>
      </c>
      <c r="C16813" s="670" t="s">
        <v>10993</v>
      </c>
      <c r="D16813" s="907" t="s">
        <v>11231</v>
      </c>
      <c r="E16813" s="672">
        <v>8784</v>
      </c>
      <c r="F16813" s="58"/>
      <c r="G16813" s="58">
        <f t="shared" si="268"/>
        <v>-8784</v>
      </c>
      <c r="H16813" s="705" t="s">
        <v>10954</v>
      </c>
    </row>
    <row r="16814" spans="1:8" ht="15" x14ac:dyDescent="0.2">
      <c r="A16814" s="734">
        <v>45195</v>
      </c>
      <c r="B16814" s="63" t="s">
        <v>10909</v>
      </c>
      <c r="C16814" s="63" t="s">
        <v>10993</v>
      </c>
      <c r="D16814" s="183" t="s">
        <v>11190</v>
      </c>
      <c r="E16814" s="126">
        <v>11400</v>
      </c>
      <c r="F16814" s="58"/>
      <c r="G16814" s="58">
        <f t="shared" si="268"/>
        <v>-11400</v>
      </c>
      <c r="H16814" s="705" t="s">
        <v>10954</v>
      </c>
    </row>
    <row r="16815" spans="1:8" ht="15" x14ac:dyDescent="0.2">
      <c r="A16815" s="734">
        <v>45195</v>
      </c>
      <c r="B16815" s="63" t="s">
        <v>9769</v>
      </c>
      <c r="C16815" s="63" t="s">
        <v>11099</v>
      </c>
      <c r="D16815" s="183" t="s">
        <v>11191</v>
      </c>
      <c r="E16815" s="126">
        <v>15000</v>
      </c>
      <c r="F16815" s="58"/>
      <c r="G16815" s="58">
        <f t="shared" si="268"/>
        <v>-15000</v>
      </c>
      <c r="H16815" s="705" t="s">
        <v>10954</v>
      </c>
    </row>
    <row r="16816" spans="1:8" ht="15" x14ac:dyDescent="0.2">
      <c r="A16816" s="734">
        <v>45195</v>
      </c>
      <c r="B16816" s="63" t="s">
        <v>25</v>
      </c>
      <c r="C16816" s="63" t="s">
        <v>8150</v>
      </c>
      <c r="D16816" s="183" t="s">
        <v>6310</v>
      </c>
      <c r="E16816" s="126">
        <v>210</v>
      </c>
      <c r="F16816" s="58"/>
      <c r="G16816" s="58">
        <f t="shared" si="268"/>
        <v>-210</v>
      </c>
      <c r="H16816" s="705" t="s">
        <v>10954</v>
      </c>
    </row>
    <row r="16817" spans="1:8" ht="15" x14ac:dyDescent="0.2">
      <c r="A16817" s="734">
        <v>45195</v>
      </c>
      <c r="B16817" s="63" t="s">
        <v>103</v>
      </c>
      <c r="C16817" s="63" t="s">
        <v>5341</v>
      </c>
      <c r="D16817" s="183" t="s">
        <v>11192</v>
      </c>
      <c r="E16817" s="126">
        <v>7500</v>
      </c>
      <c r="F16817" s="58"/>
      <c r="G16817" s="58">
        <f t="shared" si="268"/>
        <v>-7500</v>
      </c>
      <c r="H16817" s="705" t="s">
        <v>10954</v>
      </c>
    </row>
    <row r="16818" spans="1:8" ht="15" x14ac:dyDescent="0.2">
      <c r="A16818" s="734">
        <v>45195</v>
      </c>
      <c r="B16818" s="63" t="s">
        <v>103</v>
      </c>
      <c r="C16818" s="63" t="s">
        <v>103</v>
      </c>
      <c r="D16818" s="183" t="s">
        <v>10211</v>
      </c>
      <c r="E16818" s="126">
        <v>3500</v>
      </c>
      <c r="F16818" s="58"/>
      <c r="G16818" s="58">
        <f t="shared" si="268"/>
        <v>-3500</v>
      </c>
      <c r="H16818" s="705" t="s">
        <v>10954</v>
      </c>
    </row>
    <row r="16819" spans="1:8" ht="15" x14ac:dyDescent="0.2">
      <c r="A16819" s="734">
        <v>45195</v>
      </c>
      <c r="B16819" s="63" t="s">
        <v>10908</v>
      </c>
      <c r="C16819" s="63" t="s">
        <v>10993</v>
      </c>
      <c r="D16819" s="183" t="s">
        <v>11193</v>
      </c>
      <c r="E16819" s="126">
        <v>68500</v>
      </c>
      <c r="F16819" s="58"/>
      <c r="G16819" s="58">
        <f t="shared" si="268"/>
        <v>-68500</v>
      </c>
      <c r="H16819" s="705" t="s">
        <v>10954</v>
      </c>
    </row>
    <row r="16820" spans="1:8" ht="15" x14ac:dyDescent="0.2">
      <c r="A16820" s="734">
        <v>45195</v>
      </c>
      <c r="B16820" s="63" t="s">
        <v>10908</v>
      </c>
      <c r="C16820" s="63" t="s">
        <v>5741</v>
      </c>
      <c r="D16820" s="183" t="s">
        <v>370</v>
      </c>
      <c r="E16820" s="126">
        <v>1700</v>
      </c>
      <c r="F16820" s="58"/>
      <c r="G16820" s="58">
        <f t="shared" si="268"/>
        <v>-1700</v>
      </c>
      <c r="H16820" s="705" t="s">
        <v>10954</v>
      </c>
    </row>
    <row r="16821" spans="1:8" ht="24" x14ac:dyDescent="0.2">
      <c r="A16821" s="734">
        <v>45195</v>
      </c>
      <c r="B16821" s="63" t="s">
        <v>11089</v>
      </c>
      <c r="C16821" s="63" t="s">
        <v>6784</v>
      </c>
      <c r="D16821" s="183" t="s">
        <v>11194</v>
      </c>
      <c r="E16821" s="126">
        <v>10000</v>
      </c>
      <c r="F16821" s="58"/>
      <c r="G16821" s="58">
        <f t="shared" si="268"/>
        <v>-10000</v>
      </c>
      <c r="H16821" s="705" t="s">
        <v>10954</v>
      </c>
    </row>
    <row r="16822" spans="1:8" ht="15" x14ac:dyDescent="0.2">
      <c r="A16822" s="734">
        <v>45195</v>
      </c>
      <c r="B16822" s="63" t="s">
        <v>9769</v>
      </c>
      <c r="C16822" s="63" t="s">
        <v>3446</v>
      </c>
      <c r="D16822" s="183" t="s">
        <v>11195</v>
      </c>
      <c r="E16822" s="126">
        <v>10000</v>
      </c>
      <c r="F16822" s="58"/>
      <c r="G16822" s="58">
        <f t="shared" si="268"/>
        <v>-10000</v>
      </c>
      <c r="H16822" s="705" t="s">
        <v>10954</v>
      </c>
    </row>
    <row r="16823" spans="1:8" ht="15" x14ac:dyDescent="0.2">
      <c r="A16823" s="734">
        <v>45195</v>
      </c>
      <c r="B16823" s="63" t="s">
        <v>10232</v>
      </c>
      <c r="C16823" s="63" t="s">
        <v>5741</v>
      </c>
      <c r="D16823" s="183" t="s">
        <v>734</v>
      </c>
      <c r="E16823" s="126">
        <v>1600</v>
      </c>
      <c r="F16823" s="58"/>
      <c r="G16823" s="58">
        <f t="shared" si="268"/>
        <v>-1600</v>
      </c>
      <c r="H16823" s="705" t="s">
        <v>10954</v>
      </c>
    </row>
    <row r="16824" spans="1:8" ht="15" x14ac:dyDescent="0.2">
      <c r="A16824" s="734">
        <v>45195</v>
      </c>
      <c r="B16824" s="63" t="s">
        <v>10576</v>
      </c>
      <c r="C16824" s="63" t="s">
        <v>5741</v>
      </c>
      <c r="D16824" s="183" t="s">
        <v>734</v>
      </c>
      <c r="E16824" s="126">
        <v>1600</v>
      </c>
      <c r="F16824" s="58"/>
      <c r="G16824" s="58">
        <f t="shared" si="268"/>
        <v>-1600</v>
      </c>
      <c r="H16824" s="705" t="s">
        <v>10954</v>
      </c>
    </row>
    <row r="16825" spans="1:8" ht="15" x14ac:dyDescent="0.2">
      <c r="A16825" s="734">
        <v>45195</v>
      </c>
      <c r="B16825" s="63" t="s">
        <v>10909</v>
      </c>
      <c r="C16825" s="63" t="s">
        <v>5741</v>
      </c>
      <c r="D16825" s="183" t="s">
        <v>734</v>
      </c>
      <c r="E16825" s="126">
        <v>1600</v>
      </c>
      <c r="F16825" s="58"/>
      <c r="G16825" s="58">
        <f t="shared" si="268"/>
        <v>-1600</v>
      </c>
      <c r="H16825" s="705" t="s">
        <v>10954</v>
      </c>
    </row>
    <row r="16826" spans="1:8" ht="15" x14ac:dyDescent="0.2">
      <c r="A16826" s="734">
        <v>45195</v>
      </c>
      <c r="B16826" s="63" t="s">
        <v>9832</v>
      </c>
      <c r="C16826" s="63" t="s">
        <v>794</v>
      </c>
      <c r="D16826" s="183" t="s">
        <v>11011</v>
      </c>
      <c r="E16826" s="126">
        <v>25000</v>
      </c>
      <c r="F16826" s="58"/>
      <c r="G16826" s="126">
        <f t="shared" si="268"/>
        <v>-25000</v>
      </c>
      <c r="H16826" s="705" t="s">
        <v>10954</v>
      </c>
    </row>
    <row r="16827" spans="1:8" ht="15" x14ac:dyDescent="0.2">
      <c r="A16827" s="734">
        <v>45195</v>
      </c>
      <c r="B16827" s="63" t="s">
        <v>9986</v>
      </c>
      <c r="C16827" s="63" t="s">
        <v>794</v>
      </c>
      <c r="D16827" s="183" t="s">
        <v>11011</v>
      </c>
      <c r="E16827" s="126">
        <v>25000</v>
      </c>
      <c r="F16827" s="58"/>
      <c r="G16827" s="126">
        <f t="shared" si="268"/>
        <v>-25000</v>
      </c>
      <c r="H16827" s="705" t="s">
        <v>10954</v>
      </c>
    </row>
    <row r="16828" spans="1:8" ht="15" x14ac:dyDescent="0.2">
      <c r="A16828" s="734">
        <v>45195</v>
      </c>
      <c r="B16828" s="63" t="s">
        <v>10232</v>
      </c>
      <c r="C16828" s="63" t="s">
        <v>794</v>
      </c>
      <c r="D16828" s="183" t="s">
        <v>11012</v>
      </c>
      <c r="E16828" s="126">
        <v>25000</v>
      </c>
      <c r="F16828" s="58"/>
      <c r="G16828" s="126">
        <f t="shared" si="268"/>
        <v>-25000</v>
      </c>
      <c r="H16828" s="705" t="s">
        <v>10954</v>
      </c>
    </row>
    <row r="16829" spans="1:8" ht="15" x14ac:dyDescent="0.2">
      <c r="A16829" s="734">
        <v>45195</v>
      </c>
      <c r="B16829" s="63" t="s">
        <v>10576</v>
      </c>
      <c r="C16829" s="63" t="s">
        <v>794</v>
      </c>
      <c r="D16829" s="183" t="s">
        <v>11012</v>
      </c>
      <c r="E16829" s="126">
        <v>25000</v>
      </c>
      <c r="F16829" s="58"/>
      <c r="G16829" s="126">
        <f t="shared" si="268"/>
        <v>-25000</v>
      </c>
      <c r="H16829" s="705" t="s">
        <v>10954</v>
      </c>
    </row>
    <row r="16830" spans="1:8" ht="15" x14ac:dyDescent="0.2">
      <c r="A16830" s="734">
        <v>45195</v>
      </c>
      <c r="B16830" s="63" t="s">
        <v>25</v>
      </c>
      <c r="C16830" s="63" t="s">
        <v>794</v>
      </c>
      <c r="D16830" s="183" t="s">
        <v>11118</v>
      </c>
      <c r="E16830" s="126">
        <v>105000</v>
      </c>
      <c r="F16830" s="58"/>
      <c r="G16830" s="126">
        <f t="shared" si="268"/>
        <v>-105000</v>
      </c>
      <c r="H16830" s="705" t="s">
        <v>10954</v>
      </c>
    </row>
    <row r="16831" spans="1:8" ht="15" customHeight="1" x14ac:dyDescent="0.2">
      <c r="A16831" s="734">
        <v>45195</v>
      </c>
      <c r="B16831" s="63" t="s">
        <v>10179</v>
      </c>
      <c r="C16831" s="63" t="s">
        <v>794</v>
      </c>
      <c r="D16831" s="183" t="s">
        <v>9012</v>
      </c>
      <c r="E16831" s="126">
        <v>5000</v>
      </c>
      <c r="F16831" s="58"/>
      <c r="G16831" s="126">
        <f t="shared" ref="G16831:G16894" si="269">F16831-E16831</f>
        <v>-5000</v>
      </c>
      <c r="H16831" s="705" t="s">
        <v>10954</v>
      </c>
    </row>
    <row r="16832" spans="1:8" ht="15" x14ac:dyDescent="0.2">
      <c r="A16832" s="734">
        <v>45195</v>
      </c>
      <c r="B16832" s="41" t="s">
        <v>103</v>
      </c>
      <c r="C16832" s="63" t="s">
        <v>794</v>
      </c>
      <c r="D16832" s="791" t="s">
        <v>11280</v>
      </c>
      <c r="E16832" s="58">
        <v>22000</v>
      </c>
      <c r="F16832" s="58"/>
      <c r="G16832" s="126">
        <f t="shared" si="269"/>
        <v>-22000</v>
      </c>
      <c r="H16832" s="705" t="s">
        <v>10954</v>
      </c>
    </row>
    <row r="16833" spans="1:8" ht="15" x14ac:dyDescent="0.2">
      <c r="A16833" s="734">
        <v>45195</v>
      </c>
      <c r="B16833" s="41" t="s">
        <v>10023</v>
      </c>
      <c r="C16833" s="63" t="s">
        <v>794</v>
      </c>
      <c r="D16833" s="791" t="s">
        <v>11281</v>
      </c>
      <c r="E16833" s="58">
        <v>207637.5</v>
      </c>
      <c r="F16833" s="58"/>
      <c r="G16833" s="126">
        <f t="shared" si="269"/>
        <v>-207637.5</v>
      </c>
      <c r="H16833" s="705" t="s">
        <v>10954</v>
      </c>
    </row>
    <row r="16834" spans="1:8" ht="15" x14ac:dyDescent="0.2">
      <c r="A16834" s="734">
        <v>45195</v>
      </c>
      <c r="B16834" s="41" t="s">
        <v>37</v>
      </c>
      <c r="C16834" s="63" t="s">
        <v>794</v>
      </c>
      <c r="D16834" s="791" t="s">
        <v>182</v>
      </c>
      <c r="E16834" s="58">
        <v>127466.66666666666</v>
      </c>
      <c r="F16834" s="58"/>
      <c r="G16834" s="126">
        <f t="shared" si="269"/>
        <v>-127466.66666666666</v>
      </c>
      <c r="H16834" s="705" t="s">
        <v>10954</v>
      </c>
    </row>
    <row r="16835" spans="1:8" ht="15" customHeight="1" x14ac:dyDescent="0.2">
      <c r="A16835" s="734">
        <v>45195</v>
      </c>
      <c r="B16835" s="41" t="s">
        <v>2933</v>
      </c>
      <c r="C16835" s="63" t="s">
        <v>794</v>
      </c>
      <c r="D16835" s="791" t="s">
        <v>11282</v>
      </c>
      <c r="E16835" s="58">
        <v>298300.00000000006</v>
      </c>
      <c r="F16835" s="58"/>
      <c r="G16835" s="126">
        <f t="shared" si="269"/>
        <v>-298300.00000000006</v>
      </c>
      <c r="H16835" s="705" t="s">
        <v>10954</v>
      </c>
    </row>
    <row r="16836" spans="1:8" ht="15" customHeight="1" x14ac:dyDescent="0.2">
      <c r="A16836" s="734">
        <v>45195</v>
      </c>
      <c r="B16836" s="41" t="s">
        <v>9356</v>
      </c>
      <c r="C16836" s="63" t="s">
        <v>794</v>
      </c>
      <c r="D16836" s="791" t="s">
        <v>11283</v>
      </c>
      <c r="E16836" s="58">
        <v>168295.83333333331</v>
      </c>
      <c r="F16836" s="58"/>
      <c r="G16836" s="126">
        <f t="shared" si="269"/>
        <v>-168295.83333333331</v>
      </c>
      <c r="H16836" s="705" t="s">
        <v>10954</v>
      </c>
    </row>
    <row r="16837" spans="1:8" ht="15" x14ac:dyDescent="0.2">
      <c r="A16837" s="734">
        <v>45195</v>
      </c>
      <c r="B16837" s="41" t="s">
        <v>10232</v>
      </c>
      <c r="C16837" s="63" t="s">
        <v>794</v>
      </c>
      <c r="D16837" s="791" t="s">
        <v>11284</v>
      </c>
      <c r="E16837" s="58">
        <v>45000</v>
      </c>
      <c r="F16837" s="58"/>
      <c r="G16837" s="126">
        <f t="shared" si="269"/>
        <v>-45000</v>
      </c>
      <c r="H16837" s="705" t="s">
        <v>10954</v>
      </c>
    </row>
    <row r="16838" spans="1:8" ht="15" x14ac:dyDescent="0.2">
      <c r="A16838" s="734">
        <v>45195</v>
      </c>
      <c r="B16838" s="41" t="s">
        <v>3946</v>
      </c>
      <c r="C16838" s="63" t="s">
        <v>794</v>
      </c>
      <c r="D16838" s="791" t="s">
        <v>11293</v>
      </c>
      <c r="E16838" s="58">
        <v>151879</v>
      </c>
      <c r="F16838" s="58"/>
      <c r="G16838" s="126">
        <f t="shared" si="269"/>
        <v>-151879</v>
      </c>
      <c r="H16838" s="705" t="s">
        <v>10954</v>
      </c>
    </row>
    <row r="16839" spans="1:8" ht="15" x14ac:dyDescent="0.2">
      <c r="A16839" s="734">
        <v>45195</v>
      </c>
      <c r="B16839" s="41" t="s">
        <v>103</v>
      </c>
      <c r="C16839" s="63" t="s">
        <v>794</v>
      </c>
      <c r="D16839" s="791" t="s">
        <v>10137</v>
      </c>
      <c r="E16839" s="58">
        <v>208000</v>
      </c>
      <c r="F16839" s="58"/>
      <c r="G16839" s="126">
        <f t="shared" si="269"/>
        <v>-208000</v>
      </c>
      <c r="H16839" s="705" t="s">
        <v>10954</v>
      </c>
    </row>
    <row r="16840" spans="1:8" ht="15" x14ac:dyDescent="0.2">
      <c r="A16840" s="734">
        <v>45195</v>
      </c>
      <c r="B16840" s="41" t="s">
        <v>3945</v>
      </c>
      <c r="C16840" s="63" t="s">
        <v>794</v>
      </c>
      <c r="D16840" s="791" t="s">
        <v>11295</v>
      </c>
      <c r="E16840" s="58">
        <v>126700</v>
      </c>
      <c r="F16840" s="58"/>
      <c r="G16840" s="126">
        <f t="shared" si="269"/>
        <v>-126700</v>
      </c>
      <c r="H16840" s="705" t="s">
        <v>10954</v>
      </c>
    </row>
    <row r="16841" spans="1:8" ht="15" x14ac:dyDescent="0.2">
      <c r="A16841" s="734">
        <v>45195</v>
      </c>
      <c r="B16841" s="41" t="s">
        <v>10576</v>
      </c>
      <c r="C16841" s="63" t="s">
        <v>794</v>
      </c>
      <c r="D16841" s="791" t="s">
        <v>11296</v>
      </c>
      <c r="E16841" s="58">
        <v>45000</v>
      </c>
      <c r="F16841" s="58"/>
      <c r="G16841" s="126">
        <f t="shared" si="269"/>
        <v>-45000</v>
      </c>
      <c r="H16841" s="705" t="s">
        <v>10954</v>
      </c>
    </row>
    <row r="16842" spans="1:8" ht="15" customHeight="1" x14ac:dyDescent="0.2">
      <c r="A16842" s="734">
        <v>45195</v>
      </c>
      <c r="B16842" s="41" t="s">
        <v>10232</v>
      </c>
      <c r="C16842" s="63" t="s">
        <v>794</v>
      </c>
      <c r="D16842" s="791" t="s">
        <v>11297</v>
      </c>
      <c r="E16842" s="58">
        <v>76670</v>
      </c>
      <c r="F16842" s="58"/>
      <c r="G16842" s="126">
        <f t="shared" si="269"/>
        <v>-76670</v>
      </c>
      <c r="H16842" s="705" t="s">
        <v>10954</v>
      </c>
    </row>
    <row r="16843" spans="1:8" ht="15" x14ac:dyDescent="0.2">
      <c r="A16843" s="734">
        <v>45195</v>
      </c>
      <c r="B16843" s="41" t="s">
        <v>10296</v>
      </c>
      <c r="C16843" s="63" t="s">
        <v>794</v>
      </c>
      <c r="D16843" s="791" t="s">
        <v>10749</v>
      </c>
      <c r="E16843" s="58">
        <v>66710</v>
      </c>
      <c r="F16843" s="58"/>
      <c r="G16843" s="126">
        <f t="shared" si="269"/>
        <v>-66710</v>
      </c>
      <c r="H16843" s="705" t="s">
        <v>10954</v>
      </c>
    </row>
    <row r="16844" spans="1:8" ht="15" x14ac:dyDescent="0.2">
      <c r="A16844" s="734">
        <v>45195</v>
      </c>
      <c r="B16844" s="41" t="s">
        <v>9409</v>
      </c>
      <c r="C16844" s="63" t="s">
        <v>794</v>
      </c>
      <c r="D16844" s="791" t="s">
        <v>11314</v>
      </c>
      <c r="E16844" s="58">
        <v>6230</v>
      </c>
      <c r="F16844" s="58"/>
      <c r="G16844" s="126">
        <f t="shared" si="269"/>
        <v>-6230</v>
      </c>
      <c r="H16844" s="705" t="s">
        <v>10954</v>
      </c>
    </row>
    <row r="16845" spans="1:8" ht="15" x14ac:dyDescent="0.2">
      <c r="A16845" s="734">
        <v>45195</v>
      </c>
      <c r="B16845" s="41" t="s">
        <v>11026</v>
      </c>
      <c r="C16845" s="63" t="s">
        <v>794</v>
      </c>
      <c r="D16845" s="791" t="s">
        <v>11036</v>
      </c>
      <c r="E16845" s="58">
        <v>26350</v>
      </c>
      <c r="F16845" s="58"/>
      <c r="G16845" s="126">
        <f t="shared" si="269"/>
        <v>-26350</v>
      </c>
      <c r="H16845" s="705" t="s">
        <v>10954</v>
      </c>
    </row>
    <row r="16846" spans="1:8" ht="15" x14ac:dyDescent="0.2">
      <c r="A16846" s="734">
        <v>45195</v>
      </c>
      <c r="B16846" s="41" t="s">
        <v>10576</v>
      </c>
      <c r="C16846" s="63" t="s">
        <v>2503</v>
      </c>
      <c r="D16846" s="791" t="s">
        <v>11365</v>
      </c>
      <c r="E16846" s="58">
        <v>24000</v>
      </c>
      <c r="F16846" s="58"/>
      <c r="G16846" s="126">
        <f t="shared" si="269"/>
        <v>-24000</v>
      </c>
      <c r="H16846" s="705" t="s">
        <v>10954</v>
      </c>
    </row>
    <row r="16847" spans="1:8" ht="15" x14ac:dyDescent="0.2">
      <c r="A16847" s="734">
        <v>45195</v>
      </c>
      <c r="B16847" s="41" t="s">
        <v>11093</v>
      </c>
      <c r="C16847" s="63" t="s">
        <v>794</v>
      </c>
      <c r="D16847" s="791" t="s">
        <v>11464</v>
      </c>
      <c r="E16847" s="58">
        <v>32000</v>
      </c>
      <c r="F16847" s="58"/>
      <c r="G16847" s="126">
        <f t="shared" si="269"/>
        <v>-32000</v>
      </c>
      <c r="H16847" s="705" t="s">
        <v>10954</v>
      </c>
    </row>
    <row r="16848" spans="1:8" ht="15" x14ac:dyDescent="0.2">
      <c r="A16848" s="734">
        <v>45195</v>
      </c>
      <c r="B16848" s="63" t="s">
        <v>103</v>
      </c>
      <c r="C16848" s="63" t="s">
        <v>2996</v>
      </c>
      <c r="D16848" s="183" t="s">
        <v>370</v>
      </c>
      <c r="E16848" s="126">
        <v>5360</v>
      </c>
      <c r="F16848" s="58"/>
      <c r="G16848" s="58">
        <f t="shared" si="269"/>
        <v>-5360</v>
      </c>
      <c r="H16848" s="705" t="s">
        <v>10954</v>
      </c>
    </row>
    <row r="16849" spans="1:8" ht="15" x14ac:dyDescent="0.2">
      <c r="A16849" s="734">
        <v>45195</v>
      </c>
      <c r="B16849" s="63" t="s">
        <v>103</v>
      </c>
      <c r="C16849" s="63" t="s">
        <v>8150</v>
      </c>
      <c r="D16849" s="183" t="s">
        <v>6337</v>
      </c>
      <c r="E16849" s="126">
        <v>36259</v>
      </c>
      <c r="F16849" s="58"/>
      <c r="G16849" s="58">
        <f t="shared" si="269"/>
        <v>-36259</v>
      </c>
      <c r="H16849" s="705" t="s">
        <v>10954</v>
      </c>
    </row>
    <row r="16850" spans="1:8" ht="15" customHeight="1" x14ac:dyDescent="0.2">
      <c r="A16850" s="734">
        <v>45195</v>
      </c>
      <c r="B16850" s="63" t="s">
        <v>25</v>
      </c>
      <c r="C16850" s="63" t="s">
        <v>8150</v>
      </c>
      <c r="D16850" s="183" t="s">
        <v>6337</v>
      </c>
      <c r="E16850" s="126">
        <v>16436</v>
      </c>
      <c r="F16850" s="58"/>
      <c r="G16850" s="58">
        <f t="shared" si="269"/>
        <v>-16436</v>
      </c>
      <c r="H16850" s="705" t="s">
        <v>10954</v>
      </c>
    </row>
    <row r="16851" spans="1:8" ht="15" x14ac:dyDescent="0.2">
      <c r="A16851" s="734">
        <v>45195</v>
      </c>
      <c r="B16851" s="63" t="s">
        <v>25</v>
      </c>
      <c r="C16851" s="63" t="s">
        <v>8150</v>
      </c>
      <c r="D16851" s="183" t="s">
        <v>6968</v>
      </c>
      <c r="E16851" s="126">
        <v>46501</v>
      </c>
      <c r="F16851" s="58"/>
      <c r="G16851" s="58">
        <f t="shared" si="269"/>
        <v>-46501</v>
      </c>
      <c r="H16851" s="705" t="s">
        <v>10954</v>
      </c>
    </row>
    <row r="16852" spans="1:8" ht="15" x14ac:dyDescent="0.2">
      <c r="A16852" s="734">
        <v>45195</v>
      </c>
      <c r="B16852" s="63" t="s">
        <v>10151</v>
      </c>
      <c r="C16852" s="650" t="s">
        <v>8394</v>
      </c>
      <c r="D16852" s="906" t="s">
        <v>11224</v>
      </c>
      <c r="E16852" s="651">
        <v>158496</v>
      </c>
      <c r="F16852" s="58"/>
      <c r="G16852" s="58">
        <f t="shared" si="269"/>
        <v>-158496</v>
      </c>
      <c r="H16852" s="705" t="s">
        <v>10954</v>
      </c>
    </row>
    <row r="16853" spans="1:8" ht="15" x14ac:dyDescent="0.2">
      <c r="A16853" s="734">
        <v>45195</v>
      </c>
      <c r="B16853" s="63" t="s">
        <v>10571</v>
      </c>
      <c r="C16853" s="650" t="s">
        <v>8394</v>
      </c>
      <c r="D16853" s="906" t="s">
        <v>11224</v>
      </c>
      <c r="E16853" s="651">
        <v>11574</v>
      </c>
      <c r="F16853" s="58"/>
      <c r="G16853" s="58">
        <f t="shared" si="269"/>
        <v>-11574</v>
      </c>
      <c r="H16853" s="705" t="s">
        <v>10954</v>
      </c>
    </row>
    <row r="16854" spans="1:8" ht="15" x14ac:dyDescent="0.2">
      <c r="A16854" s="734">
        <v>45195</v>
      </c>
      <c r="B16854" s="63" t="s">
        <v>9356</v>
      </c>
      <c r="C16854" s="650" t="s">
        <v>8394</v>
      </c>
      <c r="D16854" s="906" t="s">
        <v>11224</v>
      </c>
      <c r="E16854" s="651">
        <v>120076</v>
      </c>
      <c r="F16854" s="58"/>
      <c r="G16854" s="58">
        <f t="shared" si="269"/>
        <v>-120076</v>
      </c>
      <c r="H16854" s="705" t="s">
        <v>10954</v>
      </c>
    </row>
    <row r="16855" spans="1:8" ht="15" x14ac:dyDescent="0.2">
      <c r="A16855" s="734">
        <v>45195</v>
      </c>
      <c r="B16855" s="63" t="s">
        <v>10379</v>
      </c>
      <c r="C16855" s="650" t="s">
        <v>8394</v>
      </c>
      <c r="D16855" s="906" t="s">
        <v>11224</v>
      </c>
      <c r="E16855" s="651">
        <v>209438</v>
      </c>
      <c r="F16855" s="58"/>
      <c r="G16855" s="58">
        <f t="shared" si="269"/>
        <v>-209438</v>
      </c>
      <c r="H16855" s="705" t="s">
        <v>10954</v>
      </c>
    </row>
    <row r="16856" spans="1:8" ht="15" x14ac:dyDescent="0.2">
      <c r="A16856" s="734">
        <v>45195</v>
      </c>
      <c r="B16856" s="63" t="s">
        <v>11075</v>
      </c>
      <c r="C16856" s="650" t="s">
        <v>8394</v>
      </c>
      <c r="D16856" s="906" t="s">
        <v>11224</v>
      </c>
      <c r="E16856" s="651">
        <v>203556</v>
      </c>
      <c r="F16856" s="58"/>
      <c r="G16856" s="58">
        <f t="shared" si="269"/>
        <v>-203556</v>
      </c>
      <c r="H16856" s="705" t="s">
        <v>10954</v>
      </c>
    </row>
    <row r="16857" spans="1:8" ht="15" x14ac:dyDescent="0.2">
      <c r="A16857" s="734">
        <v>45195</v>
      </c>
      <c r="B16857" s="63" t="s">
        <v>10576</v>
      </c>
      <c r="C16857" s="650" t="s">
        <v>8394</v>
      </c>
      <c r="D16857" s="906" t="s">
        <v>11224</v>
      </c>
      <c r="E16857" s="651">
        <v>296860</v>
      </c>
      <c r="F16857" s="58"/>
      <c r="G16857" s="58">
        <f t="shared" si="269"/>
        <v>-296860</v>
      </c>
      <c r="H16857" s="705" t="s">
        <v>10954</v>
      </c>
    </row>
    <row r="16858" spans="1:8" ht="15" customHeight="1" x14ac:dyDescent="0.2">
      <c r="A16858" s="734">
        <v>45195</v>
      </c>
      <c r="B16858" s="63" t="s">
        <v>10571</v>
      </c>
      <c r="C16858" s="670" t="s">
        <v>7467</v>
      </c>
      <c r="D16858" s="907" t="s">
        <v>11214</v>
      </c>
      <c r="E16858" s="672">
        <v>586928</v>
      </c>
      <c r="F16858" s="58"/>
      <c r="G16858" s="58">
        <f t="shared" si="269"/>
        <v>-586928</v>
      </c>
      <c r="H16858" s="705" t="s">
        <v>10954</v>
      </c>
    </row>
    <row r="16859" spans="1:8" ht="15" customHeight="1" x14ac:dyDescent="0.2">
      <c r="A16859" s="734">
        <v>45195</v>
      </c>
      <c r="B16859" s="63" t="s">
        <v>9661</v>
      </c>
      <c r="C16859" s="670" t="s">
        <v>7467</v>
      </c>
      <c r="D16859" s="907" t="s">
        <v>11214</v>
      </c>
      <c r="E16859" s="672">
        <v>130436</v>
      </c>
      <c r="F16859" s="58"/>
      <c r="G16859" s="58">
        <f t="shared" si="269"/>
        <v>-130436</v>
      </c>
      <c r="H16859" s="705" t="s">
        <v>10954</v>
      </c>
    </row>
    <row r="16860" spans="1:8" ht="15" x14ac:dyDescent="0.2">
      <c r="A16860" s="734">
        <v>45195</v>
      </c>
      <c r="B16860" s="63" t="s">
        <v>10296</v>
      </c>
      <c r="C16860" s="670" t="s">
        <v>7467</v>
      </c>
      <c r="D16860" s="907" t="s">
        <v>11214</v>
      </c>
      <c r="E16860" s="672">
        <v>82636</v>
      </c>
      <c r="F16860" s="58"/>
      <c r="G16860" s="58">
        <f t="shared" si="269"/>
        <v>-82636</v>
      </c>
      <c r="H16860" s="705" t="s">
        <v>10954</v>
      </c>
    </row>
    <row r="16861" spans="1:8" ht="19.5" customHeight="1" x14ac:dyDescent="0.2">
      <c r="A16861" s="734">
        <v>45195</v>
      </c>
      <c r="B16861" s="63" t="s">
        <v>10232</v>
      </c>
      <c r="C16861" s="551" t="s">
        <v>10993</v>
      </c>
      <c r="D16861" s="740" t="s">
        <v>11197</v>
      </c>
      <c r="E16861" s="552">
        <v>47817</v>
      </c>
      <c r="F16861" s="58"/>
      <c r="G16861" s="58">
        <f t="shared" si="269"/>
        <v>-47817</v>
      </c>
      <c r="H16861" s="705" t="s">
        <v>10954</v>
      </c>
    </row>
    <row r="16862" spans="1:8" ht="19.5" customHeight="1" x14ac:dyDescent="0.2">
      <c r="A16862" s="734">
        <v>45195</v>
      </c>
      <c r="B16862" s="63" t="s">
        <v>10909</v>
      </c>
      <c r="C16862" s="551" t="s">
        <v>10993</v>
      </c>
      <c r="D16862" s="740" t="s">
        <v>11197</v>
      </c>
      <c r="E16862" s="552">
        <v>47817</v>
      </c>
      <c r="F16862" s="58"/>
      <c r="G16862" s="58">
        <f t="shared" si="269"/>
        <v>-47817</v>
      </c>
      <c r="H16862" s="705" t="s">
        <v>10954</v>
      </c>
    </row>
    <row r="16863" spans="1:8" ht="19.5" customHeight="1" x14ac:dyDescent="0.2">
      <c r="A16863" s="734">
        <v>45195</v>
      </c>
      <c r="B16863" s="63" t="s">
        <v>10576</v>
      </c>
      <c r="C16863" s="551" t="s">
        <v>10993</v>
      </c>
      <c r="D16863" s="740" t="s">
        <v>11197</v>
      </c>
      <c r="E16863" s="552">
        <v>47817</v>
      </c>
      <c r="F16863" s="58"/>
      <c r="G16863" s="58">
        <f t="shared" si="269"/>
        <v>-47817</v>
      </c>
      <c r="H16863" s="705" t="s">
        <v>10954</v>
      </c>
    </row>
    <row r="16864" spans="1:8" ht="24" customHeight="1" x14ac:dyDescent="0.2">
      <c r="A16864" s="734">
        <v>45195</v>
      </c>
      <c r="B16864" s="63" t="s">
        <v>8868</v>
      </c>
      <c r="C16864" s="63" t="s">
        <v>10993</v>
      </c>
      <c r="D16864" s="183" t="s">
        <v>11196</v>
      </c>
      <c r="E16864" s="126">
        <v>37000</v>
      </c>
      <c r="F16864" s="58"/>
      <c r="G16864" s="58">
        <f t="shared" si="269"/>
        <v>-37000</v>
      </c>
      <c r="H16864" s="705" t="s">
        <v>10954</v>
      </c>
    </row>
    <row r="16865" spans="1:8" ht="15" x14ac:dyDescent="0.2">
      <c r="A16865" s="734">
        <v>45196</v>
      </c>
      <c r="B16865" s="63" t="s">
        <v>9769</v>
      </c>
      <c r="C16865" s="63" t="s">
        <v>10993</v>
      </c>
      <c r="D16865" s="183" t="s">
        <v>6942</v>
      </c>
      <c r="E16865" s="126">
        <v>20300</v>
      </c>
      <c r="F16865" s="58"/>
      <c r="G16865" s="58">
        <f t="shared" si="269"/>
        <v>-20300</v>
      </c>
      <c r="H16865" s="705" t="s">
        <v>10954</v>
      </c>
    </row>
    <row r="16866" spans="1:8" ht="15" x14ac:dyDescent="0.2">
      <c r="A16866" s="734">
        <v>45196</v>
      </c>
      <c r="B16866" s="63" t="s">
        <v>8657</v>
      </c>
      <c r="C16866" s="63" t="s">
        <v>5741</v>
      </c>
      <c r="D16866" s="183" t="s">
        <v>10337</v>
      </c>
      <c r="E16866" s="126">
        <v>250</v>
      </c>
      <c r="F16866" s="58"/>
      <c r="G16866" s="58">
        <f t="shared" si="269"/>
        <v>-250</v>
      </c>
      <c r="H16866" s="705" t="s">
        <v>10954</v>
      </c>
    </row>
    <row r="16867" spans="1:8" ht="15" x14ac:dyDescent="0.2">
      <c r="A16867" s="734">
        <v>45196</v>
      </c>
      <c r="B16867" s="63" t="s">
        <v>9356</v>
      </c>
      <c r="C16867" s="63" t="s">
        <v>10993</v>
      </c>
      <c r="D16867" s="183" t="s">
        <v>11215</v>
      </c>
      <c r="E16867" s="126">
        <v>10300</v>
      </c>
      <c r="F16867" s="58"/>
      <c r="G16867" s="58">
        <f t="shared" si="269"/>
        <v>-10300</v>
      </c>
      <c r="H16867" s="705" t="s">
        <v>10954</v>
      </c>
    </row>
    <row r="16868" spans="1:8" ht="15" x14ac:dyDescent="0.2">
      <c r="A16868" s="734">
        <v>45196</v>
      </c>
      <c r="B16868" s="63" t="s">
        <v>103</v>
      </c>
      <c r="C16868" s="63" t="s">
        <v>392</v>
      </c>
      <c r="D16868" s="183" t="s">
        <v>11216</v>
      </c>
      <c r="E16868" s="126">
        <v>8000</v>
      </c>
      <c r="F16868" s="58"/>
      <c r="G16868" s="58">
        <f t="shared" si="269"/>
        <v>-8000</v>
      </c>
      <c r="H16868" s="705" t="s">
        <v>10954</v>
      </c>
    </row>
    <row r="16869" spans="1:8" ht="15" x14ac:dyDescent="0.2">
      <c r="A16869" s="734">
        <v>45196</v>
      </c>
      <c r="B16869" s="63" t="s">
        <v>10576</v>
      </c>
      <c r="C16869" s="63" t="s">
        <v>5741</v>
      </c>
      <c r="D16869" s="183" t="s">
        <v>10337</v>
      </c>
      <c r="E16869" s="126">
        <v>210</v>
      </c>
      <c r="F16869" s="58"/>
      <c r="G16869" s="58">
        <f t="shared" si="269"/>
        <v>-210</v>
      </c>
      <c r="H16869" s="705" t="s">
        <v>10954</v>
      </c>
    </row>
    <row r="16870" spans="1:8" ht="15" x14ac:dyDescent="0.2">
      <c r="A16870" s="734">
        <v>45196</v>
      </c>
      <c r="B16870" s="63" t="s">
        <v>9409</v>
      </c>
      <c r="C16870" s="63" t="s">
        <v>103</v>
      </c>
      <c r="D16870" s="183" t="s">
        <v>10337</v>
      </c>
      <c r="E16870" s="126">
        <v>250</v>
      </c>
      <c r="F16870" s="58"/>
      <c r="G16870" s="58">
        <f t="shared" si="269"/>
        <v>-250</v>
      </c>
      <c r="H16870" s="705" t="s">
        <v>10954</v>
      </c>
    </row>
    <row r="16871" spans="1:8" ht="15" x14ac:dyDescent="0.2">
      <c r="A16871" s="734">
        <v>45196</v>
      </c>
      <c r="B16871" s="63" t="s">
        <v>10576</v>
      </c>
      <c r="C16871" s="63" t="s">
        <v>5741</v>
      </c>
      <c r="D16871" s="183" t="s">
        <v>10337</v>
      </c>
      <c r="E16871" s="126">
        <v>550</v>
      </c>
      <c r="F16871" s="58"/>
      <c r="G16871" s="58">
        <f t="shared" si="269"/>
        <v>-550</v>
      </c>
      <c r="H16871" s="705" t="s">
        <v>10954</v>
      </c>
    </row>
    <row r="16872" spans="1:8" ht="15" customHeight="1" x14ac:dyDescent="0.2">
      <c r="A16872" s="734">
        <v>45196</v>
      </c>
      <c r="B16872" s="63" t="s">
        <v>9769</v>
      </c>
      <c r="C16872" s="63" t="s">
        <v>10993</v>
      </c>
      <c r="D16872" s="183" t="s">
        <v>11217</v>
      </c>
      <c r="E16872" s="126">
        <v>10950</v>
      </c>
      <c r="F16872" s="58"/>
      <c r="G16872" s="58">
        <f t="shared" si="269"/>
        <v>-10950</v>
      </c>
      <c r="H16872" s="705" t="s">
        <v>10954</v>
      </c>
    </row>
    <row r="16873" spans="1:8" ht="15" customHeight="1" x14ac:dyDescent="0.2">
      <c r="A16873" s="734">
        <v>45197</v>
      </c>
      <c r="B16873" s="63" t="s">
        <v>11007</v>
      </c>
      <c r="C16873" s="63" t="s">
        <v>11218</v>
      </c>
      <c r="D16873" s="183" t="s">
        <v>11219</v>
      </c>
      <c r="E16873" s="126">
        <v>20000</v>
      </c>
      <c r="F16873" s="58"/>
      <c r="G16873" s="58">
        <f t="shared" si="269"/>
        <v>-20000</v>
      </c>
      <c r="H16873" s="705" t="s">
        <v>10954</v>
      </c>
    </row>
    <row r="16874" spans="1:8" ht="15" customHeight="1" x14ac:dyDescent="0.2">
      <c r="A16874" s="734">
        <v>45197</v>
      </c>
      <c r="B16874" s="63" t="s">
        <v>10571</v>
      </c>
      <c r="C16874" s="551" t="s">
        <v>7467</v>
      </c>
      <c r="D16874" s="740" t="s">
        <v>11257</v>
      </c>
      <c r="E16874" s="552">
        <v>32460</v>
      </c>
      <c r="F16874" s="58"/>
      <c r="G16874" s="58">
        <f t="shared" si="269"/>
        <v>-32460</v>
      </c>
      <c r="H16874" s="705" t="s">
        <v>10954</v>
      </c>
    </row>
    <row r="16875" spans="1:8" ht="15" customHeight="1" x14ac:dyDescent="0.2">
      <c r="A16875" s="734">
        <v>45197</v>
      </c>
      <c r="B16875" s="63" t="s">
        <v>10151</v>
      </c>
      <c r="C16875" s="551" t="s">
        <v>7467</v>
      </c>
      <c r="D16875" s="740" t="s">
        <v>11257</v>
      </c>
      <c r="E16875" s="552">
        <v>228360</v>
      </c>
      <c r="F16875" s="58"/>
      <c r="G16875" s="58">
        <f t="shared" si="269"/>
        <v>-228360</v>
      </c>
      <c r="H16875" s="705" t="s">
        <v>10954</v>
      </c>
    </row>
    <row r="16876" spans="1:8" ht="15" customHeight="1" x14ac:dyDescent="0.2">
      <c r="A16876" s="734">
        <v>45197</v>
      </c>
      <c r="B16876" s="63" t="s">
        <v>9986</v>
      </c>
      <c r="C16876" s="551" t="s">
        <v>7467</v>
      </c>
      <c r="D16876" s="740" t="s">
        <v>11257</v>
      </c>
      <c r="E16876" s="552">
        <v>35755</v>
      </c>
      <c r="F16876" s="58"/>
      <c r="G16876" s="58">
        <f t="shared" si="269"/>
        <v>-35755</v>
      </c>
      <c r="H16876" s="705" t="s">
        <v>10954</v>
      </c>
    </row>
    <row r="16877" spans="1:8" ht="15" customHeight="1" x14ac:dyDescent="0.2">
      <c r="A16877" s="734">
        <v>45197</v>
      </c>
      <c r="B16877" s="63" t="s">
        <v>11075</v>
      </c>
      <c r="C16877" s="551" t="s">
        <v>7467</v>
      </c>
      <c r="D16877" s="740" t="s">
        <v>11257</v>
      </c>
      <c r="E16877" s="552">
        <v>203425</v>
      </c>
      <c r="F16877" s="58"/>
      <c r="G16877" s="58">
        <f t="shared" si="269"/>
        <v>-203425</v>
      </c>
      <c r="H16877" s="705" t="s">
        <v>10954</v>
      </c>
    </row>
    <row r="16878" spans="1:8" ht="15" customHeight="1" x14ac:dyDescent="0.2">
      <c r="A16878" s="734">
        <v>45197</v>
      </c>
      <c r="B16878" s="63" t="s">
        <v>10296</v>
      </c>
      <c r="C16878" s="63" t="s">
        <v>10993</v>
      </c>
      <c r="D16878" s="183" t="s">
        <v>11220</v>
      </c>
      <c r="E16878" s="126">
        <v>3700</v>
      </c>
      <c r="F16878" s="58"/>
      <c r="G16878" s="58">
        <f t="shared" si="269"/>
        <v>-3700</v>
      </c>
      <c r="H16878" s="705" t="s">
        <v>10954</v>
      </c>
    </row>
    <row r="16879" spans="1:8" ht="15" x14ac:dyDescent="0.2">
      <c r="A16879" s="734">
        <v>45197</v>
      </c>
      <c r="B16879" s="63" t="s">
        <v>10232</v>
      </c>
      <c r="C16879" s="63" t="s">
        <v>10993</v>
      </c>
      <c r="D16879" s="183" t="s">
        <v>11221</v>
      </c>
      <c r="E16879" s="126">
        <v>5300</v>
      </c>
      <c r="F16879" s="58"/>
      <c r="G16879" s="58">
        <f t="shared" si="269"/>
        <v>-5300</v>
      </c>
      <c r="H16879" s="705" t="s">
        <v>10954</v>
      </c>
    </row>
    <row r="16880" spans="1:8" ht="15" x14ac:dyDescent="0.2">
      <c r="A16880" s="734">
        <v>45197</v>
      </c>
      <c r="B16880" s="63" t="s">
        <v>10232</v>
      </c>
      <c r="C16880" s="63" t="s">
        <v>10993</v>
      </c>
      <c r="D16880" s="183" t="s">
        <v>11222</v>
      </c>
      <c r="E16880" s="126">
        <v>1500</v>
      </c>
      <c r="F16880" s="58"/>
      <c r="G16880" s="58">
        <f t="shared" si="269"/>
        <v>-1500</v>
      </c>
      <c r="H16880" s="705" t="s">
        <v>10954</v>
      </c>
    </row>
    <row r="16881" spans="1:8" ht="15" x14ac:dyDescent="0.2">
      <c r="A16881" s="734">
        <v>45197</v>
      </c>
      <c r="B16881" s="63" t="s">
        <v>10576</v>
      </c>
      <c r="C16881" s="63" t="s">
        <v>10993</v>
      </c>
      <c r="D16881" s="183" t="s">
        <v>11223</v>
      </c>
      <c r="E16881" s="126">
        <v>2555</v>
      </c>
      <c r="F16881" s="58"/>
      <c r="G16881" s="58">
        <f t="shared" si="269"/>
        <v>-2555</v>
      </c>
      <c r="H16881" s="705" t="s">
        <v>10954</v>
      </c>
    </row>
    <row r="16882" spans="1:8" ht="15" x14ac:dyDescent="0.2">
      <c r="A16882" s="734">
        <v>45197</v>
      </c>
      <c r="B16882" s="63" t="s">
        <v>10576</v>
      </c>
      <c r="C16882" s="63" t="s">
        <v>286</v>
      </c>
      <c r="D16882" s="183" t="s">
        <v>8663</v>
      </c>
      <c r="E16882" s="126">
        <v>1100</v>
      </c>
      <c r="F16882" s="58"/>
      <c r="G16882" s="58">
        <f t="shared" si="269"/>
        <v>-1100</v>
      </c>
      <c r="H16882" s="705" t="s">
        <v>10954</v>
      </c>
    </row>
    <row r="16883" spans="1:8" ht="15" x14ac:dyDescent="0.2">
      <c r="A16883" s="734">
        <v>45197</v>
      </c>
      <c r="B16883" s="63" t="s">
        <v>10471</v>
      </c>
      <c r="C16883" s="63" t="s">
        <v>7949</v>
      </c>
      <c r="D16883" s="183" t="s">
        <v>11234</v>
      </c>
      <c r="E16883" s="126">
        <v>20000</v>
      </c>
      <c r="F16883" s="58"/>
      <c r="G16883" s="58">
        <f t="shared" si="269"/>
        <v>-20000</v>
      </c>
      <c r="H16883" s="705" t="s">
        <v>10954</v>
      </c>
    </row>
    <row r="16884" spans="1:8" ht="15" x14ac:dyDescent="0.2">
      <c r="A16884" s="734">
        <v>45197</v>
      </c>
      <c r="B16884" s="63" t="s">
        <v>103</v>
      </c>
      <c r="C16884" s="63" t="s">
        <v>103</v>
      </c>
      <c r="D16884" s="183" t="s">
        <v>10211</v>
      </c>
      <c r="E16884" s="126">
        <v>3500</v>
      </c>
      <c r="F16884" s="58"/>
      <c r="G16884" s="58">
        <f t="shared" si="269"/>
        <v>-3500</v>
      </c>
      <c r="H16884" s="705" t="s">
        <v>10954</v>
      </c>
    </row>
    <row r="16885" spans="1:8" ht="15" x14ac:dyDescent="0.2">
      <c r="A16885" s="734">
        <v>45197</v>
      </c>
      <c r="B16885" s="63" t="s">
        <v>10908</v>
      </c>
      <c r="C16885" s="63" t="s">
        <v>5387</v>
      </c>
      <c r="D16885" s="183" t="s">
        <v>11235</v>
      </c>
      <c r="E16885" s="126">
        <v>12000</v>
      </c>
      <c r="F16885" s="58"/>
      <c r="G16885" s="58">
        <f t="shared" si="269"/>
        <v>-12000</v>
      </c>
      <c r="H16885" s="705" t="s">
        <v>10954</v>
      </c>
    </row>
    <row r="16886" spans="1:8" ht="15" customHeight="1" x14ac:dyDescent="0.2">
      <c r="A16886" s="734">
        <v>45197</v>
      </c>
      <c r="B16886" s="63" t="s">
        <v>10908</v>
      </c>
      <c r="C16886" s="63" t="s">
        <v>10993</v>
      </c>
      <c r="D16886" s="183" t="s">
        <v>11123</v>
      </c>
      <c r="E16886" s="126">
        <v>8820</v>
      </c>
      <c r="F16886" s="58"/>
      <c r="G16886" s="58">
        <f t="shared" si="269"/>
        <v>-8820</v>
      </c>
      <c r="H16886" s="705" t="s">
        <v>10954</v>
      </c>
    </row>
    <row r="16887" spans="1:8" ht="15" customHeight="1" x14ac:dyDescent="0.2">
      <c r="A16887" s="734">
        <v>45197</v>
      </c>
      <c r="B16887" s="63" t="s">
        <v>103</v>
      </c>
      <c r="C16887" s="63" t="s">
        <v>5937</v>
      </c>
      <c r="D16887" s="183" t="s">
        <v>11236</v>
      </c>
      <c r="E16887" s="126">
        <v>25000</v>
      </c>
      <c r="F16887" s="58"/>
      <c r="G16887" s="58">
        <f t="shared" si="269"/>
        <v>-25000</v>
      </c>
      <c r="H16887" s="705" t="s">
        <v>10954</v>
      </c>
    </row>
    <row r="16888" spans="1:8" ht="15" x14ac:dyDescent="0.2">
      <c r="A16888" s="734">
        <v>45199</v>
      </c>
      <c r="B16888" s="63" t="s">
        <v>25</v>
      </c>
      <c r="C16888" s="63" t="s">
        <v>5572</v>
      </c>
      <c r="D16888" s="183" t="s">
        <v>11237</v>
      </c>
      <c r="E16888" s="126">
        <v>5340</v>
      </c>
      <c r="F16888" s="58"/>
      <c r="G16888" s="58">
        <f t="shared" si="269"/>
        <v>-5340</v>
      </c>
      <c r="H16888" s="705" t="s">
        <v>10954</v>
      </c>
    </row>
    <row r="16889" spans="1:8" ht="15" x14ac:dyDescent="0.2">
      <c r="A16889" s="734">
        <v>45199</v>
      </c>
      <c r="B16889" s="63" t="s">
        <v>10232</v>
      </c>
      <c r="C16889" s="63" t="s">
        <v>5741</v>
      </c>
      <c r="D16889" s="183" t="s">
        <v>370</v>
      </c>
      <c r="E16889" s="126">
        <v>1500</v>
      </c>
      <c r="F16889" s="58"/>
      <c r="G16889" s="58">
        <f t="shared" si="269"/>
        <v>-1500</v>
      </c>
      <c r="H16889" s="705" t="s">
        <v>10954</v>
      </c>
    </row>
    <row r="16890" spans="1:8" ht="15" x14ac:dyDescent="0.2">
      <c r="A16890" s="734">
        <v>45199</v>
      </c>
      <c r="B16890" s="63" t="s">
        <v>9356</v>
      </c>
      <c r="C16890" s="63" t="s">
        <v>5741</v>
      </c>
      <c r="D16890" s="183" t="s">
        <v>370</v>
      </c>
      <c r="E16890" s="126">
        <v>2700</v>
      </c>
      <c r="F16890" s="58"/>
      <c r="G16890" s="58">
        <f t="shared" si="269"/>
        <v>-2700</v>
      </c>
      <c r="H16890" s="705" t="s">
        <v>10954</v>
      </c>
    </row>
    <row r="16891" spans="1:8" ht="15" x14ac:dyDescent="0.2">
      <c r="A16891" s="734">
        <v>45199</v>
      </c>
      <c r="B16891" s="63" t="s">
        <v>9356</v>
      </c>
      <c r="C16891" s="63" t="s">
        <v>11105</v>
      </c>
      <c r="D16891" s="183" t="s">
        <v>11238</v>
      </c>
      <c r="E16891" s="126">
        <v>80000</v>
      </c>
      <c r="F16891" s="58"/>
      <c r="G16891" s="58">
        <f t="shared" si="269"/>
        <v>-80000</v>
      </c>
      <c r="H16891" s="705" t="s">
        <v>10954</v>
      </c>
    </row>
    <row r="16892" spans="1:8" ht="24" customHeight="1" x14ac:dyDescent="0.2">
      <c r="A16892" s="734">
        <v>45199</v>
      </c>
      <c r="B16892" s="63" t="s">
        <v>9356</v>
      </c>
      <c r="C16892" s="63" t="s">
        <v>392</v>
      </c>
      <c r="D16892" s="183" t="s">
        <v>11239</v>
      </c>
      <c r="E16892" s="126">
        <v>50250</v>
      </c>
      <c r="F16892" s="58"/>
      <c r="G16892" s="58">
        <f t="shared" si="269"/>
        <v>-50250</v>
      </c>
      <c r="H16892" s="705" t="s">
        <v>10954</v>
      </c>
    </row>
    <row r="16893" spans="1:8" ht="15" x14ac:dyDescent="0.2">
      <c r="A16893" s="734">
        <v>45199</v>
      </c>
      <c r="B16893" s="63" t="s">
        <v>10576</v>
      </c>
      <c r="C16893" s="63" t="s">
        <v>10993</v>
      </c>
      <c r="D16893" s="183" t="s">
        <v>11240</v>
      </c>
      <c r="E16893" s="126">
        <v>10000</v>
      </c>
      <c r="F16893" s="58"/>
      <c r="G16893" s="58">
        <f t="shared" si="269"/>
        <v>-10000</v>
      </c>
      <c r="H16893" s="705" t="s">
        <v>10954</v>
      </c>
    </row>
    <row r="16894" spans="1:8" ht="15" x14ac:dyDescent="0.2">
      <c r="A16894" s="734">
        <v>45199</v>
      </c>
      <c r="B16894" s="63" t="s">
        <v>9356</v>
      </c>
      <c r="C16894" s="63" t="s">
        <v>11132</v>
      </c>
      <c r="D16894" s="183" t="s">
        <v>11241</v>
      </c>
      <c r="E16894" s="126">
        <v>40000</v>
      </c>
      <c r="F16894" s="58"/>
      <c r="G16894" s="58">
        <f t="shared" si="269"/>
        <v>-40000</v>
      </c>
      <c r="H16894" s="705" t="s">
        <v>10954</v>
      </c>
    </row>
    <row r="16895" spans="1:8" ht="15" x14ac:dyDescent="0.2">
      <c r="A16895" s="734">
        <v>45199</v>
      </c>
      <c r="B16895" s="63" t="s">
        <v>9356</v>
      </c>
      <c r="C16895" s="63" t="s">
        <v>9825</v>
      </c>
      <c r="D16895" s="183" t="s">
        <v>11242</v>
      </c>
      <c r="E16895" s="126">
        <v>215000</v>
      </c>
      <c r="F16895" s="58"/>
      <c r="G16895" s="58">
        <f t="shared" ref="G16895:G16958" si="270">F16895-E16895</f>
        <v>-215000</v>
      </c>
      <c r="H16895" s="705" t="s">
        <v>10954</v>
      </c>
    </row>
    <row r="16896" spans="1:8" ht="15" x14ac:dyDescent="0.2">
      <c r="A16896" s="734">
        <v>45199</v>
      </c>
      <c r="B16896" s="63" t="s">
        <v>103</v>
      </c>
      <c r="C16896" s="63" t="s">
        <v>5741</v>
      </c>
      <c r="D16896" s="183" t="s">
        <v>11243</v>
      </c>
      <c r="E16896" s="126">
        <v>250</v>
      </c>
      <c r="F16896" s="58"/>
      <c r="G16896" s="58">
        <f t="shared" si="270"/>
        <v>-250</v>
      </c>
      <c r="H16896" s="705" t="s">
        <v>10954</v>
      </c>
    </row>
    <row r="16897" spans="1:8" ht="15" x14ac:dyDescent="0.2">
      <c r="A16897" s="733">
        <v>45171</v>
      </c>
      <c r="B16897" s="174" t="s">
        <v>10379</v>
      </c>
      <c r="C16897" s="174" t="s">
        <v>8071</v>
      </c>
      <c r="D16897" s="228" t="s">
        <v>10995</v>
      </c>
      <c r="E16897" s="236">
        <v>155000</v>
      </c>
      <c r="F16897" s="123"/>
      <c r="G16897" s="123">
        <f t="shared" si="270"/>
        <v>-155000</v>
      </c>
      <c r="H16897" s="709" t="s">
        <v>10954</v>
      </c>
    </row>
    <row r="16898" spans="1:8" ht="15" x14ac:dyDescent="0.2">
      <c r="A16898" s="733">
        <v>45173</v>
      </c>
      <c r="B16898" s="174" t="s">
        <v>10576</v>
      </c>
      <c r="C16898" s="174" t="s">
        <v>1198</v>
      </c>
      <c r="D16898" s="228" t="s">
        <v>10996</v>
      </c>
      <c r="E16898" s="236">
        <v>500000</v>
      </c>
      <c r="F16898" s="123"/>
      <c r="G16898" s="123">
        <f t="shared" si="270"/>
        <v>-500000</v>
      </c>
      <c r="H16898" s="709" t="s">
        <v>10954</v>
      </c>
    </row>
    <row r="16899" spans="1:8" ht="15" x14ac:dyDescent="0.2">
      <c r="A16899" s="733">
        <v>45173</v>
      </c>
      <c r="B16899" s="174" t="s">
        <v>10576</v>
      </c>
      <c r="C16899" s="174" t="s">
        <v>1198</v>
      </c>
      <c r="D16899" s="228" t="s">
        <v>10997</v>
      </c>
      <c r="E16899" s="236">
        <v>500000</v>
      </c>
      <c r="F16899" s="123"/>
      <c r="G16899" s="123">
        <f t="shared" si="270"/>
        <v>-500000</v>
      </c>
      <c r="H16899" s="709" t="s">
        <v>10954</v>
      </c>
    </row>
    <row r="16900" spans="1:8" ht="15" x14ac:dyDescent="0.2">
      <c r="A16900" s="733">
        <v>45174</v>
      </c>
      <c r="B16900" s="174" t="s">
        <v>9507</v>
      </c>
      <c r="C16900" s="551" t="s">
        <v>9549</v>
      </c>
      <c r="D16900" s="740" t="s">
        <v>10998</v>
      </c>
      <c r="E16900" s="552">
        <v>45000</v>
      </c>
      <c r="F16900" s="123"/>
      <c r="G16900" s="123">
        <f t="shared" si="270"/>
        <v>-45000</v>
      </c>
      <c r="H16900" s="709" t="s">
        <v>10954</v>
      </c>
    </row>
    <row r="16901" spans="1:8" ht="15" x14ac:dyDescent="0.2">
      <c r="A16901" s="733">
        <v>45174</v>
      </c>
      <c r="B16901" s="174" t="s">
        <v>10242</v>
      </c>
      <c r="C16901" s="551" t="s">
        <v>9549</v>
      </c>
      <c r="D16901" s="740" t="s">
        <v>10998</v>
      </c>
      <c r="E16901" s="552">
        <v>61000</v>
      </c>
      <c r="F16901" s="123"/>
      <c r="G16901" s="123">
        <f t="shared" si="270"/>
        <v>-61000</v>
      </c>
      <c r="H16901" s="709" t="s">
        <v>10954</v>
      </c>
    </row>
    <row r="16902" spans="1:8" ht="15" x14ac:dyDescent="0.2">
      <c r="A16902" s="733">
        <v>45174</v>
      </c>
      <c r="B16902" s="174" t="s">
        <v>10576</v>
      </c>
      <c r="C16902" s="174" t="s">
        <v>1198</v>
      </c>
      <c r="D16902" s="228" t="s">
        <v>10999</v>
      </c>
      <c r="E16902" s="236">
        <v>938219</v>
      </c>
      <c r="F16902" s="123"/>
      <c r="G16902" s="123">
        <f t="shared" si="270"/>
        <v>-938219</v>
      </c>
      <c r="H16902" s="709" t="s">
        <v>10954</v>
      </c>
    </row>
    <row r="16903" spans="1:8" ht="15" x14ac:dyDescent="0.2">
      <c r="A16903" s="733">
        <v>45174</v>
      </c>
      <c r="B16903" s="174" t="s">
        <v>9356</v>
      </c>
      <c r="C16903" s="174" t="s">
        <v>7906</v>
      </c>
      <c r="D16903" s="228" t="s">
        <v>11000</v>
      </c>
      <c r="E16903" s="236">
        <v>2112457</v>
      </c>
      <c r="F16903" s="123"/>
      <c r="G16903" s="123">
        <f t="shared" si="270"/>
        <v>-2112457</v>
      </c>
      <c r="H16903" s="709" t="s">
        <v>10954</v>
      </c>
    </row>
    <row r="16904" spans="1:8" ht="15" x14ac:dyDescent="0.2">
      <c r="A16904" s="733">
        <v>45178</v>
      </c>
      <c r="B16904" s="174" t="s">
        <v>10232</v>
      </c>
      <c r="C16904" s="174" t="s">
        <v>6784</v>
      </c>
      <c r="D16904" s="228" t="s">
        <v>11001</v>
      </c>
      <c r="E16904" s="236">
        <v>200000</v>
      </c>
      <c r="F16904" s="123"/>
      <c r="G16904" s="123">
        <f t="shared" si="270"/>
        <v>-200000</v>
      </c>
      <c r="H16904" s="709" t="s">
        <v>10954</v>
      </c>
    </row>
    <row r="16905" spans="1:8" ht="15" customHeight="1" x14ac:dyDescent="0.2">
      <c r="A16905" s="733">
        <v>45178</v>
      </c>
      <c r="B16905" s="174" t="s">
        <v>9769</v>
      </c>
      <c r="C16905" s="174" t="s">
        <v>3292</v>
      </c>
      <c r="D16905" s="228" t="s">
        <v>11005</v>
      </c>
      <c r="E16905" s="236">
        <v>50000</v>
      </c>
      <c r="F16905" s="123"/>
      <c r="G16905" s="123">
        <f t="shared" si="270"/>
        <v>-50000</v>
      </c>
      <c r="H16905" s="709" t="s">
        <v>10954</v>
      </c>
    </row>
    <row r="16906" spans="1:8" ht="15" x14ac:dyDescent="0.2">
      <c r="A16906" s="733">
        <v>45178</v>
      </c>
      <c r="B16906" s="174" t="s">
        <v>10909</v>
      </c>
      <c r="C16906" s="174" t="s">
        <v>4322</v>
      </c>
      <c r="D16906" s="228" t="s">
        <v>11024</v>
      </c>
      <c r="E16906" s="236">
        <v>567008</v>
      </c>
      <c r="F16906" s="123"/>
      <c r="G16906" s="123">
        <f t="shared" si="270"/>
        <v>-567008</v>
      </c>
      <c r="H16906" s="709" t="s">
        <v>10954</v>
      </c>
    </row>
    <row r="16907" spans="1:8" ht="15" x14ac:dyDescent="0.2">
      <c r="A16907" s="733">
        <v>45181</v>
      </c>
      <c r="B16907" s="174" t="s">
        <v>9769</v>
      </c>
      <c r="C16907" s="174" t="s">
        <v>1509</v>
      </c>
      <c r="D16907" s="228" t="s">
        <v>11067</v>
      </c>
      <c r="E16907" s="236">
        <v>100000</v>
      </c>
      <c r="F16907" s="123"/>
      <c r="G16907" s="123">
        <f t="shared" si="270"/>
        <v>-100000</v>
      </c>
      <c r="H16907" s="709" t="s">
        <v>10954</v>
      </c>
    </row>
    <row r="16908" spans="1:8" ht="15" x14ac:dyDescent="0.2">
      <c r="A16908" s="733">
        <v>45181</v>
      </c>
      <c r="B16908" s="174" t="s">
        <v>9769</v>
      </c>
      <c r="C16908" s="174" t="s">
        <v>1509</v>
      </c>
      <c r="D16908" s="228" t="s">
        <v>11068</v>
      </c>
      <c r="E16908" s="236">
        <v>100000</v>
      </c>
      <c r="F16908" s="123"/>
      <c r="G16908" s="123">
        <f t="shared" si="270"/>
        <v>-100000</v>
      </c>
      <c r="H16908" s="709" t="s">
        <v>10954</v>
      </c>
    </row>
    <row r="16909" spans="1:8" ht="15" x14ac:dyDescent="0.2">
      <c r="A16909" s="733">
        <v>45182</v>
      </c>
      <c r="B16909" s="174" t="s">
        <v>10144</v>
      </c>
      <c r="C16909" s="174" t="s">
        <v>9750</v>
      </c>
      <c r="D16909" s="228" t="s">
        <v>11113</v>
      </c>
      <c r="E16909" s="236">
        <v>100000</v>
      </c>
      <c r="F16909" s="123"/>
      <c r="G16909" s="123">
        <f t="shared" si="270"/>
        <v>-100000</v>
      </c>
      <c r="H16909" s="709" t="s">
        <v>10954</v>
      </c>
    </row>
    <row r="16910" spans="1:8" ht="15" x14ac:dyDescent="0.2">
      <c r="A16910" s="733">
        <v>45182</v>
      </c>
      <c r="B16910" s="174" t="s">
        <v>3946</v>
      </c>
      <c r="C16910" s="174" t="s">
        <v>3003</v>
      </c>
      <c r="D16910" s="228" t="s">
        <v>11117</v>
      </c>
      <c r="E16910" s="236">
        <v>32760</v>
      </c>
      <c r="F16910" s="236"/>
      <c r="G16910" s="236">
        <f t="shared" si="270"/>
        <v>-32760</v>
      </c>
      <c r="H16910" s="709" t="s">
        <v>10954</v>
      </c>
    </row>
    <row r="16911" spans="1:8" ht="15" x14ac:dyDescent="0.2">
      <c r="A16911" s="733">
        <v>45182</v>
      </c>
      <c r="B16911" s="174" t="s">
        <v>3945</v>
      </c>
      <c r="C16911" s="174" t="s">
        <v>3003</v>
      </c>
      <c r="D16911" s="228" t="s">
        <v>11117</v>
      </c>
      <c r="E16911" s="236">
        <v>35360</v>
      </c>
      <c r="F16911" s="236"/>
      <c r="G16911" s="236">
        <f t="shared" si="270"/>
        <v>-35360</v>
      </c>
      <c r="H16911" s="709" t="s">
        <v>10954</v>
      </c>
    </row>
    <row r="16912" spans="1:8" ht="15" x14ac:dyDescent="0.2">
      <c r="A16912" s="733">
        <v>45196</v>
      </c>
      <c r="B16912" s="174" t="s">
        <v>10909</v>
      </c>
      <c r="C16912" s="174" t="s">
        <v>4322</v>
      </c>
      <c r="D16912" s="228" t="s">
        <v>11024</v>
      </c>
      <c r="E16912" s="236">
        <v>915945</v>
      </c>
      <c r="F16912" s="236"/>
      <c r="G16912" s="236">
        <f t="shared" si="270"/>
        <v>-915945</v>
      </c>
      <c r="H16912" s="709" t="s">
        <v>10954</v>
      </c>
    </row>
    <row r="16913" spans="1:10" ht="98.25" customHeight="1" x14ac:dyDescent="0.2">
      <c r="A16913" s="730">
        <v>45172</v>
      </c>
      <c r="B16913" s="94" t="s">
        <v>10909</v>
      </c>
      <c r="C16913" s="94" t="s">
        <v>559</v>
      </c>
      <c r="D16913" s="802" t="s">
        <v>12043</v>
      </c>
      <c r="E16913" s="176"/>
      <c r="F16913" s="176">
        <v>6770928</v>
      </c>
      <c r="G16913" s="176">
        <f t="shared" si="270"/>
        <v>6770928</v>
      </c>
      <c r="H16913" s="702" t="s">
        <v>10954</v>
      </c>
    </row>
    <row r="16914" spans="1:10" ht="48" x14ac:dyDescent="0.2">
      <c r="A16914" s="730">
        <v>45172</v>
      </c>
      <c r="B16914" s="94" t="s">
        <v>14</v>
      </c>
      <c r="C16914" s="94"/>
      <c r="D16914" s="802" t="s">
        <v>11688</v>
      </c>
      <c r="E16914" s="176"/>
      <c r="F16914" s="176">
        <v>203128</v>
      </c>
      <c r="G16914" s="176">
        <f t="shared" si="270"/>
        <v>203128</v>
      </c>
      <c r="H16914" s="702" t="s">
        <v>10954</v>
      </c>
    </row>
    <row r="16915" spans="1:10" ht="15" x14ac:dyDescent="0.2">
      <c r="A16915" s="730">
        <v>45172</v>
      </c>
      <c r="B16915" s="94" t="s">
        <v>14</v>
      </c>
      <c r="C16915" s="94" t="s">
        <v>559</v>
      </c>
      <c r="D16915" s="802" t="s">
        <v>10955</v>
      </c>
      <c r="E16915" s="92"/>
      <c r="F16915" s="487">
        <v>-203128</v>
      </c>
      <c r="G16915" s="176">
        <f t="shared" si="270"/>
        <v>-203128</v>
      </c>
      <c r="H16915" s="702" t="s">
        <v>10954</v>
      </c>
    </row>
    <row r="16916" spans="1:10" ht="15" x14ac:dyDescent="0.2">
      <c r="A16916" s="730">
        <v>45172</v>
      </c>
      <c r="B16916" s="94" t="s">
        <v>10908</v>
      </c>
      <c r="C16916" s="94" t="s">
        <v>559</v>
      </c>
      <c r="D16916" s="802" t="s">
        <v>11303</v>
      </c>
      <c r="E16916" s="92">
        <v>69740</v>
      </c>
      <c r="F16916" s="487"/>
      <c r="G16916" s="176">
        <f t="shared" si="270"/>
        <v>-69740</v>
      </c>
      <c r="H16916" s="702" t="s">
        <v>10954</v>
      </c>
      <c r="J16916" s="1092"/>
    </row>
    <row r="16917" spans="1:10" ht="15" x14ac:dyDescent="0.2">
      <c r="A16917" s="730">
        <v>45174</v>
      </c>
      <c r="B16917" s="91" t="s">
        <v>9356</v>
      </c>
      <c r="C16917" s="94" t="s">
        <v>559</v>
      </c>
      <c r="D16917" s="892" t="s">
        <v>10956</v>
      </c>
      <c r="E16917" s="92"/>
      <c r="F16917" s="92">
        <v>938219</v>
      </c>
      <c r="G16917" s="176">
        <f t="shared" si="270"/>
        <v>938219</v>
      </c>
      <c r="H16917" s="702" t="s">
        <v>10954</v>
      </c>
      <c r="J16917" s="1092"/>
    </row>
    <row r="16918" spans="1:10" ht="15" x14ac:dyDescent="0.2">
      <c r="A16918" s="730">
        <v>45174</v>
      </c>
      <c r="B16918" s="91" t="s">
        <v>9356</v>
      </c>
      <c r="C16918" s="94" t="s">
        <v>559</v>
      </c>
      <c r="D16918" s="892" t="s">
        <v>10958</v>
      </c>
      <c r="E16918" s="92"/>
      <c r="F16918" s="92">
        <v>2112457</v>
      </c>
      <c r="G16918" s="176">
        <f t="shared" si="270"/>
        <v>2112457</v>
      </c>
      <c r="H16918" s="702" t="s">
        <v>10954</v>
      </c>
      <c r="J16918" s="1092"/>
    </row>
    <row r="16919" spans="1:10" ht="15" x14ac:dyDescent="0.2">
      <c r="A16919" s="730">
        <v>45174</v>
      </c>
      <c r="B16919" s="91" t="s">
        <v>10379</v>
      </c>
      <c r="C16919" s="94" t="s">
        <v>559</v>
      </c>
      <c r="D16919" s="892" t="s">
        <v>10957</v>
      </c>
      <c r="E16919" s="92"/>
      <c r="F16919" s="92">
        <v>2000000</v>
      </c>
      <c r="G16919" s="176">
        <f t="shared" si="270"/>
        <v>2000000</v>
      </c>
      <c r="H16919" s="702" t="s">
        <v>10954</v>
      </c>
      <c r="J16919" s="1092"/>
    </row>
    <row r="16920" spans="1:10" ht="24" x14ac:dyDescent="0.2">
      <c r="A16920" s="730">
        <v>45175</v>
      </c>
      <c r="B16920" s="94" t="s">
        <v>10296</v>
      </c>
      <c r="C16920" s="94" t="s">
        <v>559</v>
      </c>
      <c r="D16920" s="802" t="s">
        <v>10959</v>
      </c>
      <c r="E16920" s="92"/>
      <c r="F16920" s="176">
        <v>1000000</v>
      </c>
      <c r="G16920" s="92">
        <f t="shared" si="270"/>
        <v>1000000</v>
      </c>
      <c r="H16920" s="702" t="s">
        <v>10954</v>
      </c>
    </row>
    <row r="16921" spans="1:10" ht="24" x14ac:dyDescent="0.2">
      <c r="A16921" s="730">
        <v>45175</v>
      </c>
      <c r="B16921" s="94" t="s">
        <v>10296</v>
      </c>
      <c r="C16921" s="94" t="s">
        <v>559</v>
      </c>
      <c r="D16921" s="802" t="s">
        <v>10960</v>
      </c>
      <c r="E16921" s="92"/>
      <c r="F16921" s="176">
        <v>1000000</v>
      </c>
      <c r="G16921" s="92">
        <f t="shared" si="270"/>
        <v>1000000</v>
      </c>
      <c r="H16921" s="702" t="s">
        <v>10954</v>
      </c>
    </row>
    <row r="16922" spans="1:10" s="682" customFormat="1" ht="24" customHeight="1" x14ac:dyDescent="0.25">
      <c r="A16922" s="730">
        <v>45175</v>
      </c>
      <c r="B16922" s="94" t="s">
        <v>10023</v>
      </c>
      <c r="C16922" s="94" t="s">
        <v>559</v>
      </c>
      <c r="D16922" s="802" t="s">
        <v>11008</v>
      </c>
      <c r="E16922" s="176"/>
      <c r="F16922" s="176">
        <v>2000000</v>
      </c>
      <c r="G16922" s="176">
        <f t="shared" si="270"/>
        <v>2000000</v>
      </c>
      <c r="H16922" s="702" t="s">
        <v>10954</v>
      </c>
    </row>
    <row r="16923" spans="1:10" ht="24" x14ac:dyDescent="0.2">
      <c r="A16923" s="730">
        <v>45177</v>
      </c>
      <c r="B16923" s="91" t="s">
        <v>11007</v>
      </c>
      <c r="C16923" s="94" t="s">
        <v>559</v>
      </c>
      <c r="D16923" s="802" t="s">
        <v>11071</v>
      </c>
      <c r="E16923" s="176"/>
      <c r="F16923" s="176">
        <v>400000</v>
      </c>
      <c r="G16923" s="176">
        <f t="shared" si="270"/>
        <v>400000</v>
      </c>
      <c r="H16923" s="702" t="s">
        <v>10954</v>
      </c>
    </row>
    <row r="16924" spans="1:10" ht="15" x14ac:dyDescent="0.2">
      <c r="A16924" s="730">
        <v>45178</v>
      </c>
      <c r="B16924" s="91" t="s">
        <v>3946</v>
      </c>
      <c r="C16924" s="94" t="s">
        <v>559</v>
      </c>
      <c r="D16924" s="892" t="s">
        <v>11022</v>
      </c>
      <c r="E16924" s="92"/>
      <c r="F16924" s="92">
        <v>359992</v>
      </c>
      <c r="G16924" s="176">
        <f t="shared" si="270"/>
        <v>359992</v>
      </c>
      <c r="H16924" s="702" t="s">
        <v>10954</v>
      </c>
    </row>
    <row r="16925" spans="1:10" ht="24" x14ac:dyDescent="0.2">
      <c r="A16925" s="730">
        <v>45178</v>
      </c>
      <c r="B16925" s="94" t="s">
        <v>10023</v>
      </c>
      <c r="C16925" s="94" t="s">
        <v>559</v>
      </c>
      <c r="D16925" s="802" t="s">
        <v>11008</v>
      </c>
      <c r="E16925" s="176"/>
      <c r="F16925" s="176">
        <v>1000000</v>
      </c>
      <c r="G16925" s="176">
        <f t="shared" si="270"/>
        <v>1000000</v>
      </c>
      <c r="H16925" s="702" t="s">
        <v>10954</v>
      </c>
    </row>
    <row r="16926" spans="1:10" ht="15" x14ac:dyDescent="0.2">
      <c r="A16926" s="730">
        <v>45178</v>
      </c>
      <c r="B16926" s="91" t="s">
        <v>9356</v>
      </c>
      <c r="C16926" s="94" t="s">
        <v>559</v>
      </c>
      <c r="D16926" s="892" t="s">
        <v>11023</v>
      </c>
      <c r="E16926" s="92"/>
      <c r="F16926" s="92">
        <v>567008</v>
      </c>
      <c r="G16926" s="176">
        <f t="shared" si="270"/>
        <v>567008</v>
      </c>
      <c r="H16926" s="702" t="s">
        <v>10954</v>
      </c>
    </row>
    <row r="16927" spans="1:10" ht="15" x14ac:dyDescent="0.2">
      <c r="A16927" s="730">
        <v>45178</v>
      </c>
      <c r="B16927" s="91" t="s">
        <v>9769</v>
      </c>
      <c r="C16927" s="94" t="s">
        <v>559</v>
      </c>
      <c r="D16927" s="892" t="s">
        <v>11072</v>
      </c>
      <c r="E16927" s="92"/>
      <c r="F16927" s="92">
        <v>3426842</v>
      </c>
      <c r="G16927" s="92">
        <f t="shared" si="270"/>
        <v>3426842</v>
      </c>
      <c r="H16927" s="702" t="s">
        <v>10954</v>
      </c>
    </row>
    <row r="16928" spans="1:10" ht="15" x14ac:dyDescent="0.2">
      <c r="A16928" s="730">
        <v>45191</v>
      </c>
      <c r="B16928" s="91" t="s">
        <v>3945</v>
      </c>
      <c r="C16928" s="94" t="s">
        <v>559</v>
      </c>
      <c r="D16928" s="892" t="s">
        <v>11153</v>
      </c>
      <c r="E16928" s="92"/>
      <c r="F16928" s="92">
        <v>333522</v>
      </c>
      <c r="G16928" s="92">
        <f t="shared" si="270"/>
        <v>333522</v>
      </c>
      <c r="H16928" s="702" t="s">
        <v>10954</v>
      </c>
    </row>
    <row r="16929" spans="1:8" ht="15" x14ac:dyDescent="0.2">
      <c r="A16929" s="730">
        <v>45196</v>
      </c>
      <c r="B16929" s="91" t="s">
        <v>9356</v>
      </c>
      <c r="C16929" s="94" t="s">
        <v>559</v>
      </c>
      <c r="D16929" s="892" t="s">
        <v>11023</v>
      </c>
      <c r="E16929" s="92"/>
      <c r="F16929" s="92">
        <v>915945</v>
      </c>
      <c r="G16929" s="176">
        <f t="shared" si="270"/>
        <v>915945</v>
      </c>
      <c r="H16929" s="702" t="s">
        <v>10954</v>
      </c>
    </row>
    <row r="16930" spans="1:8" ht="15" x14ac:dyDescent="0.2">
      <c r="A16930" s="734">
        <v>45201</v>
      </c>
      <c r="B16930" s="41" t="s">
        <v>9661</v>
      </c>
      <c r="C16930" s="63" t="s">
        <v>10993</v>
      </c>
      <c r="D16930" s="791" t="s">
        <v>11245</v>
      </c>
      <c r="E16930" s="58">
        <v>44920</v>
      </c>
      <c r="F16930" s="58"/>
      <c r="G16930" s="126">
        <f t="shared" si="270"/>
        <v>-44920</v>
      </c>
      <c r="H16930" s="705" t="s">
        <v>11244</v>
      </c>
    </row>
    <row r="16931" spans="1:8" ht="15" x14ac:dyDescent="0.2">
      <c r="A16931" s="734">
        <v>45201</v>
      </c>
      <c r="B16931" s="41" t="s">
        <v>9409</v>
      </c>
      <c r="C16931" s="63" t="s">
        <v>10993</v>
      </c>
      <c r="D16931" s="791" t="s">
        <v>4878</v>
      </c>
      <c r="E16931" s="58">
        <v>10230</v>
      </c>
      <c r="F16931" s="58"/>
      <c r="G16931" s="126">
        <f t="shared" si="270"/>
        <v>-10230</v>
      </c>
      <c r="H16931" s="705" t="s">
        <v>11244</v>
      </c>
    </row>
    <row r="16932" spans="1:8" ht="15" x14ac:dyDescent="0.2">
      <c r="A16932" s="734">
        <v>45201</v>
      </c>
      <c r="B16932" s="41" t="s">
        <v>25</v>
      </c>
      <c r="C16932" s="63" t="s">
        <v>2428</v>
      </c>
      <c r="D16932" s="791" t="s">
        <v>11246</v>
      </c>
      <c r="E16932" s="58">
        <v>132000</v>
      </c>
      <c r="F16932" s="58"/>
      <c r="G16932" s="126">
        <f t="shared" si="270"/>
        <v>-132000</v>
      </c>
      <c r="H16932" s="705" t="s">
        <v>11244</v>
      </c>
    </row>
    <row r="16933" spans="1:8" ht="15" x14ac:dyDescent="0.2">
      <c r="A16933" s="734">
        <v>45201</v>
      </c>
      <c r="B16933" s="41" t="s">
        <v>103</v>
      </c>
      <c r="C16933" s="63" t="s">
        <v>8150</v>
      </c>
      <c r="D16933" s="791" t="s">
        <v>6310</v>
      </c>
      <c r="E16933" s="58">
        <v>300</v>
      </c>
      <c r="F16933" s="58"/>
      <c r="G16933" s="126">
        <f t="shared" si="270"/>
        <v>-300</v>
      </c>
      <c r="H16933" s="705" t="s">
        <v>11244</v>
      </c>
    </row>
    <row r="16934" spans="1:8" ht="15" x14ac:dyDescent="0.2">
      <c r="A16934" s="734">
        <v>45201</v>
      </c>
      <c r="B16934" s="41" t="s">
        <v>103</v>
      </c>
      <c r="C16934" s="63" t="s">
        <v>103</v>
      </c>
      <c r="D16934" s="791" t="s">
        <v>10211</v>
      </c>
      <c r="E16934" s="58">
        <v>3500</v>
      </c>
      <c r="F16934" s="58"/>
      <c r="G16934" s="126">
        <f t="shared" si="270"/>
        <v>-3500</v>
      </c>
      <c r="H16934" s="705" t="s">
        <v>11244</v>
      </c>
    </row>
    <row r="16935" spans="1:8" ht="15" x14ac:dyDescent="0.2">
      <c r="A16935" s="734">
        <v>45201</v>
      </c>
      <c r="B16935" s="41" t="s">
        <v>9409</v>
      </c>
      <c r="C16935" s="63" t="s">
        <v>10993</v>
      </c>
      <c r="D16935" s="791" t="s">
        <v>10205</v>
      </c>
      <c r="E16935" s="58">
        <v>18500</v>
      </c>
      <c r="F16935" s="58"/>
      <c r="G16935" s="126">
        <f t="shared" si="270"/>
        <v>-18500</v>
      </c>
      <c r="H16935" s="705" t="s">
        <v>11244</v>
      </c>
    </row>
    <row r="16936" spans="1:8" ht="15" x14ac:dyDescent="0.2">
      <c r="A16936" s="734">
        <v>45201</v>
      </c>
      <c r="B16936" s="41" t="s">
        <v>10471</v>
      </c>
      <c r="C16936" s="63" t="s">
        <v>7949</v>
      </c>
      <c r="D16936" s="791" t="s">
        <v>11133</v>
      </c>
      <c r="E16936" s="58">
        <v>45000</v>
      </c>
      <c r="F16936" s="58"/>
      <c r="G16936" s="126">
        <f t="shared" si="270"/>
        <v>-45000</v>
      </c>
      <c r="H16936" s="705" t="s">
        <v>11244</v>
      </c>
    </row>
    <row r="16937" spans="1:8" ht="15" x14ac:dyDescent="0.2">
      <c r="A16937" s="734">
        <v>45201</v>
      </c>
      <c r="B16937" s="41" t="s">
        <v>9986</v>
      </c>
      <c r="C16937" s="63" t="s">
        <v>5741</v>
      </c>
      <c r="D16937" s="791" t="s">
        <v>370</v>
      </c>
      <c r="E16937" s="58">
        <v>700</v>
      </c>
      <c r="F16937" s="58"/>
      <c r="G16937" s="126">
        <f t="shared" si="270"/>
        <v>-700</v>
      </c>
      <c r="H16937" s="705" t="s">
        <v>11244</v>
      </c>
    </row>
    <row r="16938" spans="1:8" ht="15" x14ac:dyDescent="0.2">
      <c r="A16938" s="734">
        <v>45202</v>
      </c>
      <c r="B16938" s="41" t="s">
        <v>9986</v>
      </c>
      <c r="C16938" s="63" t="s">
        <v>6476</v>
      </c>
      <c r="D16938" s="791" t="s">
        <v>11247</v>
      </c>
      <c r="E16938" s="58">
        <v>40000</v>
      </c>
      <c r="F16938" s="58"/>
      <c r="G16938" s="126">
        <f t="shared" si="270"/>
        <v>-40000</v>
      </c>
      <c r="H16938" s="705" t="s">
        <v>11244</v>
      </c>
    </row>
    <row r="16939" spans="1:8" ht="15" x14ac:dyDescent="0.2">
      <c r="A16939" s="734">
        <v>45202</v>
      </c>
      <c r="B16939" s="41" t="s">
        <v>10908</v>
      </c>
      <c r="C16939" s="63" t="s">
        <v>10993</v>
      </c>
      <c r="D16939" s="791" t="s">
        <v>11248</v>
      </c>
      <c r="E16939" s="58">
        <v>25200</v>
      </c>
      <c r="F16939" s="58"/>
      <c r="G16939" s="126">
        <f t="shared" si="270"/>
        <v>-25200</v>
      </c>
      <c r="H16939" s="705" t="s">
        <v>11244</v>
      </c>
    </row>
    <row r="16940" spans="1:8" ht="15" x14ac:dyDescent="0.2">
      <c r="A16940" s="734">
        <v>45202</v>
      </c>
      <c r="B16940" s="41" t="s">
        <v>10908</v>
      </c>
      <c r="C16940" s="63" t="s">
        <v>10993</v>
      </c>
      <c r="D16940" s="791" t="s">
        <v>11249</v>
      </c>
      <c r="E16940" s="58">
        <v>5000</v>
      </c>
      <c r="F16940" s="58"/>
      <c r="G16940" s="126">
        <f t="shared" si="270"/>
        <v>-5000</v>
      </c>
      <c r="H16940" s="705" t="s">
        <v>11244</v>
      </c>
    </row>
    <row r="16941" spans="1:8" ht="15" x14ac:dyDescent="0.2">
      <c r="A16941" s="734">
        <v>45202</v>
      </c>
      <c r="B16941" s="41" t="s">
        <v>10232</v>
      </c>
      <c r="C16941" s="63" t="s">
        <v>5741</v>
      </c>
      <c r="D16941" s="791" t="s">
        <v>10337</v>
      </c>
      <c r="E16941" s="58">
        <v>250</v>
      </c>
      <c r="F16941" s="58"/>
      <c r="G16941" s="126">
        <f t="shared" si="270"/>
        <v>-250</v>
      </c>
      <c r="H16941" s="705" t="s">
        <v>11244</v>
      </c>
    </row>
    <row r="16942" spans="1:8" ht="15" x14ac:dyDescent="0.2">
      <c r="A16942" s="734">
        <v>45202</v>
      </c>
      <c r="B16942" s="41" t="s">
        <v>37</v>
      </c>
      <c r="C16942" s="63" t="s">
        <v>5741</v>
      </c>
      <c r="D16942" s="791" t="s">
        <v>11250</v>
      </c>
      <c r="E16942" s="58">
        <v>250</v>
      </c>
      <c r="F16942" s="58"/>
      <c r="G16942" s="126">
        <f t="shared" si="270"/>
        <v>-250</v>
      </c>
      <c r="H16942" s="705" t="s">
        <v>11244</v>
      </c>
    </row>
    <row r="16943" spans="1:8" ht="15" x14ac:dyDescent="0.2">
      <c r="A16943" s="734">
        <v>45202</v>
      </c>
      <c r="B16943" s="41" t="s">
        <v>103</v>
      </c>
      <c r="C16943" s="63" t="s">
        <v>103</v>
      </c>
      <c r="D16943" s="791" t="s">
        <v>10211</v>
      </c>
      <c r="E16943" s="58">
        <v>4000</v>
      </c>
      <c r="F16943" s="58"/>
      <c r="G16943" s="126">
        <f t="shared" si="270"/>
        <v>-4000</v>
      </c>
      <c r="H16943" s="705" t="s">
        <v>11244</v>
      </c>
    </row>
    <row r="16944" spans="1:8" ht="15" customHeight="1" x14ac:dyDescent="0.2">
      <c r="A16944" s="734">
        <v>45202</v>
      </c>
      <c r="B16944" s="41" t="s">
        <v>9356</v>
      </c>
      <c r="C16944" s="63" t="s">
        <v>10993</v>
      </c>
      <c r="D16944" s="791" t="s">
        <v>11251</v>
      </c>
      <c r="E16944" s="58">
        <v>6500</v>
      </c>
      <c r="F16944" s="58"/>
      <c r="G16944" s="126">
        <f t="shared" si="270"/>
        <v>-6500</v>
      </c>
      <c r="H16944" s="705" t="s">
        <v>11244</v>
      </c>
    </row>
    <row r="16945" spans="1:8" ht="15" customHeight="1" x14ac:dyDescent="0.2">
      <c r="A16945" s="734">
        <v>45202</v>
      </c>
      <c r="B16945" s="41" t="s">
        <v>10908</v>
      </c>
      <c r="C16945" s="63" t="s">
        <v>5741</v>
      </c>
      <c r="D16945" s="791" t="s">
        <v>370</v>
      </c>
      <c r="E16945" s="58">
        <v>2200</v>
      </c>
      <c r="F16945" s="58"/>
      <c r="G16945" s="126">
        <f t="shared" si="270"/>
        <v>-2200</v>
      </c>
      <c r="H16945" s="705" t="s">
        <v>11244</v>
      </c>
    </row>
    <row r="16946" spans="1:8" ht="15" customHeight="1" x14ac:dyDescent="0.2">
      <c r="A16946" s="734">
        <v>45202</v>
      </c>
      <c r="B16946" s="41" t="s">
        <v>8559</v>
      </c>
      <c r="C16946" s="670" t="s">
        <v>1198</v>
      </c>
      <c r="D16946" s="912" t="s">
        <v>11263</v>
      </c>
      <c r="E16946" s="585">
        <v>83200</v>
      </c>
      <c r="F16946" s="58"/>
      <c r="G16946" s="126">
        <f t="shared" si="270"/>
        <v>-83200</v>
      </c>
      <c r="H16946" s="705" t="s">
        <v>11244</v>
      </c>
    </row>
    <row r="16947" spans="1:8" ht="15" customHeight="1" x14ac:dyDescent="0.2">
      <c r="A16947" s="734">
        <v>45202</v>
      </c>
      <c r="B16947" s="41" t="s">
        <v>8868</v>
      </c>
      <c r="C16947" s="670" t="s">
        <v>1198</v>
      </c>
      <c r="D16947" s="912" t="s">
        <v>11263</v>
      </c>
      <c r="E16947" s="585">
        <v>227720</v>
      </c>
      <c r="F16947" s="58"/>
      <c r="G16947" s="126">
        <f t="shared" si="270"/>
        <v>-227720</v>
      </c>
      <c r="H16947" s="705" t="s">
        <v>11244</v>
      </c>
    </row>
    <row r="16948" spans="1:8" ht="15" customHeight="1" x14ac:dyDescent="0.2">
      <c r="A16948" s="734">
        <v>45202</v>
      </c>
      <c r="B16948" s="41" t="s">
        <v>9507</v>
      </c>
      <c r="C16948" s="670" t="s">
        <v>1198</v>
      </c>
      <c r="D16948" s="912" t="s">
        <v>11263</v>
      </c>
      <c r="E16948" s="585">
        <v>9820</v>
      </c>
      <c r="F16948" s="58"/>
      <c r="G16948" s="126">
        <f t="shared" si="270"/>
        <v>-9820</v>
      </c>
      <c r="H16948" s="705" t="s">
        <v>11244</v>
      </c>
    </row>
    <row r="16949" spans="1:8" ht="15" x14ac:dyDescent="0.2">
      <c r="A16949" s="734">
        <v>45202</v>
      </c>
      <c r="B16949" s="41" t="s">
        <v>10296</v>
      </c>
      <c r="C16949" s="670" t="s">
        <v>1198</v>
      </c>
      <c r="D16949" s="912" t="s">
        <v>11263</v>
      </c>
      <c r="E16949" s="585">
        <v>179260</v>
      </c>
      <c r="F16949" s="58"/>
      <c r="G16949" s="126">
        <f t="shared" si="270"/>
        <v>-179260</v>
      </c>
      <c r="H16949" s="705" t="s">
        <v>11244</v>
      </c>
    </row>
    <row r="16950" spans="1:8" ht="15" x14ac:dyDescent="0.2">
      <c r="A16950" s="734">
        <v>45202</v>
      </c>
      <c r="B16950" s="41" t="s">
        <v>9356</v>
      </c>
      <c r="C16950" s="63" t="s">
        <v>7467</v>
      </c>
      <c r="D16950" s="791" t="s">
        <v>11171</v>
      </c>
      <c r="E16950" s="58">
        <v>200000</v>
      </c>
      <c r="F16950" s="58"/>
      <c r="G16950" s="126">
        <f t="shared" si="270"/>
        <v>-200000</v>
      </c>
      <c r="H16950" s="705" t="s">
        <v>11244</v>
      </c>
    </row>
    <row r="16951" spans="1:8" ht="15" x14ac:dyDescent="0.2">
      <c r="A16951" s="734">
        <v>45202</v>
      </c>
      <c r="B16951" s="41" t="s">
        <v>103</v>
      </c>
      <c r="C16951" s="63" t="s">
        <v>7478</v>
      </c>
      <c r="D16951" s="791" t="s">
        <v>11171</v>
      </c>
      <c r="E16951" s="58">
        <v>15000</v>
      </c>
      <c r="F16951" s="58"/>
      <c r="G16951" s="126">
        <f t="shared" si="270"/>
        <v>-15000</v>
      </c>
      <c r="H16951" s="705" t="s">
        <v>11244</v>
      </c>
    </row>
    <row r="16952" spans="1:8" ht="15" x14ac:dyDescent="0.2">
      <c r="A16952" s="734">
        <v>45202</v>
      </c>
      <c r="B16952" s="41" t="s">
        <v>10908</v>
      </c>
      <c r="C16952" s="63" t="s">
        <v>10993</v>
      </c>
      <c r="D16952" s="791" t="s">
        <v>11265</v>
      </c>
      <c r="E16952" s="58">
        <v>36675</v>
      </c>
      <c r="F16952" s="58"/>
      <c r="G16952" s="126">
        <f t="shared" si="270"/>
        <v>-36675</v>
      </c>
      <c r="H16952" s="705" t="s">
        <v>11244</v>
      </c>
    </row>
    <row r="16953" spans="1:8" ht="15" x14ac:dyDescent="0.2">
      <c r="A16953" s="734">
        <v>45202</v>
      </c>
      <c r="B16953" s="41" t="s">
        <v>11089</v>
      </c>
      <c r="C16953" s="63" t="s">
        <v>10993</v>
      </c>
      <c r="D16953" s="791" t="s">
        <v>11266</v>
      </c>
      <c r="E16953" s="58">
        <v>3500</v>
      </c>
      <c r="F16953" s="58"/>
      <c r="G16953" s="126">
        <f t="shared" si="270"/>
        <v>-3500</v>
      </c>
      <c r="H16953" s="705" t="s">
        <v>11244</v>
      </c>
    </row>
    <row r="16954" spans="1:8" ht="15" x14ac:dyDescent="0.2">
      <c r="A16954" s="734">
        <v>45202</v>
      </c>
      <c r="B16954" s="41" t="s">
        <v>10908</v>
      </c>
      <c r="C16954" s="63" t="s">
        <v>286</v>
      </c>
      <c r="D16954" s="791" t="s">
        <v>8663</v>
      </c>
      <c r="E16954" s="58">
        <v>500</v>
      </c>
      <c r="F16954" s="58"/>
      <c r="G16954" s="126">
        <f t="shared" si="270"/>
        <v>-500</v>
      </c>
      <c r="H16954" s="705" t="s">
        <v>11244</v>
      </c>
    </row>
    <row r="16955" spans="1:8" ht="15" x14ac:dyDescent="0.2">
      <c r="A16955" s="734">
        <v>45202</v>
      </c>
      <c r="B16955" s="41" t="s">
        <v>10908</v>
      </c>
      <c r="C16955" s="63" t="s">
        <v>5741</v>
      </c>
      <c r="D16955" s="791" t="s">
        <v>370</v>
      </c>
      <c r="E16955" s="58">
        <v>1000</v>
      </c>
      <c r="F16955" s="58"/>
      <c r="G16955" s="126">
        <f t="shared" si="270"/>
        <v>-1000</v>
      </c>
      <c r="H16955" s="705" t="s">
        <v>11244</v>
      </c>
    </row>
    <row r="16956" spans="1:8" ht="15" x14ac:dyDescent="0.2">
      <c r="A16956" s="734">
        <v>45202</v>
      </c>
      <c r="B16956" s="41" t="s">
        <v>9356</v>
      </c>
      <c r="C16956" s="63" t="s">
        <v>5741</v>
      </c>
      <c r="D16956" s="791" t="s">
        <v>370</v>
      </c>
      <c r="E16956" s="58">
        <v>2000</v>
      </c>
      <c r="F16956" s="58"/>
      <c r="G16956" s="126">
        <f t="shared" si="270"/>
        <v>-2000</v>
      </c>
      <c r="H16956" s="705" t="s">
        <v>11244</v>
      </c>
    </row>
    <row r="16957" spans="1:8" ht="15" x14ac:dyDescent="0.2">
      <c r="A16957" s="734">
        <v>45202</v>
      </c>
      <c r="B16957" s="41" t="s">
        <v>10908</v>
      </c>
      <c r="C16957" s="63" t="s">
        <v>5741</v>
      </c>
      <c r="D16957" s="791" t="s">
        <v>370</v>
      </c>
      <c r="E16957" s="58">
        <v>1500</v>
      </c>
      <c r="F16957" s="58"/>
      <c r="G16957" s="126">
        <f t="shared" si="270"/>
        <v>-1500</v>
      </c>
      <c r="H16957" s="705" t="s">
        <v>11244</v>
      </c>
    </row>
    <row r="16958" spans="1:8" ht="15" x14ac:dyDescent="0.2">
      <c r="A16958" s="734">
        <v>45202</v>
      </c>
      <c r="B16958" s="41" t="s">
        <v>10908</v>
      </c>
      <c r="C16958" s="63" t="s">
        <v>10993</v>
      </c>
      <c r="D16958" s="791" t="s">
        <v>11267</v>
      </c>
      <c r="E16958" s="58">
        <v>16865</v>
      </c>
      <c r="F16958" s="58"/>
      <c r="G16958" s="126">
        <f t="shared" si="270"/>
        <v>-16865</v>
      </c>
      <c r="H16958" s="705" t="s">
        <v>11244</v>
      </c>
    </row>
    <row r="16959" spans="1:8" ht="15" x14ac:dyDescent="0.2">
      <c r="A16959" s="734">
        <v>45202</v>
      </c>
      <c r="B16959" s="41" t="s">
        <v>9356</v>
      </c>
      <c r="C16959" s="63" t="s">
        <v>10993</v>
      </c>
      <c r="D16959" s="791" t="s">
        <v>4966</v>
      </c>
      <c r="E16959" s="58">
        <v>2220</v>
      </c>
      <c r="F16959" s="58"/>
      <c r="G16959" s="126">
        <f t="shared" ref="G16959:G17022" si="271">F16959-E16959</f>
        <v>-2220</v>
      </c>
      <c r="H16959" s="705" t="s">
        <v>11244</v>
      </c>
    </row>
    <row r="16960" spans="1:8" ht="15" x14ac:dyDescent="0.2">
      <c r="A16960" s="734">
        <v>45203</v>
      </c>
      <c r="B16960" s="41" t="s">
        <v>10909</v>
      </c>
      <c r="C16960" s="63" t="s">
        <v>10993</v>
      </c>
      <c r="D16960" s="791" t="s">
        <v>11268</v>
      </c>
      <c r="E16960" s="58">
        <v>11220</v>
      </c>
      <c r="F16960" s="58"/>
      <c r="G16960" s="126">
        <f t="shared" si="271"/>
        <v>-11220</v>
      </c>
      <c r="H16960" s="705" t="s">
        <v>11244</v>
      </c>
    </row>
    <row r="16961" spans="1:8" ht="15" x14ac:dyDescent="0.2">
      <c r="A16961" s="734">
        <v>45203</v>
      </c>
      <c r="B16961" s="41" t="s">
        <v>10908</v>
      </c>
      <c r="C16961" s="63" t="s">
        <v>286</v>
      </c>
      <c r="D16961" s="791" t="s">
        <v>8663</v>
      </c>
      <c r="E16961" s="58">
        <v>800</v>
      </c>
      <c r="F16961" s="58"/>
      <c r="G16961" s="126">
        <f t="shared" si="271"/>
        <v>-800</v>
      </c>
      <c r="H16961" s="705" t="s">
        <v>11244</v>
      </c>
    </row>
    <row r="16962" spans="1:8" ht="15" x14ac:dyDescent="0.2">
      <c r="A16962" s="734">
        <v>45203</v>
      </c>
      <c r="B16962" s="41" t="s">
        <v>103</v>
      </c>
      <c r="C16962" s="63" t="s">
        <v>103</v>
      </c>
      <c r="D16962" s="791" t="s">
        <v>10211</v>
      </c>
      <c r="E16962" s="58">
        <v>3500</v>
      </c>
      <c r="F16962" s="58"/>
      <c r="G16962" s="126">
        <f t="shared" si="271"/>
        <v>-3500</v>
      </c>
      <c r="H16962" s="705" t="s">
        <v>11244</v>
      </c>
    </row>
    <row r="16963" spans="1:8" ht="15" x14ac:dyDescent="0.2">
      <c r="A16963" s="734">
        <v>45203</v>
      </c>
      <c r="B16963" s="41" t="s">
        <v>10908</v>
      </c>
      <c r="C16963" s="63" t="s">
        <v>5741</v>
      </c>
      <c r="D16963" s="791" t="s">
        <v>370</v>
      </c>
      <c r="E16963" s="58">
        <v>1700</v>
      </c>
      <c r="F16963" s="58"/>
      <c r="G16963" s="126">
        <f t="shared" si="271"/>
        <v>-1700</v>
      </c>
      <c r="H16963" s="705" t="s">
        <v>11244</v>
      </c>
    </row>
    <row r="16964" spans="1:8" ht="15" x14ac:dyDescent="0.2">
      <c r="A16964" s="734">
        <v>45203</v>
      </c>
      <c r="B16964" s="41" t="s">
        <v>2933</v>
      </c>
      <c r="C16964" s="63" t="s">
        <v>392</v>
      </c>
      <c r="D16964" s="791" t="s">
        <v>6386</v>
      </c>
      <c r="E16964" s="58">
        <v>6465</v>
      </c>
      <c r="F16964" s="58"/>
      <c r="G16964" s="126">
        <f t="shared" si="271"/>
        <v>-6465</v>
      </c>
      <c r="H16964" s="705" t="s">
        <v>11244</v>
      </c>
    </row>
    <row r="16965" spans="1:8" ht="15" x14ac:dyDescent="0.2">
      <c r="A16965" s="734">
        <v>45203</v>
      </c>
      <c r="B16965" s="41" t="s">
        <v>10232</v>
      </c>
      <c r="C16965" s="63" t="s">
        <v>5741</v>
      </c>
      <c r="D16965" s="791" t="s">
        <v>370</v>
      </c>
      <c r="E16965" s="58">
        <v>3300</v>
      </c>
      <c r="F16965" s="58"/>
      <c r="G16965" s="126">
        <f t="shared" si="271"/>
        <v>-3300</v>
      </c>
      <c r="H16965" s="705" t="s">
        <v>11244</v>
      </c>
    </row>
    <row r="16966" spans="1:8" ht="15" x14ac:dyDescent="0.2">
      <c r="A16966" s="734">
        <v>45203</v>
      </c>
      <c r="B16966" s="41" t="s">
        <v>10908</v>
      </c>
      <c r="C16966" s="63" t="s">
        <v>10993</v>
      </c>
      <c r="D16966" s="791" t="s">
        <v>11269</v>
      </c>
      <c r="E16966" s="58">
        <v>400</v>
      </c>
      <c r="F16966" s="58"/>
      <c r="G16966" s="126">
        <f t="shared" si="271"/>
        <v>-400</v>
      </c>
      <c r="H16966" s="705" t="s">
        <v>11244</v>
      </c>
    </row>
    <row r="16967" spans="1:8" ht="15" x14ac:dyDescent="0.2">
      <c r="A16967" s="734">
        <v>45203</v>
      </c>
      <c r="B16967" s="41" t="s">
        <v>10576</v>
      </c>
      <c r="C16967" s="63" t="s">
        <v>5741</v>
      </c>
      <c r="D16967" s="791" t="s">
        <v>370</v>
      </c>
      <c r="E16967" s="58">
        <v>1000</v>
      </c>
      <c r="F16967" s="58"/>
      <c r="G16967" s="126">
        <f t="shared" si="271"/>
        <v>-1000</v>
      </c>
      <c r="H16967" s="705" t="s">
        <v>11244</v>
      </c>
    </row>
    <row r="16968" spans="1:8" ht="15" x14ac:dyDescent="0.2">
      <c r="A16968" s="734">
        <v>45203</v>
      </c>
      <c r="B16968" s="41" t="s">
        <v>10576</v>
      </c>
      <c r="C16968" s="63" t="s">
        <v>256</v>
      </c>
      <c r="D16968" s="791" t="s">
        <v>11018</v>
      </c>
      <c r="E16968" s="58">
        <v>500000</v>
      </c>
      <c r="F16968" s="58"/>
      <c r="G16968" s="126">
        <f t="shared" si="271"/>
        <v>-500000</v>
      </c>
      <c r="H16968" s="705" t="s">
        <v>11244</v>
      </c>
    </row>
    <row r="16969" spans="1:8" ht="15" x14ac:dyDescent="0.2">
      <c r="A16969" s="734">
        <v>45205</v>
      </c>
      <c r="B16969" s="41" t="s">
        <v>10471</v>
      </c>
      <c r="C16969" s="63" t="s">
        <v>5741</v>
      </c>
      <c r="D16969" s="791" t="s">
        <v>370</v>
      </c>
      <c r="E16969" s="58">
        <v>2300</v>
      </c>
      <c r="F16969" s="58"/>
      <c r="G16969" s="126">
        <f t="shared" si="271"/>
        <v>-2300</v>
      </c>
      <c r="H16969" s="705" t="s">
        <v>11244</v>
      </c>
    </row>
    <row r="16970" spans="1:8" ht="15" x14ac:dyDescent="0.2">
      <c r="A16970" s="734">
        <v>45205</v>
      </c>
      <c r="B16970" s="41" t="s">
        <v>11093</v>
      </c>
      <c r="C16970" s="63" t="s">
        <v>10993</v>
      </c>
      <c r="D16970" s="791" t="s">
        <v>11277</v>
      </c>
      <c r="E16970" s="58">
        <v>800</v>
      </c>
      <c r="F16970" s="58"/>
      <c r="G16970" s="126">
        <f t="shared" si="271"/>
        <v>-800</v>
      </c>
      <c r="H16970" s="705" t="s">
        <v>11244</v>
      </c>
    </row>
    <row r="16971" spans="1:8" ht="15" x14ac:dyDescent="0.2">
      <c r="A16971" s="734">
        <v>45205</v>
      </c>
      <c r="B16971" s="41" t="s">
        <v>103</v>
      </c>
      <c r="C16971" s="63" t="s">
        <v>103</v>
      </c>
      <c r="D16971" s="791" t="s">
        <v>10211</v>
      </c>
      <c r="E16971" s="58">
        <v>3500</v>
      </c>
      <c r="F16971" s="58"/>
      <c r="G16971" s="126">
        <f t="shared" si="271"/>
        <v>-3500</v>
      </c>
      <c r="H16971" s="705" t="s">
        <v>11244</v>
      </c>
    </row>
    <row r="16972" spans="1:8" ht="15" x14ac:dyDescent="0.2">
      <c r="A16972" s="734">
        <v>45205</v>
      </c>
      <c r="B16972" s="41" t="s">
        <v>9356</v>
      </c>
      <c r="C16972" s="63" t="s">
        <v>10974</v>
      </c>
      <c r="D16972" s="791" t="s">
        <v>11133</v>
      </c>
      <c r="E16972" s="58">
        <v>15000</v>
      </c>
      <c r="F16972" s="58"/>
      <c r="G16972" s="126">
        <f t="shared" si="271"/>
        <v>-15000</v>
      </c>
      <c r="H16972" s="705" t="s">
        <v>11244</v>
      </c>
    </row>
    <row r="16973" spans="1:8" ht="15" x14ac:dyDescent="0.2">
      <c r="A16973" s="734">
        <v>45205</v>
      </c>
      <c r="B16973" s="41" t="s">
        <v>10908</v>
      </c>
      <c r="C16973" s="551" t="s">
        <v>10993</v>
      </c>
      <c r="D16973" s="904" t="s">
        <v>11368</v>
      </c>
      <c r="E16973" s="583">
        <v>8000</v>
      </c>
      <c r="F16973" s="58"/>
      <c r="G16973" s="126">
        <f t="shared" si="271"/>
        <v>-8000</v>
      </c>
      <c r="H16973" s="705" t="s">
        <v>11244</v>
      </c>
    </row>
    <row r="16974" spans="1:8" ht="15" x14ac:dyDescent="0.2">
      <c r="A16974" s="734">
        <v>45205</v>
      </c>
      <c r="B16974" s="41" t="s">
        <v>9356</v>
      </c>
      <c r="C16974" s="551" t="s">
        <v>10993</v>
      </c>
      <c r="D16974" s="904" t="s">
        <v>11368</v>
      </c>
      <c r="E16974" s="583">
        <v>8000</v>
      </c>
      <c r="F16974" s="58"/>
      <c r="G16974" s="126">
        <f t="shared" si="271"/>
        <v>-8000</v>
      </c>
      <c r="H16974" s="705" t="s">
        <v>11244</v>
      </c>
    </row>
    <row r="16975" spans="1:8" ht="15" x14ac:dyDescent="0.2">
      <c r="A16975" s="734">
        <v>45205</v>
      </c>
      <c r="B16975" s="41" t="s">
        <v>10232</v>
      </c>
      <c r="C16975" s="551" t="s">
        <v>10993</v>
      </c>
      <c r="D16975" s="904" t="s">
        <v>11368</v>
      </c>
      <c r="E16975" s="583">
        <v>8000</v>
      </c>
      <c r="F16975" s="58"/>
      <c r="G16975" s="126">
        <f t="shared" si="271"/>
        <v>-8000</v>
      </c>
      <c r="H16975" s="705" t="s">
        <v>11244</v>
      </c>
    </row>
    <row r="16976" spans="1:8" ht="15" x14ac:dyDescent="0.2">
      <c r="A16976" s="734">
        <v>45205</v>
      </c>
      <c r="B16976" s="41" t="s">
        <v>11093</v>
      </c>
      <c r="C16976" s="63" t="s">
        <v>10993</v>
      </c>
      <c r="D16976" s="791" t="s">
        <v>11278</v>
      </c>
      <c r="E16976" s="58">
        <v>6370</v>
      </c>
      <c r="F16976" s="58"/>
      <c r="G16976" s="126">
        <f t="shared" si="271"/>
        <v>-6370</v>
      </c>
      <c r="H16976" s="705" t="s">
        <v>11244</v>
      </c>
    </row>
    <row r="16977" spans="1:8" ht="15" x14ac:dyDescent="0.2">
      <c r="A16977" s="734">
        <v>45205</v>
      </c>
      <c r="B16977" s="41" t="s">
        <v>10576</v>
      </c>
      <c r="C16977" s="63" t="s">
        <v>10993</v>
      </c>
      <c r="D16977" s="791" t="s">
        <v>11278</v>
      </c>
      <c r="E16977" s="58">
        <v>36500</v>
      </c>
      <c r="F16977" s="58"/>
      <c r="G16977" s="126">
        <f t="shared" si="271"/>
        <v>-36500</v>
      </c>
      <c r="H16977" s="705" t="s">
        <v>11244</v>
      </c>
    </row>
    <row r="16978" spans="1:8" ht="15" x14ac:dyDescent="0.2">
      <c r="A16978" s="734">
        <v>45205</v>
      </c>
      <c r="B16978" s="41" t="s">
        <v>10471</v>
      </c>
      <c r="C16978" s="63" t="s">
        <v>10993</v>
      </c>
      <c r="D16978" s="791" t="s">
        <v>11279</v>
      </c>
      <c r="E16978" s="58">
        <v>2800</v>
      </c>
      <c r="F16978" s="58"/>
      <c r="G16978" s="126">
        <f t="shared" si="271"/>
        <v>-2800</v>
      </c>
      <c r="H16978" s="705" t="s">
        <v>11244</v>
      </c>
    </row>
    <row r="16979" spans="1:8" ht="15" x14ac:dyDescent="0.2">
      <c r="A16979" s="734">
        <v>45206</v>
      </c>
      <c r="B16979" s="41" t="s">
        <v>10471</v>
      </c>
      <c r="C16979" s="63" t="s">
        <v>5741</v>
      </c>
      <c r="D16979" s="791" t="s">
        <v>370</v>
      </c>
      <c r="E16979" s="58">
        <v>1400</v>
      </c>
      <c r="F16979" s="58"/>
      <c r="G16979" s="126">
        <f t="shared" si="271"/>
        <v>-1400</v>
      </c>
      <c r="H16979" s="705" t="s">
        <v>11244</v>
      </c>
    </row>
    <row r="16980" spans="1:8" ht="15" x14ac:dyDescent="0.2">
      <c r="A16980" s="734">
        <v>45206</v>
      </c>
      <c r="B16980" s="41" t="s">
        <v>10908</v>
      </c>
      <c r="C16980" s="63" t="s">
        <v>10993</v>
      </c>
      <c r="D16980" s="791" t="s">
        <v>11285</v>
      </c>
      <c r="E16980" s="58">
        <v>66400</v>
      </c>
      <c r="F16980" s="58"/>
      <c r="G16980" s="126">
        <f t="shared" si="271"/>
        <v>-66400</v>
      </c>
      <c r="H16980" s="705" t="s">
        <v>11244</v>
      </c>
    </row>
    <row r="16981" spans="1:8" ht="15" x14ac:dyDescent="0.2">
      <c r="A16981" s="734">
        <v>45206</v>
      </c>
      <c r="B16981" s="41" t="s">
        <v>103</v>
      </c>
      <c r="C16981" s="63" t="s">
        <v>1495</v>
      </c>
      <c r="D16981" s="791" t="s">
        <v>734</v>
      </c>
      <c r="E16981" s="58">
        <v>2100</v>
      </c>
      <c r="F16981" s="58"/>
      <c r="G16981" s="126">
        <f t="shared" si="271"/>
        <v>-2100</v>
      </c>
      <c r="H16981" s="705" t="s">
        <v>11244</v>
      </c>
    </row>
    <row r="16982" spans="1:8" ht="15" x14ac:dyDescent="0.2">
      <c r="A16982" s="734">
        <v>45206</v>
      </c>
      <c r="B16982" s="41" t="s">
        <v>9986</v>
      </c>
      <c r="C16982" s="63" t="s">
        <v>10993</v>
      </c>
      <c r="D16982" s="791" t="s">
        <v>11286</v>
      </c>
      <c r="E16982" s="58">
        <v>15180</v>
      </c>
      <c r="F16982" s="58"/>
      <c r="G16982" s="126">
        <f t="shared" si="271"/>
        <v>-15180</v>
      </c>
      <c r="H16982" s="705" t="s">
        <v>11244</v>
      </c>
    </row>
    <row r="16983" spans="1:8" ht="15" x14ac:dyDescent="0.2">
      <c r="A16983" s="734">
        <v>45206</v>
      </c>
      <c r="B16983" s="41" t="s">
        <v>9986</v>
      </c>
      <c r="C16983" s="63" t="s">
        <v>286</v>
      </c>
      <c r="D16983" s="791" t="s">
        <v>11287</v>
      </c>
      <c r="E16983" s="58">
        <v>300</v>
      </c>
      <c r="F16983" s="58"/>
      <c r="G16983" s="126">
        <f t="shared" si="271"/>
        <v>-300</v>
      </c>
      <c r="H16983" s="705" t="s">
        <v>11244</v>
      </c>
    </row>
    <row r="16984" spans="1:8" ht="15" x14ac:dyDescent="0.2">
      <c r="A16984" s="734">
        <v>45206</v>
      </c>
      <c r="B16984" s="41" t="s">
        <v>10909</v>
      </c>
      <c r="C16984" s="63" t="s">
        <v>11288</v>
      </c>
      <c r="D16984" s="791" t="s">
        <v>11289</v>
      </c>
      <c r="E16984" s="58">
        <v>30000</v>
      </c>
      <c r="F16984" s="58"/>
      <c r="G16984" s="126">
        <f t="shared" si="271"/>
        <v>-30000</v>
      </c>
      <c r="H16984" s="705" t="s">
        <v>11244</v>
      </c>
    </row>
    <row r="16985" spans="1:8" ht="15" x14ac:dyDescent="0.2">
      <c r="A16985" s="734">
        <v>45206</v>
      </c>
      <c r="B16985" s="41" t="s">
        <v>37</v>
      </c>
      <c r="C16985" s="63" t="s">
        <v>11290</v>
      </c>
      <c r="D16985" s="791" t="s">
        <v>10101</v>
      </c>
      <c r="E16985" s="58">
        <v>3000</v>
      </c>
      <c r="F16985" s="58"/>
      <c r="G16985" s="126">
        <f t="shared" si="271"/>
        <v>-3000</v>
      </c>
      <c r="H16985" s="705" t="s">
        <v>11244</v>
      </c>
    </row>
    <row r="16986" spans="1:8" ht="15" x14ac:dyDescent="0.2">
      <c r="A16986" s="734">
        <v>45206</v>
      </c>
      <c r="B16986" s="41" t="s">
        <v>10576</v>
      </c>
      <c r="C16986" s="63" t="s">
        <v>11291</v>
      </c>
      <c r="D16986" s="791" t="s">
        <v>2711</v>
      </c>
      <c r="E16986" s="58">
        <v>200000</v>
      </c>
      <c r="F16986" s="58"/>
      <c r="G16986" s="126">
        <f t="shared" si="271"/>
        <v>-200000</v>
      </c>
      <c r="H16986" s="705" t="s">
        <v>11244</v>
      </c>
    </row>
    <row r="16987" spans="1:8" ht="15" x14ac:dyDescent="0.2">
      <c r="A16987" s="734">
        <v>45206</v>
      </c>
      <c r="B16987" s="41" t="s">
        <v>10909</v>
      </c>
      <c r="C16987" s="63" t="s">
        <v>5741</v>
      </c>
      <c r="D16987" s="791" t="s">
        <v>370</v>
      </c>
      <c r="E16987" s="58">
        <v>800</v>
      </c>
      <c r="F16987" s="58"/>
      <c r="G16987" s="126">
        <f t="shared" si="271"/>
        <v>-800</v>
      </c>
      <c r="H16987" s="705" t="s">
        <v>11244</v>
      </c>
    </row>
    <row r="16988" spans="1:8" ht="15" x14ac:dyDescent="0.2">
      <c r="A16988" s="734">
        <v>45206</v>
      </c>
      <c r="B16988" s="41" t="s">
        <v>103</v>
      </c>
      <c r="C16988" s="63" t="s">
        <v>2672</v>
      </c>
      <c r="D16988" s="791" t="s">
        <v>8117</v>
      </c>
      <c r="E16988" s="58">
        <v>1400</v>
      </c>
      <c r="F16988" s="58"/>
      <c r="G16988" s="126">
        <f t="shared" si="271"/>
        <v>-1400</v>
      </c>
      <c r="H16988" s="705" t="s">
        <v>11244</v>
      </c>
    </row>
    <row r="16989" spans="1:8" ht="15" x14ac:dyDescent="0.2">
      <c r="A16989" s="734">
        <v>45206</v>
      </c>
      <c r="B16989" s="41" t="s">
        <v>10909</v>
      </c>
      <c r="C16989" s="63" t="s">
        <v>5741</v>
      </c>
      <c r="D16989" s="791" t="s">
        <v>370</v>
      </c>
      <c r="E16989" s="58">
        <v>3390</v>
      </c>
      <c r="F16989" s="58"/>
      <c r="G16989" s="126">
        <f t="shared" si="271"/>
        <v>-3390</v>
      </c>
      <c r="H16989" s="705" t="s">
        <v>11244</v>
      </c>
    </row>
    <row r="16990" spans="1:8" ht="15" x14ac:dyDescent="0.2">
      <c r="A16990" s="734">
        <v>45206</v>
      </c>
      <c r="B16990" s="41" t="s">
        <v>9986</v>
      </c>
      <c r="C16990" s="63" t="s">
        <v>10993</v>
      </c>
      <c r="D16990" s="791" t="s">
        <v>11292</v>
      </c>
      <c r="E16990" s="58">
        <v>58000</v>
      </c>
      <c r="F16990" s="58"/>
      <c r="G16990" s="126">
        <f t="shared" si="271"/>
        <v>-58000</v>
      </c>
      <c r="H16990" s="705" t="s">
        <v>11244</v>
      </c>
    </row>
    <row r="16991" spans="1:8" ht="15" x14ac:dyDescent="0.2">
      <c r="A16991" s="734">
        <v>45206</v>
      </c>
      <c r="B16991" s="41" t="s">
        <v>10232</v>
      </c>
      <c r="C16991" s="63" t="s">
        <v>11298</v>
      </c>
      <c r="D16991" s="791" t="s">
        <v>11299</v>
      </c>
      <c r="E16991" s="58">
        <v>72000</v>
      </c>
      <c r="F16991" s="58"/>
      <c r="G16991" s="126">
        <f t="shared" si="271"/>
        <v>-72000</v>
      </c>
      <c r="H16991" s="705" t="s">
        <v>11244</v>
      </c>
    </row>
    <row r="16992" spans="1:8" ht="15" x14ac:dyDescent="0.2">
      <c r="A16992" s="734">
        <v>45206</v>
      </c>
      <c r="B16992" s="41" t="s">
        <v>103</v>
      </c>
      <c r="C16992" s="63" t="s">
        <v>11025</v>
      </c>
      <c r="D16992" s="791" t="s">
        <v>11294</v>
      </c>
      <c r="E16992" s="58">
        <v>5000</v>
      </c>
      <c r="F16992" s="58"/>
      <c r="G16992" s="126">
        <f t="shared" si="271"/>
        <v>-5000</v>
      </c>
      <c r="H16992" s="705" t="s">
        <v>11244</v>
      </c>
    </row>
    <row r="16993" spans="1:8" ht="15" x14ac:dyDescent="0.2">
      <c r="A16993" s="734">
        <v>45208</v>
      </c>
      <c r="B16993" s="41" t="s">
        <v>10232</v>
      </c>
      <c r="C16993" s="63" t="s">
        <v>10993</v>
      </c>
      <c r="D16993" s="791" t="s">
        <v>11300</v>
      </c>
      <c r="E16993" s="58">
        <v>3000</v>
      </c>
      <c r="F16993" s="58"/>
      <c r="G16993" s="126">
        <f t="shared" si="271"/>
        <v>-3000</v>
      </c>
      <c r="H16993" s="705" t="s">
        <v>11244</v>
      </c>
    </row>
    <row r="16994" spans="1:8" ht="15" x14ac:dyDescent="0.2">
      <c r="A16994" s="734">
        <v>45208</v>
      </c>
      <c r="B16994" s="41" t="s">
        <v>103</v>
      </c>
      <c r="C16994" s="63" t="s">
        <v>103</v>
      </c>
      <c r="D16994" s="791" t="s">
        <v>10211</v>
      </c>
      <c r="E16994" s="58">
        <v>3500</v>
      </c>
      <c r="F16994" s="58"/>
      <c r="G16994" s="126">
        <f t="shared" si="271"/>
        <v>-3500</v>
      </c>
      <c r="H16994" s="705" t="s">
        <v>11244</v>
      </c>
    </row>
    <row r="16995" spans="1:8" ht="15" x14ac:dyDescent="0.2">
      <c r="A16995" s="734">
        <v>45208</v>
      </c>
      <c r="B16995" s="41" t="s">
        <v>10232</v>
      </c>
      <c r="C16995" s="63" t="s">
        <v>286</v>
      </c>
      <c r="D16995" s="791" t="s">
        <v>10887</v>
      </c>
      <c r="E16995" s="58">
        <v>1500</v>
      </c>
      <c r="F16995" s="58"/>
      <c r="G16995" s="126">
        <f t="shared" si="271"/>
        <v>-1500</v>
      </c>
      <c r="H16995" s="705" t="s">
        <v>11244</v>
      </c>
    </row>
    <row r="16996" spans="1:8" ht="15" x14ac:dyDescent="0.2">
      <c r="A16996" s="734">
        <v>45208</v>
      </c>
      <c r="B16996" s="41" t="s">
        <v>10908</v>
      </c>
      <c r="C16996" s="63" t="s">
        <v>10993</v>
      </c>
      <c r="D16996" s="791" t="s">
        <v>11301</v>
      </c>
      <c r="E16996" s="58">
        <v>11770</v>
      </c>
      <c r="F16996" s="58"/>
      <c r="G16996" s="126">
        <f t="shared" si="271"/>
        <v>-11770</v>
      </c>
      <c r="H16996" s="705" t="s">
        <v>11244</v>
      </c>
    </row>
    <row r="16997" spans="1:8" ht="15" x14ac:dyDescent="0.2">
      <c r="A16997" s="734">
        <v>45208</v>
      </c>
      <c r="B16997" s="41" t="s">
        <v>10576</v>
      </c>
      <c r="C16997" s="63" t="s">
        <v>3446</v>
      </c>
      <c r="D16997" s="791" t="s">
        <v>11302</v>
      </c>
      <c r="E16997" s="58">
        <v>50000</v>
      </c>
      <c r="F16997" s="58"/>
      <c r="G16997" s="126">
        <f t="shared" si="271"/>
        <v>-50000</v>
      </c>
      <c r="H16997" s="705" t="s">
        <v>11244</v>
      </c>
    </row>
    <row r="16998" spans="1:8" ht="15" x14ac:dyDescent="0.2">
      <c r="A16998" s="734">
        <v>45208</v>
      </c>
      <c r="B16998" s="41" t="s">
        <v>9986</v>
      </c>
      <c r="C16998" s="63" t="s">
        <v>5741</v>
      </c>
      <c r="D16998" s="791" t="s">
        <v>370</v>
      </c>
      <c r="E16998" s="58">
        <v>1500</v>
      </c>
      <c r="F16998" s="58"/>
      <c r="G16998" s="126">
        <f t="shared" si="271"/>
        <v>-1500</v>
      </c>
      <c r="H16998" s="705" t="s">
        <v>11244</v>
      </c>
    </row>
    <row r="16999" spans="1:8" ht="15" x14ac:dyDescent="0.2">
      <c r="A16999" s="734">
        <v>45208</v>
      </c>
      <c r="B16999" s="41" t="s">
        <v>9769</v>
      </c>
      <c r="C16999" s="63" t="s">
        <v>10993</v>
      </c>
      <c r="D16999" s="791" t="s">
        <v>11304</v>
      </c>
      <c r="E16999" s="58">
        <v>600</v>
      </c>
      <c r="F16999" s="58"/>
      <c r="G16999" s="126">
        <f t="shared" si="271"/>
        <v>-600</v>
      </c>
      <c r="H16999" s="705" t="s">
        <v>11244</v>
      </c>
    </row>
    <row r="17000" spans="1:8" ht="15" x14ac:dyDescent="0.2">
      <c r="A17000" s="734">
        <v>45208</v>
      </c>
      <c r="B17000" s="41" t="s">
        <v>11007</v>
      </c>
      <c r="C17000" s="63" t="s">
        <v>9474</v>
      </c>
      <c r="D17000" s="791" t="s">
        <v>11305</v>
      </c>
      <c r="E17000" s="58">
        <v>40000</v>
      </c>
      <c r="F17000" s="58"/>
      <c r="G17000" s="126">
        <f t="shared" si="271"/>
        <v>-40000</v>
      </c>
      <c r="H17000" s="705" t="s">
        <v>11244</v>
      </c>
    </row>
    <row r="17001" spans="1:8" ht="15" x14ac:dyDescent="0.2">
      <c r="A17001" s="734">
        <v>45208</v>
      </c>
      <c r="B17001" s="41" t="s">
        <v>9356</v>
      </c>
      <c r="C17001" s="63" t="s">
        <v>10993</v>
      </c>
      <c r="D17001" s="791" t="s">
        <v>9917</v>
      </c>
      <c r="E17001" s="58">
        <v>15000</v>
      </c>
      <c r="F17001" s="58"/>
      <c r="G17001" s="126">
        <f t="shared" si="271"/>
        <v>-15000</v>
      </c>
      <c r="H17001" s="705" t="s">
        <v>11244</v>
      </c>
    </row>
    <row r="17002" spans="1:8" ht="15" x14ac:dyDescent="0.2">
      <c r="A17002" s="734">
        <v>45209</v>
      </c>
      <c r="B17002" s="41" t="s">
        <v>11307</v>
      </c>
      <c r="C17002" s="63" t="s">
        <v>10063</v>
      </c>
      <c r="D17002" s="791" t="s">
        <v>11308</v>
      </c>
      <c r="E17002" s="58">
        <v>30000</v>
      </c>
      <c r="F17002" s="58"/>
      <c r="G17002" s="126">
        <f t="shared" si="271"/>
        <v>-30000</v>
      </c>
      <c r="H17002" s="705" t="s">
        <v>11244</v>
      </c>
    </row>
    <row r="17003" spans="1:8" ht="15" x14ac:dyDescent="0.2">
      <c r="A17003" s="734">
        <v>45209</v>
      </c>
      <c r="B17003" s="41" t="s">
        <v>10908</v>
      </c>
      <c r="C17003" s="63" t="s">
        <v>10993</v>
      </c>
      <c r="D17003" s="791" t="s">
        <v>9638</v>
      </c>
      <c r="E17003" s="58">
        <v>250</v>
      </c>
      <c r="F17003" s="58"/>
      <c r="G17003" s="126">
        <f t="shared" si="271"/>
        <v>-250</v>
      </c>
      <c r="H17003" s="705" t="s">
        <v>11244</v>
      </c>
    </row>
    <row r="17004" spans="1:8" ht="15" x14ac:dyDescent="0.2">
      <c r="A17004" s="734">
        <v>45209</v>
      </c>
      <c r="B17004" s="41" t="s">
        <v>10908</v>
      </c>
      <c r="C17004" s="63" t="s">
        <v>5741</v>
      </c>
      <c r="D17004" s="791" t="s">
        <v>10337</v>
      </c>
      <c r="E17004" s="58">
        <v>250</v>
      </c>
      <c r="F17004" s="58"/>
      <c r="G17004" s="126">
        <f t="shared" si="271"/>
        <v>-250</v>
      </c>
      <c r="H17004" s="705" t="s">
        <v>11244</v>
      </c>
    </row>
    <row r="17005" spans="1:8" ht="15" x14ac:dyDescent="0.2">
      <c r="A17005" s="734">
        <v>45209</v>
      </c>
      <c r="B17005" s="41" t="s">
        <v>11307</v>
      </c>
      <c r="C17005" s="63" t="s">
        <v>10993</v>
      </c>
      <c r="D17005" s="791" t="s">
        <v>11309</v>
      </c>
      <c r="E17005" s="58">
        <v>16300</v>
      </c>
      <c r="F17005" s="58"/>
      <c r="G17005" s="126">
        <f t="shared" si="271"/>
        <v>-16300</v>
      </c>
      <c r="H17005" s="705" t="s">
        <v>11244</v>
      </c>
    </row>
    <row r="17006" spans="1:8" s="682" customFormat="1" ht="36" customHeight="1" x14ac:dyDescent="0.25">
      <c r="A17006" s="734">
        <v>45209</v>
      </c>
      <c r="B17006" s="63" t="s">
        <v>11089</v>
      </c>
      <c r="C17006" s="63" t="s">
        <v>10993</v>
      </c>
      <c r="D17006" s="183" t="s">
        <v>11311</v>
      </c>
      <c r="E17006" s="126">
        <v>39000</v>
      </c>
      <c r="F17006" s="126"/>
      <c r="G17006" s="126">
        <f t="shared" si="271"/>
        <v>-39000</v>
      </c>
      <c r="H17006" s="705" t="s">
        <v>11244</v>
      </c>
    </row>
    <row r="17007" spans="1:8" ht="15" x14ac:dyDescent="0.2">
      <c r="A17007" s="734">
        <v>45209</v>
      </c>
      <c r="B17007" s="41" t="s">
        <v>10908</v>
      </c>
      <c r="C17007" s="63" t="s">
        <v>5741</v>
      </c>
      <c r="D17007" s="791" t="s">
        <v>370</v>
      </c>
      <c r="E17007" s="58">
        <v>2600</v>
      </c>
      <c r="F17007" s="58"/>
      <c r="G17007" s="126">
        <f t="shared" si="271"/>
        <v>-2600</v>
      </c>
      <c r="H17007" s="705" t="s">
        <v>11244</v>
      </c>
    </row>
    <row r="17008" spans="1:8" ht="15" x14ac:dyDescent="0.2">
      <c r="A17008" s="734">
        <v>45209</v>
      </c>
      <c r="B17008" s="41" t="s">
        <v>10379</v>
      </c>
      <c r="C17008" s="670" t="s">
        <v>790</v>
      </c>
      <c r="D17008" s="912" t="s">
        <v>11312</v>
      </c>
      <c r="E17008" s="585">
        <v>2300</v>
      </c>
      <c r="F17008" s="58"/>
      <c r="G17008" s="126">
        <f t="shared" si="271"/>
        <v>-2300</v>
      </c>
      <c r="H17008" s="705" t="s">
        <v>11244</v>
      </c>
    </row>
    <row r="17009" spans="1:8" ht="15" x14ac:dyDescent="0.2">
      <c r="A17009" s="734">
        <v>45209</v>
      </c>
      <c r="B17009" s="41" t="s">
        <v>9769</v>
      </c>
      <c r="C17009" s="670" t="s">
        <v>790</v>
      </c>
      <c r="D17009" s="912" t="s">
        <v>11312</v>
      </c>
      <c r="E17009" s="585">
        <v>2300</v>
      </c>
      <c r="F17009" s="58"/>
      <c r="G17009" s="126">
        <f t="shared" si="271"/>
        <v>-2300</v>
      </c>
      <c r="H17009" s="705" t="s">
        <v>11244</v>
      </c>
    </row>
    <row r="17010" spans="1:8" ht="15" x14ac:dyDescent="0.2">
      <c r="A17010" s="734">
        <v>45209</v>
      </c>
      <c r="B17010" s="41" t="s">
        <v>10908</v>
      </c>
      <c r="C17010" s="670" t="s">
        <v>790</v>
      </c>
      <c r="D17010" s="912" t="s">
        <v>11312</v>
      </c>
      <c r="E17010" s="585">
        <v>2300</v>
      </c>
      <c r="F17010" s="58"/>
      <c r="G17010" s="126">
        <f t="shared" si="271"/>
        <v>-2300</v>
      </c>
      <c r="H17010" s="705" t="s">
        <v>11244</v>
      </c>
    </row>
    <row r="17011" spans="1:8" ht="15" x14ac:dyDescent="0.2">
      <c r="A17011" s="734">
        <v>45209</v>
      </c>
      <c r="B17011" s="41" t="s">
        <v>9986</v>
      </c>
      <c r="C17011" s="670" t="s">
        <v>790</v>
      </c>
      <c r="D17011" s="912" t="s">
        <v>11312</v>
      </c>
      <c r="E17011" s="585">
        <v>2300</v>
      </c>
      <c r="F17011" s="58"/>
      <c r="G17011" s="126">
        <f t="shared" si="271"/>
        <v>-2300</v>
      </c>
      <c r="H17011" s="705" t="s">
        <v>11244</v>
      </c>
    </row>
    <row r="17012" spans="1:8" ht="15" x14ac:dyDescent="0.2">
      <c r="A17012" s="734">
        <v>45209</v>
      </c>
      <c r="B17012" s="41" t="s">
        <v>10576</v>
      </c>
      <c r="C17012" s="670" t="s">
        <v>790</v>
      </c>
      <c r="D17012" s="912" t="s">
        <v>11312</v>
      </c>
      <c r="E17012" s="585">
        <v>2300</v>
      </c>
      <c r="F17012" s="58"/>
      <c r="G17012" s="126">
        <f t="shared" si="271"/>
        <v>-2300</v>
      </c>
      <c r="H17012" s="705" t="s">
        <v>11244</v>
      </c>
    </row>
    <row r="17013" spans="1:8" ht="15" x14ac:dyDescent="0.2">
      <c r="A17013" s="734">
        <v>45209</v>
      </c>
      <c r="B17013" s="41" t="s">
        <v>11093</v>
      </c>
      <c r="C17013" s="670" t="s">
        <v>790</v>
      </c>
      <c r="D17013" s="912" t="s">
        <v>11312</v>
      </c>
      <c r="E17013" s="585">
        <v>2300</v>
      </c>
      <c r="F17013" s="58"/>
      <c r="G17013" s="126">
        <f t="shared" si="271"/>
        <v>-2300</v>
      </c>
      <c r="H17013" s="705" t="s">
        <v>11244</v>
      </c>
    </row>
    <row r="17014" spans="1:8" ht="15" x14ac:dyDescent="0.2">
      <c r="A17014" s="734">
        <v>45209</v>
      </c>
      <c r="B17014" s="41" t="s">
        <v>11271</v>
      </c>
      <c r="C17014" s="670" t="s">
        <v>790</v>
      </c>
      <c r="D17014" s="912" t="s">
        <v>11312</v>
      </c>
      <c r="E17014" s="585">
        <v>2300</v>
      </c>
      <c r="F17014" s="58"/>
      <c r="G17014" s="126">
        <f t="shared" si="271"/>
        <v>-2300</v>
      </c>
      <c r="H17014" s="705" t="s">
        <v>11244</v>
      </c>
    </row>
    <row r="17015" spans="1:8" ht="15" x14ac:dyDescent="0.2">
      <c r="A17015" s="734">
        <v>45209</v>
      </c>
      <c r="B17015" s="41" t="s">
        <v>11089</v>
      </c>
      <c r="C17015" s="670" t="s">
        <v>790</v>
      </c>
      <c r="D17015" s="912" t="s">
        <v>11312</v>
      </c>
      <c r="E17015" s="585">
        <v>2300</v>
      </c>
      <c r="F17015" s="58"/>
      <c r="G17015" s="126">
        <f t="shared" si="271"/>
        <v>-2300</v>
      </c>
      <c r="H17015" s="705" t="s">
        <v>11244</v>
      </c>
    </row>
    <row r="17016" spans="1:8" ht="15" x14ac:dyDescent="0.2">
      <c r="A17016" s="734">
        <v>45209</v>
      </c>
      <c r="B17016" s="41" t="s">
        <v>11271</v>
      </c>
      <c r="C17016" s="63" t="s">
        <v>10858</v>
      </c>
      <c r="D17016" s="791" t="s">
        <v>11313</v>
      </c>
      <c r="E17016" s="58">
        <v>460000</v>
      </c>
      <c r="F17016" s="58"/>
      <c r="G17016" s="126">
        <f t="shared" si="271"/>
        <v>-460000</v>
      </c>
      <c r="H17016" s="705" t="s">
        <v>11244</v>
      </c>
    </row>
    <row r="17017" spans="1:8" ht="15" x14ac:dyDescent="0.2">
      <c r="A17017" s="734">
        <v>45209</v>
      </c>
      <c r="B17017" s="41" t="s">
        <v>10576</v>
      </c>
      <c r="C17017" s="63" t="s">
        <v>286</v>
      </c>
      <c r="D17017" s="791" t="s">
        <v>9895</v>
      </c>
      <c r="E17017" s="58">
        <v>1100</v>
      </c>
      <c r="F17017" s="58"/>
      <c r="G17017" s="126">
        <f t="shared" si="271"/>
        <v>-1100</v>
      </c>
      <c r="H17017" s="705" t="s">
        <v>11244</v>
      </c>
    </row>
    <row r="17018" spans="1:8" ht="15" x14ac:dyDescent="0.2">
      <c r="A17018" s="734">
        <v>45209</v>
      </c>
      <c r="B17018" s="41" t="s">
        <v>10232</v>
      </c>
      <c r="C17018" s="63" t="s">
        <v>10445</v>
      </c>
      <c r="D17018" s="791" t="s">
        <v>11316</v>
      </c>
      <c r="E17018" s="58">
        <v>1000000</v>
      </c>
      <c r="F17018" s="58"/>
      <c r="G17018" s="126">
        <f t="shared" si="271"/>
        <v>-1000000</v>
      </c>
      <c r="H17018" s="705" t="s">
        <v>11244</v>
      </c>
    </row>
    <row r="17019" spans="1:8" ht="15" x14ac:dyDescent="0.2">
      <c r="A17019" s="734">
        <v>45209</v>
      </c>
      <c r="B17019" s="41" t="s">
        <v>11307</v>
      </c>
      <c r="C17019" s="63" t="s">
        <v>10993</v>
      </c>
      <c r="D17019" s="791" t="s">
        <v>10205</v>
      </c>
      <c r="E17019" s="58">
        <v>11715</v>
      </c>
      <c r="F17019" s="58"/>
      <c r="G17019" s="126">
        <f t="shared" si="271"/>
        <v>-11715</v>
      </c>
      <c r="H17019" s="705" t="s">
        <v>11244</v>
      </c>
    </row>
    <row r="17020" spans="1:8" ht="15" x14ac:dyDescent="0.2">
      <c r="A17020" s="734">
        <v>45209</v>
      </c>
      <c r="B17020" s="41" t="s">
        <v>2933</v>
      </c>
      <c r="C17020" s="63" t="s">
        <v>10993</v>
      </c>
      <c r="D17020" s="791" t="s">
        <v>6486</v>
      </c>
      <c r="E17020" s="58">
        <v>10915</v>
      </c>
      <c r="F17020" s="58"/>
      <c r="G17020" s="126">
        <f t="shared" si="271"/>
        <v>-10915</v>
      </c>
      <c r="H17020" s="705" t="s">
        <v>11244</v>
      </c>
    </row>
    <row r="17021" spans="1:8" ht="15" x14ac:dyDescent="0.2">
      <c r="A17021" s="734">
        <v>45210</v>
      </c>
      <c r="B17021" s="41" t="s">
        <v>37</v>
      </c>
      <c r="C17021" s="670" t="s">
        <v>10993</v>
      </c>
      <c r="D17021" s="912" t="s">
        <v>11317</v>
      </c>
      <c r="E17021" s="585">
        <v>5000</v>
      </c>
      <c r="F17021" s="58"/>
      <c r="G17021" s="126">
        <f t="shared" si="271"/>
        <v>-5000</v>
      </c>
      <c r="H17021" s="705" t="s">
        <v>11244</v>
      </c>
    </row>
    <row r="17022" spans="1:8" ht="15" x14ac:dyDescent="0.2">
      <c r="A17022" s="734">
        <v>45210</v>
      </c>
      <c r="B17022" s="41" t="s">
        <v>11007</v>
      </c>
      <c r="C17022" s="670" t="s">
        <v>10993</v>
      </c>
      <c r="D17022" s="912" t="s">
        <v>11317</v>
      </c>
      <c r="E17022" s="585">
        <v>7000</v>
      </c>
      <c r="F17022" s="58"/>
      <c r="G17022" s="126">
        <f t="shared" si="271"/>
        <v>-7000</v>
      </c>
      <c r="H17022" s="705" t="s">
        <v>11244</v>
      </c>
    </row>
    <row r="17023" spans="1:8" ht="15" x14ac:dyDescent="0.2">
      <c r="A17023" s="734">
        <v>45210</v>
      </c>
      <c r="B17023" s="41" t="s">
        <v>10144</v>
      </c>
      <c r="C17023" s="670" t="s">
        <v>10993</v>
      </c>
      <c r="D17023" s="912" t="s">
        <v>11317</v>
      </c>
      <c r="E17023" s="585">
        <v>7000</v>
      </c>
      <c r="F17023" s="58"/>
      <c r="G17023" s="126">
        <f t="shared" ref="G17023:G17086" si="272">F17023-E17023</f>
        <v>-7000</v>
      </c>
      <c r="H17023" s="705" t="s">
        <v>11244</v>
      </c>
    </row>
    <row r="17024" spans="1:8" ht="15" x14ac:dyDescent="0.2">
      <c r="A17024" s="734">
        <v>45210</v>
      </c>
      <c r="B17024" s="41" t="s">
        <v>10379</v>
      </c>
      <c r="C17024" s="670" t="s">
        <v>10993</v>
      </c>
      <c r="D17024" s="912" t="s">
        <v>11317</v>
      </c>
      <c r="E17024" s="585">
        <v>7000</v>
      </c>
      <c r="F17024" s="58"/>
      <c r="G17024" s="126">
        <f t="shared" si="272"/>
        <v>-7000</v>
      </c>
      <c r="H17024" s="705" t="s">
        <v>11244</v>
      </c>
    </row>
    <row r="17025" spans="1:8" ht="15" x14ac:dyDescent="0.2">
      <c r="A17025" s="734">
        <v>45210</v>
      </c>
      <c r="B17025" s="41" t="s">
        <v>9832</v>
      </c>
      <c r="C17025" s="670" t="s">
        <v>10993</v>
      </c>
      <c r="D17025" s="912" t="s">
        <v>11317</v>
      </c>
      <c r="E17025" s="585">
        <v>7000</v>
      </c>
      <c r="F17025" s="58"/>
      <c r="G17025" s="126">
        <f t="shared" si="272"/>
        <v>-7000</v>
      </c>
      <c r="H17025" s="705" t="s">
        <v>11244</v>
      </c>
    </row>
    <row r="17026" spans="1:8" ht="15" x14ac:dyDescent="0.2">
      <c r="A17026" s="734">
        <v>45210</v>
      </c>
      <c r="B17026" s="41" t="s">
        <v>9986</v>
      </c>
      <c r="C17026" s="670" t="s">
        <v>10993</v>
      </c>
      <c r="D17026" s="912" t="s">
        <v>11317</v>
      </c>
      <c r="E17026" s="585">
        <v>7000</v>
      </c>
      <c r="F17026" s="58"/>
      <c r="G17026" s="126">
        <f t="shared" si="272"/>
        <v>-7000</v>
      </c>
      <c r="H17026" s="705" t="s">
        <v>11244</v>
      </c>
    </row>
    <row r="17027" spans="1:8" ht="15" x14ac:dyDescent="0.2">
      <c r="A17027" s="734">
        <v>45210</v>
      </c>
      <c r="B17027" s="41" t="s">
        <v>8876</v>
      </c>
      <c r="C17027" s="670" t="s">
        <v>10993</v>
      </c>
      <c r="D17027" s="912" t="s">
        <v>11317</v>
      </c>
      <c r="E17027" s="585">
        <v>5000</v>
      </c>
      <c r="F17027" s="58"/>
      <c r="G17027" s="126">
        <f t="shared" si="272"/>
        <v>-5000</v>
      </c>
      <c r="H17027" s="705" t="s">
        <v>11244</v>
      </c>
    </row>
    <row r="17028" spans="1:8" ht="15" x14ac:dyDescent="0.2">
      <c r="A17028" s="734">
        <v>45210</v>
      </c>
      <c r="B17028" s="41" t="s">
        <v>9409</v>
      </c>
      <c r="C17028" s="670" t="s">
        <v>10993</v>
      </c>
      <c r="D17028" s="912" t="s">
        <v>11317</v>
      </c>
      <c r="E17028" s="585">
        <v>16000</v>
      </c>
      <c r="F17028" s="58"/>
      <c r="G17028" s="126">
        <f t="shared" si="272"/>
        <v>-16000</v>
      </c>
      <c r="H17028" s="705" t="s">
        <v>11244</v>
      </c>
    </row>
    <row r="17029" spans="1:8" ht="15" x14ac:dyDescent="0.2">
      <c r="A17029" s="734">
        <v>45210</v>
      </c>
      <c r="B17029" s="41" t="s">
        <v>10908</v>
      </c>
      <c r="C17029" s="63" t="s">
        <v>7223</v>
      </c>
      <c r="D17029" s="791" t="s">
        <v>11316</v>
      </c>
      <c r="E17029" s="58">
        <v>300000</v>
      </c>
      <c r="F17029" s="58"/>
      <c r="G17029" s="126">
        <f t="shared" si="272"/>
        <v>-300000</v>
      </c>
      <c r="H17029" s="705" t="s">
        <v>11244</v>
      </c>
    </row>
    <row r="17030" spans="1:8" ht="15" x14ac:dyDescent="0.2">
      <c r="A17030" s="734">
        <v>45210</v>
      </c>
      <c r="B17030" s="41" t="s">
        <v>10379</v>
      </c>
      <c r="C17030" s="63" t="s">
        <v>10993</v>
      </c>
      <c r="D17030" s="791" t="s">
        <v>11318</v>
      </c>
      <c r="E17030" s="58">
        <v>29000</v>
      </c>
      <c r="F17030" s="58"/>
      <c r="G17030" s="126">
        <f t="shared" si="272"/>
        <v>-29000</v>
      </c>
      <c r="H17030" s="705" t="s">
        <v>11244</v>
      </c>
    </row>
    <row r="17031" spans="1:8" ht="15" x14ac:dyDescent="0.2">
      <c r="A17031" s="734">
        <v>45210</v>
      </c>
      <c r="B17031" s="41" t="s">
        <v>10908</v>
      </c>
      <c r="C17031" s="63" t="s">
        <v>10993</v>
      </c>
      <c r="D17031" s="791" t="s">
        <v>11319</v>
      </c>
      <c r="E17031" s="58">
        <v>4860</v>
      </c>
      <c r="F17031" s="58"/>
      <c r="G17031" s="126">
        <f t="shared" si="272"/>
        <v>-4860</v>
      </c>
      <c r="H17031" s="705" t="s">
        <v>11244</v>
      </c>
    </row>
    <row r="17032" spans="1:8" ht="15" x14ac:dyDescent="0.2">
      <c r="A17032" s="734">
        <v>45210</v>
      </c>
      <c r="B17032" s="41" t="s">
        <v>10908</v>
      </c>
      <c r="C17032" s="63" t="s">
        <v>10993</v>
      </c>
      <c r="D17032" s="791" t="s">
        <v>2272</v>
      </c>
      <c r="E17032" s="58">
        <v>27241</v>
      </c>
      <c r="F17032" s="58"/>
      <c r="G17032" s="126">
        <f t="shared" si="272"/>
        <v>-27241</v>
      </c>
      <c r="H17032" s="705" t="s">
        <v>11244</v>
      </c>
    </row>
    <row r="17033" spans="1:8" ht="15" x14ac:dyDescent="0.2">
      <c r="A17033" s="734">
        <v>45210</v>
      </c>
      <c r="B17033" s="41" t="s">
        <v>10908</v>
      </c>
      <c r="C17033" s="63" t="s">
        <v>5741</v>
      </c>
      <c r="D17033" s="791" t="s">
        <v>370</v>
      </c>
      <c r="E17033" s="58">
        <v>1000</v>
      </c>
      <c r="F17033" s="58"/>
      <c r="G17033" s="126">
        <f t="shared" si="272"/>
        <v>-1000</v>
      </c>
      <c r="H17033" s="705" t="s">
        <v>11244</v>
      </c>
    </row>
    <row r="17034" spans="1:8" ht="15" x14ac:dyDescent="0.2">
      <c r="A17034" s="734">
        <v>45210</v>
      </c>
      <c r="B17034" s="41" t="s">
        <v>10232</v>
      </c>
      <c r="C17034" s="63" t="s">
        <v>5741</v>
      </c>
      <c r="D17034" s="791" t="s">
        <v>370</v>
      </c>
      <c r="E17034" s="58">
        <v>900</v>
      </c>
      <c r="F17034" s="58"/>
      <c r="G17034" s="126">
        <f t="shared" si="272"/>
        <v>-900</v>
      </c>
      <c r="H17034" s="705" t="s">
        <v>11244</v>
      </c>
    </row>
    <row r="17035" spans="1:8" ht="15" x14ac:dyDescent="0.2">
      <c r="A17035" s="734">
        <v>45210</v>
      </c>
      <c r="B17035" s="41" t="s">
        <v>103</v>
      </c>
      <c r="C17035" s="63" t="s">
        <v>103</v>
      </c>
      <c r="D17035" s="791" t="s">
        <v>10211</v>
      </c>
      <c r="E17035" s="58">
        <v>3500</v>
      </c>
      <c r="F17035" s="58"/>
      <c r="G17035" s="126">
        <f t="shared" si="272"/>
        <v>-3500</v>
      </c>
      <c r="H17035" s="705" t="s">
        <v>11244</v>
      </c>
    </row>
    <row r="17036" spans="1:8" ht="15" x14ac:dyDescent="0.2">
      <c r="A17036" s="734">
        <v>45210</v>
      </c>
      <c r="B17036" s="41" t="s">
        <v>10471</v>
      </c>
      <c r="C17036" s="63" t="s">
        <v>10993</v>
      </c>
      <c r="D17036" s="791" t="s">
        <v>11320</v>
      </c>
      <c r="E17036" s="58">
        <v>2000</v>
      </c>
      <c r="F17036" s="58"/>
      <c r="G17036" s="126">
        <f t="shared" si="272"/>
        <v>-2000</v>
      </c>
      <c r="H17036" s="705" t="s">
        <v>11244</v>
      </c>
    </row>
    <row r="17037" spans="1:8" ht="15" x14ac:dyDescent="0.2">
      <c r="A17037" s="734">
        <v>45210</v>
      </c>
      <c r="B17037" s="41" t="s">
        <v>9986</v>
      </c>
      <c r="C17037" s="63" t="s">
        <v>10993</v>
      </c>
      <c r="D17037" s="791" t="s">
        <v>11331</v>
      </c>
      <c r="E17037" s="58">
        <v>14600</v>
      </c>
      <c r="F17037" s="58"/>
      <c r="G17037" s="126">
        <f t="shared" si="272"/>
        <v>-14600</v>
      </c>
      <c r="H17037" s="705" t="s">
        <v>11244</v>
      </c>
    </row>
    <row r="17038" spans="1:8" ht="15" x14ac:dyDescent="0.2">
      <c r="A17038" s="734">
        <v>45210</v>
      </c>
      <c r="B17038" s="41" t="s">
        <v>10232</v>
      </c>
      <c r="C17038" s="63" t="s">
        <v>5741</v>
      </c>
      <c r="D17038" s="791" t="s">
        <v>370</v>
      </c>
      <c r="E17038" s="58">
        <v>3000</v>
      </c>
      <c r="F17038" s="58"/>
      <c r="G17038" s="126">
        <f t="shared" si="272"/>
        <v>-3000</v>
      </c>
      <c r="H17038" s="705" t="s">
        <v>11244</v>
      </c>
    </row>
    <row r="17039" spans="1:8" ht="15" x14ac:dyDescent="0.2">
      <c r="A17039" s="734">
        <v>45210</v>
      </c>
      <c r="B17039" s="41" t="s">
        <v>11307</v>
      </c>
      <c r="C17039" s="63" t="s">
        <v>10993</v>
      </c>
      <c r="D17039" s="791" t="s">
        <v>11309</v>
      </c>
      <c r="E17039" s="58">
        <v>36250</v>
      </c>
      <c r="F17039" s="58"/>
      <c r="G17039" s="126">
        <f t="shared" si="272"/>
        <v>-36250</v>
      </c>
      <c r="H17039" s="705" t="s">
        <v>11244</v>
      </c>
    </row>
    <row r="17040" spans="1:8" ht="15" x14ac:dyDescent="0.2">
      <c r="A17040" s="734">
        <v>45210</v>
      </c>
      <c r="B17040" s="41" t="s">
        <v>9356</v>
      </c>
      <c r="C17040" s="63" t="s">
        <v>5741</v>
      </c>
      <c r="D17040" s="791" t="s">
        <v>370</v>
      </c>
      <c r="E17040" s="58">
        <v>795</v>
      </c>
      <c r="F17040" s="58"/>
      <c r="G17040" s="126">
        <f t="shared" si="272"/>
        <v>-795</v>
      </c>
      <c r="H17040" s="705" t="s">
        <v>11244</v>
      </c>
    </row>
    <row r="17041" spans="1:8" ht="15" x14ac:dyDescent="0.2">
      <c r="A17041" s="734">
        <v>45210</v>
      </c>
      <c r="B17041" s="41" t="s">
        <v>10908</v>
      </c>
      <c r="C17041" s="670" t="s">
        <v>10993</v>
      </c>
      <c r="D17041" s="912" t="s">
        <v>11333</v>
      </c>
      <c r="E17041" s="585">
        <v>184800</v>
      </c>
      <c r="F17041" s="58"/>
      <c r="G17041" s="126">
        <f t="shared" si="272"/>
        <v>-184800</v>
      </c>
      <c r="H17041" s="705" t="s">
        <v>11244</v>
      </c>
    </row>
    <row r="17042" spans="1:8" ht="15" x14ac:dyDescent="0.2">
      <c r="A17042" s="734">
        <v>45210</v>
      </c>
      <c r="B17042" s="41" t="s">
        <v>10576</v>
      </c>
      <c r="C17042" s="670" t="s">
        <v>10993</v>
      </c>
      <c r="D17042" s="912" t="s">
        <v>11334</v>
      </c>
      <c r="E17042" s="585">
        <v>37200</v>
      </c>
      <c r="F17042" s="58"/>
      <c r="G17042" s="126">
        <f t="shared" si="272"/>
        <v>-37200</v>
      </c>
      <c r="H17042" s="705" t="s">
        <v>11244</v>
      </c>
    </row>
    <row r="17043" spans="1:8" ht="15" x14ac:dyDescent="0.2">
      <c r="A17043" s="734">
        <v>45210</v>
      </c>
      <c r="B17043" s="41" t="s">
        <v>9356</v>
      </c>
      <c r="C17043" s="63" t="s">
        <v>9460</v>
      </c>
      <c r="D17043" s="791" t="s">
        <v>11332</v>
      </c>
      <c r="E17043" s="58">
        <v>300000</v>
      </c>
      <c r="F17043" s="58"/>
      <c r="G17043" s="126">
        <f t="shared" si="272"/>
        <v>-300000</v>
      </c>
      <c r="H17043" s="705" t="s">
        <v>11244</v>
      </c>
    </row>
    <row r="17044" spans="1:8" ht="15" x14ac:dyDescent="0.2">
      <c r="A17044" s="734">
        <v>45210</v>
      </c>
      <c r="B17044" s="41" t="s">
        <v>10471</v>
      </c>
      <c r="C17044" s="670" t="s">
        <v>10173</v>
      </c>
      <c r="D17044" s="912" t="s">
        <v>11335</v>
      </c>
      <c r="E17044" s="585">
        <v>140800</v>
      </c>
      <c r="F17044" s="58"/>
      <c r="G17044" s="126">
        <f t="shared" si="272"/>
        <v>-140800</v>
      </c>
      <c r="H17044" s="705" t="s">
        <v>11244</v>
      </c>
    </row>
    <row r="17045" spans="1:8" ht="15" customHeight="1" x14ac:dyDescent="0.2">
      <c r="A17045" s="734">
        <v>45210</v>
      </c>
      <c r="B17045" s="41" t="s">
        <v>9986</v>
      </c>
      <c r="C17045" s="670" t="s">
        <v>10173</v>
      </c>
      <c r="D17045" s="912" t="s">
        <v>11335</v>
      </c>
      <c r="E17045" s="585">
        <v>64000</v>
      </c>
      <c r="F17045" s="58"/>
      <c r="G17045" s="126">
        <f t="shared" si="272"/>
        <v>-64000</v>
      </c>
      <c r="H17045" s="705" t="s">
        <v>11244</v>
      </c>
    </row>
    <row r="17046" spans="1:8" ht="15" x14ac:dyDescent="0.2">
      <c r="A17046" s="734">
        <v>45211</v>
      </c>
      <c r="B17046" s="41" t="s">
        <v>11307</v>
      </c>
      <c r="C17046" s="566" t="s">
        <v>1355</v>
      </c>
      <c r="D17046" s="1055" t="s">
        <v>11336</v>
      </c>
      <c r="E17046" s="630">
        <v>27500</v>
      </c>
      <c r="F17046" s="58"/>
      <c r="G17046" s="126">
        <f t="shared" si="272"/>
        <v>-27500</v>
      </c>
      <c r="H17046" s="705" t="s">
        <v>11244</v>
      </c>
    </row>
    <row r="17047" spans="1:8" ht="15" x14ac:dyDescent="0.2">
      <c r="A17047" s="734">
        <v>45211</v>
      </c>
      <c r="B17047" s="41" t="s">
        <v>11007</v>
      </c>
      <c r="C17047" s="566" t="s">
        <v>1355</v>
      </c>
      <c r="D17047" s="1055" t="s">
        <v>11336</v>
      </c>
      <c r="E17047" s="630">
        <f>7250+7000</f>
        <v>14250</v>
      </c>
      <c r="F17047" s="58"/>
      <c r="G17047" s="126">
        <f t="shared" si="272"/>
        <v>-14250</v>
      </c>
      <c r="H17047" s="705" t="s">
        <v>11244</v>
      </c>
    </row>
    <row r="17048" spans="1:8" ht="15" x14ac:dyDescent="0.2">
      <c r="A17048" s="734">
        <v>45211</v>
      </c>
      <c r="B17048" s="41" t="s">
        <v>10471</v>
      </c>
      <c r="C17048" s="566" t="s">
        <v>1355</v>
      </c>
      <c r="D17048" s="1055" t="s">
        <v>11336</v>
      </c>
      <c r="E17048" s="630">
        <v>6650</v>
      </c>
      <c r="F17048" s="58"/>
      <c r="G17048" s="126">
        <f t="shared" si="272"/>
        <v>-6650</v>
      </c>
      <c r="H17048" s="705" t="s">
        <v>11244</v>
      </c>
    </row>
    <row r="17049" spans="1:8" ht="15" x14ac:dyDescent="0.2">
      <c r="A17049" s="734">
        <v>45211</v>
      </c>
      <c r="B17049" s="41" t="s">
        <v>10471</v>
      </c>
      <c r="C17049" s="566" t="s">
        <v>1355</v>
      </c>
      <c r="D17049" s="1055" t="s">
        <v>11336</v>
      </c>
      <c r="E17049" s="630">
        <f>140000-E17048-E17047-E17046</f>
        <v>91600</v>
      </c>
      <c r="F17049" s="58"/>
      <c r="G17049" s="126">
        <f t="shared" si="272"/>
        <v>-91600</v>
      </c>
      <c r="H17049" s="705" t="s">
        <v>11244</v>
      </c>
    </row>
    <row r="17050" spans="1:8" ht="15" x14ac:dyDescent="0.2">
      <c r="A17050" s="734">
        <v>45211</v>
      </c>
      <c r="B17050" s="41" t="s">
        <v>11307</v>
      </c>
      <c r="C17050" s="63" t="s">
        <v>10993</v>
      </c>
      <c r="D17050" s="791" t="s">
        <v>11337</v>
      </c>
      <c r="E17050" s="58">
        <v>4700</v>
      </c>
      <c r="F17050" s="58"/>
      <c r="G17050" s="126">
        <f t="shared" si="272"/>
        <v>-4700</v>
      </c>
      <c r="H17050" s="705" t="s">
        <v>11244</v>
      </c>
    </row>
    <row r="17051" spans="1:8" ht="15" x14ac:dyDescent="0.2">
      <c r="A17051" s="734">
        <v>45212</v>
      </c>
      <c r="B17051" s="41" t="s">
        <v>10232</v>
      </c>
      <c r="C17051" s="63" t="s">
        <v>5741</v>
      </c>
      <c r="D17051" s="791" t="s">
        <v>370</v>
      </c>
      <c r="E17051" s="58">
        <v>850</v>
      </c>
      <c r="F17051" s="58"/>
      <c r="G17051" s="126">
        <f t="shared" si="272"/>
        <v>-850</v>
      </c>
      <c r="H17051" s="705" t="s">
        <v>11244</v>
      </c>
    </row>
    <row r="17052" spans="1:8" ht="15" x14ac:dyDescent="0.2">
      <c r="A17052" s="734">
        <v>45212</v>
      </c>
      <c r="B17052" s="41" t="s">
        <v>10908</v>
      </c>
      <c r="C17052" s="63" t="s">
        <v>10993</v>
      </c>
      <c r="D17052" s="791" t="s">
        <v>11338</v>
      </c>
      <c r="E17052" s="58">
        <v>62671</v>
      </c>
      <c r="F17052" s="58"/>
      <c r="G17052" s="126">
        <f t="shared" si="272"/>
        <v>-62671</v>
      </c>
      <c r="H17052" s="705" t="s">
        <v>11244</v>
      </c>
    </row>
    <row r="17053" spans="1:8" ht="15" x14ac:dyDescent="0.2">
      <c r="A17053" s="734">
        <v>45212</v>
      </c>
      <c r="B17053" s="41" t="s">
        <v>10576</v>
      </c>
      <c r="C17053" s="63" t="s">
        <v>10993</v>
      </c>
      <c r="D17053" s="791" t="s">
        <v>11339</v>
      </c>
      <c r="E17053" s="58">
        <v>39600</v>
      </c>
      <c r="F17053" s="58"/>
      <c r="G17053" s="126">
        <f t="shared" si="272"/>
        <v>-39600</v>
      </c>
      <c r="H17053" s="705" t="s">
        <v>11244</v>
      </c>
    </row>
    <row r="17054" spans="1:8" ht="15" x14ac:dyDescent="0.2">
      <c r="A17054" s="734">
        <v>45212</v>
      </c>
      <c r="B17054" s="41" t="s">
        <v>11340</v>
      </c>
      <c r="C17054" s="63" t="s">
        <v>10993</v>
      </c>
      <c r="D17054" s="791" t="s">
        <v>11341</v>
      </c>
      <c r="E17054" s="58">
        <v>940</v>
      </c>
      <c r="F17054" s="58"/>
      <c r="G17054" s="126">
        <f t="shared" si="272"/>
        <v>-940</v>
      </c>
      <c r="H17054" s="705" t="s">
        <v>11244</v>
      </c>
    </row>
    <row r="17055" spans="1:8" ht="15" x14ac:dyDescent="0.2">
      <c r="A17055" s="734">
        <v>45212</v>
      </c>
      <c r="B17055" s="41" t="s">
        <v>9356</v>
      </c>
      <c r="C17055" s="63" t="s">
        <v>10993</v>
      </c>
      <c r="D17055" s="791" t="s">
        <v>7376</v>
      </c>
      <c r="E17055" s="58">
        <v>7855</v>
      </c>
      <c r="F17055" s="58"/>
      <c r="G17055" s="126">
        <f t="shared" si="272"/>
        <v>-7855</v>
      </c>
      <c r="H17055" s="705" t="s">
        <v>11244</v>
      </c>
    </row>
    <row r="17056" spans="1:8" ht="15" x14ac:dyDescent="0.2">
      <c r="A17056" s="734">
        <v>45212</v>
      </c>
      <c r="B17056" s="41" t="s">
        <v>11340</v>
      </c>
      <c r="C17056" s="63" t="s">
        <v>10993</v>
      </c>
      <c r="D17056" s="791" t="s">
        <v>3096</v>
      </c>
      <c r="E17056" s="58">
        <v>8780</v>
      </c>
      <c r="F17056" s="58"/>
      <c r="G17056" s="126">
        <f t="shared" si="272"/>
        <v>-8780</v>
      </c>
      <c r="H17056" s="705" t="s">
        <v>11244</v>
      </c>
    </row>
    <row r="17057" spans="1:8" ht="15" x14ac:dyDescent="0.2">
      <c r="A17057" s="734">
        <v>45212</v>
      </c>
      <c r="B17057" s="41" t="s">
        <v>11340</v>
      </c>
      <c r="C17057" s="63" t="s">
        <v>11342</v>
      </c>
      <c r="D17057" s="791" t="s">
        <v>5139</v>
      </c>
      <c r="E17057" s="58">
        <v>400</v>
      </c>
      <c r="F17057" s="58"/>
      <c r="G17057" s="126">
        <f t="shared" si="272"/>
        <v>-400</v>
      </c>
      <c r="H17057" s="705" t="s">
        <v>11244</v>
      </c>
    </row>
    <row r="17058" spans="1:8" ht="15" x14ac:dyDescent="0.2">
      <c r="A17058" s="734">
        <v>45212</v>
      </c>
      <c r="B17058" s="41" t="s">
        <v>103</v>
      </c>
      <c r="C17058" s="63" t="s">
        <v>103</v>
      </c>
      <c r="D17058" s="791" t="s">
        <v>10211</v>
      </c>
      <c r="E17058" s="58">
        <v>3500</v>
      </c>
      <c r="F17058" s="58"/>
      <c r="G17058" s="126">
        <f t="shared" si="272"/>
        <v>-3500</v>
      </c>
      <c r="H17058" s="705" t="s">
        <v>11244</v>
      </c>
    </row>
    <row r="17059" spans="1:8" ht="15" x14ac:dyDescent="0.2">
      <c r="A17059" s="734">
        <v>45212</v>
      </c>
      <c r="B17059" s="41" t="s">
        <v>11007</v>
      </c>
      <c r="C17059" s="63" t="s">
        <v>392</v>
      </c>
      <c r="D17059" s="791" t="s">
        <v>11343</v>
      </c>
      <c r="E17059" s="58">
        <v>1000</v>
      </c>
      <c r="F17059" s="58"/>
      <c r="G17059" s="126">
        <f t="shared" si="272"/>
        <v>-1000</v>
      </c>
      <c r="H17059" s="705" t="s">
        <v>11244</v>
      </c>
    </row>
    <row r="17060" spans="1:8" ht="15" x14ac:dyDescent="0.2">
      <c r="A17060" s="734">
        <v>45212</v>
      </c>
      <c r="B17060" s="41" t="s">
        <v>10232</v>
      </c>
      <c r="C17060" s="63" t="s">
        <v>5741</v>
      </c>
      <c r="D17060" s="791" t="s">
        <v>370</v>
      </c>
      <c r="E17060" s="58">
        <v>900</v>
      </c>
      <c r="F17060" s="58"/>
      <c r="G17060" s="126">
        <f t="shared" si="272"/>
        <v>-900</v>
      </c>
      <c r="H17060" s="705" t="s">
        <v>11244</v>
      </c>
    </row>
    <row r="17061" spans="1:8" ht="15" x14ac:dyDescent="0.2">
      <c r="A17061" s="734">
        <v>45212</v>
      </c>
      <c r="B17061" s="41" t="s">
        <v>10232</v>
      </c>
      <c r="C17061" s="670" t="s">
        <v>10889</v>
      </c>
      <c r="D17061" s="912" t="s">
        <v>11344</v>
      </c>
      <c r="E17061" s="585">
        <v>36000</v>
      </c>
      <c r="F17061" s="58"/>
      <c r="G17061" s="126">
        <f t="shared" si="272"/>
        <v>-36000</v>
      </c>
      <c r="H17061" s="705" t="s">
        <v>11244</v>
      </c>
    </row>
    <row r="17062" spans="1:8" ht="15" x14ac:dyDescent="0.2">
      <c r="A17062" s="734">
        <v>45212</v>
      </c>
      <c r="B17062" s="41" t="s">
        <v>9356</v>
      </c>
      <c r="C17062" s="670" t="s">
        <v>10889</v>
      </c>
      <c r="D17062" s="912" t="s">
        <v>11344</v>
      </c>
      <c r="E17062" s="585">
        <v>52000</v>
      </c>
      <c r="F17062" s="58"/>
      <c r="G17062" s="126">
        <f t="shared" si="272"/>
        <v>-52000</v>
      </c>
      <c r="H17062" s="705" t="s">
        <v>11244</v>
      </c>
    </row>
    <row r="17063" spans="1:8" ht="15" x14ac:dyDescent="0.2">
      <c r="A17063" s="734">
        <v>45212</v>
      </c>
      <c r="B17063" s="41" t="s">
        <v>10908</v>
      </c>
      <c r="C17063" s="670" t="s">
        <v>10889</v>
      </c>
      <c r="D17063" s="912" t="s">
        <v>11344</v>
      </c>
      <c r="E17063" s="585">
        <v>383000</v>
      </c>
      <c r="F17063" s="58"/>
      <c r="G17063" s="126">
        <f t="shared" si="272"/>
        <v>-383000</v>
      </c>
      <c r="H17063" s="705" t="s">
        <v>11244</v>
      </c>
    </row>
    <row r="17064" spans="1:8" ht="15" x14ac:dyDescent="0.2">
      <c r="A17064" s="734">
        <v>45213</v>
      </c>
      <c r="B17064" s="41" t="s">
        <v>10908</v>
      </c>
      <c r="C17064" s="63" t="s">
        <v>5741</v>
      </c>
      <c r="D17064" s="791" t="s">
        <v>10337</v>
      </c>
      <c r="E17064" s="58">
        <v>280</v>
      </c>
      <c r="F17064" s="58"/>
      <c r="G17064" s="126">
        <f t="shared" si="272"/>
        <v>-280</v>
      </c>
      <c r="H17064" s="705" t="s">
        <v>11244</v>
      </c>
    </row>
    <row r="17065" spans="1:8" ht="15" x14ac:dyDescent="0.2">
      <c r="A17065" s="734">
        <v>45213</v>
      </c>
      <c r="B17065" s="41" t="s">
        <v>25</v>
      </c>
      <c r="C17065" s="63" t="s">
        <v>4065</v>
      </c>
      <c r="D17065" s="791" t="s">
        <v>11359</v>
      </c>
      <c r="E17065" s="58">
        <v>2350</v>
      </c>
      <c r="F17065" s="58"/>
      <c r="G17065" s="126">
        <f t="shared" si="272"/>
        <v>-2350</v>
      </c>
      <c r="H17065" s="705" t="s">
        <v>11244</v>
      </c>
    </row>
    <row r="17066" spans="1:8" ht="15" x14ac:dyDescent="0.2">
      <c r="A17066" s="734">
        <v>45213</v>
      </c>
      <c r="B17066" s="41" t="s">
        <v>9986</v>
      </c>
      <c r="C17066" s="63" t="s">
        <v>5741</v>
      </c>
      <c r="D17066" s="791" t="s">
        <v>370</v>
      </c>
      <c r="E17066" s="58">
        <v>2200</v>
      </c>
      <c r="F17066" s="58"/>
      <c r="G17066" s="126">
        <f t="shared" si="272"/>
        <v>-2200</v>
      </c>
      <c r="H17066" s="705" t="s">
        <v>11244</v>
      </c>
    </row>
    <row r="17067" spans="1:8" ht="15" x14ac:dyDescent="0.2">
      <c r="A17067" s="734">
        <v>45213</v>
      </c>
      <c r="B17067" s="41" t="s">
        <v>9356</v>
      </c>
      <c r="C17067" s="63" t="s">
        <v>14</v>
      </c>
      <c r="D17067" s="791" t="s">
        <v>11360</v>
      </c>
      <c r="E17067" s="58">
        <v>3000</v>
      </c>
      <c r="F17067" s="58"/>
      <c r="G17067" s="126">
        <f t="shared" si="272"/>
        <v>-3000</v>
      </c>
      <c r="H17067" s="705" t="s">
        <v>11244</v>
      </c>
    </row>
    <row r="17068" spans="1:8" ht="15" x14ac:dyDescent="0.2">
      <c r="A17068" s="734">
        <v>45213</v>
      </c>
      <c r="B17068" s="41" t="s">
        <v>11135</v>
      </c>
      <c r="C17068" s="63" t="s">
        <v>10768</v>
      </c>
      <c r="D17068" s="791" t="s">
        <v>11361</v>
      </c>
      <c r="E17068" s="58">
        <v>700000</v>
      </c>
      <c r="F17068" s="58"/>
      <c r="G17068" s="126">
        <f t="shared" si="272"/>
        <v>-700000</v>
      </c>
      <c r="H17068" s="705" t="s">
        <v>11244</v>
      </c>
    </row>
    <row r="17069" spans="1:8" ht="15" x14ac:dyDescent="0.2">
      <c r="A17069" s="734">
        <v>45213</v>
      </c>
      <c r="B17069" s="41" t="s">
        <v>11007</v>
      </c>
      <c r="C17069" s="63" t="s">
        <v>11218</v>
      </c>
      <c r="D17069" s="791" t="s">
        <v>11362</v>
      </c>
      <c r="E17069" s="58">
        <v>65000</v>
      </c>
      <c r="F17069" s="58"/>
      <c r="G17069" s="126">
        <f t="shared" si="272"/>
        <v>-65000</v>
      </c>
      <c r="H17069" s="705" t="s">
        <v>11244</v>
      </c>
    </row>
    <row r="17070" spans="1:8" ht="15" x14ac:dyDescent="0.2">
      <c r="A17070" s="734">
        <v>45213</v>
      </c>
      <c r="B17070" s="41" t="s">
        <v>10232</v>
      </c>
      <c r="C17070" s="63" t="s">
        <v>10993</v>
      </c>
      <c r="D17070" s="791" t="s">
        <v>11363</v>
      </c>
      <c r="E17070" s="58">
        <v>30900</v>
      </c>
      <c r="F17070" s="58"/>
      <c r="G17070" s="126">
        <f t="shared" si="272"/>
        <v>-30900</v>
      </c>
      <c r="H17070" s="705" t="s">
        <v>11244</v>
      </c>
    </row>
    <row r="17071" spans="1:8" ht="15" x14ac:dyDescent="0.2">
      <c r="A17071" s="734">
        <v>45213</v>
      </c>
      <c r="B17071" s="41" t="s">
        <v>9986</v>
      </c>
      <c r="C17071" s="63" t="s">
        <v>10236</v>
      </c>
      <c r="D17071" s="791" t="s">
        <v>11364</v>
      </c>
      <c r="E17071" s="58">
        <v>110300</v>
      </c>
      <c r="F17071" s="58"/>
      <c r="G17071" s="126">
        <f t="shared" si="272"/>
        <v>-110300</v>
      </c>
      <c r="H17071" s="705" t="s">
        <v>11244</v>
      </c>
    </row>
    <row r="17072" spans="1:8" ht="15" x14ac:dyDescent="0.2">
      <c r="A17072" s="734">
        <v>45214</v>
      </c>
      <c r="B17072" s="41" t="s">
        <v>25</v>
      </c>
      <c r="C17072" s="63" t="s">
        <v>8150</v>
      </c>
      <c r="D17072" s="791" t="s">
        <v>6343</v>
      </c>
      <c r="E17072" s="58">
        <v>8700</v>
      </c>
      <c r="F17072" s="58"/>
      <c r="G17072" s="126">
        <f t="shared" si="272"/>
        <v>-8700</v>
      </c>
      <c r="H17072" s="705" t="s">
        <v>11244</v>
      </c>
    </row>
    <row r="17073" spans="1:8" ht="15" x14ac:dyDescent="0.2">
      <c r="A17073" s="734">
        <v>45214</v>
      </c>
      <c r="B17073" s="41" t="s">
        <v>103</v>
      </c>
      <c r="C17073" s="63" t="s">
        <v>8150</v>
      </c>
      <c r="D17073" s="791" t="s">
        <v>6343</v>
      </c>
      <c r="E17073" s="58">
        <v>2100</v>
      </c>
      <c r="F17073" s="58"/>
      <c r="G17073" s="126">
        <f t="shared" si="272"/>
        <v>-2100</v>
      </c>
      <c r="H17073" s="705" t="s">
        <v>11244</v>
      </c>
    </row>
    <row r="17074" spans="1:8" ht="15" x14ac:dyDescent="0.2">
      <c r="A17074" s="734">
        <v>45214</v>
      </c>
      <c r="B17074" s="41" t="s">
        <v>9986</v>
      </c>
      <c r="C17074" s="63" t="s">
        <v>10993</v>
      </c>
      <c r="D17074" s="791" t="s">
        <v>11366</v>
      </c>
      <c r="E17074" s="58">
        <v>161000</v>
      </c>
      <c r="F17074" s="58"/>
      <c r="G17074" s="126">
        <f t="shared" si="272"/>
        <v>-161000</v>
      </c>
      <c r="H17074" s="705" t="s">
        <v>11244</v>
      </c>
    </row>
    <row r="17075" spans="1:8" ht="15" x14ac:dyDescent="0.2">
      <c r="A17075" s="734">
        <v>45214</v>
      </c>
      <c r="B17075" s="41" t="s">
        <v>103</v>
      </c>
      <c r="C17075" s="63" t="s">
        <v>5741</v>
      </c>
      <c r="D17075" s="791" t="s">
        <v>11367</v>
      </c>
      <c r="E17075" s="58">
        <v>250</v>
      </c>
      <c r="F17075" s="58"/>
      <c r="G17075" s="126">
        <f t="shared" si="272"/>
        <v>-250</v>
      </c>
      <c r="H17075" s="705" t="s">
        <v>11244</v>
      </c>
    </row>
    <row r="17076" spans="1:8" ht="15" x14ac:dyDescent="0.2">
      <c r="A17076" s="734">
        <v>45214</v>
      </c>
      <c r="B17076" s="41" t="s">
        <v>103</v>
      </c>
      <c r="C17076" s="63" t="s">
        <v>103</v>
      </c>
      <c r="D17076" s="791" t="s">
        <v>10211</v>
      </c>
      <c r="E17076" s="58">
        <v>3000</v>
      </c>
      <c r="F17076" s="58"/>
      <c r="G17076" s="126">
        <f t="shared" si="272"/>
        <v>-3000</v>
      </c>
      <c r="H17076" s="705" t="s">
        <v>11244</v>
      </c>
    </row>
    <row r="17077" spans="1:8" ht="15" x14ac:dyDescent="0.2">
      <c r="A17077" s="734">
        <v>45214</v>
      </c>
      <c r="B17077" s="41" t="s">
        <v>10471</v>
      </c>
      <c r="C17077" s="63" t="s">
        <v>10993</v>
      </c>
      <c r="D17077" s="791" t="s">
        <v>11375</v>
      </c>
      <c r="E17077" s="58">
        <v>1600</v>
      </c>
      <c r="F17077" s="58"/>
      <c r="G17077" s="126">
        <f t="shared" si="272"/>
        <v>-1600</v>
      </c>
      <c r="H17077" s="705" t="s">
        <v>11244</v>
      </c>
    </row>
    <row r="17078" spans="1:8" ht="15" x14ac:dyDescent="0.2">
      <c r="A17078" s="734">
        <v>45214</v>
      </c>
      <c r="B17078" s="41" t="s">
        <v>9986</v>
      </c>
      <c r="C17078" s="63" t="s">
        <v>6476</v>
      </c>
      <c r="D17078" s="791" t="s">
        <v>11308</v>
      </c>
      <c r="E17078" s="58">
        <v>10000</v>
      </c>
      <c r="F17078" s="58"/>
      <c r="G17078" s="126">
        <f t="shared" si="272"/>
        <v>-10000</v>
      </c>
      <c r="H17078" s="705" t="s">
        <v>11244</v>
      </c>
    </row>
    <row r="17079" spans="1:8" ht="15" x14ac:dyDescent="0.2">
      <c r="A17079" s="734">
        <v>45214</v>
      </c>
      <c r="B17079" s="41" t="s">
        <v>10232</v>
      </c>
      <c r="C17079" s="63" t="s">
        <v>5741</v>
      </c>
      <c r="D17079" s="791" t="s">
        <v>370</v>
      </c>
      <c r="E17079" s="58">
        <v>5000</v>
      </c>
      <c r="F17079" s="58"/>
      <c r="G17079" s="126">
        <f t="shared" si="272"/>
        <v>-5000</v>
      </c>
      <c r="H17079" s="705" t="s">
        <v>11244</v>
      </c>
    </row>
    <row r="17080" spans="1:8" ht="15" x14ac:dyDescent="0.2">
      <c r="A17080" s="734">
        <v>45214</v>
      </c>
      <c r="B17080" s="41" t="s">
        <v>9986</v>
      </c>
      <c r="C17080" s="63" t="s">
        <v>6476</v>
      </c>
      <c r="D17080" s="791" t="s">
        <v>11376</v>
      </c>
      <c r="E17080" s="58">
        <v>15000</v>
      </c>
      <c r="F17080" s="58"/>
      <c r="G17080" s="126">
        <f t="shared" si="272"/>
        <v>-15000</v>
      </c>
      <c r="H17080" s="705" t="s">
        <v>11244</v>
      </c>
    </row>
    <row r="17081" spans="1:8" ht="15" x14ac:dyDescent="0.2">
      <c r="A17081" s="734">
        <v>45214</v>
      </c>
      <c r="B17081" s="41" t="s">
        <v>9986</v>
      </c>
      <c r="C17081" s="63" t="s">
        <v>6476</v>
      </c>
      <c r="D17081" s="791" t="s">
        <v>11377</v>
      </c>
      <c r="E17081" s="58">
        <v>10000</v>
      </c>
      <c r="F17081" s="58"/>
      <c r="G17081" s="126">
        <f t="shared" si="272"/>
        <v>-10000</v>
      </c>
      <c r="H17081" s="705" t="s">
        <v>11244</v>
      </c>
    </row>
    <row r="17082" spans="1:8" ht="15" x14ac:dyDescent="0.2">
      <c r="A17082" s="734">
        <v>45215</v>
      </c>
      <c r="B17082" s="41" t="s">
        <v>10576</v>
      </c>
      <c r="C17082" s="63" t="s">
        <v>8091</v>
      </c>
      <c r="D17082" s="791" t="s">
        <v>11378</v>
      </c>
      <c r="E17082" s="58">
        <v>1000000</v>
      </c>
      <c r="F17082" s="58"/>
      <c r="G17082" s="126">
        <f t="shared" si="272"/>
        <v>-1000000</v>
      </c>
      <c r="H17082" s="705" t="s">
        <v>11244</v>
      </c>
    </row>
    <row r="17083" spans="1:8" ht="15" x14ac:dyDescent="0.2">
      <c r="A17083" s="734">
        <v>45216</v>
      </c>
      <c r="B17083" s="41" t="s">
        <v>10908</v>
      </c>
      <c r="C17083" s="63" t="s">
        <v>11099</v>
      </c>
      <c r="D17083" s="791" t="s">
        <v>11379</v>
      </c>
      <c r="E17083" s="58">
        <v>30000</v>
      </c>
      <c r="F17083" s="58"/>
      <c r="G17083" s="126">
        <f t="shared" si="272"/>
        <v>-30000</v>
      </c>
      <c r="H17083" s="705" t="s">
        <v>11244</v>
      </c>
    </row>
    <row r="17084" spans="1:8" ht="15" x14ac:dyDescent="0.2">
      <c r="A17084" s="734">
        <v>45216</v>
      </c>
      <c r="B17084" s="41" t="s">
        <v>10232</v>
      </c>
      <c r="C17084" s="63" t="s">
        <v>10993</v>
      </c>
      <c r="D17084" s="791" t="s">
        <v>11380</v>
      </c>
      <c r="E17084" s="58">
        <v>42200</v>
      </c>
      <c r="F17084" s="58"/>
      <c r="G17084" s="126">
        <f t="shared" si="272"/>
        <v>-42200</v>
      </c>
      <c r="H17084" s="705" t="s">
        <v>11244</v>
      </c>
    </row>
    <row r="17085" spans="1:8" ht="15" x14ac:dyDescent="0.2">
      <c r="A17085" s="734">
        <v>45216</v>
      </c>
      <c r="B17085" s="41" t="s">
        <v>10232</v>
      </c>
      <c r="C17085" s="63" t="s">
        <v>10993</v>
      </c>
      <c r="D17085" s="791" t="s">
        <v>11381</v>
      </c>
      <c r="E17085" s="58">
        <v>2400</v>
      </c>
      <c r="F17085" s="58"/>
      <c r="G17085" s="126">
        <f t="shared" si="272"/>
        <v>-2400</v>
      </c>
      <c r="H17085" s="705" t="s">
        <v>11244</v>
      </c>
    </row>
    <row r="17086" spans="1:8" ht="15" x14ac:dyDescent="0.2">
      <c r="A17086" s="734">
        <v>45216</v>
      </c>
      <c r="B17086" s="41" t="s">
        <v>10232</v>
      </c>
      <c r="C17086" s="63" t="s">
        <v>5741</v>
      </c>
      <c r="D17086" s="791" t="s">
        <v>370</v>
      </c>
      <c r="E17086" s="58">
        <v>500</v>
      </c>
      <c r="F17086" s="58"/>
      <c r="G17086" s="126">
        <f t="shared" si="272"/>
        <v>-500</v>
      </c>
      <c r="H17086" s="705" t="s">
        <v>11244</v>
      </c>
    </row>
    <row r="17087" spans="1:8" ht="15" x14ac:dyDescent="0.2">
      <c r="A17087" s="734">
        <v>45216</v>
      </c>
      <c r="B17087" s="41" t="s">
        <v>9986</v>
      </c>
      <c r="C17087" s="63" t="s">
        <v>5741</v>
      </c>
      <c r="D17087" s="791" t="s">
        <v>370</v>
      </c>
      <c r="E17087" s="58">
        <v>2000</v>
      </c>
      <c r="F17087" s="58"/>
      <c r="G17087" s="126">
        <f t="shared" ref="G17087:G17150" si="273">F17087-E17087</f>
        <v>-2000</v>
      </c>
      <c r="H17087" s="705" t="s">
        <v>11244</v>
      </c>
    </row>
    <row r="17088" spans="1:8" ht="15" x14ac:dyDescent="0.2">
      <c r="A17088" s="734">
        <v>45216</v>
      </c>
      <c r="B17088" s="41" t="s">
        <v>10908</v>
      </c>
      <c r="C17088" s="63" t="s">
        <v>5741</v>
      </c>
      <c r="D17088" s="791" t="s">
        <v>370</v>
      </c>
      <c r="E17088" s="58">
        <v>1000</v>
      </c>
      <c r="F17088" s="58"/>
      <c r="G17088" s="126">
        <f t="shared" si="273"/>
        <v>-1000</v>
      </c>
      <c r="H17088" s="705" t="s">
        <v>11244</v>
      </c>
    </row>
    <row r="17089" spans="1:8" ht="15" x14ac:dyDescent="0.2">
      <c r="A17089" s="734">
        <v>45216</v>
      </c>
      <c r="B17089" s="41" t="s">
        <v>10576</v>
      </c>
      <c r="C17089" s="63" t="s">
        <v>5741</v>
      </c>
      <c r="D17089" s="791" t="s">
        <v>370</v>
      </c>
      <c r="E17089" s="58">
        <v>1000</v>
      </c>
      <c r="F17089" s="58"/>
      <c r="G17089" s="126">
        <f t="shared" si="273"/>
        <v>-1000</v>
      </c>
      <c r="H17089" s="705" t="s">
        <v>11244</v>
      </c>
    </row>
    <row r="17090" spans="1:8" ht="15" x14ac:dyDescent="0.2">
      <c r="A17090" s="734">
        <v>45216</v>
      </c>
      <c r="B17090" s="41" t="s">
        <v>10908</v>
      </c>
      <c r="C17090" s="63" t="s">
        <v>5741</v>
      </c>
      <c r="D17090" s="791" t="s">
        <v>370</v>
      </c>
      <c r="E17090" s="58">
        <v>300</v>
      </c>
      <c r="F17090" s="58"/>
      <c r="G17090" s="126">
        <f t="shared" si="273"/>
        <v>-300</v>
      </c>
      <c r="H17090" s="705" t="s">
        <v>11244</v>
      </c>
    </row>
    <row r="17091" spans="1:8" ht="15" x14ac:dyDescent="0.2">
      <c r="A17091" s="734">
        <v>45216</v>
      </c>
      <c r="B17091" s="41" t="s">
        <v>10232</v>
      </c>
      <c r="C17091" s="63" t="s">
        <v>10993</v>
      </c>
      <c r="D17091" s="791" t="s">
        <v>11382</v>
      </c>
      <c r="E17091" s="58">
        <v>1550</v>
      </c>
      <c r="F17091" s="58"/>
      <c r="G17091" s="126">
        <f t="shared" si="273"/>
        <v>-1550</v>
      </c>
      <c r="H17091" s="705" t="s">
        <v>11244</v>
      </c>
    </row>
    <row r="17092" spans="1:8" ht="15" x14ac:dyDescent="0.2">
      <c r="A17092" s="734">
        <v>45216</v>
      </c>
      <c r="B17092" s="41" t="s">
        <v>3946</v>
      </c>
      <c r="C17092" s="63" t="s">
        <v>286</v>
      </c>
      <c r="D17092" s="791" t="s">
        <v>11383</v>
      </c>
      <c r="E17092" s="58">
        <v>2000</v>
      </c>
      <c r="F17092" s="58"/>
      <c r="G17092" s="126">
        <f t="shared" si="273"/>
        <v>-2000</v>
      </c>
      <c r="H17092" s="705" t="s">
        <v>11244</v>
      </c>
    </row>
    <row r="17093" spans="1:8" ht="15" x14ac:dyDescent="0.2">
      <c r="A17093" s="734">
        <v>45216</v>
      </c>
      <c r="B17093" s="41" t="s">
        <v>3946</v>
      </c>
      <c r="C17093" s="63" t="s">
        <v>10993</v>
      </c>
      <c r="D17093" s="791" t="s">
        <v>11384</v>
      </c>
      <c r="E17093" s="58">
        <v>500</v>
      </c>
      <c r="F17093" s="58"/>
      <c r="G17093" s="126">
        <f t="shared" si="273"/>
        <v>-500</v>
      </c>
      <c r="H17093" s="705" t="s">
        <v>11244</v>
      </c>
    </row>
    <row r="17094" spans="1:8" ht="15" x14ac:dyDescent="0.2">
      <c r="A17094" s="734">
        <v>45216</v>
      </c>
      <c r="B17094" s="41" t="s">
        <v>3946</v>
      </c>
      <c r="C17094" s="63" t="s">
        <v>10993</v>
      </c>
      <c r="D17094" s="791" t="s">
        <v>11385</v>
      </c>
      <c r="E17094" s="58">
        <v>2000</v>
      </c>
      <c r="F17094" s="58"/>
      <c r="G17094" s="126">
        <f t="shared" si="273"/>
        <v>-2000</v>
      </c>
      <c r="H17094" s="705" t="s">
        <v>11244</v>
      </c>
    </row>
    <row r="17095" spans="1:8" ht="15" x14ac:dyDescent="0.2">
      <c r="A17095" s="734">
        <v>45216</v>
      </c>
      <c r="B17095" s="41" t="s">
        <v>9986</v>
      </c>
      <c r="C17095" s="63" t="s">
        <v>5741</v>
      </c>
      <c r="D17095" s="791" t="s">
        <v>370</v>
      </c>
      <c r="E17095" s="58">
        <v>400</v>
      </c>
      <c r="F17095" s="58"/>
      <c r="G17095" s="126">
        <f t="shared" si="273"/>
        <v>-400</v>
      </c>
      <c r="H17095" s="705" t="s">
        <v>11244</v>
      </c>
    </row>
    <row r="17096" spans="1:8" ht="15" x14ac:dyDescent="0.2">
      <c r="A17096" s="734">
        <v>45216</v>
      </c>
      <c r="B17096" s="41" t="s">
        <v>11446</v>
      </c>
      <c r="C17096" s="63" t="s">
        <v>11386</v>
      </c>
      <c r="D17096" s="791" t="s">
        <v>11387</v>
      </c>
      <c r="E17096" s="58">
        <v>150000</v>
      </c>
      <c r="F17096" s="58"/>
      <c r="G17096" s="126">
        <f t="shared" si="273"/>
        <v>-150000</v>
      </c>
      <c r="H17096" s="705" t="s">
        <v>11244</v>
      </c>
    </row>
    <row r="17097" spans="1:8" ht="15" x14ac:dyDescent="0.2">
      <c r="A17097" s="734">
        <v>45216</v>
      </c>
      <c r="B17097" s="41" t="s">
        <v>10151</v>
      </c>
      <c r="C17097" s="551" t="s">
        <v>8394</v>
      </c>
      <c r="D17097" s="904" t="s">
        <v>11399</v>
      </c>
      <c r="E17097" s="583">
        <v>75140</v>
      </c>
      <c r="F17097" s="58"/>
      <c r="G17097" s="126">
        <f t="shared" si="273"/>
        <v>-75140</v>
      </c>
      <c r="H17097" s="705" t="s">
        <v>11244</v>
      </c>
    </row>
    <row r="17098" spans="1:8" ht="15" x14ac:dyDescent="0.2">
      <c r="A17098" s="734">
        <v>45216</v>
      </c>
      <c r="B17098" s="41" t="s">
        <v>9356</v>
      </c>
      <c r="C17098" s="551" t="s">
        <v>8394</v>
      </c>
      <c r="D17098" s="904" t="s">
        <v>11399</v>
      </c>
      <c r="E17098" s="583">
        <v>3763</v>
      </c>
      <c r="F17098" s="58"/>
      <c r="G17098" s="126">
        <f t="shared" si="273"/>
        <v>-3763</v>
      </c>
      <c r="H17098" s="705" t="s">
        <v>11244</v>
      </c>
    </row>
    <row r="17099" spans="1:8" ht="15" x14ac:dyDescent="0.2">
      <c r="A17099" s="734">
        <v>45216</v>
      </c>
      <c r="B17099" s="41" t="s">
        <v>10379</v>
      </c>
      <c r="C17099" s="551" t="s">
        <v>8394</v>
      </c>
      <c r="D17099" s="904" t="s">
        <v>11399</v>
      </c>
      <c r="E17099" s="583">
        <v>17368</v>
      </c>
      <c r="F17099" s="58"/>
      <c r="G17099" s="126">
        <f t="shared" si="273"/>
        <v>-17368</v>
      </c>
      <c r="H17099" s="705" t="s">
        <v>11244</v>
      </c>
    </row>
    <row r="17100" spans="1:8" ht="15" x14ac:dyDescent="0.2">
      <c r="A17100" s="734">
        <v>45216</v>
      </c>
      <c r="B17100" s="41" t="s">
        <v>11075</v>
      </c>
      <c r="C17100" s="551" t="s">
        <v>8394</v>
      </c>
      <c r="D17100" s="904" t="s">
        <v>11399</v>
      </c>
      <c r="E17100" s="583">
        <v>194858</v>
      </c>
      <c r="F17100" s="58"/>
      <c r="G17100" s="126">
        <f t="shared" si="273"/>
        <v>-194858</v>
      </c>
      <c r="H17100" s="705" t="s">
        <v>11244</v>
      </c>
    </row>
    <row r="17101" spans="1:8" ht="15" x14ac:dyDescent="0.2">
      <c r="A17101" s="734">
        <v>45216</v>
      </c>
      <c r="B17101" s="41" t="s">
        <v>10232</v>
      </c>
      <c r="C17101" s="551" t="s">
        <v>8394</v>
      </c>
      <c r="D17101" s="904" t="s">
        <v>11399</v>
      </c>
      <c r="E17101" s="583">
        <v>650000</v>
      </c>
      <c r="F17101" s="58"/>
      <c r="G17101" s="126">
        <f t="shared" si="273"/>
        <v>-650000</v>
      </c>
      <c r="H17101" s="705" t="s">
        <v>11244</v>
      </c>
    </row>
    <row r="17102" spans="1:8" ht="15" x14ac:dyDescent="0.2">
      <c r="A17102" s="734">
        <v>45216</v>
      </c>
      <c r="B17102" s="41" t="s">
        <v>10909</v>
      </c>
      <c r="C17102" s="551" t="s">
        <v>8394</v>
      </c>
      <c r="D17102" s="904" t="s">
        <v>11399</v>
      </c>
      <c r="E17102" s="583">
        <v>308871</v>
      </c>
      <c r="F17102" s="58"/>
      <c r="G17102" s="126">
        <f t="shared" si="273"/>
        <v>-308871</v>
      </c>
      <c r="H17102" s="705" t="s">
        <v>11244</v>
      </c>
    </row>
    <row r="17103" spans="1:8" ht="15" x14ac:dyDescent="0.2">
      <c r="A17103" s="734">
        <v>45216</v>
      </c>
      <c r="B17103" s="41" t="s">
        <v>10576</v>
      </c>
      <c r="C17103" s="551" t="s">
        <v>8394</v>
      </c>
      <c r="D17103" s="904" t="s">
        <v>11399</v>
      </c>
      <c r="E17103" s="583">
        <v>250000</v>
      </c>
      <c r="F17103" s="58"/>
      <c r="G17103" s="126">
        <f t="shared" si="273"/>
        <v>-250000</v>
      </c>
      <c r="H17103" s="705" t="s">
        <v>11244</v>
      </c>
    </row>
    <row r="17104" spans="1:8" ht="15" x14ac:dyDescent="0.2">
      <c r="A17104" s="734">
        <v>45217</v>
      </c>
      <c r="B17104" s="41" t="s">
        <v>9409</v>
      </c>
      <c r="C17104" s="63" t="s">
        <v>11398</v>
      </c>
      <c r="D17104" s="791" t="s">
        <v>11388</v>
      </c>
      <c r="E17104" s="58">
        <v>250000</v>
      </c>
      <c r="F17104" s="58"/>
      <c r="G17104" s="126">
        <f t="shared" si="273"/>
        <v>-250000</v>
      </c>
      <c r="H17104" s="705" t="s">
        <v>11244</v>
      </c>
    </row>
    <row r="17105" spans="1:8" ht="15" x14ac:dyDescent="0.2">
      <c r="A17105" s="734">
        <v>45217</v>
      </c>
      <c r="B17105" s="41" t="s">
        <v>2933</v>
      </c>
      <c r="C17105" s="63" t="s">
        <v>1983</v>
      </c>
      <c r="D17105" s="791" t="s">
        <v>11389</v>
      </c>
      <c r="E17105" s="58">
        <v>150000</v>
      </c>
      <c r="F17105" s="58"/>
      <c r="G17105" s="126">
        <f t="shared" si="273"/>
        <v>-150000</v>
      </c>
      <c r="H17105" s="705" t="s">
        <v>11244</v>
      </c>
    </row>
    <row r="17106" spans="1:8" ht="15" x14ac:dyDescent="0.2">
      <c r="A17106" s="734">
        <v>45217</v>
      </c>
      <c r="B17106" s="41" t="s">
        <v>9986</v>
      </c>
      <c r="C17106" s="63" t="s">
        <v>10993</v>
      </c>
      <c r="D17106" s="791" t="s">
        <v>11390</v>
      </c>
      <c r="E17106" s="58">
        <v>80000</v>
      </c>
      <c r="F17106" s="58"/>
      <c r="G17106" s="126">
        <f t="shared" si="273"/>
        <v>-80000</v>
      </c>
      <c r="H17106" s="705" t="s">
        <v>11244</v>
      </c>
    </row>
    <row r="17107" spans="1:8" ht="15" x14ac:dyDescent="0.2">
      <c r="A17107" s="734">
        <v>45217</v>
      </c>
      <c r="B17107" s="41" t="s">
        <v>103</v>
      </c>
      <c r="C17107" s="63" t="s">
        <v>103</v>
      </c>
      <c r="D17107" s="791" t="s">
        <v>10211</v>
      </c>
      <c r="E17107" s="58">
        <v>3000</v>
      </c>
      <c r="F17107" s="58"/>
      <c r="G17107" s="126">
        <f t="shared" si="273"/>
        <v>-3000</v>
      </c>
      <c r="H17107" s="705" t="s">
        <v>11244</v>
      </c>
    </row>
    <row r="17108" spans="1:8" ht="15" x14ac:dyDescent="0.2">
      <c r="A17108" s="734">
        <v>45217</v>
      </c>
      <c r="B17108" s="41" t="s">
        <v>10232</v>
      </c>
      <c r="C17108" s="63" t="s">
        <v>286</v>
      </c>
      <c r="D17108" s="791" t="s">
        <v>8485</v>
      </c>
      <c r="E17108" s="58">
        <v>1400</v>
      </c>
      <c r="F17108" s="58"/>
      <c r="G17108" s="126">
        <f t="shared" si="273"/>
        <v>-1400</v>
      </c>
      <c r="H17108" s="705" t="s">
        <v>11244</v>
      </c>
    </row>
    <row r="17109" spans="1:8" ht="15" x14ac:dyDescent="0.2">
      <c r="A17109" s="734">
        <v>45217</v>
      </c>
      <c r="B17109" s="41" t="s">
        <v>10576</v>
      </c>
      <c r="C17109" s="63" t="s">
        <v>5741</v>
      </c>
      <c r="D17109" s="791" t="s">
        <v>11391</v>
      </c>
      <c r="E17109" s="58">
        <v>300</v>
      </c>
      <c r="F17109" s="58"/>
      <c r="G17109" s="126">
        <f t="shared" si="273"/>
        <v>-300</v>
      </c>
      <c r="H17109" s="705" t="s">
        <v>11244</v>
      </c>
    </row>
    <row r="17110" spans="1:8" ht="15" x14ac:dyDescent="0.2">
      <c r="A17110" s="734">
        <v>45217</v>
      </c>
      <c r="B17110" s="41" t="s">
        <v>9356</v>
      </c>
      <c r="C17110" s="63" t="s">
        <v>9460</v>
      </c>
      <c r="D17110" s="791" t="s">
        <v>11392</v>
      </c>
      <c r="E17110" s="58">
        <v>100000</v>
      </c>
      <c r="F17110" s="58"/>
      <c r="G17110" s="126">
        <f t="shared" si="273"/>
        <v>-100000</v>
      </c>
      <c r="H17110" s="705" t="s">
        <v>11244</v>
      </c>
    </row>
    <row r="17111" spans="1:8" ht="15" x14ac:dyDescent="0.2">
      <c r="A17111" s="734">
        <v>45217</v>
      </c>
      <c r="B17111" s="41" t="s">
        <v>10471</v>
      </c>
      <c r="C17111" s="63" t="s">
        <v>10993</v>
      </c>
      <c r="D17111" s="791" t="s">
        <v>11393</v>
      </c>
      <c r="E17111" s="58">
        <v>4500</v>
      </c>
      <c r="F17111" s="58"/>
      <c r="G17111" s="126">
        <f t="shared" si="273"/>
        <v>-4500</v>
      </c>
      <c r="H17111" s="705" t="s">
        <v>11244</v>
      </c>
    </row>
    <row r="17112" spans="1:8" ht="15" x14ac:dyDescent="0.2">
      <c r="A17112" s="734">
        <v>45217</v>
      </c>
      <c r="B17112" s="41" t="s">
        <v>9986</v>
      </c>
      <c r="C17112" s="63" t="s">
        <v>5741</v>
      </c>
      <c r="D17112" s="791" t="s">
        <v>370</v>
      </c>
      <c r="E17112" s="58">
        <v>1500</v>
      </c>
      <c r="F17112" s="58"/>
      <c r="G17112" s="126">
        <f t="shared" si="273"/>
        <v>-1500</v>
      </c>
      <c r="H17112" s="705" t="s">
        <v>11244</v>
      </c>
    </row>
    <row r="17113" spans="1:8" ht="15" x14ac:dyDescent="0.2">
      <c r="A17113" s="734">
        <v>45217</v>
      </c>
      <c r="B17113" s="41" t="s">
        <v>10232</v>
      </c>
      <c r="C17113" s="63" t="s">
        <v>6784</v>
      </c>
      <c r="D17113" s="791" t="s">
        <v>7153</v>
      </c>
      <c r="E17113" s="58">
        <v>250000</v>
      </c>
      <c r="F17113" s="58"/>
      <c r="G17113" s="126">
        <f t="shared" si="273"/>
        <v>-250000</v>
      </c>
      <c r="H17113" s="705" t="s">
        <v>11244</v>
      </c>
    </row>
    <row r="17114" spans="1:8" ht="15" x14ac:dyDescent="0.2">
      <c r="A17114" s="734">
        <v>45217</v>
      </c>
      <c r="B17114" s="41" t="s">
        <v>10232</v>
      </c>
      <c r="C17114" s="63" t="s">
        <v>5741</v>
      </c>
      <c r="D17114" s="791" t="s">
        <v>370</v>
      </c>
      <c r="E17114" s="58">
        <v>300</v>
      </c>
      <c r="F17114" s="58"/>
      <c r="G17114" s="126">
        <f t="shared" si="273"/>
        <v>-300</v>
      </c>
      <c r="H17114" s="705" t="s">
        <v>11244</v>
      </c>
    </row>
    <row r="17115" spans="1:8" ht="15" x14ac:dyDescent="0.2">
      <c r="A17115" s="734">
        <v>45217</v>
      </c>
      <c r="B17115" s="41" t="s">
        <v>11271</v>
      </c>
      <c r="C17115" s="63" t="s">
        <v>7997</v>
      </c>
      <c r="D17115" s="791" t="s">
        <v>11394</v>
      </c>
      <c r="E17115" s="58">
        <v>69120</v>
      </c>
      <c r="F17115" s="58"/>
      <c r="G17115" s="126">
        <f t="shared" si="273"/>
        <v>-69120</v>
      </c>
      <c r="H17115" s="705" t="s">
        <v>11244</v>
      </c>
    </row>
    <row r="17116" spans="1:8" ht="15" x14ac:dyDescent="0.2">
      <c r="A17116" s="734">
        <v>45217</v>
      </c>
      <c r="B17116" s="41" t="s">
        <v>11089</v>
      </c>
      <c r="C17116" s="63" t="s">
        <v>11418</v>
      </c>
      <c r="D17116" s="791" t="s">
        <v>11419</v>
      </c>
      <c r="E17116" s="58">
        <v>4200</v>
      </c>
      <c r="F17116" s="58"/>
      <c r="G17116" s="126">
        <f t="shared" si="273"/>
        <v>-4200</v>
      </c>
      <c r="H17116" s="705" t="s">
        <v>11244</v>
      </c>
    </row>
    <row r="17117" spans="1:8" ht="15" x14ac:dyDescent="0.2">
      <c r="A17117" s="734">
        <v>45217</v>
      </c>
      <c r="B17117" s="41" t="s">
        <v>11026</v>
      </c>
      <c r="C17117" s="63" t="s">
        <v>11418</v>
      </c>
      <c r="D17117" s="791" t="s">
        <v>11420</v>
      </c>
      <c r="E17117" s="58">
        <v>1000</v>
      </c>
      <c r="F17117" s="58"/>
      <c r="G17117" s="126">
        <f t="shared" si="273"/>
        <v>-1000</v>
      </c>
      <c r="H17117" s="705" t="s">
        <v>11244</v>
      </c>
    </row>
    <row r="17118" spans="1:8" ht="15" x14ac:dyDescent="0.2">
      <c r="A17118" s="734">
        <v>45217</v>
      </c>
      <c r="B17118" s="41" t="s">
        <v>10908</v>
      </c>
      <c r="C17118" s="63" t="s">
        <v>11418</v>
      </c>
      <c r="D17118" s="791" t="s">
        <v>11421</v>
      </c>
      <c r="E17118" s="58">
        <v>2900</v>
      </c>
      <c r="F17118" s="58"/>
      <c r="G17118" s="126">
        <f t="shared" si="273"/>
        <v>-2900</v>
      </c>
      <c r="H17118" s="705" t="s">
        <v>11244</v>
      </c>
    </row>
    <row r="17119" spans="1:8" ht="15" x14ac:dyDescent="0.2">
      <c r="A17119" s="734">
        <v>45217</v>
      </c>
      <c r="B17119" s="41" t="s">
        <v>10232</v>
      </c>
      <c r="C17119" s="63" t="s">
        <v>11418</v>
      </c>
      <c r="D17119" s="791" t="s">
        <v>11422</v>
      </c>
      <c r="E17119" s="58">
        <v>7500</v>
      </c>
      <c r="F17119" s="58"/>
      <c r="G17119" s="126">
        <f t="shared" si="273"/>
        <v>-7500</v>
      </c>
      <c r="H17119" s="705" t="s">
        <v>11244</v>
      </c>
    </row>
    <row r="17120" spans="1:8" ht="15" x14ac:dyDescent="0.2">
      <c r="A17120" s="734">
        <v>45217</v>
      </c>
      <c r="B17120" s="41" t="s">
        <v>10232</v>
      </c>
      <c r="C17120" s="63" t="s">
        <v>11418</v>
      </c>
      <c r="D17120" s="791" t="s">
        <v>11423</v>
      </c>
      <c r="E17120" s="58">
        <v>39300</v>
      </c>
      <c r="F17120" s="58"/>
      <c r="G17120" s="126">
        <f t="shared" si="273"/>
        <v>-39300</v>
      </c>
      <c r="H17120" s="705" t="s">
        <v>11244</v>
      </c>
    </row>
    <row r="17121" spans="1:8" ht="15" customHeight="1" x14ac:dyDescent="0.2">
      <c r="A17121" s="734">
        <v>45217</v>
      </c>
      <c r="B17121" s="41" t="s">
        <v>10232</v>
      </c>
      <c r="C17121" s="63" t="s">
        <v>5741</v>
      </c>
      <c r="D17121" s="791" t="s">
        <v>370</v>
      </c>
      <c r="E17121" s="58">
        <v>1000</v>
      </c>
      <c r="F17121" s="58"/>
      <c r="G17121" s="126">
        <f t="shared" si="273"/>
        <v>-1000</v>
      </c>
      <c r="H17121" s="705" t="s">
        <v>11244</v>
      </c>
    </row>
    <row r="17122" spans="1:8" ht="15" customHeight="1" x14ac:dyDescent="0.2">
      <c r="A17122" s="734">
        <v>45217</v>
      </c>
      <c r="B17122" s="41" t="s">
        <v>9409</v>
      </c>
      <c r="C17122" s="63" t="s">
        <v>5741</v>
      </c>
      <c r="D17122" s="791" t="s">
        <v>11424</v>
      </c>
      <c r="E17122" s="58">
        <v>250</v>
      </c>
      <c r="F17122" s="58"/>
      <c r="G17122" s="126">
        <f t="shared" si="273"/>
        <v>-250</v>
      </c>
      <c r="H17122" s="705" t="s">
        <v>11244</v>
      </c>
    </row>
    <row r="17123" spans="1:8" ht="15" customHeight="1" x14ac:dyDescent="0.2">
      <c r="A17123" s="734">
        <v>45217</v>
      </c>
      <c r="B17123" s="41" t="s">
        <v>10908</v>
      </c>
      <c r="C17123" s="63" t="s">
        <v>5741</v>
      </c>
      <c r="D17123" s="791" t="s">
        <v>370</v>
      </c>
      <c r="E17123" s="58">
        <v>3300</v>
      </c>
      <c r="F17123" s="58"/>
      <c r="G17123" s="126">
        <f t="shared" si="273"/>
        <v>-3300</v>
      </c>
      <c r="H17123" s="705" t="s">
        <v>11244</v>
      </c>
    </row>
    <row r="17124" spans="1:8" ht="15" customHeight="1" x14ac:dyDescent="0.2">
      <c r="A17124" s="734">
        <v>45217</v>
      </c>
      <c r="B17124" s="41" t="s">
        <v>9356</v>
      </c>
      <c r="C17124" s="551" t="s">
        <v>11418</v>
      </c>
      <c r="D17124" s="904" t="s">
        <v>11440</v>
      </c>
      <c r="E17124" s="583">
        <v>9200</v>
      </c>
      <c r="F17124" s="58"/>
      <c r="G17124" s="126">
        <f t="shared" si="273"/>
        <v>-9200</v>
      </c>
      <c r="H17124" s="705" t="s">
        <v>11244</v>
      </c>
    </row>
    <row r="17125" spans="1:8" ht="15" x14ac:dyDescent="0.2">
      <c r="A17125" s="734">
        <v>45217</v>
      </c>
      <c r="B17125" s="41" t="s">
        <v>10908</v>
      </c>
      <c r="C17125" s="551" t="s">
        <v>11418</v>
      </c>
      <c r="D17125" s="904" t="s">
        <v>11440</v>
      </c>
      <c r="E17125" s="583">
        <v>9200</v>
      </c>
      <c r="F17125" s="58"/>
      <c r="G17125" s="126">
        <f t="shared" si="273"/>
        <v>-9200</v>
      </c>
      <c r="H17125" s="705" t="s">
        <v>11244</v>
      </c>
    </row>
    <row r="17126" spans="1:8" ht="15" x14ac:dyDescent="0.2">
      <c r="A17126" s="734">
        <v>45217</v>
      </c>
      <c r="B17126" s="41" t="s">
        <v>10232</v>
      </c>
      <c r="C17126" s="551" t="s">
        <v>11418</v>
      </c>
      <c r="D17126" s="904" t="s">
        <v>11440</v>
      </c>
      <c r="E17126" s="583">
        <v>9200</v>
      </c>
      <c r="F17126" s="58"/>
      <c r="G17126" s="126">
        <f t="shared" si="273"/>
        <v>-9200</v>
      </c>
      <c r="H17126" s="705" t="s">
        <v>11244</v>
      </c>
    </row>
    <row r="17127" spans="1:8" ht="15" x14ac:dyDescent="0.2">
      <c r="A17127" s="734">
        <v>45217</v>
      </c>
      <c r="B17127" s="41" t="s">
        <v>9356</v>
      </c>
      <c r="C17127" s="63" t="s">
        <v>11425</v>
      </c>
      <c r="D17127" s="791" t="s">
        <v>11426</v>
      </c>
      <c r="E17127" s="58">
        <v>13000</v>
      </c>
      <c r="F17127" s="58"/>
      <c r="G17127" s="126">
        <f t="shared" si="273"/>
        <v>-13000</v>
      </c>
      <c r="H17127" s="705" t="s">
        <v>11244</v>
      </c>
    </row>
    <row r="17128" spans="1:8" ht="15" x14ac:dyDescent="0.2">
      <c r="A17128" s="734">
        <v>45217</v>
      </c>
      <c r="B17128" s="41" t="s">
        <v>11007</v>
      </c>
      <c r="C17128" s="63" t="s">
        <v>5741</v>
      </c>
      <c r="D17128" s="791" t="s">
        <v>370</v>
      </c>
      <c r="E17128" s="58">
        <v>600</v>
      </c>
      <c r="F17128" s="58"/>
      <c r="G17128" s="126">
        <f t="shared" si="273"/>
        <v>-600</v>
      </c>
      <c r="H17128" s="705" t="s">
        <v>11244</v>
      </c>
    </row>
    <row r="17129" spans="1:8" ht="15" x14ac:dyDescent="0.2">
      <c r="A17129" s="734">
        <v>45217</v>
      </c>
      <c r="B17129" s="41" t="s">
        <v>103</v>
      </c>
      <c r="C17129" s="63" t="s">
        <v>103</v>
      </c>
      <c r="D17129" s="791" t="s">
        <v>10211</v>
      </c>
      <c r="E17129" s="58">
        <v>3000</v>
      </c>
      <c r="F17129" s="58"/>
      <c r="G17129" s="126">
        <f t="shared" si="273"/>
        <v>-3000</v>
      </c>
      <c r="H17129" s="705" t="s">
        <v>11244</v>
      </c>
    </row>
    <row r="17130" spans="1:8" ht="15" x14ac:dyDescent="0.2">
      <c r="A17130" s="734">
        <v>45217</v>
      </c>
      <c r="B17130" s="41" t="s">
        <v>10232</v>
      </c>
      <c r="C17130" s="63" t="s">
        <v>5741</v>
      </c>
      <c r="D17130" s="791" t="s">
        <v>370</v>
      </c>
      <c r="E17130" s="58">
        <v>2500</v>
      </c>
      <c r="F17130" s="58"/>
      <c r="G17130" s="126">
        <f t="shared" si="273"/>
        <v>-2500</v>
      </c>
      <c r="H17130" s="705" t="s">
        <v>11244</v>
      </c>
    </row>
    <row r="17131" spans="1:8" ht="15" x14ac:dyDescent="0.2">
      <c r="A17131" s="734">
        <v>45217</v>
      </c>
      <c r="B17131" s="41" t="s">
        <v>11026</v>
      </c>
      <c r="C17131" s="63" t="s">
        <v>11418</v>
      </c>
      <c r="D17131" s="791" t="s">
        <v>4309</v>
      </c>
      <c r="E17131" s="58">
        <v>2500</v>
      </c>
      <c r="F17131" s="58"/>
      <c r="G17131" s="126">
        <f t="shared" si="273"/>
        <v>-2500</v>
      </c>
      <c r="H17131" s="705" t="s">
        <v>11244</v>
      </c>
    </row>
    <row r="17132" spans="1:8" ht="15" x14ac:dyDescent="0.2">
      <c r="A17132" s="734">
        <v>45217</v>
      </c>
      <c r="B17132" s="41" t="s">
        <v>10908</v>
      </c>
      <c r="C17132" s="63" t="s">
        <v>11288</v>
      </c>
      <c r="D17132" s="791" t="s">
        <v>10721</v>
      </c>
      <c r="E17132" s="58">
        <v>25000</v>
      </c>
      <c r="F17132" s="58"/>
      <c r="G17132" s="126">
        <f t="shared" si="273"/>
        <v>-25000</v>
      </c>
      <c r="H17132" s="705" t="s">
        <v>11244</v>
      </c>
    </row>
    <row r="17133" spans="1:8" ht="15" customHeight="1" x14ac:dyDescent="0.2">
      <c r="A17133" s="734">
        <v>45217</v>
      </c>
      <c r="B17133" s="41" t="s">
        <v>10908</v>
      </c>
      <c r="C17133" s="63" t="s">
        <v>11025</v>
      </c>
      <c r="D17133" s="791" t="s">
        <v>11442</v>
      </c>
      <c r="E17133" s="58">
        <v>60000</v>
      </c>
      <c r="F17133" s="58"/>
      <c r="G17133" s="126">
        <f t="shared" si="273"/>
        <v>-60000</v>
      </c>
      <c r="H17133" s="705" t="s">
        <v>11244</v>
      </c>
    </row>
    <row r="17134" spans="1:8" ht="15" x14ac:dyDescent="0.2">
      <c r="A17134" s="734">
        <v>45219</v>
      </c>
      <c r="B17134" s="41" t="s">
        <v>9986</v>
      </c>
      <c r="C17134" s="63" t="s">
        <v>10236</v>
      </c>
      <c r="D17134" s="791" t="s">
        <v>11364</v>
      </c>
      <c r="E17134" s="58">
        <v>75900</v>
      </c>
      <c r="F17134" s="58"/>
      <c r="G17134" s="126">
        <f t="shared" si="273"/>
        <v>-75900</v>
      </c>
      <c r="H17134" s="705" t="s">
        <v>11244</v>
      </c>
    </row>
    <row r="17135" spans="1:8" ht="15" customHeight="1" x14ac:dyDescent="0.2">
      <c r="A17135" s="734">
        <v>45219</v>
      </c>
      <c r="B17135" s="41" t="s">
        <v>9986</v>
      </c>
      <c r="C17135" s="63" t="s">
        <v>10173</v>
      </c>
      <c r="D17135" s="791" t="s">
        <v>11441</v>
      </c>
      <c r="E17135" s="58">
        <v>400000</v>
      </c>
      <c r="F17135" s="58"/>
      <c r="G17135" s="126">
        <f t="shared" si="273"/>
        <v>-400000</v>
      </c>
      <c r="H17135" s="705" t="s">
        <v>11244</v>
      </c>
    </row>
    <row r="17136" spans="1:8" ht="15" x14ac:dyDescent="0.2">
      <c r="A17136" s="734">
        <v>45219</v>
      </c>
      <c r="B17136" s="41" t="s">
        <v>10908</v>
      </c>
      <c r="C17136" s="63" t="s">
        <v>10993</v>
      </c>
      <c r="D17136" s="791" t="s">
        <v>11423</v>
      </c>
      <c r="E17136" s="58">
        <v>45590</v>
      </c>
      <c r="F17136" s="58"/>
      <c r="G17136" s="126">
        <f t="shared" si="273"/>
        <v>-45590</v>
      </c>
      <c r="H17136" s="705" t="s">
        <v>11244</v>
      </c>
    </row>
    <row r="17137" spans="1:8" ht="15" x14ac:dyDescent="0.2">
      <c r="A17137" s="734">
        <v>45219</v>
      </c>
      <c r="B17137" s="41" t="s">
        <v>10232</v>
      </c>
      <c r="C17137" s="63" t="s">
        <v>10993</v>
      </c>
      <c r="D17137" s="791" t="s">
        <v>11423</v>
      </c>
      <c r="E17137" s="58">
        <v>30000</v>
      </c>
      <c r="F17137" s="58"/>
      <c r="G17137" s="126">
        <f t="shared" si="273"/>
        <v>-30000</v>
      </c>
      <c r="H17137" s="705" t="s">
        <v>11244</v>
      </c>
    </row>
    <row r="17138" spans="1:8" ht="15" x14ac:dyDescent="0.2">
      <c r="A17138" s="734">
        <v>45219</v>
      </c>
      <c r="B17138" s="41" t="s">
        <v>9986</v>
      </c>
      <c r="C17138" s="63" t="s">
        <v>10993</v>
      </c>
      <c r="D17138" s="791" t="s">
        <v>11427</v>
      </c>
      <c r="E17138" s="58">
        <v>1670</v>
      </c>
      <c r="F17138" s="58"/>
      <c r="G17138" s="126">
        <f t="shared" si="273"/>
        <v>-1670</v>
      </c>
      <c r="H17138" s="705" t="s">
        <v>11244</v>
      </c>
    </row>
    <row r="17139" spans="1:8" ht="15" x14ac:dyDescent="0.2">
      <c r="A17139" s="734">
        <v>45219</v>
      </c>
      <c r="B17139" s="41" t="s">
        <v>10471</v>
      </c>
      <c r="C17139" s="63" t="s">
        <v>5741</v>
      </c>
      <c r="D17139" s="791" t="s">
        <v>370</v>
      </c>
      <c r="E17139" s="58">
        <v>1500</v>
      </c>
      <c r="F17139" s="58"/>
      <c r="G17139" s="126">
        <f t="shared" si="273"/>
        <v>-1500</v>
      </c>
      <c r="H17139" s="705" t="s">
        <v>11244</v>
      </c>
    </row>
    <row r="17140" spans="1:8" ht="15" x14ac:dyDescent="0.2">
      <c r="A17140" s="734">
        <v>45219</v>
      </c>
      <c r="B17140" s="41" t="s">
        <v>9769</v>
      </c>
      <c r="C17140" s="63" t="s">
        <v>11428</v>
      </c>
      <c r="D17140" s="791" t="s">
        <v>370</v>
      </c>
      <c r="E17140" s="58">
        <v>200000</v>
      </c>
      <c r="F17140" s="58"/>
      <c r="G17140" s="126">
        <f t="shared" si="273"/>
        <v>-200000</v>
      </c>
      <c r="H17140" s="705" t="s">
        <v>11244</v>
      </c>
    </row>
    <row r="17141" spans="1:8" ht="15" x14ac:dyDescent="0.2">
      <c r="A17141" s="734">
        <v>45219</v>
      </c>
      <c r="B17141" s="41" t="s">
        <v>9986</v>
      </c>
      <c r="C17141" s="63" t="s">
        <v>6476</v>
      </c>
      <c r="D17141" s="791" t="s">
        <v>11429</v>
      </c>
      <c r="E17141" s="58">
        <v>100000</v>
      </c>
      <c r="F17141" s="58"/>
      <c r="G17141" s="126">
        <f t="shared" si="273"/>
        <v>-100000</v>
      </c>
      <c r="H17141" s="705" t="s">
        <v>11244</v>
      </c>
    </row>
    <row r="17142" spans="1:8" ht="15" x14ac:dyDescent="0.2">
      <c r="A17142" s="734">
        <v>45219</v>
      </c>
      <c r="B17142" s="41" t="s">
        <v>9986</v>
      </c>
      <c r="C17142" s="63" t="s">
        <v>6476</v>
      </c>
      <c r="D17142" s="791" t="s">
        <v>11430</v>
      </c>
      <c r="E17142" s="58">
        <v>50000</v>
      </c>
      <c r="F17142" s="58"/>
      <c r="G17142" s="126">
        <f t="shared" si="273"/>
        <v>-50000</v>
      </c>
      <c r="H17142" s="705" t="s">
        <v>11244</v>
      </c>
    </row>
    <row r="17143" spans="1:8" ht="15" x14ac:dyDescent="0.2">
      <c r="A17143" s="734">
        <v>45219</v>
      </c>
      <c r="B17143" s="41" t="s">
        <v>103</v>
      </c>
      <c r="C17143" s="63" t="s">
        <v>103</v>
      </c>
      <c r="D17143" s="791" t="s">
        <v>10211</v>
      </c>
      <c r="E17143" s="58">
        <v>2000</v>
      </c>
      <c r="F17143" s="58"/>
      <c r="G17143" s="126">
        <f t="shared" si="273"/>
        <v>-2000</v>
      </c>
      <c r="H17143" s="705" t="s">
        <v>11244</v>
      </c>
    </row>
    <row r="17144" spans="1:8" ht="15" x14ac:dyDescent="0.2">
      <c r="A17144" s="734">
        <v>45219</v>
      </c>
      <c r="B17144" s="41" t="s">
        <v>9986</v>
      </c>
      <c r="C17144" s="63" t="s">
        <v>11418</v>
      </c>
      <c r="D17144" s="791" t="s">
        <v>11431</v>
      </c>
      <c r="E17144" s="58">
        <v>77000</v>
      </c>
      <c r="F17144" s="58"/>
      <c r="G17144" s="126">
        <f t="shared" si="273"/>
        <v>-77000</v>
      </c>
      <c r="H17144" s="705" t="s">
        <v>11244</v>
      </c>
    </row>
    <row r="17145" spans="1:8" ht="15" x14ac:dyDescent="0.2">
      <c r="A17145" s="734">
        <v>45219</v>
      </c>
      <c r="B17145" s="41" t="s">
        <v>9986</v>
      </c>
      <c r="C17145" s="63" t="s">
        <v>5741</v>
      </c>
      <c r="D17145" s="791" t="s">
        <v>370</v>
      </c>
      <c r="E17145" s="58">
        <v>1600</v>
      </c>
      <c r="F17145" s="58"/>
      <c r="G17145" s="126">
        <f t="shared" si="273"/>
        <v>-1600</v>
      </c>
      <c r="H17145" s="705" t="s">
        <v>11244</v>
      </c>
    </row>
    <row r="17146" spans="1:8" ht="15" x14ac:dyDescent="0.2">
      <c r="A17146" s="734">
        <v>45219</v>
      </c>
      <c r="B17146" s="41" t="s">
        <v>103</v>
      </c>
      <c r="C17146" s="63" t="s">
        <v>7929</v>
      </c>
      <c r="D17146" s="791" t="s">
        <v>11432</v>
      </c>
      <c r="E17146" s="58">
        <v>19000</v>
      </c>
      <c r="F17146" s="58"/>
      <c r="G17146" s="126">
        <f t="shared" si="273"/>
        <v>-19000</v>
      </c>
      <c r="H17146" s="705" t="s">
        <v>11244</v>
      </c>
    </row>
    <row r="17147" spans="1:8" ht="15" x14ac:dyDescent="0.2">
      <c r="A17147" s="734">
        <v>45219</v>
      </c>
      <c r="B17147" s="41" t="s">
        <v>103</v>
      </c>
      <c r="C17147" s="63" t="s">
        <v>7929</v>
      </c>
      <c r="D17147" s="791" t="s">
        <v>11433</v>
      </c>
      <c r="E17147" s="58">
        <v>1800</v>
      </c>
      <c r="F17147" s="58"/>
      <c r="G17147" s="126">
        <f t="shared" si="273"/>
        <v>-1800</v>
      </c>
      <c r="H17147" s="705" t="s">
        <v>11244</v>
      </c>
    </row>
    <row r="17148" spans="1:8" ht="15" x14ac:dyDescent="0.2">
      <c r="A17148" s="734">
        <v>45219</v>
      </c>
      <c r="B17148" s="41" t="s">
        <v>103</v>
      </c>
      <c r="C17148" s="63" t="s">
        <v>7929</v>
      </c>
      <c r="D17148" s="791" t="s">
        <v>11434</v>
      </c>
      <c r="E17148" s="58">
        <v>9500</v>
      </c>
      <c r="F17148" s="58"/>
      <c r="G17148" s="126">
        <f t="shared" si="273"/>
        <v>-9500</v>
      </c>
      <c r="H17148" s="705" t="s">
        <v>11244</v>
      </c>
    </row>
    <row r="17149" spans="1:8" ht="15" x14ac:dyDescent="0.2">
      <c r="A17149" s="734">
        <v>45220</v>
      </c>
      <c r="B17149" s="41" t="s">
        <v>10471</v>
      </c>
      <c r="C17149" s="63" t="s">
        <v>11418</v>
      </c>
      <c r="D17149" s="791" t="s">
        <v>11449</v>
      </c>
      <c r="E17149" s="58">
        <v>9300</v>
      </c>
      <c r="F17149" s="58"/>
      <c r="G17149" s="126">
        <f t="shared" si="273"/>
        <v>-9300</v>
      </c>
      <c r="H17149" s="705" t="s">
        <v>11244</v>
      </c>
    </row>
    <row r="17150" spans="1:8" ht="15" x14ac:dyDescent="0.2">
      <c r="A17150" s="734">
        <v>45220</v>
      </c>
      <c r="B17150" s="41" t="s">
        <v>10908</v>
      </c>
      <c r="C17150" s="63" t="s">
        <v>6706</v>
      </c>
      <c r="D17150" s="791" t="s">
        <v>11435</v>
      </c>
      <c r="E17150" s="58">
        <v>324000</v>
      </c>
      <c r="F17150" s="58"/>
      <c r="G17150" s="126">
        <f t="shared" si="273"/>
        <v>-324000</v>
      </c>
      <c r="H17150" s="705" t="s">
        <v>11244</v>
      </c>
    </row>
    <row r="17151" spans="1:8" ht="15" x14ac:dyDescent="0.2">
      <c r="A17151" s="734">
        <v>45220</v>
      </c>
      <c r="B17151" s="41" t="s">
        <v>9986</v>
      </c>
      <c r="C17151" s="63" t="s">
        <v>5741</v>
      </c>
      <c r="D17151" s="791" t="s">
        <v>370</v>
      </c>
      <c r="E17151" s="58">
        <v>1500</v>
      </c>
      <c r="F17151" s="58"/>
      <c r="G17151" s="126">
        <f t="shared" ref="G17151:G17214" si="274">F17151-E17151</f>
        <v>-1500</v>
      </c>
      <c r="H17151" s="705" t="s">
        <v>11244</v>
      </c>
    </row>
    <row r="17152" spans="1:8" ht="15" x14ac:dyDescent="0.2">
      <c r="A17152" s="734">
        <v>45220</v>
      </c>
      <c r="B17152" s="41" t="s">
        <v>103</v>
      </c>
      <c r="C17152" s="63" t="s">
        <v>5741</v>
      </c>
      <c r="D17152" s="791" t="s">
        <v>10337</v>
      </c>
      <c r="E17152" s="58">
        <v>200</v>
      </c>
      <c r="F17152" s="58"/>
      <c r="G17152" s="126">
        <f t="shared" si="274"/>
        <v>-200</v>
      </c>
      <c r="H17152" s="705" t="s">
        <v>11244</v>
      </c>
    </row>
    <row r="17153" spans="1:8" ht="15" x14ac:dyDescent="0.2">
      <c r="A17153" s="734">
        <v>45220</v>
      </c>
      <c r="B17153" s="41" t="s">
        <v>10232</v>
      </c>
      <c r="C17153" s="63" t="s">
        <v>10993</v>
      </c>
      <c r="D17153" s="791" t="s">
        <v>11437</v>
      </c>
      <c r="E17153" s="58">
        <v>500</v>
      </c>
      <c r="F17153" s="58"/>
      <c r="G17153" s="126">
        <f t="shared" si="274"/>
        <v>-500</v>
      </c>
      <c r="H17153" s="705" t="s">
        <v>11244</v>
      </c>
    </row>
    <row r="17154" spans="1:8" ht="15" x14ac:dyDescent="0.2">
      <c r="A17154" s="734">
        <v>45220</v>
      </c>
      <c r="B17154" s="41" t="s">
        <v>103</v>
      </c>
      <c r="C17154" s="63" t="s">
        <v>103</v>
      </c>
      <c r="D17154" s="791" t="s">
        <v>10211</v>
      </c>
      <c r="E17154" s="58">
        <v>2500</v>
      </c>
      <c r="F17154" s="58"/>
      <c r="G17154" s="126">
        <f t="shared" si="274"/>
        <v>-2500</v>
      </c>
      <c r="H17154" s="705" t="s">
        <v>11244</v>
      </c>
    </row>
    <row r="17155" spans="1:8" ht="15" x14ac:dyDescent="0.2">
      <c r="A17155" s="734">
        <v>45220</v>
      </c>
      <c r="B17155" s="41" t="s">
        <v>10232</v>
      </c>
      <c r="C17155" s="63" t="s">
        <v>5741</v>
      </c>
      <c r="D17155" s="791" t="s">
        <v>370</v>
      </c>
      <c r="E17155" s="58">
        <v>1500</v>
      </c>
      <c r="F17155" s="58"/>
      <c r="G17155" s="126">
        <f t="shared" si="274"/>
        <v>-1500</v>
      </c>
      <c r="H17155" s="705" t="s">
        <v>11244</v>
      </c>
    </row>
    <row r="17156" spans="1:8" ht="15" x14ac:dyDescent="0.2">
      <c r="A17156" s="734">
        <v>45220</v>
      </c>
      <c r="B17156" s="41" t="s">
        <v>10908</v>
      </c>
      <c r="C17156" s="63" t="s">
        <v>5741</v>
      </c>
      <c r="D17156" s="791" t="s">
        <v>370</v>
      </c>
      <c r="E17156" s="58">
        <v>3000</v>
      </c>
      <c r="F17156" s="58"/>
      <c r="G17156" s="126">
        <f t="shared" si="274"/>
        <v>-3000</v>
      </c>
      <c r="H17156" s="705" t="s">
        <v>11244</v>
      </c>
    </row>
    <row r="17157" spans="1:8" ht="15" x14ac:dyDescent="0.2">
      <c r="A17157" s="734">
        <v>45220</v>
      </c>
      <c r="B17157" s="41" t="s">
        <v>10908</v>
      </c>
      <c r="C17157" s="63" t="s">
        <v>5741</v>
      </c>
      <c r="D17157" s="791" t="s">
        <v>370</v>
      </c>
      <c r="E17157" s="58">
        <v>250</v>
      </c>
      <c r="F17157" s="58"/>
      <c r="G17157" s="126">
        <f t="shared" si="274"/>
        <v>-250</v>
      </c>
      <c r="H17157" s="705" t="s">
        <v>11244</v>
      </c>
    </row>
    <row r="17158" spans="1:8" ht="15" x14ac:dyDescent="0.2">
      <c r="A17158" s="734">
        <v>45221</v>
      </c>
      <c r="B17158" s="41" t="s">
        <v>25</v>
      </c>
      <c r="C17158" s="63" t="s">
        <v>14</v>
      </c>
      <c r="D17158" s="791" t="s">
        <v>11475</v>
      </c>
      <c r="E17158" s="58">
        <v>254000</v>
      </c>
      <c r="F17158" s="58"/>
      <c r="G17158" s="126">
        <f t="shared" si="274"/>
        <v>-254000</v>
      </c>
      <c r="H17158" s="705" t="s">
        <v>11244</v>
      </c>
    </row>
    <row r="17159" spans="1:8" ht="15" x14ac:dyDescent="0.2">
      <c r="A17159" s="734">
        <v>45222</v>
      </c>
      <c r="B17159" s="41" t="s">
        <v>10232</v>
      </c>
      <c r="C17159" s="63" t="s">
        <v>10993</v>
      </c>
      <c r="D17159" s="791" t="s">
        <v>11438</v>
      </c>
      <c r="E17159" s="58">
        <v>95000</v>
      </c>
      <c r="F17159" s="58"/>
      <c r="G17159" s="126">
        <f t="shared" si="274"/>
        <v>-95000</v>
      </c>
      <c r="H17159" s="705" t="s">
        <v>11244</v>
      </c>
    </row>
    <row r="17160" spans="1:8" ht="15" x14ac:dyDescent="0.2">
      <c r="A17160" s="734">
        <v>45222</v>
      </c>
      <c r="B17160" s="41" t="s">
        <v>10576</v>
      </c>
      <c r="C17160" s="63" t="s">
        <v>11418</v>
      </c>
      <c r="D17160" s="791" t="s">
        <v>7376</v>
      </c>
      <c r="E17160" s="58">
        <v>3070</v>
      </c>
      <c r="F17160" s="58"/>
      <c r="G17160" s="126">
        <f t="shared" si="274"/>
        <v>-3070</v>
      </c>
      <c r="H17160" s="705" t="s">
        <v>11244</v>
      </c>
    </row>
    <row r="17161" spans="1:8" ht="15" x14ac:dyDescent="0.2">
      <c r="A17161" s="734">
        <v>45223</v>
      </c>
      <c r="B17161" s="41" t="s">
        <v>10908</v>
      </c>
      <c r="C17161" s="63" t="s">
        <v>10993</v>
      </c>
      <c r="D17161" s="791" t="s">
        <v>11450</v>
      </c>
      <c r="E17161" s="58">
        <v>2950</v>
      </c>
      <c r="F17161" s="58"/>
      <c r="G17161" s="126">
        <f t="shared" si="274"/>
        <v>-2950</v>
      </c>
      <c r="H17161" s="705" t="s">
        <v>11244</v>
      </c>
    </row>
    <row r="17162" spans="1:8" ht="15" x14ac:dyDescent="0.2">
      <c r="A17162" s="734">
        <v>45223</v>
      </c>
      <c r="B17162" s="41" t="s">
        <v>103</v>
      </c>
      <c r="C17162" s="63" t="s">
        <v>14</v>
      </c>
      <c r="D17162" s="791" t="s">
        <v>11451</v>
      </c>
      <c r="E17162" s="58">
        <v>1050</v>
      </c>
      <c r="F17162" s="58"/>
      <c r="G17162" s="126">
        <f t="shared" si="274"/>
        <v>-1050</v>
      </c>
      <c r="H17162" s="705" t="s">
        <v>11244</v>
      </c>
    </row>
    <row r="17163" spans="1:8" ht="15" x14ac:dyDescent="0.2">
      <c r="A17163" s="734">
        <v>45223</v>
      </c>
      <c r="B17163" s="41" t="s">
        <v>10908</v>
      </c>
      <c r="C17163" s="63" t="s">
        <v>286</v>
      </c>
      <c r="D17163" s="791" t="s">
        <v>8663</v>
      </c>
      <c r="E17163" s="58">
        <v>1300</v>
      </c>
      <c r="F17163" s="58"/>
      <c r="G17163" s="126">
        <f t="shared" si="274"/>
        <v>-1300</v>
      </c>
      <c r="H17163" s="705" t="s">
        <v>11244</v>
      </c>
    </row>
    <row r="17164" spans="1:8" ht="15" x14ac:dyDescent="0.2">
      <c r="A17164" s="734">
        <v>45223</v>
      </c>
      <c r="B17164" s="41" t="s">
        <v>9356</v>
      </c>
      <c r="C17164" s="63" t="s">
        <v>392</v>
      </c>
      <c r="D17164" s="791" t="s">
        <v>6641</v>
      </c>
      <c r="E17164" s="58">
        <v>2080</v>
      </c>
      <c r="F17164" s="58"/>
      <c r="G17164" s="126">
        <f t="shared" si="274"/>
        <v>-2080</v>
      </c>
      <c r="H17164" s="705" t="s">
        <v>11244</v>
      </c>
    </row>
    <row r="17165" spans="1:8" ht="15" x14ac:dyDescent="0.2">
      <c r="A17165" s="734">
        <v>45223</v>
      </c>
      <c r="B17165" s="41" t="s">
        <v>10232</v>
      </c>
      <c r="C17165" s="551" t="s">
        <v>5741</v>
      </c>
      <c r="D17165" s="904" t="s">
        <v>370</v>
      </c>
      <c r="E17165" s="583">
        <v>2767</v>
      </c>
      <c r="F17165" s="58"/>
      <c r="G17165" s="126">
        <f t="shared" si="274"/>
        <v>-2767</v>
      </c>
      <c r="H17165" s="705" t="s">
        <v>11244</v>
      </c>
    </row>
    <row r="17166" spans="1:8" ht="15" x14ac:dyDescent="0.2">
      <c r="A17166" s="734">
        <v>45223</v>
      </c>
      <c r="B17166" s="41" t="s">
        <v>10909</v>
      </c>
      <c r="C17166" s="551" t="s">
        <v>5741</v>
      </c>
      <c r="D17166" s="904" t="s">
        <v>370</v>
      </c>
      <c r="E17166" s="583">
        <v>2767</v>
      </c>
      <c r="F17166" s="58"/>
      <c r="G17166" s="126">
        <f t="shared" si="274"/>
        <v>-2767</v>
      </c>
      <c r="H17166" s="705" t="s">
        <v>11244</v>
      </c>
    </row>
    <row r="17167" spans="1:8" ht="15" x14ac:dyDescent="0.2">
      <c r="A17167" s="734">
        <v>45223</v>
      </c>
      <c r="B17167" s="41" t="s">
        <v>9356</v>
      </c>
      <c r="C17167" s="551" t="s">
        <v>5741</v>
      </c>
      <c r="D17167" s="904" t="s">
        <v>370</v>
      </c>
      <c r="E17167" s="583">
        <v>2767</v>
      </c>
      <c r="F17167" s="58"/>
      <c r="G17167" s="126">
        <f t="shared" si="274"/>
        <v>-2767</v>
      </c>
      <c r="H17167" s="705" t="s">
        <v>11244</v>
      </c>
    </row>
    <row r="17168" spans="1:8" ht="15" x14ac:dyDescent="0.2">
      <c r="A17168" s="734">
        <v>45223</v>
      </c>
      <c r="B17168" s="41" t="s">
        <v>11026</v>
      </c>
      <c r="C17168" s="63" t="s">
        <v>10979</v>
      </c>
      <c r="D17168" s="791" t="s">
        <v>11452</v>
      </c>
      <c r="E17168" s="58">
        <v>79650</v>
      </c>
      <c r="F17168" s="58"/>
      <c r="G17168" s="126">
        <f t="shared" si="274"/>
        <v>-79650</v>
      </c>
      <c r="H17168" s="705" t="s">
        <v>11244</v>
      </c>
    </row>
    <row r="17169" spans="1:8" ht="15" x14ac:dyDescent="0.2">
      <c r="A17169" s="734">
        <v>45223</v>
      </c>
      <c r="B17169" s="41" t="s">
        <v>9986</v>
      </c>
      <c r="C17169" s="670" t="s">
        <v>9775</v>
      </c>
      <c r="D17169" s="912" t="s">
        <v>11542</v>
      </c>
      <c r="E17169" s="585">
        <v>73600</v>
      </c>
      <c r="F17169" s="58"/>
      <c r="G17169" s="126">
        <f t="shared" si="274"/>
        <v>-73600</v>
      </c>
      <c r="H17169" s="705" t="s">
        <v>11244</v>
      </c>
    </row>
    <row r="17170" spans="1:8" ht="15" x14ac:dyDescent="0.2">
      <c r="A17170" s="734">
        <v>45223</v>
      </c>
      <c r="B17170" s="41" t="s">
        <v>9967</v>
      </c>
      <c r="C17170" s="670" t="s">
        <v>9775</v>
      </c>
      <c r="D17170" s="912" t="s">
        <v>11542</v>
      </c>
      <c r="E17170" s="585">
        <v>181880</v>
      </c>
      <c r="F17170" s="58"/>
      <c r="G17170" s="126">
        <f t="shared" si="274"/>
        <v>-181880</v>
      </c>
      <c r="H17170" s="705" t="s">
        <v>11244</v>
      </c>
    </row>
    <row r="17171" spans="1:8" ht="15" x14ac:dyDescent="0.2">
      <c r="A17171" s="734">
        <v>45223</v>
      </c>
      <c r="B17171" s="41" t="s">
        <v>9986</v>
      </c>
      <c r="C17171" s="63" t="s">
        <v>11455</v>
      </c>
      <c r="D17171" s="791" t="s">
        <v>11378</v>
      </c>
      <c r="E17171" s="58">
        <v>300000</v>
      </c>
      <c r="F17171" s="58"/>
      <c r="G17171" s="126">
        <f t="shared" si="274"/>
        <v>-300000</v>
      </c>
      <c r="H17171" s="705" t="s">
        <v>11244</v>
      </c>
    </row>
    <row r="17172" spans="1:8" ht="15" x14ac:dyDescent="0.2">
      <c r="A17172" s="734">
        <v>45223</v>
      </c>
      <c r="B17172" s="41" t="s">
        <v>103</v>
      </c>
      <c r="C17172" s="63" t="s">
        <v>103</v>
      </c>
      <c r="D17172" s="791" t="s">
        <v>10211</v>
      </c>
      <c r="E17172" s="58">
        <v>600</v>
      </c>
      <c r="F17172" s="58"/>
      <c r="G17172" s="126">
        <f t="shared" si="274"/>
        <v>-600</v>
      </c>
      <c r="H17172" s="705" t="s">
        <v>11244</v>
      </c>
    </row>
    <row r="17173" spans="1:8" ht="15" x14ac:dyDescent="0.2">
      <c r="A17173" s="734">
        <v>45223</v>
      </c>
      <c r="B17173" s="41" t="s">
        <v>10232</v>
      </c>
      <c r="C17173" s="63" t="s">
        <v>10993</v>
      </c>
      <c r="D17173" s="791" t="s">
        <v>11456</v>
      </c>
      <c r="E17173" s="58">
        <v>28000</v>
      </c>
      <c r="F17173" s="58"/>
      <c r="G17173" s="126">
        <f t="shared" si="274"/>
        <v>-28000</v>
      </c>
      <c r="H17173" s="705" t="s">
        <v>11244</v>
      </c>
    </row>
    <row r="17174" spans="1:8" ht="15" x14ac:dyDescent="0.2">
      <c r="A17174" s="734">
        <v>45224</v>
      </c>
      <c r="B17174" s="41" t="s">
        <v>10232</v>
      </c>
      <c r="C17174" s="63" t="s">
        <v>10993</v>
      </c>
      <c r="D17174" s="791" t="s">
        <v>11457</v>
      </c>
      <c r="E17174" s="58">
        <v>45000</v>
      </c>
      <c r="F17174" s="58"/>
      <c r="G17174" s="126">
        <f t="shared" si="274"/>
        <v>-45000</v>
      </c>
      <c r="H17174" s="705" t="s">
        <v>11244</v>
      </c>
    </row>
    <row r="17175" spans="1:8" ht="15" x14ac:dyDescent="0.2">
      <c r="A17175" s="734">
        <v>45224</v>
      </c>
      <c r="B17175" s="41" t="s">
        <v>10232</v>
      </c>
      <c r="C17175" s="63" t="s">
        <v>5741</v>
      </c>
      <c r="D17175" s="791" t="s">
        <v>370</v>
      </c>
      <c r="E17175" s="58">
        <v>1000</v>
      </c>
      <c r="F17175" s="58"/>
      <c r="G17175" s="126">
        <f t="shared" si="274"/>
        <v>-1000</v>
      </c>
      <c r="H17175" s="705" t="s">
        <v>11244</v>
      </c>
    </row>
    <row r="17176" spans="1:8" ht="15" x14ac:dyDescent="0.2">
      <c r="A17176" s="734">
        <v>45224</v>
      </c>
      <c r="B17176" s="41" t="s">
        <v>9409</v>
      </c>
      <c r="C17176" s="63" t="s">
        <v>372</v>
      </c>
      <c r="D17176" s="791" t="s">
        <v>2108</v>
      </c>
      <c r="E17176" s="58">
        <v>1000</v>
      </c>
      <c r="F17176" s="58"/>
      <c r="G17176" s="126">
        <f t="shared" si="274"/>
        <v>-1000</v>
      </c>
      <c r="H17176" s="705" t="s">
        <v>11244</v>
      </c>
    </row>
    <row r="17177" spans="1:8" ht="15" x14ac:dyDescent="0.2">
      <c r="A17177" s="734">
        <v>45224</v>
      </c>
      <c r="B17177" s="41" t="s">
        <v>10232</v>
      </c>
      <c r="C17177" s="63" t="s">
        <v>10993</v>
      </c>
      <c r="D17177" s="791" t="s">
        <v>11458</v>
      </c>
      <c r="E17177" s="58">
        <v>25380</v>
      </c>
      <c r="F17177" s="58"/>
      <c r="G17177" s="126">
        <f t="shared" si="274"/>
        <v>-25380</v>
      </c>
      <c r="H17177" s="705" t="s">
        <v>11244</v>
      </c>
    </row>
    <row r="17178" spans="1:8" ht="15" x14ac:dyDescent="0.2">
      <c r="A17178" s="734">
        <v>45224</v>
      </c>
      <c r="B17178" s="41" t="s">
        <v>10576</v>
      </c>
      <c r="C17178" s="63" t="s">
        <v>10993</v>
      </c>
      <c r="D17178" s="791" t="s">
        <v>11459</v>
      </c>
      <c r="E17178" s="58">
        <v>34000</v>
      </c>
      <c r="F17178" s="58"/>
      <c r="G17178" s="126">
        <f t="shared" si="274"/>
        <v>-34000</v>
      </c>
      <c r="H17178" s="705" t="s">
        <v>11244</v>
      </c>
    </row>
    <row r="17179" spans="1:8" ht="15" x14ac:dyDescent="0.2">
      <c r="A17179" s="734">
        <v>45224</v>
      </c>
      <c r="B17179" s="41" t="s">
        <v>11093</v>
      </c>
      <c r="C17179" s="63" t="s">
        <v>10993</v>
      </c>
      <c r="D17179" s="791" t="s">
        <v>11422</v>
      </c>
      <c r="E17179" s="58">
        <v>14025</v>
      </c>
      <c r="F17179" s="58"/>
      <c r="G17179" s="126">
        <f t="shared" si="274"/>
        <v>-14025</v>
      </c>
      <c r="H17179" s="705" t="s">
        <v>11244</v>
      </c>
    </row>
    <row r="17180" spans="1:8" ht="15" x14ac:dyDescent="0.2">
      <c r="A17180" s="734">
        <v>45224</v>
      </c>
      <c r="B17180" s="41" t="s">
        <v>10908</v>
      </c>
      <c r="C17180" s="63" t="s">
        <v>10993</v>
      </c>
      <c r="D17180" s="791" t="s">
        <v>11458</v>
      </c>
      <c r="E17180" s="58">
        <v>4485</v>
      </c>
      <c r="F17180" s="58"/>
      <c r="G17180" s="126">
        <f t="shared" si="274"/>
        <v>-4485</v>
      </c>
      <c r="H17180" s="705" t="s">
        <v>11244</v>
      </c>
    </row>
    <row r="17181" spans="1:8" ht="15" x14ac:dyDescent="0.2">
      <c r="A17181" s="734">
        <v>45224</v>
      </c>
      <c r="B17181" s="41" t="s">
        <v>11307</v>
      </c>
      <c r="C17181" s="63" t="s">
        <v>10993</v>
      </c>
      <c r="D17181" s="791" t="s">
        <v>11460</v>
      </c>
      <c r="E17181" s="58">
        <v>19500</v>
      </c>
      <c r="F17181" s="58"/>
      <c r="G17181" s="126">
        <f t="shared" si="274"/>
        <v>-19500</v>
      </c>
      <c r="H17181" s="705" t="s">
        <v>11244</v>
      </c>
    </row>
    <row r="17182" spans="1:8" ht="15" customHeight="1" x14ac:dyDescent="0.2">
      <c r="A17182" s="734">
        <v>45224</v>
      </c>
      <c r="B17182" s="41" t="s">
        <v>11446</v>
      </c>
      <c r="C17182" s="63" t="s">
        <v>10993</v>
      </c>
      <c r="D17182" s="791" t="s">
        <v>11461</v>
      </c>
      <c r="E17182" s="58">
        <v>8400</v>
      </c>
      <c r="F17182" s="58"/>
      <c r="G17182" s="126">
        <f t="shared" si="274"/>
        <v>-8400</v>
      </c>
      <c r="H17182" s="705" t="s">
        <v>11244</v>
      </c>
    </row>
    <row r="17183" spans="1:8" ht="15" customHeight="1" x14ac:dyDescent="0.2">
      <c r="A17183" s="734">
        <v>45224</v>
      </c>
      <c r="B17183" s="41" t="s">
        <v>10908</v>
      </c>
      <c r="C17183" s="63" t="s">
        <v>10993</v>
      </c>
      <c r="D17183" s="791" t="s">
        <v>11462</v>
      </c>
      <c r="E17183" s="58">
        <v>8000</v>
      </c>
      <c r="F17183" s="58"/>
      <c r="G17183" s="126">
        <f t="shared" si="274"/>
        <v>-8000</v>
      </c>
      <c r="H17183" s="705" t="s">
        <v>11244</v>
      </c>
    </row>
    <row r="17184" spans="1:8" ht="15" customHeight="1" x14ac:dyDescent="0.2">
      <c r="A17184" s="734">
        <v>45224</v>
      </c>
      <c r="B17184" s="41" t="s">
        <v>10908</v>
      </c>
      <c r="C17184" s="63" t="s">
        <v>5741</v>
      </c>
      <c r="D17184" s="791" t="s">
        <v>370</v>
      </c>
      <c r="E17184" s="58">
        <v>5000</v>
      </c>
      <c r="F17184" s="58"/>
      <c r="G17184" s="126">
        <f t="shared" si="274"/>
        <v>-5000</v>
      </c>
      <c r="H17184" s="705" t="s">
        <v>11244</v>
      </c>
    </row>
    <row r="17185" spans="1:8" ht="15" customHeight="1" x14ac:dyDescent="0.2">
      <c r="A17185" s="734">
        <v>45224</v>
      </c>
      <c r="B17185" s="41" t="s">
        <v>10576</v>
      </c>
      <c r="C17185" s="63" t="s">
        <v>11063</v>
      </c>
      <c r="D17185" s="791" t="s">
        <v>11463</v>
      </c>
      <c r="E17185" s="58">
        <v>27300</v>
      </c>
      <c r="F17185" s="58"/>
      <c r="G17185" s="126">
        <f t="shared" si="274"/>
        <v>-27300</v>
      </c>
      <c r="H17185" s="705" t="s">
        <v>11244</v>
      </c>
    </row>
    <row r="17186" spans="1:8" ht="15" customHeight="1" x14ac:dyDescent="0.2">
      <c r="A17186" s="734">
        <v>45224</v>
      </c>
      <c r="B17186" s="41" t="s">
        <v>10908</v>
      </c>
      <c r="C17186" s="63" t="s">
        <v>11099</v>
      </c>
      <c r="D17186" s="791" t="s">
        <v>1157</v>
      </c>
      <c r="E17186" s="58">
        <v>25000</v>
      </c>
      <c r="F17186" s="58"/>
      <c r="G17186" s="126">
        <f t="shared" si="274"/>
        <v>-25000</v>
      </c>
      <c r="H17186" s="705" t="s">
        <v>11244</v>
      </c>
    </row>
    <row r="17187" spans="1:8" ht="15" x14ac:dyDescent="0.2">
      <c r="A17187" s="734">
        <v>45224</v>
      </c>
      <c r="B17187" s="41" t="s">
        <v>10576</v>
      </c>
      <c r="C17187" s="63" t="s">
        <v>5741</v>
      </c>
      <c r="D17187" s="791" t="s">
        <v>10337</v>
      </c>
      <c r="E17187" s="58">
        <v>250</v>
      </c>
      <c r="F17187" s="58"/>
      <c r="G17187" s="126">
        <f t="shared" si="274"/>
        <v>-250</v>
      </c>
      <c r="H17187" s="705" t="s">
        <v>11244</v>
      </c>
    </row>
    <row r="17188" spans="1:8" ht="15" x14ac:dyDescent="0.2">
      <c r="A17188" s="734">
        <v>45224</v>
      </c>
      <c r="B17188" s="41" t="s">
        <v>37</v>
      </c>
      <c r="C17188" s="63" t="s">
        <v>5741</v>
      </c>
      <c r="D17188" s="791" t="s">
        <v>10337</v>
      </c>
      <c r="E17188" s="58">
        <v>250</v>
      </c>
      <c r="F17188" s="58"/>
      <c r="G17188" s="126">
        <f t="shared" si="274"/>
        <v>-250</v>
      </c>
      <c r="H17188" s="705" t="s">
        <v>11244</v>
      </c>
    </row>
    <row r="17189" spans="1:8" ht="15" x14ac:dyDescent="0.2">
      <c r="A17189" s="734">
        <v>45224</v>
      </c>
      <c r="B17189" s="41" t="s">
        <v>11026</v>
      </c>
      <c r="C17189" s="63" t="s">
        <v>2796</v>
      </c>
      <c r="D17189" s="791" t="s">
        <v>8292</v>
      </c>
      <c r="E17189" s="58">
        <v>1000</v>
      </c>
      <c r="F17189" s="58"/>
      <c r="G17189" s="126">
        <f t="shared" si="274"/>
        <v>-1000</v>
      </c>
      <c r="H17189" s="705" t="s">
        <v>11244</v>
      </c>
    </row>
    <row r="17190" spans="1:8" ht="15" x14ac:dyDescent="0.2">
      <c r="A17190" s="734">
        <v>45224</v>
      </c>
      <c r="B17190" s="41" t="s">
        <v>10576</v>
      </c>
      <c r="C17190" s="63" t="s">
        <v>11465</v>
      </c>
      <c r="D17190" s="791" t="s">
        <v>11466</v>
      </c>
      <c r="E17190" s="58">
        <v>2000</v>
      </c>
      <c r="F17190" s="58"/>
      <c r="G17190" s="126">
        <f t="shared" si="274"/>
        <v>-2000</v>
      </c>
      <c r="H17190" s="705" t="s">
        <v>11244</v>
      </c>
    </row>
    <row r="17191" spans="1:8" ht="15" x14ac:dyDescent="0.2">
      <c r="A17191" s="734">
        <v>45225</v>
      </c>
      <c r="B17191" s="41" t="s">
        <v>103</v>
      </c>
      <c r="C17191" s="63" t="s">
        <v>103</v>
      </c>
      <c r="D17191" s="791" t="s">
        <v>10211</v>
      </c>
      <c r="E17191" s="58">
        <v>900</v>
      </c>
      <c r="F17191" s="58"/>
      <c r="G17191" s="126">
        <f t="shared" si="274"/>
        <v>-900</v>
      </c>
      <c r="H17191" s="705" t="s">
        <v>11244</v>
      </c>
    </row>
    <row r="17192" spans="1:8" ht="15" x14ac:dyDescent="0.2">
      <c r="A17192" s="734">
        <v>45225</v>
      </c>
      <c r="B17192" s="41" t="s">
        <v>9986</v>
      </c>
      <c r="C17192" s="670" t="s">
        <v>10993</v>
      </c>
      <c r="D17192" s="912" t="s">
        <v>4222</v>
      </c>
      <c r="E17192" s="585">
        <v>24860</v>
      </c>
      <c r="F17192" s="58"/>
      <c r="G17192" s="126">
        <f t="shared" si="274"/>
        <v>-24860</v>
      </c>
      <c r="H17192" s="705" t="s">
        <v>11244</v>
      </c>
    </row>
    <row r="17193" spans="1:8" ht="15" x14ac:dyDescent="0.2">
      <c r="A17193" s="734">
        <v>45225</v>
      </c>
      <c r="B17193" s="41" t="s">
        <v>11135</v>
      </c>
      <c r="C17193" s="670" t="s">
        <v>10993</v>
      </c>
      <c r="D17193" s="912" t="s">
        <v>4222</v>
      </c>
      <c r="E17193" s="585">
        <v>28870</v>
      </c>
      <c r="F17193" s="58"/>
      <c r="G17193" s="126">
        <f t="shared" si="274"/>
        <v>-28870</v>
      </c>
      <c r="H17193" s="705" t="s">
        <v>11244</v>
      </c>
    </row>
    <row r="17194" spans="1:8" ht="15" x14ac:dyDescent="0.2">
      <c r="A17194" s="734">
        <v>45225</v>
      </c>
      <c r="B17194" s="41" t="s">
        <v>25</v>
      </c>
      <c r="C17194" s="670" t="s">
        <v>10993</v>
      </c>
      <c r="D17194" s="912" t="s">
        <v>11467</v>
      </c>
      <c r="E17194" s="585">
        <v>42260</v>
      </c>
      <c r="F17194" s="58"/>
      <c r="G17194" s="126">
        <f t="shared" si="274"/>
        <v>-42260</v>
      </c>
      <c r="H17194" s="705" t="s">
        <v>11244</v>
      </c>
    </row>
    <row r="17195" spans="1:8" ht="15" x14ac:dyDescent="0.2">
      <c r="A17195" s="734">
        <v>45225</v>
      </c>
      <c r="B17195" s="41" t="s">
        <v>25</v>
      </c>
      <c r="C17195" s="63" t="s">
        <v>8150</v>
      </c>
      <c r="D17195" s="791" t="s">
        <v>6337</v>
      </c>
      <c r="E17195" s="58">
        <v>45373</v>
      </c>
      <c r="F17195" s="58"/>
      <c r="G17195" s="126">
        <f t="shared" si="274"/>
        <v>-45373</v>
      </c>
      <c r="H17195" s="705" t="s">
        <v>11244</v>
      </c>
    </row>
    <row r="17196" spans="1:8" ht="15" x14ac:dyDescent="0.2">
      <c r="A17196" s="734">
        <v>45225</v>
      </c>
      <c r="B17196" s="41" t="s">
        <v>103</v>
      </c>
      <c r="C17196" s="63" t="s">
        <v>8150</v>
      </c>
      <c r="D17196" s="791" t="s">
        <v>6337</v>
      </c>
      <c r="E17196" s="58">
        <v>74660</v>
      </c>
      <c r="F17196" s="58"/>
      <c r="G17196" s="126">
        <f t="shared" si="274"/>
        <v>-74660</v>
      </c>
      <c r="H17196" s="705" t="s">
        <v>11244</v>
      </c>
    </row>
    <row r="17197" spans="1:8" ht="15" x14ac:dyDescent="0.2">
      <c r="A17197" s="734">
        <v>45225</v>
      </c>
      <c r="B17197" s="41" t="s">
        <v>10232</v>
      </c>
      <c r="C17197" s="551" t="s">
        <v>670</v>
      </c>
      <c r="D17197" s="904" t="s">
        <v>11470</v>
      </c>
      <c r="E17197" s="583">
        <v>13600</v>
      </c>
      <c r="F17197" s="58"/>
      <c r="G17197" s="126">
        <f t="shared" si="274"/>
        <v>-13600</v>
      </c>
      <c r="H17197" s="705" t="s">
        <v>11244</v>
      </c>
    </row>
    <row r="17198" spans="1:8" ht="15" x14ac:dyDescent="0.2">
      <c r="A17198" s="734">
        <v>45225</v>
      </c>
      <c r="B17198" s="41" t="s">
        <v>10909</v>
      </c>
      <c r="C17198" s="551" t="s">
        <v>670</v>
      </c>
      <c r="D17198" s="904" t="s">
        <v>11470</v>
      </c>
      <c r="E17198" s="583">
        <v>13600</v>
      </c>
      <c r="F17198" s="58"/>
      <c r="G17198" s="126">
        <f t="shared" si="274"/>
        <v>-13600</v>
      </c>
      <c r="H17198" s="705" t="s">
        <v>11244</v>
      </c>
    </row>
    <row r="17199" spans="1:8" ht="15" x14ac:dyDescent="0.2">
      <c r="A17199" s="734">
        <v>45225</v>
      </c>
      <c r="B17199" s="41" t="s">
        <v>10576</v>
      </c>
      <c r="C17199" s="551" t="s">
        <v>670</v>
      </c>
      <c r="D17199" s="904" t="s">
        <v>11470</v>
      </c>
      <c r="E17199" s="583">
        <v>13600</v>
      </c>
      <c r="F17199" s="58"/>
      <c r="G17199" s="126">
        <f t="shared" si="274"/>
        <v>-13600</v>
      </c>
      <c r="H17199" s="705" t="s">
        <v>11244</v>
      </c>
    </row>
    <row r="17200" spans="1:8" ht="15" x14ac:dyDescent="0.2">
      <c r="A17200" s="734">
        <v>45225</v>
      </c>
      <c r="B17200" s="41" t="s">
        <v>10232</v>
      </c>
      <c r="C17200" s="63" t="s">
        <v>11468</v>
      </c>
      <c r="D17200" s="791" t="s">
        <v>11469</v>
      </c>
      <c r="E17200" s="58">
        <v>80000</v>
      </c>
      <c r="F17200" s="58"/>
      <c r="G17200" s="126">
        <f t="shared" si="274"/>
        <v>-80000</v>
      </c>
      <c r="H17200" s="705" t="s">
        <v>11244</v>
      </c>
    </row>
    <row r="17201" spans="1:8" ht="15" x14ac:dyDescent="0.2">
      <c r="A17201" s="734">
        <v>45225</v>
      </c>
      <c r="B17201" s="41" t="s">
        <v>11446</v>
      </c>
      <c r="C17201" s="63" t="s">
        <v>10993</v>
      </c>
      <c r="D17201" s="791" t="s">
        <v>11471</v>
      </c>
      <c r="E17201" s="58">
        <v>1200</v>
      </c>
      <c r="F17201" s="58"/>
      <c r="G17201" s="126">
        <f t="shared" si="274"/>
        <v>-1200</v>
      </c>
      <c r="H17201" s="705" t="s">
        <v>11244</v>
      </c>
    </row>
    <row r="17202" spans="1:8" ht="15" x14ac:dyDescent="0.2">
      <c r="A17202" s="734">
        <v>45225</v>
      </c>
      <c r="B17202" s="41" t="s">
        <v>10908</v>
      </c>
      <c r="C17202" s="63" t="s">
        <v>8372</v>
      </c>
      <c r="D17202" s="791" t="s">
        <v>370</v>
      </c>
      <c r="E17202" s="58">
        <v>2670</v>
      </c>
      <c r="F17202" s="58"/>
      <c r="G17202" s="126">
        <f t="shared" si="274"/>
        <v>-2670</v>
      </c>
      <c r="H17202" s="705" t="s">
        <v>11244</v>
      </c>
    </row>
    <row r="17203" spans="1:8" ht="15" x14ac:dyDescent="0.2">
      <c r="A17203" s="734">
        <v>45225</v>
      </c>
      <c r="B17203" s="41" t="s">
        <v>10232</v>
      </c>
      <c r="C17203" s="63" t="s">
        <v>5741</v>
      </c>
      <c r="D17203" s="791" t="s">
        <v>370</v>
      </c>
      <c r="E17203" s="58">
        <v>4000</v>
      </c>
      <c r="F17203" s="58"/>
      <c r="G17203" s="126">
        <f t="shared" si="274"/>
        <v>-4000</v>
      </c>
      <c r="H17203" s="705" t="s">
        <v>11244</v>
      </c>
    </row>
    <row r="17204" spans="1:8" ht="15" x14ac:dyDescent="0.2">
      <c r="A17204" s="734">
        <v>45225</v>
      </c>
      <c r="B17204" s="41" t="s">
        <v>10908</v>
      </c>
      <c r="C17204" s="63" t="s">
        <v>5741</v>
      </c>
      <c r="D17204" s="791" t="s">
        <v>370</v>
      </c>
      <c r="E17204" s="58">
        <v>200</v>
      </c>
      <c r="F17204" s="58"/>
      <c r="G17204" s="126">
        <f t="shared" si="274"/>
        <v>-200</v>
      </c>
      <c r="H17204" s="705" t="s">
        <v>11244</v>
      </c>
    </row>
    <row r="17205" spans="1:8" ht="15" x14ac:dyDescent="0.2">
      <c r="A17205" s="734">
        <v>45225</v>
      </c>
      <c r="B17205" s="41" t="s">
        <v>10908</v>
      </c>
      <c r="C17205" s="63" t="s">
        <v>5741</v>
      </c>
      <c r="D17205" s="791" t="s">
        <v>10337</v>
      </c>
      <c r="E17205" s="58">
        <v>500</v>
      </c>
      <c r="F17205" s="58"/>
      <c r="G17205" s="126">
        <f t="shared" si="274"/>
        <v>-500</v>
      </c>
      <c r="H17205" s="705" t="s">
        <v>11244</v>
      </c>
    </row>
    <row r="17206" spans="1:8" ht="15" x14ac:dyDescent="0.2">
      <c r="A17206" s="734">
        <v>45225</v>
      </c>
      <c r="B17206" s="41" t="s">
        <v>2933</v>
      </c>
      <c r="C17206" s="63" t="s">
        <v>10993</v>
      </c>
      <c r="D17206" s="791" t="s">
        <v>6486</v>
      </c>
      <c r="E17206" s="58">
        <v>12420</v>
      </c>
      <c r="F17206" s="58"/>
      <c r="G17206" s="126">
        <f t="shared" si="274"/>
        <v>-12420</v>
      </c>
      <c r="H17206" s="705" t="s">
        <v>11244</v>
      </c>
    </row>
    <row r="17207" spans="1:8" ht="15" x14ac:dyDescent="0.2">
      <c r="A17207" s="734">
        <v>45225</v>
      </c>
      <c r="B17207" s="41" t="s">
        <v>10471</v>
      </c>
      <c r="C17207" s="63" t="s">
        <v>10993</v>
      </c>
      <c r="D17207" s="791" t="s">
        <v>6641</v>
      </c>
      <c r="E17207" s="58">
        <v>6000</v>
      </c>
      <c r="F17207" s="58"/>
      <c r="G17207" s="126">
        <f t="shared" si="274"/>
        <v>-6000</v>
      </c>
      <c r="H17207" s="705" t="s">
        <v>11244</v>
      </c>
    </row>
    <row r="17208" spans="1:8" ht="15" x14ac:dyDescent="0.2">
      <c r="A17208" s="734">
        <v>45225</v>
      </c>
      <c r="B17208" s="41" t="s">
        <v>10471</v>
      </c>
      <c r="C17208" s="63" t="s">
        <v>9460</v>
      </c>
      <c r="D17208" s="791" t="s">
        <v>11473</v>
      </c>
      <c r="E17208" s="58">
        <v>30000</v>
      </c>
      <c r="F17208" s="58"/>
      <c r="G17208" s="126">
        <f t="shared" si="274"/>
        <v>-30000</v>
      </c>
      <c r="H17208" s="705" t="s">
        <v>11244</v>
      </c>
    </row>
    <row r="17209" spans="1:8" ht="15" x14ac:dyDescent="0.2">
      <c r="A17209" s="734">
        <v>45225</v>
      </c>
      <c r="B17209" s="41" t="s">
        <v>25</v>
      </c>
      <c r="C17209" s="63" t="s">
        <v>7595</v>
      </c>
      <c r="D17209" s="791" t="s">
        <v>11474</v>
      </c>
      <c r="E17209" s="58">
        <v>120000</v>
      </c>
      <c r="F17209" s="58"/>
      <c r="G17209" s="126">
        <f t="shared" si="274"/>
        <v>-120000</v>
      </c>
      <c r="H17209" s="705" t="s">
        <v>11244</v>
      </c>
    </row>
    <row r="17210" spans="1:8" ht="15" x14ac:dyDescent="0.2">
      <c r="A17210" s="734">
        <v>45225</v>
      </c>
      <c r="B17210" s="41" t="s">
        <v>103</v>
      </c>
      <c r="C17210" s="63" t="s">
        <v>103</v>
      </c>
      <c r="D17210" s="791" t="s">
        <v>10211</v>
      </c>
      <c r="E17210" s="58">
        <v>4000</v>
      </c>
      <c r="F17210" s="58"/>
      <c r="G17210" s="126">
        <f t="shared" si="274"/>
        <v>-4000</v>
      </c>
      <c r="H17210" s="705" t="s">
        <v>11244</v>
      </c>
    </row>
    <row r="17211" spans="1:8" ht="15" x14ac:dyDescent="0.2">
      <c r="A17211" s="734">
        <v>45227</v>
      </c>
      <c r="B17211" s="41" t="s">
        <v>9409</v>
      </c>
      <c r="C17211" s="63" t="s">
        <v>5410</v>
      </c>
      <c r="D17211" s="791" t="s">
        <v>11505</v>
      </c>
      <c r="E17211" s="58">
        <v>20000</v>
      </c>
      <c r="F17211" s="58"/>
      <c r="G17211" s="126">
        <f t="shared" si="274"/>
        <v>-20000</v>
      </c>
      <c r="H17211" s="705" t="s">
        <v>11244</v>
      </c>
    </row>
    <row r="17212" spans="1:8" ht="15" x14ac:dyDescent="0.2">
      <c r="A17212" s="734">
        <v>45227</v>
      </c>
      <c r="B17212" s="41" t="s">
        <v>2933</v>
      </c>
      <c r="C17212" s="63" t="s">
        <v>5410</v>
      </c>
      <c r="D17212" s="791" t="s">
        <v>11506</v>
      </c>
      <c r="E17212" s="58">
        <v>10000</v>
      </c>
      <c r="F17212" s="58"/>
      <c r="G17212" s="126">
        <f t="shared" si="274"/>
        <v>-10000</v>
      </c>
      <c r="H17212" s="705" t="s">
        <v>11244</v>
      </c>
    </row>
    <row r="17213" spans="1:8" ht="15" x14ac:dyDescent="0.2">
      <c r="A17213" s="734">
        <v>45227</v>
      </c>
      <c r="B17213" s="41" t="s">
        <v>9356</v>
      </c>
      <c r="C17213" s="63" t="s">
        <v>14</v>
      </c>
      <c r="D17213" s="791" t="s">
        <v>11507</v>
      </c>
      <c r="E17213" s="58">
        <v>3000</v>
      </c>
      <c r="F17213" s="58"/>
      <c r="G17213" s="126">
        <f t="shared" si="274"/>
        <v>-3000</v>
      </c>
      <c r="H17213" s="705" t="s">
        <v>11244</v>
      </c>
    </row>
    <row r="17214" spans="1:8" ht="15" x14ac:dyDescent="0.2">
      <c r="A17214" s="734">
        <v>45227</v>
      </c>
      <c r="B17214" s="41" t="s">
        <v>11446</v>
      </c>
      <c r="C17214" s="63" t="s">
        <v>10993</v>
      </c>
      <c r="D17214" s="791" t="s">
        <v>11508</v>
      </c>
      <c r="E17214" s="58">
        <v>1600</v>
      </c>
      <c r="F17214" s="58"/>
      <c r="G17214" s="126">
        <f t="shared" si="274"/>
        <v>-1600</v>
      </c>
      <c r="H17214" s="705" t="s">
        <v>11244</v>
      </c>
    </row>
    <row r="17215" spans="1:8" ht="15" x14ac:dyDescent="0.2">
      <c r="A17215" s="734">
        <v>45227</v>
      </c>
      <c r="B17215" s="41" t="s">
        <v>10908</v>
      </c>
      <c r="C17215" s="63" t="s">
        <v>10993</v>
      </c>
      <c r="D17215" s="791" t="s">
        <v>9546</v>
      </c>
      <c r="E17215" s="58">
        <v>3700</v>
      </c>
      <c r="F17215" s="58"/>
      <c r="G17215" s="126">
        <f t="shared" ref="G17215:G17278" si="275">F17215-E17215</f>
        <v>-3700</v>
      </c>
      <c r="H17215" s="705" t="s">
        <v>11244</v>
      </c>
    </row>
    <row r="17216" spans="1:8" ht="15" x14ac:dyDescent="0.2">
      <c r="A17216" s="734">
        <v>45227</v>
      </c>
      <c r="B17216" s="41" t="s">
        <v>103</v>
      </c>
      <c r="C17216" s="63" t="s">
        <v>103</v>
      </c>
      <c r="D17216" s="791" t="s">
        <v>10211</v>
      </c>
      <c r="E17216" s="58">
        <v>4000</v>
      </c>
      <c r="F17216" s="58"/>
      <c r="G17216" s="126">
        <f t="shared" si="275"/>
        <v>-4000</v>
      </c>
      <c r="H17216" s="705" t="s">
        <v>11244</v>
      </c>
    </row>
    <row r="17217" spans="1:8" ht="15" x14ac:dyDescent="0.2">
      <c r="A17217" s="734">
        <v>45227</v>
      </c>
      <c r="B17217" s="41" t="s">
        <v>10576</v>
      </c>
      <c r="C17217" s="63" t="s">
        <v>5410</v>
      </c>
      <c r="D17217" s="791" t="s">
        <v>11509</v>
      </c>
      <c r="E17217" s="58">
        <v>10500</v>
      </c>
      <c r="F17217" s="58"/>
      <c r="G17217" s="126">
        <f t="shared" si="275"/>
        <v>-10500</v>
      </c>
      <c r="H17217" s="705" t="s">
        <v>11244</v>
      </c>
    </row>
    <row r="17218" spans="1:8" ht="15" x14ac:dyDescent="0.2">
      <c r="A17218" s="734">
        <v>45227</v>
      </c>
      <c r="B17218" s="41" t="s">
        <v>11307</v>
      </c>
      <c r="C17218" s="63" t="s">
        <v>10993</v>
      </c>
      <c r="D17218" s="791" t="s">
        <v>11510</v>
      </c>
      <c r="E17218" s="58">
        <v>280</v>
      </c>
      <c r="F17218" s="58"/>
      <c r="G17218" s="126">
        <f t="shared" si="275"/>
        <v>-280</v>
      </c>
      <c r="H17218" s="705" t="s">
        <v>11244</v>
      </c>
    </row>
    <row r="17219" spans="1:8" ht="15" x14ac:dyDescent="0.2">
      <c r="A17219" s="734">
        <v>45227</v>
      </c>
      <c r="B17219" s="41" t="s">
        <v>11307</v>
      </c>
      <c r="C17219" s="63" t="s">
        <v>5741</v>
      </c>
      <c r="D17219" s="791" t="s">
        <v>370</v>
      </c>
      <c r="E17219" s="58">
        <v>3000</v>
      </c>
      <c r="F17219" s="58"/>
      <c r="G17219" s="126">
        <f t="shared" si="275"/>
        <v>-3000</v>
      </c>
      <c r="H17219" s="705" t="s">
        <v>11244</v>
      </c>
    </row>
    <row r="17220" spans="1:8" ht="15" x14ac:dyDescent="0.2">
      <c r="A17220" s="734">
        <v>45227</v>
      </c>
      <c r="B17220" s="41" t="s">
        <v>10471</v>
      </c>
      <c r="C17220" s="63" t="s">
        <v>5741</v>
      </c>
      <c r="D17220" s="791" t="s">
        <v>370</v>
      </c>
      <c r="E17220" s="58">
        <v>3000</v>
      </c>
      <c r="F17220" s="58"/>
      <c r="G17220" s="126">
        <f t="shared" si="275"/>
        <v>-3000</v>
      </c>
      <c r="H17220" s="705" t="s">
        <v>11244</v>
      </c>
    </row>
    <row r="17221" spans="1:8" ht="15" x14ac:dyDescent="0.2">
      <c r="A17221" s="734">
        <v>45227</v>
      </c>
      <c r="B17221" s="41" t="s">
        <v>10908</v>
      </c>
      <c r="C17221" s="63" t="s">
        <v>5741</v>
      </c>
      <c r="D17221" s="791" t="s">
        <v>370</v>
      </c>
      <c r="E17221" s="58">
        <v>3000</v>
      </c>
      <c r="F17221" s="58"/>
      <c r="G17221" s="126">
        <f t="shared" si="275"/>
        <v>-3000</v>
      </c>
      <c r="H17221" s="705" t="s">
        <v>11244</v>
      </c>
    </row>
    <row r="17222" spans="1:8" ht="15" x14ac:dyDescent="0.2">
      <c r="A17222" s="734">
        <v>45227</v>
      </c>
      <c r="B17222" s="41" t="s">
        <v>11511</v>
      </c>
      <c r="C17222" s="63" t="s">
        <v>10993</v>
      </c>
      <c r="D17222" s="791" t="s">
        <v>11512</v>
      </c>
      <c r="E17222" s="58">
        <v>35150</v>
      </c>
      <c r="F17222" s="58"/>
      <c r="G17222" s="126">
        <f t="shared" si="275"/>
        <v>-35150</v>
      </c>
      <c r="H17222" s="705" t="s">
        <v>11244</v>
      </c>
    </row>
    <row r="17223" spans="1:8" ht="15" x14ac:dyDescent="0.2">
      <c r="A17223" s="734">
        <v>45227</v>
      </c>
      <c r="B17223" s="41" t="s">
        <v>11026</v>
      </c>
      <c r="C17223" s="63" t="s">
        <v>11418</v>
      </c>
      <c r="D17223" s="791" t="s">
        <v>11513</v>
      </c>
      <c r="E17223" s="58">
        <v>850</v>
      </c>
      <c r="F17223" s="58"/>
      <c r="G17223" s="126">
        <f t="shared" si="275"/>
        <v>-850</v>
      </c>
      <c r="H17223" s="705" t="s">
        <v>11244</v>
      </c>
    </row>
    <row r="17224" spans="1:8" ht="15" x14ac:dyDescent="0.2">
      <c r="A17224" s="734">
        <v>45227</v>
      </c>
      <c r="B17224" s="41" t="s">
        <v>11446</v>
      </c>
      <c r="C17224" s="63" t="s">
        <v>11418</v>
      </c>
      <c r="D17224" s="791" t="s">
        <v>11514</v>
      </c>
      <c r="E17224" s="58">
        <v>2340</v>
      </c>
      <c r="F17224" s="58"/>
      <c r="G17224" s="126">
        <f t="shared" si="275"/>
        <v>-2340</v>
      </c>
      <c r="H17224" s="705" t="s">
        <v>11244</v>
      </c>
    </row>
    <row r="17225" spans="1:8" ht="15" x14ac:dyDescent="0.2">
      <c r="A17225" s="734">
        <v>45227</v>
      </c>
      <c r="B17225" s="41" t="s">
        <v>11446</v>
      </c>
      <c r="C17225" s="63" t="s">
        <v>5741</v>
      </c>
      <c r="D17225" s="791" t="s">
        <v>10337</v>
      </c>
      <c r="E17225" s="58">
        <v>200</v>
      </c>
      <c r="F17225" s="58"/>
      <c r="G17225" s="126">
        <f t="shared" si="275"/>
        <v>-200</v>
      </c>
      <c r="H17225" s="705" t="s">
        <v>11244</v>
      </c>
    </row>
    <row r="17226" spans="1:8" ht="15" x14ac:dyDescent="0.2">
      <c r="A17226" s="734">
        <v>45227</v>
      </c>
      <c r="B17226" s="41" t="s">
        <v>10576</v>
      </c>
      <c r="C17226" s="63" t="s">
        <v>10993</v>
      </c>
      <c r="D17226" s="791" t="s">
        <v>11515</v>
      </c>
      <c r="E17226" s="58">
        <v>600</v>
      </c>
      <c r="F17226" s="58"/>
      <c r="G17226" s="126">
        <f t="shared" si="275"/>
        <v>-600</v>
      </c>
      <c r="H17226" s="705" t="s">
        <v>11244</v>
      </c>
    </row>
    <row r="17227" spans="1:8" ht="15" x14ac:dyDescent="0.2">
      <c r="A17227" s="734">
        <v>45227</v>
      </c>
      <c r="B17227" s="41" t="s">
        <v>11446</v>
      </c>
      <c r="C17227" s="551" t="s">
        <v>10993</v>
      </c>
      <c r="D17227" s="904" t="s">
        <v>11516</v>
      </c>
      <c r="E17227" s="583">
        <v>100900</v>
      </c>
      <c r="F17227" s="58"/>
      <c r="G17227" s="126">
        <f t="shared" si="275"/>
        <v>-100900</v>
      </c>
      <c r="H17227" s="705" t="s">
        <v>11244</v>
      </c>
    </row>
    <row r="17228" spans="1:8" ht="15" x14ac:dyDescent="0.2">
      <c r="A17228" s="734">
        <v>45227</v>
      </c>
      <c r="B17228" s="41" t="s">
        <v>9986</v>
      </c>
      <c r="C17228" s="551" t="s">
        <v>10993</v>
      </c>
      <c r="D17228" s="904" t="s">
        <v>11516</v>
      </c>
      <c r="E17228" s="583">
        <v>51240</v>
      </c>
      <c r="F17228" s="58"/>
      <c r="G17228" s="126">
        <f t="shared" si="275"/>
        <v>-51240</v>
      </c>
      <c r="H17228" s="705" t="s">
        <v>11244</v>
      </c>
    </row>
    <row r="17229" spans="1:8" ht="15" x14ac:dyDescent="0.2">
      <c r="A17229" s="734">
        <v>45227</v>
      </c>
      <c r="B17229" s="41" t="s">
        <v>10471</v>
      </c>
      <c r="C17229" s="63" t="s">
        <v>10993</v>
      </c>
      <c r="D17229" s="791" t="s">
        <v>11517</v>
      </c>
      <c r="E17229" s="58">
        <v>5450</v>
      </c>
      <c r="F17229" s="58"/>
      <c r="G17229" s="126">
        <f t="shared" si="275"/>
        <v>-5450</v>
      </c>
      <c r="H17229" s="705" t="s">
        <v>11244</v>
      </c>
    </row>
    <row r="17230" spans="1:8" ht="15" x14ac:dyDescent="0.2">
      <c r="A17230" s="734">
        <v>45227</v>
      </c>
      <c r="B17230" s="41" t="s">
        <v>11446</v>
      </c>
      <c r="C17230" s="63" t="s">
        <v>11518</v>
      </c>
      <c r="D17230" s="791" t="s">
        <v>11519</v>
      </c>
      <c r="E17230" s="58">
        <v>1300</v>
      </c>
      <c r="F17230" s="58"/>
      <c r="G17230" s="126">
        <f t="shared" si="275"/>
        <v>-1300</v>
      </c>
      <c r="H17230" s="705" t="s">
        <v>11244</v>
      </c>
    </row>
    <row r="17231" spans="1:8" ht="15" x14ac:dyDescent="0.2">
      <c r="A17231" s="734">
        <v>45227</v>
      </c>
      <c r="B17231" s="41" t="s">
        <v>3946</v>
      </c>
      <c r="C17231" s="551" t="s">
        <v>300</v>
      </c>
      <c r="D17231" s="904" t="s">
        <v>11520</v>
      </c>
      <c r="E17231" s="583">
        <v>48000</v>
      </c>
      <c r="F17231" s="58"/>
      <c r="G17231" s="126">
        <f t="shared" si="275"/>
        <v>-48000</v>
      </c>
      <c r="H17231" s="705" t="s">
        <v>11244</v>
      </c>
    </row>
    <row r="17232" spans="1:8" ht="15" x14ac:dyDescent="0.2">
      <c r="A17232" s="734">
        <v>45227</v>
      </c>
      <c r="B17232" s="41" t="s">
        <v>3945</v>
      </c>
      <c r="C17232" s="551" t="s">
        <v>300</v>
      </c>
      <c r="D17232" s="904" t="s">
        <v>11520</v>
      </c>
      <c r="E17232" s="583">
        <v>48000</v>
      </c>
      <c r="F17232" s="58"/>
      <c r="G17232" s="126">
        <f t="shared" si="275"/>
        <v>-48000</v>
      </c>
      <c r="H17232" s="705" t="s">
        <v>11244</v>
      </c>
    </row>
    <row r="17233" spans="1:8" ht="15" x14ac:dyDescent="0.2">
      <c r="A17233" s="734">
        <v>45227</v>
      </c>
      <c r="B17233" s="41" t="s">
        <v>37</v>
      </c>
      <c r="C17233" s="551" t="s">
        <v>300</v>
      </c>
      <c r="D17233" s="904" t="s">
        <v>11520</v>
      </c>
      <c r="E17233" s="583">
        <v>22301</v>
      </c>
      <c r="F17233" s="58"/>
      <c r="G17233" s="126">
        <f t="shared" si="275"/>
        <v>-22301</v>
      </c>
      <c r="H17233" s="705" t="s">
        <v>11244</v>
      </c>
    </row>
    <row r="17234" spans="1:8" ht="15" x14ac:dyDescent="0.2">
      <c r="A17234" s="734">
        <v>45229</v>
      </c>
      <c r="B17234" s="41" t="s">
        <v>11007</v>
      </c>
      <c r="C17234" s="63" t="s">
        <v>14</v>
      </c>
      <c r="D17234" s="791" t="s">
        <v>11521</v>
      </c>
      <c r="E17234" s="58">
        <v>500</v>
      </c>
      <c r="F17234" s="58"/>
      <c r="G17234" s="126">
        <f t="shared" si="275"/>
        <v>-500</v>
      </c>
      <c r="H17234" s="705" t="s">
        <v>11244</v>
      </c>
    </row>
    <row r="17235" spans="1:8" ht="15" x14ac:dyDescent="0.2">
      <c r="A17235" s="734">
        <v>45229</v>
      </c>
      <c r="B17235" s="41" t="s">
        <v>10576</v>
      </c>
      <c r="C17235" s="63" t="s">
        <v>5741</v>
      </c>
      <c r="D17235" s="791" t="s">
        <v>370</v>
      </c>
      <c r="E17235" s="58">
        <v>2000</v>
      </c>
      <c r="F17235" s="58"/>
      <c r="G17235" s="126">
        <f t="shared" si="275"/>
        <v>-2000</v>
      </c>
      <c r="H17235" s="705" t="s">
        <v>11244</v>
      </c>
    </row>
    <row r="17236" spans="1:8" ht="15" x14ac:dyDescent="0.2">
      <c r="A17236" s="734">
        <v>45229</v>
      </c>
      <c r="B17236" s="41" t="s">
        <v>11026</v>
      </c>
      <c r="C17236" s="63" t="s">
        <v>14</v>
      </c>
      <c r="D17236" s="791" t="s">
        <v>3991</v>
      </c>
      <c r="E17236" s="58">
        <v>3890</v>
      </c>
      <c r="F17236" s="58"/>
      <c r="G17236" s="126">
        <f t="shared" si="275"/>
        <v>-3890</v>
      </c>
      <c r="H17236" s="705" t="s">
        <v>11244</v>
      </c>
    </row>
    <row r="17237" spans="1:8" ht="15" x14ac:dyDescent="0.2">
      <c r="A17237" s="734">
        <v>45229</v>
      </c>
      <c r="B17237" s="41" t="s">
        <v>11446</v>
      </c>
      <c r="C17237" s="63" t="s">
        <v>10993</v>
      </c>
      <c r="D17237" s="791" t="s">
        <v>11524</v>
      </c>
      <c r="E17237" s="58">
        <v>80000</v>
      </c>
      <c r="F17237" s="58"/>
      <c r="G17237" s="126">
        <f t="shared" si="275"/>
        <v>-80000</v>
      </c>
      <c r="H17237" s="705" t="s">
        <v>11244</v>
      </c>
    </row>
    <row r="17238" spans="1:8" ht="15" x14ac:dyDescent="0.2">
      <c r="A17238" s="734">
        <v>45229</v>
      </c>
      <c r="B17238" s="41" t="s">
        <v>10232</v>
      </c>
      <c r="C17238" s="63" t="s">
        <v>10993</v>
      </c>
      <c r="D17238" s="791" t="s">
        <v>11525</v>
      </c>
      <c r="E17238" s="58">
        <v>16000</v>
      </c>
      <c r="F17238" s="58"/>
      <c r="G17238" s="126">
        <f t="shared" si="275"/>
        <v>-16000</v>
      </c>
      <c r="H17238" s="705" t="s">
        <v>11244</v>
      </c>
    </row>
    <row r="17239" spans="1:8" ht="15" x14ac:dyDescent="0.2">
      <c r="A17239" s="734">
        <v>45229</v>
      </c>
      <c r="B17239" s="41" t="s">
        <v>10908</v>
      </c>
      <c r="C17239" s="63" t="s">
        <v>10993</v>
      </c>
      <c r="D17239" s="791" t="s">
        <v>11525</v>
      </c>
      <c r="E17239" s="58">
        <v>39000</v>
      </c>
      <c r="F17239" s="58"/>
      <c r="G17239" s="126">
        <f t="shared" si="275"/>
        <v>-39000</v>
      </c>
      <c r="H17239" s="705" t="s">
        <v>11244</v>
      </c>
    </row>
    <row r="17240" spans="1:8" ht="15" x14ac:dyDescent="0.2">
      <c r="A17240" s="734">
        <v>45229</v>
      </c>
      <c r="B17240" s="41" t="s">
        <v>11446</v>
      </c>
      <c r="C17240" s="63" t="s">
        <v>5741</v>
      </c>
      <c r="D17240" s="791" t="s">
        <v>370</v>
      </c>
      <c r="E17240" s="58">
        <v>2700</v>
      </c>
      <c r="F17240" s="58"/>
      <c r="G17240" s="126">
        <f t="shared" si="275"/>
        <v>-2700</v>
      </c>
      <c r="H17240" s="705" t="s">
        <v>11244</v>
      </c>
    </row>
    <row r="17241" spans="1:8" ht="15" x14ac:dyDescent="0.2">
      <c r="A17241" s="734">
        <v>45229</v>
      </c>
      <c r="B17241" s="41" t="s">
        <v>9986</v>
      </c>
      <c r="C17241" s="63" t="s">
        <v>5741</v>
      </c>
      <c r="D17241" s="791" t="s">
        <v>370</v>
      </c>
      <c r="E17241" s="58">
        <v>1300</v>
      </c>
      <c r="F17241" s="58"/>
      <c r="G17241" s="126">
        <f t="shared" si="275"/>
        <v>-1300</v>
      </c>
      <c r="H17241" s="705" t="s">
        <v>11244</v>
      </c>
    </row>
    <row r="17242" spans="1:8" ht="15" x14ac:dyDescent="0.2">
      <c r="A17242" s="734">
        <v>45229</v>
      </c>
      <c r="B17242" s="41" t="s">
        <v>10576</v>
      </c>
      <c r="C17242" s="63" t="s">
        <v>5741</v>
      </c>
      <c r="D17242" s="791" t="s">
        <v>370</v>
      </c>
      <c r="E17242" s="58">
        <v>1500</v>
      </c>
      <c r="F17242" s="58"/>
      <c r="G17242" s="126">
        <f t="shared" si="275"/>
        <v>-1500</v>
      </c>
      <c r="H17242" s="705" t="s">
        <v>11244</v>
      </c>
    </row>
    <row r="17243" spans="1:8" ht="15" x14ac:dyDescent="0.2">
      <c r="A17243" s="734">
        <v>45229</v>
      </c>
      <c r="B17243" s="41" t="s">
        <v>10576</v>
      </c>
      <c r="C17243" s="551" t="s">
        <v>10993</v>
      </c>
      <c r="D17243" s="904" t="s">
        <v>11534</v>
      </c>
      <c r="E17243" s="583">
        <v>9100</v>
      </c>
      <c r="F17243" s="58"/>
      <c r="G17243" s="126">
        <f t="shared" si="275"/>
        <v>-9100</v>
      </c>
      <c r="H17243" s="705" t="s">
        <v>11244</v>
      </c>
    </row>
    <row r="17244" spans="1:8" ht="15" x14ac:dyDescent="0.2">
      <c r="A17244" s="734">
        <v>45229</v>
      </c>
      <c r="B17244" s="41" t="s">
        <v>10908</v>
      </c>
      <c r="C17244" s="551" t="s">
        <v>10993</v>
      </c>
      <c r="D17244" s="904" t="s">
        <v>11534</v>
      </c>
      <c r="E17244" s="583">
        <v>9100</v>
      </c>
      <c r="F17244" s="58"/>
      <c r="G17244" s="126">
        <f t="shared" si="275"/>
        <v>-9100</v>
      </c>
      <c r="H17244" s="705" t="s">
        <v>11244</v>
      </c>
    </row>
    <row r="17245" spans="1:8" ht="15" x14ac:dyDescent="0.2">
      <c r="A17245" s="734">
        <v>45229</v>
      </c>
      <c r="B17245" s="41" t="s">
        <v>10232</v>
      </c>
      <c r="C17245" s="551" t="s">
        <v>10993</v>
      </c>
      <c r="D17245" s="904" t="s">
        <v>11534</v>
      </c>
      <c r="E17245" s="583">
        <v>9100</v>
      </c>
      <c r="F17245" s="58"/>
      <c r="G17245" s="126">
        <f t="shared" si="275"/>
        <v>-9100</v>
      </c>
      <c r="H17245" s="705" t="s">
        <v>11244</v>
      </c>
    </row>
    <row r="17246" spans="1:8" ht="15" x14ac:dyDescent="0.2">
      <c r="A17246" s="734">
        <v>45229</v>
      </c>
      <c r="B17246" s="41" t="s">
        <v>10576</v>
      </c>
      <c r="C17246" s="634" t="s">
        <v>10993</v>
      </c>
      <c r="D17246" s="1063" t="s">
        <v>11535</v>
      </c>
      <c r="E17246" s="735">
        <v>4800</v>
      </c>
      <c r="F17246" s="58"/>
      <c r="G17246" s="126">
        <f t="shared" si="275"/>
        <v>-4800</v>
      </c>
      <c r="H17246" s="705" t="s">
        <v>11244</v>
      </c>
    </row>
    <row r="17247" spans="1:8" ht="15" x14ac:dyDescent="0.2">
      <c r="A17247" s="734">
        <v>45229</v>
      </c>
      <c r="B17247" s="41" t="s">
        <v>10908</v>
      </c>
      <c r="C17247" s="634" t="s">
        <v>10993</v>
      </c>
      <c r="D17247" s="1063" t="s">
        <v>11535</v>
      </c>
      <c r="E17247" s="735">
        <v>4800</v>
      </c>
      <c r="F17247" s="58"/>
      <c r="G17247" s="126">
        <f t="shared" si="275"/>
        <v>-4800</v>
      </c>
      <c r="H17247" s="705" t="s">
        <v>11244</v>
      </c>
    </row>
    <row r="17248" spans="1:8" ht="15" x14ac:dyDescent="0.2">
      <c r="A17248" s="734">
        <v>45229</v>
      </c>
      <c r="B17248" s="41" t="s">
        <v>10232</v>
      </c>
      <c r="C17248" s="634" t="s">
        <v>10993</v>
      </c>
      <c r="D17248" s="1063" t="s">
        <v>11535</v>
      </c>
      <c r="E17248" s="735">
        <v>4800</v>
      </c>
      <c r="F17248" s="58"/>
      <c r="G17248" s="126">
        <f t="shared" si="275"/>
        <v>-4800</v>
      </c>
      <c r="H17248" s="705" t="s">
        <v>11244</v>
      </c>
    </row>
    <row r="17249" spans="1:8" ht="15" x14ac:dyDescent="0.2">
      <c r="A17249" s="734">
        <v>45229</v>
      </c>
      <c r="B17249" s="41" t="s">
        <v>11007</v>
      </c>
      <c r="C17249" s="63" t="s">
        <v>6624</v>
      </c>
      <c r="D17249" s="791" t="s">
        <v>11526</v>
      </c>
      <c r="E17249" s="58">
        <v>20000</v>
      </c>
      <c r="F17249" s="58"/>
      <c r="G17249" s="126">
        <f t="shared" si="275"/>
        <v>-20000</v>
      </c>
      <c r="H17249" s="705" t="s">
        <v>11244</v>
      </c>
    </row>
    <row r="17250" spans="1:8" ht="15" x14ac:dyDescent="0.2">
      <c r="A17250" s="734">
        <v>45229</v>
      </c>
      <c r="B17250" s="41" t="s">
        <v>10471</v>
      </c>
      <c r="C17250" s="63" t="s">
        <v>14</v>
      </c>
      <c r="D17250" s="791" t="s">
        <v>11533</v>
      </c>
      <c r="E17250" s="58">
        <v>3000</v>
      </c>
      <c r="F17250" s="58"/>
      <c r="G17250" s="126">
        <f t="shared" si="275"/>
        <v>-3000</v>
      </c>
      <c r="H17250" s="705" t="s">
        <v>11244</v>
      </c>
    </row>
    <row r="17251" spans="1:8" ht="15" x14ac:dyDescent="0.2">
      <c r="A17251" s="734">
        <v>45230</v>
      </c>
      <c r="B17251" s="41" t="s">
        <v>10908</v>
      </c>
      <c r="C17251" s="63" t="s">
        <v>5741</v>
      </c>
      <c r="D17251" s="791" t="s">
        <v>370</v>
      </c>
      <c r="E17251" s="58">
        <v>3000</v>
      </c>
      <c r="F17251" s="58"/>
      <c r="G17251" s="126">
        <f t="shared" si="275"/>
        <v>-3000</v>
      </c>
      <c r="H17251" s="705" t="s">
        <v>11244</v>
      </c>
    </row>
    <row r="17252" spans="1:8" ht="15" x14ac:dyDescent="0.2">
      <c r="A17252" s="734">
        <v>45230</v>
      </c>
      <c r="B17252" s="41" t="s">
        <v>10232</v>
      </c>
      <c r="C17252" s="63" t="s">
        <v>10993</v>
      </c>
      <c r="D17252" s="791" t="s">
        <v>11527</v>
      </c>
      <c r="E17252" s="58">
        <v>33600</v>
      </c>
      <c r="F17252" s="58"/>
      <c r="G17252" s="126">
        <f t="shared" si="275"/>
        <v>-33600</v>
      </c>
      <c r="H17252" s="705" t="s">
        <v>11244</v>
      </c>
    </row>
    <row r="17253" spans="1:8" ht="15" x14ac:dyDescent="0.2">
      <c r="A17253" s="734">
        <v>45230</v>
      </c>
      <c r="B17253" s="41" t="s">
        <v>10471</v>
      </c>
      <c r="C17253" s="63" t="s">
        <v>10993</v>
      </c>
      <c r="D17253" s="791" t="s">
        <v>10868</v>
      </c>
      <c r="E17253" s="58">
        <v>8700</v>
      </c>
      <c r="F17253" s="58"/>
      <c r="G17253" s="126">
        <f t="shared" si="275"/>
        <v>-8700</v>
      </c>
      <c r="H17253" s="705" t="s">
        <v>11244</v>
      </c>
    </row>
    <row r="17254" spans="1:8" ht="15" x14ac:dyDescent="0.2">
      <c r="A17254" s="734">
        <v>45230</v>
      </c>
      <c r="B17254" s="41" t="s">
        <v>10576</v>
      </c>
      <c r="C17254" s="63" t="s">
        <v>10993</v>
      </c>
      <c r="D17254" s="791" t="s">
        <v>11528</v>
      </c>
      <c r="E17254" s="58">
        <v>10000</v>
      </c>
      <c r="F17254" s="58"/>
      <c r="G17254" s="126">
        <f t="shared" si="275"/>
        <v>-10000</v>
      </c>
      <c r="H17254" s="705" t="s">
        <v>11244</v>
      </c>
    </row>
    <row r="17255" spans="1:8" ht="15" x14ac:dyDescent="0.2">
      <c r="A17255" s="734">
        <v>45230</v>
      </c>
      <c r="B17255" s="41" t="s">
        <v>10232</v>
      </c>
      <c r="C17255" s="670" t="s">
        <v>10993</v>
      </c>
      <c r="D17255" s="912" t="s">
        <v>11572</v>
      </c>
      <c r="E17255" s="585">
        <f>28000/3</f>
        <v>9333.3333333333339</v>
      </c>
      <c r="F17255" s="58"/>
      <c r="G17255" s="126">
        <f t="shared" si="275"/>
        <v>-9333.3333333333339</v>
      </c>
      <c r="H17255" s="705" t="s">
        <v>11244</v>
      </c>
    </row>
    <row r="17256" spans="1:8" ht="15" x14ac:dyDescent="0.2">
      <c r="A17256" s="734">
        <v>45230</v>
      </c>
      <c r="B17256" s="41" t="s">
        <v>10576</v>
      </c>
      <c r="C17256" s="670" t="s">
        <v>10993</v>
      </c>
      <c r="D17256" s="912" t="s">
        <v>11572</v>
      </c>
      <c r="E17256" s="585">
        <f>28000/3</f>
        <v>9333.3333333333339</v>
      </c>
      <c r="F17256" s="58"/>
      <c r="G17256" s="126">
        <f t="shared" si="275"/>
        <v>-9333.3333333333339</v>
      </c>
      <c r="H17256" s="705" t="s">
        <v>11244</v>
      </c>
    </row>
    <row r="17257" spans="1:8" ht="15" x14ac:dyDescent="0.2">
      <c r="A17257" s="734">
        <v>45230</v>
      </c>
      <c r="B17257" s="41" t="s">
        <v>10908</v>
      </c>
      <c r="C17257" s="670" t="s">
        <v>10993</v>
      </c>
      <c r="D17257" s="912" t="s">
        <v>11572</v>
      </c>
      <c r="E17257" s="585">
        <f>28000/3</f>
        <v>9333.3333333333339</v>
      </c>
      <c r="F17257" s="58"/>
      <c r="G17257" s="126">
        <f t="shared" si="275"/>
        <v>-9333.3333333333339</v>
      </c>
      <c r="H17257" s="705" t="s">
        <v>11244</v>
      </c>
    </row>
    <row r="17258" spans="1:8" ht="15" x14ac:dyDescent="0.2">
      <c r="A17258" s="734">
        <v>45230</v>
      </c>
      <c r="B17258" s="41" t="s">
        <v>10576</v>
      </c>
      <c r="C17258" s="63" t="s">
        <v>10993</v>
      </c>
      <c r="D17258" s="791" t="s">
        <v>11277</v>
      </c>
      <c r="E17258" s="58">
        <v>2400</v>
      </c>
      <c r="F17258" s="58"/>
      <c r="G17258" s="126">
        <f t="shared" si="275"/>
        <v>-2400</v>
      </c>
      <c r="H17258" s="705" t="s">
        <v>11244</v>
      </c>
    </row>
    <row r="17259" spans="1:8" ht="15" x14ac:dyDescent="0.2">
      <c r="A17259" s="734">
        <v>45230</v>
      </c>
      <c r="B17259" s="41" t="s">
        <v>10576</v>
      </c>
      <c r="C17259" s="63" t="s">
        <v>10993</v>
      </c>
      <c r="D17259" s="791" t="s">
        <v>11529</v>
      </c>
      <c r="E17259" s="58">
        <v>4180</v>
      </c>
      <c r="F17259" s="58"/>
      <c r="G17259" s="126">
        <f t="shared" si="275"/>
        <v>-4180</v>
      </c>
      <c r="H17259" s="705" t="s">
        <v>11244</v>
      </c>
    </row>
    <row r="17260" spans="1:8" ht="15" x14ac:dyDescent="0.2">
      <c r="A17260" s="734">
        <v>45230</v>
      </c>
      <c r="B17260" s="41" t="s">
        <v>10471</v>
      </c>
      <c r="C17260" s="63" t="s">
        <v>10993</v>
      </c>
      <c r="D17260" s="791" t="s">
        <v>11530</v>
      </c>
      <c r="E17260" s="58">
        <v>5800</v>
      </c>
      <c r="F17260" s="58"/>
      <c r="G17260" s="126">
        <f t="shared" si="275"/>
        <v>-5800</v>
      </c>
      <c r="H17260" s="705" t="s">
        <v>11244</v>
      </c>
    </row>
    <row r="17261" spans="1:8" ht="15" customHeight="1" x14ac:dyDescent="0.2">
      <c r="A17261" s="734">
        <v>45230</v>
      </c>
      <c r="B17261" s="41" t="s">
        <v>10908</v>
      </c>
      <c r="C17261" s="63" t="s">
        <v>5741</v>
      </c>
      <c r="D17261" s="791" t="s">
        <v>370</v>
      </c>
      <c r="E17261" s="58">
        <v>750</v>
      </c>
      <c r="F17261" s="58"/>
      <c r="G17261" s="126">
        <f t="shared" si="275"/>
        <v>-750</v>
      </c>
      <c r="H17261" s="705" t="s">
        <v>11244</v>
      </c>
    </row>
    <row r="17262" spans="1:8" ht="15" x14ac:dyDescent="0.2">
      <c r="A17262" s="734">
        <v>45230</v>
      </c>
      <c r="B17262" s="41" t="s">
        <v>25</v>
      </c>
      <c r="C17262" s="63" t="s">
        <v>8150</v>
      </c>
      <c r="D17262" s="791" t="s">
        <v>6310</v>
      </c>
      <c r="E17262" s="58">
        <v>280</v>
      </c>
      <c r="F17262" s="58"/>
      <c r="G17262" s="126">
        <f t="shared" si="275"/>
        <v>-280</v>
      </c>
      <c r="H17262" s="705" t="s">
        <v>11244</v>
      </c>
    </row>
    <row r="17263" spans="1:8" ht="15" customHeight="1" x14ac:dyDescent="0.2">
      <c r="A17263" s="734">
        <v>45230</v>
      </c>
      <c r="B17263" s="41" t="s">
        <v>103</v>
      </c>
      <c r="C17263" s="63" t="s">
        <v>8150</v>
      </c>
      <c r="D17263" s="791" t="s">
        <v>6310</v>
      </c>
      <c r="E17263" s="58">
        <v>180</v>
      </c>
      <c r="F17263" s="58"/>
      <c r="G17263" s="126">
        <f t="shared" si="275"/>
        <v>-180</v>
      </c>
      <c r="H17263" s="705" t="s">
        <v>11244</v>
      </c>
    </row>
    <row r="17264" spans="1:8" ht="15" x14ac:dyDescent="0.2">
      <c r="A17264" s="734">
        <v>45230</v>
      </c>
      <c r="B17264" s="41" t="s">
        <v>11135</v>
      </c>
      <c r="C17264" s="63" t="s">
        <v>794</v>
      </c>
      <c r="D17264" s="791" t="s">
        <v>11284</v>
      </c>
      <c r="E17264" s="58">
        <v>41000</v>
      </c>
      <c r="F17264" s="58"/>
      <c r="G17264" s="126">
        <f t="shared" si="275"/>
        <v>-41000</v>
      </c>
      <c r="H17264" s="705" t="s">
        <v>11244</v>
      </c>
    </row>
    <row r="17265" spans="1:8" ht="15" x14ac:dyDescent="0.2">
      <c r="A17265" s="734">
        <v>45230</v>
      </c>
      <c r="B17265" s="41" t="s">
        <v>10232</v>
      </c>
      <c r="C17265" s="63" t="s">
        <v>794</v>
      </c>
      <c r="D17265" s="791" t="s">
        <v>11565</v>
      </c>
      <c r="E17265" s="58">
        <v>43000</v>
      </c>
      <c r="F17265" s="58"/>
      <c r="G17265" s="126">
        <f t="shared" si="275"/>
        <v>-43000</v>
      </c>
      <c r="H17265" s="705" t="s">
        <v>11244</v>
      </c>
    </row>
    <row r="17266" spans="1:8" ht="15" x14ac:dyDescent="0.2">
      <c r="A17266" s="734">
        <v>45230</v>
      </c>
      <c r="B17266" s="41" t="s">
        <v>103</v>
      </c>
      <c r="C17266" s="63" t="s">
        <v>794</v>
      </c>
      <c r="D17266" s="791" t="s">
        <v>11566</v>
      </c>
      <c r="E17266" s="58">
        <v>65000</v>
      </c>
      <c r="F17266" s="58"/>
      <c r="G17266" s="126">
        <f t="shared" si="275"/>
        <v>-65000</v>
      </c>
      <c r="H17266" s="705" t="s">
        <v>11244</v>
      </c>
    </row>
    <row r="17267" spans="1:8" ht="15" x14ac:dyDescent="0.2">
      <c r="A17267" s="734">
        <v>45230</v>
      </c>
      <c r="B17267" s="41" t="s">
        <v>103</v>
      </c>
      <c r="C17267" s="63" t="s">
        <v>794</v>
      </c>
      <c r="D17267" s="791" t="s">
        <v>11567</v>
      </c>
      <c r="E17267" s="58">
        <v>22000</v>
      </c>
      <c r="F17267" s="58"/>
      <c r="G17267" s="126">
        <f t="shared" si="275"/>
        <v>-22000</v>
      </c>
      <c r="H17267" s="705" t="s">
        <v>11244</v>
      </c>
    </row>
    <row r="17268" spans="1:8" ht="15" x14ac:dyDescent="0.2">
      <c r="A17268" s="734">
        <v>45230</v>
      </c>
      <c r="B17268" s="41" t="s">
        <v>9356</v>
      </c>
      <c r="C17268" s="63" t="s">
        <v>794</v>
      </c>
      <c r="D17268" s="791" t="s">
        <v>11568</v>
      </c>
      <c r="E17268" s="58">
        <v>40800</v>
      </c>
      <c r="F17268" s="58"/>
      <c r="G17268" s="126">
        <f t="shared" si="275"/>
        <v>-40800</v>
      </c>
      <c r="H17268" s="705" t="s">
        <v>11244</v>
      </c>
    </row>
    <row r="17269" spans="1:8" ht="15" x14ac:dyDescent="0.2">
      <c r="A17269" s="734">
        <v>45230</v>
      </c>
      <c r="B17269" s="41" t="s">
        <v>10576</v>
      </c>
      <c r="C17269" s="63" t="s">
        <v>794</v>
      </c>
      <c r="D17269" s="791" t="s">
        <v>11597</v>
      </c>
      <c r="E17269" s="58">
        <v>39200</v>
      </c>
      <c r="F17269" s="58"/>
      <c r="G17269" s="126">
        <f t="shared" si="275"/>
        <v>-39200</v>
      </c>
      <c r="H17269" s="705" t="s">
        <v>11244</v>
      </c>
    </row>
    <row r="17270" spans="1:8" ht="15" x14ac:dyDescent="0.2">
      <c r="A17270" s="734">
        <v>45230</v>
      </c>
      <c r="B17270" s="41" t="s">
        <v>37</v>
      </c>
      <c r="C17270" s="63" t="s">
        <v>794</v>
      </c>
      <c r="D17270" s="791" t="s">
        <v>10097</v>
      </c>
      <c r="E17270" s="58">
        <v>128774.19354838709</v>
      </c>
      <c r="F17270" s="58"/>
      <c r="G17270" s="126">
        <f t="shared" si="275"/>
        <v>-128774.19354838709</v>
      </c>
      <c r="H17270" s="705" t="s">
        <v>11244</v>
      </c>
    </row>
    <row r="17271" spans="1:8" ht="15" x14ac:dyDescent="0.2">
      <c r="A17271" s="734">
        <v>45230</v>
      </c>
      <c r="B17271" s="41" t="s">
        <v>3946</v>
      </c>
      <c r="C17271" s="63" t="s">
        <v>794</v>
      </c>
      <c r="D17271" s="791" t="s">
        <v>11600</v>
      </c>
      <c r="E17271" s="58">
        <v>120084.67741935485</v>
      </c>
      <c r="F17271" s="58"/>
      <c r="G17271" s="126">
        <f t="shared" si="275"/>
        <v>-120084.67741935485</v>
      </c>
      <c r="H17271" s="705" t="s">
        <v>11244</v>
      </c>
    </row>
    <row r="17272" spans="1:8" ht="15" x14ac:dyDescent="0.2">
      <c r="A17272" s="734">
        <v>45230</v>
      </c>
      <c r="B17272" s="41" t="s">
        <v>3946</v>
      </c>
      <c r="C17272" s="63" t="s">
        <v>794</v>
      </c>
      <c r="D17272" s="791" t="s">
        <v>11601</v>
      </c>
      <c r="E17272" s="58">
        <v>20000</v>
      </c>
      <c r="F17272" s="58"/>
      <c r="G17272" s="126">
        <f t="shared" si="275"/>
        <v>-20000</v>
      </c>
      <c r="H17272" s="705" t="s">
        <v>11244</v>
      </c>
    </row>
    <row r="17273" spans="1:8" ht="15" x14ac:dyDescent="0.2">
      <c r="A17273" s="734">
        <v>45230</v>
      </c>
      <c r="B17273" s="41" t="s">
        <v>9986</v>
      </c>
      <c r="C17273" s="63" t="s">
        <v>794</v>
      </c>
      <c r="D17273" s="791" t="s">
        <v>11606</v>
      </c>
      <c r="E17273" s="58">
        <v>36800</v>
      </c>
      <c r="F17273" s="58"/>
      <c r="G17273" s="126">
        <f t="shared" si="275"/>
        <v>-36800</v>
      </c>
      <c r="H17273" s="705" t="s">
        <v>11244</v>
      </c>
    </row>
    <row r="17274" spans="1:8" ht="15" x14ac:dyDescent="0.2">
      <c r="A17274" s="734">
        <v>45230</v>
      </c>
      <c r="B17274" s="41" t="s">
        <v>11093</v>
      </c>
      <c r="C17274" s="63" t="s">
        <v>794</v>
      </c>
      <c r="D17274" s="791" t="s">
        <v>10749</v>
      </c>
      <c r="E17274" s="58">
        <v>76750</v>
      </c>
      <c r="F17274" s="58"/>
      <c r="G17274" s="126">
        <f t="shared" si="275"/>
        <v>-76750</v>
      </c>
      <c r="H17274" s="705" t="s">
        <v>11244</v>
      </c>
    </row>
    <row r="17275" spans="1:8" ht="15" x14ac:dyDescent="0.2">
      <c r="A17275" s="734">
        <v>45230</v>
      </c>
      <c r="B17275" s="63" t="s">
        <v>10908</v>
      </c>
      <c r="C17275" s="63" t="s">
        <v>794</v>
      </c>
      <c r="D17275" s="183" t="s">
        <v>11011</v>
      </c>
      <c r="E17275" s="126">
        <v>25000</v>
      </c>
      <c r="F17275" s="58"/>
      <c r="G17275" s="126">
        <f t="shared" si="275"/>
        <v>-25000</v>
      </c>
      <c r="H17275" s="705" t="s">
        <v>11244</v>
      </c>
    </row>
    <row r="17276" spans="1:8" ht="15" x14ac:dyDescent="0.2">
      <c r="A17276" s="734">
        <v>45230</v>
      </c>
      <c r="B17276" s="63" t="s">
        <v>9986</v>
      </c>
      <c r="C17276" s="63" t="s">
        <v>794</v>
      </c>
      <c r="D17276" s="183" t="s">
        <v>11011</v>
      </c>
      <c r="E17276" s="126">
        <v>25000</v>
      </c>
      <c r="F17276" s="58"/>
      <c r="G17276" s="126">
        <f t="shared" si="275"/>
        <v>-25000</v>
      </c>
      <c r="H17276" s="705" t="s">
        <v>11244</v>
      </c>
    </row>
    <row r="17277" spans="1:8" ht="15" x14ac:dyDescent="0.2">
      <c r="A17277" s="734">
        <v>45230</v>
      </c>
      <c r="B17277" s="63" t="s">
        <v>10232</v>
      </c>
      <c r="C17277" s="63" t="s">
        <v>794</v>
      </c>
      <c r="D17277" s="183" t="s">
        <v>11012</v>
      </c>
      <c r="E17277" s="126">
        <v>25000</v>
      </c>
      <c r="F17277" s="58"/>
      <c r="G17277" s="126">
        <f t="shared" si="275"/>
        <v>-25000</v>
      </c>
      <c r="H17277" s="705" t="s">
        <v>11244</v>
      </c>
    </row>
    <row r="17278" spans="1:8" ht="15" x14ac:dyDescent="0.2">
      <c r="A17278" s="734">
        <v>45230</v>
      </c>
      <c r="B17278" s="63" t="s">
        <v>10576</v>
      </c>
      <c r="C17278" s="63" t="s">
        <v>794</v>
      </c>
      <c r="D17278" s="183" t="s">
        <v>11012</v>
      </c>
      <c r="E17278" s="126">
        <v>25000</v>
      </c>
      <c r="F17278" s="58"/>
      <c r="G17278" s="126">
        <f t="shared" si="275"/>
        <v>-25000</v>
      </c>
      <c r="H17278" s="705" t="s">
        <v>11244</v>
      </c>
    </row>
    <row r="17279" spans="1:8" ht="15" x14ac:dyDescent="0.2">
      <c r="A17279" s="734">
        <v>45230</v>
      </c>
      <c r="B17279" s="63" t="s">
        <v>25</v>
      </c>
      <c r="C17279" s="63" t="s">
        <v>794</v>
      </c>
      <c r="D17279" s="183" t="s">
        <v>11118</v>
      </c>
      <c r="E17279" s="126">
        <v>105000</v>
      </c>
      <c r="F17279" s="58"/>
      <c r="G17279" s="126">
        <f t="shared" ref="G17279:G17342" si="276">F17279-E17279</f>
        <v>-105000</v>
      </c>
      <c r="H17279" s="705" t="s">
        <v>11244</v>
      </c>
    </row>
    <row r="17280" spans="1:8" ht="15" x14ac:dyDescent="0.2">
      <c r="A17280" s="734">
        <v>45230</v>
      </c>
      <c r="B17280" s="63" t="s">
        <v>10179</v>
      </c>
      <c r="C17280" s="63" t="s">
        <v>794</v>
      </c>
      <c r="D17280" s="183" t="s">
        <v>9012</v>
      </c>
      <c r="E17280" s="126">
        <v>5000</v>
      </c>
      <c r="F17280" s="58"/>
      <c r="G17280" s="126">
        <f t="shared" si="276"/>
        <v>-5000</v>
      </c>
      <c r="H17280" s="705" t="s">
        <v>11244</v>
      </c>
    </row>
    <row r="17281" spans="1:8" ht="15" x14ac:dyDescent="0.2">
      <c r="A17281" s="734">
        <v>45230</v>
      </c>
      <c r="B17281" s="41" t="s">
        <v>9356</v>
      </c>
      <c r="C17281" s="63" t="s">
        <v>794</v>
      </c>
      <c r="D17281" s="791" t="s">
        <v>11609</v>
      </c>
      <c r="E17281" s="58">
        <v>63910</v>
      </c>
      <c r="F17281" s="58"/>
      <c r="G17281" s="126">
        <f t="shared" si="276"/>
        <v>-63910</v>
      </c>
      <c r="H17281" s="705" t="s">
        <v>11244</v>
      </c>
    </row>
    <row r="17282" spans="1:8" ht="15" x14ac:dyDescent="0.2">
      <c r="A17282" s="734">
        <v>45230</v>
      </c>
      <c r="B17282" s="41" t="s">
        <v>103</v>
      </c>
      <c r="C17282" s="63" t="s">
        <v>794</v>
      </c>
      <c r="D17282" s="791" t="s">
        <v>11614</v>
      </c>
      <c r="E17282" s="58">
        <v>39000</v>
      </c>
      <c r="F17282" s="58"/>
      <c r="G17282" s="126">
        <f t="shared" si="276"/>
        <v>-39000</v>
      </c>
      <c r="H17282" s="705" t="s">
        <v>11244</v>
      </c>
    </row>
    <row r="17283" spans="1:8" ht="15" x14ac:dyDescent="0.2">
      <c r="A17283" s="734">
        <v>45230</v>
      </c>
      <c r="B17283" s="41" t="s">
        <v>9986</v>
      </c>
      <c r="C17283" s="63" t="s">
        <v>794</v>
      </c>
      <c r="D17283" s="791" t="s">
        <v>11618</v>
      </c>
      <c r="E17283" s="58">
        <v>200000</v>
      </c>
      <c r="F17283" s="58"/>
      <c r="G17283" s="126">
        <f t="shared" si="276"/>
        <v>-200000</v>
      </c>
      <c r="H17283" s="705" t="s">
        <v>11244</v>
      </c>
    </row>
    <row r="17284" spans="1:8" ht="15" x14ac:dyDescent="0.2">
      <c r="A17284" s="734">
        <v>45230</v>
      </c>
      <c r="B17284" s="41" t="s">
        <v>9409</v>
      </c>
      <c r="C17284" s="63" t="s">
        <v>794</v>
      </c>
      <c r="D17284" s="791" t="s">
        <v>11613</v>
      </c>
      <c r="E17284" s="58">
        <v>75060</v>
      </c>
      <c r="F17284" s="58"/>
      <c r="G17284" s="126">
        <f t="shared" si="276"/>
        <v>-75060</v>
      </c>
      <c r="H17284" s="705" t="s">
        <v>11244</v>
      </c>
    </row>
    <row r="17285" spans="1:8" ht="15" x14ac:dyDescent="0.2">
      <c r="A17285" s="734">
        <v>45230</v>
      </c>
      <c r="B17285" s="41" t="s">
        <v>2933</v>
      </c>
      <c r="C17285" s="63" t="s">
        <v>794</v>
      </c>
      <c r="D17285" s="791" t="s">
        <v>11027</v>
      </c>
      <c r="E17285" s="58">
        <v>325011.49193548388</v>
      </c>
      <c r="F17285" s="58"/>
      <c r="G17285" s="126">
        <f t="shared" si="276"/>
        <v>-325011.49193548388</v>
      </c>
      <c r="H17285" s="705" t="s">
        <v>11244</v>
      </c>
    </row>
    <row r="17286" spans="1:8" ht="15" x14ac:dyDescent="0.2">
      <c r="A17286" s="734">
        <v>45230</v>
      </c>
      <c r="B17286" s="41" t="s">
        <v>11623</v>
      </c>
      <c r="C17286" s="63" t="s">
        <v>794</v>
      </c>
      <c r="D17286" s="791" t="s">
        <v>11624</v>
      </c>
      <c r="E17286" s="58">
        <v>65000</v>
      </c>
      <c r="F17286" s="58"/>
      <c r="G17286" s="126">
        <f t="shared" si="276"/>
        <v>-65000</v>
      </c>
      <c r="H17286" s="705" t="s">
        <v>11244</v>
      </c>
    </row>
    <row r="17287" spans="1:8" ht="15" x14ac:dyDescent="0.2">
      <c r="A17287" s="734">
        <v>45230</v>
      </c>
      <c r="B17287" s="41" t="s">
        <v>9986</v>
      </c>
      <c r="C17287" s="63" t="s">
        <v>794</v>
      </c>
      <c r="D17287" s="791" t="s">
        <v>11628</v>
      </c>
      <c r="E17287" s="58">
        <v>5000</v>
      </c>
      <c r="F17287" s="58"/>
      <c r="G17287" s="126">
        <f t="shared" si="276"/>
        <v>-5000</v>
      </c>
      <c r="H17287" s="705" t="s">
        <v>11244</v>
      </c>
    </row>
    <row r="17288" spans="1:8" ht="15" x14ac:dyDescent="0.2">
      <c r="A17288" s="734">
        <v>45230</v>
      </c>
      <c r="B17288" s="41" t="s">
        <v>103</v>
      </c>
      <c r="C17288" s="63" t="s">
        <v>794</v>
      </c>
      <c r="D17288" s="791" t="s">
        <v>11629</v>
      </c>
      <c r="E17288" s="58">
        <v>60000</v>
      </c>
      <c r="F17288" s="58"/>
      <c r="G17288" s="126">
        <f t="shared" si="276"/>
        <v>-60000</v>
      </c>
      <c r="H17288" s="705" t="s">
        <v>11244</v>
      </c>
    </row>
    <row r="17289" spans="1:8" ht="15" x14ac:dyDescent="0.2">
      <c r="A17289" s="734">
        <v>45230</v>
      </c>
      <c r="B17289" s="41" t="s">
        <v>9356</v>
      </c>
      <c r="C17289" s="63" t="s">
        <v>794</v>
      </c>
      <c r="D17289" s="791" t="s">
        <v>11630</v>
      </c>
      <c r="E17289" s="58">
        <v>33450</v>
      </c>
      <c r="F17289" s="58"/>
      <c r="G17289" s="126">
        <f t="shared" si="276"/>
        <v>-33450</v>
      </c>
      <c r="H17289" s="705" t="s">
        <v>11244</v>
      </c>
    </row>
    <row r="17290" spans="1:8" ht="15" x14ac:dyDescent="0.2">
      <c r="A17290" s="734">
        <v>45230</v>
      </c>
      <c r="B17290" s="41" t="s">
        <v>11511</v>
      </c>
      <c r="C17290" s="63" t="s">
        <v>794</v>
      </c>
      <c r="D17290" s="791" t="s">
        <v>11677</v>
      </c>
      <c r="E17290" s="58">
        <v>170000</v>
      </c>
      <c r="F17290" s="58"/>
      <c r="G17290" s="126">
        <f t="shared" si="276"/>
        <v>-170000</v>
      </c>
      <c r="H17290" s="705" t="s">
        <v>11244</v>
      </c>
    </row>
    <row r="17291" spans="1:8" ht="15" x14ac:dyDescent="0.2">
      <c r="A17291" s="734">
        <v>45230</v>
      </c>
      <c r="B17291" s="41" t="s">
        <v>3945</v>
      </c>
      <c r="C17291" s="63" t="s">
        <v>794</v>
      </c>
      <c r="D17291" s="791" t="s">
        <v>11637</v>
      </c>
      <c r="E17291" s="58">
        <v>135890</v>
      </c>
      <c r="F17291" s="58"/>
      <c r="G17291" s="126">
        <f t="shared" si="276"/>
        <v>-135890</v>
      </c>
      <c r="H17291" s="705" t="s">
        <v>11244</v>
      </c>
    </row>
    <row r="17292" spans="1:8" ht="15" x14ac:dyDescent="0.2">
      <c r="A17292" s="734">
        <v>45230</v>
      </c>
      <c r="B17292" s="41" t="s">
        <v>9356</v>
      </c>
      <c r="C17292" s="63" t="s">
        <v>794</v>
      </c>
      <c r="D17292" s="791" t="s">
        <v>11640</v>
      </c>
      <c r="E17292" s="58">
        <v>1600</v>
      </c>
      <c r="F17292" s="58"/>
      <c r="G17292" s="126">
        <f t="shared" si="276"/>
        <v>-1600</v>
      </c>
      <c r="H17292" s="705" t="s">
        <v>11244</v>
      </c>
    </row>
    <row r="17293" spans="1:8" ht="15" x14ac:dyDescent="0.2">
      <c r="A17293" s="734">
        <v>45230</v>
      </c>
      <c r="B17293" s="41" t="s">
        <v>103</v>
      </c>
      <c r="C17293" s="63" t="s">
        <v>103</v>
      </c>
      <c r="D17293" s="791" t="s">
        <v>10211</v>
      </c>
      <c r="E17293" s="58">
        <v>3000</v>
      </c>
      <c r="F17293" s="58"/>
      <c r="G17293" s="126">
        <f t="shared" si="276"/>
        <v>-3000</v>
      </c>
      <c r="H17293" s="705" t="s">
        <v>11244</v>
      </c>
    </row>
    <row r="17294" spans="1:8" ht="15" x14ac:dyDescent="0.2">
      <c r="A17294" s="733">
        <v>45205</v>
      </c>
      <c r="B17294" s="174" t="s">
        <v>10232</v>
      </c>
      <c r="C17294" s="174" t="s">
        <v>9549</v>
      </c>
      <c r="D17294" s="228" t="s">
        <v>11273</v>
      </c>
      <c r="E17294" s="236">
        <v>100000</v>
      </c>
      <c r="F17294" s="236"/>
      <c r="G17294" s="236">
        <f t="shared" si="276"/>
        <v>-100000</v>
      </c>
      <c r="H17294" s="709" t="s">
        <v>11244</v>
      </c>
    </row>
    <row r="17295" spans="1:8" ht="15" x14ac:dyDescent="0.2">
      <c r="A17295" s="733">
        <v>45208</v>
      </c>
      <c r="B17295" s="174" t="s">
        <v>10576</v>
      </c>
      <c r="C17295" s="174" t="s">
        <v>8251</v>
      </c>
      <c r="D17295" s="228" t="s">
        <v>11274</v>
      </c>
      <c r="E17295" s="236">
        <v>200000</v>
      </c>
      <c r="F17295" s="236"/>
      <c r="G17295" s="236">
        <f t="shared" si="276"/>
        <v>-200000</v>
      </c>
      <c r="H17295" s="709" t="s">
        <v>11244</v>
      </c>
    </row>
    <row r="17296" spans="1:8" ht="15" x14ac:dyDescent="0.2">
      <c r="A17296" s="733">
        <v>45208</v>
      </c>
      <c r="B17296" s="174" t="s">
        <v>9356</v>
      </c>
      <c r="C17296" s="174" t="s">
        <v>8251</v>
      </c>
      <c r="D17296" s="228" t="s">
        <v>11275</v>
      </c>
      <c r="E17296" s="236">
        <v>100000</v>
      </c>
      <c r="F17296" s="236"/>
      <c r="G17296" s="236">
        <f t="shared" si="276"/>
        <v>-100000</v>
      </c>
      <c r="H17296" s="709" t="s">
        <v>11244</v>
      </c>
    </row>
    <row r="17297" spans="1:8" ht="15" x14ac:dyDescent="0.2">
      <c r="A17297" s="733">
        <v>45208</v>
      </c>
      <c r="B17297" s="174" t="s">
        <v>3946</v>
      </c>
      <c r="C17297" s="174" t="s">
        <v>3003</v>
      </c>
      <c r="D17297" s="228" t="s">
        <v>11276</v>
      </c>
      <c r="E17297" s="236">
        <v>32760</v>
      </c>
      <c r="F17297" s="236"/>
      <c r="G17297" s="236">
        <f t="shared" si="276"/>
        <v>-32760</v>
      </c>
      <c r="H17297" s="709" t="s">
        <v>11244</v>
      </c>
    </row>
    <row r="17298" spans="1:8" ht="15" x14ac:dyDescent="0.2">
      <c r="A17298" s="733">
        <v>45208</v>
      </c>
      <c r="B17298" s="174" t="s">
        <v>3945</v>
      </c>
      <c r="C17298" s="174" t="s">
        <v>3003</v>
      </c>
      <c r="D17298" s="228" t="s">
        <v>11276</v>
      </c>
      <c r="E17298" s="236">
        <v>35360</v>
      </c>
      <c r="F17298" s="236"/>
      <c r="G17298" s="236">
        <f t="shared" si="276"/>
        <v>-35360</v>
      </c>
      <c r="H17298" s="709" t="s">
        <v>11244</v>
      </c>
    </row>
    <row r="17299" spans="1:8" ht="15" x14ac:dyDescent="0.2">
      <c r="A17299" s="733">
        <v>45208</v>
      </c>
      <c r="B17299" s="174" t="s">
        <v>9409</v>
      </c>
      <c r="C17299" s="174" t="s">
        <v>3003</v>
      </c>
      <c r="D17299" s="228" t="s">
        <v>11276</v>
      </c>
      <c r="E17299" s="236">
        <v>89674</v>
      </c>
      <c r="F17299" s="236"/>
      <c r="G17299" s="236">
        <f t="shared" si="276"/>
        <v>-89674</v>
      </c>
      <c r="H17299" s="709" t="s">
        <v>11244</v>
      </c>
    </row>
    <row r="17300" spans="1:8" ht="15" x14ac:dyDescent="0.2">
      <c r="A17300" s="733">
        <v>45210</v>
      </c>
      <c r="B17300" s="174" t="s">
        <v>10908</v>
      </c>
      <c r="C17300" s="174" t="s">
        <v>7223</v>
      </c>
      <c r="D17300" s="228" t="s">
        <v>11323</v>
      </c>
      <c r="E17300" s="236">
        <v>300000</v>
      </c>
      <c r="F17300" s="236"/>
      <c r="G17300" s="236">
        <f t="shared" si="276"/>
        <v>-300000</v>
      </c>
      <c r="H17300" s="709" t="s">
        <v>11244</v>
      </c>
    </row>
    <row r="17301" spans="1:8" ht="15" customHeight="1" x14ac:dyDescent="0.2">
      <c r="A17301" s="733">
        <v>45210</v>
      </c>
      <c r="B17301" s="174" t="s">
        <v>10576</v>
      </c>
      <c r="C17301" s="174" t="s">
        <v>7223</v>
      </c>
      <c r="D17301" s="228" t="s">
        <v>11321</v>
      </c>
      <c r="E17301" s="236">
        <v>198000</v>
      </c>
      <c r="F17301" s="236"/>
      <c r="G17301" s="236">
        <f t="shared" si="276"/>
        <v>-198000</v>
      </c>
      <c r="H17301" s="709" t="s">
        <v>11244</v>
      </c>
    </row>
    <row r="17302" spans="1:8" ht="15" x14ac:dyDescent="0.2">
      <c r="A17302" s="733">
        <v>45210</v>
      </c>
      <c r="B17302" s="174" t="s">
        <v>10908</v>
      </c>
      <c r="C17302" s="174" t="s">
        <v>7223</v>
      </c>
      <c r="D17302" s="228" t="s">
        <v>11322</v>
      </c>
      <c r="E17302" s="236">
        <v>200000</v>
      </c>
      <c r="F17302" s="236"/>
      <c r="G17302" s="236">
        <f t="shared" si="276"/>
        <v>-200000</v>
      </c>
      <c r="H17302" s="709" t="s">
        <v>11244</v>
      </c>
    </row>
    <row r="17303" spans="1:8" ht="15" x14ac:dyDescent="0.2">
      <c r="A17303" s="733">
        <v>45211</v>
      </c>
      <c r="B17303" s="174" t="s">
        <v>10232</v>
      </c>
      <c r="C17303" s="551" t="s">
        <v>9549</v>
      </c>
      <c r="D17303" s="740" t="s">
        <v>11396</v>
      </c>
      <c r="E17303" s="552">
        <v>142000</v>
      </c>
      <c r="F17303" s="236"/>
      <c r="G17303" s="236">
        <f t="shared" si="276"/>
        <v>-142000</v>
      </c>
      <c r="H17303" s="709" t="s">
        <v>11244</v>
      </c>
    </row>
    <row r="17304" spans="1:8" ht="15" x14ac:dyDescent="0.2">
      <c r="A17304" s="733">
        <v>45211</v>
      </c>
      <c r="B17304" s="174" t="s">
        <v>8868</v>
      </c>
      <c r="C17304" s="551" t="s">
        <v>9549</v>
      </c>
      <c r="D17304" s="740" t="s">
        <v>11396</v>
      </c>
      <c r="E17304" s="552">
        <v>10000</v>
      </c>
      <c r="F17304" s="236"/>
      <c r="G17304" s="236">
        <f t="shared" si="276"/>
        <v>-10000</v>
      </c>
      <c r="H17304" s="709" t="s">
        <v>11244</v>
      </c>
    </row>
    <row r="17305" spans="1:8" ht="15" x14ac:dyDescent="0.2">
      <c r="A17305" s="733">
        <v>45217</v>
      </c>
      <c r="B17305" s="174" t="s">
        <v>9769</v>
      </c>
      <c r="C17305" s="174" t="s">
        <v>8900</v>
      </c>
      <c r="D17305" s="228" t="s">
        <v>11397</v>
      </c>
      <c r="E17305" s="236">
        <v>200000</v>
      </c>
      <c r="F17305" s="236"/>
      <c r="G17305" s="236">
        <f t="shared" si="276"/>
        <v>-200000</v>
      </c>
      <c r="H17305" s="709" t="s">
        <v>11244</v>
      </c>
    </row>
    <row r="17306" spans="1:8" ht="15" x14ac:dyDescent="0.2">
      <c r="A17306" s="733">
        <v>45217</v>
      </c>
      <c r="B17306" s="174" t="s">
        <v>10232</v>
      </c>
      <c r="C17306" s="174" t="s">
        <v>11400</v>
      </c>
      <c r="D17306" s="228" t="s">
        <v>11401</v>
      </c>
      <c r="E17306" s="236">
        <v>130000</v>
      </c>
      <c r="F17306" s="236"/>
      <c r="G17306" s="236">
        <f t="shared" si="276"/>
        <v>-130000</v>
      </c>
      <c r="H17306" s="709" t="s">
        <v>11244</v>
      </c>
    </row>
    <row r="17307" spans="1:8" ht="15" x14ac:dyDescent="0.2">
      <c r="A17307" s="733">
        <v>45219</v>
      </c>
      <c r="B17307" s="174" t="s">
        <v>10576</v>
      </c>
      <c r="C17307" s="174" t="s">
        <v>11029</v>
      </c>
      <c r="D17307" s="228" t="s">
        <v>11415</v>
      </c>
      <c r="E17307" s="236">
        <v>100000</v>
      </c>
      <c r="F17307" s="236"/>
      <c r="G17307" s="236">
        <f t="shared" si="276"/>
        <v>-100000</v>
      </c>
      <c r="H17307" s="709" t="s">
        <v>11244</v>
      </c>
    </row>
    <row r="17308" spans="1:8" ht="15" x14ac:dyDescent="0.2">
      <c r="A17308" s="733">
        <v>45219</v>
      </c>
      <c r="B17308" s="174" t="s">
        <v>9769</v>
      </c>
      <c r="C17308" s="174" t="s">
        <v>11428</v>
      </c>
      <c r="D17308" s="228" t="s">
        <v>11439</v>
      </c>
      <c r="E17308" s="236">
        <v>200000</v>
      </c>
      <c r="F17308" s="236"/>
      <c r="G17308" s="236">
        <f t="shared" si="276"/>
        <v>-200000</v>
      </c>
      <c r="H17308" s="709" t="s">
        <v>11244</v>
      </c>
    </row>
    <row r="17309" spans="1:8" ht="15" x14ac:dyDescent="0.2">
      <c r="A17309" s="733">
        <v>45224</v>
      </c>
      <c r="B17309" s="174" t="s">
        <v>11007</v>
      </c>
      <c r="C17309" s="174" t="s">
        <v>9474</v>
      </c>
      <c r="D17309" s="228" t="s">
        <v>11476</v>
      </c>
      <c r="E17309" s="236">
        <v>39000</v>
      </c>
      <c r="F17309" s="236"/>
      <c r="G17309" s="236">
        <f t="shared" si="276"/>
        <v>-39000</v>
      </c>
      <c r="H17309" s="709" t="s">
        <v>11244</v>
      </c>
    </row>
    <row r="17310" spans="1:8" ht="24" x14ac:dyDescent="0.2">
      <c r="A17310" s="733">
        <v>45225</v>
      </c>
      <c r="B17310" s="174" t="s">
        <v>10232</v>
      </c>
      <c r="C17310" s="551" t="s">
        <v>3145</v>
      </c>
      <c r="D17310" s="740" t="s">
        <v>11478</v>
      </c>
      <c r="E17310" s="552">
        <v>46667</v>
      </c>
      <c r="F17310" s="236"/>
      <c r="G17310" s="236">
        <f t="shared" si="276"/>
        <v>-46667</v>
      </c>
      <c r="H17310" s="709" t="s">
        <v>11244</v>
      </c>
    </row>
    <row r="17311" spans="1:8" ht="24" x14ac:dyDescent="0.2">
      <c r="A17311" s="733">
        <v>45225</v>
      </c>
      <c r="B17311" s="174" t="s">
        <v>10908</v>
      </c>
      <c r="C17311" s="551" t="s">
        <v>3145</v>
      </c>
      <c r="D17311" s="740" t="s">
        <v>11478</v>
      </c>
      <c r="E17311" s="552">
        <v>46667</v>
      </c>
      <c r="F17311" s="236"/>
      <c r="G17311" s="236">
        <f t="shared" si="276"/>
        <v>-46667</v>
      </c>
      <c r="H17311" s="709" t="s">
        <v>11244</v>
      </c>
    </row>
    <row r="17312" spans="1:8" ht="24" x14ac:dyDescent="0.2">
      <c r="A17312" s="733">
        <v>45225</v>
      </c>
      <c r="B17312" s="174" t="s">
        <v>10576</v>
      </c>
      <c r="C17312" s="551" t="s">
        <v>3145</v>
      </c>
      <c r="D17312" s="740" t="s">
        <v>11478</v>
      </c>
      <c r="E17312" s="552">
        <v>46666</v>
      </c>
      <c r="F17312" s="236"/>
      <c r="G17312" s="236">
        <f t="shared" si="276"/>
        <v>-46666</v>
      </c>
      <c r="H17312" s="709" t="s">
        <v>11244</v>
      </c>
    </row>
    <row r="17313" spans="1:8" ht="15" x14ac:dyDescent="0.2">
      <c r="A17313" s="733">
        <v>45227</v>
      </c>
      <c r="B17313" s="174" t="s">
        <v>10379</v>
      </c>
      <c r="C17313" s="174" t="s">
        <v>5681</v>
      </c>
      <c r="D17313" s="228" t="s">
        <v>11501</v>
      </c>
      <c r="E17313" s="236">
        <v>200000</v>
      </c>
      <c r="F17313" s="236"/>
      <c r="G17313" s="236">
        <f t="shared" si="276"/>
        <v>-200000</v>
      </c>
      <c r="H17313" s="709" t="s">
        <v>11244</v>
      </c>
    </row>
    <row r="17314" spans="1:8" ht="15" x14ac:dyDescent="0.2">
      <c r="A17314" s="733">
        <v>45227</v>
      </c>
      <c r="B17314" s="174" t="s">
        <v>10232</v>
      </c>
      <c r="C17314" s="174" t="s">
        <v>3446</v>
      </c>
      <c r="D17314" s="228" t="s">
        <v>11502</v>
      </c>
      <c r="E17314" s="236">
        <v>100000</v>
      </c>
      <c r="F17314" s="236"/>
      <c r="G17314" s="236">
        <f t="shared" si="276"/>
        <v>-100000</v>
      </c>
      <c r="H17314" s="709" t="s">
        <v>11244</v>
      </c>
    </row>
    <row r="17315" spans="1:8" ht="15" x14ac:dyDescent="0.2">
      <c r="A17315" s="733">
        <v>45230</v>
      </c>
      <c r="B17315" s="174" t="s">
        <v>10908</v>
      </c>
      <c r="C17315" s="174" t="s">
        <v>11536</v>
      </c>
      <c r="D17315" s="228" t="s">
        <v>11537</v>
      </c>
      <c r="E17315" s="236">
        <v>300000</v>
      </c>
      <c r="F17315" s="236"/>
      <c r="G17315" s="236">
        <f t="shared" si="276"/>
        <v>-300000</v>
      </c>
      <c r="H17315" s="709" t="s">
        <v>11244</v>
      </c>
    </row>
    <row r="17316" spans="1:8" ht="15" x14ac:dyDescent="0.2">
      <c r="A17316" s="733">
        <v>45230</v>
      </c>
      <c r="B17316" s="174" t="s">
        <v>10471</v>
      </c>
      <c r="C17316" s="174" t="s">
        <v>9460</v>
      </c>
      <c r="D17316" s="228" t="s">
        <v>11538</v>
      </c>
      <c r="E17316" s="236">
        <v>100000</v>
      </c>
      <c r="F17316" s="236"/>
      <c r="G17316" s="236">
        <f t="shared" si="276"/>
        <v>-100000</v>
      </c>
      <c r="H17316" s="709" t="s">
        <v>11244</v>
      </c>
    </row>
    <row r="17317" spans="1:8" ht="15" x14ac:dyDescent="0.2">
      <c r="A17317" s="730">
        <v>45201</v>
      </c>
      <c r="B17317" s="91" t="s">
        <v>9967</v>
      </c>
      <c r="C17317" s="94" t="s">
        <v>559</v>
      </c>
      <c r="D17317" s="892" t="s">
        <v>11232</v>
      </c>
      <c r="E17317" s="92"/>
      <c r="F17317" s="92">
        <v>1000000</v>
      </c>
      <c r="G17317" s="176">
        <f t="shared" si="276"/>
        <v>1000000</v>
      </c>
      <c r="H17317" s="702" t="s">
        <v>11244</v>
      </c>
    </row>
    <row r="17318" spans="1:8" ht="15" x14ac:dyDescent="0.2">
      <c r="A17318" s="730">
        <v>45202</v>
      </c>
      <c r="B17318" s="91" t="s">
        <v>10471</v>
      </c>
      <c r="C17318" s="94" t="s">
        <v>559</v>
      </c>
      <c r="D17318" s="892" t="s">
        <v>11233</v>
      </c>
      <c r="E17318" s="92"/>
      <c r="F17318" s="92">
        <v>1380000</v>
      </c>
      <c r="G17318" s="176">
        <f t="shared" si="276"/>
        <v>1380000</v>
      </c>
      <c r="H17318" s="702" t="s">
        <v>11244</v>
      </c>
    </row>
    <row r="17319" spans="1:8" ht="15" x14ac:dyDescent="0.2">
      <c r="A17319" s="730">
        <v>45202</v>
      </c>
      <c r="B17319" s="91" t="s">
        <v>8043</v>
      </c>
      <c r="C17319" s="94" t="s">
        <v>559</v>
      </c>
      <c r="D17319" s="892" t="s">
        <v>11233</v>
      </c>
      <c r="E17319" s="92"/>
      <c r="F17319" s="92">
        <v>2000000</v>
      </c>
      <c r="G17319" s="176">
        <f t="shared" si="276"/>
        <v>2000000</v>
      </c>
      <c r="H17319" s="702" t="s">
        <v>11244</v>
      </c>
    </row>
    <row r="17320" spans="1:8" ht="15" x14ac:dyDescent="0.2">
      <c r="A17320" s="730">
        <v>45205</v>
      </c>
      <c r="B17320" s="91" t="s">
        <v>11271</v>
      </c>
      <c r="C17320" s="94" t="s">
        <v>559</v>
      </c>
      <c r="D17320" s="892" t="s">
        <v>11270</v>
      </c>
      <c r="E17320" s="92"/>
      <c r="F17320" s="92">
        <v>1300000</v>
      </c>
      <c r="G17320" s="176">
        <f t="shared" si="276"/>
        <v>1300000</v>
      </c>
      <c r="H17320" s="702" t="s">
        <v>11244</v>
      </c>
    </row>
    <row r="17321" spans="1:8" ht="15" x14ac:dyDescent="0.2">
      <c r="A17321" s="730">
        <v>45208</v>
      </c>
      <c r="B17321" s="91" t="s">
        <v>3945</v>
      </c>
      <c r="C17321" s="94" t="s">
        <v>559</v>
      </c>
      <c r="D17321" s="892" t="s">
        <v>11306</v>
      </c>
      <c r="E17321" s="92"/>
      <c r="F17321" s="92">
        <v>333522</v>
      </c>
      <c r="G17321" s="176">
        <f t="shared" si="276"/>
        <v>333522</v>
      </c>
      <c r="H17321" s="702" t="s">
        <v>11244</v>
      </c>
    </row>
    <row r="17322" spans="1:8" ht="15" x14ac:dyDescent="0.2">
      <c r="A17322" s="730">
        <v>45209</v>
      </c>
      <c r="B17322" s="91" t="s">
        <v>9409</v>
      </c>
      <c r="C17322" s="94" t="s">
        <v>559</v>
      </c>
      <c r="D17322" s="892" t="s">
        <v>11327</v>
      </c>
      <c r="E17322" s="92"/>
      <c r="F17322" s="92">
        <v>3144567</v>
      </c>
      <c r="G17322" s="176">
        <f t="shared" si="276"/>
        <v>3144567</v>
      </c>
      <c r="H17322" s="702" t="s">
        <v>11244</v>
      </c>
    </row>
    <row r="17323" spans="1:8" ht="15" x14ac:dyDescent="0.2">
      <c r="A17323" s="730">
        <v>45212</v>
      </c>
      <c r="B17323" s="91" t="s">
        <v>11007</v>
      </c>
      <c r="C17323" s="94" t="s">
        <v>559</v>
      </c>
      <c r="D17323" s="892" t="s">
        <v>11369</v>
      </c>
      <c r="E17323" s="92"/>
      <c r="F17323" s="92">
        <v>500000</v>
      </c>
      <c r="G17323" s="176">
        <f t="shared" si="276"/>
        <v>500000</v>
      </c>
      <c r="H17323" s="702" t="s">
        <v>11244</v>
      </c>
    </row>
    <row r="17324" spans="1:8" ht="15" x14ac:dyDescent="0.2">
      <c r="A17324" s="730">
        <v>45216</v>
      </c>
      <c r="B17324" s="91" t="s">
        <v>3946</v>
      </c>
      <c r="C17324" s="94" t="s">
        <v>559</v>
      </c>
      <c r="D17324" s="892" t="s">
        <v>11373</v>
      </c>
      <c r="E17324" s="92"/>
      <c r="F17324" s="92">
        <v>359992</v>
      </c>
      <c r="G17324" s="176">
        <f t="shared" si="276"/>
        <v>359992</v>
      </c>
      <c r="H17324" s="702" t="s">
        <v>11244</v>
      </c>
    </row>
    <row r="17325" spans="1:8" ht="15" x14ac:dyDescent="0.2">
      <c r="A17325" s="730">
        <v>45216</v>
      </c>
      <c r="B17325" s="91" t="s">
        <v>10576</v>
      </c>
      <c r="C17325" s="94" t="s">
        <v>559</v>
      </c>
      <c r="D17325" s="892" t="s">
        <v>11374</v>
      </c>
      <c r="E17325" s="92"/>
      <c r="F17325" s="92">
        <v>8710033</v>
      </c>
      <c r="G17325" s="176">
        <f t="shared" si="276"/>
        <v>8710033</v>
      </c>
      <c r="H17325" s="702" t="s">
        <v>11244</v>
      </c>
    </row>
    <row r="17326" spans="1:8" ht="15" x14ac:dyDescent="0.2">
      <c r="A17326" s="730">
        <v>45223</v>
      </c>
      <c r="B17326" s="91" t="s">
        <v>9356</v>
      </c>
      <c r="C17326" s="94" t="s">
        <v>559</v>
      </c>
      <c r="D17326" s="892" t="s">
        <v>11443</v>
      </c>
      <c r="E17326" s="92"/>
      <c r="F17326" s="92">
        <v>79650</v>
      </c>
      <c r="G17326" s="176">
        <f t="shared" si="276"/>
        <v>79650</v>
      </c>
      <c r="H17326" s="702" t="s">
        <v>11244</v>
      </c>
    </row>
    <row r="17327" spans="1:8" s="682" customFormat="1" ht="29.25" customHeight="1" x14ac:dyDescent="0.25">
      <c r="A17327" s="730">
        <v>45225</v>
      </c>
      <c r="B17327" s="94" t="s">
        <v>2933</v>
      </c>
      <c r="C17327" s="94" t="s">
        <v>559</v>
      </c>
      <c r="D17327" s="802" t="s">
        <v>11453</v>
      </c>
      <c r="E17327" s="176"/>
      <c r="F17327" s="176">
        <v>2352000</v>
      </c>
      <c r="G17327" s="176">
        <f t="shared" si="276"/>
        <v>2352000</v>
      </c>
      <c r="H17327" s="702" t="s">
        <v>11244</v>
      </c>
    </row>
    <row r="17328" spans="1:8" ht="15" x14ac:dyDescent="0.2">
      <c r="A17328" s="730">
        <v>45225</v>
      </c>
      <c r="B17328" s="91" t="s">
        <v>10576</v>
      </c>
      <c r="C17328" s="94" t="s">
        <v>559</v>
      </c>
      <c r="D17328" s="892" t="s">
        <v>11472</v>
      </c>
      <c r="E17328" s="92"/>
      <c r="F17328" s="92">
        <v>16172173</v>
      </c>
      <c r="G17328" s="176">
        <f t="shared" si="276"/>
        <v>16172173</v>
      </c>
      <c r="H17328" s="702" t="s">
        <v>11244</v>
      </c>
    </row>
    <row r="17329" spans="1:8" ht="15" x14ac:dyDescent="0.2">
      <c r="A17329" s="730">
        <v>45230</v>
      </c>
      <c r="B17329" s="91" t="s">
        <v>10471</v>
      </c>
      <c r="C17329" s="94" t="s">
        <v>559</v>
      </c>
      <c r="D17329" s="892" t="s">
        <v>11504</v>
      </c>
      <c r="E17329" s="92"/>
      <c r="F17329" s="92">
        <v>1500000</v>
      </c>
      <c r="G17329" s="176">
        <f t="shared" si="276"/>
        <v>1500000</v>
      </c>
      <c r="H17329" s="702" t="s">
        <v>11244</v>
      </c>
    </row>
    <row r="17330" spans="1:8" ht="15" x14ac:dyDescent="0.2">
      <c r="A17330" s="734">
        <v>45231</v>
      </c>
      <c r="B17330" s="41" t="s">
        <v>10908</v>
      </c>
      <c r="C17330" s="63" t="s">
        <v>10993</v>
      </c>
      <c r="D17330" s="791" t="s">
        <v>11531</v>
      </c>
      <c r="E17330" s="58">
        <v>1820</v>
      </c>
      <c r="F17330" s="58"/>
      <c r="G17330" s="126">
        <f t="shared" si="276"/>
        <v>-1820</v>
      </c>
      <c r="H17330" s="705" t="s">
        <v>11523</v>
      </c>
    </row>
    <row r="17331" spans="1:8" ht="15" x14ac:dyDescent="0.2">
      <c r="A17331" s="734">
        <v>45231</v>
      </c>
      <c r="B17331" s="41" t="s">
        <v>11093</v>
      </c>
      <c r="C17331" s="63" t="s">
        <v>5741</v>
      </c>
      <c r="D17331" s="791" t="s">
        <v>11532</v>
      </c>
      <c r="E17331" s="58">
        <v>1500</v>
      </c>
      <c r="F17331" s="58"/>
      <c r="G17331" s="126">
        <f t="shared" si="276"/>
        <v>-1500</v>
      </c>
      <c r="H17331" s="705" t="s">
        <v>11523</v>
      </c>
    </row>
    <row r="17332" spans="1:8" ht="15" x14ac:dyDescent="0.2">
      <c r="A17332" s="734">
        <v>45231</v>
      </c>
      <c r="B17332" s="41" t="s">
        <v>25</v>
      </c>
      <c r="C17332" s="63" t="s">
        <v>14</v>
      </c>
      <c r="D17332" s="791" t="s">
        <v>11551</v>
      </c>
      <c r="E17332" s="58">
        <v>15000</v>
      </c>
      <c r="F17332" s="58"/>
      <c r="G17332" s="126">
        <f t="shared" si="276"/>
        <v>-15000</v>
      </c>
      <c r="H17332" s="705" t="s">
        <v>11523</v>
      </c>
    </row>
    <row r="17333" spans="1:8" ht="15" x14ac:dyDescent="0.2">
      <c r="A17333" s="734">
        <v>45231</v>
      </c>
      <c r="B17333" s="41" t="s">
        <v>11093</v>
      </c>
      <c r="C17333" s="63" t="s">
        <v>11552</v>
      </c>
      <c r="D17333" s="791" t="s">
        <v>11553</v>
      </c>
      <c r="E17333" s="58">
        <v>8000</v>
      </c>
      <c r="F17333" s="58"/>
      <c r="G17333" s="126">
        <f t="shared" si="276"/>
        <v>-8000</v>
      </c>
      <c r="H17333" s="705" t="s">
        <v>11523</v>
      </c>
    </row>
    <row r="17334" spans="1:8" ht="15" x14ac:dyDescent="0.2">
      <c r="A17334" s="734">
        <v>45231</v>
      </c>
      <c r="B17334" s="41" t="s">
        <v>11446</v>
      </c>
      <c r="C17334" s="63" t="s">
        <v>5741</v>
      </c>
      <c r="D17334" s="791" t="s">
        <v>370</v>
      </c>
      <c r="E17334" s="58">
        <v>3000</v>
      </c>
      <c r="F17334" s="58"/>
      <c r="G17334" s="126">
        <f t="shared" si="276"/>
        <v>-3000</v>
      </c>
      <c r="H17334" s="705" t="s">
        <v>11523</v>
      </c>
    </row>
    <row r="17335" spans="1:8" ht="15" x14ac:dyDescent="0.2">
      <c r="A17335" s="734">
        <v>45231</v>
      </c>
      <c r="B17335" s="41" t="s">
        <v>103</v>
      </c>
      <c r="C17335" s="63" t="s">
        <v>103</v>
      </c>
      <c r="D17335" s="791" t="s">
        <v>10211</v>
      </c>
      <c r="E17335" s="58">
        <v>3000</v>
      </c>
      <c r="F17335" s="58"/>
      <c r="G17335" s="126">
        <f t="shared" si="276"/>
        <v>-3000</v>
      </c>
      <c r="H17335" s="705" t="s">
        <v>11523</v>
      </c>
    </row>
    <row r="17336" spans="1:8" ht="15" x14ac:dyDescent="0.2">
      <c r="A17336" s="734">
        <v>45231</v>
      </c>
      <c r="B17336" s="41" t="s">
        <v>9986</v>
      </c>
      <c r="C17336" s="63" t="s">
        <v>10993</v>
      </c>
      <c r="D17336" s="791" t="s">
        <v>6057</v>
      </c>
      <c r="E17336" s="58">
        <v>14370</v>
      </c>
      <c r="F17336" s="58"/>
      <c r="G17336" s="126">
        <f t="shared" si="276"/>
        <v>-14370</v>
      </c>
      <c r="H17336" s="705" t="s">
        <v>11523</v>
      </c>
    </row>
    <row r="17337" spans="1:8" ht="15" x14ac:dyDescent="0.2">
      <c r="A17337" s="734">
        <v>45231</v>
      </c>
      <c r="B17337" s="41" t="s">
        <v>9986</v>
      </c>
      <c r="C17337" s="63" t="s">
        <v>10993</v>
      </c>
      <c r="D17337" s="791" t="s">
        <v>6057</v>
      </c>
      <c r="E17337" s="58">
        <v>7440</v>
      </c>
      <c r="F17337" s="58"/>
      <c r="G17337" s="126">
        <f t="shared" si="276"/>
        <v>-7440</v>
      </c>
      <c r="H17337" s="705" t="s">
        <v>11523</v>
      </c>
    </row>
    <row r="17338" spans="1:8" ht="15" x14ac:dyDescent="0.2">
      <c r="A17338" s="734">
        <v>45231</v>
      </c>
      <c r="B17338" s="41" t="s">
        <v>9986</v>
      </c>
      <c r="C17338" s="63" t="s">
        <v>10993</v>
      </c>
      <c r="D17338" s="791" t="s">
        <v>6057</v>
      </c>
      <c r="E17338" s="58">
        <v>15360</v>
      </c>
      <c r="F17338" s="58"/>
      <c r="G17338" s="126">
        <f t="shared" si="276"/>
        <v>-15360</v>
      </c>
      <c r="H17338" s="705" t="s">
        <v>11523</v>
      </c>
    </row>
    <row r="17339" spans="1:8" ht="15" x14ac:dyDescent="0.2">
      <c r="A17339" s="734">
        <v>45231</v>
      </c>
      <c r="B17339" s="41" t="s">
        <v>9986</v>
      </c>
      <c r="C17339" s="63" t="s">
        <v>10993</v>
      </c>
      <c r="D17339" s="791" t="s">
        <v>6057</v>
      </c>
      <c r="E17339" s="58">
        <v>18350</v>
      </c>
      <c r="F17339" s="58"/>
      <c r="G17339" s="126">
        <f t="shared" si="276"/>
        <v>-18350</v>
      </c>
      <c r="H17339" s="705" t="s">
        <v>11523</v>
      </c>
    </row>
    <row r="17340" spans="1:8" ht="15" x14ac:dyDescent="0.2">
      <c r="A17340" s="734">
        <v>45231</v>
      </c>
      <c r="B17340" s="41" t="s">
        <v>9986</v>
      </c>
      <c r="C17340" s="63" t="s">
        <v>10993</v>
      </c>
      <c r="D17340" s="791" t="s">
        <v>6057</v>
      </c>
      <c r="E17340" s="58">
        <v>139900</v>
      </c>
      <c r="F17340" s="58"/>
      <c r="G17340" s="126">
        <f t="shared" si="276"/>
        <v>-139900</v>
      </c>
      <c r="H17340" s="705" t="s">
        <v>11523</v>
      </c>
    </row>
    <row r="17341" spans="1:8" ht="15" x14ac:dyDescent="0.2">
      <c r="A17341" s="734">
        <v>45232</v>
      </c>
      <c r="B17341" s="41" t="s">
        <v>11554</v>
      </c>
      <c r="C17341" s="63"/>
      <c r="D17341" s="791" t="s">
        <v>11555</v>
      </c>
      <c r="E17341" s="58">
        <v>12500</v>
      </c>
      <c r="F17341" s="58"/>
      <c r="G17341" s="126">
        <f t="shared" si="276"/>
        <v>-12500</v>
      </c>
      <c r="H17341" s="705" t="s">
        <v>11523</v>
      </c>
    </row>
    <row r="17342" spans="1:8" ht="15" x14ac:dyDescent="0.2">
      <c r="A17342" s="734">
        <v>45232</v>
      </c>
      <c r="B17342" s="41" t="s">
        <v>10379</v>
      </c>
      <c r="C17342" s="63" t="s">
        <v>392</v>
      </c>
      <c r="D17342" s="791" t="s">
        <v>11556</v>
      </c>
      <c r="E17342" s="58">
        <v>650</v>
      </c>
      <c r="F17342" s="58"/>
      <c r="G17342" s="126">
        <f t="shared" si="276"/>
        <v>-650</v>
      </c>
      <c r="H17342" s="705" t="s">
        <v>11523</v>
      </c>
    </row>
    <row r="17343" spans="1:8" ht="15" x14ac:dyDescent="0.2">
      <c r="A17343" s="734">
        <v>45232</v>
      </c>
      <c r="B17343" s="41" t="s">
        <v>9769</v>
      </c>
      <c r="C17343" s="63" t="s">
        <v>5741</v>
      </c>
      <c r="D17343" s="791" t="s">
        <v>11556</v>
      </c>
      <c r="E17343" s="58">
        <v>600</v>
      </c>
      <c r="F17343" s="58"/>
      <c r="G17343" s="126">
        <f t="shared" ref="G17343:G17406" si="277">F17343-E17343</f>
        <v>-600</v>
      </c>
      <c r="H17343" s="705" t="s">
        <v>11523</v>
      </c>
    </row>
    <row r="17344" spans="1:8" ht="15" x14ac:dyDescent="0.2">
      <c r="A17344" s="734">
        <v>45232</v>
      </c>
      <c r="B17344" s="41" t="s">
        <v>11446</v>
      </c>
      <c r="C17344" s="63" t="s">
        <v>10993</v>
      </c>
      <c r="D17344" s="791" t="s">
        <v>11557</v>
      </c>
      <c r="E17344" s="58">
        <v>2350</v>
      </c>
      <c r="F17344" s="58"/>
      <c r="G17344" s="126">
        <f t="shared" si="277"/>
        <v>-2350</v>
      </c>
      <c r="H17344" s="705" t="s">
        <v>11523</v>
      </c>
    </row>
    <row r="17345" spans="1:8" ht="15" x14ac:dyDescent="0.2">
      <c r="A17345" s="734">
        <v>45232</v>
      </c>
      <c r="B17345" s="41" t="s">
        <v>11446</v>
      </c>
      <c r="C17345" s="63" t="s">
        <v>10993</v>
      </c>
      <c r="D17345" s="791" t="s">
        <v>10868</v>
      </c>
      <c r="E17345" s="58">
        <v>9000</v>
      </c>
      <c r="F17345" s="58"/>
      <c r="G17345" s="126">
        <f t="shared" si="277"/>
        <v>-9000</v>
      </c>
      <c r="H17345" s="705" t="s">
        <v>11523</v>
      </c>
    </row>
    <row r="17346" spans="1:8" ht="15" x14ac:dyDescent="0.2">
      <c r="A17346" s="734">
        <v>45232</v>
      </c>
      <c r="B17346" s="41" t="s">
        <v>9986</v>
      </c>
      <c r="C17346" s="63" t="s">
        <v>5741</v>
      </c>
      <c r="D17346" s="791" t="s">
        <v>370</v>
      </c>
      <c r="E17346" s="58">
        <v>3000</v>
      </c>
      <c r="F17346" s="58"/>
      <c r="G17346" s="126">
        <f t="shared" si="277"/>
        <v>-3000</v>
      </c>
      <c r="H17346" s="705" t="s">
        <v>11523</v>
      </c>
    </row>
    <row r="17347" spans="1:8" ht="15" x14ac:dyDescent="0.2">
      <c r="A17347" s="734">
        <v>45232</v>
      </c>
      <c r="B17347" s="41" t="s">
        <v>9986</v>
      </c>
      <c r="C17347" s="63" t="s">
        <v>5741</v>
      </c>
      <c r="D17347" s="791" t="s">
        <v>370</v>
      </c>
      <c r="E17347" s="58">
        <v>200</v>
      </c>
      <c r="F17347" s="58"/>
      <c r="G17347" s="126">
        <f t="shared" si="277"/>
        <v>-200</v>
      </c>
      <c r="H17347" s="705" t="s">
        <v>11523</v>
      </c>
    </row>
    <row r="17348" spans="1:8" ht="15" x14ac:dyDescent="0.2">
      <c r="A17348" s="734">
        <v>45232</v>
      </c>
      <c r="B17348" s="41" t="s">
        <v>10908</v>
      </c>
      <c r="C17348" s="63" t="s">
        <v>11558</v>
      </c>
      <c r="D17348" s="791" t="s">
        <v>11559</v>
      </c>
      <c r="E17348" s="58">
        <v>147310</v>
      </c>
      <c r="F17348" s="58"/>
      <c r="G17348" s="126">
        <f t="shared" si="277"/>
        <v>-147310</v>
      </c>
      <c r="H17348" s="705" t="s">
        <v>11523</v>
      </c>
    </row>
    <row r="17349" spans="1:8" ht="15" x14ac:dyDescent="0.2">
      <c r="A17349" s="734">
        <v>45232</v>
      </c>
      <c r="B17349" s="41" t="s">
        <v>11446</v>
      </c>
      <c r="C17349" s="63" t="s">
        <v>11560</v>
      </c>
      <c r="D17349" s="791" t="s">
        <v>10721</v>
      </c>
      <c r="E17349" s="58">
        <v>100000</v>
      </c>
      <c r="F17349" s="58"/>
      <c r="G17349" s="126">
        <f t="shared" si="277"/>
        <v>-100000</v>
      </c>
      <c r="H17349" s="705" t="s">
        <v>11523</v>
      </c>
    </row>
    <row r="17350" spans="1:8" ht="15" x14ac:dyDescent="0.2">
      <c r="A17350" s="734">
        <v>45232</v>
      </c>
      <c r="B17350" s="41" t="s">
        <v>9986</v>
      </c>
      <c r="C17350" s="63" t="s">
        <v>9775</v>
      </c>
      <c r="D17350" s="791" t="s">
        <v>11561</v>
      </c>
      <c r="E17350" s="58">
        <v>56840</v>
      </c>
      <c r="F17350" s="58"/>
      <c r="G17350" s="126">
        <f t="shared" si="277"/>
        <v>-56840</v>
      </c>
      <c r="H17350" s="705" t="s">
        <v>11523</v>
      </c>
    </row>
    <row r="17351" spans="1:8" ht="15" x14ac:dyDescent="0.2">
      <c r="A17351" s="734">
        <v>45233</v>
      </c>
      <c r="B17351" s="41" t="s">
        <v>10232</v>
      </c>
      <c r="C17351" s="63" t="s">
        <v>10993</v>
      </c>
      <c r="D17351" s="791" t="s">
        <v>11563</v>
      </c>
      <c r="E17351" s="58">
        <v>2880</v>
      </c>
      <c r="F17351" s="58"/>
      <c r="G17351" s="126">
        <f t="shared" si="277"/>
        <v>-2880</v>
      </c>
      <c r="H17351" s="705" t="s">
        <v>11523</v>
      </c>
    </row>
    <row r="17352" spans="1:8" ht="15" customHeight="1" x14ac:dyDescent="0.2">
      <c r="A17352" s="734">
        <v>45233</v>
      </c>
      <c r="B17352" s="41" t="s">
        <v>103</v>
      </c>
      <c r="C17352" s="63" t="s">
        <v>103</v>
      </c>
      <c r="D17352" s="791" t="s">
        <v>10211</v>
      </c>
      <c r="E17352" s="58">
        <v>3000</v>
      </c>
      <c r="F17352" s="58"/>
      <c r="G17352" s="126">
        <f t="shared" si="277"/>
        <v>-3000</v>
      </c>
      <c r="H17352" s="705" t="s">
        <v>11523</v>
      </c>
    </row>
    <row r="17353" spans="1:8" ht="15" customHeight="1" x14ac:dyDescent="0.2">
      <c r="A17353" s="734">
        <v>45233</v>
      </c>
      <c r="B17353" s="41" t="s">
        <v>11271</v>
      </c>
      <c r="C17353" s="63" t="s">
        <v>5387</v>
      </c>
      <c r="D17353" s="791" t="s">
        <v>11564</v>
      </c>
      <c r="E17353" s="58">
        <v>4500</v>
      </c>
      <c r="F17353" s="58"/>
      <c r="G17353" s="126">
        <f t="shared" si="277"/>
        <v>-4500</v>
      </c>
      <c r="H17353" s="705" t="s">
        <v>11523</v>
      </c>
    </row>
    <row r="17354" spans="1:8" ht="15" customHeight="1" x14ac:dyDescent="0.2">
      <c r="A17354" s="734">
        <v>45233</v>
      </c>
      <c r="B17354" s="41" t="s">
        <v>10232</v>
      </c>
      <c r="C17354" s="63" t="s">
        <v>5741</v>
      </c>
      <c r="D17354" s="791"/>
      <c r="E17354" s="58">
        <v>3500</v>
      </c>
      <c r="F17354" s="58"/>
      <c r="G17354" s="126">
        <f t="shared" si="277"/>
        <v>-3500</v>
      </c>
      <c r="H17354" s="705" t="s">
        <v>11523</v>
      </c>
    </row>
    <row r="17355" spans="1:8" ht="15" x14ac:dyDescent="0.2">
      <c r="A17355" s="734">
        <v>45233</v>
      </c>
      <c r="B17355" s="41" t="s">
        <v>2933</v>
      </c>
      <c r="C17355" s="63" t="s">
        <v>392</v>
      </c>
      <c r="D17355" s="791" t="s">
        <v>6386</v>
      </c>
      <c r="E17355" s="58">
        <v>3000</v>
      </c>
      <c r="F17355" s="58"/>
      <c r="G17355" s="126">
        <f t="shared" si="277"/>
        <v>-3000</v>
      </c>
      <c r="H17355" s="705" t="s">
        <v>11523</v>
      </c>
    </row>
    <row r="17356" spans="1:8" ht="15" x14ac:dyDescent="0.2">
      <c r="A17356" s="734">
        <v>45233</v>
      </c>
      <c r="B17356" s="41" t="s">
        <v>103</v>
      </c>
      <c r="C17356" s="63" t="s">
        <v>14</v>
      </c>
      <c r="D17356" s="791" t="s">
        <v>10988</v>
      </c>
      <c r="E17356" s="58">
        <v>1400</v>
      </c>
      <c r="F17356" s="58"/>
      <c r="G17356" s="126">
        <f t="shared" si="277"/>
        <v>-1400</v>
      </c>
      <c r="H17356" s="705" t="s">
        <v>11523</v>
      </c>
    </row>
    <row r="17357" spans="1:8" ht="15" customHeight="1" x14ac:dyDescent="0.2">
      <c r="A17357" s="734">
        <v>45233</v>
      </c>
      <c r="B17357" s="41" t="s">
        <v>11271</v>
      </c>
      <c r="C17357" s="63" t="s">
        <v>5741</v>
      </c>
      <c r="D17357" s="791" t="s">
        <v>370</v>
      </c>
      <c r="E17357" s="58">
        <v>250</v>
      </c>
      <c r="F17357" s="58"/>
      <c r="G17357" s="126">
        <f t="shared" si="277"/>
        <v>-250</v>
      </c>
      <c r="H17357" s="705" t="s">
        <v>11523</v>
      </c>
    </row>
    <row r="17358" spans="1:8" ht="15" customHeight="1" x14ac:dyDescent="0.2">
      <c r="A17358" s="734">
        <v>45233</v>
      </c>
      <c r="B17358" s="41" t="s">
        <v>11271</v>
      </c>
      <c r="C17358" s="63" t="s">
        <v>10993</v>
      </c>
      <c r="D17358" s="791" t="s">
        <v>11569</v>
      </c>
      <c r="E17358" s="58">
        <v>4200</v>
      </c>
      <c r="F17358" s="58"/>
      <c r="G17358" s="126">
        <f t="shared" si="277"/>
        <v>-4200</v>
      </c>
      <c r="H17358" s="705" t="s">
        <v>11523</v>
      </c>
    </row>
    <row r="17359" spans="1:8" ht="15" customHeight="1" x14ac:dyDescent="0.2">
      <c r="A17359" s="734">
        <v>45234</v>
      </c>
      <c r="B17359" s="41" t="s">
        <v>9986</v>
      </c>
      <c r="C17359" s="63" t="s">
        <v>11570</v>
      </c>
      <c r="D17359" s="791" t="s">
        <v>11571</v>
      </c>
      <c r="E17359" s="58">
        <v>2000</v>
      </c>
      <c r="F17359" s="58"/>
      <c r="G17359" s="126">
        <f t="shared" si="277"/>
        <v>-2000</v>
      </c>
      <c r="H17359" s="705" t="s">
        <v>11523</v>
      </c>
    </row>
    <row r="17360" spans="1:8" ht="15" customHeight="1" x14ac:dyDescent="0.2">
      <c r="A17360" s="734">
        <v>45234</v>
      </c>
      <c r="B17360" s="41" t="s">
        <v>11271</v>
      </c>
      <c r="C17360" s="63" t="s">
        <v>5387</v>
      </c>
      <c r="D17360" s="791" t="s">
        <v>11562</v>
      </c>
      <c r="E17360" s="58">
        <v>2500</v>
      </c>
      <c r="F17360" s="58"/>
      <c r="G17360" s="126">
        <f t="shared" si="277"/>
        <v>-2500</v>
      </c>
      <c r="H17360" s="705" t="s">
        <v>11523</v>
      </c>
    </row>
    <row r="17361" spans="1:8" ht="15" x14ac:dyDescent="0.2">
      <c r="A17361" s="734">
        <v>45234</v>
      </c>
      <c r="B17361" s="41" t="s">
        <v>10576</v>
      </c>
      <c r="C17361" s="63" t="s">
        <v>8394</v>
      </c>
      <c r="D17361" s="791" t="s">
        <v>11596</v>
      </c>
      <c r="E17361" s="58">
        <v>1300000</v>
      </c>
      <c r="F17361" s="58"/>
      <c r="G17361" s="126">
        <f t="shared" si="277"/>
        <v>-1300000</v>
      </c>
      <c r="H17361" s="705" t="s">
        <v>11523</v>
      </c>
    </row>
    <row r="17362" spans="1:8" ht="15" x14ac:dyDescent="0.2">
      <c r="A17362" s="734">
        <v>45234</v>
      </c>
      <c r="B17362" s="41" t="s">
        <v>103</v>
      </c>
      <c r="C17362" s="63" t="s">
        <v>103</v>
      </c>
      <c r="D17362" s="791" t="s">
        <v>10211</v>
      </c>
      <c r="E17362" s="58">
        <v>3000</v>
      </c>
      <c r="F17362" s="58"/>
      <c r="G17362" s="126">
        <f t="shared" si="277"/>
        <v>-3000</v>
      </c>
      <c r="H17362" s="705" t="s">
        <v>11523</v>
      </c>
    </row>
    <row r="17363" spans="1:8" ht="15" x14ac:dyDescent="0.2">
      <c r="A17363" s="734">
        <v>45234</v>
      </c>
      <c r="B17363" s="41" t="s">
        <v>10576</v>
      </c>
      <c r="C17363" s="63" t="s">
        <v>14</v>
      </c>
      <c r="D17363" s="791" t="s">
        <v>11598</v>
      </c>
      <c r="E17363" s="58">
        <v>400</v>
      </c>
      <c r="F17363" s="58"/>
      <c r="G17363" s="126">
        <f t="shared" si="277"/>
        <v>-400</v>
      </c>
      <c r="H17363" s="705" t="s">
        <v>11523</v>
      </c>
    </row>
    <row r="17364" spans="1:8" ht="15" x14ac:dyDescent="0.2">
      <c r="A17364" s="734">
        <v>45234</v>
      </c>
      <c r="B17364" s="41" t="s">
        <v>11271</v>
      </c>
      <c r="C17364" s="63" t="s">
        <v>5741</v>
      </c>
      <c r="D17364" s="791" t="s">
        <v>11599</v>
      </c>
      <c r="E17364" s="58">
        <v>1600</v>
      </c>
      <c r="F17364" s="58"/>
      <c r="G17364" s="126">
        <f t="shared" si="277"/>
        <v>-1600</v>
      </c>
      <c r="H17364" s="705" t="s">
        <v>11523</v>
      </c>
    </row>
    <row r="17365" spans="1:8" ht="15" x14ac:dyDescent="0.2">
      <c r="A17365" s="734">
        <v>45234</v>
      </c>
      <c r="B17365" s="41" t="s">
        <v>37</v>
      </c>
      <c r="C17365" s="63" t="s">
        <v>14</v>
      </c>
      <c r="D17365" s="791" t="s">
        <v>11602</v>
      </c>
      <c r="E17365" s="58">
        <v>3000</v>
      </c>
      <c r="F17365" s="58"/>
      <c r="G17365" s="126">
        <f t="shared" si="277"/>
        <v>-3000</v>
      </c>
      <c r="H17365" s="705" t="s">
        <v>11523</v>
      </c>
    </row>
    <row r="17366" spans="1:8" ht="15" x14ac:dyDescent="0.2">
      <c r="A17366" s="734">
        <v>45234</v>
      </c>
      <c r="B17366" s="41" t="s">
        <v>2933</v>
      </c>
      <c r="C17366" s="63" t="s">
        <v>10993</v>
      </c>
      <c r="D17366" s="791" t="s">
        <v>6486</v>
      </c>
      <c r="E17366" s="58">
        <v>4880</v>
      </c>
      <c r="F17366" s="58"/>
      <c r="G17366" s="126">
        <f t="shared" si="277"/>
        <v>-4880</v>
      </c>
      <c r="H17366" s="705" t="s">
        <v>11523</v>
      </c>
    </row>
    <row r="17367" spans="1:8" ht="15" x14ac:dyDescent="0.2">
      <c r="A17367" s="734">
        <v>45234</v>
      </c>
      <c r="B17367" s="41" t="s">
        <v>11007</v>
      </c>
      <c r="C17367" s="63" t="s">
        <v>14</v>
      </c>
      <c r="D17367" s="791" t="s">
        <v>11603</v>
      </c>
      <c r="E17367" s="58">
        <v>730</v>
      </c>
      <c r="F17367" s="58"/>
      <c r="G17367" s="126">
        <f t="shared" si="277"/>
        <v>-730</v>
      </c>
      <c r="H17367" s="705" t="s">
        <v>11523</v>
      </c>
    </row>
    <row r="17368" spans="1:8" ht="15" x14ac:dyDescent="0.2">
      <c r="A17368" s="734">
        <v>45234</v>
      </c>
      <c r="B17368" s="41" t="s">
        <v>10232</v>
      </c>
      <c r="C17368" s="63" t="s">
        <v>14</v>
      </c>
      <c r="D17368" s="791" t="s">
        <v>11604</v>
      </c>
      <c r="E17368" s="58">
        <v>2000</v>
      </c>
      <c r="F17368" s="58"/>
      <c r="G17368" s="126">
        <f t="shared" si="277"/>
        <v>-2000</v>
      </c>
      <c r="H17368" s="705" t="s">
        <v>11523</v>
      </c>
    </row>
    <row r="17369" spans="1:8" ht="15" x14ac:dyDescent="0.2">
      <c r="A17369" s="734">
        <v>45234</v>
      </c>
      <c r="B17369" s="41" t="s">
        <v>10576</v>
      </c>
      <c r="C17369" s="63" t="s">
        <v>10993</v>
      </c>
      <c r="D17369" s="791" t="s">
        <v>11605</v>
      </c>
      <c r="E17369" s="58">
        <v>24400</v>
      </c>
      <c r="F17369" s="58"/>
      <c r="G17369" s="126">
        <f t="shared" si="277"/>
        <v>-24400</v>
      </c>
      <c r="H17369" s="705" t="s">
        <v>11523</v>
      </c>
    </row>
    <row r="17370" spans="1:8" ht="15" x14ac:dyDescent="0.2">
      <c r="A17370" s="734">
        <v>45234</v>
      </c>
      <c r="B17370" s="41" t="s">
        <v>9986</v>
      </c>
      <c r="C17370" s="63" t="s">
        <v>5741</v>
      </c>
      <c r="D17370" s="791" t="s">
        <v>370</v>
      </c>
      <c r="E17370" s="58">
        <v>400</v>
      </c>
      <c r="F17370" s="58"/>
      <c r="G17370" s="126">
        <f t="shared" si="277"/>
        <v>-400</v>
      </c>
      <c r="H17370" s="705" t="s">
        <v>11523</v>
      </c>
    </row>
    <row r="17371" spans="1:8" ht="15" x14ac:dyDescent="0.2">
      <c r="A17371" s="734">
        <v>45234</v>
      </c>
      <c r="B17371" s="41" t="s">
        <v>11271</v>
      </c>
      <c r="C17371" s="63" t="s">
        <v>5741</v>
      </c>
      <c r="D17371" s="791" t="s">
        <v>370</v>
      </c>
      <c r="E17371" s="58">
        <v>270</v>
      </c>
      <c r="F17371" s="58"/>
      <c r="G17371" s="126">
        <f t="shared" si="277"/>
        <v>-270</v>
      </c>
      <c r="H17371" s="705" t="s">
        <v>11523</v>
      </c>
    </row>
    <row r="17372" spans="1:8" ht="15" x14ac:dyDescent="0.2">
      <c r="A17372" s="734">
        <v>45236</v>
      </c>
      <c r="B17372" s="41" t="s">
        <v>11307</v>
      </c>
      <c r="C17372" s="63" t="s">
        <v>10993</v>
      </c>
      <c r="D17372" s="791" t="s">
        <v>11607</v>
      </c>
      <c r="E17372" s="58">
        <v>2480</v>
      </c>
      <c r="F17372" s="58"/>
      <c r="G17372" s="126">
        <f t="shared" si="277"/>
        <v>-2480</v>
      </c>
      <c r="H17372" s="705" t="s">
        <v>11523</v>
      </c>
    </row>
    <row r="17373" spans="1:8" ht="15" x14ac:dyDescent="0.2">
      <c r="A17373" s="734">
        <v>45236</v>
      </c>
      <c r="B17373" s="41" t="s">
        <v>10576</v>
      </c>
      <c r="C17373" s="63" t="s">
        <v>10993</v>
      </c>
      <c r="D17373" s="791" t="s">
        <v>11608</v>
      </c>
      <c r="E17373" s="58">
        <v>18850</v>
      </c>
      <c r="F17373" s="58"/>
      <c r="G17373" s="126">
        <f t="shared" si="277"/>
        <v>-18850</v>
      </c>
      <c r="H17373" s="705" t="s">
        <v>11523</v>
      </c>
    </row>
    <row r="17374" spans="1:8" ht="15" x14ac:dyDescent="0.2">
      <c r="A17374" s="734">
        <v>45236</v>
      </c>
      <c r="B17374" s="41" t="s">
        <v>10576</v>
      </c>
      <c r="C17374" s="63" t="s">
        <v>10993</v>
      </c>
      <c r="D17374" s="791" t="s">
        <v>2272</v>
      </c>
      <c r="E17374" s="58">
        <v>1850</v>
      </c>
      <c r="F17374" s="58"/>
      <c r="G17374" s="126">
        <f t="shared" si="277"/>
        <v>-1850</v>
      </c>
      <c r="H17374" s="705" t="s">
        <v>11523</v>
      </c>
    </row>
    <row r="17375" spans="1:8" ht="15" x14ac:dyDescent="0.2">
      <c r="A17375" s="734">
        <v>45236</v>
      </c>
      <c r="B17375" s="41" t="s">
        <v>11271</v>
      </c>
      <c r="C17375" s="63" t="s">
        <v>10993</v>
      </c>
      <c r="D17375" s="791" t="s">
        <v>2272</v>
      </c>
      <c r="E17375" s="58">
        <v>7560</v>
      </c>
      <c r="F17375" s="58"/>
      <c r="G17375" s="126">
        <f t="shared" si="277"/>
        <v>-7560</v>
      </c>
      <c r="H17375" s="705" t="s">
        <v>11523</v>
      </c>
    </row>
    <row r="17376" spans="1:8" ht="15" x14ac:dyDescent="0.2">
      <c r="A17376" s="734">
        <v>45236</v>
      </c>
      <c r="B17376" s="41" t="s">
        <v>11271</v>
      </c>
      <c r="C17376" s="63" t="s">
        <v>10993</v>
      </c>
      <c r="D17376" s="791" t="s">
        <v>2272</v>
      </c>
      <c r="E17376" s="58">
        <v>1500</v>
      </c>
      <c r="F17376" s="58"/>
      <c r="G17376" s="126">
        <f t="shared" si="277"/>
        <v>-1500</v>
      </c>
      <c r="H17376" s="705" t="s">
        <v>11523</v>
      </c>
    </row>
    <row r="17377" spans="1:8" ht="15" x14ac:dyDescent="0.2">
      <c r="A17377" s="734">
        <v>45236</v>
      </c>
      <c r="B17377" s="41" t="s">
        <v>10576</v>
      </c>
      <c r="C17377" s="63" t="s">
        <v>5741</v>
      </c>
      <c r="D17377" s="791" t="s">
        <v>370</v>
      </c>
      <c r="E17377" s="58">
        <v>700</v>
      </c>
      <c r="F17377" s="58"/>
      <c r="G17377" s="126">
        <f t="shared" si="277"/>
        <v>-700</v>
      </c>
      <c r="H17377" s="705" t="s">
        <v>11523</v>
      </c>
    </row>
    <row r="17378" spans="1:8" ht="15" x14ac:dyDescent="0.2">
      <c r="A17378" s="734">
        <v>45236</v>
      </c>
      <c r="B17378" s="41" t="s">
        <v>11271</v>
      </c>
      <c r="C17378" s="63" t="s">
        <v>14</v>
      </c>
      <c r="D17378" s="791" t="s">
        <v>392</v>
      </c>
      <c r="E17378" s="58">
        <v>4100</v>
      </c>
      <c r="F17378" s="58"/>
      <c r="G17378" s="126">
        <f t="shared" si="277"/>
        <v>-4100</v>
      </c>
      <c r="H17378" s="705" t="s">
        <v>11523</v>
      </c>
    </row>
    <row r="17379" spans="1:8" ht="15" x14ac:dyDescent="0.2">
      <c r="A17379" s="734">
        <v>45236</v>
      </c>
      <c r="B17379" s="41" t="s">
        <v>11446</v>
      </c>
      <c r="C17379" s="63" t="s">
        <v>10993</v>
      </c>
      <c r="D17379" s="791" t="s">
        <v>11610</v>
      </c>
      <c r="E17379" s="58">
        <v>9000</v>
      </c>
      <c r="F17379" s="58"/>
      <c r="G17379" s="126">
        <f t="shared" si="277"/>
        <v>-9000</v>
      </c>
      <c r="H17379" s="705" t="s">
        <v>11523</v>
      </c>
    </row>
    <row r="17380" spans="1:8" ht="15" x14ac:dyDescent="0.2">
      <c r="A17380" s="734">
        <v>45236</v>
      </c>
      <c r="B17380" s="41" t="s">
        <v>10908</v>
      </c>
      <c r="C17380" s="63" t="s">
        <v>10993</v>
      </c>
      <c r="D17380" s="791" t="s">
        <v>11611</v>
      </c>
      <c r="E17380" s="58">
        <v>9000</v>
      </c>
      <c r="F17380" s="58"/>
      <c r="G17380" s="126">
        <f t="shared" si="277"/>
        <v>-9000</v>
      </c>
      <c r="H17380" s="705" t="s">
        <v>11523</v>
      </c>
    </row>
    <row r="17381" spans="1:8" ht="15" x14ac:dyDescent="0.2">
      <c r="A17381" s="734">
        <v>45236</v>
      </c>
      <c r="B17381" s="41" t="s">
        <v>10908</v>
      </c>
      <c r="C17381" s="63" t="s">
        <v>5741</v>
      </c>
      <c r="D17381" s="791" t="s">
        <v>370</v>
      </c>
      <c r="E17381" s="58">
        <v>1600</v>
      </c>
      <c r="F17381" s="58"/>
      <c r="G17381" s="126">
        <f t="shared" si="277"/>
        <v>-1600</v>
      </c>
      <c r="H17381" s="705" t="s">
        <v>11523</v>
      </c>
    </row>
    <row r="17382" spans="1:8" ht="15" x14ac:dyDescent="0.2">
      <c r="A17382" s="734">
        <v>45236</v>
      </c>
      <c r="B17382" s="41" t="s">
        <v>10576</v>
      </c>
      <c r="C17382" s="63" t="s">
        <v>10993</v>
      </c>
      <c r="D17382" s="791" t="s">
        <v>10166</v>
      </c>
      <c r="E17382" s="58">
        <v>9750</v>
      </c>
      <c r="F17382" s="58"/>
      <c r="G17382" s="126">
        <f t="shared" si="277"/>
        <v>-9750</v>
      </c>
      <c r="H17382" s="705" t="s">
        <v>11523</v>
      </c>
    </row>
    <row r="17383" spans="1:8" ht="15" x14ac:dyDescent="0.2">
      <c r="A17383" s="734">
        <v>45236</v>
      </c>
      <c r="B17383" s="41" t="s">
        <v>10232</v>
      </c>
      <c r="C17383" s="63" t="s">
        <v>10993</v>
      </c>
      <c r="D17383" s="791" t="s">
        <v>10166</v>
      </c>
      <c r="E17383" s="58">
        <v>9750</v>
      </c>
      <c r="F17383" s="58"/>
      <c r="G17383" s="126">
        <f t="shared" si="277"/>
        <v>-9750</v>
      </c>
      <c r="H17383" s="705" t="s">
        <v>11523</v>
      </c>
    </row>
    <row r="17384" spans="1:8" ht="15" x14ac:dyDescent="0.2">
      <c r="A17384" s="734">
        <v>45236</v>
      </c>
      <c r="B17384" s="41" t="s">
        <v>11503</v>
      </c>
      <c r="C17384" s="63" t="s">
        <v>11612</v>
      </c>
      <c r="D17384" s="791" t="s">
        <v>1157</v>
      </c>
      <c r="E17384" s="58">
        <v>25000</v>
      </c>
      <c r="F17384" s="58"/>
      <c r="G17384" s="126">
        <f t="shared" si="277"/>
        <v>-25000</v>
      </c>
      <c r="H17384" s="705" t="s">
        <v>11523</v>
      </c>
    </row>
    <row r="17385" spans="1:8" ht="15" x14ac:dyDescent="0.2">
      <c r="A17385" s="734">
        <v>45236</v>
      </c>
      <c r="B17385" s="41" t="s">
        <v>103</v>
      </c>
      <c r="C17385" s="63" t="s">
        <v>103</v>
      </c>
      <c r="D17385" s="791" t="s">
        <v>10211</v>
      </c>
      <c r="E17385" s="58">
        <v>3000</v>
      </c>
      <c r="F17385" s="58"/>
      <c r="G17385" s="126">
        <f t="shared" si="277"/>
        <v>-3000</v>
      </c>
      <c r="H17385" s="705" t="s">
        <v>11523</v>
      </c>
    </row>
    <row r="17386" spans="1:8" ht="15" x14ac:dyDescent="0.2">
      <c r="A17386" s="734">
        <v>45237</v>
      </c>
      <c r="B17386" s="41" t="s">
        <v>10232</v>
      </c>
      <c r="C17386" s="63" t="s">
        <v>10993</v>
      </c>
      <c r="D17386" s="791" t="s">
        <v>11615</v>
      </c>
      <c r="E17386" s="58">
        <v>3100</v>
      </c>
      <c r="F17386" s="58"/>
      <c r="G17386" s="126">
        <f t="shared" si="277"/>
        <v>-3100</v>
      </c>
      <c r="H17386" s="705" t="s">
        <v>11523</v>
      </c>
    </row>
    <row r="17387" spans="1:8" ht="15" x14ac:dyDescent="0.2">
      <c r="A17387" s="734">
        <v>45237</v>
      </c>
      <c r="B17387" s="41" t="s">
        <v>10576</v>
      </c>
      <c r="C17387" s="63" t="s">
        <v>14</v>
      </c>
      <c r="D17387" s="791" t="s">
        <v>11616</v>
      </c>
      <c r="E17387" s="58">
        <v>2000</v>
      </c>
      <c r="F17387" s="58"/>
      <c r="G17387" s="126">
        <f t="shared" si="277"/>
        <v>-2000</v>
      </c>
      <c r="H17387" s="705" t="s">
        <v>11523</v>
      </c>
    </row>
    <row r="17388" spans="1:8" ht="15" x14ac:dyDescent="0.2">
      <c r="A17388" s="734">
        <v>45237</v>
      </c>
      <c r="B17388" s="41" t="s">
        <v>2933</v>
      </c>
      <c r="C17388" s="63" t="s">
        <v>10993</v>
      </c>
      <c r="D17388" s="791" t="s">
        <v>7376</v>
      </c>
      <c r="E17388" s="58">
        <v>8110</v>
      </c>
      <c r="F17388" s="58"/>
      <c r="G17388" s="126">
        <f t="shared" si="277"/>
        <v>-8110</v>
      </c>
      <c r="H17388" s="705" t="s">
        <v>11523</v>
      </c>
    </row>
    <row r="17389" spans="1:8" ht="15" x14ac:dyDescent="0.2">
      <c r="A17389" s="734">
        <v>45237</v>
      </c>
      <c r="B17389" s="41" t="s">
        <v>11617</v>
      </c>
      <c r="C17389" s="63" t="s">
        <v>10993</v>
      </c>
      <c r="D17389" s="791" t="s">
        <v>7062</v>
      </c>
      <c r="E17389" s="58">
        <v>964</v>
      </c>
      <c r="F17389" s="58"/>
      <c r="G17389" s="126">
        <f t="shared" si="277"/>
        <v>-964</v>
      </c>
      <c r="H17389" s="705" t="s">
        <v>11523</v>
      </c>
    </row>
    <row r="17390" spans="1:8" ht="15" x14ac:dyDescent="0.2">
      <c r="A17390" s="734">
        <v>45237</v>
      </c>
      <c r="B17390" s="41" t="s">
        <v>10576</v>
      </c>
      <c r="C17390" s="63" t="s">
        <v>10993</v>
      </c>
      <c r="D17390" s="791" t="s">
        <v>11620</v>
      </c>
      <c r="E17390" s="58">
        <v>59990</v>
      </c>
      <c r="F17390" s="58"/>
      <c r="G17390" s="126">
        <f t="shared" si="277"/>
        <v>-59990</v>
      </c>
      <c r="H17390" s="705" t="s">
        <v>11523</v>
      </c>
    </row>
    <row r="17391" spans="1:8" ht="15" x14ac:dyDescent="0.2">
      <c r="A17391" s="734">
        <v>45237</v>
      </c>
      <c r="B17391" s="41" t="s">
        <v>11089</v>
      </c>
      <c r="C17391" s="63" t="s">
        <v>10993</v>
      </c>
      <c r="D17391" s="791" t="s">
        <v>11621</v>
      </c>
      <c r="E17391" s="58">
        <v>15500</v>
      </c>
      <c r="F17391" s="58"/>
      <c r="G17391" s="126">
        <f t="shared" si="277"/>
        <v>-15500</v>
      </c>
      <c r="H17391" s="705" t="s">
        <v>11523</v>
      </c>
    </row>
    <row r="17392" spans="1:8" ht="15" x14ac:dyDescent="0.2">
      <c r="A17392" s="734">
        <v>45237</v>
      </c>
      <c r="B17392" s="41" t="s">
        <v>11446</v>
      </c>
      <c r="C17392" s="63" t="s">
        <v>10993</v>
      </c>
      <c r="D17392" s="791" t="s">
        <v>11622</v>
      </c>
      <c r="E17392" s="58">
        <v>3750</v>
      </c>
      <c r="F17392" s="58"/>
      <c r="G17392" s="126">
        <f t="shared" si="277"/>
        <v>-3750</v>
      </c>
      <c r="H17392" s="705" t="s">
        <v>11523</v>
      </c>
    </row>
    <row r="17393" spans="1:8" ht="15" x14ac:dyDescent="0.2">
      <c r="A17393" s="734">
        <v>45237</v>
      </c>
      <c r="B17393" s="41" t="s">
        <v>103</v>
      </c>
      <c r="C17393" s="63" t="s">
        <v>1495</v>
      </c>
      <c r="D17393" s="791" t="s">
        <v>370</v>
      </c>
      <c r="E17393" s="58">
        <v>2200</v>
      </c>
      <c r="F17393" s="58"/>
      <c r="G17393" s="126">
        <f t="shared" si="277"/>
        <v>-2200</v>
      </c>
      <c r="H17393" s="705" t="s">
        <v>11523</v>
      </c>
    </row>
    <row r="17394" spans="1:8" ht="15" x14ac:dyDescent="0.2">
      <c r="A17394" s="734">
        <v>45237</v>
      </c>
      <c r="B17394" s="41" t="s">
        <v>10576</v>
      </c>
      <c r="C17394" s="63" t="s">
        <v>5741</v>
      </c>
      <c r="D17394" s="791" t="s">
        <v>370</v>
      </c>
      <c r="E17394" s="58">
        <v>1600</v>
      </c>
      <c r="F17394" s="58"/>
      <c r="G17394" s="126">
        <f t="shared" si="277"/>
        <v>-1600</v>
      </c>
      <c r="H17394" s="705" t="s">
        <v>11523</v>
      </c>
    </row>
    <row r="17395" spans="1:8" ht="15" x14ac:dyDescent="0.2">
      <c r="A17395" s="734">
        <v>45237</v>
      </c>
      <c r="B17395" s="41" t="s">
        <v>11446</v>
      </c>
      <c r="C17395" s="63" t="s">
        <v>5741</v>
      </c>
      <c r="D17395" s="791" t="s">
        <v>370</v>
      </c>
      <c r="E17395" s="58">
        <v>500</v>
      </c>
      <c r="F17395" s="58"/>
      <c r="G17395" s="126">
        <f t="shared" si="277"/>
        <v>-500</v>
      </c>
      <c r="H17395" s="705" t="s">
        <v>11523</v>
      </c>
    </row>
    <row r="17396" spans="1:8" ht="15" x14ac:dyDescent="0.2">
      <c r="A17396" s="734">
        <v>45237</v>
      </c>
      <c r="B17396" s="41" t="s">
        <v>11089</v>
      </c>
      <c r="C17396" s="63" t="s">
        <v>5741</v>
      </c>
      <c r="D17396" s="791" t="s">
        <v>370</v>
      </c>
      <c r="E17396" s="58">
        <v>250</v>
      </c>
      <c r="F17396" s="58"/>
      <c r="G17396" s="126">
        <f t="shared" si="277"/>
        <v>-250</v>
      </c>
      <c r="H17396" s="705" t="s">
        <v>11523</v>
      </c>
    </row>
    <row r="17397" spans="1:8" ht="15" x14ac:dyDescent="0.2">
      <c r="A17397" s="734">
        <v>45238</v>
      </c>
      <c r="B17397" s="41" t="s">
        <v>11625</v>
      </c>
      <c r="C17397" s="63" t="s">
        <v>11626</v>
      </c>
      <c r="D17397" s="791" t="s">
        <v>11627</v>
      </c>
      <c r="E17397" s="58">
        <v>20000</v>
      </c>
      <c r="F17397" s="58"/>
      <c r="G17397" s="126">
        <f t="shared" si="277"/>
        <v>-20000</v>
      </c>
      <c r="H17397" s="705" t="s">
        <v>11523</v>
      </c>
    </row>
    <row r="17398" spans="1:8" ht="15" x14ac:dyDescent="0.2">
      <c r="A17398" s="734">
        <v>45238</v>
      </c>
      <c r="B17398" s="41" t="s">
        <v>103</v>
      </c>
      <c r="C17398" s="63" t="s">
        <v>103</v>
      </c>
      <c r="D17398" s="791" t="s">
        <v>10211</v>
      </c>
      <c r="E17398" s="58">
        <v>3000</v>
      </c>
      <c r="F17398" s="58"/>
      <c r="G17398" s="126">
        <f t="shared" si="277"/>
        <v>-3000</v>
      </c>
      <c r="H17398" s="705" t="s">
        <v>11523</v>
      </c>
    </row>
    <row r="17399" spans="1:8" ht="15" x14ac:dyDescent="0.2">
      <c r="A17399" s="734">
        <v>45238</v>
      </c>
      <c r="B17399" s="41" t="s">
        <v>9356</v>
      </c>
      <c r="C17399" s="63" t="s">
        <v>14</v>
      </c>
      <c r="D17399" s="791" t="s">
        <v>11631</v>
      </c>
      <c r="E17399" s="58">
        <v>1000</v>
      </c>
      <c r="F17399" s="58"/>
      <c r="G17399" s="126">
        <f t="shared" si="277"/>
        <v>-1000</v>
      </c>
      <c r="H17399" s="705" t="s">
        <v>11523</v>
      </c>
    </row>
    <row r="17400" spans="1:8" ht="15" x14ac:dyDescent="0.2">
      <c r="A17400" s="734">
        <v>45238</v>
      </c>
      <c r="B17400" s="41" t="s">
        <v>11271</v>
      </c>
      <c r="C17400" s="63" t="s">
        <v>10993</v>
      </c>
      <c r="D17400" s="791" t="s">
        <v>11632</v>
      </c>
      <c r="E17400" s="58">
        <v>4920</v>
      </c>
      <c r="F17400" s="58"/>
      <c r="G17400" s="126">
        <f t="shared" si="277"/>
        <v>-4920</v>
      </c>
      <c r="H17400" s="705" t="s">
        <v>11523</v>
      </c>
    </row>
    <row r="17401" spans="1:8" ht="15" x14ac:dyDescent="0.2">
      <c r="A17401" s="734">
        <v>45238</v>
      </c>
      <c r="B17401" s="41" t="s">
        <v>10576</v>
      </c>
      <c r="C17401" s="63" t="s">
        <v>10993</v>
      </c>
      <c r="D17401" s="791" t="s">
        <v>11632</v>
      </c>
      <c r="E17401" s="58">
        <v>6120</v>
      </c>
      <c r="F17401" s="58"/>
      <c r="G17401" s="126">
        <f t="shared" si="277"/>
        <v>-6120</v>
      </c>
      <c r="H17401" s="705" t="s">
        <v>11523</v>
      </c>
    </row>
    <row r="17402" spans="1:8" ht="15" x14ac:dyDescent="0.2">
      <c r="A17402" s="734">
        <v>45238</v>
      </c>
      <c r="B17402" s="41" t="s">
        <v>11307</v>
      </c>
      <c r="C17402" s="63" t="s">
        <v>11633</v>
      </c>
      <c r="D17402" s="791" t="s">
        <v>11634</v>
      </c>
      <c r="E17402" s="58">
        <v>7200</v>
      </c>
      <c r="F17402" s="58"/>
      <c r="G17402" s="126">
        <f t="shared" si="277"/>
        <v>-7200</v>
      </c>
      <c r="H17402" s="705" t="s">
        <v>11523</v>
      </c>
    </row>
    <row r="17403" spans="1:8" ht="15" x14ac:dyDescent="0.2">
      <c r="A17403" s="734">
        <v>45238</v>
      </c>
      <c r="C17403" s="63" t="s">
        <v>5410</v>
      </c>
      <c r="D17403" s="791" t="s">
        <v>11294</v>
      </c>
      <c r="E17403" s="58">
        <v>5000</v>
      </c>
      <c r="F17403" s="58"/>
      <c r="G17403" s="126">
        <f t="shared" si="277"/>
        <v>-5000</v>
      </c>
      <c r="H17403" s="705" t="s">
        <v>11523</v>
      </c>
    </row>
    <row r="17404" spans="1:8" ht="15" x14ac:dyDescent="0.2">
      <c r="A17404" s="734">
        <v>45238</v>
      </c>
      <c r="B17404" s="41" t="s">
        <v>11635</v>
      </c>
      <c r="C17404" s="63" t="s">
        <v>5741</v>
      </c>
      <c r="D17404" s="791" t="s">
        <v>370</v>
      </c>
      <c r="E17404" s="58">
        <v>2700</v>
      </c>
      <c r="F17404" s="58"/>
      <c r="G17404" s="126">
        <f t="shared" si="277"/>
        <v>-2700</v>
      </c>
      <c r="H17404" s="705" t="s">
        <v>11523</v>
      </c>
    </row>
    <row r="17405" spans="1:8" ht="15" x14ac:dyDescent="0.2">
      <c r="A17405" s="734">
        <v>45238</v>
      </c>
      <c r="B17405" s="41" t="s">
        <v>11271</v>
      </c>
      <c r="C17405" s="63" t="s">
        <v>5741</v>
      </c>
      <c r="D17405" s="791" t="s">
        <v>11636</v>
      </c>
      <c r="E17405" s="58">
        <v>770</v>
      </c>
      <c r="F17405" s="58"/>
      <c r="G17405" s="126">
        <f t="shared" si="277"/>
        <v>-770</v>
      </c>
      <c r="H17405" s="705" t="s">
        <v>11523</v>
      </c>
    </row>
    <row r="17406" spans="1:8" ht="15" x14ac:dyDescent="0.2">
      <c r="A17406" s="734">
        <v>45240</v>
      </c>
      <c r="B17406" s="41" t="s">
        <v>11089</v>
      </c>
      <c r="C17406" s="63" t="s">
        <v>5741</v>
      </c>
      <c r="D17406" s="791" t="s">
        <v>370</v>
      </c>
      <c r="E17406" s="58">
        <v>2400</v>
      </c>
      <c r="F17406" s="58"/>
      <c r="G17406" s="126">
        <f t="shared" si="277"/>
        <v>-2400</v>
      </c>
      <c r="H17406" s="705" t="s">
        <v>11523</v>
      </c>
    </row>
    <row r="17407" spans="1:8" ht="15" x14ac:dyDescent="0.2">
      <c r="A17407" s="734">
        <v>45240</v>
      </c>
      <c r="C17407" s="63" t="s">
        <v>3707</v>
      </c>
      <c r="D17407" s="791" t="s">
        <v>11638</v>
      </c>
      <c r="E17407" s="58">
        <v>65600</v>
      </c>
      <c r="F17407" s="58"/>
      <c r="G17407" s="126">
        <f t="shared" ref="G17407:G17470" si="278">F17407-E17407</f>
        <v>-65600</v>
      </c>
      <c r="H17407" s="705" t="s">
        <v>11523</v>
      </c>
    </row>
    <row r="17408" spans="1:8" ht="15" x14ac:dyDescent="0.2">
      <c r="A17408" s="734">
        <v>45240</v>
      </c>
      <c r="B17408" s="41" t="s">
        <v>11307</v>
      </c>
      <c r="C17408" s="63" t="s">
        <v>10063</v>
      </c>
      <c r="D17408" s="791" t="s">
        <v>6927</v>
      </c>
      <c r="E17408" s="58">
        <v>50000</v>
      </c>
      <c r="F17408" s="58"/>
      <c r="G17408" s="126">
        <f t="shared" si="278"/>
        <v>-50000</v>
      </c>
      <c r="H17408" s="705" t="s">
        <v>11523</v>
      </c>
    </row>
    <row r="17409" spans="1:8" ht="15" x14ac:dyDescent="0.2">
      <c r="A17409" s="734">
        <v>45240</v>
      </c>
      <c r="B17409" s="41" t="s">
        <v>10576</v>
      </c>
      <c r="C17409" s="63" t="s">
        <v>2190</v>
      </c>
      <c r="D17409" s="791" t="s">
        <v>11639</v>
      </c>
      <c r="E17409" s="58">
        <v>9500</v>
      </c>
      <c r="F17409" s="58"/>
      <c r="G17409" s="126">
        <f t="shared" si="278"/>
        <v>-9500</v>
      </c>
      <c r="H17409" s="705" t="s">
        <v>11523</v>
      </c>
    </row>
    <row r="17410" spans="1:8" ht="15" x14ac:dyDescent="0.2">
      <c r="A17410" s="734">
        <v>45240</v>
      </c>
      <c r="B17410" s="41" t="s">
        <v>10908</v>
      </c>
      <c r="C17410" s="63" t="s">
        <v>286</v>
      </c>
      <c r="D17410" s="791" t="s">
        <v>8663</v>
      </c>
      <c r="E17410" s="58">
        <v>1000</v>
      </c>
      <c r="F17410" s="58"/>
      <c r="G17410" s="126">
        <f t="shared" si="278"/>
        <v>-1000</v>
      </c>
      <c r="H17410" s="705" t="s">
        <v>11523</v>
      </c>
    </row>
    <row r="17411" spans="1:8" ht="15" x14ac:dyDescent="0.2">
      <c r="A17411" s="734">
        <v>45240</v>
      </c>
      <c r="B17411" s="41" t="s">
        <v>10576</v>
      </c>
      <c r="C17411" s="63" t="s">
        <v>10337</v>
      </c>
      <c r="D17411" s="791" t="s">
        <v>370</v>
      </c>
      <c r="E17411" s="58">
        <v>750</v>
      </c>
      <c r="F17411" s="58"/>
      <c r="G17411" s="126">
        <f t="shared" si="278"/>
        <v>-750</v>
      </c>
      <c r="H17411" s="705" t="s">
        <v>11523</v>
      </c>
    </row>
    <row r="17412" spans="1:8" ht="15" x14ac:dyDescent="0.2">
      <c r="A17412" s="734">
        <v>45240</v>
      </c>
      <c r="B17412" s="41" t="s">
        <v>10232</v>
      </c>
      <c r="C17412" s="63" t="s">
        <v>5741</v>
      </c>
      <c r="D17412" s="791" t="s">
        <v>370</v>
      </c>
      <c r="E17412" s="58">
        <v>4200</v>
      </c>
      <c r="F17412" s="58"/>
      <c r="G17412" s="126">
        <f t="shared" si="278"/>
        <v>-4200</v>
      </c>
      <c r="H17412" s="705" t="s">
        <v>11523</v>
      </c>
    </row>
    <row r="17413" spans="1:8" ht="15" x14ac:dyDescent="0.2">
      <c r="A17413" s="734">
        <v>45240</v>
      </c>
      <c r="B17413" s="41" t="s">
        <v>9986</v>
      </c>
      <c r="C17413" s="63" t="s">
        <v>9460</v>
      </c>
      <c r="D17413" s="791" t="s">
        <v>5858</v>
      </c>
      <c r="E17413" s="58">
        <v>1000</v>
      </c>
      <c r="F17413" s="58"/>
      <c r="G17413" s="126">
        <f t="shared" si="278"/>
        <v>-1000</v>
      </c>
      <c r="H17413" s="705" t="s">
        <v>11523</v>
      </c>
    </row>
    <row r="17414" spans="1:8" ht="15" x14ac:dyDescent="0.2">
      <c r="A17414" s="734">
        <v>45240</v>
      </c>
      <c r="B17414" s="41" t="s">
        <v>10908</v>
      </c>
      <c r="C17414" s="63" t="s">
        <v>5741</v>
      </c>
      <c r="D17414" s="791" t="s">
        <v>370</v>
      </c>
      <c r="E17414" s="58">
        <v>1500</v>
      </c>
      <c r="F17414" s="58"/>
      <c r="G17414" s="126">
        <f t="shared" si="278"/>
        <v>-1500</v>
      </c>
      <c r="H17414" s="705" t="s">
        <v>11523</v>
      </c>
    </row>
    <row r="17415" spans="1:8" ht="15" x14ac:dyDescent="0.2">
      <c r="A17415" s="734">
        <v>45240</v>
      </c>
      <c r="B17415" s="41" t="s">
        <v>11635</v>
      </c>
      <c r="C17415" s="63" t="s">
        <v>286</v>
      </c>
      <c r="D17415" s="791" t="s">
        <v>9895</v>
      </c>
      <c r="E17415" s="58">
        <v>800</v>
      </c>
      <c r="F17415" s="58"/>
      <c r="G17415" s="126">
        <f t="shared" si="278"/>
        <v>-800</v>
      </c>
      <c r="H17415" s="705" t="s">
        <v>11523</v>
      </c>
    </row>
    <row r="17416" spans="1:8" ht="15" x14ac:dyDescent="0.2">
      <c r="A17416" s="734">
        <v>45240</v>
      </c>
      <c r="B17416" s="41" t="s">
        <v>10908</v>
      </c>
      <c r="C17416" s="63" t="s">
        <v>5387</v>
      </c>
      <c r="D17416" s="791" t="s">
        <v>11641</v>
      </c>
      <c r="E17416" s="58">
        <v>10100</v>
      </c>
      <c r="F17416" s="58"/>
      <c r="G17416" s="126">
        <f t="shared" si="278"/>
        <v>-10100</v>
      </c>
      <c r="H17416" s="705" t="s">
        <v>11523</v>
      </c>
    </row>
    <row r="17417" spans="1:8" ht="15" x14ac:dyDescent="0.2">
      <c r="A17417" s="734">
        <v>45240</v>
      </c>
      <c r="B17417" s="41" t="s">
        <v>10908</v>
      </c>
      <c r="C17417" s="63" t="s">
        <v>10993</v>
      </c>
      <c r="D17417" s="791" t="s">
        <v>11642</v>
      </c>
      <c r="E17417" s="58">
        <v>14630</v>
      </c>
      <c r="F17417" s="58"/>
      <c r="G17417" s="126">
        <f t="shared" si="278"/>
        <v>-14630</v>
      </c>
      <c r="H17417" s="705" t="s">
        <v>11523</v>
      </c>
    </row>
    <row r="17418" spans="1:8" ht="15" x14ac:dyDescent="0.2">
      <c r="A17418" s="734">
        <v>45241</v>
      </c>
      <c r="B17418" s="41" t="s">
        <v>103</v>
      </c>
      <c r="C17418" s="63" t="s">
        <v>103</v>
      </c>
      <c r="D17418" s="791" t="s">
        <v>10211</v>
      </c>
      <c r="E17418" s="58">
        <v>1000</v>
      </c>
      <c r="F17418" s="58"/>
      <c r="G17418" s="126">
        <f t="shared" si="278"/>
        <v>-1000</v>
      </c>
      <c r="H17418" s="705" t="s">
        <v>11523</v>
      </c>
    </row>
    <row r="17419" spans="1:8" ht="15" x14ac:dyDescent="0.2">
      <c r="A17419" s="734">
        <v>45241</v>
      </c>
      <c r="B17419" s="41" t="s">
        <v>11617</v>
      </c>
      <c r="C17419" s="63" t="s">
        <v>5741</v>
      </c>
      <c r="D17419" s="791" t="s">
        <v>370</v>
      </c>
      <c r="E17419" s="58">
        <v>1200</v>
      </c>
      <c r="F17419" s="58"/>
      <c r="G17419" s="126">
        <f t="shared" si="278"/>
        <v>-1200</v>
      </c>
      <c r="H17419" s="705" t="s">
        <v>11523</v>
      </c>
    </row>
    <row r="17420" spans="1:8" ht="15" x14ac:dyDescent="0.2">
      <c r="A17420" s="734">
        <v>45241</v>
      </c>
      <c r="B17420" s="41" t="s">
        <v>2933</v>
      </c>
      <c r="C17420" s="63" t="s">
        <v>10993</v>
      </c>
      <c r="D17420" s="791" t="s">
        <v>7376</v>
      </c>
      <c r="E17420" s="58">
        <v>8000</v>
      </c>
      <c r="F17420" s="58"/>
      <c r="G17420" s="126">
        <f t="shared" si="278"/>
        <v>-8000</v>
      </c>
      <c r="H17420" s="705" t="s">
        <v>11523</v>
      </c>
    </row>
    <row r="17421" spans="1:8" ht="15" x14ac:dyDescent="0.2">
      <c r="A17421" s="734">
        <v>45241</v>
      </c>
      <c r="B17421" s="41" t="s">
        <v>11271</v>
      </c>
      <c r="C17421" s="63" t="s">
        <v>10993</v>
      </c>
      <c r="D17421" s="791" t="s">
        <v>7376</v>
      </c>
      <c r="E17421" s="58">
        <v>1750</v>
      </c>
      <c r="F17421" s="58"/>
      <c r="G17421" s="126">
        <f t="shared" si="278"/>
        <v>-1750</v>
      </c>
      <c r="H17421" s="705" t="s">
        <v>11523</v>
      </c>
    </row>
    <row r="17422" spans="1:8" ht="15" x14ac:dyDescent="0.2">
      <c r="A17422" s="734">
        <v>45241</v>
      </c>
      <c r="B17422" s="41" t="s">
        <v>103</v>
      </c>
      <c r="C17422" s="63" t="s">
        <v>10063</v>
      </c>
      <c r="D17422" s="791" t="s">
        <v>11643</v>
      </c>
      <c r="E17422" s="58">
        <v>3000</v>
      </c>
      <c r="F17422" s="58"/>
      <c r="G17422" s="126">
        <f t="shared" si="278"/>
        <v>-3000</v>
      </c>
      <c r="H17422" s="705" t="s">
        <v>11523</v>
      </c>
    </row>
    <row r="17423" spans="1:8" ht="15" x14ac:dyDescent="0.2">
      <c r="A17423" s="734">
        <v>45241</v>
      </c>
      <c r="B17423" s="41" t="s">
        <v>11307</v>
      </c>
      <c r="C17423" s="63" t="s">
        <v>14</v>
      </c>
      <c r="D17423" s="791" t="s">
        <v>11644</v>
      </c>
      <c r="E17423" s="58">
        <v>2080</v>
      </c>
      <c r="F17423" s="58"/>
      <c r="G17423" s="126">
        <f t="shared" si="278"/>
        <v>-2080</v>
      </c>
      <c r="H17423" s="705" t="s">
        <v>11523</v>
      </c>
    </row>
    <row r="17424" spans="1:8" ht="15" x14ac:dyDescent="0.2">
      <c r="A17424" s="734">
        <v>45241</v>
      </c>
      <c r="B17424" s="41" t="s">
        <v>103</v>
      </c>
      <c r="C17424" s="63" t="s">
        <v>2996</v>
      </c>
      <c r="D17424" s="791" t="s">
        <v>370</v>
      </c>
      <c r="E17424" s="58">
        <v>5000</v>
      </c>
      <c r="F17424" s="58"/>
      <c r="G17424" s="126">
        <f t="shared" si="278"/>
        <v>-5000</v>
      </c>
      <c r="H17424" s="705" t="s">
        <v>11523</v>
      </c>
    </row>
    <row r="17425" spans="1:8" ht="15" x14ac:dyDescent="0.2">
      <c r="A17425" s="734">
        <v>45241</v>
      </c>
      <c r="B17425" s="41" t="s">
        <v>9986</v>
      </c>
      <c r="C17425" s="63" t="s">
        <v>10993</v>
      </c>
      <c r="D17425" s="791" t="s">
        <v>11645</v>
      </c>
      <c r="E17425" s="58">
        <v>4500</v>
      </c>
      <c r="F17425" s="58"/>
      <c r="G17425" s="126">
        <f t="shared" si="278"/>
        <v>-4500</v>
      </c>
      <c r="H17425" s="705" t="s">
        <v>11523</v>
      </c>
    </row>
    <row r="17426" spans="1:8" ht="15" x14ac:dyDescent="0.2">
      <c r="A17426" s="734">
        <v>45241</v>
      </c>
      <c r="B17426" s="41" t="s">
        <v>103</v>
      </c>
      <c r="C17426" s="63" t="s">
        <v>10993</v>
      </c>
      <c r="D17426" s="791" t="s">
        <v>11645</v>
      </c>
      <c r="E17426" s="58">
        <v>5440</v>
      </c>
      <c r="F17426" s="58"/>
      <c r="G17426" s="126">
        <f t="shared" si="278"/>
        <v>-5440</v>
      </c>
      <c r="H17426" s="705" t="s">
        <v>11523</v>
      </c>
    </row>
    <row r="17427" spans="1:8" ht="15" x14ac:dyDescent="0.2">
      <c r="A17427" s="734">
        <v>45241</v>
      </c>
      <c r="B17427" s="41" t="s">
        <v>11271</v>
      </c>
      <c r="C17427" s="63" t="s">
        <v>10993</v>
      </c>
      <c r="D17427" s="791" t="s">
        <v>11645</v>
      </c>
      <c r="E17427" s="58">
        <v>3500</v>
      </c>
      <c r="F17427" s="58"/>
      <c r="G17427" s="126">
        <f t="shared" si="278"/>
        <v>-3500</v>
      </c>
      <c r="H17427" s="705" t="s">
        <v>11523</v>
      </c>
    </row>
    <row r="17428" spans="1:8" ht="15" x14ac:dyDescent="0.2">
      <c r="A17428" s="734">
        <v>45241</v>
      </c>
      <c r="B17428" s="41" t="s">
        <v>11511</v>
      </c>
      <c r="C17428" s="63" t="s">
        <v>10993</v>
      </c>
      <c r="D17428" s="791" t="s">
        <v>11645</v>
      </c>
      <c r="E17428" s="58">
        <v>10000</v>
      </c>
      <c r="F17428" s="58"/>
      <c r="G17428" s="126">
        <f t="shared" si="278"/>
        <v>-10000</v>
      </c>
      <c r="H17428" s="705" t="s">
        <v>11523</v>
      </c>
    </row>
    <row r="17429" spans="1:8" ht="15" x14ac:dyDescent="0.2">
      <c r="A17429" s="734">
        <v>45241</v>
      </c>
      <c r="B17429" s="41" t="s">
        <v>11089</v>
      </c>
      <c r="C17429" s="63" t="s">
        <v>10993</v>
      </c>
      <c r="D17429" s="791" t="s">
        <v>11645</v>
      </c>
      <c r="E17429" s="58">
        <v>5000</v>
      </c>
      <c r="F17429" s="58"/>
      <c r="G17429" s="126">
        <f t="shared" si="278"/>
        <v>-5000</v>
      </c>
      <c r="H17429" s="705" t="s">
        <v>11523</v>
      </c>
    </row>
    <row r="17430" spans="1:8" ht="15" x14ac:dyDescent="0.2">
      <c r="A17430" s="734">
        <v>45241</v>
      </c>
      <c r="B17430" s="41" t="s">
        <v>11446</v>
      </c>
      <c r="C17430" s="551" t="s">
        <v>9775</v>
      </c>
      <c r="D17430" s="904" t="s">
        <v>11661</v>
      </c>
      <c r="E17430" s="583">
        <v>17600</v>
      </c>
      <c r="F17430" s="58"/>
      <c r="G17430" s="126">
        <f t="shared" si="278"/>
        <v>-17600</v>
      </c>
      <c r="H17430" s="705" t="s">
        <v>11523</v>
      </c>
    </row>
    <row r="17431" spans="1:8" ht="15" x14ac:dyDescent="0.2">
      <c r="A17431" s="734">
        <v>45241</v>
      </c>
      <c r="B17431" s="41" t="s">
        <v>9986</v>
      </c>
      <c r="C17431" s="551" t="s">
        <v>9775</v>
      </c>
      <c r="D17431" s="904" t="s">
        <v>11661</v>
      </c>
      <c r="E17431" s="583">
        <v>46320</v>
      </c>
      <c r="F17431" s="58"/>
      <c r="G17431" s="126">
        <f t="shared" si="278"/>
        <v>-46320</v>
      </c>
      <c r="H17431" s="705" t="s">
        <v>11523</v>
      </c>
    </row>
    <row r="17432" spans="1:8" ht="15" x14ac:dyDescent="0.2">
      <c r="A17432" s="734">
        <v>45241</v>
      </c>
      <c r="B17432" s="41" t="s">
        <v>9986</v>
      </c>
      <c r="C17432" s="63" t="s">
        <v>11662</v>
      </c>
      <c r="D17432" s="791" t="s">
        <v>11663</v>
      </c>
      <c r="E17432" s="58">
        <v>60200</v>
      </c>
      <c r="F17432" s="58"/>
      <c r="G17432" s="126">
        <f t="shared" si="278"/>
        <v>-60200</v>
      </c>
      <c r="H17432" s="705" t="s">
        <v>11523</v>
      </c>
    </row>
    <row r="17433" spans="1:8" ht="15" x14ac:dyDescent="0.2">
      <c r="A17433" s="734">
        <v>45241</v>
      </c>
      <c r="B17433" s="41" t="s">
        <v>3946</v>
      </c>
      <c r="C17433" s="63" t="s">
        <v>392</v>
      </c>
      <c r="D17433" s="791" t="s">
        <v>11664</v>
      </c>
      <c r="E17433" s="58">
        <v>5000</v>
      </c>
      <c r="F17433" s="58"/>
      <c r="G17433" s="126">
        <f t="shared" si="278"/>
        <v>-5000</v>
      </c>
      <c r="H17433" s="705" t="s">
        <v>11523</v>
      </c>
    </row>
    <row r="17434" spans="1:8" ht="15" x14ac:dyDescent="0.2">
      <c r="A17434" s="734">
        <v>45241</v>
      </c>
      <c r="B17434" s="41" t="s">
        <v>10908</v>
      </c>
      <c r="C17434" s="63" t="s">
        <v>10993</v>
      </c>
      <c r="D17434" s="791" t="s">
        <v>11665</v>
      </c>
      <c r="E17434" s="58">
        <v>16000</v>
      </c>
      <c r="F17434" s="58"/>
      <c r="G17434" s="126">
        <f t="shared" si="278"/>
        <v>-16000</v>
      </c>
      <c r="H17434" s="705" t="s">
        <v>11523</v>
      </c>
    </row>
    <row r="17435" spans="1:8" ht="15" x14ac:dyDescent="0.2">
      <c r="A17435" s="734">
        <v>45241</v>
      </c>
      <c r="B17435" s="41" t="s">
        <v>10576</v>
      </c>
      <c r="C17435" s="63" t="s">
        <v>10337</v>
      </c>
      <c r="D17435" s="791" t="s">
        <v>370</v>
      </c>
      <c r="E17435" s="58">
        <v>500</v>
      </c>
      <c r="F17435" s="58"/>
      <c r="G17435" s="126">
        <f t="shared" si="278"/>
        <v>-500</v>
      </c>
      <c r="H17435" s="705" t="s">
        <v>11523</v>
      </c>
    </row>
    <row r="17436" spans="1:8" ht="15" x14ac:dyDescent="0.2">
      <c r="A17436" s="734">
        <v>45241</v>
      </c>
      <c r="B17436" s="41" t="s">
        <v>11446</v>
      </c>
      <c r="C17436" s="63" t="s">
        <v>10993</v>
      </c>
      <c r="D17436" s="791" t="s">
        <v>11873</v>
      </c>
      <c r="E17436" s="58">
        <v>44000</v>
      </c>
      <c r="F17436" s="58"/>
      <c r="G17436" s="126">
        <f t="shared" si="278"/>
        <v>-44000</v>
      </c>
      <c r="H17436" s="705" t="s">
        <v>11523</v>
      </c>
    </row>
    <row r="17437" spans="1:8" ht="15" x14ac:dyDescent="0.2">
      <c r="A17437" s="734">
        <v>45243</v>
      </c>
      <c r="B17437" s="41" t="s">
        <v>11446</v>
      </c>
      <c r="C17437" s="63" t="s">
        <v>10993</v>
      </c>
      <c r="D17437" s="791" t="s">
        <v>11666</v>
      </c>
      <c r="E17437" s="58">
        <v>46500</v>
      </c>
      <c r="F17437" s="58"/>
      <c r="G17437" s="126">
        <f t="shared" si="278"/>
        <v>-46500</v>
      </c>
      <c r="H17437" s="705" t="s">
        <v>11523</v>
      </c>
    </row>
    <row r="17438" spans="1:8" ht="15" x14ac:dyDescent="0.2">
      <c r="A17438" s="734">
        <v>45243</v>
      </c>
      <c r="B17438" s="41" t="s">
        <v>11635</v>
      </c>
      <c r="C17438" s="63" t="s">
        <v>3446</v>
      </c>
      <c r="D17438" s="791" t="s">
        <v>11308</v>
      </c>
      <c r="E17438" s="58">
        <v>50000</v>
      </c>
      <c r="F17438" s="58"/>
      <c r="G17438" s="126">
        <f t="shared" si="278"/>
        <v>-50000</v>
      </c>
      <c r="H17438" s="705" t="s">
        <v>11523</v>
      </c>
    </row>
    <row r="17439" spans="1:8" ht="15" x14ac:dyDescent="0.2">
      <c r="A17439" s="734">
        <v>45243</v>
      </c>
      <c r="B17439" s="41" t="s">
        <v>10908</v>
      </c>
      <c r="C17439" s="63" t="s">
        <v>7223</v>
      </c>
      <c r="D17439" s="791" t="s">
        <v>1157</v>
      </c>
      <c r="E17439" s="58">
        <v>100000</v>
      </c>
      <c r="F17439" s="58"/>
      <c r="G17439" s="126">
        <f t="shared" si="278"/>
        <v>-100000</v>
      </c>
      <c r="H17439" s="705" t="s">
        <v>11523</v>
      </c>
    </row>
    <row r="17440" spans="1:8" ht="15" x14ac:dyDescent="0.2">
      <c r="A17440" s="734">
        <v>45243</v>
      </c>
      <c r="B17440" s="41" t="s">
        <v>11446</v>
      </c>
      <c r="C17440" s="63" t="s">
        <v>10993</v>
      </c>
      <c r="D17440" s="791" t="s">
        <v>11666</v>
      </c>
      <c r="E17440" s="58">
        <v>40000</v>
      </c>
      <c r="F17440" s="58"/>
      <c r="G17440" s="126">
        <f t="shared" si="278"/>
        <v>-40000</v>
      </c>
      <c r="H17440" s="705" t="s">
        <v>11523</v>
      </c>
    </row>
    <row r="17441" spans="1:8" ht="15" x14ac:dyDescent="0.2">
      <c r="A17441" s="734">
        <v>45243</v>
      </c>
      <c r="B17441" s="41" t="s">
        <v>11446</v>
      </c>
      <c r="C17441" s="63" t="s">
        <v>10993</v>
      </c>
      <c r="D17441" s="791" t="s">
        <v>11667</v>
      </c>
      <c r="E17441" s="58">
        <v>8600</v>
      </c>
      <c r="F17441" s="58"/>
      <c r="G17441" s="126">
        <f t="shared" si="278"/>
        <v>-8600</v>
      </c>
      <c r="H17441" s="705" t="s">
        <v>11523</v>
      </c>
    </row>
    <row r="17442" spans="1:8" ht="15" x14ac:dyDescent="0.2">
      <c r="A17442" s="734">
        <v>45243</v>
      </c>
      <c r="B17442" s="41" t="s">
        <v>11623</v>
      </c>
      <c r="C17442" s="63" t="s">
        <v>5741</v>
      </c>
      <c r="D17442" s="791" t="s">
        <v>370</v>
      </c>
      <c r="E17442" s="58">
        <v>1500</v>
      </c>
      <c r="F17442" s="58"/>
      <c r="G17442" s="126">
        <f t="shared" si="278"/>
        <v>-1500</v>
      </c>
      <c r="H17442" s="705" t="s">
        <v>11523</v>
      </c>
    </row>
    <row r="17443" spans="1:8" ht="15" x14ac:dyDescent="0.2">
      <c r="A17443" s="734">
        <v>45243</v>
      </c>
      <c r="B17443" s="41" t="s">
        <v>10908</v>
      </c>
      <c r="C17443" s="63" t="s">
        <v>5741</v>
      </c>
      <c r="D17443" s="791" t="s">
        <v>370</v>
      </c>
      <c r="E17443" s="58">
        <v>1600</v>
      </c>
      <c r="F17443" s="58"/>
      <c r="G17443" s="126">
        <f t="shared" si="278"/>
        <v>-1600</v>
      </c>
      <c r="H17443" s="705" t="s">
        <v>11523</v>
      </c>
    </row>
    <row r="17444" spans="1:8" ht="15" x14ac:dyDescent="0.2">
      <c r="A17444" s="734">
        <v>45243</v>
      </c>
      <c r="B17444" s="41" t="s">
        <v>10232</v>
      </c>
      <c r="C17444" s="63" t="s">
        <v>5741</v>
      </c>
      <c r="D17444" s="791" t="s">
        <v>370</v>
      </c>
      <c r="E17444" s="58">
        <v>1600</v>
      </c>
      <c r="F17444" s="58"/>
      <c r="G17444" s="126">
        <f t="shared" si="278"/>
        <v>-1600</v>
      </c>
      <c r="H17444" s="705" t="s">
        <v>11523</v>
      </c>
    </row>
    <row r="17445" spans="1:8" ht="15" x14ac:dyDescent="0.2">
      <c r="A17445" s="734">
        <v>45243</v>
      </c>
      <c r="B17445" s="41" t="s">
        <v>9986</v>
      </c>
      <c r="C17445" s="63" t="s">
        <v>5741</v>
      </c>
      <c r="D17445" s="791" t="s">
        <v>370</v>
      </c>
      <c r="E17445" s="58">
        <v>2000</v>
      </c>
      <c r="F17445" s="58"/>
      <c r="G17445" s="126">
        <f t="shared" si="278"/>
        <v>-2000</v>
      </c>
      <c r="H17445" s="705" t="s">
        <v>11523</v>
      </c>
    </row>
    <row r="17446" spans="1:8" ht="15" x14ac:dyDescent="0.2">
      <c r="A17446" s="734">
        <v>45243</v>
      </c>
      <c r="B17446" s="41" t="s">
        <v>11026</v>
      </c>
      <c r="C17446" s="63" t="s">
        <v>11132</v>
      </c>
      <c r="D17446" s="791" t="s">
        <v>11668</v>
      </c>
      <c r="E17446" s="58">
        <v>20000</v>
      </c>
      <c r="F17446" s="58"/>
      <c r="G17446" s="126">
        <f t="shared" si="278"/>
        <v>-20000</v>
      </c>
      <c r="H17446" s="705" t="s">
        <v>11523</v>
      </c>
    </row>
    <row r="17447" spans="1:8" ht="15" x14ac:dyDescent="0.2">
      <c r="A17447" s="734">
        <v>45243</v>
      </c>
      <c r="B17447" s="41" t="s">
        <v>11511</v>
      </c>
      <c r="C17447" s="63" t="s">
        <v>10993</v>
      </c>
      <c r="D17447" s="791" t="s">
        <v>6486</v>
      </c>
      <c r="E17447" s="58">
        <v>3650</v>
      </c>
      <c r="F17447" s="58"/>
      <c r="G17447" s="126">
        <f t="shared" si="278"/>
        <v>-3650</v>
      </c>
      <c r="H17447" s="705" t="s">
        <v>11523</v>
      </c>
    </row>
    <row r="17448" spans="1:8" ht="15" x14ac:dyDescent="0.2">
      <c r="A17448" s="734">
        <v>45243</v>
      </c>
      <c r="B17448" s="41" t="s">
        <v>11307</v>
      </c>
      <c r="C17448" s="63" t="s">
        <v>10993</v>
      </c>
      <c r="D17448" s="791" t="s">
        <v>11035</v>
      </c>
      <c r="E17448" s="58">
        <v>1840</v>
      </c>
      <c r="F17448" s="58"/>
      <c r="G17448" s="126">
        <f t="shared" si="278"/>
        <v>-1840</v>
      </c>
      <c r="H17448" s="705" t="s">
        <v>11523</v>
      </c>
    </row>
    <row r="17449" spans="1:8" ht="15" x14ac:dyDescent="0.2">
      <c r="A17449" s="734">
        <v>45243</v>
      </c>
      <c r="B17449" s="41" t="s">
        <v>10908</v>
      </c>
      <c r="C17449" s="63" t="s">
        <v>10993</v>
      </c>
      <c r="D17449" s="791" t="s">
        <v>11669</v>
      </c>
      <c r="E17449" s="58">
        <v>58000</v>
      </c>
      <c r="F17449" s="58"/>
      <c r="G17449" s="126">
        <f t="shared" si="278"/>
        <v>-58000</v>
      </c>
      <c r="H17449" s="705" t="s">
        <v>11523</v>
      </c>
    </row>
    <row r="17450" spans="1:8" ht="15" x14ac:dyDescent="0.2">
      <c r="A17450" s="734">
        <v>45243</v>
      </c>
      <c r="B17450" s="41" t="s">
        <v>11446</v>
      </c>
      <c r="C17450" s="63" t="s">
        <v>5741</v>
      </c>
      <c r="D17450" s="791" t="s">
        <v>370</v>
      </c>
      <c r="E17450" s="58">
        <v>1000</v>
      </c>
      <c r="F17450" s="58"/>
      <c r="G17450" s="126">
        <f t="shared" si="278"/>
        <v>-1000</v>
      </c>
      <c r="H17450" s="705" t="s">
        <v>11523</v>
      </c>
    </row>
    <row r="17451" spans="1:8" ht="15" x14ac:dyDescent="0.2">
      <c r="A17451" s="734">
        <v>45243</v>
      </c>
      <c r="B17451" s="41" t="s">
        <v>10908</v>
      </c>
      <c r="C17451" s="63" t="s">
        <v>5741</v>
      </c>
      <c r="D17451" s="791" t="s">
        <v>370</v>
      </c>
      <c r="E17451" s="58">
        <v>1600</v>
      </c>
      <c r="F17451" s="58"/>
      <c r="G17451" s="126">
        <f t="shared" si="278"/>
        <v>-1600</v>
      </c>
      <c r="H17451" s="705" t="s">
        <v>11523</v>
      </c>
    </row>
    <row r="17452" spans="1:8" ht="15" x14ac:dyDescent="0.2">
      <c r="A17452" s="734">
        <v>45243</v>
      </c>
      <c r="B17452" s="41" t="s">
        <v>10908</v>
      </c>
      <c r="C17452" s="63" t="s">
        <v>11054</v>
      </c>
      <c r="D17452" s="791" t="s">
        <v>11670</v>
      </c>
      <c r="E17452" s="58">
        <v>20000</v>
      </c>
      <c r="F17452" s="58"/>
      <c r="G17452" s="126">
        <f t="shared" si="278"/>
        <v>-20000</v>
      </c>
      <c r="H17452" s="705" t="s">
        <v>11523</v>
      </c>
    </row>
    <row r="17453" spans="1:8" ht="15" x14ac:dyDescent="0.2">
      <c r="A17453" s="734">
        <v>45243</v>
      </c>
      <c r="B17453" s="41" t="s">
        <v>9409</v>
      </c>
      <c r="C17453" s="63" t="s">
        <v>10993</v>
      </c>
      <c r="D17453" s="791" t="s">
        <v>11671</v>
      </c>
      <c r="E17453" s="58">
        <v>8000</v>
      </c>
      <c r="F17453" s="58"/>
      <c r="G17453" s="126">
        <f t="shared" si="278"/>
        <v>-8000</v>
      </c>
      <c r="H17453" s="705" t="s">
        <v>11523</v>
      </c>
    </row>
    <row r="17454" spans="1:8" ht="15" x14ac:dyDescent="0.2">
      <c r="A17454" s="734">
        <v>45243</v>
      </c>
      <c r="B17454" s="41" t="s">
        <v>11307</v>
      </c>
      <c r="C17454" s="63" t="s">
        <v>10993</v>
      </c>
      <c r="D17454" s="791" t="s">
        <v>11671</v>
      </c>
      <c r="E17454" s="58">
        <v>47470</v>
      </c>
      <c r="F17454" s="58"/>
      <c r="G17454" s="126">
        <f t="shared" si="278"/>
        <v>-47470</v>
      </c>
      <c r="H17454" s="705" t="s">
        <v>11523</v>
      </c>
    </row>
    <row r="17455" spans="1:8" ht="15" x14ac:dyDescent="0.2">
      <c r="A17455" s="734">
        <v>45243</v>
      </c>
      <c r="B17455" s="41" t="s">
        <v>25</v>
      </c>
      <c r="C17455" s="63" t="s">
        <v>7595</v>
      </c>
      <c r="D17455" s="791" t="s">
        <v>11678</v>
      </c>
      <c r="E17455" s="58">
        <v>80000</v>
      </c>
      <c r="F17455" s="58"/>
      <c r="G17455" s="126">
        <f t="shared" si="278"/>
        <v>-80000</v>
      </c>
      <c r="H17455" s="705" t="s">
        <v>11523</v>
      </c>
    </row>
    <row r="17456" spans="1:8" ht="15" x14ac:dyDescent="0.2">
      <c r="A17456" s="734">
        <v>45244</v>
      </c>
      <c r="B17456" s="41" t="s">
        <v>11135</v>
      </c>
      <c r="C17456" s="63" t="s">
        <v>11690</v>
      </c>
      <c r="D17456" s="791" t="s">
        <v>9916</v>
      </c>
      <c r="E17456" s="58">
        <v>10000</v>
      </c>
      <c r="F17456" s="58"/>
      <c r="G17456" s="126">
        <f t="shared" si="278"/>
        <v>-10000</v>
      </c>
      <c r="H17456" s="705" t="s">
        <v>11523</v>
      </c>
    </row>
    <row r="17457" spans="1:8" ht="15" x14ac:dyDescent="0.2">
      <c r="A17457" s="734">
        <v>45244</v>
      </c>
      <c r="B17457" s="41" t="s">
        <v>11089</v>
      </c>
      <c r="C17457" s="63" t="s">
        <v>10993</v>
      </c>
      <c r="D17457" s="791" t="s">
        <v>11691</v>
      </c>
      <c r="E17457" s="58">
        <v>1500</v>
      </c>
      <c r="F17457" s="58"/>
      <c r="G17457" s="126">
        <f t="shared" si="278"/>
        <v>-1500</v>
      </c>
      <c r="H17457" s="705" t="s">
        <v>11523</v>
      </c>
    </row>
    <row r="17458" spans="1:8" ht="15" x14ac:dyDescent="0.2">
      <c r="A17458" s="734">
        <v>45244</v>
      </c>
      <c r="B17458" s="41" t="s">
        <v>10471</v>
      </c>
      <c r="C17458" s="63" t="s">
        <v>10993</v>
      </c>
      <c r="D17458" s="791" t="s">
        <v>11692</v>
      </c>
      <c r="E17458" s="58">
        <v>750</v>
      </c>
      <c r="F17458" s="58"/>
      <c r="G17458" s="126">
        <f t="shared" si="278"/>
        <v>-750</v>
      </c>
      <c r="H17458" s="705" t="s">
        <v>11523</v>
      </c>
    </row>
    <row r="17459" spans="1:8" ht="15" x14ac:dyDescent="0.2">
      <c r="A17459" s="734">
        <v>45244</v>
      </c>
      <c r="B17459" s="41" t="s">
        <v>10471</v>
      </c>
      <c r="C17459" s="63" t="s">
        <v>10993</v>
      </c>
      <c r="D17459" s="791" t="s">
        <v>11693</v>
      </c>
      <c r="E17459" s="58">
        <v>1500</v>
      </c>
      <c r="F17459" s="58"/>
      <c r="G17459" s="126">
        <f t="shared" si="278"/>
        <v>-1500</v>
      </c>
      <c r="H17459" s="705" t="s">
        <v>11523</v>
      </c>
    </row>
    <row r="17460" spans="1:8" ht="15" x14ac:dyDescent="0.2">
      <c r="A17460" s="734">
        <v>45244</v>
      </c>
      <c r="B17460" s="41" t="s">
        <v>103</v>
      </c>
      <c r="C17460" s="63" t="s">
        <v>103</v>
      </c>
      <c r="D17460" s="791" t="s">
        <v>10211</v>
      </c>
      <c r="E17460" s="58">
        <v>4000</v>
      </c>
      <c r="F17460" s="58"/>
      <c r="G17460" s="126">
        <f t="shared" si="278"/>
        <v>-4000</v>
      </c>
      <c r="H17460" s="705" t="s">
        <v>11523</v>
      </c>
    </row>
    <row r="17461" spans="1:8" ht="15" x14ac:dyDescent="0.2">
      <c r="A17461" s="734">
        <v>45244</v>
      </c>
      <c r="B17461" s="41" t="s">
        <v>10908</v>
      </c>
      <c r="C17461" s="63" t="s">
        <v>5741</v>
      </c>
      <c r="D17461" s="791" t="s">
        <v>370</v>
      </c>
      <c r="E17461" s="58">
        <v>800</v>
      </c>
      <c r="F17461" s="58"/>
      <c r="G17461" s="126">
        <f t="shared" si="278"/>
        <v>-800</v>
      </c>
      <c r="H17461" s="705" t="s">
        <v>11523</v>
      </c>
    </row>
    <row r="17462" spans="1:8" ht="15" x14ac:dyDescent="0.2">
      <c r="A17462" s="734">
        <v>45244</v>
      </c>
      <c r="B17462" s="41" t="s">
        <v>10908</v>
      </c>
      <c r="C17462" s="63" t="s">
        <v>5741</v>
      </c>
      <c r="D17462" s="791" t="s">
        <v>370</v>
      </c>
      <c r="E17462" s="58">
        <v>2000</v>
      </c>
      <c r="F17462" s="58"/>
      <c r="G17462" s="126">
        <f t="shared" si="278"/>
        <v>-2000</v>
      </c>
      <c r="H17462" s="705" t="s">
        <v>11523</v>
      </c>
    </row>
    <row r="17463" spans="1:8" ht="15" x14ac:dyDescent="0.2">
      <c r="A17463" s="734">
        <v>45244</v>
      </c>
      <c r="B17463" s="41" t="s">
        <v>10908</v>
      </c>
      <c r="C17463" s="63" t="s">
        <v>5741</v>
      </c>
      <c r="D17463" s="791" t="s">
        <v>10337</v>
      </c>
      <c r="E17463" s="58">
        <v>950</v>
      </c>
      <c r="F17463" s="58"/>
      <c r="G17463" s="126">
        <f t="shared" si="278"/>
        <v>-950</v>
      </c>
      <c r="H17463" s="705" t="s">
        <v>11523</v>
      </c>
    </row>
    <row r="17464" spans="1:8" ht="15" x14ac:dyDescent="0.2">
      <c r="A17464" s="734">
        <v>45244</v>
      </c>
      <c r="B17464" s="41" t="s">
        <v>10908</v>
      </c>
      <c r="C17464" s="63" t="s">
        <v>10993</v>
      </c>
      <c r="D17464" s="791" t="s">
        <v>11694</v>
      </c>
      <c r="E17464" s="58">
        <v>1200</v>
      </c>
      <c r="F17464" s="58"/>
      <c r="G17464" s="126">
        <f t="shared" si="278"/>
        <v>-1200</v>
      </c>
      <c r="H17464" s="705" t="s">
        <v>11523</v>
      </c>
    </row>
    <row r="17465" spans="1:8" ht="15" x14ac:dyDescent="0.2">
      <c r="A17465" s="734">
        <v>45244</v>
      </c>
      <c r="B17465" s="41" t="s">
        <v>10232</v>
      </c>
      <c r="C17465" s="63" t="s">
        <v>5741</v>
      </c>
      <c r="D17465" s="791" t="s">
        <v>370</v>
      </c>
      <c r="E17465" s="58">
        <v>3000</v>
      </c>
      <c r="F17465" s="58"/>
      <c r="G17465" s="126">
        <f t="shared" si="278"/>
        <v>-3000</v>
      </c>
      <c r="H17465" s="705" t="s">
        <v>11523</v>
      </c>
    </row>
    <row r="17466" spans="1:8" ht="15" x14ac:dyDescent="0.2">
      <c r="A17466" s="734">
        <v>45244</v>
      </c>
      <c r="B17466" s="41" t="s">
        <v>11635</v>
      </c>
      <c r="C17466" s="63" t="s">
        <v>10993</v>
      </c>
      <c r="D17466" s="791" t="s">
        <v>11695</v>
      </c>
      <c r="E17466" s="58">
        <v>11200</v>
      </c>
      <c r="F17466" s="58"/>
      <c r="G17466" s="126">
        <f t="shared" si="278"/>
        <v>-11200</v>
      </c>
      <c r="H17466" s="705" t="s">
        <v>11523</v>
      </c>
    </row>
    <row r="17467" spans="1:8" ht="15" x14ac:dyDescent="0.2">
      <c r="A17467" s="734">
        <v>45245</v>
      </c>
      <c r="B17467" s="41" t="s">
        <v>25</v>
      </c>
      <c r="C17467" s="63" t="s">
        <v>392</v>
      </c>
      <c r="D17467" s="791" t="s">
        <v>11696</v>
      </c>
      <c r="E17467" s="58">
        <v>1500</v>
      </c>
      <c r="F17467" s="58"/>
      <c r="G17467" s="126">
        <f t="shared" si="278"/>
        <v>-1500</v>
      </c>
      <c r="H17467" s="705" t="s">
        <v>11523</v>
      </c>
    </row>
    <row r="17468" spans="1:8" ht="15" x14ac:dyDescent="0.2">
      <c r="A17468" s="734">
        <v>45245</v>
      </c>
      <c r="B17468" s="41" t="s">
        <v>11307</v>
      </c>
      <c r="C17468" s="63" t="s">
        <v>10063</v>
      </c>
      <c r="D17468" s="791" t="s">
        <v>6927</v>
      </c>
      <c r="E17468" s="58">
        <v>50000</v>
      </c>
      <c r="F17468" s="58"/>
      <c r="G17468" s="126">
        <f t="shared" si="278"/>
        <v>-50000</v>
      </c>
      <c r="H17468" s="705" t="s">
        <v>11523</v>
      </c>
    </row>
    <row r="17469" spans="1:8" ht="15" x14ac:dyDescent="0.2">
      <c r="A17469" s="734">
        <v>45245</v>
      </c>
      <c r="B17469" s="41" t="s">
        <v>10908</v>
      </c>
      <c r="C17469" s="63" t="s">
        <v>5741</v>
      </c>
      <c r="D17469" s="791" t="s">
        <v>370</v>
      </c>
      <c r="E17469" s="58">
        <v>3000</v>
      </c>
      <c r="F17469" s="58"/>
      <c r="G17469" s="126">
        <f t="shared" si="278"/>
        <v>-3000</v>
      </c>
      <c r="H17469" s="705" t="s">
        <v>11523</v>
      </c>
    </row>
    <row r="17470" spans="1:8" ht="15" x14ac:dyDescent="0.2">
      <c r="A17470" s="734">
        <v>45245</v>
      </c>
      <c r="B17470" s="41" t="s">
        <v>103</v>
      </c>
      <c r="C17470" s="63" t="s">
        <v>103</v>
      </c>
      <c r="D17470" s="791" t="s">
        <v>10211</v>
      </c>
      <c r="E17470" s="58">
        <v>4000</v>
      </c>
      <c r="F17470" s="58"/>
      <c r="G17470" s="126">
        <f t="shared" si="278"/>
        <v>-4000</v>
      </c>
      <c r="H17470" s="705" t="s">
        <v>11523</v>
      </c>
    </row>
    <row r="17471" spans="1:8" ht="15" x14ac:dyDescent="0.2">
      <c r="A17471" s="734">
        <v>45245</v>
      </c>
      <c r="B17471" s="41" t="s">
        <v>10908</v>
      </c>
      <c r="C17471" s="63" t="s">
        <v>10993</v>
      </c>
      <c r="D17471" s="791" t="s">
        <v>11697</v>
      </c>
      <c r="E17471" s="58">
        <v>15000</v>
      </c>
      <c r="F17471" s="58"/>
      <c r="G17471" s="126">
        <f t="shared" ref="G17471:G17534" si="279">F17471-E17471</f>
        <v>-15000</v>
      </c>
      <c r="H17471" s="705" t="s">
        <v>11523</v>
      </c>
    </row>
    <row r="17472" spans="1:8" ht="15" x14ac:dyDescent="0.2">
      <c r="A17472" s="734">
        <v>45245</v>
      </c>
      <c r="B17472" s="41" t="s">
        <v>10908</v>
      </c>
      <c r="C17472" s="63" t="s">
        <v>10993</v>
      </c>
      <c r="D17472" s="791" t="s">
        <v>11695</v>
      </c>
      <c r="E17472" s="58">
        <v>13500</v>
      </c>
      <c r="F17472" s="58"/>
      <c r="G17472" s="126">
        <f t="shared" si="279"/>
        <v>-13500</v>
      </c>
      <c r="H17472" s="705" t="s">
        <v>11523</v>
      </c>
    </row>
    <row r="17473" spans="1:8" ht="15" x14ac:dyDescent="0.2">
      <c r="A17473" s="734">
        <v>45245</v>
      </c>
      <c r="B17473" s="41" t="s">
        <v>10908</v>
      </c>
      <c r="C17473" s="63" t="s">
        <v>10993</v>
      </c>
      <c r="D17473" s="791" t="s">
        <v>11698</v>
      </c>
      <c r="E17473" s="58">
        <v>7200</v>
      </c>
      <c r="F17473" s="58"/>
      <c r="G17473" s="126">
        <f t="shared" si="279"/>
        <v>-7200</v>
      </c>
      <c r="H17473" s="705" t="s">
        <v>11523</v>
      </c>
    </row>
    <row r="17474" spans="1:8" ht="15" x14ac:dyDescent="0.2">
      <c r="A17474" s="734">
        <v>45245</v>
      </c>
      <c r="B17474" s="41" t="s">
        <v>10232</v>
      </c>
      <c r="C17474" s="63" t="s">
        <v>10993</v>
      </c>
      <c r="D17474" s="791" t="s">
        <v>3571</v>
      </c>
      <c r="E17474" s="58">
        <v>600</v>
      </c>
      <c r="F17474" s="58"/>
      <c r="G17474" s="126">
        <f t="shared" si="279"/>
        <v>-600</v>
      </c>
      <c r="H17474" s="705" t="s">
        <v>11523</v>
      </c>
    </row>
    <row r="17475" spans="1:8" ht="15" x14ac:dyDescent="0.2">
      <c r="A17475" s="734">
        <v>45245</v>
      </c>
      <c r="B17475" s="41" t="s">
        <v>10908</v>
      </c>
      <c r="C17475" s="63" t="s">
        <v>10993</v>
      </c>
      <c r="D17475" s="791" t="s">
        <v>11699</v>
      </c>
      <c r="E17475" s="58">
        <v>2250</v>
      </c>
      <c r="F17475" s="58"/>
      <c r="G17475" s="126">
        <f t="shared" si="279"/>
        <v>-2250</v>
      </c>
      <c r="H17475" s="705" t="s">
        <v>11523</v>
      </c>
    </row>
    <row r="17476" spans="1:8" ht="15" x14ac:dyDescent="0.2">
      <c r="A17476" s="734">
        <v>45245</v>
      </c>
      <c r="B17476" s="41" t="s">
        <v>11625</v>
      </c>
      <c r="C17476" s="63" t="s">
        <v>11626</v>
      </c>
      <c r="D17476" s="791" t="s">
        <v>1157</v>
      </c>
      <c r="E17476" s="58">
        <v>15000</v>
      </c>
      <c r="F17476" s="58"/>
      <c r="G17476" s="126">
        <f t="shared" si="279"/>
        <v>-15000</v>
      </c>
      <c r="H17476" s="705" t="s">
        <v>11523</v>
      </c>
    </row>
    <row r="17477" spans="1:8" ht="15" x14ac:dyDescent="0.2">
      <c r="A17477" s="734">
        <v>45245</v>
      </c>
      <c r="B17477" s="41" t="s">
        <v>11635</v>
      </c>
      <c r="C17477" s="63" t="s">
        <v>5741</v>
      </c>
      <c r="D17477" s="791" t="s">
        <v>370</v>
      </c>
      <c r="E17477" s="58">
        <v>3000</v>
      </c>
      <c r="F17477" s="58"/>
      <c r="G17477" s="126">
        <f t="shared" si="279"/>
        <v>-3000</v>
      </c>
      <c r="H17477" s="705" t="s">
        <v>11523</v>
      </c>
    </row>
    <row r="17478" spans="1:8" ht="15" x14ac:dyDescent="0.2">
      <c r="A17478" s="734">
        <v>45245</v>
      </c>
      <c r="B17478" s="41" t="s">
        <v>10908</v>
      </c>
      <c r="C17478" s="63" t="s">
        <v>11536</v>
      </c>
      <c r="D17478" s="791" t="s">
        <v>10721</v>
      </c>
      <c r="E17478" s="58">
        <v>150000</v>
      </c>
      <c r="F17478" s="58"/>
      <c r="G17478" s="126">
        <f t="shared" si="279"/>
        <v>-150000</v>
      </c>
      <c r="H17478" s="705" t="s">
        <v>11523</v>
      </c>
    </row>
    <row r="17479" spans="1:8" ht="15" x14ac:dyDescent="0.2">
      <c r="A17479" s="734">
        <v>45245</v>
      </c>
      <c r="B17479" s="41" t="s">
        <v>11511</v>
      </c>
      <c r="C17479" s="63" t="s">
        <v>10993</v>
      </c>
      <c r="D17479" s="791" t="s">
        <v>11700</v>
      </c>
      <c r="E17479" s="58">
        <v>22600</v>
      </c>
      <c r="F17479" s="58"/>
      <c r="G17479" s="126">
        <f t="shared" si="279"/>
        <v>-22600</v>
      </c>
      <c r="H17479" s="705" t="s">
        <v>11523</v>
      </c>
    </row>
    <row r="17480" spans="1:8" ht="15" x14ac:dyDescent="0.2">
      <c r="A17480" s="734">
        <v>45246</v>
      </c>
      <c r="B17480" s="41" t="s">
        <v>25</v>
      </c>
      <c r="C17480" s="63" t="s">
        <v>8150</v>
      </c>
      <c r="D17480" s="791" t="s">
        <v>11701</v>
      </c>
      <c r="E17480" s="58">
        <v>2000</v>
      </c>
      <c r="F17480" s="58"/>
      <c r="G17480" s="126">
        <f t="shared" si="279"/>
        <v>-2000</v>
      </c>
      <c r="H17480" s="705" t="s">
        <v>11523</v>
      </c>
    </row>
    <row r="17481" spans="1:8" ht="15" x14ac:dyDescent="0.2">
      <c r="A17481" s="734">
        <v>45246</v>
      </c>
      <c r="B17481" s="41" t="s">
        <v>103</v>
      </c>
      <c r="C17481" s="63" t="s">
        <v>8150</v>
      </c>
      <c r="D17481" s="791" t="s">
        <v>11701</v>
      </c>
      <c r="E17481" s="58">
        <v>8700</v>
      </c>
      <c r="F17481" s="58"/>
      <c r="G17481" s="126">
        <f t="shared" si="279"/>
        <v>-8700</v>
      </c>
      <c r="H17481" s="705" t="s">
        <v>11523</v>
      </c>
    </row>
    <row r="17482" spans="1:8" ht="15" x14ac:dyDescent="0.2">
      <c r="A17482" s="734">
        <v>45246</v>
      </c>
      <c r="B17482" s="41" t="s">
        <v>9986</v>
      </c>
      <c r="C17482" s="63" t="s">
        <v>10337</v>
      </c>
      <c r="D17482" s="791" t="s">
        <v>370</v>
      </c>
      <c r="E17482" s="58">
        <v>350</v>
      </c>
      <c r="F17482" s="58"/>
      <c r="G17482" s="126">
        <f t="shared" si="279"/>
        <v>-350</v>
      </c>
      <c r="H17482" s="705" t="s">
        <v>11523</v>
      </c>
    </row>
    <row r="17483" spans="1:8" ht="15" x14ac:dyDescent="0.2">
      <c r="A17483" s="734">
        <v>45247</v>
      </c>
      <c r="B17483" s="41" t="s">
        <v>11135</v>
      </c>
      <c r="C17483" s="63" t="s">
        <v>11690</v>
      </c>
      <c r="D17483" s="791" t="s">
        <v>9916</v>
      </c>
      <c r="E17483" s="58">
        <v>10000</v>
      </c>
      <c r="F17483" s="58"/>
      <c r="G17483" s="126">
        <f t="shared" si="279"/>
        <v>-10000</v>
      </c>
      <c r="H17483" s="705" t="s">
        <v>11523</v>
      </c>
    </row>
    <row r="17484" spans="1:8" ht="15" x14ac:dyDescent="0.2">
      <c r="A17484" s="734">
        <v>45247</v>
      </c>
      <c r="B17484" s="41" t="s">
        <v>10908</v>
      </c>
      <c r="C17484" s="63" t="s">
        <v>10993</v>
      </c>
      <c r="D17484" s="791" t="s">
        <v>11720</v>
      </c>
      <c r="E17484" s="58">
        <v>65000</v>
      </c>
      <c r="F17484" s="58"/>
      <c r="G17484" s="126">
        <f t="shared" si="279"/>
        <v>-65000</v>
      </c>
      <c r="H17484" s="705" t="s">
        <v>11523</v>
      </c>
    </row>
    <row r="17485" spans="1:8" ht="15" x14ac:dyDescent="0.2">
      <c r="A17485" s="734">
        <v>45247</v>
      </c>
      <c r="B17485" s="41" t="s">
        <v>10908</v>
      </c>
      <c r="C17485" s="63" t="s">
        <v>10993</v>
      </c>
      <c r="D17485" s="791" t="s">
        <v>11721</v>
      </c>
      <c r="E17485" s="58">
        <v>4000</v>
      </c>
      <c r="F17485" s="58"/>
      <c r="G17485" s="126">
        <f t="shared" si="279"/>
        <v>-4000</v>
      </c>
      <c r="H17485" s="705" t="s">
        <v>11523</v>
      </c>
    </row>
    <row r="17486" spans="1:8" ht="15" x14ac:dyDescent="0.2">
      <c r="A17486" s="734">
        <v>45247</v>
      </c>
      <c r="B17486" s="41" t="s">
        <v>10908</v>
      </c>
      <c r="C17486" s="63" t="s">
        <v>10993</v>
      </c>
      <c r="D17486" s="791" t="s">
        <v>11722</v>
      </c>
      <c r="E17486" s="58">
        <v>11200</v>
      </c>
      <c r="F17486" s="58"/>
      <c r="G17486" s="126">
        <f t="shared" si="279"/>
        <v>-11200</v>
      </c>
      <c r="H17486" s="705" t="s">
        <v>11523</v>
      </c>
    </row>
    <row r="17487" spans="1:8" ht="15" x14ac:dyDescent="0.2">
      <c r="A17487" s="734">
        <v>45247</v>
      </c>
      <c r="B17487" s="41" t="s">
        <v>10908</v>
      </c>
      <c r="C17487" s="63" t="s">
        <v>10993</v>
      </c>
      <c r="D17487" s="791" t="s">
        <v>11723</v>
      </c>
      <c r="E17487" s="58">
        <v>5720</v>
      </c>
      <c r="F17487" s="58"/>
      <c r="G17487" s="126">
        <f t="shared" si="279"/>
        <v>-5720</v>
      </c>
      <c r="H17487" s="705" t="s">
        <v>11523</v>
      </c>
    </row>
    <row r="17488" spans="1:8" ht="15" x14ac:dyDescent="0.2">
      <c r="A17488" s="734">
        <v>45247</v>
      </c>
      <c r="B17488" s="41" t="s">
        <v>11623</v>
      </c>
      <c r="C17488" s="63" t="s">
        <v>10993</v>
      </c>
      <c r="D17488" s="791" t="s">
        <v>11724</v>
      </c>
      <c r="E17488" s="58">
        <v>6480</v>
      </c>
      <c r="F17488" s="58"/>
      <c r="G17488" s="126">
        <f t="shared" si="279"/>
        <v>-6480</v>
      </c>
      <c r="H17488" s="705" t="s">
        <v>11523</v>
      </c>
    </row>
    <row r="17489" spans="1:8" ht="15" x14ac:dyDescent="0.2">
      <c r="A17489" s="734">
        <v>45247</v>
      </c>
      <c r="B17489" s="41" t="s">
        <v>11623</v>
      </c>
      <c r="C17489" s="63" t="s">
        <v>11725</v>
      </c>
      <c r="D17489" s="791" t="s">
        <v>11726</v>
      </c>
      <c r="E17489" s="58">
        <v>14400</v>
      </c>
      <c r="F17489" s="58"/>
      <c r="G17489" s="126">
        <f t="shared" si="279"/>
        <v>-14400</v>
      </c>
      <c r="H17489" s="705" t="s">
        <v>11523</v>
      </c>
    </row>
    <row r="17490" spans="1:8" ht="15" x14ac:dyDescent="0.2">
      <c r="A17490" s="734">
        <v>45248</v>
      </c>
      <c r="B17490" s="41" t="s">
        <v>11623</v>
      </c>
      <c r="C17490" s="63" t="s">
        <v>5741</v>
      </c>
      <c r="D17490" s="791" t="s">
        <v>370</v>
      </c>
      <c r="E17490" s="58">
        <v>2000</v>
      </c>
      <c r="F17490" s="58"/>
      <c r="G17490" s="126">
        <f t="shared" si="279"/>
        <v>-2000</v>
      </c>
      <c r="H17490" s="705" t="s">
        <v>11523</v>
      </c>
    </row>
    <row r="17491" spans="1:8" ht="15" x14ac:dyDescent="0.2">
      <c r="A17491" s="734">
        <v>45248</v>
      </c>
      <c r="B17491" s="41" t="s">
        <v>10908</v>
      </c>
      <c r="C17491" s="63" t="s">
        <v>5741</v>
      </c>
      <c r="D17491" s="791" t="s">
        <v>370</v>
      </c>
      <c r="E17491" s="58">
        <v>1250</v>
      </c>
      <c r="F17491" s="58"/>
      <c r="G17491" s="126">
        <f t="shared" si="279"/>
        <v>-1250</v>
      </c>
      <c r="H17491" s="705" t="s">
        <v>11523</v>
      </c>
    </row>
    <row r="17492" spans="1:8" ht="15" x14ac:dyDescent="0.2">
      <c r="A17492" s="734">
        <v>45248</v>
      </c>
      <c r="B17492" s="41" t="s">
        <v>3946</v>
      </c>
      <c r="C17492" s="63" t="s">
        <v>794</v>
      </c>
      <c r="D17492" s="791" t="s">
        <v>11727</v>
      </c>
      <c r="E17492" s="58">
        <v>5000</v>
      </c>
      <c r="F17492" s="58"/>
      <c r="G17492" s="126">
        <f t="shared" si="279"/>
        <v>-5000</v>
      </c>
      <c r="H17492" s="705" t="s">
        <v>11523</v>
      </c>
    </row>
    <row r="17493" spans="1:8" ht="15" x14ac:dyDescent="0.2">
      <c r="A17493" s="734">
        <v>45248</v>
      </c>
      <c r="B17493" s="41" t="s">
        <v>10471</v>
      </c>
      <c r="C17493" s="63" t="s">
        <v>9460</v>
      </c>
      <c r="D17493" s="791" t="s">
        <v>1157</v>
      </c>
      <c r="E17493" s="58">
        <v>20000</v>
      </c>
      <c r="F17493" s="58"/>
      <c r="G17493" s="126">
        <f t="shared" si="279"/>
        <v>-20000</v>
      </c>
      <c r="H17493" s="705" t="s">
        <v>11523</v>
      </c>
    </row>
    <row r="17494" spans="1:8" ht="15" x14ac:dyDescent="0.2">
      <c r="A17494" s="734">
        <v>45248</v>
      </c>
      <c r="B17494" s="41" t="s">
        <v>11728</v>
      </c>
      <c r="C17494" s="63" t="s">
        <v>10993</v>
      </c>
      <c r="D17494" s="791" t="s">
        <v>11729</v>
      </c>
      <c r="E17494" s="58">
        <v>42000</v>
      </c>
      <c r="F17494" s="58"/>
      <c r="G17494" s="126">
        <f t="shared" si="279"/>
        <v>-42000</v>
      </c>
      <c r="H17494" s="705" t="s">
        <v>11523</v>
      </c>
    </row>
    <row r="17495" spans="1:8" ht="15" x14ac:dyDescent="0.2">
      <c r="A17495" s="734">
        <v>45248</v>
      </c>
      <c r="B17495" s="41" t="s">
        <v>10908</v>
      </c>
      <c r="C17495" s="670" t="s">
        <v>10993</v>
      </c>
      <c r="D17495" s="912" t="s">
        <v>11730</v>
      </c>
      <c r="E17495" s="585">
        <v>8640</v>
      </c>
      <c r="F17495" s="58"/>
      <c r="G17495" s="126">
        <f t="shared" si="279"/>
        <v>-8640</v>
      </c>
      <c r="H17495" s="705" t="s">
        <v>11523</v>
      </c>
    </row>
    <row r="17496" spans="1:8" ht="15" x14ac:dyDescent="0.2">
      <c r="A17496" s="734">
        <v>45248</v>
      </c>
      <c r="B17496" s="41" t="s">
        <v>10576</v>
      </c>
      <c r="C17496" s="670" t="s">
        <v>10993</v>
      </c>
      <c r="D17496" s="912" t="s">
        <v>11730</v>
      </c>
      <c r="E17496" s="585">
        <v>8640</v>
      </c>
      <c r="F17496" s="58"/>
      <c r="G17496" s="126">
        <f t="shared" si="279"/>
        <v>-8640</v>
      </c>
      <c r="H17496" s="705" t="s">
        <v>11523</v>
      </c>
    </row>
    <row r="17497" spans="1:8" ht="15" x14ac:dyDescent="0.2">
      <c r="A17497" s="734">
        <v>45248</v>
      </c>
      <c r="B17497" s="41" t="s">
        <v>10232</v>
      </c>
      <c r="C17497" s="670" t="s">
        <v>10993</v>
      </c>
      <c r="D17497" s="912" t="s">
        <v>11730</v>
      </c>
      <c r="E17497" s="585">
        <v>8640</v>
      </c>
      <c r="F17497" s="58"/>
      <c r="G17497" s="126">
        <f t="shared" si="279"/>
        <v>-8640</v>
      </c>
      <c r="H17497" s="705" t="s">
        <v>11523</v>
      </c>
    </row>
    <row r="17498" spans="1:8" ht="15" x14ac:dyDescent="0.2">
      <c r="A17498" s="734">
        <v>45248</v>
      </c>
      <c r="B17498" s="41" t="s">
        <v>10908</v>
      </c>
      <c r="C17498" s="551" t="s">
        <v>10993</v>
      </c>
      <c r="D17498" s="904" t="s">
        <v>11731</v>
      </c>
      <c r="E17498" s="583">
        <v>13000</v>
      </c>
      <c r="F17498" s="58"/>
      <c r="G17498" s="126">
        <f t="shared" si="279"/>
        <v>-13000</v>
      </c>
      <c r="H17498" s="705" t="s">
        <v>11523</v>
      </c>
    </row>
    <row r="17499" spans="1:8" ht="15" x14ac:dyDescent="0.2">
      <c r="A17499" s="734">
        <v>45248</v>
      </c>
      <c r="B17499" s="41" t="s">
        <v>10576</v>
      </c>
      <c r="C17499" s="551" t="s">
        <v>10993</v>
      </c>
      <c r="D17499" s="904" t="s">
        <v>11731</v>
      </c>
      <c r="E17499" s="583">
        <v>13000</v>
      </c>
      <c r="F17499" s="58"/>
      <c r="G17499" s="126">
        <f t="shared" si="279"/>
        <v>-13000</v>
      </c>
      <c r="H17499" s="705" t="s">
        <v>11523</v>
      </c>
    </row>
    <row r="17500" spans="1:8" ht="15" x14ac:dyDescent="0.2">
      <c r="A17500" s="734">
        <v>45248</v>
      </c>
      <c r="B17500" s="41" t="s">
        <v>10232</v>
      </c>
      <c r="C17500" s="551" t="s">
        <v>10993</v>
      </c>
      <c r="D17500" s="904" t="s">
        <v>11731</v>
      </c>
      <c r="E17500" s="583">
        <v>13000</v>
      </c>
      <c r="F17500" s="58"/>
      <c r="G17500" s="126">
        <f t="shared" si="279"/>
        <v>-13000</v>
      </c>
      <c r="H17500" s="705" t="s">
        <v>11523</v>
      </c>
    </row>
    <row r="17501" spans="1:8" ht="15" x14ac:dyDescent="0.2">
      <c r="A17501" s="734">
        <v>45248</v>
      </c>
      <c r="B17501" s="41" t="s">
        <v>10908</v>
      </c>
      <c r="C17501" s="63" t="s">
        <v>10993</v>
      </c>
      <c r="D17501" s="791" t="s">
        <v>11732</v>
      </c>
      <c r="E17501" s="58">
        <v>29320</v>
      </c>
      <c r="F17501" s="58"/>
      <c r="G17501" s="126">
        <f t="shared" si="279"/>
        <v>-29320</v>
      </c>
      <c r="H17501" s="705" t="s">
        <v>11523</v>
      </c>
    </row>
    <row r="17502" spans="1:8" ht="15" x14ac:dyDescent="0.2">
      <c r="A17502" s="734">
        <v>45248</v>
      </c>
      <c r="B17502" s="41" t="s">
        <v>10908</v>
      </c>
      <c r="C17502" s="63" t="s">
        <v>10993</v>
      </c>
      <c r="D17502" s="791" t="s">
        <v>11733</v>
      </c>
      <c r="E17502" s="58">
        <v>4300</v>
      </c>
      <c r="F17502" s="58"/>
      <c r="G17502" s="126">
        <f t="shared" si="279"/>
        <v>-4300</v>
      </c>
      <c r="H17502" s="705" t="s">
        <v>11523</v>
      </c>
    </row>
    <row r="17503" spans="1:8" ht="15" x14ac:dyDescent="0.2">
      <c r="A17503" s="734">
        <v>45248</v>
      </c>
      <c r="B17503" s="41" t="s">
        <v>10908</v>
      </c>
      <c r="C17503" s="63" t="s">
        <v>10993</v>
      </c>
      <c r="D17503" s="791" t="s">
        <v>11734</v>
      </c>
      <c r="E17503" s="58">
        <v>1250</v>
      </c>
      <c r="F17503" s="58"/>
      <c r="G17503" s="126">
        <f t="shared" si="279"/>
        <v>-1250</v>
      </c>
      <c r="H17503" s="705" t="s">
        <v>11523</v>
      </c>
    </row>
    <row r="17504" spans="1:8" ht="15" x14ac:dyDescent="0.2">
      <c r="A17504" s="734">
        <v>45248</v>
      </c>
      <c r="B17504" s="41" t="s">
        <v>11728</v>
      </c>
      <c r="C17504" s="63" t="s">
        <v>10993</v>
      </c>
      <c r="D17504" s="791" t="s">
        <v>11735</v>
      </c>
      <c r="E17504" s="58">
        <v>4730</v>
      </c>
      <c r="F17504" s="58"/>
      <c r="G17504" s="126">
        <f t="shared" si="279"/>
        <v>-4730</v>
      </c>
      <c r="H17504" s="705" t="s">
        <v>11523</v>
      </c>
    </row>
    <row r="17505" spans="1:8" ht="15" x14ac:dyDescent="0.2">
      <c r="A17505" s="734">
        <v>45248</v>
      </c>
      <c r="B17505" s="41" t="s">
        <v>11728</v>
      </c>
      <c r="C17505" s="63" t="s">
        <v>10993</v>
      </c>
      <c r="D17505" s="791" t="s">
        <v>11736</v>
      </c>
      <c r="E17505" s="58">
        <v>18000</v>
      </c>
      <c r="F17505" s="58"/>
      <c r="G17505" s="126">
        <f t="shared" si="279"/>
        <v>-18000</v>
      </c>
      <c r="H17505" s="705" t="s">
        <v>11523</v>
      </c>
    </row>
    <row r="17506" spans="1:8" ht="15" x14ac:dyDescent="0.2">
      <c r="A17506" s="734">
        <v>45248</v>
      </c>
      <c r="B17506" s="41" t="s">
        <v>10908</v>
      </c>
      <c r="C17506" s="63" t="s">
        <v>5741</v>
      </c>
      <c r="D17506" s="791" t="s">
        <v>10337</v>
      </c>
      <c r="E17506" s="58">
        <v>300</v>
      </c>
      <c r="F17506" s="58"/>
      <c r="G17506" s="126">
        <f t="shared" si="279"/>
        <v>-300</v>
      </c>
      <c r="H17506" s="705" t="s">
        <v>11523</v>
      </c>
    </row>
    <row r="17507" spans="1:8" ht="15" x14ac:dyDescent="0.2">
      <c r="A17507" s="734">
        <v>45250</v>
      </c>
      <c r="B17507" s="41" t="s">
        <v>10908</v>
      </c>
      <c r="C17507" s="63" t="s">
        <v>392</v>
      </c>
      <c r="D17507" s="791" t="s">
        <v>11737</v>
      </c>
      <c r="E17507" s="58">
        <v>5000</v>
      </c>
      <c r="F17507" s="58"/>
      <c r="G17507" s="126">
        <f t="shared" si="279"/>
        <v>-5000</v>
      </c>
      <c r="H17507" s="705" t="s">
        <v>11523</v>
      </c>
    </row>
    <row r="17508" spans="1:8" ht="15" x14ac:dyDescent="0.2">
      <c r="A17508" s="734">
        <v>45250</v>
      </c>
      <c r="B17508" s="41" t="s">
        <v>11738</v>
      </c>
      <c r="C17508" s="63" t="s">
        <v>794</v>
      </c>
      <c r="D17508" s="791" t="s">
        <v>11739</v>
      </c>
      <c r="E17508" s="58">
        <v>2260</v>
      </c>
      <c r="F17508" s="58"/>
      <c r="G17508" s="126">
        <f t="shared" si="279"/>
        <v>-2260</v>
      </c>
      <c r="H17508" s="705" t="s">
        <v>11523</v>
      </c>
    </row>
    <row r="17509" spans="1:8" ht="15" x14ac:dyDescent="0.2">
      <c r="A17509" s="734">
        <v>45250</v>
      </c>
      <c r="B17509" s="41" t="s">
        <v>11738</v>
      </c>
      <c r="C17509" s="63" t="s">
        <v>392</v>
      </c>
      <c r="D17509" s="791" t="s">
        <v>11740</v>
      </c>
      <c r="E17509" s="58">
        <v>1350</v>
      </c>
      <c r="F17509" s="58"/>
      <c r="G17509" s="126">
        <f t="shared" si="279"/>
        <v>-1350</v>
      </c>
      <c r="H17509" s="705" t="s">
        <v>11523</v>
      </c>
    </row>
    <row r="17510" spans="1:8" ht="15" x14ac:dyDescent="0.2">
      <c r="A17510" s="734">
        <v>45250</v>
      </c>
      <c r="B17510" s="41" t="s">
        <v>11738</v>
      </c>
      <c r="C17510" s="63" t="s">
        <v>794</v>
      </c>
      <c r="D17510" s="791" t="s">
        <v>11741</v>
      </c>
      <c r="E17510" s="58">
        <v>2100</v>
      </c>
      <c r="F17510" s="58"/>
      <c r="G17510" s="126">
        <f t="shared" si="279"/>
        <v>-2100</v>
      </c>
      <c r="H17510" s="705" t="s">
        <v>11523</v>
      </c>
    </row>
    <row r="17511" spans="1:8" s="682" customFormat="1" ht="36" customHeight="1" x14ac:dyDescent="0.25">
      <c r="A17511" s="734">
        <v>45247</v>
      </c>
      <c r="B17511" s="63" t="s">
        <v>10471</v>
      </c>
      <c r="C17511" s="551" t="s">
        <v>1509</v>
      </c>
      <c r="D17511" s="740" t="s">
        <v>11742</v>
      </c>
      <c r="E17511" s="552">
        <v>40000</v>
      </c>
      <c r="F17511" s="126"/>
      <c r="G17511" s="126">
        <f t="shared" si="279"/>
        <v>-40000</v>
      </c>
      <c r="H17511" s="705" t="s">
        <v>11523</v>
      </c>
    </row>
    <row r="17512" spans="1:8" s="682" customFormat="1" ht="36" customHeight="1" x14ac:dyDescent="0.25">
      <c r="A17512" s="734">
        <v>45247</v>
      </c>
      <c r="B17512" s="63" t="s">
        <v>10379</v>
      </c>
      <c r="C17512" s="551" t="s">
        <v>1509</v>
      </c>
      <c r="D17512" s="740" t="s">
        <v>11742</v>
      </c>
      <c r="E17512" s="552">
        <v>30000</v>
      </c>
      <c r="F17512" s="126"/>
      <c r="G17512" s="126">
        <f t="shared" si="279"/>
        <v>-30000</v>
      </c>
      <c r="H17512" s="705" t="s">
        <v>11523</v>
      </c>
    </row>
    <row r="17513" spans="1:8" s="682" customFormat="1" ht="36" customHeight="1" x14ac:dyDescent="0.25">
      <c r="A17513" s="734">
        <v>45247</v>
      </c>
      <c r="B17513" s="63" t="s">
        <v>11554</v>
      </c>
      <c r="C17513" s="551" t="s">
        <v>1509</v>
      </c>
      <c r="D17513" s="740" t="s">
        <v>11742</v>
      </c>
      <c r="E17513" s="552">
        <v>188000</v>
      </c>
      <c r="F17513" s="126"/>
      <c r="G17513" s="126">
        <f t="shared" si="279"/>
        <v>-188000</v>
      </c>
      <c r="H17513" s="705" t="s">
        <v>11523</v>
      </c>
    </row>
    <row r="17514" spans="1:8" ht="15" x14ac:dyDescent="0.2">
      <c r="A17514" s="734">
        <v>45247</v>
      </c>
      <c r="B17514" s="41" t="s">
        <v>11635</v>
      </c>
      <c r="C17514" s="670" t="s">
        <v>11743</v>
      </c>
      <c r="D17514" s="912" t="s">
        <v>11744</v>
      </c>
      <c r="E17514" s="585">
        <v>72000</v>
      </c>
      <c r="F17514" s="58"/>
      <c r="G17514" s="126">
        <f t="shared" si="279"/>
        <v>-72000</v>
      </c>
      <c r="H17514" s="705" t="s">
        <v>11523</v>
      </c>
    </row>
    <row r="17515" spans="1:8" ht="15" x14ac:dyDescent="0.2">
      <c r="A17515" s="734">
        <v>45247</v>
      </c>
      <c r="B17515" s="41" t="s">
        <v>10908</v>
      </c>
      <c r="C17515" s="670" t="s">
        <v>11743</v>
      </c>
      <c r="D17515" s="912" t="s">
        <v>11744</v>
      </c>
      <c r="E17515" s="585">
        <v>103000</v>
      </c>
      <c r="F17515" s="58"/>
      <c r="G17515" s="126">
        <f t="shared" si="279"/>
        <v>-103000</v>
      </c>
      <c r="H17515" s="705" t="s">
        <v>11523</v>
      </c>
    </row>
    <row r="17516" spans="1:8" ht="15" x14ac:dyDescent="0.2">
      <c r="A17516" s="734">
        <v>45247</v>
      </c>
      <c r="B17516" s="41" t="s">
        <v>11446</v>
      </c>
      <c r="C17516" s="670" t="s">
        <v>11743</v>
      </c>
      <c r="D17516" s="912" t="s">
        <v>11744</v>
      </c>
      <c r="E17516" s="585">
        <v>24000</v>
      </c>
      <c r="F17516" s="58"/>
      <c r="G17516" s="126">
        <f t="shared" si="279"/>
        <v>-24000</v>
      </c>
      <c r="H17516" s="705" t="s">
        <v>11523</v>
      </c>
    </row>
    <row r="17517" spans="1:8" ht="15" x14ac:dyDescent="0.2">
      <c r="A17517" s="734">
        <v>45247</v>
      </c>
      <c r="B17517" s="41" t="s">
        <v>10232</v>
      </c>
      <c r="C17517" s="670" t="s">
        <v>11743</v>
      </c>
      <c r="D17517" s="912" t="s">
        <v>11744</v>
      </c>
      <c r="E17517" s="585">
        <v>50000</v>
      </c>
      <c r="F17517" s="58"/>
      <c r="G17517" s="126">
        <f t="shared" si="279"/>
        <v>-50000</v>
      </c>
      <c r="H17517" s="705" t="s">
        <v>11523</v>
      </c>
    </row>
    <row r="17518" spans="1:8" ht="15" x14ac:dyDescent="0.2">
      <c r="A17518" s="734">
        <v>45248</v>
      </c>
      <c r="B17518" s="41" t="s">
        <v>11446</v>
      </c>
      <c r="C17518" s="63" t="s">
        <v>11455</v>
      </c>
      <c r="D17518" s="791" t="s">
        <v>11749</v>
      </c>
      <c r="E17518" s="58">
        <v>450000</v>
      </c>
      <c r="F17518" s="58"/>
      <c r="G17518" s="126">
        <f t="shared" si="279"/>
        <v>-450000</v>
      </c>
      <c r="H17518" s="705" t="s">
        <v>11523</v>
      </c>
    </row>
    <row r="17519" spans="1:8" ht="15" x14ac:dyDescent="0.2">
      <c r="A17519" s="734">
        <v>45248</v>
      </c>
      <c r="B17519" s="41" t="s">
        <v>10471</v>
      </c>
      <c r="C17519" s="63" t="s">
        <v>11455</v>
      </c>
      <c r="D17519" s="791" t="s">
        <v>11749</v>
      </c>
      <c r="E17519" s="58">
        <v>417730</v>
      </c>
      <c r="F17519" s="58"/>
      <c r="G17519" s="126">
        <f t="shared" si="279"/>
        <v>-417730</v>
      </c>
      <c r="H17519" s="705" t="s">
        <v>11523</v>
      </c>
    </row>
    <row r="17520" spans="1:8" ht="15" x14ac:dyDescent="0.2">
      <c r="A17520" s="734">
        <v>45248</v>
      </c>
      <c r="B17520" s="41" t="s">
        <v>9986</v>
      </c>
      <c r="C17520" s="63" t="s">
        <v>11455</v>
      </c>
      <c r="D17520" s="791" t="s">
        <v>11751</v>
      </c>
      <c r="E17520" s="58">
        <v>735690</v>
      </c>
      <c r="F17520" s="58"/>
      <c r="G17520" s="126">
        <f t="shared" si="279"/>
        <v>-735690</v>
      </c>
      <c r="H17520" s="705" t="s">
        <v>11523</v>
      </c>
    </row>
    <row r="17521" spans="1:8" ht="15" x14ac:dyDescent="0.2">
      <c r="A17521" s="734">
        <v>45248</v>
      </c>
      <c r="B17521" s="41" t="s">
        <v>10232</v>
      </c>
      <c r="C17521" s="63" t="s">
        <v>11752</v>
      </c>
      <c r="D17521" s="791" t="s">
        <v>11753</v>
      </c>
      <c r="E17521" s="58">
        <v>16000</v>
      </c>
      <c r="F17521" s="58"/>
      <c r="G17521" s="126">
        <f t="shared" si="279"/>
        <v>-16000</v>
      </c>
      <c r="H17521" s="705" t="s">
        <v>11523</v>
      </c>
    </row>
    <row r="17522" spans="1:8" ht="15" x14ac:dyDescent="0.2">
      <c r="A17522" s="734">
        <v>45248</v>
      </c>
      <c r="B17522" s="41" t="s">
        <v>11635</v>
      </c>
      <c r="C17522" s="551" t="s">
        <v>10993</v>
      </c>
      <c r="D17522" s="904" t="s">
        <v>11754</v>
      </c>
      <c r="E17522" s="583">
        <v>61333</v>
      </c>
      <c r="F17522" s="58"/>
      <c r="G17522" s="126">
        <f t="shared" si="279"/>
        <v>-61333</v>
      </c>
      <c r="H17522" s="705" t="s">
        <v>11523</v>
      </c>
    </row>
    <row r="17523" spans="1:8" ht="15" x14ac:dyDescent="0.2">
      <c r="A17523" s="734">
        <v>45248</v>
      </c>
      <c r="B17523" s="41" t="s">
        <v>10908</v>
      </c>
      <c r="C17523" s="551" t="s">
        <v>10993</v>
      </c>
      <c r="D17523" s="904" t="s">
        <v>11754</v>
      </c>
      <c r="E17523" s="583">
        <v>61333</v>
      </c>
      <c r="F17523" s="58"/>
      <c r="G17523" s="126">
        <f t="shared" si="279"/>
        <v>-61333</v>
      </c>
      <c r="H17523" s="705" t="s">
        <v>11523</v>
      </c>
    </row>
    <row r="17524" spans="1:8" ht="15" x14ac:dyDescent="0.2">
      <c r="A17524" s="734">
        <v>45248</v>
      </c>
      <c r="B17524" s="41" t="s">
        <v>10232</v>
      </c>
      <c r="C17524" s="551" t="s">
        <v>10993</v>
      </c>
      <c r="D17524" s="904" t="s">
        <v>11754</v>
      </c>
      <c r="E17524" s="583">
        <v>61334</v>
      </c>
      <c r="F17524" s="58"/>
      <c r="G17524" s="126">
        <f t="shared" si="279"/>
        <v>-61334</v>
      </c>
      <c r="H17524" s="705" t="s">
        <v>11523</v>
      </c>
    </row>
    <row r="17525" spans="1:8" ht="15" x14ac:dyDescent="0.2">
      <c r="A17525" s="734">
        <v>45248</v>
      </c>
      <c r="B17525" s="41" t="s">
        <v>10908</v>
      </c>
      <c r="C17525" s="63" t="s">
        <v>10993</v>
      </c>
      <c r="D17525" s="791" t="s">
        <v>11755</v>
      </c>
      <c r="E17525" s="58">
        <v>6000</v>
      </c>
      <c r="F17525" s="58"/>
      <c r="G17525" s="126">
        <f t="shared" si="279"/>
        <v>-6000</v>
      </c>
      <c r="H17525" s="705" t="s">
        <v>11523</v>
      </c>
    </row>
    <row r="17526" spans="1:8" ht="15" x14ac:dyDescent="0.2">
      <c r="A17526" s="734">
        <v>45248</v>
      </c>
      <c r="B17526" s="41" t="s">
        <v>11635</v>
      </c>
      <c r="C17526" s="551" t="s">
        <v>10993</v>
      </c>
      <c r="D17526" s="904" t="s">
        <v>11756</v>
      </c>
      <c r="E17526" s="583">
        <v>19667</v>
      </c>
      <c r="F17526" s="58"/>
      <c r="G17526" s="126">
        <f t="shared" si="279"/>
        <v>-19667</v>
      </c>
      <c r="H17526" s="705" t="s">
        <v>11523</v>
      </c>
    </row>
    <row r="17527" spans="1:8" ht="15" x14ac:dyDescent="0.2">
      <c r="A17527" s="734">
        <v>45248</v>
      </c>
      <c r="B17527" s="41" t="s">
        <v>10908</v>
      </c>
      <c r="C17527" s="551" t="s">
        <v>10993</v>
      </c>
      <c r="D17527" s="904" t="s">
        <v>11756</v>
      </c>
      <c r="E17527" s="583">
        <v>19667</v>
      </c>
      <c r="F17527" s="58"/>
      <c r="G17527" s="126">
        <f t="shared" si="279"/>
        <v>-19667</v>
      </c>
      <c r="H17527" s="705" t="s">
        <v>11523</v>
      </c>
    </row>
    <row r="17528" spans="1:8" ht="15" x14ac:dyDescent="0.2">
      <c r="A17528" s="734">
        <v>45248</v>
      </c>
      <c r="B17528" s="41" t="s">
        <v>10232</v>
      </c>
      <c r="C17528" s="551" t="s">
        <v>10993</v>
      </c>
      <c r="D17528" s="904" t="s">
        <v>11756</v>
      </c>
      <c r="E17528" s="583">
        <v>19666</v>
      </c>
      <c r="F17528" s="58"/>
      <c r="G17528" s="126">
        <f t="shared" si="279"/>
        <v>-19666</v>
      </c>
      <c r="H17528" s="705" t="s">
        <v>11523</v>
      </c>
    </row>
    <row r="17529" spans="1:8" ht="15" x14ac:dyDescent="0.2">
      <c r="A17529" s="734">
        <v>45248</v>
      </c>
      <c r="B17529" s="41" t="s">
        <v>11511</v>
      </c>
      <c r="C17529" s="63" t="s">
        <v>11757</v>
      </c>
      <c r="D17529" s="791" t="s">
        <v>6486</v>
      </c>
      <c r="E17529" s="58">
        <v>8900</v>
      </c>
      <c r="F17529" s="58"/>
      <c r="G17529" s="126">
        <f t="shared" si="279"/>
        <v>-8900</v>
      </c>
      <c r="H17529" s="705" t="s">
        <v>11523</v>
      </c>
    </row>
    <row r="17530" spans="1:8" ht="15" x14ac:dyDescent="0.2">
      <c r="A17530" s="734">
        <v>45250</v>
      </c>
      <c r="B17530" s="41" t="s">
        <v>9356</v>
      </c>
      <c r="C17530" s="551" t="s">
        <v>11761</v>
      </c>
      <c r="D17530" s="904" t="s">
        <v>11760</v>
      </c>
      <c r="E17530" s="583">
        <v>234213</v>
      </c>
      <c r="F17530" s="58"/>
      <c r="G17530" s="126">
        <f t="shared" si="279"/>
        <v>-234213</v>
      </c>
      <c r="H17530" s="705" t="s">
        <v>11523</v>
      </c>
    </row>
    <row r="17531" spans="1:8" ht="15" x14ac:dyDescent="0.2">
      <c r="A17531" s="734">
        <v>45250</v>
      </c>
      <c r="B17531" s="41" t="s">
        <v>11093</v>
      </c>
      <c r="C17531" s="551" t="s">
        <v>11761</v>
      </c>
      <c r="D17531" s="904" t="s">
        <v>11760</v>
      </c>
      <c r="E17531" s="583">
        <v>163580</v>
      </c>
      <c r="F17531" s="58"/>
      <c r="G17531" s="126">
        <f t="shared" si="279"/>
        <v>-163580</v>
      </c>
      <c r="H17531" s="705" t="s">
        <v>11523</v>
      </c>
    </row>
    <row r="17532" spans="1:8" ht="15" x14ac:dyDescent="0.2">
      <c r="A17532" s="734">
        <v>45250</v>
      </c>
      <c r="B17532" s="41" t="s">
        <v>9986</v>
      </c>
      <c r="C17532" s="551" t="s">
        <v>11761</v>
      </c>
      <c r="D17532" s="904" t="s">
        <v>11760</v>
      </c>
      <c r="E17532" s="583">
        <v>102207</v>
      </c>
      <c r="F17532" s="58"/>
      <c r="G17532" s="126">
        <f t="shared" si="279"/>
        <v>-102207</v>
      </c>
      <c r="H17532" s="705" t="s">
        <v>11523</v>
      </c>
    </row>
    <row r="17533" spans="1:8" ht="15" x14ac:dyDescent="0.2">
      <c r="A17533" s="734">
        <v>45250</v>
      </c>
      <c r="B17533" s="41" t="s">
        <v>103</v>
      </c>
      <c r="C17533" s="63" t="s">
        <v>103</v>
      </c>
      <c r="D17533" s="791" t="s">
        <v>11758</v>
      </c>
      <c r="E17533" s="58">
        <v>5000</v>
      </c>
      <c r="F17533" s="58"/>
      <c r="G17533" s="126">
        <f t="shared" si="279"/>
        <v>-5000</v>
      </c>
      <c r="H17533" s="705" t="s">
        <v>11523</v>
      </c>
    </row>
    <row r="17534" spans="1:8" ht="15" x14ac:dyDescent="0.2">
      <c r="A17534" s="734">
        <v>45250</v>
      </c>
      <c r="B17534" s="41" t="s">
        <v>10908</v>
      </c>
      <c r="C17534" s="63" t="s">
        <v>10993</v>
      </c>
      <c r="D17534" s="791" t="s">
        <v>11759</v>
      </c>
      <c r="E17534" s="58">
        <v>110000</v>
      </c>
      <c r="F17534" s="58"/>
      <c r="G17534" s="126">
        <f t="shared" si="279"/>
        <v>-110000</v>
      </c>
      <c r="H17534" s="705" t="s">
        <v>11523</v>
      </c>
    </row>
    <row r="17535" spans="1:8" ht="15" x14ac:dyDescent="0.2">
      <c r="A17535" s="734">
        <v>45250</v>
      </c>
      <c r="B17535" s="41" t="s">
        <v>10908</v>
      </c>
      <c r="C17535" s="63" t="s">
        <v>5741</v>
      </c>
      <c r="D17535" s="791" t="s">
        <v>370</v>
      </c>
      <c r="E17535" s="58">
        <v>5300</v>
      </c>
      <c r="F17535" s="58"/>
      <c r="G17535" s="126">
        <f t="shared" ref="G17535:G17598" si="280">F17535-E17535</f>
        <v>-5300</v>
      </c>
      <c r="H17535" s="705" t="s">
        <v>11523</v>
      </c>
    </row>
    <row r="17536" spans="1:8" ht="15" x14ac:dyDescent="0.2">
      <c r="A17536" s="734">
        <v>45250</v>
      </c>
      <c r="B17536" s="41" t="s">
        <v>11635</v>
      </c>
      <c r="C17536" s="63" t="s">
        <v>5741</v>
      </c>
      <c r="D17536" s="791" t="s">
        <v>370</v>
      </c>
      <c r="E17536" s="58">
        <v>5200</v>
      </c>
      <c r="F17536" s="58"/>
      <c r="G17536" s="126">
        <f t="shared" si="280"/>
        <v>-5200</v>
      </c>
      <c r="H17536" s="705" t="s">
        <v>11523</v>
      </c>
    </row>
    <row r="17537" spans="1:8" ht="15" x14ac:dyDescent="0.2">
      <c r="A17537" s="734">
        <v>45250</v>
      </c>
      <c r="B17537" s="41" t="s">
        <v>11446</v>
      </c>
      <c r="C17537" s="63" t="s">
        <v>10484</v>
      </c>
      <c r="D17537" s="791" t="s">
        <v>11762</v>
      </c>
      <c r="E17537" s="58">
        <v>760000</v>
      </c>
      <c r="F17537" s="58"/>
      <c r="G17537" s="126">
        <f t="shared" si="280"/>
        <v>-760000</v>
      </c>
      <c r="H17537" s="705" t="s">
        <v>11523</v>
      </c>
    </row>
    <row r="17538" spans="1:8" ht="15" x14ac:dyDescent="0.2">
      <c r="A17538" s="734">
        <v>45250</v>
      </c>
      <c r="B17538" s="41" t="s">
        <v>10908</v>
      </c>
      <c r="C17538" s="63" t="s">
        <v>11288</v>
      </c>
      <c r="D17538" s="791" t="s">
        <v>11762</v>
      </c>
      <c r="E17538" s="58">
        <v>50000</v>
      </c>
      <c r="F17538" s="58"/>
      <c r="G17538" s="126">
        <f t="shared" si="280"/>
        <v>-50000</v>
      </c>
      <c r="H17538" s="705" t="s">
        <v>11523</v>
      </c>
    </row>
    <row r="17539" spans="1:8" ht="15" x14ac:dyDescent="0.2">
      <c r="A17539" s="734">
        <v>45250</v>
      </c>
      <c r="B17539" s="41" t="s">
        <v>11446</v>
      </c>
      <c r="C17539" s="63" t="s">
        <v>11560</v>
      </c>
      <c r="D17539" s="791" t="s">
        <v>11778</v>
      </c>
      <c r="E17539" s="58">
        <v>50000</v>
      </c>
      <c r="F17539" s="58"/>
      <c r="G17539" s="126">
        <f t="shared" si="280"/>
        <v>-50000</v>
      </c>
      <c r="H17539" s="705" t="s">
        <v>11523</v>
      </c>
    </row>
    <row r="17540" spans="1:8" ht="15" x14ac:dyDescent="0.2">
      <c r="A17540" s="734">
        <v>45250</v>
      </c>
      <c r="B17540" s="41" t="s">
        <v>3946</v>
      </c>
      <c r="C17540" s="551" t="s">
        <v>300</v>
      </c>
      <c r="D17540" s="904" t="s">
        <v>11763</v>
      </c>
      <c r="E17540" s="583">
        <v>130000</v>
      </c>
      <c r="F17540" s="58"/>
      <c r="G17540" s="126">
        <f t="shared" si="280"/>
        <v>-130000</v>
      </c>
      <c r="H17540" s="705" t="s">
        <v>11523</v>
      </c>
    </row>
    <row r="17541" spans="1:8" ht="15" x14ac:dyDescent="0.2">
      <c r="A17541" s="734">
        <v>45250</v>
      </c>
      <c r="B17541" s="41" t="s">
        <v>3945</v>
      </c>
      <c r="C17541" s="551" t="s">
        <v>300</v>
      </c>
      <c r="D17541" s="904" t="s">
        <v>11763</v>
      </c>
      <c r="E17541" s="583">
        <v>130000</v>
      </c>
      <c r="F17541" s="58"/>
      <c r="G17541" s="126">
        <f t="shared" si="280"/>
        <v>-130000</v>
      </c>
      <c r="H17541" s="705" t="s">
        <v>11523</v>
      </c>
    </row>
    <row r="17542" spans="1:8" ht="15" x14ac:dyDescent="0.2">
      <c r="A17542" s="734">
        <v>45250</v>
      </c>
      <c r="B17542" s="41" t="s">
        <v>37</v>
      </c>
      <c r="C17542" s="551" t="s">
        <v>300</v>
      </c>
      <c r="D17542" s="904" t="s">
        <v>11763</v>
      </c>
      <c r="E17542" s="583">
        <v>130000</v>
      </c>
      <c r="F17542" s="58"/>
      <c r="G17542" s="126">
        <f t="shared" si="280"/>
        <v>-130000</v>
      </c>
      <c r="H17542" s="705" t="s">
        <v>11523</v>
      </c>
    </row>
    <row r="17543" spans="1:8" ht="15" x14ac:dyDescent="0.2">
      <c r="A17543" s="734">
        <v>45251</v>
      </c>
      <c r="B17543" s="41" t="s">
        <v>25</v>
      </c>
      <c r="C17543" s="63" t="s">
        <v>7595</v>
      </c>
      <c r="D17543" s="791" t="s">
        <v>11764</v>
      </c>
      <c r="E17543" s="58">
        <v>50000</v>
      </c>
      <c r="F17543" s="58"/>
      <c r="G17543" s="126">
        <f t="shared" si="280"/>
        <v>-50000</v>
      </c>
      <c r="H17543" s="705" t="s">
        <v>11523</v>
      </c>
    </row>
    <row r="17544" spans="1:8" ht="15" x14ac:dyDescent="0.2">
      <c r="A17544" s="734">
        <v>45251</v>
      </c>
      <c r="B17544" s="41" t="s">
        <v>10908</v>
      </c>
      <c r="C17544" s="63" t="s">
        <v>286</v>
      </c>
      <c r="D17544" s="791" t="s">
        <v>11765</v>
      </c>
      <c r="E17544" s="58">
        <v>15000</v>
      </c>
      <c r="F17544" s="58"/>
      <c r="G17544" s="126">
        <f t="shared" si="280"/>
        <v>-15000</v>
      </c>
      <c r="H17544" s="705" t="s">
        <v>11523</v>
      </c>
    </row>
    <row r="17545" spans="1:8" ht="15" x14ac:dyDescent="0.2">
      <c r="A17545" s="734">
        <v>45251</v>
      </c>
      <c r="B17545" s="41" t="s">
        <v>10232</v>
      </c>
      <c r="C17545" s="63" t="s">
        <v>286</v>
      </c>
      <c r="D17545" s="791" t="s">
        <v>11765</v>
      </c>
      <c r="E17545" s="58">
        <v>15000</v>
      </c>
      <c r="F17545" s="58"/>
      <c r="G17545" s="126">
        <f t="shared" si="280"/>
        <v>-15000</v>
      </c>
      <c r="H17545" s="705" t="s">
        <v>11523</v>
      </c>
    </row>
    <row r="17546" spans="1:8" ht="15" x14ac:dyDescent="0.2">
      <c r="A17546" s="734">
        <v>45251</v>
      </c>
      <c r="B17546" s="41" t="s">
        <v>9356</v>
      </c>
      <c r="C17546" s="63" t="s">
        <v>286</v>
      </c>
      <c r="D17546" s="791" t="s">
        <v>11765</v>
      </c>
      <c r="E17546" s="58">
        <v>15000</v>
      </c>
      <c r="F17546" s="58"/>
      <c r="G17546" s="126">
        <f t="shared" si="280"/>
        <v>-15000</v>
      </c>
      <c r="H17546" s="705" t="s">
        <v>11523</v>
      </c>
    </row>
    <row r="17547" spans="1:8" ht="15" x14ac:dyDescent="0.2">
      <c r="A17547" s="734">
        <v>45251</v>
      </c>
      <c r="B17547" s="41" t="s">
        <v>10908</v>
      </c>
      <c r="C17547" s="63" t="s">
        <v>2796</v>
      </c>
      <c r="D17547" s="791" t="s">
        <v>11766</v>
      </c>
      <c r="E17547" s="58">
        <v>5000</v>
      </c>
      <c r="F17547" s="58"/>
      <c r="G17547" s="126">
        <f t="shared" si="280"/>
        <v>-5000</v>
      </c>
      <c r="H17547" s="705" t="s">
        <v>11523</v>
      </c>
    </row>
    <row r="17548" spans="1:8" ht="15" x14ac:dyDescent="0.2">
      <c r="A17548" s="734">
        <v>45251</v>
      </c>
      <c r="B17548" s="41" t="s">
        <v>10232</v>
      </c>
      <c r="C17548" s="63" t="s">
        <v>2796</v>
      </c>
      <c r="D17548" s="791" t="s">
        <v>11766</v>
      </c>
      <c r="E17548" s="58">
        <v>5000</v>
      </c>
      <c r="F17548" s="58"/>
      <c r="G17548" s="126">
        <f t="shared" si="280"/>
        <v>-5000</v>
      </c>
      <c r="H17548" s="705" t="s">
        <v>11523</v>
      </c>
    </row>
    <row r="17549" spans="1:8" ht="15" x14ac:dyDescent="0.2">
      <c r="A17549" s="734">
        <v>45251</v>
      </c>
      <c r="B17549" s="41" t="s">
        <v>9356</v>
      </c>
      <c r="C17549" s="63" t="s">
        <v>2796</v>
      </c>
      <c r="D17549" s="791" t="s">
        <v>11766</v>
      </c>
      <c r="E17549" s="58">
        <v>5000</v>
      </c>
      <c r="F17549" s="58"/>
      <c r="G17549" s="126">
        <f t="shared" si="280"/>
        <v>-5000</v>
      </c>
      <c r="H17549" s="705" t="s">
        <v>11523</v>
      </c>
    </row>
    <row r="17550" spans="1:8" ht="15" x14ac:dyDescent="0.2">
      <c r="A17550" s="734">
        <v>45251</v>
      </c>
      <c r="B17550" s="41" t="s">
        <v>10908</v>
      </c>
      <c r="C17550" s="63" t="s">
        <v>10993</v>
      </c>
      <c r="D17550" s="791" t="s">
        <v>11767</v>
      </c>
      <c r="E17550" s="58">
        <v>13400</v>
      </c>
      <c r="F17550" s="58"/>
      <c r="G17550" s="126">
        <f t="shared" si="280"/>
        <v>-13400</v>
      </c>
      <c r="H17550" s="705" t="s">
        <v>11523</v>
      </c>
    </row>
    <row r="17551" spans="1:8" ht="15" x14ac:dyDescent="0.2">
      <c r="A17551" s="734">
        <v>45251</v>
      </c>
      <c r="B17551" s="41" t="s">
        <v>11635</v>
      </c>
      <c r="C17551" s="63" t="s">
        <v>10993</v>
      </c>
      <c r="D17551" s="791" t="s">
        <v>11768</v>
      </c>
      <c r="E17551" s="58">
        <v>6000</v>
      </c>
      <c r="F17551" s="58"/>
      <c r="G17551" s="126">
        <f t="shared" si="280"/>
        <v>-6000</v>
      </c>
      <c r="H17551" s="705" t="s">
        <v>11523</v>
      </c>
    </row>
    <row r="17552" spans="1:8" ht="15" x14ac:dyDescent="0.2">
      <c r="A17552" s="734">
        <v>45251</v>
      </c>
      <c r="B17552" s="41" t="s">
        <v>10908</v>
      </c>
      <c r="C17552" s="63" t="s">
        <v>5741</v>
      </c>
      <c r="D17552" s="791" t="s">
        <v>370</v>
      </c>
      <c r="E17552" s="58">
        <v>1500</v>
      </c>
      <c r="F17552" s="58"/>
      <c r="G17552" s="126">
        <f t="shared" si="280"/>
        <v>-1500</v>
      </c>
      <c r="H17552" s="705" t="s">
        <v>11523</v>
      </c>
    </row>
    <row r="17553" spans="1:8" ht="15" x14ac:dyDescent="0.2">
      <c r="A17553" s="734">
        <v>45251</v>
      </c>
      <c r="B17553" s="41" t="s">
        <v>10908</v>
      </c>
      <c r="C17553" s="63" t="s">
        <v>286</v>
      </c>
      <c r="D17553" s="791" t="s">
        <v>8663</v>
      </c>
      <c r="E17553" s="58">
        <v>1000</v>
      </c>
      <c r="F17553" s="58"/>
      <c r="G17553" s="126">
        <f t="shared" si="280"/>
        <v>-1000</v>
      </c>
      <c r="H17553" s="705" t="s">
        <v>11523</v>
      </c>
    </row>
    <row r="17554" spans="1:8" ht="15" x14ac:dyDescent="0.2">
      <c r="A17554" s="734">
        <v>45251</v>
      </c>
      <c r="B17554" s="41" t="s">
        <v>9356</v>
      </c>
      <c r="C17554" s="63" t="s">
        <v>5741</v>
      </c>
      <c r="D17554" s="791" t="s">
        <v>370</v>
      </c>
      <c r="E17554" s="58">
        <v>1000</v>
      </c>
      <c r="F17554" s="58"/>
      <c r="G17554" s="126">
        <f t="shared" si="280"/>
        <v>-1000</v>
      </c>
      <c r="H17554" s="705" t="s">
        <v>11523</v>
      </c>
    </row>
    <row r="17555" spans="1:8" ht="15" x14ac:dyDescent="0.2">
      <c r="A17555" s="734">
        <v>45251</v>
      </c>
      <c r="B17555" s="41" t="s">
        <v>103</v>
      </c>
      <c r="C17555" s="63" t="s">
        <v>103</v>
      </c>
      <c r="D17555" s="791" t="s">
        <v>11769</v>
      </c>
      <c r="E17555" s="58">
        <v>5000</v>
      </c>
      <c r="F17555" s="58"/>
      <c r="G17555" s="126">
        <f t="shared" si="280"/>
        <v>-5000</v>
      </c>
      <c r="H17555" s="705" t="s">
        <v>11523</v>
      </c>
    </row>
    <row r="17556" spans="1:8" ht="15" x14ac:dyDescent="0.2">
      <c r="A17556" s="734">
        <v>45251</v>
      </c>
      <c r="B17556" s="41" t="s">
        <v>11089</v>
      </c>
      <c r="C17556" s="63" t="s">
        <v>11770</v>
      </c>
      <c r="D17556" s="791" t="s">
        <v>11771</v>
      </c>
      <c r="E17556" s="58">
        <v>87000</v>
      </c>
      <c r="F17556" s="58"/>
      <c r="G17556" s="126">
        <f t="shared" si="280"/>
        <v>-87000</v>
      </c>
      <c r="H17556" s="705" t="s">
        <v>11523</v>
      </c>
    </row>
    <row r="17557" spans="1:8" ht="15" x14ac:dyDescent="0.2">
      <c r="A17557" s="734">
        <v>45251</v>
      </c>
      <c r="B17557" s="41" t="s">
        <v>11089</v>
      </c>
      <c r="C17557" s="63" t="s">
        <v>5741</v>
      </c>
      <c r="D17557" s="791" t="s">
        <v>370</v>
      </c>
      <c r="E17557" s="58">
        <v>1500</v>
      </c>
      <c r="F17557" s="58"/>
      <c r="G17557" s="126">
        <f t="shared" si="280"/>
        <v>-1500</v>
      </c>
      <c r="H17557" s="705" t="s">
        <v>11523</v>
      </c>
    </row>
    <row r="17558" spans="1:8" ht="15" x14ac:dyDescent="0.2">
      <c r="A17558" s="734">
        <v>45251</v>
      </c>
      <c r="B17558" s="41" t="s">
        <v>10908</v>
      </c>
      <c r="C17558" s="63" t="s">
        <v>5741</v>
      </c>
      <c r="D17558" s="791" t="s">
        <v>370</v>
      </c>
      <c r="E17558" s="58">
        <v>650</v>
      </c>
      <c r="F17558" s="58"/>
      <c r="G17558" s="126">
        <f t="shared" si="280"/>
        <v>-650</v>
      </c>
      <c r="H17558" s="705" t="s">
        <v>11523</v>
      </c>
    </row>
    <row r="17559" spans="1:8" ht="15" x14ac:dyDescent="0.2">
      <c r="A17559" s="734">
        <v>45251</v>
      </c>
      <c r="B17559" s="41" t="s">
        <v>10232</v>
      </c>
      <c r="C17559" s="551" t="s">
        <v>256</v>
      </c>
      <c r="D17559" s="904" t="s">
        <v>11775</v>
      </c>
      <c r="E17559" s="583">
        <v>107660</v>
      </c>
      <c r="F17559" s="58"/>
      <c r="G17559" s="126">
        <f t="shared" si="280"/>
        <v>-107660</v>
      </c>
      <c r="H17559" s="705" t="s">
        <v>11523</v>
      </c>
    </row>
    <row r="17560" spans="1:8" ht="15" x14ac:dyDescent="0.2">
      <c r="A17560" s="734">
        <v>45251</v>
      </c>
      <c r="B17560" s="41" t="s">
        <v>10576</v>
      </c>
      <c r="C17560" s="551" t="s">
        <v>256</v>
      </c>
      <c r="D17560" s="904" t="s">
        <v>11775</v>
      </c>
      <c r="E17560" s="583">
        <v>247020</v>
      </c>
      <c r="F17560" s="58"/>
      <c r="G17560" s="126">
        <f t="shared" si="280"/>
        <v>-247020</v>
      </c>
      <c r="H17560" s="705" t="s">
        <v>11523</v>
      </c>
    </row>
    <row r="17561" spans="1:8" ht="15" x14ac:dyDescent="0.2">
      <c r="A17561" s="734">
        <v>45251</v>
      </c>
      <c r="B17561" s="41" t="s">
        <v>10909</v>
      </c>
      <c r="C17561" s="551" t="s">
        <v>256</v>
      </c>
      <c r="D17561" s="904" t="s">
        <v>11775</v>
      </c>
      <c r="E17561" s="583">
        <v>145320</v>
      </c>
      <c r="F17561" s="58"/>
      <c r="G17561" s="126">
        <f t="shared" si="280"/>
        <v>-145320</v>
      </c>
      <c r="H17561" s="705" t="s">
        <v>11523</v>
      </c>
    </row>
    <row r="17562" spans="1:8" ht="15" x14ac:dyDescent="0.2">
      <c r="A17562" s="734">
        <v>45252</v>
      </c>
      <c r="B17562" s="41" t="s">
        <v>10908</v>
      </c>
      <c r="C17562" s="63" t="s">
        <v>11772</v>
      </c>
      <c r="D17562" s="791" t="s">
        <v>11773</v>
      </c>
      <c r="E17562" s="58">
        <v>50000</v>
      </c>
      <c r="F17562" s="58"/>
      <c r="G17562" s="126">
        <f t="shared" si="280"/>
        <v>-50000</v>
      </c>
      <c r="H17562" s="705" t="s">
        <v>11523</v>
      </c>
    </row>
    <row r="17563" spans="1:8" ht="15" x14ac:dyDescent="0.2">
      <c r="A17563" s="734">
        <v>45252</v>
      </c>
      <c r="B17563" s="41" t="s">
        <v>103</v>
      </c>
      <c r="C17563" s="63" t="s">
        <v>794</v>
      </c>
      <c r="D17563" s="791" t="s">
        <v>11774</v>
      </c>
      <c r="E17563" s="58">
        <v>25000</v>
      </c>
      <c r="F17563" s="58"/>
      <c r="G17563" s="126">
        <f t="shared" si="280"/>
        <v>-25000</v>
      </c>
      <c r="H17563" s="705" t="s">
        <v>11523</v>
      </c>
    </row>
    <row r="17564" spans="1:8" ht="15" x14ac:dyDescent="0.2">
      <c r="A17564" s="734">
        <v>45252</v>
      </c>
      <c r="B17564" s="41" t="s">
        <v>11089</v>
      </c>
      <c r="C17564" s="63" t="s">
        <v>5741</v>
      </c>
      <c r="D17564" s="791" t="s">
        <v>370</v>
      </c>
      <c r="E17564" s="58">
        <v>2800</v>
      </c>
      <c r="F17564" s="58"/>
      <c r="G17564" s="126">
        <f t="shared" si="280"/>
        <v>-2800</v>
      </c>
      <c r="H17564" s="705" t="s">
        <v>11523</v>
      </c>
    </row>
    <row r="17565" spans="1:8" ht="15" x14ac:dyDescent="0.2">
      <c r="A17565" s="734">
        <v>45252</v>
      </c>
      <c r="B17565" s="41" t="s">
        <v>10232</v>
      </c>
      <c r="C17565" s="63" t="s">
        <v>8394</v>
      </c>
      <c r="D17565" s="791" t="s">
        <v>11596</v>
      </c>
      <c r="E17565" s="58">
        <v>1000000</v>
      </c>
      <c r="F17565" s="58"/>
      <c r="G17565" s="126">
        <f t="shared" si="280"/>
        <v>-1000000</v>
      </c>
      <c r="H17565" s="705" t="s">
        <v>11523</v>
      </c>
    </row>
    <row r="17566" spans="1:8" ht="15" x14ac:dyDescent="0.2">
      <c r="A17566" s="734">
        <v>45252</v>
      </c>
      <c r="B17566" s="41" t="s">
        <v>11635</v>
      </c>
      <c r="C17566" s="63" t="s">
        <v>11291</v>
      </c>
      <c r="D17566" s="791" t="s">
        <v>11778</v>
      </c>
      <c r="E17566" s="58">
        <v>20000</v>
      </c>
      <c r="F17566" s="58"/>
      <c r="G17566" s="126">
        <f t="shared" si="280"/>
        <v>-20000</v>
      </c>
      <c r="H17566" s="705" t="s">
        <v>11523</v>
      </c>
    </row>
    <row r="17567" spans="1:8" ht="15" x14ac:dyDescent="0.2">
      <c r="A17567" s="734">
        <v>45252</v>
      </c>
      <c r="B17567" s="41" t="s">
        <v>11446</v>
      </c>
      <c r="C17567" s="63" t="s">
        <v>10993</v>
      </c>
      <c r="D17567" s="791" t="s">
        <v>11779</v>
      </c>
      <c r="E17567" s="58">
        <v>21000</v>
      </c>
      <c r="F17567" s="58"/>
      <c r="G17567" s="126">
        <f t="shared" si="280"/>
        <v>-21000</v>
      </c>
      <c r="H17567" s="705" t="s">
        <v>11523</v>
      </c>
    </row>
    <row r="17568" spans="1:8" ht="15" x14ac:dyDescent="0.2">
      <c r="A17568" s="734">
        <v>45251</v>
      </c>
      <c r="B17568" s="41" t="s">
        <v>11635</v>
      </c>
      <c r="C17568" s="63" t="s">
        <v>5741</v>
      </c>
      <c r="D17568" s="791" t="s">
        <v>370</v>
      </c>
      <c r="E17568" s="58">
        <v>2100</v>
      </c>
      <c r="F17568" s="58"/>
      <c r="G17568" s="126">
        <f t="shared" si="280"/>
        <v>-2100</v>
      </c>
      <c r="H17568" s="705" t="s">
        <v>11523</v>
      </c>
    </row>
    <row r="17569" spans="1:8" ht="15" x14ac:dyDescent="0.2">
      <c r="A17569" s="734">
        <v>45252</v>
      </c>
      <c r="B17569" s="41" t="s">
        <v>11089</v>
      </c>
      <c r="C17569" s="63" t="s">
        <v>10993</v>
      </c>
      <c r="D17569" s="791" t="s">
        <v>11813</v>
      </c>
      <c r="E17569" s="58">
        <v>2400</v>
      </c>
      <c r="F17569" s="58"/>
      <c r="G17569" s="126">
        <f t="shared" si="280"/>
        <v>-2400</v>
      </c>
      <c r="H17569" s="705" t="s">
        <v>11523</v>
      </c>
    </row>
    <row r="17570" spans="1:8" ht="15" x14ac:dyDescent="0.2">
      <c r="A17570" s="734">
        <v>45252</v>
      </c>
      <c r="B17570" s="41" t="s">
        <v>11623</v>
      </c>
      <c r="C17570" s="63" t="s">
        <v>10993</v>
      </c>
      <c r="D17570" s="791" t="s">
        <v>11814</v>
      </c>
      <c r="E17570" s="58">
        <v>4500</v>
      </c>
      <c r="F17570" s="58"/>
      <c r="G17570" s="126">
        <f t="shared" si="280"/>
        <v>-4500</v>
      </c>
      <c r="H17570" s="705" t="s">
        <v>11523</v>
      </c>
    </row>
    <row r="17571" spans="1:8" ht="15" x14ac:dyDescent="0.2">
      <c r="A17571" s="734">
        <v>45252</v>
      </c>
      <c r="B17571" s="41" t="s">
        <v>10908</v>
      </c>
      <c r="C17571" s="63" t="s">
        <v>5741</v>
      </c>
      <c r="D17571" s="791" t="s">
        <v>370</v>
      </c>
      <c r="E17571" s="58">
        <v>3500</v>
      </c>
      <c r="F17571" s="58"/>
      <c r="G17571" s="126">
        <f t="shared" si="280"/>
        <v>-3500</v>
      </c>
      <c r="H17571" s="705" t="s">
        <v>11523</v>
      </c>
    </row>
    <row r="17572" spans="1:8" ht="15" x14ac:dyDescent="0.2">
      <c r="A17572" s="734">
        <v>45252</v>
      </c>
      <c r="B17572" s="41" t="s">
        <v>11635</v>
      </c>
      <c r="C17572" s="63" t="s">
        <v>5741</v>
      </c>
      <c r="D17572" s="791" t="s">
        <v>370</v>
      </c>
      <c r="E17572" s="58">
        <v>2100</v>
      </c>
      <c r="F17572" s="58"/>
      <c r="G17572" s="126">
        <f t="shared" si="280"/>
        <v>-2100</v>
      </c>
      <c r="H17572" s="705" t="s">
        <v>11523</v>
      </c>
    </row>
    <row r="17573" spans="1:8" ht="15" x14ac:dyDescent="0.2">
      <c r="A17573" s="734">
        <v>45252</v>
      </c>
      <c r="B17573" s="41" t="s">
        <v>11511</v>
      </c>
      <c r="C17573" s="63" t="s">
        <v>392</v>
      </c>
      <c r="D17573" s="791" t="s">
        <v>6386</v>
      </c>
      <c r="E17573" s="58">
        <v>8200</v>
      </c>
      <c r="F17573" s="58"/>
      <c r="G17573" s="126">
        <f t="shared" si="280"/>
        <v>-8200</v>
      </c>
      <c r="H17573" s="705" t="s">
        <v>11523</v>
      </c>
    </row>
    <row r="17574" spans="1:8" ht="15" x14ac:dyDescent="0.2">
      <c r="A17574" s="734">
        <v>45252</v>
      </c>
      <c r="B17574" s="41" t="s">
        <v>11511</v>
      </c>
      <c r="C17574" s="63" t="s">
        <v>392</v>
      </c>
      <c r="D17574" s="791" t="s">
        <v>6386</v>
      </c>
      <c r="E17574" s="58">
        <v>22600</v>
      </c>
      <c r="F17574" s="58"/>
      <c r="G17574" s="126">
        <f t="shared" si="280"/>
        <v>-22600</v>
      </c>
      <c r="H17574" s="705" t="s">
        <v>11523</v>
      </c>
    </row>
    <row r="17575" spans="1:8" ht="15" x14ac:dyDescent="0.2">
      <c r="A17575" s="734">
        <v>45253</v>
      </c>
      <c r="B17575" s="41" t="s">
        <v>11093</v>
      </c>
      <c r="C17575" s="63" t="s">
        <v>11752</v>
      </c>
      <c r="D17575" s="791" t="s">
        <v>10219</v>
      </c>
      <c r="E17575" s="58">
        <v>267000</v>
      </c>
      <c r="F17575" s="58"/>
      <c r="G17575" s="126">
        <f t="shared" si="280"/>
        <v>-267000</v>
      </c>
      <c r="H17575" s="705" t="s">
        <v>11523</v>
      </c>
    </row>
    <row r="17576" spans="1:8" ht="15" x14ac:dyDescent="0.2">
      <c r="A17576" s="734">
        <v>45253</v>
      </c>
      <c r="B17576" s="41" t="s">
        <v>11623</v>
      </c>
      <c r="C17576" s="63" t="s">
        <v>438</v>
      </c>
      <c r="D17576" s="791" t="s">
        <v>11815</v>
      </c>
      <c r="E17576" s="58">
        <v>61200</v>
      </c>
      <c r="F17576" s="58"/>
      <c r="G17576" s="126">
        <f t="shared" si="280"/>
        <v>-61200</v>
      </c>
      <c r="H17576" s="705" t="s">
        <v>11523</v>
      </c>
    </row>
    <row r="17577" spans="1:8" ht="15" x14ac:dyDescent="0.2">
      <c r="A17577" s="734">
        <v>45254</v>
      </c>
      <c r="B17577" s="41" t="s">
        <v>11625</v>
      </c>
      <c r="C17577" s="63" t="s">
        <v>11626</v>
      </c>
      <c r="D17577" s="791" t="s">
        <v>1157</v>
      </c>
      <c r="E17577" s="58">
        <v>15000</v>
      </c>
      <c r="F17577" s="58"/>
      <c r="G17577" s="126">
        <f t="shared" si="280"/>
        <v>-15000</v>
      </c>
      <c r="H17577" s="705" t="s">
        <v>11523</v>
      </c>
    </row>
    <row r="17578" spans="1:8" ht="15" x14ac:dyDescent="0.2">
      <c r="A17578" s="734">
        <v>45254</v>
      </c>
      <c r="B17578" s="41" t="s">
        <v>103</v>
      </c>
      <c r="C17578" s="63" t="s">
        <v>103</v>
      </c>
      <c r="D17578" s="791" t="s">
        <v>11769</v>
      </c>
      <c r="E17578" s="58">
        <v>6000</v>
      </c>
      <c r="F17578" s="58"/>
      <c r="G17578" s="126">
        <f t="shared" si="280"/>
        <v>-6000</v>
      </c>
      <c r="H17578" s="705" t="s">
        <v>11523</v>
      </c>
    </row>
    <row r="17579" spans="1:8" ht="15" x14ac:dyDescent="0.2">
      <c r="A17579" s="734">
        <v>45254</v>
      </c>
      <c r="B17579" s="41" t="s">
        <v>10908</v>
      </c>
      <c r="C17579" s="63" t="s">
        <v>392</v>
      </c>
      <c r="D17579" s="791" t="s">
        <v>7135</v>
      </c>
      <c r="E17579" s="58">
        <v>850</v>
      </c>
      <c r="F17579" s="58"/>
      <c r="G17579" s="126">
        <f t="shared" si="280"/>
        <v>-850</v>
      </c>
      <c r="H17579" s="705" t="s">
        <v>11523</v>
      </c>
    </row>
    <row r="17580" spans="1:8" ht="15" x14ac:dyDescent="0.2">
      <c r="A17580" s="734">
        <v>45255</v>
      </c>
      <c r="B17580" s="41" t="s">
        <v>10908</v>
      </c>
      <c r="C17580" s="63" t="s">
        <v>5741</v>
      </c>
      <c r="D17580" s="791" t="s">
        <v>370</v>
      </c>
      <c r="E17580" s="58">
        <v>2500</v>
      </c>
      <c r="F17580" s="58"/>
      <c r="G17580" s="126">
        <f t="shared" si="280"/>
        <v>-2500</v>
      </c>
      <c r="H17580" s="705" t="s">
        <v>11523</v>
      </c>
    </row>
    <row r="17581" spans="1:8" ht="15" x14ac:dyDescent="0.2">
      <c r="A17581" s="734">
        <v>45255</v>
      </c>
      <c r="B17581" s="41" t="s">
        <v>103</v>
      </c>
      <c r="C17581" s="63" t="s">
        <v>103</v>
      </c>
      <c r="D17581" s="791" t="s">
        <v>11769</v>
      </c>
      <c r="E17581" s="58">
        <v>5000</v>
      </c>
      <c r="F17581" s="58"/>
      <c r="G17581" s="126">
        <f t="shared" si="280"/>
        <v>-5000</v>
      </c>
      <c r="H17581" s="705" t="s">
        <v>11523</v>
      </c>
    </row>
    <row r="17582" spans="1:8" ht="15" x14ac:dyDescent="0.2">
      <c r="A17582" s="734">
        <v>45255</v>
      </c>
      <c r="B17582" s="41" t="s">
        <v>6505</v>
      </c>
      <c r="C17582" s="63" t="s">
        <v>10993</v>
      </c>
      <c r="D17582" s="791" t="s">
        <v>11816</v>
      </c>
      <c r="E17582" s="58">
        <v>4400</v>
      </c>
      <c r="F17582" s="58"/>
      <c r="G17582" s="126">
        <f t="shared" si="280"/>
        <v>-4400</v>
      </c>
      <c r="H17582" s="705" t="s">
        <v>11523</v>
      </c>
    </row>
    <row r="17583" spans="1:8" ht="15" x14ac:dyDescent="0.2">
      <c r="A17583" s="734">
        <v>45255</v>
      </c>
      <c r="B17583" s="41" t="s">
        <v>11089</v>
      </c>
      <c r="C17583" s="63" t="s">
        <v>392</v>
      </c>
      <c r="D17583" s="791" t="s">
        <v>11817</v>
      </c>
      <c r="E17583" s="58">
        <v>4000</v>
      </c>
      <c r="F17583" s="58"/>
      <c r="G17583" s="126">
        <f t="shared" si="280"/>
        <v>-4000</v>
      </c>
      <c r="H17583" s="705" t="s">
        <v>11523</v>
      </c>
    </row>
    <row r="17584" spans="1:8" ht="15" x14ac:dyDescent="0.2">
      <c r="A17584" s="734">
        <v>45255</v>
      </c>
      <c r="B17584" s="41" t="s">
        <v>11635</v>
      </c>
      <c r="C17584" s="63" t="s">
        <v>10993</v>
      </c>
      <c r="D17584" s="791" t="s">
        <v>11814</v>
      </c>
      <c r="E17584" s="58">
        <v>5000</v>
      </c>
      <c r="F17584" s="58"/>
      <c r="G17584" s="126">
        <f t="shared" si="280"/>
        <v>-5000</v>
      </c>
      <c r="H17584" s="705" t="s">
        <v>11523</v>
      </c>
    </row>
    <row r="17585" spans="1:8" ht="15" x14ac:dyDescent="0.2">
      <c r="A17585" s="734">
        <v>45255</v>
      </c>
      <c r="B17585" s="41" t="s">
        <v>11089</v>
      </c>
      <c r="C17585" s="63" t="s">
        <v>392</v>
      </c>
      <c r="D17585" s="791" t="s">
        <v>11818</v>
      </c>
      <c r="E17585" s="58">
        <v>1000</v>
      </c>
      <c r="F17585" s="58"/>
      <c r="G17585" s="126">
        <f t="shared" si="280"/>
        <v>-1000</v>
      </c>
      <c r="H17585" s="705" t="s">
        <v>11523</v>
      </c>
    </row>
    <row r="17586" spans="1:8" ht="15" x14ac:dyDescent="0.2">
      <c r="A17586" s="734">
        <v>45255</v>
      </c>
      <c r="B17586" s="41" t="s">
        <v>11511</v>
      </c>
      <c r="C17586" s="63" t="s">
        <v>392</v>
      </c>
      <c r="D17586" s="791" t="s">
        <v>6386</v>
      </c>
      <c r="E17586" s="58">
        <v>3520</v>
      </c>
      <c r="F17586" s="58"/>
      <c r="G17586" s="126">
        <f t="shared" si="280"/>
        <v>-3520</v>
      </c>
      <c r="H17586" s="705" t="s">
        <v>11523</v>
      </c>
    </row>
    <row r="17587" spans="1:8" ht="15" x14ac:dyDescent="0.2">
      <c r="A17587" s="734">
        <v>45257</v>
      </c>
      <c r="B17587" s="41" t="s">
        <v>10908</v>
      </c>
      <c r="C17587" s="63" t="s">
        <v>5741</v>
      </c>
      <c r="D17587" s="791" t="s">
        <v>370</v>
      </c>
      <c r="E17587" s="58">
        <v>3200</v>
      </c>
      <c r="F17587" s="58"/>
      <c r="G17587" s="126">
        <f t="shared" si="280"/>
        <v>-3200</v>
      </c>
      <c r="H17587" s="705" t="s">
        <v>11523</v>
      </c>
    </row>
    <row r="17588" spans="1:8" ht="15" x14ac:dyDescent="0.2">
      <c r="A17588" s="734">
        <v>45257</v>
      </c>
      <c r="B17588" s="41" t="s">
        <v>103</v>
      </c>
      <c r="C17588" s="63" t="s">
        <v>103</v>
      </c>
      <c r="D17588" s="791" t="s">
        <v>11769</v>
      </c>
      <c r="E17588" s="58">
        <v>5000</v>
      </c>
      <c r="F17588" s="58"/>
      <c r="G17588" s="126">
        <f t="shared" si="280"/>
        <v>-5000</v>
      </c>
      <c r="H17588" s="705" t="s">
        <v>11523</v>
      </c>
    </row>
    <row r="17589" spans="1:8" ht="15" x14ac:dyDescent="0.2">
      <c r="A17589" s="734">
        <v>45258</v>
      </c>
      <c r="B17589" s="41" t="s">
        <v>11446</v>
      </c>
      <c r="C17589" s="63" t="s">
        <v>5741</v>
      </c>
      <c r="D17589" s="791" t="s">
        <v>370</v>
      </c>
      <c r="E17589" s="58">
        <v>250</v>
      </c>
      <c r="F17589" s="58"/>
      <c r="G17589" s="126">
        <f t="shared" si="280"/>
        <v>-250</v>
      </c>
      <c r="H17589" s="705" t="s">
        <v>11523</v>
      </c>
    </row>
    <row r="17590" spans="1:8" ht="15" x14ac:dyDescent="0.2">
      <c r="A17590" s="734">
        <v>45259</v>
      </c>
      <c r="B17590" s="41" t="s">
        <v>103</v>
      </c>
      <c r="C17590" s="63" t="s">
        <v>103</v>
      </c>
      <c r="D17590" s="791" t="s">
        <v>11769</v>
      </c>
      <c r="E17590" s="58">
        <v>4000</v>
      </c>
      <c r="F17590" s="58"/>
      <c r="G17590" s="126">
        <f t="shared" si="280"/>
        <v>-4000</v>
      </c>
      <c r="H17590" s="705" t="s">
        <v>11523</v>
      </c>
    </row>
    <row r="17591" spans="1:8" ht="15" x14ac:dyDescent="0.2">
      <c r="A17591" s="734">
        <v>45259</v>
      </c>
      <c r="B17591" s="41" t="s">
        <v>9356</v>
      </c>
      <c r="C17591" s="63" t="s">
        <v>392</v>
      </c>
      <c r="D17591" s="791" t="s">
        <v>9917</v>
      </c>
      <c r="E17591" s="58">
        <v>12000</v>
      </c>
      <c r="F17591" s="58"/>
      <c r="G17591" s="126">
        <f t="shared" si="280"/>
        <v>-12000</v>
      </c>
      <c r="H17591" s="705" t="s">
        <v>11523</v>
      </c>
    </row>
    <row r="17592" spans="1:8" ht="15" x14ac:dyDescent="0.2">
      <c r="A17592" s="734">
        <v>45259</v>
      </c>
      <c r="B17592" s="41" t="s">
        <v>10908</v>
      </c>
      <c r="C17592" s="63" t="s">
        <v>10993</v>
      </c>
      <c r="D17592" s="791" t="s">
        <v>4309</v>
      </c>
      <c r="E17592" s="58">
        <v>3500</v>
      </c>
      <c r="F17592" s="58"/>
      <c r="G17592" s="126">
        <f t="shared" si="280"/>
        <v>-3500</v>
      </c>
      <c r="H17592" s="705" t="s">
        <v>11523</v>
      </c>
    </row>
    <row r="17593" spans="1:8" ht="15" x14ac:dyDescent="0.2">
      <c r="A17593" s="734">
        <v>45260</v>
      </c>
      <c r="B17593" s="41" t="s">
        <v>11307</v>
      </c>
      <c r="C17593" s="63"/>
      <c r="D17593" s="791" t="s">
        <v>11831</v>
      </c>
      <c r="E17593" s="58">
        <v>4000</v>
      </c>
      <c r="F17593" s="58"/>
      <c r="G17593" s="126">
        <f t="shared" si="280"/>
        <v>-4000</v>
      </c>
      <c r="H17593" s="705" t="s">
        <v>11523</v>
      </c>
    </row>
    <row r="17594" spans="1:8" ht="15" x14ac:dyDescent="0.2">
      <c r="A17594" s="734">
        <v>45259</v>
      </c>
      <c r="B17594" s="41" t="s">
        <v>10908</v>
      </c>
      <c r="C17594" s="63" t="s">
        <v>5741</v>
      </c>
      <c r="D17594" s="791" t="s">
        <v>370</v>
      </c>
      <c r="E17594" s="58">
        <v>200</v>
      </c>
      <c r="F17594" s="58"/>
      <c r="G17594" s="126">
        <f t="shared" si="280"/>
        <v>-200</v>
      </c>
      <c r="H17594" s="705" t="s">
        <v>11523</v>
      </c>
    </row>
    <row r="17595" spans="1:8" ht="15" x14ac:dyDescent="0.2">
      <c r="A17595" s="734">
        <v>45259</v>
      </c>
      <c r="B17595" s="41" t="s">
        <v>25</v>
      </c>
      <c r="C17595" s="63" t="s">
        <v>4065</v>
      </c>
      <c r="D17595" s="791" t="s">
        <v>2108</v>
      </c>
      <c r="E17595" s="58">
        <v>850</v>
      </c>
      <c r="F17595" s="58"/>
      <c r="G17595" s="126">
        <f t="shared" si="280"/>
        <v>-850</v>
      </c>
      <c r="H17595" s="705" t="s">
        <v>11523</v>
      </c>
    </row>
    <row r="17596" spans="1:8" ht="15" x14ac:dyDescent="0.2">
      <c r="A17596" s="734">
        <v>45260</v>
      </c>
      <c r="B17596" s="41" t="s">
        <v>103</v>
      </c>
      <c r="C17596" s="63" t="s">
        <v>2996</v>
      </c>
      <c r="D17596" s="791" t="s">
        <v>370</v>
      </c>
      <c r="E17596" s="58">
        <v>6000</v>
      </c>
      <c r="F17596" s="58"/>
      <c r="G17596" s="126">
        <f t="shared" si="280"/>
        <v>-6000</v>
      </c>
      <c r="H17596" s="705" t="s">
        <v>11523</v>
      </c>
    </row>
    <row r="17597" spans="1:8" ht="15" x14ac:dyDescent="0.2">
      <c r="A17597" s="734">
        <v>45260</v>
      </c>
      <c r="B17597" s="41" t="s">
        <v>11728</v>
      </c>
      <c r="C17597" s="63" t="s">
        <v>10993</v>
      </c>
      <c r="D17597" s="791" t="s">
        <v>11832</v>
      </c>
      <c r="E17597" s="58">
        <v>850</v>
      </c>
      <c r="F17597" s="58"/>
      <c r="G17597" s="126">
        <f t="shared" si="280"/>
        <v>-850</v>
      </c>
      <c r="H17597" s="705" t="s">
        <v>11523</v>
      </c>
    </row>
    <row r="17598" spans="1:8" ht="15" x14ac:dyDescent="0.2">
      <c r="A17598" s="734">
        <v>45260</v>
      </c>
      <c r="B17598" s="41" t="s">
        <v>11728</v>
      </c>
      <c r="C17598" s="63" t="s">
        <v>5741</v>
      </c>
      <c r="D17598" s="791" t="s">
        <v>370</v>
      </c>
      <c r="E17598" s="58">
        <v>2000</v>
      </c>
      <c r="F17598" s="58"/>
      <c r="G17598" s="126">
        <f t="shared" si="280"/>
        <v>-2000</v>
      </c>
      <c r="H17598" s="705" t="s">
        <v>11523</v>
      </c>
    </row>
    <row r="17599" spans="1:8" ht="15" x14ac:dyDescent="0.2">
      <c r="A17599" s="734">
        <v>45260</v>
      </c>
      <c r="B17599" s="41" t="s">
        <v>3945</v>
      </c>
      <c r="C17599" s="63" t="s">
        <v>286</v>
      </c>
      <c r="D17599" s="791" t="s">
        <v>11383</v>
      </c>
      <c r="E17599" s="58">
        <v>500</v>
      </c>
      <c r="F17599" s="58"/>
      <c r="G17599" s="126">
        <f t="shared" ref="G17599:G17668" si="281">F17599-E17599</f>
        <v>-500</v>
      </c>
      <c r="H17599" s="705" t="s">
        <v>11523</v>
      </c>
    </row>
    <row r="17600" spans="1:8" ht="15" x14ac:dyDescent="0.2">
      <c r="A17600" s="734">
        <v>45260</v>
      </c>
      <c r="B17600" s="41" t="s">
        <v>11635</v>
      </c>
      <c r="C17600" s="63" t="s">
        <v>5741</v>
      </c>
      <c r="D17600" s="791" t="s">
        <v>370</v>
      </c>
      <c r="E17600" s="58">
        <v>500</v>
      </c>
      <c r="F17600" s="58"/>
      <c r="G17600" s="126">
        <f t="shared" si="281"/>
        <v>-500</v>
      </c>
      <c r="H17600" s="705" t="s">
        <v>11523</v>
      </c>
    </row>
    <row r="17601" spans="1:8" ht="15" x14ac:dyDescent="0.2">
      <c r="A17601" s="734">
        <v>45260</v>
      </c>
      <c r="B17601" s="41" t="s">
        <v>10908</v>
      </c>
      <c r="C17601" s="63" t="s">
        <v>10993</v>
      </c>
      <c r="D17601" s="791" t="s">
        <v>11833</v>
      </c>
      <c r="E17601" s="58">
        <v>2800</v>
      </c>
      <c r="F17601" s="58"/>
      <c r="G17601" s="126">
        <f t="shared" si="281"/>
        <v>-2800</v>
      </c>
      <c r="H17601" s="705" t="s">
        <v>11523</v>
      </c>
    </row>
    <row r="17602" spans="1:8" ht="15" x14ac:dyDescent="0.2">
      <c r="A17602" s="734">
        <v>45260</v>
      </c>
      <c r="B17602" s="63" t="s">
        <v>11089</v>
      </c>
      <c r="C17602" s="1099" t="s">
        <v>794</v>
      </c>
      <c r="D17602" s="1100" t="s">
        <v>11011</v>
      </c>
      <c r="E17602" s="1101">
        <v>25000</v>
      </c>
      <c r="F17602" s="58"/>
      <c r="G17602" s="126">
        <f t="shared" si="281"/>
        <v>-25000</v>
      </c>
      <c r="H17602" s="705" t="s">
        <v>11523</v>
      </c>
    </row>
    <row r="17603" spans="1:8" ht="15" x14ac:dyDescent="0.2">
      <c r="A17603" s="734">
        <v>45260</v>
      </c>
      <c r="B17603" s="63" t="s">
        <v>9986</v>
      </c>
      <c r="C17603" s="1099" t="s">
        <v>794</v>
      </c>
      <c r="D17603" s="1100" t="s">
        <v>11011</v>
      </c>
      <c r="E17603" s="1101">
        <v>25000</v>
      </c>
      <c r="F17603" s="58"/>
      <c r="G17603" s="126">
        <f t="shared" si="281"/>
        <v>-25000</v>
      </c>
      <c r="H17603" s="705" t="s">
        <v>11523</v>
      </c>
    </row>
    <row r="17604" spans="1:8" ht="15" x14ac:dyDescent="0.2">
      <c r="A17604" s="734">
        <v>45260</v>
      </c>
      <c r="B17604" s="63" t="s">
        <v>11728</v>
      </c>
      <c r="C17604" s="1099" t="s">
        <v>794</v>
      </c>
      <c r="D17604" s="1100" t="s">
        <v>11012</v>
      </c>
      <c r="E17604" s="1101">
        <v>25000</v>
      </c>
      <c r="F17604" s="58"/>
      <c r="G17604" s="126">
        <f t="shared" si="281"/>
        <v>-25000</v>
      </c>
      <c r="H17604" s="705" t="s">
        <v>11523</v>
      </c>
    </row>
    <row r="17605" spans="1:8" ht="15" x14ac:dyDescent="0.2">
      <c r="A17605" s="734">
        <v>45260</v>
      </c>
      <c r="B17605" s="63" t="s">
        <v>10908</v>
      </c>
      <c r="C17605" s="1099" t="s">
        <v>794</v>
      </c>
      <c r="D17605" s="1100" t="s">
        <v>11012</v>
      </c>
      <c r="E17605" s="1101">
        <v>25000</v>
      </c>
      <c r="F17605" s="58"/>
      <c r="G17605" s="126">
        <f t="shared" si="281"/>
        <v>-25000</v>
      </c>
      <c r="H17605" s="705" t="s">
        <v>11523</v>
      </c>
    </row>
    <row r="17606" spans="1:8" ht="15" x14ac:dyDescent="0.2">
      <c r="A17606" s="734">
        <v>45260</v>
      </c>
      <c r="B17606" s="63" t="s">
        <v>25</v>
      </c>
      <c r="C17606" s="1099" t="s">
        <v>794</v>
      </c>
      <c r="D17606" s="1100" t="s">
        <v>11118</v>
      </c>
      <c r="E17606" s="1101">
        <v>105000</v>
      </c>
      <c r="F17606" s="58"/>
      <c r="G17606" s="126">
        <f t="shared" si="281"/>
        <v>-105000</v>
      </c>
      <c r="H17606" s="705" t="s">
        <v>11523</v>
      </c>
    </row>
    <row r="17607" spans="1:8" ht="15" x14ac:dyDescent="0.2">
      <c r="A17607" s="734">
        <v>45260</v>
      </c>
      <c r="B17607" s="63" t="s">
        <v>11635</v>
      </c>
      <c r="C17607" s="1099" t="s">
        <v>794</v>
      </c>
      <c r="D17607" s="1100" t="s">
        <v>10749</v>
      </c>
      <c r="E17607" s="1101">
        <v>100040</v>
      </c>
      <c r="F17607" s="126"/>
      <c r="G17607" s="126">
        <f t="shared" si="281"/>
        <v>-100040</v>
      </c>
      <c r="H17607" s="705" t="s">
        <v>11523</v>
      </c>
    </row>
    <row r="17608" spans="1:8" ht="15" x14ac:dyDescent="0.2">
      <c r="A17608" s="734">
        <v>45260</v>
      </c>
      <c r="B17608" s="63" t="s">
        <v>103</v>
      </c>
      <c r="C17608" s="1099" t="s">
        <v>794</v>
      </c>
      <c r="D17608" s="1100" t="s">
        <v>10137</v>
      </c>
      <c r="E17608" s="1101">
        <v>336170</v>
      </c>
      <c r="F17608" s="126"/>
      <c r="G17608" s="126">
        <f t="shared" si="281"/>
        <v>-336170</v>
      </c>
      <c r="H17608" s="705" t="s">
        <v>11523</v>
      </c>
    </row>
    <row r="17609" spans="1:8" ht="15" x14ac:dyDescent="0.2">
      <c r="A17609" s="734">
        <v>45260</v>
      </c>
      <c r="B17609" s="63" t="s">
        <v>103</v>
      </c>
      <c r="C17609" s="1099" t="s">
        <v>794</v>
      </c>
      <c r="D17609" s="1100" t="s">
        <v>11036</v>
      </c>
      <c r="E17609" s="1101">
        <v>41880</v>
      </c>
      <c r="F17609" s="126"/>
      <c r="G17609" s="126">
        <f t="shared" si="281"/>
        <v>-41880</v>
      </c>
      <c r="H17609" s="705" t="s">
        <v>11523</v>
      </c>
    </row>
    <row r="17610" spans="1:8" ht="15" x14ac:dyDescent="0.2">
      <c r="A17610" s="734">
        <v>45260</v>
      </c>
      <c r="B17610" s="63" t="s">
        <v>37</v>
      </c>
      <c r="C17610" s="1099" t="s">
        <v>794</v>
      </c>
      <c r="D17610" s="1100" t="s">
        <v>11845</v>
      </c>
      <c r="E17610" s="1101">
        <v>132130</v>
      </c>
      <c r="F17610" s="126"/>
      <c r="G17610" s="126">
        <f t="shared" si="281"/>
        <v>-132130</v>
      </c>
      <c r="H17610" s="705" t="s">
        <v>11523</v>
      </c>
    </row>
    <row r="17611" spans="1:8" ht="15" x14ac:dyDescent="0.2">
      <c r="A17611" s="734">
        <v>45260</v>
      </c>
      <c r="B17611" s="63" t="s">
        <v>10908</v>
      </c>
      <c r="C17611" s="1099" t="s">
        <v>794</v>
      </c>
      <c r="D17611" s="1100" t="s">
        <v>11846</v>
      </c>
      <c r="E17611" s="1101">
        <v>23500</v>
      </c>
      <c r="F17611" s="126"/>
      <c r="G17611" s="126">
        <f t="shared" si="281"/>
        <v>-23500</v>
      </c>
      <c r="H17611" s="705" t="s">
        <v>11523</v>
      </c>
    </row>
    <row r="17612" spans="1:8" ht="15" x14ac:dyDescent="0.2">
      <c r="A17612" s="734">
        <v>45260</v>
      </c>
      <c r="B17612" s="63" t="s">
        <v>9356</v>
      </c>
      <c r="C17612" s="1099" t="s">
        <v>794</v>
      </c>
      <c r="D17612" s="1100" t="s">
        <v>11847</v>
      </c>
      <c r="E17612" s="1101">
        <v>40480</v>
      </c>
      <c r="F17612" s="126"/>
      <c r="G17612" s="126">
        <f t="shared" si="281"/>
        <v>-40480</v>
      </c>
      <c r="H17612" s="705" t="s">
        <v>11523</v>
      </c>
    </row>
    <row r="17613" spans="1:8" ht="15" x14ac:dyDescent="0.2">
      <c r="A17613" s="734">
        <v>45260</v>
      </c>
      <c r="B17613" s="63" t="s">
        <v>9986</v>
      </c>
      <c r="C17613" s="1099" t="s">
        <v>794</v>
      </c>
      <c r="D17613" s="1100" t="s">
        <v>11848</v>
      </c>
      <c r="E17613" s="1101">
        <v>57750</v>
      </c>
      <c r="F17613" s="126"/>
      <c r="G17613" s="126">
        <f t="shared" si="281"/>
        <v>-57750</v>
      </c>
      <c r="H17613" s="705" t="s">
        <v>11523</v>
      </c>
    </row>
    <row r="17614" spans="1:8" ht="15" x14ac:dyDescent="0.2">
      <c r="A17614" s="734">
        <v>45260</v>
      </c>
      <c r="B17614" s="63" t="s">
        <v>11635</v>
      </c>
      <c r="C17614" s="1099" t="s">
        <v>794</v>
      </c>
      <c r="D17614" s="1100" t="s">
        <v>11849</v>
      </c>
      <c r="E17614" s="1101">
        <v>65000</v>
      </c>
      <c r="F17614" s="126"/>
      <c r="G17614" s="126">
        <f t="shared" si="281"/>
        <v>-65000</v>
      </c>
      <c r="H17614" s="705" t="s">
        <v>11523</v>
      </c>
    </row>
    <row r="17615" spans="1:8" ht="15" x14ac:dyDescent="0.2">
      <c r="A17615" s="734">
        <v>45260</v>
      </c>
      <c r="B17615" s="63" t="s">
        <v>9986</v>
      </c>
      <c r="C17615" s="1099" t="s">
        <v>794</v>
      </c>
      <c r="D17615" s="1100" t="s">
        <v>11850</v>
      </c>
      <c r="E17615" s="1101">
        <v>50210</v>
      </c>
      <c r="F17615" s="126"/>
      <c r="G17615" s="126">
        <f t="shared" si="281"/>
        <v>-50210</v>
      </c>
      <c r="H17615" s="705" t="s">
        <v>11523</v>
      </c>
    </row>
    <row r="17616" spans="1:8" ht="15" x14ac:dyDescent="0.2">
      <c r="A17616" s="734">
        <v>45260</v>
      </c>
      <c r="B17616" s="63" t="s">
        <v>3946</v>
      </c>
      <c r="C17616" s="1099" t="s">
        <v>794</v>
      </c>
      <c r="D17616" s="1100" t="s">
        <v>11851</v>
      </c>
      <c r="E17616" s="1101">
        <v>93060</v>
      </c>
      <c r="F17616" s="126"/>
      <c r="G17616" s="126">
        <f t="shared" si="281"/>
        <v>-93060</v>
      </c>
      <c r="H17616" s="705" t="s">
        <v>11523</v>
      </c>
    </row>
    <row r="17617" spans="1:8" ht="15" x14ac:dyDescent="0.2">
      <c r="A17617" s="734">
        <v>45260</v>
      </c>
      <c r="B17617" s="63" t="s">
        <v>9986</v>
      </c>
      <c r="C17617" s="1099" t="s">
        <v>794</v>
      </c>
      <c r="D17617" s="1100" t="s">
        <v>11852</v>
      </c>
      <c r="E17617" s="1101">
        <v>17130</v>
      </c>
      <c r="F17617" s="126"/>
      <c r="G17617" s="126">
        <f t="shared" si="281"/>
        <v>-17130</v>
      </c>
      <c r="H17617" s="705" t="s">
        <v>11523</v>
      </c>
    </row>
    <row r="17618" spans="1:8" ht="15" x14ac:dyDescent="0.2">
      <c r="A17618" s="734">
        <v>45260</v>
      </c>
      <c r="B17618" s="63" t="s">
        <v>11738</v>
      </c>
      <c r="C17618" s="1099" t="s">
        <v>794</v>
      </c>
      <c r="D17618" s="1100" t="s">
        <v>11853</v>
      </c>
      <c r="E17618" s="1101">
        <v>380484</v>
      </c>
      <c r="F17618" s="126"/>
      <c r="G17618" s="126">
        <f t="shared" si="281"/>
        <v>-380484</v>
      </c>
      <c r="H17618" s="705" t="s">
        <v>11523</v>
      </c>
    </row>
    <row r="17619" spans="1:8" ht="15" x14ac:dyDescent="0.2">
      <c r="A17619" s="734">
        <v>45271</v>
      </c>
      <c r="B17619" s="63" t="s">
        <v>11738</v>
      </c>
      <c r="C17619" s="1099" t="s">
        <v>794</v>
      </c>
      <c r="D17619" s="1102" t="s">
        <v>11879</v>
      </c>
      <c r="E17619" s="1101">
        <v>147980</v>
      </c>
      <c r="F17619" s="126"/>
      <c r="G17619" s="126">
        <f>F17619-E17619</f>
        <v>-147980</v>
      </c>
      <c r="H17619" s="705" t="s">
        <v>11835</v>
      </c>
    </row>
    <row r="17620" spans="1:8" ht="15" x14ac:dyDescent="0.2">
      <c r="A17620" s="734">
        <v>45271</v>
      </c>
      <c r="B17620" s="63" t="s">
        <v>9986</v>
      </c>
      <c r="C17620" s="1099" t="s">
        <v>794</v>
      </c>
      <c r="D17620" s="1102" t="s">
        <v>11880</v>
      </c>
      <c r="E17620" s="1101">
        <v>70690</v>
      </c>
      <c r="F17620" s="126"/>
      <c r="G17620" s="126">
        <f>F17620-E17620</f>
        <v>-70690</v>
      </c>
      <c r="H17620" s="705" t="s">
        <v>11835</v>
      </c>
    </row>
    <row r="17621" spans="1:8" ht="15" x14ac:dyDescent="0.2">
      <c r="A17621" s="734">
        <v>45271</v>
      </c>
      <c r="B17621" s="63" t="s">
        <v>3945</v>
      </c>
      <c r="C17621" s="1099" t="s">
        <v>794</v>
      </c>
      <c r="D17621" s="1102" t="s">
        <v>11949</v>
      </c>
      <c r="E17621" s="1101">
        <v>136964.58333333334</v>
      </c>
      <c r="F17621" s="126"/>
      <c r="G17621" s="126">
        <f>F17621-E17621</f>
        <v>-136964.58333333334</v>
      </c>
      <c r="H17621" s="705" t="s">
        <v>11835</v>
      </c>
    </row>
    <row r="17622" spans="1:8" ht="15" x14ac:dyDescent="0.2">
      <c r="A17622" s="734">
        <v>45271</v>
      </c>
      <c r="B17622" s="41" t="s">
        <v>10151</v>
      </c>
      <c r="C17622" s="1099" t="s">
        <v>794</v>
      </c>
      <c r="D17622" s="1102" t="s">
        <v>6703</v>
      </c>
      <c r="E17622" s="1101">
        <v>25050</v>
      </c>
      <c r="F17622" s="126"/>
      <c r="G17622" s="126">
        <f>F17622-E17622</f>
        <v>-25050</v>
      </c>
      <c r="H17622" s="705" t="s">
        <v>11835</v>
      </c>
    </row>
    <row r="17623" spans="1:8" ht="15" x14ac:dyDescent="0.2">
      <c r="A17623" s="734">
        <v>45271</v>
      </c>
      <c r="B17623" s="63" t="s">
        <v>10908</v>
      </c>
      <c r="C17623" s="1099" t="s">
        <v>794</v>
      </c>
      <c r="D17623" s="1102" t="s">
        <v>11881</v>
      </c>
      <c r="E17623" s="1101">
        <v>30750</v>
      </c>
      <c r="F17623" s="126"/>
      <c r="G17623" s="126">
        <f>F17623-E17623</f>
        <v>-30750</v>
      </c>
      <c r="H17623" s="705" t="s">
        <v>11835</v>
      </c>
    </row>
    <row r="17624" spans="1:8" ht="15" x14ac:dyDescent="0.2">
      <c r="A17624" s="734">
        <v>45271</v>
      </c>
      <c r="B17624" s="63" t="s">
        <v>9986</v>
      </c>
      <c r="C17624" s="1099" t="s">
        <v>794</v>
      </c>
      <c r="D17624" s="1100" t="s">
        <v>11854</v>
      </c>
      <c r="E17624" s="1101">
        <v>40500</v>
      </c>
      <c r="F17624" s="126"/>
      <c r="G17624" s="126">
        <f t="shared" si="281"/>
        <v>-40500</v>
      </c>
      <c r="H17624" s="705" t="s">
        <v>11835</v>
      </c>
    </row>
    <row r="17625" spans="1:8" ht="15" x14ac:dyDescent="0.2">
      <c r="A17625" s="733">
        <v>45231</v>
      </c>
      <c r="B17625" s="174" t="s">
        <v>9356</v>
      </c>
      <c r="C17625" s="174" t="s">
        <v>7467</v>
      </c>
      <c r="D17625" s="228" t="s">
        <v>11540</v>
      </c>
      <c r="E17625" s="236">
        <v>350000</v>
      </c>
      <c r="F17625" s="236"/>
      <c r="G17625" s="236">
        <f t="shared" si="281"/>
        <v>-350000</v>
      </c>
      <c r="H17625" s="709" t="s">
        <v>11523</v>
      </c>
    </row>
    <row r="17626" spans="1:8" ht="15" x14ac:dyDescent="0.2">
      <c r="A17626" s="733">
        <v>45231</v>
      </c>
      <c r="B17626" s="174" t="s">
        <v>9356</v>
      </c>
      <c r="C17626" s="174" t="s">
        <v>7467</v>
      </c>
      <c r="D17626" s="228" t="s">
        <v>11541</v>
      </c>
      <c r="E17626" s="236">
        <v>350000</v>
      </c>
      <c r="F17626" s="236"/>
      <c r="G17626" s="236">
        <f t="shared" si="281"/>
        <v>-350000</v>
      </c>
      <c r="H17626" s="709" t="s">
        <v>11523</v>
      </c>
    </row>
    <row r="17627" spans="1:8" ht="15" x14ac:dyDescent="0.2">
      <c r="A17627" s="733">
        <v>45233</v>
      </c>
      <c r="B17627" s="174" t="s">
        <v>10908</v>
      </c>
      <c r="C17627" s="174" t="s">
        <v>11099</v>
      </c>
      <c r="D17627" s="228" t="s">
        <v>11545</v>
      </c>
      <c r="E17627" s="236">
        <v>35000</v>
      </c>
      <c r="F17627" s="236"/>
      <c r="G17627" s="236">
        <f t="shared" si="281"/>
        <v>-35000</v>
      </c>
      <c r="H17627" s="709" t="s">
        <v>11523</v>
      </c>
    </row>
    <row r="17628" spans="1:8" ht="15" x14ac:dyDescent="0.2">
      <c r="A17628" s="733">
        <v>45233</v>
      </c>
      <c r="B17628" s="174" t="s">
        <v>10232</v>
      </c>
      <c r="C17628" s="551" t="s">
        <v>9549</v>
      </c>
      <c r="D17628" s="740" t="s">
        <v>11546</v>
      </c>
      <c r="E17628" s="552">
        <v>200000</v>
      </c>
      <c r="F17628" s="236"/>
      <c r="G17628" s="236">
        <f t="shared" si="281"/>
        <v>-200000</v>
      </c>
      <c r="H17628" s="709" t="s">
        <v>11523</v>
      </c>
    </row>
    <row r="17629" spans="1:8" ht="15" x14ac:dyDescent="0.2">
      <c r="A17629" s="733">
        <v>45233</v>
      </c>
      <c r="B17629" s="174" t="s">
        <v>11093</v>
      </c>
      <c r="C17629" s="551" t="s">
        <v>9549</v>
      </c>
      <c r="D17629" s="740" t="s">
        <v>11546</v>
      </c>
      <c r="E17629" s="552">
        <v>55000</v>
      </c>
      <c r="F17629" s="236"/>
      <c r="G17629" s="236">
        <f t="shared" si="281"/>
        <v>-55000</v>
      </c>
      <c r="H17629" s="709" t="s">
        <v>11523</v>
      </c>
    </row>
    <row r="17630" spans="1:8" ht="15" x14ac:dyDescent="0.2">
      <c r="A17630" s="733">
        <v>45233</v>
      </c>
      <c r="B17630" s="174" t="s">
        <v>9356</v>
      </c>
      <c r="C17630" s="174" t="s">
        <v>7467</v>
      </c>
      <c r="D17630" s="228" t="s">
        <v>11579</v>
      </c>
      <c r="E17630" s="236">
        <v>350000</v>
      </c>
      <c r="F17630" s="236"/>
      <c r="G17630" s="236">
        <f t="shared" si="281"/>
        <v>-350000</v>
      </c>
      <c r="H17630" s="709" t="s">
        <v>11523</v>
      </c>
    </row>
    <row r="17631" spans="1:8" ht="15" x14ac:dyDescent="0.2">
      <c r="A17631" s="733">
        <v>45233</v>
      </c>
      <c r="B17631" s="174" t="s">
        <v>11554</v>
      </c>
      <c r="C17631" s="551" t="s">
        <v>7467</v>
      </c>
      <c r="D17631" s="740" t="s">
        <v>11579</v>
      </c>
      <c r="E17631" s="552">
        <v>176319</v>
      </c>
      <c r="F17631" s="236"/>
      <c r="G17631" s="236">
        <f t="shared" si="281"/>
        <v>-176319</v>
      </c>
      <c r="H17631" s="709" t="s">
        <v>11523</v>
      </c>
    </row>
    <row r="17632" spans="1:8" ht="15" x14ac:dyDescent="0.2">
      <c r="A17632" s="733">
        <v>45233</v>
      </c>
      <c r="B17632" s="174" t="s">
        <v>10576</v>
      </c>
      <c r="C17632" s="551" t="s">
        <v>7467</v>
      </c>
      <c r="D17632" s="740" t="s">
        <v>11548</v>
      </c>
      <c r="E17632" s="552">
        <v>173681</v>
      </c>
      <c r="F17632" s="236"/>
      <c r="G17632" s="236">
        <f t="shared" si="281"/>
        <v>-173681</v>
      </c>
      <c r="H17632" s="709" t="s">
        <v>11523</v>
      </c>
    </row>
    <row r="17633" spans="1:8" ht="15" x14ac:dyDescent="0.2">
      <c r="A17633" s="733">
        <v>45233</v>
      </c>
      <c r="B17633" s="174" t="s">
        <v>10576</v>
      </c>
      <c r="C17633" s="174" t="s">
        <v>10858</v>
      </c>
      <c r="D17633" s="228" t="s">
        <v>11549</v>
      </c>
      <c r="E17633" s="236">
        <v>400000</v>
      </c>
      <c r="F17633" s="236"/>
      <c r="G17633" s="236">
        <f t="shared" si="281"/>
        <v>-400000</v>
      </c>
      <c r="H17633" s="709" t="s">
        <v>11523</v>
      </c>
    </row>
    <row r="17634" spans="1:8" ht="15" x14ac:dyDescent="0.2">
      <c r="A17634" s="733">
        <v>45233</v>
      </c>
      <c r="B17634" s="174" t="s">
        <v>10576</v>
      </c>
      <c r="C17634" s="174" t="s">
        <v>10858</v>
      </c>
      <c r="D17634" s="228" t="s">
        <v>11550</v>
      </c>
      <c r="E17634" s="236">
        <v>485000</v>
      </c>
      <c r="F17634" s="236"/>
      <c r="G17634" s="236">
        <f t="shared" si="281"/>
        <v>-485000</v>
      </c>
      <c r="H17634" s="709" t="s">
        <v>11523</v>
      </c>
    </row>
    <row r="17635" spans="1:8" ht="15" x14ac:dyDescent="0.2">
      <c r="A17635" s="733">
        <v>45237</v>
      </c>
      <c r="B17635" s="174" t="s">
        <v>10576</v>
      </c>
      <c r="C17635" s="174" t="s">
        <v>8251</v>
      </c>
      <c r="D17635" s="228" t="s">
        <v>11646</v>
      </c>
      <c r="E17635" s="236">
        <v>225000</v>
      </c>
      <c r="F17635" s="236"/>
      <c r="G17635" s="236">
        <f t="shared" si="281"/>
        <v>-225000</v>
      </c>
      <c r="H17635" s="709" t="s">
        <v>11523</v>
      </c>
    </row>
    <row r="17636" spans="1:8" ht="15" x14ac:dyDescent="0.2">
      <c r="A17636" s="733">
        <v>45237</v>
      </c>
      <c r="B17636" s="174" t="s">
        <v>10232</v>
      </c>
      <c r="C17636" s="174" t="s">
        <v>7467</v>
      </c>
      <c r="D17636" s="228" t="s">
        <v>11648</v>
      </c>
      <c r="E17636" s="236">
        <v>350000</v>
      </c>
      <c r="F17636" s="236"/>
      <c r="G17636" s="236">
        <f t="shared" si="281"/>
        <v>-350000</v>
      </c>
      <c r="H17636" s="709" t="s">
        <v>11523</v>
      </c>
    </row>
    <row r="17637" spans="1:8" ht="15" x14ac:dyDescent="0.2">
      <c r="A17637" s="733">
        <v>45237</v>
      </c>
      <c r="B17637" s="174" t="s">
        <v>10232</v>
      </c>
      <c r="C17637" s="174" t="s">
        <v>7467</v>
      </c>
      <c r="D17637" s="228" t="s">
        <v>11647</v>
      </c>
      <c r="E17637" s="236">
        <v>350000</v>
      </c>
      <c r="F17637" s="236"/>
      <c r="G17637" s="236">
        <f t="shared" si="281"/>
        <v>-350000</v>
      </c>
      <c r="H17637" s="709" t="s">
        <v>11523</v>
      </c>
    </row>
    <row r="17638" spans="1:8" ht="15" x14ac:dyDescent="0.2">
      <c r="A17638" s="733">
        <v>45243</v>
      </c>
      <c r="B17638" s="174" t="s">
        <v>10232</v>
      </c>
      <c r="C17638" s="174" t="s">
        <v>11386</v>
      </c>
      <c r="D17638" s="228" t="s">
        <v>11672</v>
      </c>
      <c r="E17638" s="236">
        <v>300000</v>
      </c>
      <c r="F17638" s="236"/>
      <c r="G17638" s="236">
        <f t="shared" si="281"/>
        <v>-300000</v>
      </c>
      <c r="H17638" s="709" t="s">
        <v>11523</v>
      </c>
    </row>
    <row r="17639" spans="1:8" ht="15" x14ac:dyDescent="0.2">
      <c r="A17639" s="733">
        <v>45243</v>
      </c>
      <c r="B17639" s="174" t="s">
        <v>10576</v>
      </c>
      <c r="C17639" s="174" t="s">
        <v>11291</v>
      </c>
      <c r="D17639" s="228" t="s">
        <v>11673</v>
      </c>
      <c r="E17639" s="236">
        <v>100000</v>
      </c>
      <c r="F17639" s="236"/>
      <c r="G17639" s="236">
        <f t="shared" si="281"/>
        <v>-100000</v>
      </c>
      <c r="H17639" s="709" t="s">
        <v>11523</v>
      </c>
    </row>
    <row r="17640" spans="1:8" ht="15" x14ac:dyDescent="0.2">
      <c r="A17640" s="733">
        <v>45243</v>
      </c>
      <c r="B17640" s="174" t="s">
        <v>10471</v>
      </c>
      <c r="C17640" s="174" t="s">
        <v>9460</v>
      </c>
      <c r="D17640" s="228" t="s">
        <v>11674</v>
      </c>
      <c r="E17640" s="236">
        <v>200000</v>
      </c>
      <c r="F17640" s="236"/>
      <c r="G17640" s="236">
        <f t="shared" si="281"/>
        <v>-200000</v>
      </c>
      <c r="H17640" s="709" t="s">
        <v>11523</v>
      </c>
    </row>
    <row r="17641" spans="1:8" ht="15" x14ac:dyDescent="0.2">
      <c r="A17641" s="733">
        <v>45243</v>
      </c>
      <c r="B17641" s="174" t="s">
        <v>9986</v>
      </c>
      <c r="C17641" s="174" t="s">
        <v>6476</v>
      </c>
      <c r="D17641" s="228" t="s">
        <v>11675</v>
      </c>
      <c r="E17641" s="236">
        <v>100000</v>
      </c>
      <c r="F17641" s="236"/>
      <c r="G17641" s="236">
        <f t="shared" si="281"/>
        <v>-100000</v>
      </c>
      <c r="H17641" s="709" t="s">
        <v>11523</v>
      </c>
    </row>
    <row r="17642" spans="1:8" ht="15" x14ac:dyDescent="0.2">
      <c r="A17642" s="733">
        <v>45245</v>
      </c>
      <c r="B17642" s="174" t="s">
        <v>10576</v>
      </c>
      <c r="C17642" s="174" t="s">
        <v>7467</v>
      </c>
      <c r="D17642" s="228" t="s">
        <v>11679</v>
      </c>
      <c r="E17642" s="236">
        <v>350000</v>
      </c>
      <c r="F17642" s="236"/>
      <c r="G17642" s="236">
        <f t="shared" si="281"/>
        <v>-350000</v>
      </c>
      <c r="H17642" s="709" t="s">
        <v>11523</v>
      </c>
    </row>
    <row r="17643" spans="1:8" ht="15" x14ac:dyDescent="0.2">
      <c r="A17643" s="733">
        <v>45245</v>
      </c>
      <c r="B17643" s="174" t="s">
        <v>10576</v>
      </c>
      <c r="C17643" s="174" t="s">
        <v>7467</v>
      </c>
      <c r="D17643" s="228" t="s">
        <v>11680</v>
      </c>
      <c r="E17643" s="236">
        <v>350000</v>
      </c>
      <c r="F17643" s="236"/>
      <c r="G17643" s="236">
        <f t="shared" si="281"/>
        <v>-350000</v>
      </c>
      <c r="H17643" s="709" t="s">
        <v>11523</v>
      </c>
    </row>
    <row r="17644" spans="1:8" ht="15" x14ac:dyDescent="0.2">
      <c r="A17644" s="733">
        <v>45245</v>
      </c>
      <c r="B17644" s="174" t="s">
        <v>10576</v>
      </c>
      <c r="C17644" s="174" t="s">
        <v>8091</v>
      </c>
      <c r="D17644" s="228" t="s">
        <v>11681</v>
      </c>
      <c r="E17644" s="236">
        <v>500000</v>
      </c>
      <c r="F17644" s="236"/>
      <c r="G17644" s="236">
        <f t="shared" si="281"/>
        <v>-500000</v>
      </c>
      <c r="H17644" s="709" t="s">
        <v>11523</v>
      </c>
    </row>
    <row r="17645" spans="1:8" ht="15" x14ac:dyDescent="0.2">
      <c r="A17645" s="733">
        <v>45245</v>
      </c>
      <c r="B17645" s="174" t="s">
        <v>10576</v>
      </c>
      <c r="C17645" s="174" t="s">
        <v>8091</v>
      </c>
      <c r="D17645" s="228" t="s">
        <v>11682</v>
      </c>
      <c r="E17645" s="236">
        <v>500000</v>
      </c>
      <c r="F17645" s="236"/>
      <c r="G17645" s="236">
        <f t="shared" si="281"/>
        <v>-500000</v>
      </c>
      <c r="H17645" s="709" t="s">
        <v>11523</v>
      </c>
    </row>
    <row r="17646" spans="1:8" ht="15" x14ac:dyDescent="0.2">
      <c r="A17646" s="733">
        <v>45245</v>
      </c>
      <c r="B17646" s="174" t="s">
        <v>10576</v>
      </c>
      <c r="C17646" s="174" t="s">
        <v>8091</v>
      </c>
      <c r="D17646" s="228" t="s">
        <v>11683</v>
      </c>
      <c r="E17646" s="236">
        <v>500000</v>
      </c>
      <c r="F17646" s="236"/>
      <c r="G17646" s="236">
        <f t="shared" si="281"/>
        <v>-500000</v>
      </c>
      <c r="H17646" s="709" t="s">
        <v>11523</v>
      </c>
    </row>
    <row r="17647" spans="1:8" ht="15" x14ac:dyDescent="0.2">
      <c r="A17647" s="733">
        <v>45247</v>
      </c>
      <c r="B17647" s="174" t="s">
        <v>37</v>
      </c>
      <c r="C17647" s="551" t="s">
        <v>3003</v>
      </c>
      <c r="D17647" s="740" t="s">
        <v>11713</v>
      </c>
      <c r="E17647" s="552">
        <v>46666</v>
      </c>
      <c r="F17647" s="236"/>
      <c r="G17647" s="236">
        <f t="shared" si="281"/>
        <v>-46666</v>
      </c>
      <c r="H17647" s="709" t="s">
        <v>11523</v>
      </c>
    </row>
    <row r="17648" spans="1:8" ht="15" x14ac:dyDescent="0.2">
      <c r="A17648" s="733">
        <v>45247</v>
      </c>
      <c r="B17648" s="174" t="s">
        <v>3946</v>
      </c>
      <c r="C17648" s="551" t="s">
        <v>3003</v>
      </c>
      <c r="D17648" s="740" t="s">
        <v>11713</v>
      </c>
      <c r="E17648" s="552">
        <v>32760</v>
      </c>
      <c r="F17648" s="236"/>
      <c r="G17648" s="236">
        <f t="shared" si="281"/>
        <v>-32760</v>
      </c>
      <c r="H17648" s="709" t="s">
        <v>11523</v>
      </c>
    </row>
    <row r="17649" spans="1:8" ht="15" x14ac:dyDescent="0.2">
      <c r="A17649" s="733">
        <v>45247</v>
      </c>
      <c r="B17649" s="174" t="s">
        <v>3945</v>
      </c>
      <c r="C17649" s="551" t="s">
        <v>3003</v>
      </c>
      <c r="D17649" s="740" t="s">
        <v>11713</v>
      </c>
      <c r="E17649" s="552">
        <v>35360</v>
      </c>
      <c r="F17649" s="236"/>
      <c r="G17649" s="236">
        <f t="shared" si="281"/>
        <v>-35360</v>
      </c>
      <c r="H17649" s="709" t="s">
        <v>11523</v>
      </c>
    </row>
    <row r="17650" spans="1:8" ht="15" x14ac:dyDescent="0.2">
      <c r="A17650" s="733">
        <v>45247</v>
      </c>
      <c r="B17650" s="174" t="s">
        <v>10576</v>
      </c>
      <c r="C17650" s="551" t="s">
        <v>3003</v>
      </c>
      <c r="D17650" s="740" t="s">
        <v>11713</v>
      </c>
      <c r="E17650" s="552">
        <v>1872465</v>
      </c>
      <c r="F17650" s="236"/>
      <c r="G17650" s="236">
        <f t="shared" si="281"/>
        <v>-1872465</v>
      </c>
      <c r="H17650" s="709" t="s">
        <v>11523</v>
      </c>
    </row>
    <row r="17651" spans="1:8" ht="15" x14ac:dyDescent="0.2">
      <c r="A17651" s="733">
        <v>45247</v>
      </c>
      <c r="B17651" s="174" t="s">
        <v>10908</v>
      </c>
      <c r="C17651" s="174" t="s">
        <v>7223</v>
      </c>
      <c r="D17651" s="228" t="s">
        <v>11704</v>
      </c>
      <c r="E17651" s="236">
        <v>300000</v>
      </c>
      <c r="F17651" s="236"/>
      <c r="G17651" s="236">
        <f t="shared" si="281"/>
        <v>-300000</v>
      </c>
      <c r="H17651" s="709" t="s">
        <v>11523</v>
      </c>
    </row>
    <row r="17652" spans="1:8" ht="15" x14ac:dyDescent="0.2">
      <c r="A17652" s="733">
        <v>45247</v>
      </c>
      <c r="B17652" s="174" t="s">
        <v>10908</v>
      </c>
      <c r="C17652" s="174" t="s">
        <v>7223</v>
      </c>
      <c r="D17652" s="228" t="s">
        <v>11705</v>
      </c>
      <c r="E17652" s="236">
        <v>197000</v>
      </c>
      <c r="F17652" s="236"/>
      <c r="G17652" s="236">
        <f t="shared" si="281"/>
        <v>-197000</v>
      </c>
      <c r="H17652" s="709" t="s">
        <v>11523</v>
      </c>
    </row>
    <row r="17653" spans="1:8" ht="15" x14ac:dyDescent="0.2">
      <c r="A17653" s="733">
        <v>45247</v>
      </c>
      <c r="B17653" s="174" t="s">
        <v>10576</v>
      </c>
      <c r="C17653" s="174" t="s">
        <v>7467</v>
      </c>
      <c r="D17653" s="228" t="s">
        <v>11706</v>
      </c>
      <c r="E17653" s="236">
        <v>500000</v>
      </c>
      <c r="F17653" s="236"/>
      <c r="G17653" s="236">
        <f t="shared" si="281"/>
        <v>-500000</v>
      </c>
      <c r="H17653" s="709" t="s">
        <v>11523</v>
      </c>
    </row>
    <row r="17654" spans="1:8" ht="15" x14ac:dyDescent="0.2">
      <c r="A17654" s="733">
        <v>45247</v>
      </c>
      <c r="B17654" s="174" t="s">
        <v>10576</v>
      </c>
      <c r="C17654" s="174" t="s">
        <v>7467</v>
      </c>
      <c r="D17654" s="228" t="s">
        <v>11707</v>
      </c>
      <c r="E17654" s="236">
        <v>500000</v>
      </c>
      <c r="F17654" s="236"/>
      <c r="G17654" s="236">
        <f t="shared" si="281"/>
        <v>-500000</v>
      </c>
      <c r="H17654" s="709" t="s">
        <v>11523</v>
      </c>
    </row>
    <row r="17655" spans="1:8" ht="24" x14ac:dyDescent="0.2">
      <c r="A17655" s="733">
        <v>45247</v>
      </c>
      <c r="B17655" s="174" t="s">
        <v>11635</v>
      </c>
      <c r="C17655" s="551" t="s">
        <v>10979</v>
      </c>
      <c r="D17655" s="740" t="s">
        <v>11796</v>
      </c>
      <c r="E17655" s="552">
        <v>53100</v>
      </c>
      <c r="F17655" s="236"/>
      <c r="G17655" s="236">
        <f t="shared" si="281"/>
        <v>-53100</v>
      </c>
      <c r="H17655" s="709" t="s">
        <v>11523</v>
      </c>
    </row>
    <row r="17656" spans="1:8" ht="19.5" customHeight="1" x14ac:dyDescent="0.2">
      <c r="A17656" s="733">
        <v>45247</v>
      </c>
      <c r="B17656" s="174" t="s">
        <v>10908</v>
      </c>
      <c r="C17656" s="551" t="s">
        <v>10979</v>
      </c>
      <c r="D17656" s="740" t="s">
        <v>11796</v>
      </c>
      <c r="E17656" s="552">
        <v>136508</v>
      </c>
      <c r="F17656" s="236"/>
      <c r="G17656" s="236">
        <f t="shared" si="281"/>
        <v>-136508</v>
      </c>
      <c r="H17656" s="709" t="s">
        <v>11523</v>
      </c>
    </row>
    <row r="17657" spans="1:8" ht="19.5" customHeight="1" x14ac:dyDescent="0.2">
      <c r="A17657" s="733">
        <v>45248</v>
      </c>
      <c r="B17657" s="174" t="s">
        <v>10232</v>
      </c>
      <c r="C17657" s="174" t="s">
        <v>11748</v>
      </c>
      <c r="D17657" s="228" t="s">
        <v>11749</v>
      </c>
      <c r="E17657" s="236">
        <v>495000</v>
      </c>
      <c r="F17657" s="236"/>
      <c r="G17657" s="236">
        <f t="shared" si="281"/>
        <v>-495000</v>
      </c>
      <c r="H17657" s="709" t="s">
        <v>11523</v>
      </c>
    </row>
    <row r="17658" spans="1:8" ht="19.5" customHeight="1" x14ac:dyDescent="0.2">
      <c r="A17658" s="733">
        <v>45248</v>
      </c>
      <c r="B17658" s="174" t="s">
        <v>10232</v>
      </c>
      <c r="C17658" s="174" t="s">
        <v>11748</v>
      </c>
      <c r="D17658" s="228" t="s">
        <v>11749</v>
      </c>
      <c r="E17658" s="236">
        <v>490000</v>
      </c>
      <c r="F17658" s="236"/>
      <c r="G17658" s="236">
        <f t="shared" si="281"/>
        <v>-490000</v>
      </c>
      <c r="H17658" s="709" t="s">
        <v>11523</v>
      </c>
    </row>
    <row r="17659" spans="1:8" ht="19.5" customHeight="1" x14ac:dyDescent="0.2">
      <c r="A17659" s="733">
        <v>45248</v>
      </c>
      <c r="B17659" s="174" t="s">
        <v>10232</v>
      </c>
      <c r="C17659" s="174" t="s">
        <v>1198</v>
      </c>
      <c r="D17659" s="228" t="s">
        <v>11749</v>
      </c>
      <c r="E17659" s="236">
        <v>500000</v>
      </c>
      <c r="F17659" s="236"/>
      <c r="G17659" s="236">
        <f t="shared" si="281"/>
        <v>-500000</v>
      </c>
      <c r="H17659" s="709" t="s">
        <v>11523</v>
      </c>
    </row>
    <row r="17660" spans="1:8" ht="19.5" customHeight="1" x14ac:dyDescent="0.2">
      <c r="A17660" s="733">
        <v>45248</v>
      </c>
      <c r="B17660" s="174" t="s">
        <v>11635</v>
      </c>
      <c r="C17660" s="174" t="s">
        <v>1198</v>
      </c>
      <c r="D17660" s="228" t="s">
        <v>11749</v>
      </c>
      <c r="E17660" s="236">
        <v>500000</v>
      </c>
      <c r="F17660" s="236"/>
      <c r="G17660" s="236">
        <f t="shared" si="281"/>
        <v>-500000</v>
      </c>
      <c r="H17660" s="709" t="s">
        <v>11523</v>
      </c>
    </row>
    <row r="17661" spans="1:8" ht="19.5" customHeight="1" x14ac:dyDescent="0.2">
      <c r="A17661" s="733">
        <v>45248</v>
      </c>
      <c r="B17661" s="174" t="s">
        <v>11897</v>
      </c>
      <c r="C17661" s="174" t="s">
        <v>1198</v>
      </c>
      <c r="D17661" s="228" t="s">
        <v>11749</v>
      </c>
      <c r="E17661" s="236">
        <v>500000</v>
      </c>
      <c r="F17661" s="236"/>
      <c r="G17661" s="236">
        <f t="shared" si="281"/>
        <v>-500000</v>
      </c>
      <c r="H17661" s="709" t="s">
        <v>11523</v>
      </c>
    </row>
    <row r="17662" spans="1:8" ht="19.5" customHeight="1" x14ac:dyDescent="0.2">
      <c r="A17662" s="733">
        <v>45248</v>
      </c>
      <c r="B17662" s="174" t="s">
        <v>11897</v>
      </c>
      <c r="C17662" s="174" t="s">
        <v>1198</v>
      </c>
      <c r="D17662" s="228" t="s">
        <v>12285</v>
      </c>
      <c r="E17662" s="236">
        <v>250000</v>
      </c>
      <c r="F17662" s="236"/>
      <c r="G17662" s="236">
        <f t="shared" si="281"/>
        <v>-250000</v>
      </c>
      <c r="H17662" s="709" t="s">
        <v>11523</v>
      </c>
    </row>
    <row r="17663" spans="1:8" ht="19.5" customHeight="1" x14ac:dyDescent="0.2">
      <c r="A17663" s="733">
        <v>45248</v>
      </c>
      <c r="B17663" s="174" t="s">
        <v>11617</v>
      </c>
      <c r="C17663" s="174" t="s">
        <v>1198</v>
      </c>
      <c r="D17663" s="228" t="s">
        <v>12285</v>
      </c>
      <c r="E17663" s="236">
        <v>250000</v>
      </c>
      <c r="F17663" s="236"/>
      <c r="G17663" s="236">
        <f t="shared" si="281"/>
        <v>-250000</v>
      </c>
      <c r="H17663" s="709" t="s">
        <v>11523</v>
      </c>
    </row>
    <row r="17664" spans="1:8" ht="19.5" customHeight="1" x14ac:dyDescent="0.2">
      <c r="A17664" s="733">
        <v>45248</v>
      </c>
      <c r="B17664" s="174" t="s">
        <v>10908</v>
      </c>
      <c r="C17664" s="174" t="s">
        <v>1198</v>
      </c>
      <c r="D17664" s="228" t="s">
        <v>11749</v>
      </c>
      <c r="E17664" s="236">
        <v>400000</v>
      </c>
      <c r="F17664" s="236"/>
      <c r="G17664" s="236">
        <f t="shared" si="281"/>
        <v>-400000</v>
      </c>
      <c r="H17664" s="709" t="s">
        <v>11523</v>
      </c>
    </row>
    <row r="17665" spans="1:8" ht="19.5" customHeight="1" x14ac:dyDescent="0.2">
      <c r="A17665" s="733">
        <v>45248</v>
      </c>
      <c r="B17665" s="174" t="s">
        <v>10232</v>
      </c>
      <c r="C17665" s="174" t="s">
        <v>1198</v>
      </c>
      <c r="D17665" s="228" t="s">
        <v>11749</v>
      </c>
      <c r="E17665" s="236">
        <v>300000</v>
      </c>
      <c r="F17665" s="236"/>
      <c r="G17665" s="236">
        <f t="shared" si="281"/>
        <v>-300000</v>
      </c>
      <c r="H17665" s="709" t="s">
        <v>11523</v>
      </c>
    </row>
    <row r="17666" spans="1:8" ht="19.5" customHeight="1" x14ac:dyDescent="0.2">
      <c r="A17666" s="733">
        <v>45248</v>
      </c>
      <c r="B17666" s="174" t="s">
        <v>9986</v>
      </c>
      <c r="C17666" s="174" t="s">
        <v>1198</v>
      </c>
      <c r="D17666" s="228" t="s">
        <v>11749</v>
      </c>
      <c r="E17666" s="236">
        <v>300000</v>
      </c>
      <c r="F17666" s="236"/>
      <c r="G17666" s="236">
        <f t="shared" si="281"/>
        <v>-300000</v>
      </c>
      <c r="H17666" s="709" t="s">
        <v>11523</v>
      </c>
    </row>
    <row r="17667" spans="1:8" ht="51.75" customHeight="1" x14ac:dyDescent="0.2">
      <c r="A17667" s="733">
        <v>45248</v>
      </c>
      <c r="B17667" s="174" t="s">
        <v>11635</v>
      </c>
      <c r="C17667" s="174" t="s">
        <v>11776</v>
      </c>
      <c r="D17667" s="228" t="s">
        <v>11777</v>
      </c>
      <c r="E17667" s="236">
        <v>200000</v>
      </c>
      <c r="F17667" s="236"/>
      <c r="G17667" s="236">
        <f t="shared" si="281"/>
        <v>-200000</v>
      </c>
      <c r="H17667" s="709" t="s">
        <v>11523</v>
      </c>
    </row>
    <row r="17668" spans="1:8" ht="19.5" customHeight="1" x14ac:dyDescent="0.2">
      <c r="A17668" s="733">
        <v>45251</v>
      </c>
      <c r="B17668" s="174" t="s">
        <v>10151</v>
      </c>
      <c r="C17668" s="174" t="s">
        <v>9750</v>
      </c>
      <c r="D17668" s="228" t="s">
        <v>11750</v>
      </c>
      <c r="E17668" s="236">
        <v>107000</v>
      </c>
      <c r="F17668" s="236"/>
      <c r="G17668" s="236">
        <f t="shared" si="281"/>
        <v>-107000</v>
      </c>
      <c r="H17668" s="709" t="s">
        <v>11523</v>
      </c>
    </row>
    <row r="17669" spans="1:8" ht="19.5" customHeight="1" x14ac:dyDescent="0.2">
      <c r="A17669" s="733">
        <v>45251</v>
      </c>
      <c r="B17669" s="174" t="s">
        <v>11089</v>
      </c>
      <c r="C17669" s="551" t="s">
        <v>6784</v>
      </c>
      <c r="D17669" s="740" t="s">
        <v>11970</v>
      </c>
      <c r="E17669" s="552">
        <v>70000</v>
      </c>
      <c r="F17669" s="236"/>
      <c r="G17669" s="236">
        <f t="shared" ref="G17669:G17732" si="282">F17669-E17669</f>
        <v>-70000</v>
      </c>
      <c r="H17669" s="709" t="s">
        <v>11523</v>
      </c>
    </row>
    <row r="17670" spans="1:8" ht="19.5" customHeight="1" x14ac:dyDescent="0.2">
      <c r="A17670" s="733">
        <v>45251</v>
      </c>
      <c r="B17670" s="174" t="s">
        <v>10232</v>
      </c>
      <c r="C17670" s="551" t="s">
        <v>6784</v>
      </c>
      <c r="D17670" s="740" t="s">
        <v>11970</v>
      </c>
      <c r="E17670" s="552">
        <v>133000</v>
      </c>
      <c r="F17670" s="236"/>
      <c r="G17670" s="236">
        <f t="shared" si="282"/>
        <v>-133000</v>
      </c>
      <c r="H17670" s="709" t="s">
        <v>11523</v>
      </c>
    </row>
    <row r="17671" spans="1:8" ht="19.5" customHeight="1" x14ac:dyDescent="0.2">
      <c r="A17671" s="733">
        <v>45251</v>
      </c>
      <c r="B17671" s="174" t="s">
        <v>10232</v>
      </c>
      <c r="C17671" s="174" t="s">
        <v>6784</v>
      </c>
      <c r="D17671" s="228" t="s">
        <v>11971</v>
      </c>
      <c r="E17671" s="236">
        <v>150000</v>
      </c>
      <c r="F17671" s="236"/>
      <c r="G17671" s="236">
        <f t="shared" si="282"/>
        <v>-150000</v>
      </c>
      <c r="H17671" s="709" t="s">
        <v>11523</v>
      </c>
    </row>
    <row r="17672" spans="1:8" ht="19.5" customHeight="1" x14ac:dyDescent="0.2">
      <c r="A17672" s="733">
        <v>45254</v>
      </c>
      <c r="B17672" s="174" t="s">
        <v>3946</v>
      </c>
      <c r="C17672" s="174" t="s">
        <v>11799</v>
      </c>
      <c r="D17672" s="228" t="s">
        <v>11798</v>
      </c>
      <c r="E17672" s="236">
        <v>120000</v>
      </c>
      <c r="F17672" s="236"/>
      <c r="G17672" s="236">
        <f t="shared" si="282"/>
        <v>-120000</v>
      </c>
      <c r="H17672" s="709" t="s">
        <v>11523</v>
      </c>
    </row>
    <row r="17673" spans="1:8" ht="19.5" customHeight="1" x14ac:dyDescent="0.2">
      <c r="A17673" s="733">
        <v>45255</v>
      </c>
      <c r="B17673" s="174" t="s">
        <v>11635</v>
      </c>
      <c r="C17673" s="174" t="s">
        <v>7467</v>
      </c>
      <c r="D17673" s="228" t="s">
        <v>11800</v>
      </c>
      <c r="E17673" s="236">
        <v>850000</v>
      </c>
      <c r="F17673" s="236"/>
      <c r="G17673" s="236">
        <f t="shared" si="282"/>
        <v>-850000</v>
      </c>
      <c r="H17673" s="709" t="s">
        <v>11523</v>
      </c>
    </row>
    <row r="17674" spans="1:8" ht="19.5" customHeight="1" x14ac:dyDescent="0.2">
      <c r="A17674" s="733">
        <v>45258</v>
      </c>
      <c r="B17674" s="174" t="s">
        <v>10232</v>
      </c>
      <c r="C17674" s="174" t="s">
        <v>11468</v>
      </c>
      <c r="D17674" s="228" t="s">
        <v>11809</v>
      </c>
      <c r="E17674" s="236">
        <v>130000</v>
      </c>
      <c r="F17674" s="236"/>
      <c r="G17674" s="236">
        <f t="shared" si="282"/>
        <v>-130000</v>
      </c>
      <c r="H17674" s="709" t="s">
        <v>11523</v>
      </c>
    </row>
    <row r="17675" spans="1:8" ht="19.5" customHeight="1" x14ac:dyDescent="0.2">
      <c r="A17675" s="733">
        <v>45258</v>
      </c>
      <c r="B17675" s="174" t="s">
        <v>11307</v>
      </c>
      <c r="C17675" s="174" t="s">
        <v>10063</v>
      </c>
      <c r="D17675" s="228" t="s">
        <v>11810</v>
      </c>
      <c r="E17675" s="236">
        <v>40000</v>
      </c>
      <c r="F17675" s="236"/>
      <c r="G17675" s="236">
        <f t="shared" si="282"/>
        <v>-40000</v>
      </c>
      <c r="H17675" s="709" t="s">
        <v>11523</v>
      </c>
    </row>
    <row r="17676" spans="1:8" ht="19.5" customHeight="1" x14ac:dyDescent="0.2">
      <c r="A17676" s="733">
        <v>45258</v>
      </c>
      <c r="B17676" s="174" t="s">
        <v>25</v>
      </c>
      <c r="C17676" s="551" t="s">
        <v>8150</v>
      </c>
      <c r="D17676" s="740" t="s">
        <v>11811</v>
      </c>
      <c r="E17676" s="552">
        <v>58438</v>
      </c>
      <c r="F17676" s="236"/>
      <c r="G17676" s="236">
        <f t="shared" si="282"/>
        <v>-58438</v>
      </c>
      <c r="H17676" s="709" t="s">
        <v>11523</v>
      </c>
    </row>
    <row r="17677" spans="1:8" ht="19.5" customHeight="1" x14ac:dyDescent="0.2">
      <c r="A17677" s="733">
        <v>45258</v>
      </c>
      <c r="B17677" s="174" t="s">
        <v>103</v>
      </c>
      <c r="C17677" s="551" t="s">
        <v>8150</v>
      </c>
      <c r="D17677" s="740" t="s">
        <v>11811</v>
      </c>
      <c r="E17677" s="552">
        <v>39665</v>
      </c>
      <c r="F17677" s="236"/>
      <c r="G17677" s="236">
        <f t="shared" si="282"/>
        <v>-39665</v>
      </c>
      <c r="H17677" s="709" t="s">
        <v>11523</v>
      </c>
    </row>
    <row r="17678" spans="1:8" ht="19.5" customHeight="1" x14ac:dyDescent="0.2">
      <c r="A17678" s="733">
        <v>45258</v>
      </c>
      <c r="B17678" s="174" t="s">
        <v>11635</v>
      </c>
      <c r="C17678" s="174" t="s">
        <v>1198</v>
      </c>
      <c r="D17678" s="228" t="s">
        <v>11812</v>
      </c>
      <c r="E17678" s="236">
        <v>500000</v>
      </c>
      <c r="F17678" s="236"/>
      <c r="G17678" s="236">
        <f t="shared" si="282"/>
        <v>-500000</v>
      </c>
      <c r="H17678" s="709" t="s">
        <v>11523</v>
      </c>
    </row>
    <row r="17679" spans="1:8" ht="19.5" customHeight="1" x14ac:dyDescent="0.2">
      <c r="A17679" s="733">
        <v>45258</v>
      </c>
      <c r="B17679" s="174" t="s">
        <v>11635</v>
      </c>
      <c r="C17679" s="174" t="s">
        <v>1198</v>
      </c>
      <c r="D17679" s="228" t="s">
        <v>11812</v>
      </c>
      <c r="E17679" s="236">
        <v>500000</v>
      </c>
      <c r="F17679" s="236"/>
      <c r="G17679" s="236">
        <f t="shared" si="282"/>
        <v>-500000</v>
      </c>
      <c r="H17679" s="709" t="s">
        <v>11523</v>
      </c>
    </row>
    <row r="17680" spans="1:8" ht="19.5" customHeight="1" x14ac:dyDescent="0.2">
      <c r="A17680" s="733">
        <v>45258</v>
      </c>
      <c r="B17680" s="174" t="s">
        <v>11635</v>
      </c>
      <c r="C17680" s="174" t="s">
        <v>1198</v>
      </c>
      <c r="D17680" s="228" t="s">
        <v>11812</v>
      </c>
      <c r="E17680" s="236">
        <v>500000</v>
      </c>
      <c r="F17680" s="236"/>
      <c r="G17680" s="236">
        <f t="shared" si="282"/>
        <v>-500000</v>
      </c>
      <c r="H17680" s="709" t="s">
        <v>11523</v>
      </c>
    </row>
    <row r="17681" spans="1:8" ht="19.5" customHeight="1" x14ac:dyDescent="0.2">
      <c r="A17681" s="733">
        <v>45258</v>
      </c>
      <c r="B17681" s="174" t="s">
        <v>11635</v>
      </c>
      <c r="C17681" s="174" t="s">
        <v>1198</v>
      </c>
      <c r="D17681" s="228" t="s">
        <v>11812</v>
      </c>
      <c r="E17681" s="236">
        <v>500000</v>
      </c>
      <c r="F17681" s="236"/>
      <c r="G17681" s="236">
        <f t="shared" si="282"/>
        <v>-500000</v>
      </c>
      <c r="H17681" s="709" t="s">
        <v>11523</v>
      </c>
    </row>
    <row r="17682" spans="1:8" ht="15" x14ac:dyDescent="0.2">
      <c r="A17682" s="730">
        <v>45231</v>
      </c>
      <c r="B17682" s="91" t="s">
        <v>9769</v>
      </c>
      <c r="C17682" s="94" t="s">
        <v>559</v>
      </c>
      <c r="D17682" s="892" t="s">
        <v>11522</v>
      </c>
      <c r="E17682" s="92"/>
      <c r="F17682" s="92">
        <v>2000000</v>
      </c>
      <c r="G17682" s="176">
        <f t="shared" si="282"/>
        <v>2000000</v>
      </c>
      <c r="H17682" s="702" t="s">
        <v>11523</v>
      </c>
    </row>
    <row r="17683" spans="1:8" ht="15" x14ac:dyDescent="0.2">
      <c r="A17683" s="730">
        <v>45238</v>
      </c>
      <c r="B17683" s="91" t="s">
        <v>37</v>
      </c>
      <c r="C17683" s="94" t="s">
        <v>559</v>
      </c>
      <c r="D17683" s="892" t="s">
        <v>11593</v>
      </c>
      <c r="E17683" s="92"/>
      <c r="F17683" s="92">
        <v>186430</v>
      </c>
      <c r="G17683" s="176">
        <f t="shared" si="282"/>
        <v>186430</v>
      </c>
      <c r="H17683" s="702" t="s">
        <v>11523</v>
      </c>
    </row>
    <row r="17684" spans="1:8" ht="15" x14ac:dyDescent="0.2">
      <c r="A17684" s="730">
        <v>45238</v>
      </c>
      <c r="B17684" s="91" t="s">
        <v>37</v>
      </c>
      <c r="C17684" s="94" t="s">
        <v>559</v>
      </c>
      <c r="D17684" s="892" t="s">
        <v>11594</v>
      </c>
      <c r="E17684" s="92"/>
      <c r="F17684" s="92">
        <v>186430</v>
      </c>
      <c r="G17684" s="176">
        <f t="shared" si="282"/>
        <v>186430</v>
      </c>
      <c r="H17684" s="702" t="s">
        <v>11523</v>
      </c>
    </row>
    <row r="17685" spans="1:8" ht="15" x14ac:dyDescent="0.2">
      <c r="A17685" s="730">
        <v>45238</v>
      </c>
      <c r="B17685" s="91" t="s">
        <v>37</v>
      </c>
      <c r="C17685" s="94" t="s">
        <v>559</v>
      </c>
      <c r="D17685" s="892" t="s">
        <v>11595</v>
      </c>
      <c r="E17685" s="92"/>
      <c r="F17685" s="92">
        <v>186430</v>
      </c>
      <c r="G17685" s="176">
        <f t="shared" si="282"/>
        <v>186430</v>
      </c>
      <c r="H17685" s="702" t="s">
        <v>11523</v>
      </c>
    </row>
    <row r="17686" spans="1:8" ht="15" x14ac:dyDescent="0.2">
      <c r="A17686" s="730">
        <v>45241</v>
      </c>
      <c r="B17686" s="91" t="s">
        <v>3946</v>
      </c>
      <c r="C17686" s="94" t="s">
        <v>559</v>
      </c>
      <c r="D17686" s="892" t="s">
        <v>11619</v>
      </c>
      <c r="E17686" s="92"/>
      <c r="F17686" s="92">
        <v>359992</v>
      </c>
      <c r="G17686" s="176">
        <f t="shared" si="282"/>
        <v>359992</v>
      </c>
      <c r="H17686" s="702" t="s">
        <v>11523</v>
      </c>
    </row>
    <row r="17687" spans="1:8" ht="15" x14ac:dyDescent="0.2">
      <c r="A17687" s="730">
        <v>45241</v>
      </c>
      <c r="B17687" s="91" t="s">
        <v>10908</v>
      </c>
      <c r="C17687" s="94" t="s">
        <v>559</v>
      </c>
      <c r="D17687" s="892" t="s">
        <v>11797</v>
      </c>
      <c r="E17687" s="92"/>
      <c r="F17687" s="92">
        <v>50000</v>
      </c>
      <c r="G17687" s="176">
        <f t="shared" si="282"/>
        <v>50000</v>
      </c>
      <c r="H17687" s="702" t="s">
        <v>11523</v>
      </c>
    </row>
    <row r="17688" spans="1:8" ht="15" x14ac:dyDescent="0.2">
      <c r="A17688" s="730">
        <v>45245</v>
      </c>
      <c r="B17688" s="91" t="s">
        <v>11617</v>
      </c>
      <c r="C17688" s="94" t="s">
        <v>559</v>
      </c>
      <c r="D17688" s="892" t="s">
        <v>11684</v>
      </c>
      <c r="E17688" s="92"/>
      <c r="F17688" s="92">
        <v>1600000</v>
      </c>
      <c r="G17688" s="176">
        <f t="shared" si="282"/>
        <v>1600000</v>
      </c>
      <c r="H17688" s="702" t="s">
        <v>11523</v>
      </c>
    </row>
    <row r="17689" spans="1:8" ht="15" x14ac:dyDescent="0.2">
      <c r="A17689" s="730">
        <v>45245</v>
      </c>
      <c r="B17689" s="91" t="s">
        <v>11617</v>
      </c>
      <c r="C17689" s="1105" t="s">
        <v>559</v>
      </c>
      <c r="D17689" s="1106" t="s">
        <v>12042</v>
      </c>
      <c r="E17689" s="487">
        <v>8000</v>
      </c>
      <c r="F17689" s="92"/>
      <c r="G17689" s="176">
        <f t="shared" si="282"/>
        <v>-8000</v>
      </c>
      <c r="H17689" s="702" t="s">
        <v>11523</v>
      </c>
    </row>
    <row r="17690" spans="1:8" ht="15" x14ac:dyDescent="0.2">
      <c r="A17690" s="730">
        <v>45247</v>
      </c>
      <c r="B17690" s="91" t="s">
        <v>9356</v>
      </c>
      <c r="C17690" s="94" t="s">
        <v>559</v>
      </c>
      <c r="D17690" s="892" t="s">
        <v>11702</v>
      </c>
      <c r="E17690" s="92"/>
      <c r="F17690" s="92">
        <v>189608</v>
      </c>
      <c r="G17690" s="176">
        <f t="shared" si="282"/>
        <v>189608</v>
      </c>
      <c r="H17690" s="702" t="s">
        <v>11523</v>
      </c>
    </row>
    <row r="17691" spans="1:8" s="682" customFormat="1" ht="48" customHeight="1" x14ac:dyDescent="0.25">
      <c r="A17691" s="730">
        <v>45253</v>
      </c>
      <c r="B17691" s="94" t="s">
        <v>10151</v>
      </c>
      <c r="C17691" s="94" t="s">
        <v>559</v>
      </c>
      <c r="D17691" s="802" t="s">
        <v>11819</v>
      </c>
      <c r="E17691" s="176"/>
      <c r="F17691" s="176">
        <v>2500000</v>
      </c>
      <c r="G17691" s="176">
        <f t="shared" si="282"/>
        <v>2500000</v>
      </c>
      <c r="H17691" s="702" t="s">
        <v>11523</v>
      </c>
    </row>
    <row r="17692" spans="1:8" ht="15" x14ac:dyDescent="0.2">
      <c r="A17692" s="730">
        <v>45253</v>
      </c>
      <c r="B17692" s="91" t="s">
        <v>10151</v>
      </c>
      <c r="C17692" s="94" t="s">
        <v>559</v>
      </c>
      <c r="D17692" s="892" t="s">
        <v>11794</v>
      </c>
      <c r="E17692" s="92"/>
      <c r="F17692" s="92">
        <v>1204349</v>
      </c>
      <c r="G17692" s="176">
        <f t="shared" si="282"/>
        <v>1204349</v>
      </c>
      <c r="H17692" s="702" t="s">
        <v>11523</v>
      </c>
    </row>
    <row r="17693" spans="1:8" ht="15" x14ac:dyDescent="0.2">
      <c r="A17693" s="730">
        <v>45253</v>
      </c>
      <c r="B17693" s="91" t="s">
        <v>10151</v>
      </c>
      <c r="C17693" s="94" t="s">
        <v>559</v>
      </c>
      <c r="D17693" s="892" t="s">
        <v>11794</v>
      </c>
      <c r="E17693" s="92"/>
      <c r="F17693" s="92">
        <v>1000000</v>
      </c>
      <c r="G17693" s="92">
        <f t="shared" si="282"/>
        <v>1000000</v>
      </c>
      <c r="H17693" s="702" t="s">
        <v>11523</v>
      </c>
    </row>
    <row r="17694" spans="1:8" ht="15" x14ac:dyDescent="0.2">
      <c r="A17694" s="730">
        <v>45253</v>
      </c>
      <c r="B17694" s="91" t="s">
        <v>10151</v>
      </c>
      <c r="C17694" s="94" t="s">
        <v>559</v>
      </c>
      <c r="D17694" s="892" t="s">
        <v>11794</v>
      </c>
      <c r="E17694" s="92"/>
      <c r="F17694" s="92">
        <v>1000000</v>
      </c>
      <c r="G17694" s="92">
        <f t="shared" si="282"/>
        <v>1000000</v>
      </c>
      <c r="H17694" s="702" t="s">
        <v>11523</v>
      </c>
    </row>
    <row r="17695" spans="1:8" ht="15" x14ac:dyDescent="0.2">
      <c r="A17695" s="730">
        <v>45253</v>
      </c>
      <c r="B17695" s="91" t="s">
        <v>10151</v>
      </c>
      <c r="C17695" s="94" t="s">
        <v>559</v>
      </c>
      <c r="D17695" s="892" t="s">
        <v>11794</v>
      </c>
      <c r="E17695" s="92"/>
      <c r="F17695" s="92">
        <v>1000000</v>
      </c>
      <c r="G17695" s="92">
        <f t="shared" si="282"/>
        <v>1000000</v>
      </c>
      <c r="H17695" s="702" t="s">
        <v>11523</v>
      </c>
    </row>
    <row r="17696" spans="1:8" ht="15" x14ac:dyDescent="0.2">
      <c r="A17696" s="730">
        <v>45253</v>
      </c>
      <c r="B17696" s="91" t="s">
        <v>10151</v>
      </c>
      <c r="C17696" s="94" t="s">
        <v>559</v>
      </c>
      <c r="D17696" s="892" t="s">
        <v>11794</v>
      </c>
      <c r="E17696" s="92"/>
      <c r="F17696" s="92">
        <v>1000000</v>
      </c>
      <c r="G17696" s="92">
        <f t="shared" si="282"/>
        <v>1000000</v>
      </c>
      <c r="H17696" s="702" t="s">
        <v>11523</v>
      </c>
    </row>
    <row r="17697" spans="1:8" ht="15" x14ac:dyDescent="0.2">
      <c r="A17697" s="730">
        <v>45253</v>
      </c>
      <c r="B17697" s="91" t="s">
        <v>10151</v>
      </c>
      <c r="C17697" s="1105" t="s">
        <v>559</v>
      </c>
      <c r="D17697" s="1106" t="s">
        <v>12040</v>
      </c>
      <c r="E17697" s="487">
        <v>52043</v>
      </c>
      <c r="F17697" s="92"/>
      <c r="G17697" s="92">
        <f t="shared" si="282"/>
        <v>-52043</v>
      </c>
      <c r="H17697" s="702" t="s">
        <v>11523</v>
      </c>
    </row>
    <row r="17698" spans="1:8" ht="15" x14ac:dyDescent="0.2">
      <c r="A17698" s="730">
        <v>45254</v>
      </c>
      <c r="B17698" s="91" t="s">
        <v>10908</v>
      </c>
      <c r="C17698" s="94" t="s">
        <v>559</v>
      </c>
      <c r="D17698" s="801" t="s">
        <v>11820</v>
      </c>
      <c r="E17698" s="92"/>
      <c r="F17698" s="92">
        <v>850000</v>
      </c>
      <c r="G17698" s="92">
        <f t="shared" si="282"/>
        <v>850000</v>
      </c>
      <c r="H17698" s="702" t="s">
        <v>11523</v>
      </c>
    </row>
    <row r="17699" spans="1:8" ht="15" x14ac:dyDescent="0.2">
      <c r="A17699" s="730">
        <v>45254</v>
      </c>
      <c r="B17699" s="91" t="s">
        <v>10908</v>
      </c>
      <c r="C17699" s="94" t="s">
        <v>559</v>
      </c>
      <c r="D17699" s="801" t="s">
        <v>11821</v>
      </c>
      <c r="E17699" s="92"/>
      <c r="F17699" s="92">
        <v>850000</v>
      </c>
      <c r="G17699" s="92">
        <f t="shared" si="282"/>
        <v>850000</v>
      </c>
      <c r="H17699" s="702" t="s">
        <v>11523</v>
      </c>
    </row>
    <row r="17700" spans="1:8" ht="15" x14ac:dyDescent="0.2">
      <c r="A17700" s="730">
        <v>45254</v>
      </c>
      <c r="B17700" s="91" t="s">
        <v>10908</v>
      </c>
      <c r="C17700" s="94" t="s">
        <v>559</v>
      </c>
      <c r="D17700" s="801" t="s">
        <v>11821</v>
      </c>
      <c r="E17700" s="92"/>
      <c r="F17700" s="92">
        <v>840000</v>
      </c>
      <c r="G17700" s="92">
        <f t="shared" si="282"/>
        <v>840000</v>
      </c>
      <c r="H17700" s="702" t="s">
        <v>11523</v>
      </c>
    </row>
    <row r="17701" spans="1:8" ht="15" x14ac:dyDescent="0.2">
      <c r="A17701" s="730">
        <v>45254</v>
      </c>
      <c r="B17701" s="91" t="s">
        <v>10908</v>
      </c>
      <c r="C17701" s="94" t="s">
        <v>559</v>
      </c>
      <c r="D17701" s="801" t="s">
        <v>11821</v>
      </c>
      <c r="E17701" s="92"/>
      <c r="F17701" s="92">
        <v>830000</v>
      </c>
      <c r="G17701" s="92">
        <f t="shared" si="282"/>
        <v>830000</v>
      </c>
      <c r="H17701" s="702" t="s">
        <v>11523</v>
      </c>
    </row>
    <row r="17702" spans="1:8" ht="15" x14ac:dyDescent="0.2">
      <c r="A17702" s="730">
        <v>45254</v>
      </c>
      <c r="B17702" s="91" t="s">
        <v>10908</v>
      </c>
      <c r="C17702" s="94" t="s">
        <v>559</v>
      </c>
      <c r="D17702" s="801" t="s">
        <v>11821</v>
      </c>
      <c r="E17702" s="92"/>
      <c r="F17702" s="92">
        <v>830000</v>
      </c>
      <c r="G17702" s="92">
        <f t="shared" si="282"/>
        <v>830000</v>
      </c>
      <c r="H17702" s="702" t="s">
        <v>11523</v>
      </c>
    </row>
    <row r="17703" spans="1:8" ht="15" x14ac:dyDescent="0.2">
      <c r="A17703" s="730">
        <v>45254</v>
      </c>
      <c r="B17703" s="91" t="s">
        <v>10908</v>
      </c>
      <c r="C17703" s="94" t="s">
        <v>559</v>
      </c>
      <c r="D17703" s="801" t="s">
        <v>11821</v>
      </c>
      <c r="E17703" s="92"/>
      <c r="F17703" s="92">
        <v>800000</v>
      </c>
      <c r="G17703" s="92">
        <f t="shared" si="282"/>
        <v>800000</v>
      </c>
      <c r="H17703" s="702" t="s">
        <v>11523</v>
      </c>
    </row>
    <row r="17704" spans="1:8" ht="15" x14ac:dyDescent="0.2">
      <c r="A17704" s="730">
        <v>45254</v>
      </c>
      <c r="B17704" s="94" t="s">
        <v>10908</v>
      </c>
      <c r="C17704" s="94" t="s">
        <v>559</v>
      </c>
      <c r="D17704" s="892" t="s">
        <v>11795</v>
      </c>
      <c r="E17704" s="176"/>
      <c r="F17704" s="176">
        <v>28200</v>
      </c>
      <c r="G17704" s="176">
        <f t="shared" si="282"/>
        <v>28200</v>
      </c>
      <c r="H17704" s="702" t="s">
        <v>11523</v>
      </c>
    </row>
    <row r="17705" spans="1:8" ht="15" x14ac:dyDescent="0.2">
      <c r="A17705" s="730">
        <v>45260</v>
      </c>
      <c r="B17705" s="94" t="s">
        <v>3945</v>
      </c>
      <c r="C17705" s="94" t="s">
        <v>559</v>
      </c>
      <c r="D17705" s="892" t="s">
        <v>11822</v>
      </c>
      <c r="E17705" s="176"/>
      <c r="F17705" s="176">
        <v>333522</v>
      </c>
      <c r="G17705" s="176">
        <f t="shared" si="282"/>
        <v>333522</v>
      </c>
      <c r="H17705" s="702" t="s">
        <v>11523</v>
      </c>
    </row>
    <row r="17706" spans="1:8" ht="15" x14ac:dyDescent="0.2">
      <c r="A17706" s="734">
        <v>45261</v>
      </c>
      <c r="B17706" s="41" t="s">
        <v>10471</v>
      </c>
      <c r="C17706" s="63" t="s">
        <v>9460</v>
      </c>
      <c r="D17706" s="791" t="s">
        <v>1157</v>
      </c>
      <c r="E17706" s="58">
        <v>20000</v>
      </c>
      <c r="F17706" s="58"/>
      <c r="G17706" s="126">
        <f t="shared" si="282"/>
        <v>-20000</v>
      </c>
      <c r="H17706" s="705" t="s">
        <v>11835</v>
      </c>
    </row>
    <row r="17707" spans="1:8" ht="15" x14ac:dyDescent="0.2">
      <c r="A17707" s="734">
        <v>45261</v>
      </c>
      <c r="B17707" s="41" t="s">
        <v>11635</v>
      </c>
      <c r="C17707" s="63" t="s">
        <v>3446</v>
      </c>
      <c r="D17707" s="791" t="s">
        <v>11473</v>
      </c>
      <c r="E17707" s="58">
        <v>80000</v>
      </c>
      <c r="F17707" s="58"/>
      <c r="G17707" s="126">
        <f t="shared" si="282"/>
        <v>-80000</v>
      </c>
      <c r="H17707" s="705" t="s">
        <v>11835</v>
      </c>
    </row>
    <row r="17708" spans="1:8" ht="15" x14ac:dyDescent="0.2">
      <c r="A17708" s="734">
        <v>45261</v>
      </c>
      <c r="B17708" s="41" t="s">
        <v>11635</v>
      </c>
      <c r="C17708" s="63" t="s">
        <v>5387</v>
      </c>
      <c r="D17708" s="791" t="s">
        <v>370</v>
      </c>
      <c r="E17708" s="58">
        <v>6000</v>
      </c>
      <c r="F17708" s="58"/>
      <c r="G17708" s="126">
        <f t="shared" si="282"/>
        <v>-6000</v>
      </c>
      <c r="H17708" s="705" t="s">
        <v>11835</v>
      </c>
    </row>
    <row r="17709" spans="1:8" ht="15" x14ac:dyDescent="0.2">
      <c r="A17709" s="734">
        <v>45261</v>
      </c>
      <c r="B17709" s="41" t="s">
        <v>103</v>
      </c>
      <c r="C17709" s="63" t="s">
        <v>392</v>
      </c>
      <c r="D17709" s="791" t="s">
        <v>11834</v>
      </c>
      <c r="E17709" s="58">
        <v>450</v>
      </c>
      <c r="F17709" s="58"/>
      <c r="G17709" s="126">
        <f t="shared" si="282"/>
        <v>-450</v>
      </c>
      <c r="H17709" s="705" t="s">
        <v>11835</v>
      </c>
    </row>
    <row r="17710" spans="1:8" ht="15" x14ac:dyDescent="0.2">
      <c r="A17710" s="734">
        <v>45261</v>
      </c>
      <c r="B17710" s="41" t="s">
        <v>11623</v>
      </c>
      <c r="C17710" s="63" t="s">
        <v>286</v>
      </c>
      <c r="D17710" s="791" t="s">
        <v>8663</v>
      </c>
      <c r="E17710" s="58">
        <v>1450</v>
      </c>
      <c r="F17710" s="58"/>
      <c r="G17710" s="126">
        <f t="shared" si="282"/>
        <v>-1450</v>
      </c>
      <c r="H17710" s="705" t="s">
        <v>11835</v>
      </c>
    </row>
    <row r="17711" spans="1:8" ht="15" x14ac:dyDescent="0.2">
      <c r="A17711" s="734">
        <v>45261</v>
      </c>
      <c r="B17711" s="41" t="s">
        <v>11135</v>
      </c>
      <c r="C17711" s="63" t="s">
        <v>11690</v>
      </c>
      <c r="D17711" s="791" t="s">
        <v>8196</v>
      </c>
      <c r="E17711" s="58">
        <v>25000</v>
      </c>
      <c r="F17711" s="58"/>
      <c r="G17711" s="126">
        <f t="shared" si="282"/>
        <v>-25000</v>
      </c>
      <c r="H17711" s="705" t="s">
        <v>11835</v>
      </c>
    </row>
    <row r="17712" spans="1:8" ht="15" x14ac:dyDescent="0.2">
      <c r="A17712" s="734">
        <v>45261</v>
      </c>
      <c r="B17712" s="41" t="s">
        <v>11446</v>
      </c>
      <c r="C17712" s="63" t="s">
        <v>11560</v>
      </c>
      <c r="D17712" s="791" t="s">
        <v>11778</v>
      </c>
      <c r="E17712" s="58">
        <v>50000</v>
      </c>
      <c r="F17712" s="58"/>
      <c r="G17712" s="126">
        <f t="shared" si="282"/>
        <v>-50000</v>
      </c>
      <c r="H17712" s="705" t="s">
        <v>11835</v>
      </c>
    </row>
    <row r="17713" spans="1:8" ht="15" x14ac:dyDescent="0.2">
      <c r="A17713" s="734">
        <v>45261</v>
      </c>
      <c r="B17713" s="41" t="s">
        <v>11617</v>
      </c>
      <c r="C17713" s="63" t="s">
        <v>11099</v>
      </c>
      <c r="D17713" s="791" t="s">
        <v>11868</v>
      </c>
      <c r="E17713" s="58">
        <v>50000</v>
      </c>
      <c r="F17713" s="58"/>
      <c r="G17713" s="126">
        <f t="shared" si="282"/>
        <v>-50000</v>
      </c>
      <c r="H17713" s="705" t="s">
        <v>11835</v>
      </c>
    </row>
    <row r="17714" spans="1:8" ht="15" x14ac:dyDescent="0.2">
      <c r="A17714" s="734">
        <v>45261</v>
      </c>
      <c r="B17714" s="41" t="s">
        <v>10151</v>
      </c>
      <c r="C17714" s="63" t="s">
        <v>12016</v>
      </c>
      <c r="D17714" s="791" t="s">
        <v>11868</v>
      </c>
      <c r="E17714" s="58">
        <v>50000</v>
      </c>
      <c r="F17714" s="58"/>
      <c r="G17714" s="126">
        <f t="shared" si="282"/>
        <v>-50000</v>
      </c>
      <c r="H17714" s="705" t="s">
        <v>11835</v>
      </c>
    </row>
    <row r="17715" spans="1:8" ht="15" x14ac:dyDescent="0.2">
      <c r="A17715" s="734">
        <v>45261</v>
      </c>
      <c r="B17715" s="41" t="s">
        <v>11623</v>
      </c>
      <c r="C17715" s="63" t="s">
        <v>5741</v>
      </c>
      <c r="D17715" s="791" t="s">
        <v>370</v>
      </c>
      <c r="E17715" s="58">
        <v>5000</v>
      </c>
      <c r="F17715" s="58"/>
      <c r="G17715" s="126">
        <f t="shared" si="282"/>
        <v>-5000</v>
      </c>
      <c r="H17715" s="705" t="s">
        <v>11835</v>
      </c>
    </row>
    <row r="17716" spans="1:8" ht="15" x14ac:dyDescent="0.2">
      <c r="A17716" s="734">
        <v>45261</v>
      </c>
      <c r="B17716" s="63" t="s">
        <v>11511</v>
      </c>
      <c r="C17716" s="63" t="s">
        <v>10993</v>
      </c>
      <c r="D17716" s="791" t="s">
        <v>11836</v>
      </c>
      <c r="E17716" s="126">
        <v>18700</v>
      </c>
      <c r="F17716" s="126"/>
      <c r="G17716" s="126">
        <f t="shared" si="282"/>
        <v>-18700</v>
      </c>
      <c r="H17716" s="705" t="s">
        <v>11835</v>
      </c>
    </row>
    <row r="17717" spans="1:8" ht="15" x14ac:dyDescent="0.2">
      <c r="A17717" s="734">
        <v>45262</v>
      </c>
      <c r="B17717" s="63" t="s">
        <v>25</v>
      </c>
      <c r="C17717" s="63" t="s">
        <v>2428</v>
      </c>
      <c r="D17717" s="791" t="s">
        <v>2108</v>
      </c>
      <c r="E17717" s="126">
        <v>4500</v>
      </c>
      <c r="F17717" s="126"/>
      <c r="G17717" s="126">
        <f t="shared" si="282"/>
        <v>-4500</v>
      </c>
      <c r="H17717" s="705" t="s">
        <v>11835</v>
      </c>
    </row>
    <row r="17718" spans="1:8" ht="15" x14ac:dyDescent="0.2">
      <c r="A17718" s="734">
        <v>45262</v>
      </c>
      <c r="B17718" s="63" t="s">
        <v>11446</v>
      </c>
      <c r="C17718" s="63" t="s">
        <v>10993</v>
      </c>
      <c r="D17718" s="791" t="s">
        <v>11874</v>
      </c>
      <c r="E17718" s="126">
        <v>5000</v>
      </c>
      <c r="F17718" s="126"/>
      <c r="G17718" s="126">
        <f t="shared" si="282"/>
        <v>-5000</v>
      </c>
      <c r="H17718" s="705" t="s">
        <v>11835</v>
      </c>
    </row>
    <row r="17719" spans="1:8" ht="15" x14ac:dyDescent="0.2">
      <c r="A17719" s="734">
        <v>45262</v>
      </c>
      <c r="B17719" s="63" t="s">
        <v>10908</v>
      </c>
      <c r="C17719" s="63" t="s">
        <v>10993</v>
      </c>
      <c r="D17719" s="791" t="s">
        <v>11277</v>
      </c>
      <c r="E17719" s="126">
        <v>1500</v>
      </c>
      <c r="F17719" s="126"/>
      <c r="G17719" s="126">
        <f t="shared" si="282"/>
        <v>-1500</v>
      </c>
      <c r="H17719" s="705" t="s">
        <v>11835</v>
      </c>
    </row>
    <row r="17720" spans="1:8" ht="15" x14ac:dyDescent="0.2">
      <c r="A17720" s="734">
        <v>45262</v>
      </c>
      <c r="B17720" s="63" t="s">
        <v>11446</v>
      </c>
      <c r="C17720" s="63" t="s">
        <v>10993</v>
      </c>
      <c r="D17720" s="791" t="s">
        <v>11837</v>
      </c>
      <c r="E17720" s="126">
        <v>11620</v>
      </c>
      <c r="F17720" s="126"/>
      <c r="G17720" s="126">
        <f t="shared" si="282"/>
        <v>-11620</v>
      </c>
      <c r="H17720" s="705" t="s">
        <v>11835</v>
      </c>
    </row>
    <row r="17721" spans="1:8" ht="15" x14ac:dyDescent="0.2">
      <c r="A17721" s="734">
        <v>45262</v>
      </c>
      <c r="B17721" s="63" t="s">
        <v>11635</v>
      </c>
      <c r="C17721" s="63" t="s">
        <v>7467</v>
      </c>
      <c r="D17721" s="791" t="s">
        <v>11838</v>
      </c>
      <c r="E17721" s="126">
        <v>1000000</v>
      </c>
      <c r="F17721" s="126"/>
      <c r="G17721" s="126">
        <f t="shared" si="282"/>
        <v>-1000000</v>
      </c>
      <c r="H17721" s="705" t="s">
        <v>11835</v>
      </c>
    </row>
    <row r="17722" spans="1:8" ht="15" x14ac:dyDescent="0.2">
      <c r="A17722" s="734">
        <v>45263</v>
      </c>
      <c r="B17722" s="63" t="s">
        <v>9986</v>
      </c>
      <c r="C17722" s="63" t="s">
        <v>6476</v>
      </c>
      <c r="D17722" s="791" t="s">
        <v>11868</v>
      </c>
      <c r="E17722" s="126">
        <v>100000</v>
      </c>
      <c r="F17722" s="126"/>
      <c r="G17722" s="126">
        <f t="shared" si="282"/>
        <v>-100000</v>
      </c>
      <c r="H17722" s="705" t="s">
        <v>11835</v>
      </c>
    </row>
    <row r="17723" spans="1:8" ht="15" x14ac:dyDescent="0.2">
      <c r="A17723" s="734">
        <v>45264</v>
      </c>
      <c r="B17723" s="63" t="s">
        <v>9986</v>
      </c>
      <c r="C17723" s="63" t="s">
        <v>6476</v>
      </c>
      <c r="D17723" s="791" t="s">
        <v>11868</v>
      </c>
      <c r="E17723" s="126">
        <v>30000</v>
      </c>
      <c r="F17723" s="126"/>
      <c r="G17723" s="126">
        <f t="shared" si="282"/>
        <v>-30000</v>
      </c>
      <c r="H17723" s="705" t="s">
        <v>11835</v>
      </c>
    </row>
    <row r="17724" spans="1:8" ht="15" x14ac:dyDescent="0.2">
      <c r="A17724" s="734">
        <v>45264</v>
      </c>
      <c r="B17724" s="63" t="s">
        <v>11635</v>
      </c>
      <c r="C17724" s="63" t="s">
        <v>7467</v>
      </c>
      <c r="D17724" s="791" t="s">
        <v>11174</v>
      </c>
      <c r="E17724" s="126">
        <v>600000</v>
      </c>
      <c r="F17724" s="126"/>
      <c r="G17724" s="126">
        <f t="shared" si="282"/>
        <v>-600000</v>
      </c>
      <c r="H17724" s="705" t="s">
        <v>11835</v>
      </c>
    </row>
    <row r="17725" spans="1:8" ht="15" customHeight="1" x14ac:dyDescent="0.2">
      <c r="A17725" s="734">
        <v>45264</v>
      </c>
      <c r="B17725" s="63" t="s">
        <v>11446</v>
      </c>
      <c r="C17725" s="63" t="s">
        <v>10993</v>
      </c>
      <c r="D17725" s="791" t="s">
        <v>11840</v>
      </c>
      <c r="E17725" s="126">
        <v>45000</v>
      </c>
      <c r="F17725" s="126"/>
      <c r="G17725" s="126">
        <f t="shared" si="282"/>
        <v>-45000</v>
      </c>
      <c r="H17725" s="705" t="s">
        <v>11835</v>
      </c>
    </row>
    <row r="17726" spans="1:8" ht="15" customHeight="1" x14ac:dyDescent="0.2">
      <c r="A17726" s="734">
        <v>45264</v>
      </c>
      <c r="B17726" s="63" t="s">
        <v>10908</v>
      </c>
      <c r="C17726" s="63" t="s">
        <v>5741</v>
      </c>
      <c r="D17726" s="791" t="s">
        <v>10337</v>
      </c>
      <c r="E17726" s="126">
        <v>300</v>
      </c>
      <c r="F17726" s="126"/>
      <c r="G17726" s="126">
        <f t="shared" si="282"/>
        <v>-300</v>
      </c>
      <c r="H17726" s="705" t="s">
        <v>11835</v>
      </c>
    </row>
    <row r="17727" spans="1:8" ht="15" customHeight="1" x14ac:dyDescent="0.2">
      <c r="A17727" s="734">
        <v>45264</v>
      </c>
      <c r="B17727" s="63" t="s">
        <v>11623</v>
      </c>
      <c r="C17727" s="63" t="s">
        <v>5741</v>
      </c>
      <c r="D17727" s="791" t="s">
        <v>370</v>
      </c>
      <c r="E17727" s="126">
        <v>5000</v>
      </c>
      <c r="F17727" s="126"/>
      <c r="G17727" s="126">
        <f t="shared" si="282"/>
        <v>-5000</v>
      </c>
      <c r="H17727" s="705" t="s">
        <v>11835</v>
      </c>
    </row>
    <row r="17728" spans="1:8" ht="15" customHeight="1" x14ac:dyDescent="0.2">
      <c r="A17728" s="734">
        <v>45264</v>
      </c>
      <c r="B17728" s="63" t="s">
        <v>103</v>
      </c>
      <c r="C17728" s="63" t="s">
        <v>103</v>
      </c>
      <c r="D17728" s="791" t="s">
        <v>11769</v>
      </c>
      <c r="E17728" s="126">
        <v>2000</v>
      </c>
      <c r="F17728" s="126"/>
      <c r="G17728" s="126">
        <f t="shared" si="282"/>
        <v>-2000</v>
      </c>
      <c r="H17728" s="705" t="s">
        <v>11835</v>
      </c>
    </row>
    <row r="17729" spans="1:8" ht="15" customHeight="1" x14ac:dyDescent="0.2">
      <c r="A17729" s="734">
        <v>45264</v>
      </c>
      <c r="B17729" s="63" t="s">
        <v>11635</v>
      </c>
      <c r="C17729" s="63" t="s">
        <v>5741</v>
      </c>
      <c r="D17729" s="791" t="s">
        <v>370</v>
      </c>
      <c r="E17729" s="126">
        <v>1700</v>
      </c>
      <c r="F17729" s="126"/>
      <c r="G17729" s="126">
        <f t="shared" si="282"/>
        <v>-1700</v>
      </c>
      <c r="H17729" s="705" t="s">
        <v>11835</v>
      </c>
    </row>
    <row r="17730" spans="1:8" ht="15" customHeight="1" x14ac:dyDescent="0.2">
      <c r="A17730" s="734">
        <v>45265</v>
      </c>
      <c r="B17730" s="63" t="s">
        <v>11635</v>
      </c>
      <c r="C17730" s="63" t="s">
        <v>11291</v>
      </c>
      <c r="D17730" s="791" t="s">
        <v>11838</v>
      </c>
      <c r="E17730" s="126">
        <v>100000</v>
      </c>
      <c r="F17730" s="126"/>
      <c r="G17730" s="126">
        <f t="shared" si="282"/>
        <v>-100000</v>
      </c>
      <c r="H17730" s="705" t="s">
        <v>11835</v>
      </c>
    </row>
    <row r="17731" spans="1:8" ht="15" customHeight="1" x14ac:dyDescent="0.2">
      <c r="A17731" s="734">
        <v>45265</v>
      </c>
      <c r="B17731" s="63" t="s">
        <v>11635</v>
      </c>
      <c r="C17731" s="63" t="s">
        <v>8372</v>
      </c>
      <c r="D17731" s="791" t="s">
        <v>11841</v>
      </c>
      <c r="E17731" s="126">
        <v>11000</v>
      </c>
      <c r="F17731" s="126"/>
      <c r="G17731" s="126">
        <f t="shared" si="282"/>
        <v>-11000</v>
      </c>
      <c r="H17731" s="705" t="s">
        <v>11835</v>
      </c>
    </row>
    <row r="17732" spans="1:8" ht="15" customHeight="1" x14ac:dyDescent="0.2">
      <c r="A17732" s="734">
        <v>45265</v>
      </c>
      <c r="B17732" s="63" t="s">
        <v>11625</v>
      </c>
      <c r="C17732" s="63" t="s">
        <v>11626</v>
      </c>
      <c r="D17732" s="791" t="s">
        <v>1157</v>
      </c>
      <c r="E17732" s="126">
        <v>30000</v>
      </c>
      <c r="F17732" s="126"/>
      <c r="G17732" s="126">
        <f t="shared" si="282"/>
        <v>-30000</v>
      </c>
      <c r="H17732" s="705" t="s">
        <v>11835</v>
      </c>
    </row>
    <row r="17733" spans="1:8" ht="15" x14ac:dyDescent="0.2">
      <c r="A17733" s="734">
        <v>45265</v>
      </c>
      <c r="B17733" s="63" t="s">
        <v>103</v>
      </c>
      <c r="C17733" s="63" t="s">
        <v>392</v>
      </c>
      <c r="D17733" s="791" t="s">
        <v>10988</v>
      </c>
      <c r="E17733" s="126">
        <v>1600</v>
      </c>
      <c r="F17733" s="126"/>
      <c r="G17733" s="126">
        <f t="shared" ref="G17733:G17830" si="283">F17733-E17733</f>
        <v>-1600</v>
      </c>
      <c r="H17733" s="705" t="s">
        <v>11835</v>
      </c>
    </row>
    <row r="17734" spans="1:8" ht="15" x14ac:dyDescent="0.2">
      <c r="A17734" s="734">
        <v>45265</v>
      </c>
      <c r="B17734" s="63" t="s">
        <v>103</v>
      </c>
      <c r="C17734" s="63" t="s">
        <v>103</v>
      </c>
      <c r="D17734" s="791" t="s">
        <v>11769</v>
      </c>
      <c r="E17734" s="126">
        <v>5000</v>
      </c>
      <c r="F17734" s="126"/>
      <c r="G17734" s="126">
        <f t="shared" si="283"/>
        <v>-5000</v>
      </c>
      <c r="H17734" s="705" t="s">
        <v>11835</v>
      </c>
    </row>
    <row r="17735" spans="1:8" ht="15" x14ac:dyDescent="0.2">
      <c r="A17735" s="734">
        <v>45265</v>
      </c>
      <c r="B17735" s="63" t="s">
        <v>11635</v>
      </c>
      <c r="C17735" s="63" t="s">
        <v>5410</v>
      </c>
      <c r="D17735" s="791" t="s">
        <v>11842</v>
      </c>
      <c r="E17735" s="126">
        <v>5000</v>
      </c>
      <c r="F17735" s="126"/>
      <c r="G17735" s="126">
        <f t="shared" si="283"/>
        <v>-5000</v>
      </c>
      <c r="H17735" s="705" t="s">
        <v>11835</v>
      </c>
    </row>
    <row r="17736" spans="1:8" ht="15" x14ac:dyDescent="0.2">
      <c r="A17736" s="734">
        <v>45265</v>
      </c>
      <c r="B17736" s="63" t="s">
        <v>11728</v>
      </c>
      <c r="C17736" s="63" t="s">
        <v>5741</v>
      </c>
      <c r="D17736" s="791" t="s">
        <v>10337</v>
      </c>
      <c r="E17736" s="126">
        <v>500</v>
      </c>
      <c r="F17736" s="126"/>
      <c r="G17736" s="126">
        <f t="shared" si="283"/>
        <v>-500</v>
      </c>
      <c r="H17736" s="705" t="s">
        <v>11835</v>
      </c>
    </row>
    <row r="17737" spans="1:8" ht="15" x14ac:dyDescent="0.2">
      <c r="A17737" s="734">
        <v>45265</v>
      </c>
      <c r="B17737" s="63" t="s">
        <v>11728</v>
      </c>
      <c r="C17737" s="566" t="s">
        <v>11552</v>
      </c>
      <c r="D17737" s="1055" t="s">
        <v>11862</v>
      </c>
      <c r="E17737" s="567">
        <v>27000</v>
      </c>
      <c r="F17737" s="126"/>
      <c r="G17737" s="126">
        <f t="shared" si="283"/>
        <v>-27000</v>
      </c>
      <c r="H17737" s="705" t="s">
        <v>11835</v>
      </c>
    </row>
    <row r="17738" spans="1:8" ht="15" x14ac:dyDescent="0.2">
      <c r="A17738" s="734">
        <v>45265</v>
      </c>
      <c r="B17738" s="63" t="s">
        <v>11446</v>
      </c>
      <c r="C17738" s="566" t="s">
        <v>11552</v>
      </c>
      <c r="D17738" s="1055" t="s">
        <v>11862</v>
      </c>
      <c r="E17738" s="567">
        <v>23000</v>
      </c>
      <c r="F17738" s="126"/>
      <c r="G17738" s="126">
        <f t="shared" si="283"/>
        <v>-23000</v>
      </c>
      <c r="H17738" s="705" t="s">
        <v>11835</v>
      </c>
    </row>
    <row r="17739" spans="1:8" ht="15" x14ac:dyDescent="0.2">
      <c r="A17739" s="734">
        <v>45265</v>
      </c>
      <c r="B17739" s="63" t="s">
        <v>11728</v>
      </c>
      <c r="C17739" s="566" t="s">
        <v>11552</v>
      </c>
      <c r="D17739" s="1055" t="s">
        <v>11862</v>
      </c>
      <c r="E17739" s="567">
        <v>82000</v>
      </c>
      <c r="F17739" s="126"/>
      <c r="G17739" s="126">
        <f t="shared" si="283"/>
        <v>-82000</v>
      </c>
      <c r="H17739" s="705" t="s">
        <v>11835</v>
      </c>
    </row>
    <row r="17740" spans="1:8" ht="15" x14ac:dyDescent="0.2">
      <c r="A17740" s="734">
        <v>45265</v>
      </c>
      <c r="B17740" s="63" t="s">
        <v>11511</v>
      </c>
      <c r="C17740" s="63" t="s">
        <v>10993</v>
      </c>
      <c r="D17740" s="791" t="s">
        <v>6486</v>
      </c>
      <c r="E17740" s="126">
        <v>15880</v>
      </c>
      <c r="F17740" s="126"/>
      <c r="G17740" s="126">
        <f t="shared" si="283"/>
        <v>-15880</v>
      </c>
      <c r="H17740" s="705" t="s">
        <v>11835</v>
      </c>
    </row>
    <row r="17741" spans="1:8" ht="15" x14ac:dyDescent="0.2">
      <c r="A17741" s="734">
        <v>45265</v>
      </c>
      <c r="B17741" s="63" t="s">
        <v>10576</v>
      </c>
      <c r="C17741" s="63" t="s">
        <v>10993</v>
      </c>
      <c r="D17741" s="791" t="s">
        <v>11843</v>
      </c>
      <c r="E17741" s="126">
        <v>13000</v>
      </c>
      <c r="F17741" s="126"/>
      <c r="G17741" s="126">
        <f t="shared" si="283"/>
        <v>-13000</v>
      </c>
      <c r="H17741" s="705" t="s">
        <v>11835</v>
      </c>
    </row>
    <row r="17742" spans="1:8" ht="15" x14ac:dyDescent="0.2">
      <c r="A17742" s="734">
        <v>45266</v>
      </c>
      <c r="B17742" s="63" t="s">
        <v>11617</v>
      </c>
      <c r="C17742" s="63" t="s">
        <v>11099</v>
      </c>
      <c r="D17742" s="791" t="s">
        <v>11869</v>
      </c>
      <c r="E17742" s="126">
        <v>100000</v>
      </c>
      <c r="F17742" s="126"/>
      <c r="G17742" s="126">
        <f t="shared" si="283"/>
        <v>-100000</v>
      </c>
      <c r="H17742" s="705" t="s">
        <v>11835</v>
      </c>
    </row>
    <row r="17743" spans="1:8" ht="15" x14ac:dyDescent="0.2">
      <c r="A17743" s="734">
        <v>45266</v>
      </c>
      <c r="B17743" s="63" t="s">
        <v>25</v>
      </c>
      <c r="C17743" s="63" t="s">
        <v>8150</v>
      </c>
      <c r="D17743" s="791" t="s">
        <v>6310</v>
      </c>
      <c r="E17743" s="126">
        <v>410</v>
      </c>
      <c r="F17743" s="126"/>
      <c r="G17743" s="126">
        <f t="shared" si="283"/>
        <v>-410</v>
      </c>
      <c r="H17743" s="705" t="s">
        <v>11835</v>
      </c>
    </row>
    <row r="17744" spans="1:8" ht="15" x14ac:dyDescent="0.2">
      <c r="A17744" s="734">
        <v>45266</v>
      </c>
      <c r="B17744" s="63" t="s">
        <v>103</v>
      </c>
      <c r="C17744" s="63" t="s">
        <v>8150</v>
      </c>
      <c r="D17744" s="791" t="s">
        <v>6310</v>
      </c>
      <c r="E17744" s="126">
        <v>190</v>
      </c>
      <c r="F17744" s="126"/>
      <c r="G17744" s="126">
        <f t="shared" si="283"/>
        <v>-190</v>
      </c>
      <c r="H17744" s="705" t="s">
        <v>11835</v>
      </c>
    </row>
    <row r="17745" spans="1:8" ht="15" x14ac:dyDescent="0.2">
      <c r="A17745" s="734">
        <v>45266</v>
      </c>
      <c r="B17745" s="63" t="s">
        <v>10232</v>
      </c>
      <c r="C17745" s="63" t="s">
        <v>5741</v>
      </c>
      <c r="D17745" s="791" t="s">
        <v>370</v>
      </c>
      <c r="E17745" s="126">
        <v>3800</v>
      </c>
      <c r="F17745" s="126"/>
      <c r="G17745" s="126">
        <f t="shared" si="283"/>
        <v>-3800</v>
      </c>
      <c r="H17745" s="705" t="s">
        <v>11835</v>
      </c>
    </row>
    <row r="17746" spans="1:8" ht="15" x14ac:dyDescent="0.2">
      <c r="A17746" s="734">
        <v>45266</v>
      </c>
      <c r="B17746" s="63" t="s">
        <v>11728</v>
      </c>
      <c r="C17746" s="63" t="s">
        <v>5741</v>
      </c>
      <c r="D17746" s="791" t="s">
        <v>370</v>
      </c>
      <c r="E17746" s="126">
        <v>4000</v>
      </c>
      <c r="F17746" s="126"/>
      <c r="G17746" s="126">
        <f t="shared" si="283"/>
        <v>-4000</v>
      </c>
      <c r="H17746" s="705" t="s">
        <v>11835</v>
      </c>
    </row>
    <row r="17747" spans="1:8" ht="15" x14ac:dyDescent="0.2">
      <c r="A17747" s="734">
        <v>45266</v>
      </c>
      <c r="B17747" s="63" t="s">
        <v>10908</v>
      </c>
      <c r="C17747" s="63" t="s">
        <v>10993</v>
      </c>
      <c r="D17747" s="791" t="s">
        <v>11844</v>
      </c>
      <c r="E17747" s="126">
        <v>4250</v>
      </c>
      <c r="F17747" s="126"/>
      <c r="G17747" s="126">
        <f t="shared" si="283"/>
        <v>-4250</v>
      </c>
      <c r="H17747" s="705" t="s">
        <v>11835</v>
      </c>
    </row>
    <row r="17748" spans="1:8" ht="15" x14ac:dyDescent="0.2">
      <c r="A17748" s="734">
        <v>45266</v>
      </c>
      <c r="B17748" s="63" t="s">
        <v>37</v>
      </c>
      <c r="C17748" s="63" t="s">
        <v>392</v>
      </c>
      <c r="D17748" s="791" t="s">
        <v>11602</v>
      </c>
      <c r="E17748" s="126">
        <v>3000</v>
      </c>
      <c r="F17748" s="126"/>
      <c r="G17748" s="126">
        <f t="shared" si="283"/>
        <v>-3000</v>
      </c>
      <c r="H17748" s="705" t="s">
        <v>11835</v>
      </c>
    </row>
    <row r="17749" spans="1:8" ht="15" x14ac:dyDescent="0.2">
      <c r="A17749" s="734">
        <v>45266</v>
      </c>
      <c r="B17749" s="63" t="s">
        <v>11728</v>
      </c>
      <c r="C17749" s="63" t="s">
        <v>10993</v>
      </c>
      <c r="D17749" s="791" t="s">
        <v>11268</v>
      </c>
      <c r="E17749" s="126">
        <v>3650</v>
      </c>
      <c r="F17749" s="126"/>
      <c r="G17749" s="126">
        <f t="shared" si="283"/>
        <v>-3650</v>
      </c>
      <c r="H17749" s="705" t="s">
        <v>11835</v>
      </c>
    </row>
    <row r="17750" spans="1:8" ht="15" x14ac:dyDescent="0.2">
      <c r="A17750" s="734">
        <v>45266</v>
      </c>
      <c r="B17750" s="63" t="s">
        <v>11089</v>
      </c>
      <c r="C17750" s="63" t="s">
        <v>392</v>
      </c>
      <c r="D17750" s="791" t="s">
        <v>10060</v>
      </c>
      <c r="E17750" s="126">
        <v>1000</v>
      </c>
      <c r="F17750" s="126"/>
      <c r="G17750" s="126">
        <f t="shared" si="283"/>
        <v>-1000</v>
      </c>
      <c r="H17750" s="705" t="s">
        <v>11835</v>
      </c>
    </row>
    <row r="17751" spans="1:8" ht="15" x14ac:dyDescent="0.2">
      <c r="A17751" s="734">
        <v>45266</v>
      </c>
      <c r="B17751" s="63" t="s">
        <v>103</v>
      </c>
      <c r="C17751" s="63" t="s">
        <v>103</v>
      </c>
      <c r="D17751" s="791" t="s">
        <v>11769</v>
      </c>
      <c r="E17751" s="126">
        <v>3000</v>
      </c>
      <c r="F17751" s="126"/>
      <c r="G17751" s="126">
        <f t="shared" si="283"/>
        <v>-3000</v>
      </c>
      <c r="H17751" s="705" t="s">
        <v>11835</v>
      </c>
    </row>
    <row r="17752" spans="1:8" ht="15" x14ac:dyDescent="0.2">
      <c r="A17752" s="734">
        <v>45267</v>
      </c>
      <c r="B17752" s="63" t="s">
        <v>9986</v>
      </c>
      <c r="C17752" s="63" t="s">
        <v>10993</v>
      </c>
      <c r="D17752" s="791" t="s">
        <v>4450</v>
      </c>
      <c r="E17752" s="126">
        <v>96605</v>
      </c>
      <c r="F17752" s="126"/>
      <c r="G17752" s="126">
        <f t="shared" si="283"/>
        <v>-96605</v>
      </c>
      <c r="H17752" s="705" t="s">
        <v>11835</v>
      </c>
    </row>
    <row r="17753" spans="1:8" ht="15" x14ac:dyDescent="0.2">
      <c r="A17753" s="734">
        <v>45267</v>
      </c>
      <c r="B17753" s="63" t="s">
        <v>11089</v>
      </c>
      <c r="C17753" s="63" t="s">
        <v>10993</v>
      </c>
      <c r="D17753" s="791" t="s">
        <v>11855</v>
      </c>
      <c r="E17753" s="126">
        <v>8000</v>
      </c>
      <c r="F17753" s="126"/>
      <c r="G17753" s="126">
        <f t="shared" si="283"/>
        <v>-8000</v>
      </c>
      <c r="H17753" s="705" t="s">
        <v>11835</v>
      </c>
    </row>
    <row r="17754" spans="1:8" ht="15" x14ac:dyDescent="0.2">
      <c r="A17754" s="734">
        <v>45267</v>
      </c>
      <c r="B17754" s="63" t="s">
        <v>11728</v>
      </c>
      <c r="C17754" s="63" t="s">
        <v>10993</v>
      </c>
      <c r="D17754" s="791" t="s">
        <v>11856</v>
      </c>
      <c r="E17754" s="126">
        <v>28000</v>
      </c>
      <c r="F17754" s="126"/>
      <c r="G17754" s="126">
        <f t="shared" si="283"/>
        <v>-28000</v>
      </c>
      <c r="H17754" s="705" t="s">
        <v>11835</v>
      </c>
    </row>
    <row r="17755" spans="1:8" ht="15" x14ac:dyDescent="0.2">
      <c r="A17755" s="734">
        <v>45267</v>
      </c>
      <c r="B17755" s="63" t="s">
        <v>10908</v>
      </c>
      <c r="C17755" s="63" t="s">
        <v>10993</v>
      </c>
      <c r="D17755" s="791" t="s">
        <v>10824</v>
      </c>
      <c r="E17755" s="126">
        <v>8500</v>
      </c>
      <c r="F17755" s="126"/>
      <c r="G17755" s="126">
        <f t="shared" si="283"/>
        <v>-8500</v>
      </c>
      <c r="H17755" s="705" t="s">
        <v>11835</v>
      </c>
    </row>
    <row r="17756" spans="1:8" ht="15" x14ac:dyDescent="0.2">
      <c r="A17756" s="734">
        <v>45267</v>
      </c>
      <c r="B17756" s="63" t="s">
        <v>11728</v>
      </c>
      <c r="C17756" s="63" t="s">
        <v>5741</v>
      </c>
      <c r="D17756" s="791" t="s">
        <v>370</v>
      </c>
      <c r="E17756" s="126">
        <v>950</v>
      </c>
      <c r="F17756" s="126"/>
      <c r="G17756" s="126">
        <f t="shared" si="283"/>
        <v>-950</v>
      </c>
      <c r="H17756" s="705" t="s">
        <v>11835</v>
      </c>
    </row>
    <row r="17757" spans="1:8" ht="15" x14ac:dyDescent="0.2">
      <c r="A17757" s="734">
        <v>45267</v>
      </c>
      <c r="B17757" s="63" t="s">
        <v>11728</v>
      </c>
      <c r="C17757" s="63" t="s">
        <v>10993</v>
      </c>
      <c r="D17757" s="791" t="s">
        <v>1617</v>
      </c>
      <c r="E17757" s="126">
        <v>540</v>
      </c>
      <c r="F17757" s="126"/>
      <c r="G17757" s="126">
        <f t="shared" si="283"/>
        <v>-540</v>
      </c>
      <c r="H17757" s="705" t="s">
        <v>11835</v>
      </c>
    </row>
    <row r="17758" spans="1:8" ht="15" x14ac:dyDescent="0.2">
      <c r="A17758" s="734">
        <v>45267</v>
      </c>
      <c r="B17758" s="63" t="s">
        <v>103</v>
      </c>
      <c r="C17758" s="63" t="s">
        <v>103</v>
      </c>
      <c r="D17758" s="791" t="s">
        <v>11769</v>
      </c>
      <c r="E17758" s="126">
        <v>4000</v>
      </c>
      <c r="F17758" s="126"/>
      <c r="G17758" s="126">
        <f t="shared" si="283"/>
        <v>-4000</v>
      </c>
      <c r="H17758" s="705" t="s">
        <v>11835</v>
      </c>
    </row>
    <row r="17759" spans="1:8" ht="15" x14ac:dyDescent="0.2">
      <c r="A17759" s="734">
        <v>45267</v>
      </c>
      <c r="B17759" s="63" t="s">
        <v>103</v>
      </c>
      <c r="C17759" s="63" t="s">
        <v>103</v>
      </c>
      <c r="D17759" s="791" t="s">
        <v>11857</v>
      </c>
      <c r="E17759" s="126">
        <v>800</v>
      </c>
      <c r="F17759" s="126"/>
      <c r="G17759" s="126">
        <f t="shared" si="283"/>
        <v>-800</v>
      </c>
      <c r="H17759" s="705" t="s">
        <v>11835</v>
      </c>
    </row>
    <row r="17760" spans="1:8" ht="15" x14ac:dyDescent="0.2">
      <c r="A17760" s="734">
        <v>45268</v>
      </c>
      <c r="B17760" s="63" t="s">
        <v>10908</v>
      </c>
      <c r="C17760" s="63" t="s">
        <v>10993</v>
      </c>
      <c r="D17760" s="791" t="s">
        <v>11858</v>
      </c>
      <c r="E17760" s="126">
        <v>1200</v>
      </c>
      <c r="F17760" s="126"/>
      <c r="G17760" s="126">
        <f t="shared" si="283"/>
        <v>-1200</v>
      </c>
      <c r="H17760" s="705" t="s">
        <v>11835</v>
      </c>
    </row>
    <row r="17761" spans="1:8" ht="15" x14ac:dyDescent="0.2">
      <c r="A17761" s="734">
        <v>45268</v>
      </c>
      <c r="B17761" s="63" t="s">
        <v>10908</v>
      </c>
      <c r="C17761" s="63" t="s">
        <v>5741</v>
      </c>
      <c r="D17761" s="791" t="s">
        <v>370</v>
      </c>
      <c r="E17761" s="126">
        <v>500</v>
      </c>
      <c r="F17761" s="126"/>
      <c r="G17761" s="126">
        <f t="shared" si="283"/>
        <v>-500</v>
      </c>
      <c r="H17761" s="705" t="s">
        <v>11835</v>
      </c>
    </row>
    <row r="17762" spans="1:8" ht="15" x14ac:dyDescent="0.2">
      <c r="A17762" s="734">
        <v>45268</v>
      </c>
      <c r="B17762" s="63" t="s">
        <v>10908</v>
      </c>
      <c r="C17762" s="63" t="s">
        <v>5741</v>
      </c>
      <c r="D17762" s="791" t="s">
        <v>11859</v>
      </c>
      <c r="E17762" s="126">
        <v>1000</v>
      </c>
      <c r="F17762" s="126"/>
      <c r="G17762" s="126">
        <f t="shared" si="283"/>
        <v>-1000</v>
      </c>
      <c r="H17762" s="705" t="s">
        <v>11835</v>
      </c>
    </row>
    <row r="17763" spans="1:8" ht="15" x14ac:dyDescent="0.2">
      <c r="A17763" s="734">
        <v>45268</v>
      </c>
      <c r="B17763" s="63" t="s">
        <v>11617</v>
      </c>
      <c r="C17763" s="670" t="s">
        <v>10993</v>
      </c>
      <c r="D17763" s="912" t="s">
        <v>11860</v>
      </c>
      <c r="E17763" s="672">
        <v>114500</v>
      </c>
      <c r="F17763" s="126"/>
      <c r="G17763" s="126">
        <f t="shared" si="283"/>
        <v>-114500</v>
      </c>
      <c r="H17763" s="705" t="s">
        <v>11835</v>
      </c>
    </row>
    <row r="17764" spans="1:8" ht="15" x14ac:dyDescent="0.2">
      <c r="A17764" s="734">
        <v>45268</v>
      </c>
      <c r="B17764" s="63" t="s">
        <v>11635</v>
      </c>
      <c r="C17764" s="670" t="s">
        <v>10993</v>
      </c>
      <c r="D17764" s="912" t="s">
        <v>11860</v>
      </c>
      <c r="E17764" s="672">
        <v>9000</v>
      </c>
      <c r="F17764" s="126"/>
      <c r="G17764" s="126">
        <f t="shared" si="283"/>
        <v>-9000</v>
      </c>
      <c r="H17764" s="705" t="s">
        <v>11835</v>
      </c>
    </row>
    <row r="17765" spans="1:8" ht="15" x14ac:dyDescent="0.2">
      <c r="A17765" s="734">
        <v>45268</v>
      </c>
      <c r="B17765" s="63" t="s">
        <v>10908</v>
      </c>
      <c r="C17765" s="670" t="s">
        <v>10993</v>
      </c>
      <c r="D17765" s="912" t="s">
        <v>11860</v>
      </c>
      <c r="E17765" s="672">
        <v>41500</v>
      </c>
      <c r="F17765" s="126"/>
      <c r="G17765" s="126">
        <f t="shared" si="283"/>
        <v>-41500</v>
      </c>
      <c r="H17765" s="705" t="s">
        <v>11835</v>
      </c>
    </row>
    <row r="17766" spans="1:8" ht="24" x14ac:dyDescent="0.2">
      <c r="A17766" s="734">
        <v>45268</v>
      </c>
      <c r="B17766" s="63" t="s">
        <v>11635</v>
      </c>
      <c r="C17766" s="566" t="s">
        <v>10993</v>
      </c>
      <c r="D17766" s="875" t="s">
        <v>11861</v>
      </c>
      <c r="E17766" s="567">
        <v>28700</v>
      </c>
      <c r="F17766" s="126"/>
      <c r="G17766" s="126">
        <f t="shared" si="283"/>
        <v>-28700</v>
      </c>
      <c r="H17766" s="705" t="s">
        <v>11835</v>
      </c>
    </row>
    <row r="17767" spans="1:8" ht="24" x14ac:dyDescent="0.2">
      <c r="A17767" s="734">
        <v>45268</v>
      </c>
      <c r="B17767" s="63" t="s">
        <v>10908</v>
      </c>
      <c r="C17767" s="566" t="s">
        <v>10993</v>
      </c>
      <c r="D17767" s="875" t="s">
        <v>11861</v>
      </c>
      <c r="E17767" s="567">
        <v>28500</v>
      </c>
      <c r="F17767" s="126"/>
      <c r="G17767" s="126">
        <f t="shared" si="283"/>
        <v>-28500</v>
      </c>
      <c r="H17767" s="705" t="s">
        <v>11835</v>
      </c>
    </row>
    <row r="17768" spans="1:8" ht="24" x14ac:dyDescent="0.2">
      <c r="A17768" s="734">
        <v>45268</v>
      </c>
      <c r="B17768" s="63" t="s">
        <v>11446</v>
      </c>
      <c r="C17768" s="566" t="s">
        <v>10993</v>
      </c>
      <c r="D17768" s="875" t="s">
        <v>11861</v>
      </c>
      <c r="E17768" s="567">
        <v>28500</v>
      </c>
      <c r="F17768" s="126"/>
      <c r="G17768" s="126">
        <f t="shared" si="283"/>
        <v>-28500</v>
      </c>
      <c r="H17768" s="705" t="s">
        <v>11835</v>
      </c>
    </row>
    <row r="17769" spans="1:8" ht="24" x14ac:dyDescent="0.2">
      <c r="A17769" s="734">
        <v>45268</v>
      </c>
      <c r="B17769" s="63" t="s">
        <v>11635</v>
      </c>
      <c r="C17769" s="566" t="s">
        <v>10993</v>
      </c>
      <c r="D17769" s="875" t="s">
        <v>11861</v>
      </c>
      <c r="E17769" s="567">
        <v>27000</v>
      </c>
      <c r="F17769" s="126"/>
      <c r="G17769" s="126">
        <f t="shared" si="283"/>
        <v>-27000</v>
      </c>
      <c r="H17769" s="705" t="s">
        <v>11835</v>
      </c>
    </row>
    <row r="17770" spans="1:8" ht="15" x14ac:dyDescent="0.2">
      <c r="A17770" s="734">
        <v>45268</v>
      </c>
      <c r="B17770" s="63" t="s">
        <v>11446</v>
      </c>
      <c r="C17770" s="63" t="s">
        <v>11455</v>
      </c>
      <c r="D17770" s="791" t="s">
        <v>11864</v>
      </c>
      <c r="E17770" s="126">
        <v>61500</v>
      </c>
      <c r="F17770" s="126"/>
      <c r="G17770" s="126">
        <f t="shared" si="283"/>
        <v>-61500</v>
      </c>
      <c r="H17770" s="705" t="s">
        <v>11835</v>
      </c>
    </row>
    <row r="17771" spans="1:8" ht="15" x14ac:dyDescent="0.2">
      <c r="A17771" s="734">
        <v>45268</v>
      </c>
      <c r="B17771" s="63" t="s">
        <v>11135</v>
      </c>
      <c r="C17771" s="63" t="s">
        <v>10768</v>
      </c>
      <c r="D17771" s="791" t="s">
        <v>11863</v>
      </c>
      <c r="E17771" s="126">
        <v>340000</v>
      </c>
      <c r="F17771" s="126"/>
      <c r="G17771" s="126">
        <f t="shared" si="283"/>
        <v>-340000</v>
      </c>
      <c r="H17771" s="705" t="s">
        <v>11835</v>
      </c>
    </row>
    <row r="17772" spans="1:8" ht="15" x14ac:dyDescent="0.2">
      <c r="A17772" s="734">
        <v>45268</v>
      </c>
      <c r="B17772" s="63" t="s">
        <v>10908</v>
      </c>
      <c r="C17772" s="63" t="s">
        <v>10993</v>
      </c>
      <c r="D17772" s="791" t="s">
        <v>11870</v>
      </c>
      <c r="E17772" s="126">
        <v>11750</v>
      </c>
      <c r="F17772" s="126"/>
      <c r="G17772" s="126">
        <f t="shared" si="283"/>
        <v>-11750</v>
      </c>
      <c r="H17772" s="705" t="s">
        <v>11835</v>
      </c>
    </row>
    <row r="17773" spans="1:8" ht="15" x14ac:dyDescent="0.2">
      <c r="A17773" s="734">
        <v>45268</v>
      </c>
      <c r="B17773" s="63" t="s">
        <v>10908</v>
      </c>
      <c r="C17773" s="63" t="s">
        <v>10993</v>
      </c>
      <c r="D17773" s="791" t="s">
        <v>11871</v>
      </c>
      <c r="E17773" s="126">
        <v>5000</v>
      </c>
      <c r="F17773" s="126"/>
      <c r="G17773" s="126">
        <f t="shared" si="283"/>
        <v>-5000</v>
      </c>
      <c r="H17773" s="705" t="s">
        <v>11835</v>
      </c>
    </row>
    <row r="17774" spans="1:8" ht="15" x14ac:dyDescent="0.2">
      <c r="A17774" s="734">
        <v>45268</v>
      </c>
      <c r="B17774" s="63" t="s">
        <v>10908</v>
      </c>
      <c r="C17774" s="63" t="s">
        <v>10993</v>
      </c>
      <c r="D17774" s="791" t="s">
        <v>11872</v>
      </c>
      <c r="E17774" s="126">
        <v>2700</v>
      </c>
      <c r="F17774" s="126"/>
      <c r="G17774" s="126">
        <f t="shared" si="283"/>
        <v>-2700</v>
      </c>
      <c r="H17774" s="705" t="s">
        <v>11835</v>
      </c>
    </row>
    <row r="17775" spans="1:8" ht="15" x14ac:dyDescent="0.2">
      <c r="A17775" s="734">
        <v>45268</v>
      </c>
      <c r="B17775" s="63" t="s">
        <v>10908</v>
      </c>
      <c r="C17775" s="63" t="s">
        <v>5741</v>
      </c>
      <c r="D17775" s="791" t="s">
        <v>370</v>
      </c>
      <c r="E17775" s="126">
        <v>4000</v>
      </c>
      <c r="F17775" s="126"/>
      <c r="G17775" s="126">
        <f t="shared" si="283"/>
        <v>-4000</v>
      </c>
      <c r="H17775" s="705" t="s">
        <v>11835</v>
      </c>
    </row>
    <row r="17776" spans="1:8" ht="15" x14ac:dyDescent="0.2">
      <c r="A17776" s="734">
        <v>45268</v>
      </c>
      <c r="B17776" s="63" t="s">
        <v>103</v>
      </c>
      <c r="C17776" s="63" t="s">
        <v>103</v>
      </c>
      <c r="D17776" s="791" t="s">
        <v>11769</v>
      </c>
      <c r="E17776" s="126">
        <v>2000</v>
      </c>
      <c r="F17776" s="126"/>
      <c r="G17776" s="126">
        <f t="shared" si="283"/>
        <v>-2000</v>
      </c>
      <c r="H17776" s="705" t="s">
        <v>11835</v>
      </c>
    </row>
    <row r="17777" spans="1:8" ht="36" x14ac:dyDescent="0.2">
      <c r="A17777" s="734">
        <v>45268</v>
      </c>
      <c r="B17777" s="63" t="s">
        <v>10908</v>
      </c>
      <c r="C17777" s="63" t="s">
        <v>9764</v>
      </c>
      <c r="D17777" s="183" t="s">
        <v>11875</v>
      </c>
      <c r="E17777" s="126">
        <v>53300</v>
      </c>
      <c r="F17777" s="126"/>
      <c r="G17777" s="126">
        <f t="shared" si="283"/>
        <v>-53300</v>
      </c>
      <c r="H17777" s="705" t="s">
        <v>11835</v>
      </c>
    </row>
    <row r="17778" spans="1:8" ht="15" x14ac:dyDescent="0.2">
      <c r="A17778" s="734">
        <v>45268</v>
      </c>
      <c r="B17778" s="63" t="s">
        <v>10908</v>
      </c>
      <c r="C17778" s="63" t="s">
        <v>10993</v>
      </c>
      <c r="D17778" s="183" t="s">
        <v>7376</v>
      </c>
      <c r="E17778" s="126">
        <v>2460</v>
      </c>
      <c r="F17778" s="126"/>
      <c r="G17778" s="126">
        <f t="shared" si="283"/>
        <v>-2460</v>
      </c>
      <c r="H17778" s="705" t="s">
        <v>11835</v>
      </c>
    </row>
    <row r="17779" spans="1:8" ht="15" x14ac:dyDescent="0.2">
      <c r="A17779" s="734">
        <v>45268</v>
      </c>
      <c r="B17779" s="63" t="s">
        <v>11511</v>
      </c>
      <c r="C17779" s="63" t="s">
        <v>10993</v>
      </c>
      <c r="D17779" s="183" t="s">
        <v>11877</v>
      </c>
      <c r="E17779" s="126">
        <v>14860</v>
      </c>
      <c r="F17779" s="126"/>
      <c r="G17779" s="126">
        <f t="shared" si="283"/>
        <v>-14860</v>
      </c>
      <c r="H17779" s="705" t="s">
        <v>11835</v>
      </c>
    </row>
    <row r="17780" spans="1:8" ht="15" x14ac:dyDescent="0.2">
      <c r="A17780" s="734">
        <v>45268</v>
      </c>
      <c r="B17780" s="63" t="s">
        <v>11728</v>
      </c>
      <c r="C17780" s="63" t="s">
        <v>5741</v>
      </c>
      <c r="D17780" s="183" t="s">
        <v>11878</v>
      </c>
      <c r="E17780" s="126">
        <v>3600</v>
      </c>
      <c r="F17780" s="126"/>
      <c r="G17780" s="126">
        <f t="shared" si="283"/>
        <v>-3600</v>
      </c>
      <c r="H17780" s="705" t="s">
        <v>11835</v>
      </c>
    </row>
    <row r="17781" spans="1:8" ht="15" x14ac:dyDescent="0.2">
      <c r="A17781" s="734">
        <v>45271</v>
      </c>
      <c r="B17781" s="63" t="s">
        <v>9986</v>
      </c>
      <c r="C17781" s="63" t="s">
        <v>392</v>
      </c>
      <c r="D17781" s="183" t="s">
        <v>11882</v>
      </c>
      <c r="E17781" s="126">
        <v>1000</v>
      </c>
      <c r="F17781" s="126"/>
      <c r="G17781" s="126">
        <f t="shared" si="283"/>
        <v>-1000</v>
      </c>
      <c r="H17781" s="705" t="s">
        <v>11835</v>
      </c>
    </row>
    <row r="17782" spans="1:8" ht="15" x14ac:dyDescent="0.2">
      <c r="A17782" s="734">
        <v>45271</v>
      </c>
      <c r="B17782" s="63" t="s">
        <v>37</v>
      </c>
      <c r="C17782" s="63" t="s">
        <v>5741</v>
      </c>
      <c r="D17782" s="183" t="s">
        <v>10337</v>
      </c>
      <c r="E17782" s="126">
        <v>550</v>
      </c>
      <c r="F17782" s="126"/>
      <c r="G17782" s="126">
        <f t="shared" si="283"/>
        <v>-550</v>
      </c>
      <c r="H17782" s="705" t="s">
        <v>11835</v>
      </c>
    </row>
    <row r="17783" spans="1:8" ht="15" x14ac:dyDescent="0.2">
      <c r="A17783" s="734">
        <v>45271</v>
      </c>
      <c r="B17783" s="63" t="s">
        <v>11446</v>
      </c>
      <c r="C17783" s="63" t="s">
        <v>11884</v>
      </c>
      <c r="D17783" s="183" t="s">
        <v>8201</v>
      </c>
      <c r="E17783" s="126">
        <v>9300</v>
      </c>
      <c r="F17783" s="126"/>
      <c r="G17783" s="126">
        <f t="shared" si="283"/>
        <v>-9300</v>
      </c>
      <c r="H17783" s="705" t="s">
        <v>11835</v>
      </c>
    </row>
    <row r="17784" spans="1:8" ht="15" x14ac:dyDescent="0.2">
      <c r="A17784" s="734">
        <v>45271</v>
      </c>
      <c r="B17784" s="63" t="s">
        <v>11446</v>
      </c>
      <c r="C17784" s="63" t="s">
        <v>11725</v>
      </c>
      <c r="D17784" s="183" t="s">
        <v>11885</v>
      </c>
      <c r="E17784" s="126">
        <v>24000</v>
      </c>
      <c r="F17784" s="126"/>
      <c r="G17784" s="126">
        <f t="shared" si="283"/>
        <v>-24000</v>
      </c>
      <c r="H17784" s="705" t="s">
        <v>11835</v>
      </c>
    </row>
    <row r="17785" spans="1:8" ht="15" x14ac:dyDescent="0.2">
      <c r="A17785" s="734">
        <v>45271</v>
      </c>
      <c r="B17785" s="63" t="s">
        <v>103</v>
      </c>
      <c r="C17785" s="63" t="s">
        <v>1495</v>
      </c>
      <c r="D17785" s="183" t="s">
        <v>11886</v>
      </c>
      <c r="E17785" s="126">
        <v>2200</v>
      </c>
      <c r="F17785" s="126"/>
      <c r="G17785" s="126">
        <f t="shared" si="283"/>
        <v>-2200</v>
      </c>
      <c r="H17785" s="705" t="s">
        <v>11835</v>
      </c>
    </row>
    <row r="17786" spans="1:8" ht="15" x14ac:dyDescent="0.2">
      <c r="A17786" s="734">
        <v>45271</v>
      </c>
      <c r="B17786" s="41" t="s">
        <v>10151</v>
      </c>
      <c r="C17786" s="63" t="s">
        <v>794</v>
      </c>
      <c r="D17786" s="183" t="s">
        <v>11883</v>
      </c>
      <c r="E17786" s="126">
        <v>45750</v>
      </c>
      <c r="F17786" s="126"/>
      <c r="G17786" s="126">
        <f t="shared" si="283"/>
        <v>-45750</v>
      </c>
      <c r="H17786" s="705" t="s">
        <v>11835</v>
      </c>
    </row>
    <row r="17787" spans="1:8" ht="15" x14ac:dyDescent="0.2">
      <c r="A17787" s="734">
        <v>45271</v>
      </c>
      <c r="B17787" s="63" t="s">
        <v>103</v>
      </c>
      <c r="C17787" s="63" t="s">
        <v>392</v>
      </c>
      <c r="D17787" s="183" t="s">
        <v>11887</v>
      </c>
      <c r="E17787" s="126">
        <v>880</v>
      </c>
      <c r="F17787" s="126"/>
      <c r="G17787" s="126">
        <f t="shared" si="283"/>
        <v>-880</v>
      </c>
      <c r="H17787" s="705" t="s">
        <v>11835</v>
      </c>
    </row>
    <row r="17788" spans="1:8" ht="15" x14ac:dyDescent="0.2">
      <c r="A17788" s="734">
        <v>45271</v>
      </c>
      <c r="B17788" s="63" t="s">
        <v>103</v>
      </c>
      <c r="C17788" s="63" t="s">
        <v>103</v>
      </c>
      <c r="D17788" s="183" t="s">
        <v>11769</v>
      </c>
      <c r="E17788" s="126">
        <v>4000</v>
      </c>
      <c r="F17788" s="126"/>
      <c r="G17788" s="126">
        <f t="shared" si="283"/>
        <v>-4000</v>
      </c>
      <c r="H17788" s="705" t="s">
        <v>11835</v>
      </c>
    </row>
    <row r="17789" spans="1:8" ht="15" x14ac:dyDescent="0.2">
      <c r="A17789" s="734">
        <v>45271</v>
      </c>
      <c r="B17789" s="63" t="s">
        <v>10232</v>
      </c>
      <c r="C17789" s="63" t="s">
        <v>5741</v>
      </c>
      <c r="D17789" s="183" t="s">
        <v>370</v>
      </c>
      <c r="E17789" s="126">
        <v>2000</v>
      </c>
      <c r="F17789" s="126"/>
      <c r="G17789" s="126">
        <f t="shared" si="283"/>
        <v>-2000</v>
      </c>
      <c r="H17789" s="705" t="s">
        <v>11835</v>
      </c>
    </row>
    <row r="17790" spans="1:8" ht="15" x14ac:dyDescent="0.2">
      <c r="A17790" s="734">
        <v>45271</v>
      </c>
      <c r="B17790" s="63" t="s">
        <v>3946</v>
      </c>
      <c r="C17790" s="1099" t="s">
        <v>794</v>
      </c>
      <c r="D17790" s="1102" t="s">
        <v>11888</v>
      </c>
      <c r="E17790" s="1101">
        <v>39300</v>
      </c>
      <c r="F17790" s="126"/>
      <c r="G17790" s="126">
        <f t="shared" si="283"/>
        <v>-39300</v>
      </c>
      <c r="H17790" s="705" t="s">
        <v>11835</v>
      </c>
    </row>
    <row r="17791" spans="1:8" ht="15" x14ac:dyDescent="0.2">
      <c r="A17791" s="734">
        <v>45271</v>
      </c>
      <c r="B17791" s="63" t="s">
        <v>11897</v>
      </c>
      <c r="C17791" s="1099" t="s">
        <v>794</v>
      </c>
      <c r="D17791" s="183" t="s">
        <v>12218</v>
      </c>
      <c r="E17791" s="126">
        <v>25000</v>
      </c>
      <c r="F17791" s="126"/>
      <c r="G17791" s="126">
        <f t="shared" ref="G17791:G17795" si="284">F17791-E17791</f>
        <v>-25000</v>
      </c>
      <c r="H17791" s="705" t="s">
        <v>11835</v>
      </c>
    </row>
    <row r="17792" spans="1:8" ht="15" x14ac:dyDescent="0.2">
      <c r="A17792" s="734">
        <v>45271</v>
      </c>
      <c r="B17792" s="63" t="s">
        <v>11089</v>
      </c>
      <c r="C17792" s="1099" t="s">
        <v>794</v>
      </c>
      <c r="D17792" s="183" t="s">
        <v>12218</v>
      </c>
      <c r="E17792" s="126">
        <v>25000</v>
      </c>
      <c r="F17792" s="126"/>
      <c r="G17792" s="126">
        <f t="shared" si="284"/>
        <v>-25000</v>
      </c>
      <c r="H17792" s="705" t="s">
        <v>11835</v>
      </c>
    </row>
    <row r="17793" spans="1:8" ht="15" x14ac:dyDescent="0.2">
      <c r="A17793" s="734">
        <v>45271</v>
      </c>
      <c r="B17793" s="63" t="s">
        <v>11635</v>
      </c>
      <c r="C17793" s="1099" t="s">
        <v>794</v>
      </c>
      <c r="D17793" s="183" t="s">
        <v>12219</v>
      </c>
      <c r="E17793" s="126">
        <v>25000</v>
      </c>
      <c r="F17793" s="126"/>
      <c r="G17793" s="126">
        <f t="shared" si="284"/>
        <v>-25000</v>
      </c>
      <c r="H17793" s="705" t="s">
        <v>11835</v>
      </c>
    </row>
    <row r="17794" spans="1:8" ht="15" x14ac:dyDescent="0.2">
      <c r="A17794" s="734">
        <v>45271</v>
      </c>
      <c r="B17794" s="63" t="s">
        <v>10232</v>
      </c>
      <c r="C17794" s="1099" t="s">
        <v>794</v>
      </c>
      <c r="D17794" s="183" t="s">
        <v>12219</v>
      </c>
      <c r="E17794" s="126">
        <v>25000</v>
      </c>
      <c r="F17794" s="126"/>
      <c r="G17794" s="126">
        <f t="shared" si="284"/>
        <v>-25000</v>
      </c>
      <c r="H17794" s="705" t="s">
        <v>11835</v>
      </c>
    </row>
    <row r="17795" spans="1:8" ht="15" x14ac:dyDescent="0.2">
      <c r="A17795" s="734">
        <v>45271</v>
      </c>
      <c r="B17795" s="63" t="s">
        <v>25</v>
      </c>
      <c r="C17795" s="1099" t="s">
        <v>794</v>
      </c>
      <c r="D17795" s="183" t="s">
        <v>12220</v>
      </c>
      <c r="E17795" s="126">
        <v>105000</v>
      </c>
      <c r="F17795" s="126"/>
      <c r="G17795" s="126">
        <f t="shared" si="284"/>
        <v>-105000</v>
      </c>
      <c r="H17795" s="705" t="s">
        <v>11835</v>
      </c>
    </row>
    <row r="17796" spans="1:8" ht="15" customHeight="1" x14ac:dyDescent="0.2">
      <c r="A17796" s="734">
        <v>45271</v>
      </c>
      <c r="B17796" s="1099" t="s">
        <v>37</v>
      </c>
      <c r="C17796" s="1099" t="s">
        <v>794</v>
      </c>
      <c r="D17796" s="1102" t="s">
        <v>11845</v>
      </c>
      <c r="E17796" s="1101">
        <v>142070</v>
      </c>
      <c r="F17796" s="126"/>
      <c r="G17796" s="126">
        <f t="shared" ref="G17796:G17818" si="285">F17796-E17796</f>
        <v>-142070</v>
      </c>
      <c r="H17796" s="705" t="s">
        <v>11835</v>
      </c>
    </row>
    <row r="17797" spans="1:8" ht="15" customHeight="1" x14ac:dyDescent="0.2">
      <c r="A17797" s="734">
        <v>45271</v>
      </c>
      <c r="B17797" s="1099" t="s">
        <v>3946</v>
      </c>
      <c r="C17797" s="1099" t="s">
        <v>794</v>
      </c>
      <c r="D17797" s="1102" t="s">
        <v>12105</v>
      </c>
      <c r="E17797" s="1101">
        <v>131700</v>
      </c>
      <c r="F17797" s="126"/>
      <c r="G17797" s="126">
        <f t="shared" si="285"/>
        <v>-131700</v>
      </c>
      <c r="H17797" s="705" t="s">
        <v>11835</v>
      </c>
    </row>
    <row r="17798" spans="1:8" ht="15" customHeight="1" x14ac:dyDescent="0.2">
      <c r="A17798" s="734">
        <v>45271</v>
      </c>
      <c r="B17798" s="1099" t="s">
        <v>10232</v>
      </c>
      <c r="C17798" s="1099" t="s">
        <v>794</v>
      </c>
      <c r="D17798" s="1102" t="s">
        <v>11624</v>
      </c>
      <c r="E17798" s="1101">
        <v>65000</v>
      </c>
      <c r="F17798" s="126"/>
      <c r="G17798" s="126">
        <f t="shared" si="285"/>
        <v>-65000</v>
      </c>
      <c r="H17798" s="705" t="s">
        <v>11835</v>
      </c>
    </row>
    <row r="17799" spans="1:8" ht="15" customHeight="1" x14ac:dyDescent="0.2">
      <c r="A17799" s="734">
        <v>45271</v>
      </c>
      <c r="B17799" s="1099" t="s">
        <v>103</v>
      </c>
      <c r="C17799" s="1099" t="s">
        <v>794</v>
      </c>
      <c r="D17799" s="1102" t="s">
        <v>10137</v>
      </c>
      <c r="E17799" s="1101">
        <v>241520</v>
      </c>
      <c r="F17799" s="126"/>
      <c r="G17799" s="126">
        <f t="shared" si="285"/>
        <v>-241520</v>
      </c>
      <c r="H17799" s="705" t="s">
        <v>11835</v>
      </c>
    </row>
    <row r="17800" spans="1:8" ht="15" customHeight="1" x14ac:dyDescent="0.2">
      <c r="A17800" s="734">
        <v>45271</v>
      </c>
      <c r="B17800" s="1099" t="s">
        <v>11089</v>
      </c>
      <c r="C17800" s="1099" t="s">
        <v>794</v>
      </c>
      <c r="D17800" s="1102" t="s">
        <v>12114</v>
      </c>
      <c r="E17800" s="1101">
        <v>37260</v>
      </c>
      <c r="F17800" s="126"/>
      <c r="G17800" s="126">
        <f t="shared" si="285"/>
        <v>-37260</v>
      </c>
      <c r="H17800" s="705" t="s">
        <v>11835</v>
      </c>
    </row>
    <row r="17801" spans="1:8" ht="15" customHeight="1" x14ac:dyDescent="0.2">
      <c r="A17801" s="734">
        <v>45271</v>
      </c>
      <c r="B17801" s="1099" t="s">
        <v>11089</v>
      </c>
      <c r="C17801" s="1099" t="s">
        <v>794</v>
      </c>
      <c r="D17801" s="1102" t="s">
        <v>11850</v>
      </c>
      <c r="E17801" s="1101">
        <v>43000</v>
      </c>
      <c r="F17801" s="126"/>
      <c r="G17801" s="126">
        <f t="shared" si="285"/>
        <v>-43000</v>
      </c>
      <c r="H17801" s="705" t="s">
        <v>11835</v>
      </c>
    </row>
    <row r="17802" spans="1:8" ht="15" customHeight="1" x14ac:dyDescent="0.2">
      <c r="A17802" s="734">
        <v>45271</v>
      </c>
      <c r="B17802" s="1099" t="s">
        <v>9986</v>
      </c>
      <c r="C17802" s="1099" t="s">
        <v>794</v>
      </c>
      <c r="D17802" s="1102" t="s">
        <v>12116</v>
      </c>
      <c r="E17802" s="1101">
        <v>24570</v>
      </c>
      <c r="F17802" s="126"/>
      <c r="G17802" s="126">
        <f t="shared" si="285"/>
        <v>-24570</v>
      </c>
      <c r="H17802" s="705" t="s">
        <v>11835</v>
      </c>
    </row>
    <row r="17803" spans="1:8" ht="15" customHeight="1" x14ac:dyDescent="0.2">
      <c r="A17803" s="734">
        <v>45271</v>
      </c>
      <c r="B17803" s="1099" t="s">
        <v>11635</v>
      </c>
      <c r="C17803" s="1099" t="s">
        <v>794</v>
      </c>
      <c r="D17803" s="1102" t="s">
        <v>10749</v>
      </c>
      <c r="E17803" s="1101">
        <v>98800</v>
      </c>
      <c r="F17803" s="126"/>
      <c r="G17803" s="126">
        <f t="shared" si="285"/>
        <v>-98800</v>
      </c>
      <c r="H17803" s="705" t="s">
        <v>11835</v>
      </c>
    </row>
    <row r="17804" spans="1:8" ht="15" x14ac:dyDescent="0.2">
      <c r="A17804" s="734">
        <v>45271</v>
      </c>
      <c r="B17804" s="1099" t="s">
        <v>9986</v>
      </c>
      <c r="C17804" s="1099" t="s">
        <v>794</v>
      </c>
      <c r="D17804" s="1102" t="s">
        <v>12120</v>
      </c>
      <c r="E17804" s="1101">
        <v>161680</v>
      </c>
      <c r="F17804" s="126"/>
      <c r="G17804" s="126">
        <f t="shared" si="285"/>
        <v>-161680</v>
      </c>
      <c r="H17804" s="705" t="s">
        <v>11835</v>
      </c>
    </row>
    <row r="17805" spans="1:8" ht="15" x14ac:dyDescent="0.2">
      <c r="A17805" s="734">
        <v>45271</v>
      </c>
      <c r="B17805" s="1099" t="s">
        <v>9356</v>
      </c>
      <c r="C17805" s="1099" t="s">
        <v>794</v>
      </c>
      <c r="D17805" s="1102" t="s">
        <v>12121</v>
      </c>
      <c r="E17805" s="1101">
        <v>54780</v>
      </c>
      <c r="F17805" s="126"/>
      <c r="G17805" s="126">
        <f t="shared" si="285"/>
        <v>-54780</v>
      </c>
      <c r="H17805" s="705" t="s">
        <v>11835</v>
      </c>
    </row>
    <row r="17806" spans="1:8" ht="15" x14ac:dyDescent="0.2">
      <c r="A17806" s="734">
        <v>45271</v>
      </c>
      <c r="B17806" s="1099" t="s">
        <v>11089</v>
      </c>
      <c r="C17806" s="1099" t="s">
        <v>794</v>
      </c>
      <c r="D17806" s="1102" t="s">
        <v>12122</v>
      </c>
      <c r="E17806" s="1101">
        <v>51850</v>
      </c>
      <c r="F17806" s="126"/>
      <c r="G17806" s="126">
        <f t="shared" si="285"/>
        <v>-51850</v>
      </c>
      <c r="H17806" s="705" t="s">
        <v>11835</v>
      </c>
    </row>
    <row r="17807" spans="1:8" ht="15" x14ac:dyDescent="0.2">
      <c r="A17807" s="734">
        <v>45271</v>
      </c>
      <c r="B17807" s="1099" t="s">
        <v>3946</v>
      </c>
      <c r="C17807" s="1099" t="s">
        <v>794</v>
      </c>
      <c r="D17807" s="1102" t="s">
        <v>12123</v>
      </c>
      <c r="E17807" s="1101">
        <v>28000</v>
      </c>
      <c r="F17807" s="126"/>
      <c r="G17807" s="126">
        <f t="shared" si="285"/>
        <v>-28000</v>
      </c>
      <c r="H17807" s="705" t="s">
        <v>11835</v>
      </c>
    </row>
    <row r="17808" spans="1:8" ht="15" x14ac:dyDescent="0.2">
      <c r="A17808" s="734">
        <v>45271</v>
      </c>
      <c r="B17808" s="1099" t="s">
        <v>11340</v>
      </c>
      <c r="C17808" s="1099" t="s">
        <v>794</v>
      </c>
      <c r="D17808" s="1102" t="s">
        <v>11854</v>
      </c>
      <c r="E17808" s="1101">
        <v>29580</v>
      </c>
      <c r="F17808" s="126"/>
      <c r="G17808" s="126">
        <f t="shared" si="285"/>
        <v>-29580</v>
      </c>
      <c r="H17808" s="705" t="s">
        <v>11835</v>
      </c>
    </row>
    <row r="17809" spans="1:8" ht="15" x14ac:dyDescent="0.2">
      <c r="A17809" s="734">
        <v>45271</v>
      </c>
      <c r="B17809" s="1099" t="s">
        <v>11089</v>
      </c>
      <c r="C17809" s="1099" t="s">
        <v>794</v>
      </c>
      <c r="D17809" s="1102" t="s">
        <v>11847</v>
      </c>
      <c r="E17809" s="1101">
        <v>36000</v>
      </c>
      <c r="F17809" s="126"/>
      <c r="G17809" s="126">
        <f t="shared" si="285"/>
        <v>-36000</v>
      </c>
      <c r="H17809" s="705" t="s">
        <v>11835</v>
      </c>
    </row>
    <row r="17810" spans="1:8" ht="15" x14ac:dyDescent="0.2">
      <c r="A17810" s="734">
        <v>45271</v>
      </c>
      <c r="B17810" s="1099" t="s">
        <v>3945</v>
      </c>
      <c r="C17810" s="1099" t="s">
        <v>794</v>
      </c>
      <c r="D17810" s="1102" t="s">
        <v>12170</v>
      </c>
      <c r="E17810" s="1101">
        <v>25000</v>
      </c>
      <c r="F17810" s="126"/>
      <c r="G17810" s="126">
        <f t="shared" si="285"/>
        <v>-25000</v>
      </c>
      <c r="H17810" s="705" t="s">
        <v>11835</v>
      </c>
    </row>
    <row r="17811" spans="1:8" ht="15" x14ac:dyDescent="0.2">
      <c r="A17811" s="734">
        <v>45271</v>
      </c>
      <c r="B17811" s="1099" t="s">
        <v>3945</v>
      </c>
      <c r="C17811" s="1099" t="s">
        <v>794</v>
      </c>
      <c r="D17811" s="1102" t="s">
        <v>12171</v>
      </c>
      <c r="E17811" s="1101">
        <v>25000</v>
      </c>
      <c r="F17811" s="126"/>
      <c r="G17811" s="126">
        <f t="shared" si="285"/>
        <v>-25000</v>
      </c>
      <c r="H17811" s="705" t="s">
        <v>11835</v>
      </c>
    </row>
    <row r="17812" spans="1:8" ht="15" x14ac:dyDescent="0.2">
      <c r="A17812" s="734">
        <v>45271</v>
      </c>
      <c r="B17812" s="1099" t="s">
        <v>3945</v>
      </c>
      <c r="C17812" s="1099" t="s">
        <v>794</v>
      </c>
      <c r="D17812" s="1102" t="s">
        <v>12172</v>
      </c>
      <c r="E17812" s="1101">
        <v>25000</v>
      </c>
      <c r="F17812" s="126"/>
      <c r="G17812" s="126">
        <f t="shared" si="285"/>
        <v>-25000</v>
      </c>
      <c r="H17812" s="705" t="s">
        <v>11835</v>
      </c>
    </row>
    <row r="17813" spans="1:8" ht="15" x14ac:dyDescent="0.2">
      <c r="A17813" s="734">
        <v>45271</v>
      </c>
      <c r="B17813" s="1099" t="s">
        <v>3945</v>
      </c>
      <c r="C17813" s="1099" t="s">
        <v>794</v>
      </c>
      <c r="D17813" s="1102" t="s">
        <v>12173</v>
      </c>
      <c r="E17813" s="1101">
        <v>25000</v>
      </c>
      <c r="F17813" s="126"/>
      <c r="G17813" s="126">
        <f t="shared" si="285"/>
        <v>-25000</v>
      </c>
      <c r="H17813" s="705" t="s">
        <v>11835</v>
      </c>
    </row>
    <row r="17814" spans="1:8" ht="15" x14ac:dyDescent="0.2">
      <c r="A17814" s="734">
        <v>45271</v>
      </c>
      <c r="B17814" s="1099" t="s">
        <v>11738</v>
      </c>
      <c r="C17814" s="1099" t="s">
        <v>794</v>
      </c>
      <c r="D17814" s="1102" t="s">
        <v>12161</v>
      </c>
      <c r="E17814" s="1101">
        <v>31410</v>
      </c>
      <c r="F17814" s="126"/>
      <c r="G17814" s="126">
        <f t="shared" si="285"/>
        <v>-31410</v>
      </c>
      <c r="H17814" s="705" t="s">
        <v>11835</v>
      </c>
    </row>
    <row r="17815" spans="1:8" ht="15" x14ac:dyDescent="0.2">
      <c r="A17815" s="734">
        <v>45271</v>
      </c>
      <c r="B17815" s="1099" t="s">
        <v>11635</v>
      </c>
      <c r="C17815" s="1099" t="s">
        <v>794</v>
      </c>
      <c r="D17815" s="1102" t="s">
        <v>11597</v>
      </c>
      <c r="E17815" s="1101">
        <v>42100</v>
      </c>
      <c r="F17815" s="126"/>
      <c r="G17815" s="126">
        <f t="shared" si="285"/>
        <v>-42100</v>
      </c>
      <c r="H17815" s="705" t="s">
        <v>11835</v>
      </c>
    </row>
    <row r="17816" spans="1:8" ht="15" x14ac:dyDescent="0.2">
      <c r="A17816" s="734">
        <v>45271</v>
      </c>
      <c r="B17816" s="1099" t="s">
        <v>3945</v>
      </c>
      <c r="C17816" s="1099" t="s">
        <v>794</v>
      </c>
      <c r="D17816" s="1102" t="s">
        <v>12176</v>
      </c>
      <c r="E17816" s="1101">
        <v>35050</v>
      </c>
      <c r="F17816" s="126"/>
      <c r="G17816" s="126">
        <f t="shared" si="285"/>
        <v>-35050</v>
      </c>
      <c r="H17816" s="705" t="s">
        <v>11835</v>
      </c>
    </row>
    <row r="17817" spans="1:8" ht="15" x14ac:dyDescent="0.2">
      <c r="A17817" s="734">
        <v>45271</v>
      </c>
      <c r="B17817" s="1099" t="s">
        <v>10908</v>
      </c>
      <c r="C17817" s="1099" t="s">
        <v>794</v>
      </c>
      <c r="D17817" s="1102" t="s">
        <v>12177</v>
      </c>
      <c r="E17817" s="1101">
        <v>48385</v>
      </c>
      <c r="F17817" s="126"/>
      <c r="G17817" s="126">
        <f t="shared" si="285"/>
        <v>-48385</v>
      </c>
      <c r="H17817" s="705" t="s">
        <v>11835</v>
      </c>
    </row>
    <row r="17818" spans="1:8" ht="15" x14ac:dyDescent="0.2">
      <c r="A17818" s="734">
        <v>45271</v>
      </c>
      <c r="B17818" s="1099" t="s">
        <v>11738</v>
      </c>
      <c r="C17818" s="1099" t="s">
        <v>794</v>
      </c>
      <c r="D17818" s="1102" t="s">
        <v>12188</v>
      </c>
      <c r="E17818" s="1101">
        <v>100000</v>
      </c>
      <c r="F17818" s="126"/>
      <c r="G17818" s="126">
        <f t="shared" si="285"/>
        <v>-100000</v>
      </c>
      <c r="H17818" s="705" t="s">
        <v>11835</v>
      </c>
    </row>
    <row r="17819" spans="1:8" ht="15" x14ac:dyDescent="0.2">
      <c r="A17819" s="734">
        <v>45271</v>
      </c>
      <c r="B17819" s="1099" t="s">
        <v>11738</v>
      </c>
      <c r="C17819" s="1099" t="s">
        <v>794</v>
      </c>
      <c r="D17819" s="1102" t="s">
        <v>12209</v>
      </c>
      <c r="E17819" s="1101">
        <v>42302.419354838712</v>
      </c>
      <c r="F17819" s="126"/>
      <c r="G17819" s="126">
        <f t="shared" ref="G17819:G17828" si="286">F17819-E17819</f>
        <v>-42302.419354838712</v>
      </c>
      <c r="H17819" s="705" t="s">
        <v>11835</v>
      </c>
    </row>
    <row r="17820" spans="1:8" ht="15" x14ac:dyDescent="0.2">
      <c r="A17820" s="734">
        <v>45271</v>
      </c>
      <c r="B17820" s="1099" t="s">
        <v>11738</v>
      </c>
      <c r="C17820" s="1099" t="s">
        <v>794</v>
      </c>
      <c r="D17820" s="1102" t="s">
        <v>12210</v>
      </c>
      <c r="E17820" s="1101">
        <v>57903.225806451621</v>
      </c>
      <c r="F17820" s="126"/>
      <c r="G17820" s="126">
        <f t="shared" si="286"/>
        <v>-57903.225806451621</v>
      </c>
      <c r="H17820" s="705" t="s">
        <v>11835</v>
      </c>
    </row>
    <row r="17821" spans="1:8" ht="15" x14ac:dyDescent="0.2">
      <c r="A17821" s="734">
        <v>45271</v>
      </c>
      <c r="B17821" s="1099" t="s">
        <v>11738</v>
      </c>
      <c r="C17821" s="1099" t="s">
        <v>794</v>
      </c>
      <c r="D17821" s="1102" t="s">
        <v>12211</v>
      </c>
      <c r="E17821" s="1101">
        <v>45725.806451612902</v>
      </c>
      <c r="F17821" s="126"/>
      <c r="G17821" s="126">
        <f t="shared" si="286"/>
        <v>-45725.806451612902</v>
      </c>
      <c r="H17821" s="705" t="s">
        <v>11835</v>
      </c>
    </row>
    <row r="17822" spans="1:8" ht="15" x14ac:dyDescent="0.2">
      <c r="A17822" s="734">
        <v>45271</v>
      </c>
      <c r="B17822" s="1099" t="s">
        <v>11738</v>
      </c>
      <c r="C17822" s="1099" t="s">
        <v>794</v>
      </c>
      <c r="D17822" s="1102" t="s">
        <v>12212</v>
      </c>
      <c r="E17822" s="1101">
        <v>33987.903225806447</v>
      </c>
      <c r="F17822" s="126"/>
      <c r="G17822" s="126">
        <f t="shared" si="286"/>
        <v>-33987.903225806447</v>
      </c>
      <c r="H17822" s="705" t="s">
        <v>11835</v>
      </c>
    </row>
    <row r="17823" spans="1:8" ht="15" x14ac:dyDescent="0.2">
      <c r="A17823" s="734">
        <v>45271</v>
      </c>
      <c r="B17823" s="1099" t="s">
        <v>11738</v>
      </c>
      <c r="C17823" s="1099" t="s">
        <v>794</v>
      </c>
      <c r="D17823" s="1102" t="s">
        <v>12213</v>
      </c>
      <c r="E17823" s="1101">
        <v>55604.838709677424</v>
      </c>
      <c r="F17823" s="126"/>
      <c r="G17823" s="126">
        <f t="shared" si="286"/>
        <v>-55604.838709677424</v>
      </c>
      <c r="H17823" s="705" t="s">
        <v>11835</v>
      </c>
    </row>
    <row r="17824" spans="1:8" ht="15" x14ac:dyDescent="0.2">
      <c r="A17824" s="734">
        <v>45271</v>
      </c>
      <c r="B17824" s="1099" t="s">
        <v>11738</v>
      </c>
      <c r="C17824" s="1099" t="s">
        <v>794</v>
      </c>
      <c r="D17824" s="1102" t="s">
        <v>12214</v>
      </c>
      <c r="E17824" s="1101">
        <v>30947.580645161292</v>
      </c>
      <c r="F17824" s="126"/>
      <c r="G17824" s="126">
        <f t="shared" si="286"/>
        <v>-30947.580645161292</v>
      </c>
      <c r="H17824" s="705" t="s">
        <v>11835</v>
      </c>
    </row>
    <row r="17825" spans="1:8" ht="15" x14ac:dyDescent="0.2">
      <c r="A17825" s="734">
        <v>45271</v>
      </c>
      <c r="B17825" s="1099" t="s">
        <v>11738</v>
      </c>
      <c r="C17825" s="1099" t="s">
        <v>794</v>
      </c>
      <c r="D17825" s="1102" t="s">
        <v>12215</v>
      </c>
      <c r="E17825" s="1101">
        <v>51229.838709677417</v>
      </c>
      <c r="F17825" s="126"/>
      <c r="G17825" s="126">
        <f t="shared" si="286"/>
        <v>-51229.838709677417</v>
      </c>
      <c r="H17825" s="705" t="s">
        <v>11835</v>
      </c>
    </row>
    <row r="17826" spans="1:8" ht="15" x14ac:dyDescent="0.2">
      <c r="A17826" s="734">
        <v>45271</v>
      </c>
      <c r="B17826" s="1099" t="s">
        <v>11738</v>
      </c>
      <c r="C17826" s="1099" t="s">
        <v>794</v>
      </c>
      <c r="D17826" s="1102" t="s">
        <v>12216</v>
      </c>
      <c r="E17826" s="1101">
        <v>45967.741935483864</v>
      </c>
      <c r="F17826" s="126"/>
      <c r="G17826" s="126">
        <f t="shared" si="286"/>
        <v>-45967.741935483864</v>
      </c>
      <c r="H17826" s="705" t="s">
        <v>11835</v>
      </c>
    </row>
    <row r="17827" spans="1:8" ht="15" x14ac:dyDescent="0.2">
      <c r="A17827" s="734">
        <v>45271</v>
      </c>
      <c r="B17827" s="1099" t="s">
        <v>11738</v>
      </c>
      <c r="C17827" s="1099" t="s">
        <v>794</v>
      </c>
      <c r="D17827" s="1102" t="s">
        <v>12217</v>
      </c>
      <c r="E17827" s="1101">
        <v>34129.032258064515</v>
      </c>
      <c r="F17827" s="126"/>
      <c r="G17827" s="126">
        <f t="shared" si="286"/>
        <v>-34129.032258064515</v>
      </c>
      <c r="H17827" s="705" t="s">
        <v>11835</v>
      </c>
    </row>
    <row r="17828" spans="1:8" ht="15" x14ac:dyDescent="0.2">
      <c r="A17828" s="734">
        <v>45271</v>
      </c>
      <c r="B17828" s="1099" t="s">
        <v>12082</v>
      </c>
      <c r="C17828" s="1099" t="s">
        <v>794</v>
      </c>
      <c r="D17828" s="1102" t="s">
        <v>9012</v>
      </c>
      <c r="E17828" s="1101">
        <v>5000</v>
      </c>
      <c r="F17828" s="126"/>
      <c r="G17828" s="126">
        <f t="shared" si="286"/>
        <v>-5000</v>
      </c>
      <c r="H17828" s="705" t="s">
        <v>11835</v>
      </c>
    </row>
    <row r="17829" spans="1:8" ht="23.25" customHeight="1" x14ac:dyDescent="0.2">
      <c r="A17829" s="734">
        <v>45271</v>
      </c>
      <c r="B17829" s="1099" t="s">
        <v>11738</v>
      </c>
      <c r="C17829" s="1099" t="s">
        <v>794</v>
      </c>
      <c r="D17829" s="1102" t="s">
        <v>12234</v>
      </c>
      <c r="E17829" s="1101">
        <v>70000</v>
      </c>
      <c r="F17829" s="126"/>
      <c r="G17829" s="126">
        <f>F17829-E17829</f>
        <v>-70000</v>
      </c>
      <c r="H17829" s="705" t="s">
        <v>11835</v>
      </c>
    </row>
    <row r="17830" spans="1:8" ht="15" x14ac:dyDescent="0.2">
      <c r="A17830" s="734">
        <v>45271</v>
      </c>
      <c r="B17830" s="63" t="s">
        <v>9986</v>
      </c>
      <c r="C17830" s="551" t="s">
        <v>438</v>
      </c>
      <c r="D17830" s="740" t="s">
        <v>11889</v>
      </c>
      <c r="E17830" s="552">
        <v>7000</v>
      </c>
      <c r="F17830" s="126"/>
      <c r="G17830" s="126">
        <f t="shared" si="283"/>
        <v>-7000</v>
      </c>
      <c r="H17830" s="705" t="s">
        <v>11835</v>
      </c>
    </row>
    <row r="17831" spans="1:8" ht="15" customHeight="1" x14ac:dyDescent="0.2">
      <c r="A17831" s="734">
        <v>45271</v>
      </c>
      <c r="B17831" s="63" t="s">
        <v>10471</v>
      </c>
      <c r="C17831" s="551" t="s">
        <v>438</v>
      </c>
      <c r="D17831" s="740" t="s">
        <v>11889</v>
      </c>
      <c r="E17831" s="552">
        <v>52000</v>
      </c>
      <c r="F17831" s="126"/>
      <c r="G17831" s="126">
        <f t="shared" ref="G17831:G17894" si="287">F17831-E17831</f>
        <v>-52000</v>
      </c>
      <c r="H17831" s="705" t="s">
        <v>11835</v>
      </c>
    </row>
    <row r="17832" spans="1:8" ht="15" customHeight="1" x14ac:dyDescent="0.2">
      <c r="A17832" s="734">
        <v>45271</v>
      </c>
      <c r="B17832" s="63" t="s">
        <v>11089</v>
      </c>
      <c r="C17832" s="63" t="s">
        <v>11896</v>
      </c>
      <c r="D17832" s="183" t="s">
        <v>11171</v>
      </c>
      <c r="E17832" s="126">
        <v>400000</v>
      </c>
      <c r="F17832" s="126"/>
      <c r="G17832" s="126">
        <f t="shared" si="287"/>
        <v>-400000</v>
      </c>
      <c r="H17832" s="705" t="s">
        <v>11835</v>
      </c>
    </row>
    <row r="17833" spans="1:8" ht="15" customHeight="1" x14ac:dyDescent="0.2">
      <c r="A17833" s="734">
        <v>45271</v>
      </c>
      <c r="B17833" s="63" t="s">
        <v>11089</v>
      </c>
      <c r="C17833" s="63" t="s">
        <v>11896</v>
      </c>
      <c r="D17833" s="183" t="s">
        <v>11171</v>
      </c>
      <c r="E17833" s="126">
        <v>600000</v>
      </c>
      <c r="F17833" s="126"/>
      <c r="G17833" s="126">
        <f t="shared" si="287"/>
        <v>-600000</v>
      </c>
      <c r="H17833" s="705" t="s">
        <v>11835</v>
      </c>
    </row>
    <row r="17834" spans="1:8" ht="15" customHeight="1" x14ac:dyDescent="0.2">
      <c r="A17834" s="734">
        <v>45271</v>
      </c>
      <c r="B17834" s="63" t="s">
        <v>11897</v>
      </c>
      <c r="C17834" s="63" t="s">
        <v>11898</v>
      </c>
      <c r="D17834" s="183" t="s">
        <v>11899</v>
      </c>
      <c r="E17834" s="126">
        <v>1500000</v>
      </c>
      <c r="F17834" s="126"/>
      <c r="G17834" s="126">
        <f t="shared" si="287"/>
        <v>-1500000</v>
      </c>
      <c r="H17834" s="705" t="s">
        <v>11835</v>
      </c>
    </row>
    <row r="17835" spans="1:8" ht="15" customHeight="1" x14ac:dyDescent="0.2">
      <c r="A17835" s="734">
        <v>45271</v>
      </c>
      <c r="B17835" s="63" t="s">
        <v>103</v>
      </c>
      <c r="C17835" s="63" t="s">
        <v>103</v>
      </c>
      <c r="D17835" s="183" t="s">
        <v>11900</v>
      </c>
      <c r="E17835" s="126">
        <v>15000</v>
      </c>
      <c r="F17835" s="126"/>
      <c r="G17835" s="126">
        <f t="shared" si="287"/>
        <v>-15000</v>
      </c>
      <c r="H17835" s="705" t="s">
        <v>11835</v>
      </c>
    </row>
    <row r="17836" spans="1:8" ht="15" customHeight="1" x14ac:dyDescent="0.2">
      <c r="A17836" s="734">
        <v>45271</v>
      </c>
      <c r="B17836" s="63" t="s">
        <v>11897</v>
      </c>
      <c r="C17836" s="63" t="s">
        <v>5410</v>
      </c>
      <c r="D17836" s="183" t="s">
        <v>11901</v>
      </c>
      <c r="E17836" s="126">
        <v>10000</v>
      </c>
      <c r="F17836" s="126"/>
      <c r="G17836" s="126">
        <f t="shared" si="287"/>
        <v>-10000</v>
      </c>
      <c r="H17836" s="705" t="s">
        <v>11835</v>
      </c>
    </row>
    <row r="17837" spans="1:8" ht="15" customHeight="1" x14ac:dyDescent="0.2">
      <c r="A17837" s="734">
        <v>45271</v>
      </c>
      <c r="B17837" s="63" t="s">
        <v>11728</v>
      </c>
      <c r="C17837" s="63" t="s">
        <v>10993</v>
      </c>
      <c r="D17837" s="183" t="s">
        <v>11902</v>
      </c>
      <c r="E17837" s="126">
        <v>3900</v>
      </c>
      <c r="F17837" s="126"/>
      <c r="G17837" s="126">
        <f t="shared" si="287"/>
        <v>-3900</v>
      </c>
      <c r="H17837" s="705" t="s">
        <v>11835</v>
      </c>
    </row>
    <row r="17838" spans="1:8" ht="15" customHeight="1" x14ac:dyDescent="0.2">
      <c r="A17838" s="734">
        <v>45271</v>
      </c>
      <c r="B17838" s="63" t="s">
        <v>10908</v>
      </c>
      <c r="C17838" s="63" t="s">
        <v>5741</v>
      </c>
      <c r="D17838" s="183" t="s">
        <v>1157</v>
      </c>
      <c r="E17838" s="126">
        <v>1000</v>
      </c>
      <c r="F17838" s="126"/>
      <c r="G17838" s="126">
        <f t="shared" si="287"/>
        <v>-1000</v>
      </c>
      <c r="H17838" s="705" t="s">
        <v>11835</v>
      </c>
    </row>
    <row r="17839" spans="1:8" ht="15" customHeight="1" x14ac:dyDescent="0.2">
      <c r="A17839" s="734">
        <v>45271</v>
      </c>
      <c r="B17839" s="63" t="s">
        <v>11635</v>
      </c>
      <c r="C17839" s="63" t="s">
        <v>11029</v>
      </c>
      <c r="D17839" s="183" t="s">
        <v>11903</v>
      </c>
      <c r="E17839" s="126">
        <v>40000</v>
      </c>
      <c r="F17839" s="126"/>
      <c r="G17839" s="126">
        <f t="shared" si="287"/>
        <v>-40000</v>
      </c>
      <c r="H17839" s="705" t="s">
        <v>11835</v>
      </c>
    </row>
    <row r="17840" spans="1:8" ht="15" customHeight="1" x14ac:dyDescent="0.2">
      <c r="A17840" s="734">
        <v>45271</v>
      </c>
      <c r="B17840" s="63" t="s">
        <v>10908</v>
      </c>
      <c r="C17840" s="63" t="s">
        <v>5741</v>
      </c>
      <c r="D17840" s="183" t="s">
        <v>11904</v>
      </c>
      <c r="E17840" s="126">
        <v>2000</v>
      </c>
      <c r="F17840" s="126"/>
      <c r="G17840" s="126">
        <f t="shared" si="287"/>
        <v>-2000</v>
      </c>
      <c r="H17840" s="705" t="s">
        <v>11835</v>
      </c>
    </row>
    <row r="17841" spans="1:8" ht="15" customHeight="1" x14ac:dyDescent="0.2">
      <c r="A17841" s="734">
        <v>45274</v>
      </c>
      <c r="B17841" s="63" t="s">
        <v>11728</v>
      </c>
      <c r="C17841" s="63" t="s">
        <v>5741</v>
      </c>
      <c r="D17841" s="183" t="s">
        <v>10337</v>
      </c>
      <c r="E17841" s="126">
        <v>250</v>
      </c>
      <c r="F17841" s="126"/>
      <c r="G17841" s="126">
        <f t="shared" si="287"/>
        <v>-250</v>
      </c>
      <c r="H17841" s="705" t="s">
        <v>11835</v>
      </c>
    </row>
    <row r="17842" spans="1:8" ht="15" customHeight="1" x14ac:dyDescent="0.2">
      <c r="A17842" s="734">
        <v>45274</v>
      </c>
      <c r="B17842" s="63" t="s">
        <v>11089</v>
      </c>
      <c r="C17842" s="63" t="s">
        <v>11905</v>
      </c>
      <c r="D17842" s="183" t="s">
        <v>11930</v>
      </c>
      <c r="E17842" s="126">
        <v>155000</v>
      </c>
      <c r="F17842" s="126"/>
      <c r="G17842" s="126">
        <f t="shared" si="287"/>
        <v>-155000</v>
      </c>
      <c r="H17842" s="705" t="s">
        <v>11835</v>
      </c>
    </row>
    <row r="17843" spans="1:8" ht="15" customHeight="1" x14ac:dyDescent="0.2">
      <c r="A17843" s="734">
        <v>45274</v>
      </c>
      <c r="B17843" s="63" t="s">
        <v>11617</v>
      </c>
      <c r="C17843" s="551" t="s">
        <v>670</v>
      </c>
      <c r="D17843" s="740" t="s">
        <v>11906</v>
      </c>
      <c r="E17843" s="552">
        <v>23750</v>
      </c>
      <c r="F17843" s="126"/>
      <c r="G17843" s="126">
        <f t="shared" si="287"/>
        <v>-23750</v>
      </c>
      <c r="H17843" s="705" t="s">
        <v>11835</v>
      </c>
    </row>
    <row r="17844" spans="1:8" ht="15" customHeight="1" x14ac:dyDescent="0.2">
      <c r="A17844" s="734">
        <v>45274</v>
      </c>
      <c r="B17844" s="63" t="s">
        <v>10908</v>
      </c>
      <c r="C17844" s="551" t="s">
        <v>670</v>
      </c>
      <c r="D17844" s="740" t="s">
        <v>11906</v>
      </c>
      <c r="E17844" s="552">
        <v>23750</v>
      </c>
      <c r="F17844" s="126"/>
      <c r="G17844" s="126">
        <f t="shared" si="287"/>
        <v>-23750</v>
      </c>
      <c r="H17844" s="705" t="s">
        <v>11835</v>
      </c>
    </row>
    <row r="17845" spans="1:8" ht="15" customHeight="1" x14ac:dyDescent="0.2">
      <c r="A17845" s="734">
        <v>45274</v>
      </c>
      <c r="B17845" s="63" t="s">
        <v>11623</v>
      </c>
      <c r="C17845" s="551" t="s">
        <v>670</v>
      </c>
      <c r="D17845" s="740" t="s">
        <v>11906</v>
      </c>
      <c r="E17845" s="552">
        <v>23750</v>
      </c>
      <c r="F17845" s="126"/>
      <c r="G17845" s="126">
        <f t="shared" si="287"/>
        <v>-23750</v>
      </c>
      <c r="H17845" s="705" t="s">
        <v>11835</v>
      </c>
    </row>
    <row r="17846" spans="1:8" ht="15" customHeight="1" x14ac:dyDescent="0.2">
      <c r="A17846" s="734">
        <v>45274</v>
      </c>
      <c r="B17846" s="63" t="s">
        <v>10232</v>
      </c>
      <c r="C17846" s="551" t="s">
        <v>670</v>
      </c>
      <c r="D17846" s="740" t="s">
        <v>11906</v>
      </c>
      <c r="E17846" s="552">
        <v>23750</v>
      </c>
      <c r="F17846" s="126"/>
      <c r="G17846" s="126">
        <f t="shared" si="287"/>
        <v>-23750</v>
      </c>
      <c r="H17846" s="705" t="s">
        <v>11835</v>
      </c>
    </row>
    <row r="17847" spans="1:8" ht="24" customHeight="1" x14ac:dyDescent="0.2">
      <c r="A17847" s="734">
        <v>45275</v>
      </c>
      <c r="B17847" s="63" t="s">
        <v>11617</v>
      </c>
      <c r="C17847" s="670" t="s">
        <v>10993</v>
      </c>
      <c r="D17847" s="907" t="s">
        <v>11931</v>
      </c>
      <c r="E17847" s="672">
        <v>20000</v>
      </c>
      <c r="F17847" s="126"/>
      <c r="G17847" s="126">
        <f t="shared" si="287"/>
        <v>-20000</v>
      </c>
      <c r="H17847" s="705" t="s">
        <v>11835</v>
      </c>
    </row>
    <row r="17848" spans="1:8" ht="24" customHeight="1" x14ac:dyDescent="0.2">
      <c r="A17848" s="734">
        <v>45275</v>
      </c>
      <c r="B17848" s="63" t="s">
        <v>11623</v>
      </c>
      <c r="C17848" s="670" t="s">
        <v>10993</v>
      </c>
      <c r="D17848" s="907" t="s">
        <v>11931</v>
      </c>
      <c r="E17848" s="672">
        <v>9600</v>
      </c>
      <c r="F17848" s="126"/>
      <c r="G17848" s="126">
        <f t="shared" si="287"/>
        <v>-9600</v>
      </c>
      <c r="H17848" s="705" t="s">
        <v>11835</v>
      </c>
    </row>
    <row r="17849" spans="1:8" ht="15" customHeight="1" x14ac:dyDescent="0.2">
      <c r="A17849" s="734">
        <v>45275</v>
      </c>
      <c r="B17849" s="63" t="s">
        <v>11728</v>
      </c>
      <c r="C17849" s="63" t="s">
        <v>11455</v>
      </c>
      <c r="D17849" s="183" t="s">
        <v>11932</v>
      </c>
      <c r="E17849" s="126">
        <v>143500</v>
      </c>
      <c r="F17849" s="126"/>
      <c r="G17849" s="126">
        <f t="shared" si="287"/>
        <v>-143500</v>
      </c>
      <c r="H17849" s="705" t="s">
        <v>11835</v>
      </c>
    </row>
    <row r="17850" spans="1:8" ht="15" customHeight="1" x14ac:dyDescent="0.2">
      <c r="A17850" s="734">
        <v>45275</v>
      </c>
      <c r="B17850" s="63" t="s">
        <v>11897</v>
      </c>
      <c r="C17850" s="63" t="s">
        <v>256</v>
      </c>
      <c r="D17850" s="183" t="s">
        <v>11933</v>
      </c>
      <c r="E17850" s="126">
        <v>1500000</v>
      </c>
      <c r="F17850" s="126"/>
      <c r="G17850" s="126">
        <f t="shared" si="287"/>
        <v>-1500000</v>
      </c>
      <c r="H17850" s="705" t="s">
        <v>11835</v>
      </c>
    </row>
    <row r="17851" spans="1:8" ht="15" customHeight="1" x14ac:dyDescent="0.2">
      <c r="A17851" s="734">
        <v>45275</v>
      </c>
      <c r="B17851" s="63" t="s">
        <v>11635</v>
      </c>
      <c r="C17851" s="63" t="s">
        <v>11752</v>
      </c>
      <c r="D17851" s="183" t="s">
        <v>11933</v>
      </c>
      <c r="E17851" s="126">
        <v>1000000</v>
      </c>
      <c r="F17851" s="126"/>
      <c r="G17851" s="126">
        <f t="shared" si="287"/>
        <v>-1000000</v>
      </c>
      <c r="H17851" s="705" t="s">
        <v>11835</v>
      </c>
    </row>
    <row r="17852" spans="1:8" ht="15" customHeight="1" x14ac:dyDescent="0.2">
      <c r="A17852" s="734">
        <v>45275</v>
      </c>
      <c r="B17852" s="63" t="s">
        <v>11897</v>
      </c>
      <c r="C17852" s="63" t="s">
        <v>10858</v>
      </c>
      <c r="D17852" s="183" t="s">
        <v>11933</v>
      </c>
      <c r="E17852" s="126">
        <v>1000000</v>
      </c>
      <c r="F17852" s="126"/>
      <c r="G17852" s="126">
        <f t="shared" si="287"/>
        <v>-1000000</v>
      </c>
      <c r="H17852" s="705" t="s">
        <v>11835</v>
      </c>
    </row>
    <row r="17853" spans="1:8" ht="24" customHeight="1" x14ac:dyDescent="0.2">
      <c r="A17853" s="734">
        <v>45275</v>
      </c>
      <c r="B17853" s="63" t="s">
        <v>10232</v>
      </c>
      <c r="C17853" s="551" t="s">
        <v>8394</v>
      </c>
      <c r="D17853" s="740" t="s">
        <v>11934</v>
      </c>
      <c r="E17853" s="552">
        <v>250000</v>
      </c>
      <c r="F17853" s="126"/>
      <c r="G17853" s="126">
        <f t="shared" si="287"/>
        <v>-250000</v>
      </c>
      <c r="H17853" s="705" t="s">
        <v>11835</v>
      </c>
    </row>
    <row r="17854" spans="1:8" ht="24" customHeight="1" x14ac:dyDescent="0.2">
      <c r="A17854" s="734">
        <v>45275</v>
      </c>
      <c r="B17854" s="63" t="s">
        <v>10576</v>
      </c>
      <c r="C17854" s="551" t="s">
        <v>8394</v>
      </c>
      <c r="D17854" s="740" t="s">
        <v>11934</v>
      </c>
      <c r="E17854" s="552">
        <v>250000</v>
      </c>
      <c r="F17854" s="126"/>
      <c r="G17854" s="126">
        <f t="shared" si="287"/>
        <v>-250000</v>
      </c>
      <c r="H17854" s="705" t="s">
        <v>11835</v>
      </c>
    </row>
    <row r="17855" spans="1:8" ht="24" customHeight="1" x14ac:dyDescent="0.2">
      <c r="A17855" s="734">
        <v>45275</v>
      </c>
      <c r="B17855" s="63" t="s">
        <v>10909</v>
      </c>
      <c r="C17855" s="551" t="s">
        <v>8394</v>
      </c>
      <c r="D17855" s="740" t="s">
        <v>11934</v>
      </c>
      <c r="E17855" s="552">
        <v>250000</v>
      </c>
      <c r="F17855" s="126"/>
      <c r="G17855" s="126">
        <f t="shared" si="287"/>
        <v>-250000</v>
      </c>
      <c r="H17855" s="705" t="s">
        <v>11835</v>
      </c>
    </row>
    <row r="17856" spans="1:8" ht="24" customHeight="1" x14ac:dyDescent="0.2">
      <c r="A17856" s="734">
        <v>45275</v>
      </c>
      <c r="B17856" s="63" t="s">
        <v>11446</v>
      </c>
      <c r="C17856" s="551" t="s">
        <v>8394</v>
      </c>
      <c r="D17856" s="740" t="s">
        <v>11934</v>
      </c>
      <c r="E17856" s="552">
        <v>250000</v>
      </c>
      <c r="F17856" s="126"/>
      <c r="G17856" s="126">
        <f t="shared" si="287"/>
        <v>-250000</v>
      </c>
      <c r="H17856" s="705" t="s">
        <v>11835</v>
      </c>
    </row>
    <row r="17857" spans="1:8" ht="15" customHeight="1" x14ac:dyDescent="0.2">
      <c r="A17857" s="734">
        <v>45275</v>
      </c>
      <c r="B17857" s="63" t="s">
        <v>10232</v>
      </c>
      <c r="C17857" s="63" t="s">
        <v>7467</v>
      </c>
      <c r="D17857" s="183" t="s">
        <v>11933</v>
      </c>
      <c r="E17857" s="126">
        <v>1000000</v>
      </c>
      <c r="F17857" s="126"/>
      <c r="G17857" s="126">
        <f t="shared" si="287"/>
        <v>-1000000</v>
      </c>
      <c r="H17857" s="705" t="s">
        <v>11835</v>
      </c>
    </row>
    <row r="17858" spans="1:8" ht="15" x14ac:dyDescent="0.2">
      <c r="A17858" s="734">
        <v>45275</v>
      </c>
      <c r="B17858" s="63" t="s">
        <v>11728</v>
      </c>
      <c r="C17858" s="63" t="s">
        <v>10993</v>
      </c>
      <c r="D17858" s="183" t="s">
        <v>11935</v>
      </c>
      <c r="E17858" s="126">
        <v>4150</v>
      </c>
      <c r="F17858" s="126"/>
      <c r="G17858" s="126">
        <f t="shared" si="287"/>
        <v>-4150</v>
      </c>
      <c r="H17858" s="705" t="s">
        <v>11835</v>
      </c>
    </row>
    <row r="17859" spans="1:8" ht="15" x14ac:dyDescent="0.2">
      <c r="A17859" s="734">
        <v>45275</v>
      </c>
      <c r="B17859" s="63" t="s">
        <v>11728</v>
      </c>
      <c r="C17859" s="63" t="s">
        <v>5741</v>
      </c>
      <c r="D17859" s="183" t="s">
        <v>370</v>
      </c>
      <c r="E17859" s="126">
        <v>800</v>
      </c>
      <c r="F17859" s="126"/>
      <c r="G17859" s="126">
        <f t="shared" si="287"/>
        <v>-800</v>
      </c>
      <c r="H17859" s="705" t="s">
        <v>11835</v>
      </c>
    </row>
    <row r="17860" spans="1:8" ht="15" x14ac:dyDescent="0.2">
      <c r="A17860" s="734">
        <v>45275</v>
      </c>
      <c r="B17860" s="63" t="s">
        <v>11728</v>
      </c>
      <c r="C17860" s="63" t="s">
        <v>392</v>
      </c>
      <c r="D17860" s="183" t="s">
        <v>11936</v>
      </c>
      <c r="E17860" s="126">
        <v>50</v>
      </c>
      <c r="F17860" s="126"/>
      <c r="G17860" s="126">
        <f t="shared" si="287"/>
        <v>-50</v>
      </c>
      <c r="H17860" s="705" t="s">
        <v>11835</v>
      </c>
    </row>
    <row r="17861" spans="1:8" ht="15" x14ac:dyDescent="0.2">
      <c r="A17861" s="734">
        <v>45275</v>
      </c>
      <c r="B17861" s="63" t="s">
        <v>25</v>
      </c>
      <c r="C17861" s="63" t="s">
        <v>8150</v>
      </c>
      <c r="D17861" s="183" t="s">
        <v>7590</v>
      </c>
      <c r="E17861" s="126">
        <v>2060</v>
      </c>
      <c r="F17861" s="126"/>
      <c r="G17861" s="126">
        <f t="shared" si="287"/>
        <v>-2060</v>
      </c>
      <c r="H17861" s="705" t="s">
        <v>11835</v>
      </c>
    </row>
    <row r="17862" spans="1:8" ht="15" x14ac:dyDescent="0.2">
      <c r="A17862" s="734">
        <v>45275</v>
      </c>
      <c r="B17862" s="63" t="s">
        <v>103</v>
      </c>
      <c r="C17862" s="63" t="s">
        <v>8150</v>
      </c>
      <c r="D17862" s="183" t="s">
        <v>7590</v>
      </c>
      <c r="E17862" s="126">
        <v>7550</v>
      </c>
      <c r="F17862" s="126"/>
      <c r="G17862" s="126">
        <f t="shared" si="287"/>
        <v>-7550</v>
      </c>
      <c r="H17862" s="705" t="s">
        <v>11835</v>
      </c>
    </row>
    <row r="17863" spans="1:8" ht="15" x14ac:dyDescent="0.2">
      <c r="A17863" s="734">
        <v>45275</v>
      </c>
      <c r="B17863" s="63" t="s">
        <v>11635</v>
      </c>
      <c r="C17863" s="63" t="s">
        <v>392</v>
      </c>
      <c r="D17863" s="183" t="s">
        <v>11937</v>
      </c>
      <c r="E17863" s="126">
        <v>3000</v>
      </c>
      <c r="F17863" s="126"/>
      <c r="G17863" s="126">
        <f t="shared" si="287"/>
        <v>-3000</v>
      </c>
      <c r="H17863" s="705" t="s">
        <v>11835</v>
      </c>
    </row>
    <row r="17864" spans="1:8" ht="15" x14ac:dyDescent="0.2">
      <c r="A17864" s="734">
        <v>45275</v>
      </c>
      <c r="B17864" s="63" t="s">
        <v>11897</v>
      </c>
      <c r="C17864" s="63" t="s">
        <v>5387</v>
      </c>
      <c r="D17864" s="183" t="s">
        <v>10521</v>
      </c>
      <c r="E17864" s="126">
        <v>9000</v>
      </c>
      <c r="F17864" s="126"/>
      <c r="G17864" s="126">
        <f t="shared" si="287"/>
        <v>-9000</v>
      </c>
      <c r="H17864" s="705" t="s">
        <v>11835</v>
      </c>
    </row>
    <row r="17865" spans="1:8" ht="15" x14ac:dyDescent="0.2">
      <c r="A17865" s="734">
        <v>45275</v>
      </c>
      <c r="B17865" s="63" t="s">
        <v>11897</v>
      </c>
      <c r="C17865" s="63" t="s">
        <v>5741</v>
      </c>
      <c r="D17865" s="183" t="s">
        <v>11938</v>
      </c>
      <c r="E17865" s="126">
        <v>7500</v>
      </c>
      <c r="F17865" s="126"/>
      <c r="G17865" s="126">
        <f t="shared" si="287"/>
        <v>-7500</v>
      </c>
      <c r="H17865" s="705" t="s">
        <v>11835</v>
      </c>
    </row>
    <row r="17866" spans="1:8" ht="15" x14ac:dyDescent="0.2">
      <c r="A17866" s="734">
        <v>45275</v>
      </c>
      <c r="B17866" s="63" t="s">
        <v>11728</v>
      </c>
      <c r="C17866" s="63" t="s">
        <v>10993</v>
      </c>
      <c r="D17866" s="183" t="s">
        <v>11939</v>
      </c>
      <c r="E17866" s="126">
        <v>40500</v>
      </c>
      <c r="F17866" s="126"/>
      <c r="G17866" s="126">
        <f t="shared" si="287"/>
        <v>-40500</v>
      </c>
      <c r="H17866" s="705" t="s">
        <v>11835</v>
      </c>
    </row>
    <row r="17867" spans="1:8" ht="15" x14ac:dyDescent="0.2">
      <c r="A17867" s="734">
        <v>45275</v>
      </c>
      <c r="B17867" s="63" t="s">
        <v>11728</v>
      </c>
      <c r="C17867" s="63" t="s">
        <v>10993</v>
      </c>
      <c r="D17867" s="183" t="s">
        <v>11940</v>
      </c>
      <c r="E17867" s="126">
        <v>28000</v>
      </c>
      <c r="F17867" s="126"/>
      <c r="G17867" s="126">
        <f t="shared" si="287"/>
        <v>-28000</v>
      </c>
      <c r="H17867" s="705" t="s">
        <v>11835</v>
      </c>
    </row>
    <row r="17868" spans="1:8" ht="15" customHeight="1" x14ac:dyDescent="0.2">
      <c r="A17868" s="734">
        <v>45275</v>
      </c>
      <c r="B17868" s="63" t="s">
        <v>11089</v>
      </c>
      <c r="C17868" s="63" t="s">
        <v>10993</v>
      </c>
      <c r="D17868" s="183" t="s">
        <v>11941</v>
      </c>
      <c r="E17868" s="126">
        <v>4000</v>
      </c>
      <c r="F17868" s="126"/>
      <c r="G17868" s="126">
        <f t="shared" si="287"/>
        <v>-4000</v>
      </c>
      <c r="H17868" s="705" t="s">
        <v>11835</v>
      </c>
    </row>
    <row r="17869" spans="1:8" ht="15" x14ac:dyDescent="0.2">
      <c r="A17869" s="734">
        <v>45275</v>
      </c>
      <c r="B17869" s="63" t="s">
        <v>11089</v>
      </c>
      <c r="C17869" s="63" t="s">
        <v>10993</v>
      </c>
      <c r="D17869" s="183" t="s">
        <v>11942</v>
      </c>
      <c r="E17869" s="126">
        <v>1500</v>
      </c>
      <c r="F17869" s="126"/>
      <c r="G17869" s="126">
        <f t="shared" si="287"/>
        <v>-1500</v>
      </c>
      <c r="H17869" s="705" t="s">
        <v>11835</v>
      </c>
    </row>
    <row r="17870" spans="1:8" ht="15" x14ac:dyDescent="0.2">
      <c r="A17870" s="734">
        <v>45275</v>
      </c>
      <c r="B17870" s="63" t="s">
        <v>10908</v>
      </c>
      <c r="C17870" s="63" t="s">
        <v>10993</v>
      </c>
      <c r="D17870" s="183" t="s">
        <v>10824</v>
      </c>
      <c r="E17870" s="126">
        <v>1800</v>
      </c>
      <c r="F17870" s="126"/>
      <c r="G17870" s="126">
        <f t="shared" si="287"/>
        <v>-1800</v>
      </c>
      <c r="H17870" s="705" t="s">
        <v>11835</v>
      </c>
    </row>
    <row r="17871" spans="1:8" ht="15" x14ac:dyDescent="0.2">
      <c r="A17871" s="734">
        <v>45275</v>
      </c>
      <c r="B17871" s="63" t="s">
        <v>10232</v>
      </c>
      <c r="C17871" s="63" t="s">
        <v>10993</v>
      </c>
      <c r="D17871" s="183" t="s">
        <v>11277</v>
      </c>
      <c r="E17871" s="126">
        <v>3000</v>
      </c>
      <c r="F17871" s="126"/>
      <c r="G17871" s="126">
        <f t="shared" si="287"/>
        <v>-3000</v>
      </c>
      <c r="H17871" s="705" t="s">
        <v>11835</v>
      </c>
    </row>
    <row r="17872" spans="1:8" ht="15" x14ac:dyDescent="0.2">
      <c r="A17872" s="734">
        <v>45275</v>
      </c>
      <c r="B17872" s="63" t="s">
        <v>11897</v>
      </c>
      <c r="C17872" s="63" t="s">
        <v>392</v>
      </c>
      <c r="D17872" s="183" t="s">
        <v>11943</v>
      </c>
      <c r="E17872" s="126">
        <v>1500</v>
      </c>
      <c r="F17872" s="126"/>
      <c r="G17872" s="126">
        <f t="shared" si="287"/>
        <v>-1500</v>
      </c>
      <c r="H17872" s="705" t="s">
        <v>11835</v>
      </c>
    </row>
    <row r="17873" spans="1:8" ht="15" x14ac:dyDescent="0.2">
      <c r="A17873" s="734">
        <v>45275</v>
      </c>
      <c r="B17873" s="63" t="s">
        <v>11089</v>
      </c>
      <c r="C17873" s="63" t="s">
        <v>5741</v>
      </c>
      <c r="D17873" s="183" t="s">
        <v>370</v>
      </c>
      <c r="E17873" s="126">
        <v>1500</v>
      </c>
      <c r="F17873" s="126"/>
      <c r="G17873" s="126">
        <f t="shared" si="287"/>
        <v>-1500</v>
      </c>
      <c r="H17873" s="705" t="s">
        <v>11835</v>
      </c>
    </row>
    <row r="17874" spans="1:8" ht="15" x14ac:dyDescent="0.2">
      <c r="A17874" s="734">
        <v>45275</v>
      </c>
      <c r="B17874" s="63" t="s">
        <v>11089</v>
      </c>
      <c r="C17874" s="63" t="s">
        <v>392</v>
      </c>
      <c r="D17874" s="183" t="s">
        <v>4452</v>
      </c>
      <c r="E17874" s="126">
        <v>10600</v>
      </c>
      <c r="F17874" s="126"/>
      <c r="G17874" s="126">
        <f t="shared" si="287"/>
        <v>-10600</v>
      </c>
      <c r="H17874" s="705" t="s">
        <v>11835</v>
      </c>
    </row>
    <row r="17875" spans="1:8" ht="15" x14ac:dyDescent="0.2">
      <c r="A17875" s="734">
        <v>45275</v>
      </c>
      <c r="B17875" s="63" t="s">
        <v>11340</v>
      </c>
      <c r="C17875" s="63" t="s">
        <v>392</v>
      </c>
      <c r="D17875" s="183" t="s">
        <v>4452</v>
      </c>
      <c r="E17875" s="126">
        <v>12000</v>
      </c>
      <c r="F17875" s="126"/>
      <c r="G17875" s="126">
        <f t="shared" si="287"/>
        <v>-12000</v>
      </c>
      <c r="H17875" s="705" t="s">
        <v>11835</v>
      </c>
    </row>
    <row r="17876" spans="1:8" ht="15" x14ac:dyDescent="0.2">
      <c r="A17876" s="734">
        <v>45275</v>
      </c>
      <c r="B17876" s="41" t="s">
        <v>6505</v>
      </c>
      <c r="C17876" s="63" t="s">
        <v>11690</v>
      </c>
      <c r="D17876" s="183" t="s">
        <v>11944</v>
      </c>
      <c r="E17876" s="126">
        <v>6000</v>
      </c>
      <c r="F17876" s="126"/>
      <c r="G17876" s="126">
        <f t="shared" si="287"/>
        <v>-6000</v>
      </c>
      <c r="H17876" s="705" t="s">
        <v>11835</v>
      </c>
    </row>
    <row r="17877" spans="1:8" ht="15" x14ac:dyDescent="0.2">
      <c r="A17877" s="734">
        <v>45275</v>
      </c>
      <c r="B17877" s="63" t="s">
        <v>11135</v>
      </c>
      <c r="C17877" s="63" t="s">
        <v>11690</v>
      </c>
      <c r="D17877" s="183" t="s">
        <v>11944</v>
      </c>
      <c r="E17877" s="126">
        <v>24000</v>
      </c>
      <c r="F17877" s="126"/>
      <c r="G17877" s="126">
        <f t="shared" si="287"/>
        <v>-24000</v>
      </c>
      <c r="H17877" s="705" t="s">
        <v>11835</v>
      </c>
    </row>
    <row r="17878" spans="1:8" ht="15" x14ac:dyDescent="0.2">
      <c r="A17878" s="734">
        <v>45275</v>
      </c>
      <c r="B17878" s="41" t="s">
        <v>6505</v>
      </c>
      <c r="C17878" s="63" t="s">
        <v>4876</v>
      </c>
      <c r="D17878" s="183" t="s">
        <v>11945</v>
      </c>
      <c r="E17878" s="126">
        <v>4000</v>
      </c>
      <c r="F17878" s="126"/>
      <c r="G17878" s="126">
        <f t="shared" si="287"/>
        <v>-4000</v>
      </c>
      <c r="H17878" s="705" t="s">
        <v>11835</v>
      </c>
    </row>
    <row r="17879" spans="1:8" ht="15" x14ac:dyDescent="0.2">
      <c r="A17879" s="734">
        <v>45275</v>
      </c>
      <c r="B17879" s="63" t="s">
        <v>11728</v>
      </c>
      <c r="C17879" s="63" t="s">
        <v>286</v>
      </c>
      <c r="D17879" s="183" t="s">
        <v>8663</v>
      </c>
      <c r="E17879" s="126">
        <v>1600</v>
      </c>
      <c r="F17879" s="126"/>
      <c r="G17879" s="126">
        <f t="shared" si="287"/>
        <v>-1600</v>
      </c>
      <c r="H17879" s="705" t="s">
        <v>11835</v>
      </c>
    </row>
    <row r="17880" spans="1:8" ht="15" x14ac:dyDescent="0.2">
      <c r="A17880" s="734">
        <v>45276</v>
      </c>
      <c r="B17880" s="63" t="s">
        <v>10232</v>
      </c>
      <c r="C17880" s="63" t="s">
        <v>10993</v>
      </c>
      <c r="D17880" s="183" t="s">
        <v>1617</v>
      </c>
      <c r="E17880" s="126">
        <v>700</v>
      </c>
      <c r="F17880" s="126"/>
      <c r="G17880" s="126">
        <f t="shared" si="287"/>
        <v>-700</v>
      </c>
      <c r="H17880" s="705" t="s">
        <v>11835</v>
      </c>
    </row>
    <row r="17881" spans="1:8" ht="15" x14ac:dyDescent="0.2">
      <c r="A17881" s="734">
        <v>45276</v>
      </c>
      <c r="B17881" s="63" t="s">
        <v>11446</v>
      </c>
      <c r="C17881" s="63" t="s">
        <v>10993</v>
      </c>
      <c r="D17881" s="183" t="s">
        <v>11956</v>
      </c>
      <c r="E17881" s="126">
        <v>2000</v>
      </c>
      <c r="F17881" s="126"/>
      <c r="G17881" s="126">
        <f t="shared" si="287"/>
        <v>-2000</v>
      </c>
      <c r="H17881" s="705" t="s">
        <v>11835</v>
      </c>
    </row>
    <row r="17882" spans="1:8" ht="15" x14ac:dyDescent="0.2">
      <c r="A17882" s="734">
        <v>45276</v>
      </c>
      <c r="B17882" s="63" t="s">
        <v>10232</v>
      </c>
      <c r="C17882" s="63" t="s">
        <v>5741</v>
      </c>
      <c r="D17882" s="183" t="s">
        <v>370</v>
      </c>
      <c r="E17882" s="126">
        <v>1500</v>
      </c>
      <c r="F17882" s="126"/>
      <c r="G17882" s="126">
        <f t="shared" si="287"/>
        <v>-1500</v>
      </c>
      <c r="H17882" s="705" t="s">
        <v>11835</v>
      </c>
    </row>
    <row r="17883" spans="1:8" ht="15" x14ac:dyDescent="0.2">
      <c r="A17883" s="734">
        <v>45276</v>
      </c>
      <c r="B17883" s="63" t="s">
        <v>11728</v>
      </c>
      <c r="C17883" s="63" t="s">
        <v>5741</v>
      </c>
      <c r="D17883" s="183" t="s">
        <v>11946</v>
      </c>
      <c r="E17883" s="126">
        <v>1500</v>
      </c>
      <c r="F17883" s="126"/>
      <c r="G17883" s="126">
        <f t="shared" si="287"/>
        <v>-1500</v>
      </c>
      <c r="H17883" s="705" t="s">
        <v>11835</v>
      </c>
    </row>
    <row r="17884" spans="1:8" ht="15" x14ac:dyDescent="0.2">
      <c r="A17884" s="734">
        <v>45276</v>
      </c>
      <c r="B17884" s="63" t="s">
        <v>11635</v>
      </c>
      <c r="C17884" s="63" t="s">
        <v>10993</v>
      </c>
      <c r="D17884" s="183" t="s">
        <v>11957</v>
      </c>
      <c r="E17884" s="126">
        <v>6000</v>
      </c>
      <c r="F17884" s="126"/>
      <c r="G17884" s="126">
        <f t="shared" si="287"/>
        <v>-6000</v>
      </c>
      <c r="H17884" s="705" t="s">
        <v>11835</v>
      </c>
    </row>
    <row r="17885" spans="1:8" ht="15" x14ac:dyDescent="0.2">
      <c r="A17885" s="734">
        <v>45276</v>
      </c>
      <c r="B17885" s="63" t="s">
        <v>10908</v>
      </c>
      <c r="C17885" s="63" t="s">
        <v>5741</v>
      </c>
      <c r="D17885" s="183" t="s">
        <v>370</v>
      </c>
      <c r="E17885" s="126">
        <v>250</v>
      </c>
      <c r="F17885" s="126"/>
      <c r="G17885" s="126">
        <f t="shared" si="287"/>
        <v>-250</v>
      </c>
      <c r="H17885" s="705" t="s">
        <v>11835</v>
      </c>
    </row>
    <row r="17886" spans="1:8" ht="15" x14ac:dyDescent="0.2">
      <c r="A17886" s="734">
        <v>45276</v>
      </c>
      <c r="B17886" s="63" t="s">
        <v>9967</v>
      </c>
      <c r="C17886" s="551" t="s">
        <v>379</v>
      </c>
      <c r="D17886" s="740" t="s">
        <v>11959</v>
      </c>
      <c r="E17886" s="552">
        <v>14707</v>
      </c>
      <c r="F17886" s="126"/>
      <c r="G17886" s="126">
        <f t="shared" si="287"/>
        <v>-14707</v>
      </c>
      <c r="H17886" s="705" t="s">
        <v>11835</v>
      </c>
    </row>
    <row r="17887" spans="1:8" ht="15" x14ac:dyDescent="0.2">
      <c r="A17887" s="734">
        <v>45276</v>
      </c>
      <c r="B17887" s="63" t="s">
        <v>9986</v>
      </c>
      <c r="C17887" s="551" t="s">
        <v>379</v>
      </c>
      <c r="D17887" s="740" t="s">
        <v>11959</v>
      </c>
      <c r="E17887" s="552">
        <v>41074</v>
      </c>
      <c r="F17887" s="126"/>
      <c r="G17887" s="126">
        <f t="shared" si="287"/>
        <v>-41074</v>
      </c>
      <c r="H17887" s="705" t="s">
        <v>11835</v>
      </c>
    </row>
    <row r="17888" spans="1:8" ht="15" x14ac:dyDescent="0.2">
      <c r="A17888" s="734">
        <v>45276</v>
      </c>
      <c r="B17888" s="63" t="s">
        <v>10232</v>
      </c>
      <c r="C17888" s="551" t="s">
        <v>379</v>
      </c>
      <c r="D17888" s="740" t="s">
        <v>11959</v>
      </c>
      <c r="E17888" s="552">
        <v>32306</v>
      </c>
      <c r="F17888" s="126"/>
      <c r="G17888" s="126">
        <f t="shared" si="287"/>
        <v>-32306</v>
      </c>
      <c r="H17888" s="705" t="s">
        <v>11835</v>
      </c>
    </row>
    <row r="17889" spans="1:8" ht="15" x14ac:dyDescent="0.2">
      <c r="A17889" s="734">
        <v>45276</v>
      </c>
      <c r="B17889" s="63" t="s">
        <v>10576</v>
      </c>
      <c r="C17889" s="551" t="s">
        <v>379</v>
      </c>
      <c r="D17889" s="740" t="s">
        <v>11959</v>
      </c>
      <c r="E17889" s="552">
        <v>5887</v>
      </c>
      <c r="F17889" s="126"/>
      <c r="G17889" s="126">
        <f t="shared" si="287"/>
        <v>-5887</v>
      </c>
      <c r="H17889" s="705" t="s">
        <v>11835</v>
      </c>
    </row>
    <row r="17890" spans="1:8" ht="15" x14ac:dyDescent="0.2">
      <c r="A17890" s="734">
        <v>45276</v>
      </c>
      <c r="B17890" s="63" t="s">
        <v>11446</v>
      </c>
      <c r="C17890" s="551" t="s">
        <v>379</v>
      </c>
      <c r="D17890" s="740" t="s">
        <v>11959</v>
      </c>
      <c r="E17890" s="552">
        <v>52104</v>
      </c>
      <c r="F17890" s="126"/>
      <c r="G17890" s="126">
        <f t="shared" si="287"/>
        <v>-52104</v>
      </c>
      <c r="H17890" s="705" t="s">
        <v>11835</v>
      </c>
    </row>
    <row r="17891" spans="1:8" ht="15" x14ac:dyDescent="0.2">
      <c r="A17891" s="734">
        <v>45276</v>
      </c>
      <c r="B17891" s="63" t="s">
        <v>11271</v>
      </c>
      <c r="C17891" s="551" t="s">
        <v>379</v>
      </c>
      <c r="D17891" s="740" t="s">
        <v>11959</v>
      </c>
      <c r="E17891" s="552">
        <v>1420</v>
      </c>
      <c r="F17891" s="126"/>
      <c r="G17891" s="126">
        <f t="shared" si="287"/>
        <v>-1420</v>
      </c>
      <c r="H17891" s="705" t="s">
        <v>11835</v>
      </c>
    </row>
    <row r="17892" spans="1:8" ht="15" x14ac:dyDescent="0.2">
      <c r="A17892" s="734">
        <v>45276</v>
      </c>
      <c r="B17892" s="63" t="s">
        <v>11617</v>
      </c>
      <c r="C17892" s="551" t="s">
        <v>379</v>
      </c>
      <c r="D17892" s="740" t="s">
        <v>11959</v>
      </c>
      <c r="E17892" s="552">
        <v>12502</v>
      </c>
      <c r="F17892" s="126"/>
      <c r="G17892" s="126">
        <f t="shared" si="287"/>
        <v>-12502</v>
      </c>
      <c r="H17892" s="705" t="s">
        <v>11835</v>
      </c>
    </row>
    <row r="17893" spans="1:8" ht="15" x14ac:dyDescent="0.2">
      <c r="A17893" s="734">
        <v>45276</v>
      </c>
      <c r="B17893" s="63" t="s">
        <v>11635</v>
      </c>
      <c r="C17893" s="63" t="s">
        <v>10993</v>
      </c>
      <c r="D17893" s="183" t="s">
        <v>11960</v>
      </c>
      <c r="E17893" s="126">
        <v>29000</v>
      </c>
      <c r="F17893" s="126"/>
      <c r="G17893" s="126">
        <f t="shared" si="287"/>
        <v>-29000</v>
      </c>
      <c r="H17893" s="705" t="s">
        <v>11835</v>
      </c>
    </row>
    <row r="17894" spans="1:8" ht="15" x14ac:dyDescent="0.2">
      <c r="A17894" s="734">
        <v>45276</v>
      </c>
      <c r="B17894" s="63" t="s">
        <v>10908</v>
      </c>
      <c r="C17894" s="63" t="s">
        <v>286</v>
      </c>
      <c r="D17894" s="183" t="s">
        <v>9895</v>
      </c>
      <c r="E17894" s="126">
        <v>400</v>
      </c>
      <c r="F17894" s="126"/>
      <c r="G17894" s="126">
        <f t="shared" si="287"/>
        <v>-400</v>
      </c>
      <c r="H17894" s="705" t="s">
        <v>11835</v>
      </c>
    </row>
    <row r="17895" spans="1:8" ht="15" x14ac:dyDescent="0.2">
      <c r="A17895" s="734">
        <v>45278</v>
      </c>
      <c r="B17895" s="63" t="s">
        <v>10908</v>
      </c>
      <c r="C17895" s="63" t="s">
        <v>10993</v>
      </c>
      <c r="D17895" s="183" t="s">
        <v>10824</v>
      </c>
      <c r="E17895" s="126">
        <v>450</v>
      </c>
      <c r="F17895" s="126"/>
      <c r="G17895" s="126">
        <f t="shared" ref="G17895:G17958" si="288">F17895-E17895</f>
        <v>-450</v>
      </c>
      <c r="H17895" s="705" t="s">
        <v>11835</v>
      </c>
    </row>
    <row r="17896" spans="1:8" ht="15" x14ac:dyDescent="0.2">
      <c r="A17896" s="734">
        <v>45278</v>
      </c>
      <c r="B17896" s="63" t="s">
        <v>103</v>
      </c>
      <c r="C17896" s="63" t="s">
        <v>103</v>
      </c>
      <c r="D17896" s="183" t="s">
        <v>3259</v>
      </c>
      <c r="E17896" s="126">
        <v>1000</v>
      </c>
      <c r="F17896" s="126"/>
      <c r="G17896" s="126">
        <f t="shared" si="288"/>
        <v>-1000</v>
      </c>
      <c r="H17896" s="705" t="s">
        <v>11835</v>
      </c>
    </row>
    <row r="17897" spans="1:8" ht="15" x14ac:dyDescent="0.2">
      <c r="A17897" s="734">
        <v>45278</v>
      </c>
      <c r="B17897" s="63" t="s">
        <v>9986</v>
      </c>
      <c r="C17897" s="63" t="s">
        <v>5741</v>
      </c>
      <c r="D17897" s="183" t="s">
        <v>370</v>
      </c>
      <c r="E17897" s="126">
        <v>1700</v>
      </c>
      <c r="F17897" s="126"/>
      <c r="G17897" s="126">
        <f t="shared" si="288"/>
        <v>-1700</v>
      </c>
      <c r="H17897" s="705" t="s">
        <v>11835</v>
      </c>
    </row>
    <row r="17898" spans="1:8" ht="15" x14ac:dyDescent="0.2">
      <c r="A17898" s="734">
        <v>45278</v>
      </c>
      <c r="B17898" s="63" t="s">
        <v>11635</v>
      </c>
      <c r="C17898" s="63" t="s">
        <v>10993</v>
      </c>
      <c r="D17898" s="183" t="s">
        <v>4309</v>
      </c>
      <c r="E17898" s="126">
        <v>420</v>
      </c>
      <c r="F17898" s="126"/>
      <c r="G17898" s="126">
        <f t="shared" si="288"/>
        <v>-420</v>
      </c>
      <c r="H17898" s="705" t="s">
        <v>11835</v>
      </c>
    </row>
    <row r="17899" spans="1:8" ht="15" x14ac:dyDescent="0.2">
      <c r="A17899" s="734">
        <v>45278</v>
      </c>
      <c r="B17899" s="63" t="s">
        <v>10232</v>
      </c>
      <c r="C17899" s="63" t="s">
        <v>10993</v>
      </c>
      <c r="D17899" s="183" t="s">
        <v>11961</v>
      </c>
      <c r="E17899" s="126">
        <v>3450</v>
      </c>
      <c r="F17899" s="126"/>
      <c r="G17899" s="126">
        <f t="shared" si="288"/>
        <v>-3450</v>
      </c>
      <c r="H17899" s="705" t="s">
        <v>11835</v>
      </c>
    </row>
    <row r="17900" spans="1:8" ht="15" x14ac:dyDescent="0.2">
      <c r="A17900" s="734">
        <v>45279</v>
      </c>
      <c r="B17900" s="63" t="s">
        <v>11635</v>
      </c>
      <c r="C17900" s="63" t="s">
        <v>5741</v>
      </c>
      <c r="D17900" s="183" t="s">
        <v>370</v>
      </c>
      <c r="E17900" s="126">
        <v>1500</v>
      </c>
      <c r="F17900" s="126"/>
      <c r="G17900" s="126">
        <f t="shared" si="288"/>
        <v>-1500</v>
      </c>
      <c r="H17900" s="705" t="s">
        <v>11835</v>
      </c>
    </row>
    <row r="17901" spans="1:8" ht="15" x14ac:dyDescent="0.2">
      <c r="A17901" s="734">
        <v>45279</v>
      </c>
      <c r="B17901" s="63" t="s">
        <v>11635</v>
      </c>
      <c r="C17901" s="63" t="s">
        <v>5741</v>
      </c>
      <c r="D17901" s="183" t="s">
        <v>370</v>
      </c>
      <c r="E17901" s="126">
        <v>1000</v>
      </c>
      <c r="F17901" s="126"/>
      <c r="G17901" s="126">
        <f t="shared" si="288"/>
        <v>-1000</v>
      </c>
      <c r="H17901" s="705" t="s">
        <v>11835</v>
      </c>
    </row>
    <row r="17902" spans="1:8" ht="15" x14ac:dyDescent="0.2">
      <c r="A17902" s="734">
        <v>45279</v>
      </c>
      <c r="B17902" s="63" t="s">
        <v>11635</v>
      </c>
      <c r="C17902" s="63" t="s">
        <v>10993</v>
      </c>
      <c r="D17902" s="183" t="s">
        <v>11962</v>
      </c>
      <c r="E17902" s="126">
        <v>6700</v>
      </c>
      <c r="F17902" s="126"/>
      <c r="G17902" s="126">
        <f t="shared" si="288"/>
        <v>-6700</v>
      </c>
      <c r="H17902" s="705" t="s">
        <v>11835</v>
      </c>
    </row>
    <row r="17903" spans="1:8" ht="15" x14ac:dyDescent="0.2">
      <c r="A17903" s="734">
        <v>45279</v>
      </c>
      <c r="B17903" s="63" t="s">
        <v>25</v>
      </c>
      <c r="C17903" s="63" t="s">
        <v>392</v>
      </c>
      <c r="D17903" s="183" t="s">
        <v>11963</v>
      </c>
      <c r="E17903" s="126">
        <v>2350</v>
      </c>
      <c r="F17903" s="126"/>
      <c r="G17903" s="126">
        <f t="shared" si="288"/>
        <v>-2350</v>
      </c>
      <c r="H17903" s="705" t="s">
        <v>11835</v>
      </c>
    </row>
    <row r="17904" spans="1:8" ht="15" x14ac:dyDescent="0.2">
      <c r="A17904" s="734">
        <v>45279</v>
      </c>
      <c r="B17904" s="63" t="s">
        <v>11625</v>
      </c>
      <c r="C17904" s="63" t="s">
        <v>5741</v>
      </c>
      <c r="D17904" s="183" t="s">
        <v>10337</v>
      </c>
      <c r="E17904" s="126">
        <v>250</v>
      </c>
      <c r="F17904" s="126"/>
      <c r="G17904" s="126">
        <f t="shared" si="288"/>
        <v>-250</v>
      </c>
      <c r="H17904" s="705" t="s">
        <v>11835</v>
      </c>
    </row>
    <row r="17905" spans="1:8" ht="15" x14ac:dyDescent="0.2">
      <c r="A17905" s="734">
        <v>45279</v>
      </c>
      <c r="B17905" s="63" t="s">
        <v>103</v>
      </c>
      <c r="C17905" s="63" t="s">
        <v>794</v>
      </c>
      <c r="D17905" s="183" t="s">
        <v>11964</v>
      </c>
      <c r="E17905" s="126">
        <v>11000</v>
      </c>
      <c r="F17905" s="126"/>
      <c r="G17905" s="126">
        <f t="shared" si="288"/>
        <v>-11000</v>
      </c>
      <c r="H17905" s="705" t="s">
        <v>11835</v>
      </c>
    </row>
    <row r="17906" spans="1:8" ht="15" x14ac:dyDescent="0.2">
      <c r="A17906" s="734">
        <v>45279</v>
      </c>
      <c r="B17906" s="63" t="s">
        <v>103</v>
      </c>
      <c r="C17906" s="63" t="s">
        <v>103</v>
      </c>
      <c r="D17906" s="183" t="s">
        <v>3259</v>
      </c>
      <c r="E17906" s="126">
        <v>1000</v>
      </c>
      <c r="F17906" s="126"/>
      <c r="G17906" s="126">
        <f t="shared" si="288"/>
        <v>-1000</v>
      </c>
      <c r="H17906" s="705" t="s">
        <v>11835</v>
      </c>
    </row>
    <row r="17907" spans="1:8" ht="15" x14ac:dyDescent="0.2">
      <c r="A17907" s="734">
        <v>45279</v>
      </c>
      <c r="B17907" s="63" t="s">
        <v>11897</v>
      </c>
      <c r="C17907" s="63" t="s">
        <v>10993</v>
      </c>
      <c r="D17907" s="183" t="s">
        <v>11965</v>
      </c>
      <c r="E17907" s="126">
        <v>35300</v>
      </c>
      <c r="F17907" s="126"/>
      <c r="G17907" s="126">
        <f t="shared" si="288"/>
        <v>-35300</v>
      </c>
      <c r="H17907" s="705" t="s">
        <v>11835</v>
      </c>
    </row>
    <row r="17908" spans="1:8" ht="15" x14ac:dyDescent="0.2">
      <c r="A17908" s="734">
        <v>45279</v>
      </c>
      <c r="B17908" s="63" t="s">
        <v>11897</v>
      </c>
      <c r="C17908" s="63" t="s">
        <v>5741</v>
      </c>
      <c r="D17908" s="183" t="s">
        <v>370</v>
      </c>
      <c r="E17908" s="126">
        <v>1400</v>
      </c>
      <c r="F17908" s="126"/>
      <c r="G17908" s="126">
        <f t="shared" si="288"/>
        <v>-1400</v>
      </c>
      <c r="H17908" s="705" t="s">
        <v>11835</v>
      </c>
    </row>
    <row r="17909" spans="1:8" ht="15" x14ac:dyDescent="0.2">
      <c r="A17909" s="734">
        <v>45279</v>
      </c>
      <c r="B17909" s="63" t="s">
        <v>3946</v>
      </c>
      <c r="C17909" s="63" t="s">
        <v>794</v>
      </c>
      <c r="D17909" s="183" t="s">
        <v>11973</v>
      </c>
      <c r="E17909" s="126">
        <v>28000</v>
      </c>
      <c r="F17909" s="126"/>
      <c r="G17909" s="126">
        <f t="shared" si="288"/>
        <v>-28000</v>
      </c>
      <c r="H17909" s="705" t="s">
        <v>11835</v>
      </c>
    </row>
    <row r="17910" spans="1:8" ht="15" x14ac:dyDescent="0.2">
      <c r="A17910" s="734">
        <v>45279</v>
      </c>
      <c r="B17910" s="63" t="s">
        <v>103</v>
      </c>
      <c r="C17910" s="63"/>
      <c r="D17910" s="183" t="s">
        <v>11974</v>
      </c>
      <c r="E17910" s="126">
        <v>600</v>
      </c>
      <c r="F17910" s="126"/>
      <c r="G17910" s="126">
        <f t="shared" si="288"/>
        <v>-600</v>
      </c>
      <c r="H17910" s="705" t="s">
        <v>11835</v>
      </c>
    </row>
    <row r="17911" spans="1:8" ht="15" x14ac:dyDescent="0.2">
      <c r="A17911" s="734">
        <v>45279</v>
      </c>
      <c r="B17911" s="63" t="s">
        <v>10232</v>
      </c>
      <c r="C17911" s="63" t="s">
        <v>5741</v>
      </c>
      <c r="D17911" s="183" t="s">
        <v>370</v>
      </c>
      <c r="E17911" s="126">
        <v>1500</v>
      </c>
      <c r="F17911" s="126"/>
      <c r="G17911" s="126">
        <f t="shared" si="288"/>
        <v>-1500</v>
      </c>
      <c r="H17911" s="705" t="s">
        <v>11835</v>
      </c>
    </row>
    <row r="17912" spans="1:8" ht="15" x14ac:dyDescent="0.2">
      <c r="A17912" s="734">
        <v>45279</v>
      </c>
      <c r="B17912" s="63" t="s">
        <v>103</v>
      </c>
      <c r="C17912" s="63" t="s">
        <v>103</v>
      </c>
      <c r="D17912" s="183" t="s">
        <v>3259</v>
      </c>
      <c r="E17912" s="126">
        <v>3000</v>
      </c>
      <c r="F17912" s="126"/>
      <c r="G17912" s="126">
        <f t="shared" si="288"/>
        <v>-3000</v>
      </c>
      <c r="H17912" s="705" t="s">
        <v>11835</v>
      </c>
    </row>
    <row r="17913" spans="1:8" ht="15" x14ac:dyDescent="0.2">
      <c r="A17913" s="734">
        <v>45279</v>
      </c>
      <c r="B17913" s="63" t="s">
        <v>11089</v>
      </c>
      <c r="C17913" s="63" t="s">
        <v>11975</v>
      </c>
      <c r="D17913" s="183" t="s">
        <v>11976</v>
      </c>
      <c r="E17913" s="126">
        <v>20000</v>
      </c>
      <c r="F17913" s="126"/>
      <c r="G17913" s="126">
        <f t="shared" si="288"/>
        <v>-20000</v>
      </c>
      <c r="H17913" s="705" t="s">
        <v>11835</v>
      </c>
    </row>
    <row r="17914" spans="1:8" ht="15" x14ac:dyDescent="0.2">
      <c r="A17914" s="734">
        <v>45279</v>
      </c>
      <c r="B17914" s="63" t="s">
        <v>10232</v>
      </c>
      <c r="C17914" s="63" t="s">
        <v>6784</v>
      </c>
      <c r="D17914" s="183" t="s">
        <v>10721</v>
      </c>
      <c r="E17914" s="126">
        <v>150000</v>
      </c>
      <c r="F17914" s="126"/>
      <c r="G17914" s="126">
        <f t="shared" si="288"/>
        <v>-150000</v>
      </c>
      <c r="H17914" s="705" t="s">
        <v>11835</v>
      </c>
    </row>
    <row r="17915" spans="1:8" ht="15" x14ac:dyDescent="0.2">
      <c r="A17915" s="734">
        <v>45279</v>
      </c>
      <c r="B17915" s="63" t="s">
        <v>11089</v>
      </c>
      <c r="C17915" s="63" t="s">
        <v>10993</v>
      </c>
      <c r="D17915" s="183" t="s">
        <v>11877</v>
      </c>
      <c r="E17915" s="126">
        <v>6080</v>
      </c>
      <c r="F17915" s="126"/>
      <c r="G17915" s="126">
        <f t="shared" si="288"/>
        <v>-6080</v>
      </c>
      <c r="H17915" s="705" t="s">
        <v>11835</v>
      </c>
    </row>
    <row r="17916" spans="1:8" ht="15" x14ac:dyDescent="0.2">
      <c r="A17916" s="734">
        <v>45280</v>
      </c>
      <c r="B17916" s="63" t="s">
        <v>11089</v>
      </c>
      <c r="C17916" s="63" t="s">
        <v>392</v>
      </c>
      <c r="D17916" s="183" t="s">
        <v>11977</v>
      </c>
      <c r="E17916" s="126">
        <v>1000</v>
      </c>
      <c r="F17916" s="126"/>
      <c r="G17916" s="126">
        <f t="shared" si="288"/>
        <v>-1000</v>
      </c>
      <c r="H17916" s="705" t="s">
        <v>11835</v>
      </c>
    </row>
    <row r="17917" spans="1:8" ht="15" x14ac:dyDescent="0.2">
      <c r="A17917" s="734">
        <v>45280</v>
      </c>
      <c r="B17917" s="63" t="s">
        <v>11089</v>
      </c>
      <c r="C17917" s="63" t="s">
        <v>10993</v>
      </c>
      <c r="D17917" s="183" t="s">
        <v>11978</v>
      </c>
      <c r="E17917" s="126">
        <v>900</v>
      </c>
      <c r="F17917" s="126"/>
      <c r="G17917" s="126">
        <f t="shared" si="288"/>
        <v>-900</v>
      </c>
      <c r="H17917" s="705" t="s">
        <v>11835</v>
      </c>
    </row>
    <row r="17918" spans="1:8" ht="15" x14ac:dyDescent="0.2">
      <c r="A17918" s="734">
        <v>45280</v>
      </c>
      <c r="B17918" s="63" t="s">
        <v>103</v>
      </c>
      <c r="C17918" s="63" t="s">
        <v>103</v>
      </c>
      <c r="D17918" s="183" t="s">
        <v>3259</v>
      </c>
      <c r="E17918" s="126">
        <v>1500</v>
      </c>
      <c r="F17918" s="126"/>
      <c r="G17918" s="126">
        <f t="shared" si="288"/>
        <v>-1500</v>
      </c>
      <c r="H17918" s="705" t="s">
        <v>11835</v>
      </c>
    </row>
    <row r="17919" spans="1:8" ht="15" x14ac:dyDescent="0.2">
      <c r="A17919" s="734">
        <v>45280</v>
      </c>
      <c r="B17919" s="63" t="s">
        <v>11635</v>
      </c>
      <c r="C17919" s="670" t="s">
        <v>2190</v>
      </c>
      <c r="D17919" s="907" t="s">
        <v>11979</v>
      </c>
      <c r="E17919" s="672">
        <v>3400</v>
      </c>
      <c r="F17919" s="126"/>
      <c r="G17919" s="126">
        <f t="shared" si="288"/>
        <v>-3400</v>
      </c>
      <c r="H17919" s="705" t="s">
        <v>11835</v>
      </c>
    </row>
    <row r="17920" spans="1:8" ht="15" x14ac:dyDescent="0.2">
      <c r="A17920" s="734">
        <v>45280</v>
      </c>
      <c r="B17920" s="63" t="s">
        <v>11728</v>
      </c>
      <c r="C17920" s="670" t="s">
        <v>2190</v>
      </c>
      <c r="D17920" s="907" t="s">
        <v>11979</v>
      </c>
      <c r="E17920" s="672">
        <v>3400</v>
      </c>
      <c r="F17920" s="126"/>
      <c r="G17920" s="126">
        <f t="shared" si="288"/>
        <v>-3400</v>
      </c>
      <c r="H17920" s="705" t="s">
        <v>11835</v>
      </c>
    </row>
    <row r="17921" spans="1:8" ht="15" x14ac:dyDescent="0.2">
      <c r="A17921" s="734">
        <v>45280</v>
      </c>
      <c r="B17921" s="63" t="s">
        <v>10232</v>
      </c>
      <c r="C17921" s="670" t="s">
        <v>2190</v>
      </c>
      <c r="D17921" s="907" t="s">
        <v>11979</v>
      </c>
      <c r="E17921" s="672">
        <v>3400</v>
      </c>
      <c r="F17921" s="126"/>
      <c r="G17921" s="126">
        <f t="shared" si="288"/>
        <v>-3400</v>
      </c>
      <c r="H17921" s="705" t="s">
        <v>11835</v>
      </c>
    </row>
    <row r="17922" spans="1:8" ht="15" x14ac:dyDescent="0.2">
      <c r="A17922" s="734">
        <v>45280</v>
      </c>
      <c r="B17922" s="63" t="s">
        <v>11897</v>
      </c>
      <c r="C17922" s="670" t="s">
        <v>2190</v>
      </c>
      <c r="D17922" s="907" t="s">
        <v>11979</v>
      </c>
      <c r="E17922" s="672">
        <v>3400</v>
      </c>
      <c r="F17922" s="126"/>
      <c r="G17922" s="126">
        <f t="shared" si="288"/>
        <v>-3400</v>
      </c>
      <c r="H17922" s="705" t="s">
        <v>11835</v>
      </c>
    </row>
    <row r="17923" spans="1:8" ht="15" x14ac:dyDescent="0.2">
      <c r="A17923" s="734">
        <v>45280</v>
      </c>
      <c r="B17923" s="63" t="s">
        <v>11089</v>
      </c>
      <c r="C17923" s="670" t="s">
        <v>2190</v>
      </c>
      <c r="D17923" s="907" t="s">
        <v>11979</v>
      </c>
      <c r="E17923" s="672">
        <v>3400</v>
      </c>
      <c r="F17923" s="126"/>
      <c r="G17923" s="126">
        <f t="shared" si="288"/>
        <v>-3400</v>
      </c>
      <c r="H17923" s="705" t="s">
        <v>11835</v>
      </c>
    </row>
    <row r="17924" spans="1:8" ht="15" x14ac:dyDescent="0.2">
      <c r="A17924" s="734">
        <v>45281</v>
      </c>
      <c r="B17924" s="63" t="s">
        <v>11980</v>
      </c>
      <c r="C17924" s="63" t="s">
        <v>392</v>
      </c>
      <c r="D17924" s="183" t="s">
        <v>11981</v>
      </c>
      <c r="E17924" s="126">
        <v>300</v>
      </c>
      <c r="F17924" s="126"/>
      <c r="G17924" s="126">
        <f t="shared" si="288"/>
        <v>-300</v>
      </c>
      <c r="H17924" s="705" t="s">
        <v>11835</v>
      </c>
    </row>
    <row r="17925" spans="1:8" ht="15" x14ac:dyDescent="0.2">
      <c r="A17925" s="734">
        <v>45281</v>
      </c>
      <c r="B17925" s="63" t="s">
        <v>11635</v>
      </c>
      <c r="C17925" s="63" t="s">
        <v>286</v>
      </c>
      <c r="D17925" s="183" t="s">
        <v>9895</v>
      </c>
      <c r="E17925" s="126">
        <v>200</v>
      </c>
      <c r="F17925" s="126"/>
      <c r="G17925" s="126">
        <f t="shared" si="288"/>
        <v>-200</v>
      </c>
      <c r="H17925" s="705" t="s">
        <v>11835</v>
      </c>
    </row>
    <row r="17926" spans="1:8" ht="15" x14ac:dyDescent="0.2">
      <c r="A17926" s="734">
        <v>45281</v>
      </c>
      <c r="B17926" s="63" t="s">
        <v>11635</v>
      </c>
      <c r="C17926" s="63" t="s">
        <v>5741</v>
      </c>
      <c r="D17926" s="183" t="s">
        <v>370</v>
      </c>
      <c r="E17926" s="126">
        <v>1000</v>
      </c>
      <c r="F17926" s="126"/>
      <c r="G17926" s="126">
        <f t="shared" si="288"/>
        <v>-1000</v>
      </c>
      <c r="H17926" s="705" t="s">
        <v>11835</v>
      </c>
    </row>
    <row r="17927" spans="1:8" ht="15" x14ac:dyDescent="0.2">
      <c r="A17927" s="734">
        <v>45281</v>
      </c>
      <c r="B17927" s="63" t="s">
        <v>11446</v>
      </c>
      <c r="C17927" s="63" t="s">
        <v>11884</v>
      </c>
      <c r="D17927" s="183" t="s">
        <v>11987</v>
      </c>
      <c r="E17927" s="126">
        <v>50000</v>
      </c>
      <c r="F17927" s="126"/>
      <c r="G17927" s="126">
        <f t="shared" si="288"/>
        <v>-50000</v>
      </c>
      <c r="H17927" s="705" t="s">
        <v>11835</v>
      </c>
    </row>
    <row r="17928" spans="1:8" ht="15" x14ac:dyDescent="0.2">
      <c r="A17928" s="734">
        <v>45281</v>
      </c>
      <c r="B17928" s="63" t="s">
        <v>11635</v>
      </c>
      <c r="C17928" s="63" t="s">
        <v>5741</v>
      </c>
      <c r="D17928" s="183" t="s">
        <v>11988</v>
      </c>
      <c r="E17928" s="126">
        <v>300</v>
      </c>
      <c r="F17928" s="126"/>
      <c r="G17928" s="126">
        <f t="shared" si="288"/>
        <v>-300</v>
      </c>
      <c r="H17928" s="705" t="s">
        <v>11835</v>
      </c>
    </row>
    <row r="17929" spans="1:8" ht="15" x14ac:dyDescent="0.2">
      <c r="A17929" s="734">
        <v>45281</v>
      </c>
      <c r="B17929" s="63" t="s">
        <v>11728</v>
      </c>
      <c r="C17929" s="63" t="s">
        <v>10993</v>
      </c>
      <c r="D17929" s="183" t="s">
        <v>11989</v>
      </c>
      <c r="E17929" s="126">
        <v>5400</v>
      </c>
      <c r="F17929" s="126"/>
      <c r="G17929" s="126">
        <f t="shared" si="288"/>
        <v>-5400</v>
      </c>
      <c r="H17929" s="705" t="s">
        <v>11835</v>
      </c>
    </row>
    <row r="17930" spans="1:8" ht="15" x14ac:dyDescent="0.2">
      <c r="A17930" s="734">
        <v>45281</v>
      </c>
      <c r="B17930" s="63" t="s">
        <v>11026</v>
      </c>
      <c r="C17930" s="63" t="s">
        <v>5741</v>
      </c>
      <c r="D17930" s="183" t="s">
        <v>370</v>
      </c>
      <c r="E17930" s="126">
        <v>1800</v>
      </c>
      <c r="F17930" s="126"/>
      <c r="G17930" s="126">
        <f t="shared" si="288"/>
        <v>-1800</v>
      </c>
      <c r="H17930" s="705" t="s">
        <v>11835</v>
      </c>
    </row>
    <row r="17931" spans="1:8" ht="15" x14ac:dyDescent="0.2">
      <c r="A17931" s="734">
        <v>45281</v>
      </c>
      <c r="B17931" s="63" t="s">
        <v>11897</v>
      </c>
      <c r="C17931" s="63" t="s">
        <v>5741</v>
      </c>
      <c r="D17931" s="183" t="s">
        <v>370</v>
      </c>
      <c r="E17931" s="126">
        <v>1500</v>
      </c>
      <c r="F17931" s="126"/>
      <c r="G17931" s="126">
        <f t="shared" si="288"/>
        <v>-1500</v>
      </c>
      <c r="H17931" s="705" t="s">
        <v>11835</v>
      </c>
    </row>
    <row r="17932" spans="1:8" ht="15" x14ac:dyDescent="0.2">
      <c r="A17932" s="734">
        <v>45281</v>
      </c>
      <c r="B17932" s="63" t="s">
        <v>103</v>
      </c>
      <c r="C17932" s="63" t="s">
        <v>392</v>
      </c>
      <c r="D17932" s="183" t="s">
        <v>11990</v>
      </c>
      <c r="E17932" s="126">
        <v>1300</v>
      </c>
      <c r="F17932" s="126"/>
      <c r="G17932" s="126">
        <f t="shared" si="288"/>
        <v>-1300</v>
      </c>
      <c r="H17932" s="705" t="s">
        <v>11835</v>
      </c>
    </row>
    <row r="17933" spans="1:8" ht="15" x14ac:dyDescent="0.2">
      <c r="A17933" s="734">
        <v>45281</v>
      </c>
      <c r="B17933" s="63" t="s">
        <v>103</v>
      </c>
      <c r="C17933" s="63" t="s">
        <v>392</v>
      </c>
      <c r="D17933" s="183" t="s">
        <v>11996</v>
      </c>
      <c r="E17933" s="126">
        <v>3700</v>
      </c>
      <c r="F17933" s="126"/>
      <c r="G17933" s="126">
        <f t="shared" si="288"/>
        <v>-3700</v>
      </c>
      <c r="H17933" s="705" t="s">
        <v>11835</v>
      </c>
    </row>
    <row r="17934" spans="1:8" ht="15" x14ac:dyDescent="0.2">
      <c r="A17934" s="734">
        <v>45281</v>
      </c>
      <c r="B17934" s="63" t="s">
        <v>11897</v>
      </c>
      <c r="C17934" s="63" t="s">
        <v>10993</v>
      </c>
      <c r="D17934" s="183" t="s">
        <v>11991</v>
      </c>
      <c r="E17934" s="126">
        <v>59500</v>
      </c>
      <c r="F17934" s="126"/>
      <c r="G17934" s="126">
        <f t="shared" si="288"/>
        <v>-59500</v>
      </c>
      <c r="H17934" s="705" t="s">
        <v>11835</v>
      </c>
    </row>
    <row r="17935" spans="1:8" ht="15" x14ac:dyDescent="0.2">
      <c r="A17935" s="734">
        <v>45281</v>
      </c>
      <c r="B17935" s="41" t="s">
        <v>6505</v>
      </c>
      <c r="C17935" s="63" t="s">
        <v>794</v>
      </c>
      <c r="D17935" s="183" t="s">
        <v>11992</v>
      </c>
      <c r="E17935" s="126">
        <v>21600</v>
      </c>
      <c r="F17935" s="126"/>
      <c r="G17935" s="126">
        <f t="shared" si="288"/>
        <v>-21600</v>
      </c>
      <c r="H17935" s="705" t="s">
        <v>11835</v>
      </c>
    </row>
    <row r="17936" spans="1:8" ht="15" x14ac:dyDescent="0.2">
      <c r="A17936" s="734">
        <v>45282</v>
      </c>
      <c r="B17936" s="63" t="s">
        <v>11635</v>
      </c>
      <c r="C17936" s="63" t="s">
        <v>10993</v>
      </c>
      <c r="D17936" s="183" t="s">
        <v>11993</v>
      </c>
      <c r="E17936" s="126">
        <v>3050</v>
      </c>
      <c r="F17936" s="126"/>
      <c r="G17936" s="126">
        <f t="shared" si="288"/>
        <v>-3050</v>
      </c>
      <c r="H17936" s="705" t="s">
        <v>11835</v>
      </c>
    </row>
    <row r="17937" spans="1:8" ht="15" x14ac:dyDescent="0.2">
      <c r="A17937" s="734">
        <v>45282</v>
      </c>
      <c r="B17937" s="63" t="s">
        <v>103</v>
      </c>
      <c r="C17937" s="63" t="s">
        <v>103</v>
      </c>
      <c r="D17937" s="183" t="s">
        <v>11994</v>
      </c>
      <c r="E17937" s="126">
        <v>3000</v>
      </c>
      <c r="F17937" s="126"/>
      <c r="G17937" s="126">
        <f t="shared" si="288"/>
        <v>-3000</v>
      </c>
      <c r="H17937" s="705" t="s">
        <v>11835</v>
      </c>
    </row>
    <row r="17938" spans="1:8" ht="15" x14ac:dyDescent="0.2">
      <c r="A17938" s="734">
        <v>45282</v>
      </c>
      <c r="B17938" s="63" t="s">
        <v>10908</v>
      </c>
      <c r="C17938" s="63" t="s">
        <v>5741</v>
      </c>
      <c r="D17938" s="183" t="s">
        <v>370</v>
      </c>
      <c r="E17938" s="126">
        <v>600</v>
      </c>
      <c r="F17938" s="126"/>
      <c r="G17938" s="126">
        <f t="shared" si="288"/>
        <v>-600</v>
      </c>
      <c r="H17938" s="705" t="s">
        <v>11835</v>
      </c>
    </row>
    <row r="17939" spans="1:8" ht="15" x14ac:dyDescent="0.2">
      <c r="A17939" s="734">
        <v>45282</v>
      </c>
      <c r="B17939" s="63" t="s">
        <v>10908</v>
      </c>
      <c r="C17939" s="63" t="s">
        <v>392</v>
      </c>
      <c r="D17939" s="183" t="s">
        <v>11995</v>
      </c>
      <c r="E17939" s="126">
        <v>5000</v>
      </c>
      <c r="F17939" s="126"/>
      <c r="G17939" s="126">
        <f t="shared" si="288"/>
        <v>-5000</v>
      </c>
      <c r="H17939" s="705" t="s">
        <v>11835</v>
      </c>
    </row>
    <row r="17940" spans="1:8" ht="15" x14ac:dyDescent="0.2">
      <c r="A17940" s="734">
        <v>45283</v>
      </c>
      <c r="B17940" s="63" t="s">
        <v>10232</v>
      </c>
      <c r="C17940" s="63" t="s">
        <v>6784</v>
      </c>
      <c r="D17940" s="183" t="s">
        <v>12039</v>
      </c>
      <c r="E17940" s="126">
        <v>100000</v>
      </c>
      <c r="F17940" s="126"/>
      <c r="G17940" s="126">
        <f t="shared" si="288"/>
        <v>-100000</v>
      </c>
      <c r="H17940" s="705" t="s">
        <v>11835</v>
      </c>
    </row>
    <row r="17941" spans="1:8" ht="15" x14ac:dyDescent="0.2">
      <c r="A17941" s="734">
        <v>45283</v>
      </c>
      <c r="B17941" s="63" t="s">
        <v>11897</v>
      </c>
      <c r="C17941" s="63" t="s">
        <v>5741</v>
      </c>
      <c r="D17941" s="183" t="s">
        <v>12005</v>
      </c>
      <c r="E17941" s="126">
        <v>11000</v>
      </c>
      <c r="F17941" s="126"/>
      <c r="G17941" s="126">
        <f t="shared" si="288"/>
        <v>-11000</v>
      </c>
      <c r="H17941" s="705" t="s">
        <v>11835</v>
      </c>
    </row>
    <row r="17942" spans="1:8" ht="15" x14ac:dyDescent="0.2">
      <c r="A17942" s="734">
        <v>45283</v>
      </c>
      <c r="B17942" s="63" t="s">
        <v>11728</v>
      </c>
      <c r="C17942" s="63" t="s">
        <v>5741</v>
      </c>
      <c r="D17942" s="183" t="s">
        <v>10337</v>
      </c>
      <c r="E17942" s="126">
        <v>800</v>
      </c>
      <c r="F17942" s="126"/>
      <c r="G17942" s="126">
        <f t="shared" si="288"/>
        <v>-800</v>
      </c>
      <c r="H17942" s="705" t="s">
        <v>11835</v>
      </c>
    </row>
    <row r="17943" spans="1:8" ht="15" x14ac:dyDescent="0.2">
      <c r="A17943" s="734">
        <v>45286</v>
      </c>
      <c r="B17943" s="63" t="s">
        <v>10908</v>
      </c>
      <c r="C17943" s="63" t="s">
        <v>5741</v>
      </c>
      <c r="D17943" s="183" t="s">
        <v>12006</v>
      </c>
      <c r="E17943" s="126">
        <v>200</v>
      </c>
      <c r="F17943" s="126"/>
      <c r="G17943" s="126">
        <f t="shared" si="288"/>
        <v>-200</v>
      </c>
      <c r="H17943" s="705" t="s">
        <v>11835</v>
      </c>
    </row>
    <row r="17944" spans="1:8" ht="15" x14ac:dyDescent="0.2">
      <c r="A17944" s="734">
        <v>45286</v>
      </c>
      <c r="B17944" s="63" t="s">
        <v>11635</v>
      </c>
      <c r="C17944" s="63" t="s">
        <v>5410</v>
      </c>
      <c r="D17944" s="183" t="s">
        <v>370</v>
      </c>
      <c r="E17944" s="126">
        <v>9500</v>
      </c>
      <c r="F17944" s="126"/>
      <c r="G17944" s="126">
        <f t="shared" si="288"/>
        <v>-9500</v>
      </c>
      <c r="H17944" s="705" t="s">
        <v>11835</v>
      </c>
    </row>
    <row r="17945" spans="1:8" ht="15" x14ac:dyDescent="0.2">
      <c r="A17945" s="734">
        <v>45286</v>
      </c>
      <c r="B17945" s="63" t="s">
        <v>9986</v>
      </c>
      <c r="C17945" s="63" t="s">
        <v>10993</v>
      </c>
      <c r="D17945" s="183" t="s">
        <v>4966</v>
      </c>
      <c r="E17945" s="126">
        <v>18830</v>
      </c>
      <c r="F17945" s="126"/>
      <c r="G17945" s="126">
        <f t="shared" si="288"/>
        <v>-18830</v>
      </c>
      <c r="H17945" s="705" t="s">
        <v>11835</v>
      </c>
    </row>
    <row r="17946" spans="1:8" ht="15" x14ac:dyDescent="0.2">
      <c r="A17946" s="734">
        <v>45286</v>
      </c>
      <c r="B17946" s="63" t="s">
        <v>10232</v>
      </c>
      <c r="C17946" s="63" t="s">
        <v>9549</v>
      </c>
      <c r="D17946" s="183" t="s">
        <v>12002</v>
      </c>
      <c r="E17946" s="126">
        <v>125000</v>
      </c>
      <c r="F17946" s="126"/>
      <c r="G17946" s="126">
        <f t="shared" si="288"/>
        <v>-125000</v>
      </c>
      <c r="H17946" s="705" t="s">
        <v>11835</v>
      </c>
    </row>
    <row r="17947" spans="1:8" ht="15" x14ac:dyDescent="0.2">
      <c r="A17947" s="734">
        <v>45286</v>
      </c>
      <c r="B17947" s="63" t="s">
        <v>9986</v>
      </c>
      <c r="C17947" s="63" t="s">
        <v>6476</v>
      </c>
      <c r="D17947" s="183" t="s">
        <v>12003</v>
      </c>
      <c r="E17947" s="126">
        <v>200000</v>
      </c>
      <c r="F17947" s="126"/>
      <c r="G17947" s="126">
        <f t="shared" si="288"/>
        <v>-200000</v>
      </c>
      <c r="H17947" s="705" t="s">
        <v>11835</v>
      </c>
    </row>
    <row r="17948" spans="1:8" ht="15" x14ac:dyDescent="0.2">
      <c r="A17948" s="734">
        <v>45286</v>
      </c>
      <c r="B17948" s="63" t="s">
        <v>11617</v>
      </c>
      <c r="C17948" s="63" t="s">
        <v>11099</v>
      </c>
      <c r="D17948" s="183" t="s">
        <v>12003</v>
      </c>
      <c r="E17948" s="126">
        <v>100000</v>
      </c>
      <c r="F17948" s="126"/>
      <c r="G17948" s="126">
        <f t="shared" si="288"/>
        <v>-100000</v>
      </c>
      <c r="H17948" s="705" t="s">
        <v>11835</v>
      </c>
    </row>
    <row r="17949" spans="1:8" ht="15" x14ac:dyDescent="0.2">
      <c r="A17949" s="734">
        <v>45286</v>
      </c>
      <c r="B17949" s="63" t="s">
        <v>9356</v>
      </c>
      <c r="C17949" s="63" t="s">
        <v>5681</v>
      </c>
      <c r="D17949" s="183" t="s">
        <v>12003</v>
      </c>
      <c r="E17949" s="126">
        <v>500000</v>
      </c>
      <c r="F17949" s="126"/>
      <c r="G17949" s="126">
        <f t="shared" si="288"/>
        <v>-500000</v>
      </c>
      <c r="H17949" s="705" t="s">
        <v>11835</v>
      </c>
    </row>
    <row r="17950" spans="1:8" ht="24" x14ac:dyDescent="0.2">
      <c r="A17950" s="734">
        <v>45286</v>
      </c>
      <c r="B17950" s="63" t="s">
        <v>11617</v>
      </c>
      <c r="C17950" s="63" t="s">
        <v>10993</v>
      </c>
      <c r="D17950" s="183" t="s">
        <v>12004</v>
      </c>
      <c r="E17950" s="126">
        <v>42000</v>
      </c>
      <c r="F17950" s="126"/>
      <c r="G17950" s="126">
        <f t="shared" si="288"/>
        <v>-42000</v>
      </c>
      <c r="H17950" s="705" t="s">
        <v>11835</v>
      </c>
    </row>
    <row r="17951" spans="1:8" ht="15" x14ac:dyDescent="0.2">
      <c r="A17951" s="734">
        <v>45286</v>
      </c>
      <c r="B17951" s="63" t="s">
        <v>11897</v>
      </c>
      <c r="C17951" s="566" t="s">
        <v>12010</v>
      </c>
      <c r="D17951" s="875" t="s">
        <v>12011</v>
      </c>
      <c r="E17951" s="567">
        <v>40000</v>
      </c>
      <c r="F17951" s="126"/>
      <c r="G17951" s="126">
        <f t="shared" si="288"/>
        <v>-40000</v>
      </c>
      <c r="H17951" s="705" t="s">
        <v>11835</v>
      </c>
    </row>
    <row r="17952" spans="1:8" ht="15" x14ac:dyDescent="0.2">
      <c r="A17952" s="734">
        <v>45286</v>
      </c>
      <c r="B17952" s="63" t="s">
        <v>10908</v>
      </c>
      <c r="C17952" s="566" t="s">
        <v>12010</v>
      </c>
      <c r="D17952" s="875" t="s">
        <v>12011</v>
      </c>
      <c r="E17952" s="567">
        <v>15000</v>
      </c>
      <c r="F17952" s="126"/>
      <c r="G17952" s="126">
        <f t="shared" si="288"/>
        <v>-15000</v>
      </c>
      <c r="H17952" s="705" t="s">
        <v>11835</v>
      </c>
    </row>
    <row r="17953" spans="1:8" ht="15" x14ac:dyDescent="0.2">
      <c r="A17953" s="734">
        <v>45286</v>
      </c>
      <c r="B17953" s="63" t="s">
        <v>11635</v>
      </c>
      <c r="C17953" s="566" t="s">
        <v>12010</v>
      </c>
      <c r="D17953" s="875" t="s">
        <v>12011</v>
      </c>
      <c r="E17953" s="567">
        <v>2000</v>
      </c>
      <c r="F17953" s="126"/>
      <c r="G17953" s="126">
        <f t="shared" si="288"/>
        <v>-2000</v>
      </c>
      <c r="H17953" s="705" t="s">
        <v>11835</v>
      </c>
    </row>
    <row r="17954" spans="1:8" ht="15" x14ac:dyDescent="0.2">
      <c r="A17954" s="734">
        <v>45286</v>
      </c>
      <c r="B17954" s="63" t="s">
        <v>9967</v>
      </c>
      <c r="C17954" s="566" t="s">
        <v>12010</v>
      </c>
      <c r="D17954" s="875" t="s">
        <v>12011</v>
      </c>
      <c r="E17954" s="567">
        <v>17000</v>
      </c>
      <c r="F17954" s="126"/>
      <c r="G17954" s="126">
        <f t="shared" si="288"/>
        <v>-17000</v>
      </c>
      <c r="H17954" s="705" t="s">
        <v>11835</v>
      </c>
    </row>
    <row r="17955" spans="1:8" ht="15" x14ac:dyDescent="0.2">
      <c r="A17955" s="734">
        <v>45286</v>
      </c>
      <c r="B17955" s="63" t="s">
        <v>11635</v>
      </c>
      <c r="C17955" s="670" t="s">
        <v>11552</v>
      </c>
      <c r="D17955" s="907" t="s">
        <v>12012</v>
      </c>
      <c r="E17955" s="672">
        <v>25500</v>
      </c>
      <c r="F17955" s="126"/>
      <c r="G17955" s="126">
        <f t="shared" si="288"/>
        <v>-25500</v>
      </c>
      <c r="H17955" s="705" t="s">
        <v>11835</v>
      </c>
    </row>
    <row r="17956" spans="1:8" ht="15" x14ac:dyDescent="0.2">
      <c r="A17956" s="734">
        <v>45286</v>
      </c>
      <c r="B17956" s="63" t="s">
        <v>10232</v>
      </c>
      <c r="C17956" s="670" t="s">
        <v>11552</v>
      </c>
      <c r="D17956" s="907" t="s">
        <v>12012</v>
      </c>
      <c r="E17956" s="672">
        <v>14000</v>
      </c>
      <c r="F17956" s="126"/>
      <c r="G17956" s="126">
        <f t="shared" si="288"/>
        <v>-14000</v>
      </c>
      <c r="H17956" s="705" t="s">
        <v>11835</v>
      </c>
    </row>
    <row r="17957" spans="1:8" ht="15" x14ac:dyDescent="0.2">
      <c r="A17957" s="734">
        <v>45286</v>
      </c>
      <c r="B17957" s="63" t="s">
        <v>11446</v>
      </c>
      <c r="C17957" s="670" t="s">
        <v>11552</v>
      </c>
      <c r="D17957" s="907" t="s">
        <v>12012</v>
      </c>
      <c r="E17957" s="672">
        <v>11500</v>
      </c>
      <c r="F17957" s="126"/>
      <c r="G17957" s="126">
        <f t="shared" si="288"/>
        <v>-11500</v>
      </c>
      <c r="H17957" s="705" t="s">
        <v>11835</v>
      </c>
    </row>
    <row r="17958" spans="1:8" ht="15" x14ac:dyDescent="0.2">
      <c r="A17958" s="734">
        <v>45286</v>
      </c>
      <c r="B17958" s="63" t="s">
        <v>11635</v>
      </c>
      <c r="C17958" s="566" t="s">
        <v>10993</v>
      </c>
      <c r="D17958" s="875" t="s">
        <v>12013</v>
      </c>
      <c r="E17958" s="567">
        <v>36000</v>
      </c>
      <c r="F17958" s="126"/>
      <c r="G17958" s="126">
        <f t="shared" si="288"/>
        <v>-36000</v>
      </c>
      <c r="H17958" s="705" t="s">
        <v>11835</v>
      </c>
    </row>
    <row r="17959" spans="1:8" ht="15" x14ac:dyDescent="0.2">
      <c r="A17959" s="734">
        <v>45286</v>
      </c>
      <c r="B17959" s="63" t="s">
        <v>11897</v>
      </c>
      <c r="C17959" s="566" t="s">
        <v>10993</v>
      </c>
      <c r="D17959" s="875" t="s">
        <v>12013</v>
      </c>
      <c r="E17959" s="567">
        <v>36000</v>
      </c>
      <c r="F17959" s="126"/>
      <c r="G17959" s="126">
        <f t="shared" ref="G17959:G18022" si="289">F17959-E17959</f>
        <v>-36000</v>
      </c>
      <c r="H17959" s="705" t="s">
        <v>11835</v>
      </c>
    </row>
    <row r="17960" spans="1:8" ht="15" x14ac:dyDescent="0.2">
      <c r="A17960" s="734">
        <v>45286</v>
      </c>
      <c r="B17960" s="63" t="s">
        <v>10232</v>
      </c>
      <c r="C17960" s="566" t="s">
        <v>10993</v>
      </c>
      <c r="D17960" s="875" t="s">
        <v>12013</v>
      </c>
      <c r="E17960" s="567">
        <v>36000</v>
      </c>
      <c r="F17960" s="126"/>
      <c r="G17960" s="126">
        <f t="shared" si="289"/>
        <v>-36000</v>
      </c>
      <c r="H17960" s="705" t="s">
        <v>11835</v>
      </c>
    </row>
    <row r="17961" spans="1:8" ht="15" x14ac:dyDescent="0.2">
      <c r="A17961" s="734">
        <v>45286</v>
      </c>
      <c r="B17961" s="63" t="s">
        <v>11728</v>
      </c>
      <c r="C17961" s="566" t="s">
        <v>10993</v>
      </c>
      <c r="D17961" s="875" t="s">
        <v>12013</v>
      </c>
      <c r="E17961" s="567">
        <v>36000</v>
      </c>
      <c r="F17961" s="126"/>
      <c r="G17961" s="126">
        <f t="shared" si="289"/>
        <v>-36000</v>
      </c>
      <c r="H17961" s="705" t="s">
        <v>11835</v>
      </c>
    </row>
    <row r="17962" spans="1:8" ht="15" x14ac:dyDescent="0.2">
      <c r="A17962" s="734">
        <v>45286</v>
      </c>
      <c r="B17962" s="63" t="s">
        <v>10908</v>
      </c>
      <c r="C17962" s="566" t="s">
        <v>10993</v>
      </c>
      <c r="D17962" s="875" t="s">
        <v>12013</v>
      </c>
      <c r="E17962" s="567">
        <v>36000</v>
      </c>
      <c r="F17962" s="126"/>
      <c r="G17962" s="126">
        <f t="shared" si="289"/>
        <v>-36000</v>
      </c>
      <c r="H17962" s="705" t="s">
        <v>11835</v>
      </c>
    </row>
    <row r="17963" spans="1:8" ht="15" x14ac:dyDescent="0.2">
      <c r="A17963" s="734">
        <v>45286</v>
      </c>
      <c r="B17963" s="63" t="s">
        <v>11728</v>
      </c>
      <c r="C17963" s="566" t="s">
        <v>10993</v>
      </c>
      <c r="D17963" s="875" t="s">
        <v>12013</v>
      </c>
      <c r="E17963" s="567">
        <v>38000</v>
      </c>
      <c r="F17963" s="126"/>
      <c r="G17963" s="126">
        <f t="shared" si="289"/>
        <v>-38000</v>
      </c>
      <c r="H17963" s="705" t="s">
        <v>11835</v>
      </c>
    </row>
    <row r="17964" spans="1:8" ht="15" x14ac:dyDescent="0.2">
      <c r="A17964" s="734">
        <v>45286</v>
      </c>
      <c r="B17964" s="63" t="s">
        <v>10232</v>
      </c>
      <c r="C17964" s="670" t="s">
        <v>10993</v>
      </c>
      <c r="D17964" s="907" t="s">
        <v>12014</v>
      </c>
      <c r="E17964" s="672">
        <v>14000</v>
      </c>
      <c r="F17964" s="126"/>
      <c r="G17964" s="126">
        <f t="shared" si="289"/>
        <v>-14000</v>
      </c>
      <c r="H17964" s="705" t="s">
        <v>11835</v>
      </c>
    </row>
    <row r="17965" spans="1:8" ht="15" x14ac:dyDescent="0.2">
      <c r="A17965" s="734">
        <v>45286</v>
      </c>
      <c r="B17965" s="63" t="s">
        <v>10908</v>
      </c>
      <c r="C17965" s="670" t="s">
        <v>10993</v>
      </c>
      <c r="D17965" s="907" t="s">
        <v>12014</v>
      </c>
      <c r="E17965" s="672">
        <v>14000</v>
      </c>
      <c r="F17965" s="126"/>
      <c r="G17965" s="126">
        <f t="shared" si="289"/>
        <v>-14000</v>
      </c>
      <c r="H17965" s="705" t="s">
        <v>11835</v>
      </c>
    </row>
    <row r="17966" spans="1:8" ht="15" x14ac:dyDescent="0.2">
      <c r="A17966" s="734">
        <v>45286</v>
      </c>
      <c r="B17966" s="63" t="s">
        <v>11635</v>
      </c>
      <c r="C17966" s="670" t="s">
        <v>10993</v>
      </c>
      <c r="D17966" s="907" t="s">
        <v>12014</v>
      </c>
      <c r="E17966" s="672">
        <v>11000</v>
      </c>
      <c r="F17966" s="126"/>
      <c r="G17966" s="126">
        <f t="shared" si="289"/>
        <v>-11000</v>
      </c>
      <c r="H17966" s="705" t="s">
        <v>11835</v>
      </c>
    </row>
    <row r="17967" spans="1:8" ht="15" x14ac:dyDescent="0.2">
      <c r="A17967" s="734">
        <v>45286</v>
      </c>
      <c r="B17967" s="63" t="s">
        <v>10232</v>
      </c>
      <c r="C17967" s="63" t="s">
        <v>6586</v>
      </c>
      <c r="D17967" s="183" t="s">
        <v>12015</v>
      </c>
      <c r="E17967" s="126">
        <v>80000</v>
      </c>
      <c r="F17967" s="126"/>
      <c r="G17967" s="126">
        <f t="shared" si="289"/>
        <v>-80000</v>
      </c>
      <c r="H17967" s="705" t="s">
        <v>11835</v>
      </c>
    </row>
    <row r="17968" spans="1:8" ht="15" x14ac:dyDescent="0.2">
      <c r="A17968" s="734">
        <v>45286</v>
      </c>
      <c r="B17968" s="63" t="s">
        <v>10151</v>
      </c>
      <c r="C17968" s="63" t="s">
        <v>12016</v>
      </c>
      <c r="D17968" s="183" t="s">
        <v>12017</v>
      </c>
      <c r="E17968" s="126">
        <v>50000</v>
      </c>
      <c r="F17968" s="126"/>
      <c r="G17968" s="126">
        <f t="shared" si="289"/>
        <v>-50000</v>
      </c>
      <c r="H17968" s="705" t="s">
        <v>11835</v>
      </c>
    </row>
    <row r="17969" spans="1:8" ht="15" x14ac:dyDescent="0.2">
      <c r="A17969" s="734">
        <v>45286</v>
      </c>
      <c r="B17969" s="63" t="s">
        <v>9986</v>
      </c>
      <c r="C17969" s="63" t="s">
        <v>12018</v>
      </c>
      <c r="D17969" s="183" t="s">
        <v>12003</v>
      </c>
      <c r="E17969" s="126">
        <v>250000</v>
      </c>
      <c r="F17969" s="126"/>
      <c r="G17969" s="126">
        <f t="shared" si="289"/>
        <v>-250000</v>
      </c>
      <c r="H17969" s="705" t="s">
        <v>11835</v>
      </c>
    </row>
    <row r="17970" spans="1:8" ht="15" x14ac:dyDescent="0.2">
      <c r="A17970" s="734">
        <v>45286</v>
      </c>
      <c r="B17970" s="63" t="s">
        <v>11728</v>
      </c>
      <c r="C17970" s="670" t="s">
        <v>10993</v>
      </c>
      <c r="D17970" s="907" t="s">
        <v>12008</v>
      </c>
      <c r="E17970" s="672">
        <v>6000</v>
      </c>
      <c r="F17970" s="126"/>
      <c r="G17970" s="126">
        <f t="shared" si="289"/>
        <v>-6000</v>
      </c>
      <c r="H17970" s="705" t="s">
        <v>11835</v>
      </c>
    </row>
    <row r="17971" spans="1:8" ht="15" x14ac:dyDescent="0.2">
      <c r="A17971" s="734">
        <v>45286</v>
      </c>
      <c r="B17971" s="63" t="s">
        <v>11623</v>
      </c>
      <c r="C17971" s="670" t="s">
        <v>10993</v>
      </c>
      <c r="D17971" s="907" t="s">
        <v>12008</v>
      </c>
      <c r="E17971" s="672">
        <v>6000</v>
      </c>
      <c r="F17971" s="126"/>
      <c r="G17971" s="126">
        <f t="shared" si="289"/>
        <v>-6000</v>
      </c>
      <c r="H17971" s="705" t="s">
        <v>11835</v>
      </c>
    </row>
    <row r="17972" spans="1:8" ht="15" x14ac:dyDescent="0.2">
      <c r="A17972" s="734">
        <v>45286</v>
      </c>
      <c r="B17972" s="63" t="s">
        <v>10909</v>
      </c>
      <c r="C17972" s="670" t="s">
        <v>10993</v>
      </c>
      <c r="D17972" s="907" t="s">
        <v>12008</v>
      </c>
      <c r="E17972" s="672">
        <v>6000</v>
      </c>
      <c r="F17972" s="126"/>
      <c r="G17972" s="126">
        <f t="shared" si="289"/>
        <v>-6000</v>
      </c>
      <c r="H17972" s="705" t="s">
        <v>11835</v>
      </c>
    </row>
    <row r="17973" spans="1:8" ht="15" x14ac:dyDescent="0.2">
      <c r="A17973" s="734">
        <v>45286</v>
      </c>
      <c r="B17973" s="63" t="s">
        <v>11728</v>
      </c>
      <c r="C17973" s="566" t="s">
        <v>10993</v>
      </c>
      <c r="D17973" s="875" t="s">
        <v>12009</v>
      </c>
      <c r="E17973" s="567">
        <v>15000</v>
      </c>
      <c r="F17973" s="126"/>
      <c r="G17973" s="126">
        <f t="shared" si="289"/>
        <v>-15000</v>
      </c>
      <c r="H17973" s="705" t="s">
        <v>11835</v>
      </c>
    </row>
    <row r="17974" spans="1:8" ht="15" x14ac:dyDescent="0.2">
      <c r="A17974" s="734">
        <v>45286</v>
      </c>
      <c r="B17974" s="63" t="s">
        <v>11623</v>
      </c>
      <c r="C17974" s="566" t="s">
        <v>10993</v>
      </c>
      <c r="D17974" s="875" t="s">
        <v>12009</v>
      </c>
      <c r="E17974" s="567">
        <v>15000</v>
      </c>
      <c r="F17974" s="126"/>
      <c r="G17974" s="126">
        <f t="shared" si="289"/>
        <v>-15000</v>
      </c>
      <c r="H17974" s="705" t="s">
        <v>11835</v>
      </c>
    </row>
    <row r="17975" spans="1:8" ht="15" x14ac:dyDescent="0.2">
      <c r="A17975" s="734">
        <v>45286</v>
      </c>
      <c r="B17975" s="63" t="s">
        <v>10909</v>
      </c>
      <c r="C17975" s="566" t="s">
        <v>10993</v>
      </c>
      <c r="D17975" s="875" t="s">
        <v>12009</v>
      </c>
      <c r="E17975" s="567">
        <v>14000</v>
      </c>
      <c r="F17975" s="126"/>
      <c r="G17975" s="126">
        <f t="shared" si="289"/>
        <v>-14000</v>
      </c>
      <c r="H17975" s="705" t="s">
        <v>11835</v>
      </c>
    </row>
    <row r="17976" spans="1:8" ht="15" x14ac:dyDescent="0.2">
      <c r="A17976" s="734">
        <v>45286</v>
      </c>
      <c r="B17976" s="63" t="s">
        <v>10909</v>
      </c>
      <c r="C17976" s="63" t="s">
        <v>5741</v>
      </c>
      <c r="D17976" s="183" t="s">
        <v>12007</v>
      </c>
      <c r="E17976" s="126">
        <v>7000</v>
      </c>
      <c r="F17976" s="126"/>
      <c r="G17976" s="126">
        <f t="shared" si="289"/>
        <v>-7000</v>
      </c>
      <c r="H17976" s="705" t="s">
        <v>11835</v>
      </c>
    </row>
    <row r="17977" spans="1:8" ht="15" x14ac:dyDescent="0.2">
      <c r="A17977" s="734">
        <v>45286</v>
      </c>
      <c r="B17977" s="63" t="s">
        <v>9986</v>
      </c>
      <c r="C17977" s="63" t="s">
        <v>10993</v>
      </c>
      <c r="D17977" s="183" t="s">
        <v>5136</v>
      </c>
      <c r="E17977" s="126">
        <v>24280</v>
      </c>
      <c r="F17977" s="126"/>
      <c r="G17977" s="126">
        <f t="shared" si="289"/>
        <v>-24280</v>
      </c>
      <c r="H17977" s="705" t="s">
        <v>11835</v>
      </c>
    </row>
    <row r="17978" spans="1:8" ht="15" x14ac:dyDescent="0.2">
      <c r="A17978" s="734">
        <v>45287</v>
      </c>
      <c r="B17978" s="63" t="s">
        <v>11728</v>
      </c>
      <c r="C17978" s="63" t="s">
        <v>5741</v>
      </c>
      <c r="D17978" s="183" t="s">
        <v>370</v>
      </c>
      <c r="E17978" s="126">
        <v>2000</v>
      </c>
      <c r="F17978" s="126"/>
      <c r="G17978" s="126">
        <f t="shared" si="289"/>
        <v>-2000</v>
      </c>
      <c r="H17978" s="705" t="s">
        <v>11835</v>
      </c>
    </row>
    <row r="17979" spans="1:8" ht="15" x14ac:dyDescent="0.2">
      <c r="A17979" s="734">
        <v>45287</v>
      </c>
      <c r="B17979" s="63" t="s">
        <v>11635</v>
      </c>
      <c r="C17979" s="63" t="s">
        <v>392</v>
      </c>
      <c r="D17979" s="183" t="s">
        <v>12019</v>
      </c>
      <c r="E17979" s="126">
        <v>1000</v>
      </c>
      <c r="F17979" s="126"/>
      <c r="G17979" s="126">
        <f t="shared" si="289"/>
        <v>-1000</v>
      </c>
      <c r="H17979" s="705" t="s">
        <v>11835</v>
      </c>
    </row>
    <row r="17980" spans="1:8" ht="15" x14ac:dyDescent="0.2">
      <c r="A17980" s="734">
        <v>45287</v>
      </c>
      <c r="B17980" s="63" t="s">
        <v>11728</v>
      </c>
      <c r="C17980" s="63" t="s">
        <v>5741</v>
      </c>
      <c r="D17980" s="183" t="s">
        <v>12020</v>
      </c>
      <c r="E17980" s="126">
        <v>500</v>
      </c>
      <c r="F17980" s="126"/>
      <c r="G17980" s="126">
        <f t="shared" si="289"/>
        <v>-500</v>
      </c>
      <c r="H17980" s="705" t="s">
        <v>11835</v>
      </c>
    </row>
    <row r="17981" spans="1:8" ht="15" x14ac:dyDescent="0.2">
      <c r="A17981" s="734">
        <v>45287</v>
      </c>
      <c r="B17981" s="63" t="s">
        <v>103</v>
      </c>
      <c r="C17981" s="63" t="s">
        <v>103</v>
      </c>
      <c r="D17981" s="183" t="s">
        <v>8158</v>
      </c>
      <c r="E17981" s="126">
        <v>1700</v>
      </c>
      <c r="F17981" s="126"/>
      <c r="G17981" s="126">
        <f t="shared" si="289"/>
        <v>-1700</v>
      </c>
      <c r="H17981" s="705" t="s">
        <v>11835</v>
      </c>
    </row>
    <row r="17982" spans="1:8" ht="15" customHeight="1" x14ac:dyDescent="0.2">
      <c r="A17982" s="734">
        <v>45287</v>
      </c>
      <c r="B17982" s="63" t="s">
        <v>37</v>
      </c>
      <c r="C17982" s="63" t="s">
        <v>392</v>
      </c>
      <c r="D17982" s="183" t="s">
        <v>12021</v>
      </c>
      <c r="E17982" s="126">
        <v>2000</v>
      </c>
      <c r="F17982" s="126"/>
      <c r="G17982" s="126">
        <f t="shared" si="289"/>
        <v>-2000</v>
      </c>
      <c r="H17982" s="705" t="s">
        <v>11835</v>
      </c>
    </row>
    <row r="17983" spans="1:8" ht="15" customHeight="1" x14ac:dyDescent="0.2">
      <c r="A17983" s="734">
        <v>45287</v>
      </c>
      <c r="B17983" s="63" t="s">
        <v>103</v>
      </c>
      <c r="C17983" s="63" t="s">
        <v>8150</v>
      </c>
      <c r="D17983" s="183" t="s">
        <v>6337</v>
      </c>
      <c r="E17983" s="126">
        <v>17745</v>
      </c>
      <c r="F17983" s="126"/>
      <c r="G17983" s="126">
        <f t="shared" si="289"/>
        <v>-17745</v>
      </c>
      <c r="H17983" s="705" t="s">
        <v>11835</v>
      </c>
    </row>
    <row r="17984" spans="1:8" ht="15" customHeight="1" x14ac:dyDescent="0.2">
      <c r="A17984" s="734">
        <v>45287</v>
      </c>
      <c r="B17984" s="63" t="s">
        <v>25</v>
      </c>
      <c r="C17984" s="63" t="s">
        <v>8150</v>
      </c>
      <c r="D17984" s="183" t="s">
        <v>6337</v>
      </c>
      <c r="E17984" s="126">
        <v>33919</v>
      </c>
      <c r="F17984" s="126"/>
      <c r="G17984" s="126">
        <f t="shared" si="289"/>
        <v>-33919</v>
      </c>
      <c r="H17984" s="705" t="s">
        <v>11835</v>
      </c>
    </row>
    <row r="17985" spans="1:8" ht="15" x14ac:dyDescent="0.2">
      <c r="A17985" s="734">
        <v>45287</v>
      </c>
      <c r="B17985" s="63" t="s">
        <v>103</v>
      </c>
      <c r="C17985" s="63" t="s">
        <v>8150</v>
      </c>
      <c r="D17985" s="183" t="s">
        <v>6310</v>
      </c>
      <c r="E17985" s="126">
        <v>650</v>
      </c>
      <c r="F17985" s="126"/>
      <c r="G17985" s="126">
        <f t="shared" si="289"/>
        <v>-650</v>
      </c>
      <c r="H17985" s="705" t="s">
        <v>11835</v>
      </c>
    </row>
    <row r="17986" spans="1:8" ht="15" x14ac:dyDescent="0.2">
      <c r="A17986" s="734">
        <v>45287</v>
      </c>
      <c r="B17986" s="63" t="s">
        <v>25</v>
      </c>
      <c r="C17986" s="63" t="s">
        <v>8150</v>
      </c>
      <c r="D17986" s="183" t="s">
        <v>6310</v>
      </c>
      <c r="E17986" s="126">
        <v>1080</v>
      </c>
      <c r="F17986" s="126"/>
      <c r="G17986" s="126">
        <f t="shared" si="289"/>
        <v>-1080</v>
      </c>
      <c r="H17986" s="705" t="s">
        <v>11835</v>
      </c>
    </row>
    <row r="17987" spans="1:8" ht="15" x14ac:dyDescent="0.2">
      <c r="A17987" s="734">
        <v>45287</v>
      </c>
      <c r="B17987" s="63" t="s">
        <v>11738</v>
      </c>
      <c r="C17987" s="63" t="s">
        <v>10993</v>
      </c>
      <c r="D17987" s="183" t="s">
        <v>11877</v>
      </c>
      <c r="E17987" s="126">
        <v>22320</v>
      </c>
      <c r="F17987" s="126"/>
      <c r="G17987" s="126">
        <f t="shared" si="289"/>
        <v>-22320</v>
      </c>
      <c r="H17987" s="705" t="s">
        <v>11835</v>
      </c>
    </row>
    <row r="17988" spans="1:8" ht="15" x14ac:dyDescent="0.2">
      <c r="A17988" s="734">
        <v>45287</v>
      </c>
      <c r="B17988" s="63" t="s">
        <v>10576</v>
      </c>
      <c r="C17988" s="63" t="s">
        <v>392</v>
      </c>
      <c r="D17988" s="183" t="s">
        <v>12022</v>
      </c>
      <c r="E17988" s="126">
        <v>30410</v>
      </c>
      <c r="F17988" s="126"/>
      <c r="G17988" s="126">
        <f t="shared" si="289"/>
        <v>-30410</v>
      </c>
      <c r="H17988" s="705" t="s">
        <v>11835</v>
      </c>
    </row>
    <row r="17989" spans="1:8" ht="24" x14ac:dyDescent="0.2">
      <c r="A17989" s="734">
        <v>45287</v>
      </c>
      <c r="B17989" s="63" t="s">
        <v>14</v>
      </c>
      <c r="C17989" s="63" t="s">
        <v>12023</v>
      </c>
      <c r="D17989" s="183" t="s">
        <v>12024</v>
      </c>
      <c r="E17989" s="126">
        <v>24000</v>
      </c>
      <c r="F17989" s="126"/>
      <c r="G17989" s="126">
        <f t="shared" si="289"/>
        <v>-24000</v>
      </c>
      <c r="H17989" s="705" t="s">
        <v>11835</v>
      </c>
    </row>
    <row r="17990" spans="1:8" ht="15" x14ac:dyDescent="0.2">
      <c r="A17990" s="734">
        <v>45287</v>
      </c>
      <c r="B17990" s="736"/>
      <c r="C17990" s="63" t="s">
        <v>12025</v>
      </c>
      <c r="D17990" s="183" t="s">
        <v>11171</v>
      </c>
      <c r="E17990" s="126">
        <v>250000</v>
      </c>
      <c r="F17990" s="126"/>
      <c r="G17990" s="126">
        <f t="shared" si="289"/>
        <v>-250000</v>
      </c>
      <c r="H17990" s="705" t="s">
        <v>11835</v>
      </c>
    </row>
    <row r="17991" spans="1:8" ht="15" x14ac:dyDescent="0.2">
      <c r="A17991" s="734">
        <v>45287</v>
      </c>
      <c r="B17991" s="63" t="s">
        <v>11897</v>
      </c>
      <c r="C17991" s="63" t="s">
        <v>10993</v>
      </c>
      <c r="D17991" s="183" t="s">
        <v>7376</v>
      </c>
      <c r="E17991" s="126">
        <v>2700</v>
      </c>
      <c r="F17991" s="126"/>
      <c r="G17991" s="126">
        <f t="shared" si="289"/>
        <v>-2700</v>
      </c>
      <c r="H17991" s="705" t="s">
        <v>11835</v>
      </c>
    </row>
    <row r="17992" spans="1:8" ht="15" x14ac:dyDescent="0.2">
      <c r="A17992" s="734">
        <v>45288</v>
      </c>
      <c r="B17992" s="63" t="s">
        <v>11089</v>
      </c>
      <c r="C17992" s="63" t="s">
        <v>5460</v>
      </c>
      <c r="D17992" s="183" t="s">
        <v>12003</v>
      </c>
      <c r="E17992" s="126">
        <v>35000</v>
      </c>
      <c r="F17992" s="126"/>
      <c r="G17992" s="126">
        <f t="shared" si="289"/>
        <v>-35000</v>
      </c>
      <c r="H17992" s="705" t="s">
        <v>11835</v>
      </c>
    </row>
    <row r="17993" spans="1:8" ht="15" x14ac:dyDescent="0.2">
      <c r="A17993" s="734">
        <v>45288</v>
      </c>
      <c r="B17993" s="63" t="s">
        <v>10908</v>
      </c>
      <c r="C17993" s="63" t="s">
        <v>12027</v>
      </c>
      <c r="D17993" s="183" t="s">
        <v>12028</v>
      </c>
      <c r="E17993" s="126">
        <v>765000</v>
      </c>
      <c r="F17993" s="126"/>
      <c r="G17993" s="126">
        <f t="shared" si="289"/>
        <v>-765000</v>
      </c>
      <c r="H17993" s="705" t="s">
        <v>11835</v>
      </c>
    </row>
    <row r="17994" spans="1:8" ht="15" x14ac:dyDescent="0.2">
      <c r="A17994" s="734">
        <v>45288</v>
      </c>
      <c r="B17994" s="63" t="s">
        <v>11446</v>
      </c>
      <c r="C17994" s="63" t="s">
        <v>12029</v>
      </c>
      <c r="D17994" s="183" t="s">
        <v>12030</v>
      </c>
      <c r="E17994" s="126">
        <v>28300</v>
      </c>
      <c r="F17994" s="126"/>
      <c r="G17994" s="126">
        <f t="shared" si="289"/>
        <v>-28300</v>
      </c>
      <c r="H17994" s="705" t="s">
        <v>11835</v>
      </c>
    </row>
    <row r="17995" spans="1:8" ht="15" x14ac:dyDescent="0.2">
      <c r="A17995" s="734">
        <v>45288</v>
      </c>
      <c r="B17995" s="63" t="s">
        <v>11446</v>
      </c>
      <c r="C17995" s="63" t="s">
        <v>12029</v>
      </c>
      <c r="D17995" s="183" t="s">
        <v>12041</v>
      </c>
      <c r="E17995" s="126">
        <v>-5700</v>
      </c>
      <c r="F17995" s="126"/>
      <c r="G17995" s="126">
        <f t="shared" si="289"/>
        <v>5700</v>
      </c>
      <c r="H17995" s="705" t="s">
        <v>11835</v>
      </c>
    </row>
    <row r="17996" spans="1:8" ht="15" x14ac:dyDescent="0.2">
      <c r="A17996" s="734">
        <v>45288</v>
      </c>
      <c r="B17996" s="63" t="s">
        <v>11089</v>
      </c>
      <c r="C17996" s="63" t="s">
        <v>372</v>
      </c>
      <c r="D17996" s="183" t="s">
        <v>2108</v>
      </c>
      <c r="E17996" s="126">
        <v>1000</v>
      </c>
      <c r="F17996" s="126"/>
      <c r="G17996" s="126">
        <f t="shared" si="289"/>
        <v>-1000</v>
      </c>
      <c r="H17996" s="705" t="s">
        <v>11835</v>
      </c>
    </row>
    <row r="17997" spans="1:8" ht="15" x14ac:dyDescent="0.2">
      <c r="A17997" s="734">
        <v>45288</v>
      </c>
      <c r="B17997" s="63" t="s">
        <v>11728</v>
      </c>
      <c r="C17997" s="63" t="s">
        <v>5741</v>
      </c>
      <c r="D17997" s="183" t="s">
        <v>370</v>
      </c>
      <c r="E17997" s="126">
        <v>1700</v>
      </c>
      <c r="F17997" s="126"/>
      <c r="G17997" s="126">
        <f t="shared" si="289"/>
        <v>-1700</v>
      </c>
      <c r="H17997" s="705" t="s">
        <v>11835</v>
      </c>
    </row>
    <row r="17998" spans="1:8" ht="15" x14ac:dyDescent="0.2">
      <c r="A17998" s="734">
        <v>45289</v>
      </c>
      <c r="B17998" s="63" t="s">
        <v>11089</v>
      </c>
      <c r="C17998" s="63" t="s">
        <v>11975</v>
      </c>
      <c r="D17998" s="183" t="s">
        <v>1157</v>
      </c>
      <c r="E17998" s="126">
        <v>20000</v>
      </c>
      <c r="F17998" s="126"/>
      <c r="G17998" s="126">
        <f t="shared" si="289"/>
        <v>-20000</v>
      </c>
      <c r="H17998" s="705" t="s">
        <v>11835</v>
      </c>
    </row>
    <row r="17999" spans="1:8" ht="15" x14ac:dyDescent="0.2">
      <c r="A17999" s="734">
        <v>45289</v>
      </c>
      <c r="B17999" s="63" t="s">
        <v>11728</v>
      </c>
      <c r="C17999" s="63" t="s">
        <v>11106</v>
      </c>
      <c r="D17999" s="183" t="s">
        <v>1157</v>
      </c>
      <c r="E17999" s="126">
        <v>31000</v>
      </c>
      <c r="F17999" s="126"/>
      <c r="G17999" s="126">
        <f t="shared" si="289"/>
        <v>-31000</v>
      </c>
      <c r="H17999" s="705" t="s">
        <v>11835</v>
      </c>
    </row>
    <row r="18000" spans="1:8" ht="15" x14ac:dyDescent="0.2">
      <c r="A18000" s="734">
        <v>45289</v>
      </c>
      <c r="B18000" s="63" t="s">
        <v>3946</v>
      </c>
      <c r="C18000" s="63" t="s">
        <v>3877</v>
      </c>
      <c r="D18000" s="183" t="s">
        <v>1157</v>
      </c>
      <c r="E18000" s="126">
        <v>50000</v>
      </c>
      <c r="F18000" s="126"/>
      <c r="G18000" s="126">
        <f t="shared" si="289"/>
        <v>-50000</v>
      </c>
      <c r="H18000" s="705" t="s">
        <v>11835</v>
      </c>
    </row>
    <row r="18001" spans="1:8" ht="15" x14ac:dyDescent="0.2">
      <c r="A18001" s="734">
        <v>45289</v>
      </c>
      <c r="B18001" s="63" t="s">
        <v>10232</v>
      </c>
      <c r="C18001" s="63" t="s">
        <v>5741</v>
      </c>
      <c r="D18001" s="183" t="s">
        <v>370</v>
      </c>
      <c r="E18001" s="126">
        <v>1500</v>
      </c>
      <c r="F18001" s="126"/>
      <c r="G18001" s="126">
        <f t="shared" si="289"/>
        <v>-1500</v>
      </c>
      <c r="H18001" s="705" t="s">
        <v>11835</v>
      </c>
    </row>
    <row r="18002" spans="1:8" ht="15" x14ac:dyDescent="0.2">
      <c r="A18002" s="734">
        <v>45289</v>
      </c>
      <c r="B18002" s="63" t="s">
        <v>11728</v>
      </c>
      <c r="C18002" s="63" t="s">
        <v>2554</v>
      </c>
      <c r="D18002" s="183" t="s">
        <v>12031</v>
      </c>
      <c r="E18002" s="126">
        <v>50000</v>
      </c>
      <c r="F18002" s="126"/>
      <c r="G18002" s="126">
        <f t="shared" si="289"/>
        <v>-50000</v>
      </c>
      <c r="H18002" s="705" t="s">
        <v>11835</v>
      </c>
    </row>
    <row r="18003" spans="1:8" ht="15" x14ac:dyDescent="0.2">
      <c r="A18003" s="734">
        <v>45289</v>
      </c>
      <c r="B18003" s="63" t="s">
        <v>103</v>
      </c>
      <c r="C18003" s="63" t="s">
        <v>103</v>
      </c>
      <c r="D18003" s="183" t="s">
        <v>8158</v>
      </c>
      <c r="E18003" s="126">
        <v>1700</v>
      </c>
      <c r="F18003" s="126"/>
      <c r="G18003" s="126">
        <f t="shared" si="289"/>
        <v>-1700</v>
      </c>
      <c r="H18003" s="705" t="s">
        <v>11835</v>
      </c>
    </row>
    <row r="18004" spans="1:8" ht="15" x14ac:dyDescent="0.2">
      <c r="A18004" s="734">
        <v>45289</v>
      </c>
      <c r="B18004" s="63" t="s">
        <v>11635</v>
      </c>
      <c r="C18004" s="63" t="s">
        <v>286</v>
      </c>
      <c r="D18004" s="183" t="s">
        <v>8663</v>
      </c>
      <c r="E18004" s="126">
        <v>1200</v>
      </c>
      <c r="F18004" s="126"/>
      <c r="G18004" s="126">
        <f t="shared" si="289"/>
        <v>-1200</v>
      </c>
      <c r="H18004" s="705" t="s">
        <v>11835</v>
      </c>
    </row>
    <row r="18005" spans="1:8" ht="24" x14ac:dyDescent="0.2">
      <c r="A18005" s="734">
        <v>45289</v>
      </c>
      <c r="B18005" s="63" t="s">
        <v>10471</v>
      </c>
      <c r="C18005" s="63" t="s">
        <v>12032</v>
      </c>
      <c r="D18005" s="183" t="s">
        <v>12033</v>
      </c>
      <c r="E18005" s="126">
        <v>100000</v>
      </c>
      <c r="F18005" s="126"/>
      <c r="G18005" s="126">
        <f t="shared" si="289"/>
        <v>-100000</v>
      </c>
      <c r="H18005" s="705" t="s">
        <v>11835</v>
      </c>
    </row>
    <row r="18006" spans="1:8" ht="15" x14ac:dyDescent="0.2">
      <c r="A18006" s="734">
        <v>45289</v>
      </c>
      <c r="B18006" s="63" t="s">
        <v>10908</v>
      </c>
      <c r="C18006" s="63" t="s">
        <v>392</v>
      </c>
      <c r="D18006" s="183" t="s">
        <v>12034</v>
      </c>
      <c r="E18006" s="126">
        <v>14780</v>
      </c>
      <c r="F18006" s="126"/>
      <c r="G18006" s="126">
        <f t="shared" si="289"/>
        <v>-14780</v>
      </c>
      <c r="H18006" s="705" t="s">
        <v>11835</v>
      </c>
    </row>
    <row r="18007" spans="1:8" ht="24" x14ac:dyDescent="0.2">
      <c r="A18007" s="734">
        <v>45289</v>
      </c>
      <c r="B18007" s="63" t="s">
        <v>11897</v>
      </c>
      <c r="C18007" s="63" t="s">
        <v>8091</v>
      </c>
      <c r="D18007" s="183" t="s">
        <v>12035</v>
      </c>
      <c r="E18007" s="126">
        <v>1000000</v>
      </c>
      <c r="F18007" s="126"/>
      <c r="G18007" s="126">
        <f t="shared" si="289"/>
        <v>-1000000</v>
      </c>
      <c r="H18007" s="705" t="s">
        <v>11835</v>
      </c>
    </row>
    <row r="18008" spans="1:8" ht="15" x14ac:dyDescent="0.2">
      <c r="A18008" s="734">
        <v>45289</v>
      </c>
      <c r="B18008" s="63" t="s">
        <v>11897</v>
      </c>
      <c r="C18008" s="63" t="s">
        <v>8091</v>
      </c>
      <c r="D18008" s="183" t="s">
        <v>12036</v>
      </c>
      <c r="E18008" s="126">
        <v>250000</v>
      </c>
      <c r="F18008" s="126"/>
      <c r="G18008" s="126">
        <f t="shared" si="289"/>
        <v>-250000</v>
      </c>
      <c r="H18008" s="705" t="s">
        <v>11835</v>
      </c>
    </row>
    <row r="18009" spans="1:8" ht="15" x14ac:dyDescent="0.2">
      <c r="A18009" s="734">
        <v>45289</v>
      </c>
      <c r="B18009" s="63" t="s">
        <v>11897</v>
      </c>
      <c r="C18009" s="63" t="s">
        <v>8091</v>
      </c>
      <c r="D18009" s="183" t="s">
        <v>12036</v>
      </c>
      <c r="E18009" s="126">
        <v>250000</v>
      </c>
      <c r="F18009" s="126"/>
      <c r="G18009" s="126">
        <f t="shared" si="289"/>
        <v>-250000</v>
      </c>
      <c r="H18009" s="705" t="s">
        <v>11835</v>
      </c>
    </row>
    <row r="18010" spans="1:8" ht="15" x14ac:dyDescent="0.2">
      <c r="A18010" s="734">
        <v>45289</v>
      </c>
      <c r="B18010" s="63" t="s">
        <v>11728</v>
      </c>
      <c r="C18010" s="63" t="s">
        <v>10993</v>
      </c>
      <c r="D18010" s="183" t="s">
        <v>12073</v>
      </c>
      <c r="E18010" s="126">
        <v>1120</v>
      </c>
      <c r="F18010" s="126"/>
      <c r="G18010" s="126">
        <f t="shared" si="289"/>
        <v>-1120</v>
      </c>
      <c r="H18010" s="705" t="s">
        <v>11835</v>
      </c>
    </row>
    <row r="18011" spans="1:8" ht="15" x14ac:dyDescent="0.2">
      <c r="A18011" s="734">
        <v>45290</v>
      </c>
      <c r="B18011" s="63" t="s">
        <v>103</v>
      </c>
      <c r="C18011" s="63" t="s">
        <v>2996</v>
      </c>
      <c r="D18011" s="183" t="s">
        <v>1157</v>
      </c>
      <c r="E18011" s="126">
        <v>5330</v>
      </c>
      <c r="F18011" s="126"/>
      <c r="G18011" s="126">
        <f t="shared" si="289"/>
        <v>-5330</v>
      </c>
      <c r="H18011" s="705" t="s">
        <v>11835</v>
      </c>
    </row>
    <row r="18012" spans="1:8" ht="15" x14ac:dyDescent="0.2">
      <c r="A18012" s="734">
        <v>45290</v>
      </c>
      <c r="B18012" s="63" t="s">
        <v>11635</v>
      </c>
      <c r="C18012" s="63" t="s">
        <v>5741</v>
      </c>
      <c r="D18012" s="183" t="s">
        <v>370</v>
      </c>
      <c r="E18012" s="126">
        <v>1500</v>
      </c>
      <c r="F18012" s="126"/>
      <c r="G18012" s="126">
        <f t="shared" si="289"/>
        <v>-1500</v>
      </c>
      <c r="H18012" s="705" t="s">
        <v>11835</v>
      </c>
    </row>
    <row r="18013" spans="1:8" ht="15" x14ac:dyDescent="0.2">
      <c r="A18013" s="734">
        <v>45290</v>
      </c>
      <c r="B18013" s="63" t="s">
        <v>10908</v>
      </c>
      <c r="C18013" s="63" t="s">
        <v>5741</v>
      </c>
      <c r="D18013" s="183" t="s">
        <v>370</v>
      </c>
      <c r="E18013" s="126">
        <v>550</v>
      </c>
      <c r="F18013" s="126"/>
      <c r="G18013" s="126">
        <f t="shared" si="289"/>
        <v>-550</v>
      </c>
      <c r="H18013" s="705" t="s">
        <v>11835</v>
      </c>
    </row>
    <row r="18014" spans="1:8" ht="15" customHeight="1" x14ac:dyDescent="0.2">
      <c r="A18014" s="734">
        <v>45290</v>
      </c>
      <c r="B18014" s="63" t="s">
        <v>11446</v>
      </c>
      <c r="C18014" s="63" t="s">
        <v>438</v>
      </c>
      <c r="D18014" s="183" t="s">
        <v>12074</v>
      </c>
      <c r="E18014" s="126">
        <v>47000</v>
      </c>
      <c r="F18014" s="126"/>
      <c r="G18014" s="126">
        <f t="shared" si="289"/>
        <v>-47000</v>
      </c>
      <c r="H18014" s="705" t="s">
        <v>11835</v>
      </c>
    </row>
    <row r="18015" spans="1:8" ht="15" x14ac:dyDescent="0.2">
      <c r="A18015" s="733">
        <v>45261</v>
      </c>
      <c r="B18015" s="174" t="s">
        <v>10151</v>
      </c>
      <c r="C18015" s="174" t="s">
        <v>6624</v>
      </c>
      <c r="D18015" s="228" t="s">
        <v>11865</v>
      </c>
      <c r="E18015" s="236">
        <v>80000</v>
      </c>
      <c r="F18015" s="236"/>
      <c r="G18015" s="236">
        <f t="shared" si="289"/>
        <v>-80000</v>
      </c>
      <c r="H18015" s="709" t="s">
        <v>11835</v>
      </c>
    </row>
    <row r="18016" spans="1:8" ht="15" x14ac:dyDescent="0.2">
      <c r="A18016" s="733">
        <v>45264</v>
      </c>
      <c r="B18016" s="174" t="s">
        <v>10908</v>
      </c>
      <c r="C18016" s="174" t="s">
        <v>11386</v>
      </c>
      <c r="D18016" s="228" t="s">
        <v>11866</v>
      </c>
      <c r="E18016" s="236">
        <v>250000</v>
      </c>
      <c r="F18016" s="236"/>
      <c r="G18016" s="236">
        <f t="shared" si="289"/>
        <v>-250000</v>
      </c>
      <c r="H18016" s="709" t="s">
        <v>11835</v>
      </c>
    </row>
    <row r="18017" spans="1:8" ht="15" x14ac:dyDescent="0.2">
      <c r="A18017" s="733">
        <v>45268</v>
      </c>
      <c r="B18017" s="174" t="s">
        <v>11340</v>
      </c>
      <c r="C18017" s="551" t="s">
        <v>3003</v>
      </c>
      <c r="D18017" s="740" t="s">
        <v>11867</v>
      </c>
      <c r="E18017" s="552">
        <v>15900</v>
      </c>
      <c r="F18017" s="236"/>
      <c r="G18017" s="236">
        <f t="shared" si="289"/>
        <v>-15900</v>
      </c>
      <c r="H18017" s="709" t="s">
        <v>11835</v>
      </c>
    </row>
    <row r="18018" spans="1:8" ht="15" x14ac:dyDescent="0.2">
      <c r="A18018" s="733">
        <v>45268</v>
      </c>
      <c r="B18018" s="174" t="s">
        <v>3946</v>
      </c>
      <c r="C18018" s="551" t="s">
        <v>3003</v>
      </c>
      <c r="D18018" s="740" t="s">
        <v>11867</v>
      </c>
      <c r="E18018" s="552">
        <v>32760</v>
      </c>
      <c r="F18018" s="236"/>
      <c r="G18018" s="236">
        <f t="shared" si="289"/>
        <v>-32760</v>
      </c>
      <c r="H18018" s="709" t="s">
        <v>11835</v>
      </c>
    </row>
    <row r="18019" spans="1:8" ht="15" x14ac:dyDescent="0.2">
      <c r="A18019" s="733">
        <v>45268</v>
      </c>
      <c r="B18019" s="174" t="s">
        <v>3945</v>
      </c>
      <c r="C18019" s="551" t="s">
        <v>3003</v>
      </c>
      <c r="D18019" s="740" t="s">
        <v>11867</v>
      </c>
      <c r="E18019" s="552">
        <v>35360</v>
      </c>
      <c r="F18019" s="236"/>
      <c r="G18019" s="236">
        <f t="shared" si="289"/>
        <v>-35360</v>
      </c>
      <c r="H18019" s="709" t="s">
        <v>11835</v>
      </c>
    </row>
    <row r="18020" spans="1:8" ht="15" x14ac:dyDescent="0.2">
      <c r="A18020" s="733">
        <v>45272</v>
      </c>
      <c r="B18020" s="174" t="s">
        <v>10908</v>
      </c>
      <c r="C18020" s="174" t="s">
        <v>11536</v>
      </c>
      <c r="D18020" s="228" t="s">
        <v>11892</v>
      </c>
      <c r="E18020" s="236">
        <v>250000</v>
      </c>
      <c r="F18020" s="236"/>
      <c r="G18020" s="236">
        <f t="shared" si="289"/>
        <v>-250000</v>
      </c>
      <c r="H18020" s="709" t="s">
        <v>11835</v>
      </c>
    </row>
    <row r="18021" spans="1:8" ht="15" x14ac:dyDescent="0.2">
      <c r="A18021" s="733">
        <v>45273</v>
      </c>
      <c r="B18021" s="174" t="s">
        <v>11635</v>
      </c>
      <c r="C18021" s="174" t="s">
        <v>8251</v>
      </c>
      <c r="D18021" s="228" t="s">
        <v>11893</v>
      </c>
      <c r="E18021" s="236">
        <v>150000</v>
      </c>
      <c r="F18021" s="236"/>
      <c r="G18021" s="236">
        <f t="shared" si="289"/>
        <v>-150000</v>
      </c>
      <c r="H18021" s="709" t="s">
        <v>11835</v>
      </c>
    </row>
    <row r="18022" spans="1:8" ht="15" x14ac:dyDescent="0.2">
      <c r="A18022" s="733">
        <v>45273</v>
      </c>
      <c r="B18022" s="174" t="s">
        <v>10471</v>
      </c>
      <c r="C18022" s="174" t="s">
        <v>9460</v>
      </c>
      <c r="D18022" s="228" t="s">
        <v>11894</v>
      </c>
      <c r="E18022" s="236">
        <v>50000</v>
      </c>
      <c r="F18022" s="236"/>
      <c r="G18022" s="236">
        <f t="shared" si="289"/>
        <v>-50000</v>
      </c>
      <c r="H18022" s="709" t="s">
        <v>11835</v>
      </c>
    </row>
    <row r="18023" spans="1:8" ht="15" customHeight="1" x14ac:dyDescent="0.2">
      <c r="A18023" s="733">
        <v>45273</v>
      </c>
      <c r="B18023" s="174" t="s">
        <v>11623</v>
      </c>
      <c r="C18023" s="551" t="s">
        <v>11386</v>
      </c>
      <c r="D18023" s="740" t="s">
        <v>11895</v>
      </c>
      <c r="E18023" s="552">
        <v>45000</v>
      </c>
      <c r="F18023" s="236"/>
      <c r="G18023" s="236">
        <f t="shared" ref="G18023:G18092" si="290">F18023-E18023</f>
        <v>-45000</v>
      </c>
      <c r="H18023" s="709" t="s">
        <v>11835</v>
      </c>
    </row>
    <row r="18024" spans="1:8" ht="15" x14ac:dyDescent="0.2">
      <c r="A18024" s="733">
        <v>45273</v>
      </c>
      <c r="B18024" s="174" t="s">
        <v>11093</v>
      </c>
      <c r="C18024" s="551" t="s">
        <v>11386</v>
      </c>
      <c r="D18024" s="740" t="s">
        <v>11895</v>
      </c>
      <c r="E18024" s="552">
        <v>10000</v>
      </c>
      <c r="F18024" s="236"/>
      <c r="G18024" s="236">
        <f t="shared" si="290"/>
        <v>-10000</v>
      </c>
      <c r="H18024" s="709" t="s">
        <v>11835</v>
      </c>
    </row>
    <row r="18025" spans="1:8" ht="15" x14ac:dyDescent="0.2">
      <c r="A18025" s="733">
        <v>45273</v>
      </c>
      <c r="B18025" s="174" t="s">
        <v>11446</v>
      </c>
      <c r="C18025" s="551" t="s">
        <v>11386</v>
      </c>
      <c r="D18025" s="740" t="s">
        <v>11895</v>
      </c>
      <c r="E18025" s="552">
        <v>75000</v>
      </c>
      <c r="F18025" s="236"/>
      <c r="G18025" s="236">
        <f t="shared" si="290"/>
        <v>-75000</v>
      </c>
      <c r="H18025" s="709" t="s">
        <v>11835</v>
      </c>
    </row>
    <row r="18026" spans="1:8" ht="15" customHeight="1" x14ac:dyDescent="0.2">
      <c r="A18026" s="733">
        <v>45273</v>
      </c>
      <c r="B18026" s="174" t="s">
        <v>10908</v>
      </c>
      <c r="C18026" s="551" t="s">
        <v>11386</v>
      </c>
      <c r="D18026" s="740" t="s">
        <v>11895</v>
      </c>
      <c r="E18026" s="552">
        <v>49000</v>
      </c>
      <c r="F18026" s="236"/>
      <c r="G18026" s="236">
        <f t="shared" si="290"/>
        <v>-49000</v>
      </c>
      <c r="H18026" s="709" t="s">
        <v>11835</v>
      </c>
    </row>
    <row r="18027" spans="1:8" ht="24" x14ac:dyDescent="0.2">
      <c r="A18027" s="733">
        <v>45280</v>
      </c>
      <c r="B18027" s="174" t="s">
        <v>11089</v>
      </c>
      <c r="C18027" s="174" t="s">
        <v>10484</v>
      </c>
      <c r="D18027" s="228" t="s">
        <v>11982</v>
      </c>
      <c r="E18027" s="236">
        <v>1500000</v>
      </c>
      <c r="F18027" s="236"/>
      <c r="G18027" s="236">
        <f t="shared" si="290"/>
        <v>-1500000</v>
      </c>
      <c r="H18027" s="709" t="s">
        <v>11835</v>
      </c>
    </row>
    <row r="18028" spans="1:8" ht="15" x14ac:dyDescent="0.2">
      <c r="A18028" s="733">
        <v>45280</v>
      </c>
      <c r="B18028" s="174" t="s">
        <v>10908</v>
      </c>
      <c r="C18028" s="174" t="s">
        <v>1198</v>
      </c>
      <c r="D18028" s="228" t="s">
        <v>11986</v>
      </c>
      <c r="E18028" s="236">
        <v>189553</v>
      </c>
      <c r="F18028" s="236"/>
      <c r="G18028" s="236">
        <f t="shared" si="290"/>
        <v>-189553</v>
      </c>
      <c r="H18028" s="709" t="s">
        <v>11835</v>
      </c>
    </row>
    <row r="18029" spans="1:8" ht="15" x14ac:dyDescent="0.2">
      <c r="A18029" s="733">
        <v>45286</v>
      </c>
      <c r="B18029" s="174" t="s">
        <v>11635</v>
      </c>
      <c r="C18029" s="174" t="s">
        <v>7467</v>
      </c>
      <c r="D18029" s="228" t="s">
        <v>12037</v>
      </c>
      <c r="E18029" s="236">
        <v>1500000</v>
      </c>
      <c r="F18029" s="236"/>
      <c r="G18029" s="236">
        <f t="shared" si="290"/>
        <v>-1500000</v>
      </c>
      <c r="H18029" s="709" t="s">
        <v>11835</v>
      </c>
    </row>
    <row r="18030" spans="1:8" ht="15" x14ac:dyDescent="0.2">
      <c r="A18030" s="733">
        <v>45286</v>
      </c>
      <c r="B18030" s="174" t="s">
        <v>10908</v>
      </c>
      <c r="C18030" s="174" t="s">
        <v>1198</v>
      </c>
      <c r="D18030" s="228" t="s">
        <v>11986</v>
      </c>
      <c r="E18030" s="236">
        <v>472527</v>
      </c>
      <c r="F18030" s="236"/>
      <c r="G18030" s="236">
        <f t="shared" si="290"/>
        <v>-472527</v>
      </c>
      <c r="H18030" s="709" t="s">
        <v>11835</v>
      </c>
    </row>
    <row r="18031" spans="1:8" ht="15" x14ac:dyDescent="0.2">
      <c r="A18031" s="733">
        <v>45287</v>
      </c>
      <c r="B18031" s="174" t="s">
        <v>11635</v>
      </c>
      <c r="C18031" s="174" t="s">
        <v>8091</v>
      </c>
      <c r="D18031" s="228" t="s">
        <v>12037</v>
      </c>
      <c r="E18031" s="236">
        <v>1000000</v>
      </c>
      <c r="F18031" s="236"/>
      <c r="G18031" s="236">
        <f t="shared" si="290"/>
        <v>-1000000</v>
      </c>
      <c r="H18031" s="709" t="s">
        <v>11835</v>
      </c>
    </row>
    <row r="18032" spans="1:8" ht="15" x14ac:dyDescent="0.2">
      <c r="A18032" s="733">
        <v>45287</v>
      </c>
      <c r="B18032" s="174" t="s">
        <v>11897</v>
      </c>
      <c r="C18032" s="174" t="s">
        <v>12038</v>
      </c>
      <c r="D18032" s="228" t="s">
        <v>12037</v>
      </c>
      <c r="E18032" s="236">
        <v>1000000</v>
      </c>
      <c r="F18032" s="236"/>
      <c r="G18032" s="236">
        <f t="shared" si="290"/>
        <v>-1000000</v>
      </c>
      <c r="H18032" s="709" t="s">
        <v>11835</v>
      </c>
    </row>
    <row r="18033" spans="1:8" ht="15" x14ac:dyDescent="0.2">
      <c r="A18033" s="730">
        <v>45267</v>
      </c>
      <c r="B18033" s="94" t="s">
        <v>11554</v>
      </c>
      <c r="C18033" s="94" t="s">
        <v>559</v>
      </c>
      <c r="D18033" s="892" t="s">
        <v>11828</v>
      </c>
      <c r="E18033" s="176"/>
      <c r="F18033" s="176">
        <v>1000000</v>
      </c>
      <c r="G18033" s="176">
        <f t="shared" si="290"/>
        <v>1000000</v>
      </c>
      <c r="H18033" s="702" t="s">
        <v>11835</v>
      </c>
    </row>
    <row r="18034" spans="1:8" ht="15" x14ac:dyDescent="0.2">
      <c r="A18034" s="730">
        <v>45267</v>
      </c>
      <c r="B18034" s="94" t="s">
        <v>10122</v>
      </c>
      <c r="C18034" s="94" t="s">
        <v>559</v>
      </c>
      <c r="D18034" s="892" t="s">
        <v>11829</v>
      </c>
      <c r="E18034" s="176"/>
      <c r="F18034" s="176">
        <v>100000</v>
      </c>
      <c r="G18034" s="176">
        <f t="shared" si="290"/>
        <v>100000</v>
      </c>
      <c r="H18034" s="702" t="s">
        <v>11835</v>
      </c>
    </row>
    <row r="18035" spans="1:8" ht="15" x14ac:dyDescent="0.2">
      <c r="A18035" s="730">
        <v>45267</v>
      </c>
      <c r="B18035" s="94" t="s">
        <v>10122</v>
      </c>
      <c r="C18035" s="94" t="s">
        <v>559</v>
      </c>
      <c r="D18035" s="892" t="s">
        <v>11948</v>
      </c>
      <c r="E18035" s="176"/>
      <c r="F18035" s="176">
        <v>-100000</v>
      </c>
      <c r="G18035" s="176">
        <f t="shared" si="290"/>
        <v>-100000</v>
      </c>
      <c r="H18035" s="702" t="s">
        <v>11835</v>
      </c>
    </row>
    <row r="18036" spans="1:8" ht="24" x14ac:dyDescent="0.2">
      <c r="A18036" s="730">
        <v>45267</v>
      </c>
      <c r="B18036" s="94" t="s">
        <v>9986</v>
      </c>
      <c r="C18036" s="94" t="s">
        <v>559</v>
      </c>
      <c r="D18036" s="802" t="s">
        <v>11830</v>
      </c>
      <c r="E18036" s="176"/>
      <c r="F18036" s="176">
        <v>520000</v>
      </c>
      <c r="G18036" s="176">
        <f t="shared" si="290"/>
        <v>520000</v>
      </c>
      <c r="H18036" s="702" t="s">
        <v>11835</v>
      </c>
    </row>
    <row r="18037" spans="1:8" ht="15" x14ac:dyDescent="0.2">
      <c r="A18037" s="730">
        <v>45272</v>
      </c>
      <c r="B18037" s="94" t="s">
        <v>9661</v>
      </c>
      <c r="C18037" s="94" t="s">
        <v>559</v>
      </c>
      <c r="D18037" s="802" t="s">
        <v>11876</v>
      </c>
      <c r="E18037" s="176"/>
      <c r="F18037" s="176">
        <v>3221233</v>
      </c>
      <c r="G18037" s="176">
        <f t="shared" si="290"/>
        <v>3221233</v>
      </c>
      <c r="H18037" s="702" t="s">
        <v>11835</v>
      </c>
    </row>
    <row r="18038" spans="1:8" ht="15" x14ac:dyDescent="0.2">
      <c r="A18038" s="730">
        <v>45272</v>
      </c>
      <c r="B18038" s="94" t="s">
        <v>11617</v>
      </c>
      <c r="C18038" s="94" t="s">
        <v>559</v>
      </c>
      <c r="D18038" s="802" t="s">
        <v>11876</v>
      </c>
      <c r="E18038" s="176"/>
      <c r="F18038" s="176">
        <v>1000000</v>
      </c>
      <c r="G18038" s="176">
        <f t="shared" si="290"/>
        <v>1000000</v>
      </c>
      <c r="H18038" s="702" t="s">
        <v>11835</v>
      </c>
    </row>
    <row r="18039" spans="1:8" ht="15" x14ac:dyDescent="0.2">
      <c r="A18039" s="730">
        <v>45272</v>
      </c>
      <c r="B18039" s="94" t="s">
        <v>9661</v>
      </c>
      <c r="C18039" s="94" t="s">
        <v>559</v>
      </c>
      <c r="D18039" s="898" t="s">
        <v>12040</v>
      </c>
      <c r="E18039" s="643">
        <v>42212</v>
      </c>
      <c r="F18039" s="643"/>
      <c r="G18039" s="176">
        <f t="shared" si="290"/>
        <v>-42212</v>
      </c>
      <c r="H18039" s="702" t="s">
        <v>11835</v>
      </c>
    </row>
    <row r="18040" spans="1:8" ht="15" x14ac:dyDescent="0.2">
      <c r="A18040" s="730">
        <v>45272</v>
      </c>
      <c r="B18040" s="94" t="s">
        <v>3946</v>
      </c>
      <c r="C18040" s="94" t="s">
        <v>559</v>
      </c>
      <c r="D18040" s="892" t="s">
        <v>11890</v>
      </c>
      <c r="E18040" s="176"/>
      <c r="F18040" s="176">
        <v>359992</v>
      </c>
      <c r="G18040" s="176">
        <f t="shared" si="290"/>
        <v>359992</v>
      </c>
      <c r="H18040" s="702" t="s">
        <v>11835</v>
      </c>
    </row>
    <row r="18041" spans="1:8" ht="15" x14ac:dyDescent="0.2">
      <c r="A18041" s="730">
        <v>45273</v>
      </c>
      <c r="B18041" s="94" t="s">
        <v>10232</v>
      </c>
      <c r="C18041" s="94" t="s">
        <v>559</v>
      </c>
      <c r="D18041" s="892" t="s">
        <v>11891</v>
      </c>
      <c r="E18041" s="176"/>
      <c r="F18041" s="176">
        <v>1500000</v>
      </c>
      <c r="G18041" s="176">
        <f t="shared" si="290"/>
        <v>1500000</v>
      </c>
      <c r="H18041" s="702" t="s">
        <v>11835</v>
      </c>
    </row>
    <row r="18042" spans="1:8" ht="15" x14ac:dyDescent="0.2">
      <c r="A18042" s="730">
        <v>45275</v>
      </c>
      <c r="B18042" s="94" t="s">
        <v>10232</v>
      </c>
      <c r="C18042" s="94" t="s">
        <v>559</v>
      </c>
      <c r="D18042" s="892" t="s">
        <v>11908</v>
      </c>
      <c r="E18042" s="176"/>
      <c r="F18042" s="176">
        <v>1000000</v>
      </c>
      <c r="G18042" s="176">
        <f t="shared" si="290"/>
        <v>1000000</v>
      </c>
      <c r="H18042" s="702" t="s">
        <v>11835</v>
      </c>
    </row>
    <row r="18043" spans="1:8" ht="24" x14ac:dyDescent="0.2">
      <c r="A18043" s="730">
        <v>45275</v>
      </c>
      <c r="B18043" s="94" t="s">
        <v>10232</v>
      </c>
      <c r="C18043" s="94" t="s">
        <v>559</v>
      </c>
      <c r="D18043" s="802" t="s">
        <v>11909</v>
      </c>
      <c r="E18043" s="176"/>
      <c r="F18043" s="176">
        <v>1000000</v>
      </c>
      <c r="G18043" s="176">
        <f t="shared" si="290"/>
        <v>1000000</v>
      </c>
      <c r="H18043" s="702" t="s">
        <v>11835</v>
      </c>
    </row>
    <row r="18044" spans="1:8" ht="15" x14ac:dyDescent="0.2">
      <c r="A18044" s="730">
        <v>45275</v>
      </c>
      <c r="B18044" s="94" t="s">
        <v>10232</v>
      </c>
      <c r="C18044" s="94" t="s">
        <v>559</v>
      </c>
      <c r="D18044" s="892" t="s">
        <v>11910</v>
      </c>
      <c r="E18044" s="176"/>
      <c r="F18044" s="176">
        <v>1000000</v>
      </c>
      <c r="G18044" s="176">
        <f t="shared" si="290"/>
        <v>1000000</v>
      </c>
      <c r="H18044" s="702" t="s">
        <v>11835</v>
      </c>
    </row>
    <row r="18045" spans="1:8" ht="15" x14ac:dyDescent="0.2">
      <c r="A18045" s="730">
        <v>45275</v>
      </c>
      <c r="B18045" s="94" t="s">
        <v>10232</v>
      </c>
      <c r="C18045" s="94" t="s">
        <v>559</v>
      </c>
      <c r="D18045" s="892" t="s">
        <v>11907</v>
      </c>
      <c r="E18045" s="176"/>
      <c r="F18045" s="176">
        <v>1000000</v>
      </c>
      <c r="G18045" s="176">
        <f t="shared" si="290"/>
        <v>1000000</v>
      </c>
      <c r="H18045" s="702" t="s">
        <v>11835</v>
      </c>
    </row>
    <row r="18046" spans="1:8" ht="15" x14ac:dyDescent="0.2">
      <c r="A18046" s="730">
        <v>45275</v>
      </c>
      <c r="B18046" s="94" t="s">
        <v>10232</v>
      </c>
      <c r="C18046" s="94" t="s">
        <v>559</v>
      </c>
      <c r="D18046" s="892" t="s">
        <v>11911</v>
      </c>
      <c r="E18046" s="176"/>
      <c r="F18046" s="176">
        <v>1500000</v>
      </c>
      <c r="G18046" s="176">
        <f t="shared" si="290"/>
        <v>1500000</v>
      </c>
      <c r="H18046" s="702" t="s">
        <v>11835</v>
      </c>
    </row>
    <row r="18047" spans="1:8" ht="15" x14ac:dyDescent="0.2">
      <c r="A18047" s="730">
        <v>45276</v>
      </c>
      <c r="B18047" s="94" t="s">
        <v>10232</v>
      </c>
      <c r="C18047" s="94" t="s">
        <v>559</v>
      </c>
      <c r="D18047" s="892" t="s">
        <v>11999</v>
      </c>
      <c r="E18047" s="176"/>
      <c r="F18047" s="176">
        <v>1000000</v>
      </c>
      <c r="G18047" s="176">
        <f t="shared" si="290"/>
        <v>1000000</v>
      </c>
      <c r="H18047" s="702" t="s">
        <v>11835</v>
      </c>
    </row>
    <row r="18048" spans="1:8" ht="15" x14ac:dyDescent="0.2">
      <c r="A18048" s="730">
        <v>45276</v>
      </c>
      <c r="B18048" s="94" t="s">
        <v>10232</v>
      </c>
      <c r="C18048" s="94" t="s">
        <v>559</v>
      </c>
      <c r="D18048" s="892" t="s">
        <v>12001</v>
      </c>
      <c r="E18048" s="176"/>
      <c r="F18048" s="176">
        <v>1000000</v>
      </c>
      <c r="G18048" s="176">
        <f t="shared" si="290"/>
        <v>1000000</v>
      </c>
      <c r="H18048" s="702" t="s">
        <v>11835</v>
      </c>
    </row>
    <row r="18049" spans="1:10" ht="15" x14ac:dyDescent="0.2">
      <c r="A18049" s="730">
        <v>45276</v>
      </c>
      <c r="B18049" s="94" t="s">
        <v>10232</v>
      </c>
      <c r="C18049" s="94" t="s">
        <v>559</v>
      </c>
      <c r="D18049" s="892" t="s">
        <v>12092</v>
      </c>
      <c r="E18049" s="176"/>
      <c r="F18049" s="176">
        <v>1000000</v>
      </c>
      <c r="G18049" s="176">
        <f t="shared" si="290"/>
        <v>1000000</v>
      </c>
      <c r="H18049" s="702" t="s">
        <v>11835</v>
      </c>
    </row>
    <row r="18050" spans="1:10" ht="24" x14ac:dyDescent="0.2">
      <c r="A18050" s="730">
        <v>45276</v>
      </c>
      <c r="B18050" s="94" t="s">
        <v>10232</v>
      </c>
      <c r="C18050" s="94" t="s">
        <v>559</v>
      </c>
      <c r="D18050" s="802" t="s">
        <v>11983</v>
      </c>
      <c r="E18050" s="176"/>
      <c r="F18050" s="176">
        <v>1500000</v>
      </c>
      <c r="G18050" s="176">
        <f t="shared" si="290"/>
        <v>1500000</v>
      </c>
      <c r="H18050" s="702" t="s">
        <v>11835</v>
      </c>
    </row>
    <row r="18051" spans="1:10" ht="15" x14ac:dyDescent="0.2">
      <c r="A18051" s="730">
        <v>45276</v>
      </c>
      <c r="B18051" s="94" t="s">
        <v>10232</v>
      </c>
      <c r="C18051" s="94" t="s">
        <v>559</v>
      </c>
      <c r="D18051" s="892" t="s">
        <v>12000</v>
      </c>
      <c r="E18051" s="176"/>
      <c r="F18051" s="176">
        <v>1500000</v>
      </c>
      <c r="G18051" s="176">
        <f t="shared" si="290"/>
        <v>1500000</v>
      </c>
      <c r="H18051" s="702" t="s">
        <v>11835</v>
      </c>
    </row>
    <row r="18052" spans="1:10" ht="15" x14ac:dyDescent="0.2">
      <c r="A18052" s="730">
        <v>45276</v>
      </c>
      <c r="B18052" s="94" t="s">
        <v>10232</v>
      </c>
      <c r="C18052" s="94" t="s">
        <v>559</v>
      </c>
      <c r="D18052" s="892" t="s">
        <v>12130</v>
      </c>
      <c r="E18052" s="176"/>
      <c r="F18052" s="176">
        <v>1417880</v>
      </c>
      <c r="G18052" s="176">
        <f t="shared" si="290"/>
        <v>1417880</v>
      </c>
      <c r="H18052" s="702" t="s">
        <v>11835</v>
      </c>
    </row>
    <row r="18053" spans="1:10" ht="15" x14ac:dyDescent="0.2">
      <c r="A18053" s="730">
        <v>45276</v>
      </c>
      <c r="B18053" s="94" t="s">
        <v>10232</v>
      </c>
      <c r="C18053" s="94" t="s">
        <v>559</v>
      </c>
      <c r="D18053" s="892" t="s">
        <v>11950</v>
      </c>
      <c r="E18053" s="176"/>
      <c r="F18053" s="176">
        <v>2200</v>
      </c>
      <c r="G18053" s="176">
        <f t="shared" si="290"/>
        <v>2200</v>
      </c>
      <c r="H18053" s="702" t="s">
        <v>11835</v>
      </c>
    </row>
    <row r="18054" spans="1:10" ht="24" x14ac:dyDescent="0.2">
      <c r="A18054" s="730">
        <v>45280</v>
      </c>
      <c r="B18054" s="94" t="s">
        <v>9661</v>
      </c>
      <c r="C18054" s="94" t="s">
        <v>559</v>
      </c>
      <c r="D18054" s="802" t="s">
        <v>11972</v>
      </c>
      <c r="E18054" s="176"/>
      <c r="F18054" s="176">
        <v>5000000</v>
      </c>
      <c r="G18054" s="176">
        <f t="shared" si="290"/>
        <v>5000000</v>
      </c>
      <c r="H18054" s="702" t="s">
        <v>11835</v>
      </c>
    </row>
    <row r="18055" spans="1:10" ht="24" x14ac:dyDescent="0.2">
      <c r="A18055" s="730">
        <v>45280</v>
      </c>
      <c r="B18055" s="94" t="s">
        <v>9661</v>
      </c>
      <c r="C18055" s="94" t="s">
        <v>559</v>
      </c>
      <c r="D18055" s="802" t="s">
        <v>12352</v>
      </c>
      <c r="E18055" s="176"/>
      <c r="F18055" s="176">
        <v>-650000</v>
      </c>
      <c r="G18055" s="176">
        <f t="shared" si="290"/>
        <v>-650000</v>
      </c>
      <c r="H18055" s="702" t="s">
        <v>11835</v>
      </c>
    </row>
    <row r="18056" spans="1:10" ht="24" x14ac:dyDescent="0.2">
      <c r="A18056" s="730">
        <v>45280</v>
      </c>
      <c r="B18056" s="94" t="s">
        <v>9661</v>
      </c>
      <c r="C18056" s="94" t="s">
        <v>559</v>
      </c>
      <c r="D18056" s="802" t="s">
        <v>12352</v>
      </c>
      <c r="E18056" s="176"/>
      <c r="F18056" s="176">
        <v>-750000</v>
      </c>
      <c r="G18056" s="176">
        <f t="shared" si="290"/>
        <v>-750000</v>
      </c>
      <c r="H18056" s="702" t="s">
        <v>11835</v>
      </c>
    </row>
    <row r="18057" spans="1:10" ht="24" x14ac:dyDescent="0.2">
      <c r="A18057" s="730">
        <v>45280</v>
      </c>
      <c r="B18057" s="94" t="s">
        <v>9661</v>
      </c>
      <c r="C18057" s="94" t="s">
        <v>559</v>
      </c>
      <c r="D18057" s="802" t="s">
        <v>12352</v>
      </c>
      <c r="E18057" s="176"/>
      <c r="F18057" s="176">
        <v>-850000</v>
      </c>
      <c r="G18057" s="176">
        <f t="shared" si="290"/>
        <v>-850000</v>
      </c>
      <c r="H18057" s="702" t="s">
        <v>11835</v>
      </c>
      <c r="J18057" s="40"/>
    </row>
    <row r="18058" spans="1:10" ht="15" x14ac:dyDescent="0.2">
      <c r="A18058" s="730">
        <v>45280</v>
      </c>
      <c r="B18058" s="94" t="s">
        <v>9661</v>
      </c>
      <c r="C18058" s="94" t="s">
        <v>559</v>
      </c>
      <c r="D18058" s="802" t="s">
        <v>12353</v>
      </c>
      <c r="E18058" s="176"/>
      <c r="F18058" s="176">
        <v>-950000</v>
      </c>
      <c r="G18058" s="176">
        <f t="shared" si="290"/>
        <v>-950000</v>
      </c>
      <c r="H18058" s="702" t="s">
        <v>11835</v>
      </c>
      <c r="J18058" s="40"/>
    </row>
    <row r="18059" spans="1:10" ht="15" x14ac:dyDescent="0.2">
      <c r="A18059" s="730">
        <v>45280</v>
      </c>
      <c r="B18059" s="94" t="s">
        <v>9661</v>
      </c>
      <c r="C18059" s="94" t="s">
        <v>559</v>
      </c>
      <c r="D18059" s="898" t="s">
        <v>12040</v>
      </c>
      <c r="E18059" s="643">
        <v>15850</v>
      </c>
      <c r="F18059" s="176"/>
      <c r="G18059" s="176">
        <f t="shared" si="290"/>
        <v>-15850</v>
      </c>
      <c r="H18059" s="702" t="s">
        <v>11835</v>
      </c>
    </row>
    <row r="18060" spans="1:10" ht="15" x14ac:dyDescent="0.2">
      <c r="A18060" s="730">
        <v>45283</v>
      </c>
      <c r="B18060" s="94" t="s">
        <v>10232</v>
      </c>
      <c r="C18060" s="94" t="s">
        <v>559</v>
      </c>
      <c r="D18060" s="892" t="s">
        <v>12357</v>
      </c>
      <c r="E18060" s="176"/>
      <c r="F18060" s="176">
        <v>550000</v>
      </c>
      <c r="G18060" s="176">
        <f t="shared" si="290"/>
        <v>550000</v>
      </c>
      <c r="H18060" s="702" t="s">
        <v>11835</v>
      </c>
    </row>
    <row r="18061" spans="1:10" ht="15" x14ac:dyDescent="0.2">
      <c r="A18061" s="730">
        <v>45283</v>
      </c>
      <c r="B18061" s="94" t="s">
        <v>10232</v>
      </c>
      <c r="C18061" s="94" t="s">
        <v>559</v>
      </c>
      <c r="D18061" s="892" t="s">
        <v>12357</v>
      </c>
      <c r="E18061" s="176"/>
      <c r="F18061" s="176">
        <v>600000</v>
      </c>
      <c r="G18061" s="176">
        <f t="shared" si="290"/>
        <v>600000</v>
      </c>
      <c r="H18061" s="702" t="s">
        <v>11835</v>
      </c>
    </row>
    <row r="18062" spans="1:10" ht="24" x14ac:dyDescent="0.2">
      <c r="A18062" s="730">
        <v>45283</v>
      </c>
      <c r="B18062" s="94" t="s">
        <v>10232</v>
      </c>
      <c r="C18062" s="94" t="s">
        <v>559</v>
      </c>
      <c r="D18062" s="802" t="s">
        <v>12358</v>
      </c>
      <c r="E18062" s="176"/>
      <c r="F18062" s="176">
        <v>650000</v>
      </c>
      <c r="G18062" s="176">
        <f t="shared" si="290"/>
        <v>650000</v>
      </c>
      <c r="H18062" s="702" t="s">
        <v>11835</v>
      </c>
    </row>
    <row r="18063" spans="1:10" ht="15" x14ac:dyDescent="0.2">
      <c r="A18063" s="730">
        <v>45283</v>
      </c>
      <c r="B18063" s="94" t="s">
        <v>10232</v>
      </c>
      <c r="C18063" s="94" t="s">
        <v>559</v>
      </c>
      <c r="D18063" s="892" t="s">
        <v>12356</v>
      </c>
      <c r="E18063" s="176"/>
      <c r="F18063" s="176">
        <v>700000</v>
      </c>
      <c r="G18063" s="176">
        <f t="shared" si="290"/>
        <v>700000</v>
      </c>
      <c r="H18063" s="702" t="s">
        <v>11835</v>
      </c>
    </row>
    <row r="18064" spans="1:10" ht="24" x14ac:dyDescent="0.2">
      <c r="A18064" s="730">
        <v>45283</v>
      </c>
      <c r="B18064" s="94" t="s">
        <v>10232</v>
      </c>
      <c r="C18064" s="94" t="s">
        <v>559</v>
      </c>
      <c r="D18064" s="802" t="s">
        <v>12358</v>
      </c>
      <c r="E18064" s="176"/>
      <c r="F18064" s="176">
        <v>750000</v>
      </c>
      <c r="G18064" s="176">
        <f t="shared" si="290"/>
        <v>750000</v>
      </c>
      <c r="H18064" s="702" t="s">
        <v>11835</v>
      </c>
    </row>
    <row r="18065" spans="1:10" ht="24" x14ac:dyDescent="0.2">
      <c r="A18065" s="730">
        <v>45283</v>
      </c>
      <c r="B18065" s="94" t="s">
        <v>10232</v>
      </c>
      <c r="C18065" s="94" t="s">
        <v>559</v>
      </c>
      <c r="D18065" s="802" t="s">
        <v>12358</v>
      </c>
      <c r="E18065" s="176"/>
      <c r="F18065" s="176">
        <v>850000</v>
      </c>
      <c r="G18065" s="176">
        <f t="shared" si="290"/>
        <v>850000</v>
      </c>
      <c r="H18065" s="702" t="s">
        <v>11835</v>
      </c>
    </row>
    <row r="18066" spans="1:10" ht="15" x14ac:dyDescent="0.2">
      <c r="A18066" s="730">
        <v>45283</v>
      </c>
      <c r="B18066" s="94" t="s">
        <v>10232</v>
      </c>
      <c r="C18066" s="94" t="s">
        <v>559</v>
      </c>
      <c r="D18066" s="892" t="s">
        <v>12130</v>
      </c>
      <c r="E18066" s="176"/>
      <c r="F18066" s="176">
        <v>900000</v>
      </c>
      <c r="G18066" s="176">
        <f t="shared" si="290"/>
        <v>900000</v>
      </c>
      <c r="H18066" s="702" t="s">
        <v>11835</v>
      </c>
    </row>
    <row r="18067" spans="1:10" ht="15" x14ac:dyDescent="0.2">
      <c r="A18067" s="730">
        <v>45283</v>
      </c>
      <c r="B18067" s="94" t="s">
        <v>10908</v>
      </c>
      <c r="C18067" s="94" t="s">
        <v>559</v>
      </c>
      <c r="D18067" s="892" t="s">
        <v>11985</v>
      </c>
      <c r="E18067" s="176"/>
      <c r="F18067" s="176">
        <v>189553</v>
      </c>
      <c r="G18067" s="176">
        <f t="shared" si="290"/>
        <v>189553</v>
      </c>
      <c r="H18067" s="702" t="s">
        <v>11835</v>
      </c>
    </row>
    <row r="18068" spans="1:10" ht="15" x14ac:dyDescent="0.2">
      <c r="A18068" s="730">
        <v>45283</v>
      </c>
      <c r="B18068" s="94" t="s">
        <v>10908</v>
      </c>
      <c r="C18068" s="94" t="s">
        <v>559</v>
      </c>
      <c r="D18068" s="892" t="s">
        <v>11985</v>
      </c>
      <c r="E18068" s="176"/>
      <c r="F18068" s="176">
        <v>472527</v>
      </c>
      <c r="G18068" s="176">
        <f t="shared" si="290"/>
        <v>472527</v>
      </c>
      <c r="H18068" s="702" t="s">
        <v>11835</v>
      </c>
    </row>
    <row r="18069" spans="1:10" ht="15" x14ac:dyDescent="0.2">
      <c r="A18069" s="730">
        <v>45286</v>
      </c>
      <c r="B18069" s="94" t="s">
        <v>3945</v>
      </c>
      <c r="C18069" s="94" t="s">
        <v>559</v>
      </c>
      <c r="D18069" s="892" t="s">
        <v>11998</v>
      </c>
      <c r="E18069" s="176"/>
      <c r="F18069" s="176">
        <v>333522</v>
      </c>
      <c r="G18069" s="176">
        <f t="shared" si="290"/>
        <v>333522</v>
      </c>
      <c r="H18069" s="702" t="s">
        <v>11835</v>
      </c>
    </row>
    <row r="18070" spans="1:10" ht="15" x14ac:dyDescent="0.2">
      <c r="A18070" s="730">
        <v>45286</v>
      </c>
      <c r="B18070" s="94" t="s">
        <v>10232</v>
      </c>
      <c r="C18070" s="94" t="s">
        <v>559</v>
      </c>
      <c r="D18070" s="892" t="s">
        <v>12048</v>
      </c>
      <c r="E18070" s="176"/>
      <c r="F18070" s="176">
        <v>1075700</v>
      </c>
      <c r="G18070" s="176">
        <f t="shared" si="290"/>
        <v>1075700</v>
      </c>
      <c r="H18070" s="702" t="s">
        <v>11835</v>
      </c>
    </row>
    <row r="18071" spans="1:10" ht="15" x14ac:dyDescent="0.2">
      <c r="A18071" s="730">
        <v>45287</v>
      </c>
      <c r="B18071" s="94" t="s">
        <v>8559</v>
      </c>
      <c r="C18071" s="94" t="s">
        <v>559</v>
      </c>
      <c r="D18071" s="892" t="s">
        <v>12046</v>
      </c>
      <c r="E18071" s="176"/>
      <c r="F18071" s="176">
        <v>561910</v>
      </c>
      <c r="G18071" s="176">
        <f t="shared" si="290"/>
        <v>561910</v>
      </c>
      <c r="H18071" s="702" t="s">
        <v>11835</v>
      </c>
    </row>
    <row r="18072" spans="1:10" ht="15" x14ac:dyDescent="0.2">
      <c r="A18072" s="730">
        <v>45287</v>
      </c>
      <c r="B18072" s="94" t="s">
        <v>11625</v>
      </c>
      <c r="C18072" s="94" t="s">
        <v>559</v>
      </c>
      <c r="D18072" s="892" t="s">
        <v>12093</v>
      </c>
      <c r="E18072" s="176"/>
      <c r="F18072" s="176">
        <v>112665</v>
      </c>
      <c r="G18072" s="176">
        <f t="shared" si="290"/>
        <v>112665</v>
      </c>
      <c r="H18072" s="702" t="s">
        <v>11835</v>
      </c>
      <c r="J18072" s="40"/>
    </row>
    <row r="18073" spans="1:10" ht="60" x14ac:dyDescent="0.2">
      <c r="A18073" s="730">
        <v>45288</v>
      </c>
      <c r="B18073" s="94" t="s">
        <v>10908</v>
      </c>
      <c r="C18073" s="94" t="s">
        <v>559</v>
      </c>
      <c r="D18073" s="802" t="s">
        <v>12045</v>
      </c>
      <c r="E18073" s="176"/>
      <c r="F18073" s="176">
        <v>4416116</v>
      </c>
      <c r="G18073" s="176">
        <f t="shared" si="290"/>
        <v>4416116</v>
      </c>
      <c r="H18073" s="702" t="s">
        <v>11835</v>
      </c>
    </row>
    <row r="18074" spans="1:10" ht="60" x14ac:dyDescent="0.2">
      <c r="A18074" s="730">
        <v>45288</v>
      </c>
      <c r="B18074" s="94" t="s">
        <v>14</v>
      </c>
      <c r="C18074" s="94" t="s">
        <v>559</v>
      </c>
      <c r="D18074" s="802" t="s">
        <v>12044</v>
      </c>
      <c r="E18074" s="176"/>
      <c r="F18074" s="176">
        <v>132000</v>
      </c>
      <c r="G18074" s="176">
        <f t="shared" si="290"/>
        <v>132000</v>
      </c>
      <c r="H18074" s="702" t="s">
        <v>11835</v>
      </c>
    </row>
    <row r="18075" spans="1:10" ht="15" x14ac:dyDescent="0.2">
      <c r="A18075" s="730">
        <v>45288</v>
      </c>
      <c r="B18075" s="94" t="s">
        <v>14</v>
      </c>
      <c r="C18075" s="94" t="s">
        <v>559</v>
      </c>
      <c r="D18075" s="898" t="s">
        <v>12040</v>
      </c>
      <c r="E18075" s="643">
        <v>45000</v>
      </c>
      <c r="F18075" s="176"/>
      <c r="G18075" s="176">
        <f t="shared" si="290"/>
        <v>-45000</v>
      </c>
      <c r="H18075" s="702" t="s">
        <v>11835</v>
      </c>
    </row>
    <row r="18076" spans="1:10" ht="24" x14ac:dyDescent="0.2">
      <c r="A18076" s="730">
        <v>45289</v>
      </c>
      <c r="B18076" s="94" t="s">
        <v>12082</v>
      </c>
      <c r="C18076" s="94" t="s">
        <v>559</v>
      </c>
      <c r="D18076" s="802" t="s">
        <v>12094</v>
      </c>
      <c r="E18076" s="176"/>
      <c r="F18076" s="176">
        <v>369964</v>
      </c>
      <c r="G18076" s="176">
        <f t="shared" si="290"/>
        <v>369964</v>
      </c>
      <c r="H18076" s="702" t="s">
        <v>11835</v>
      </c>
    </row>
    <row r="18077" spans="1:10" ht="15" x14ac:dyDescent="0.2">
      <c r="A18077" s="734">
        <v>45292</v>
      </c>
      <c r="B18077" s="63" t="s">
        <v>9986</v>
      </c>
      <c r="C18077" s="63" t="s">
        <v>256</v>
      </c>
      <c r="D18077" s="183" t="s">
        <v>12036</v>
      </c>
      <c r="E18077" s="126">
        <v>250000</v>
      </c>
      <c r="F18077" s="126"/>
      <c r="G18077" s="126">
        <f t="shared" si="290"/>
        <v>-250000</v>
      </c>
      <c r="H18077" s="705" t="s">
        <v>12047</v>
      </c>
    </row>
    <row r="18078" spans="1:10" ht="15" x14ac:dyDescent="0.2">
      <c r="A18078" s="734">
        <v>45292</v>
      </c>
      <c r="B18078" s="63"/>
      <c r="C18078" s="63" t="s">
        <v>337</v>
      </c>
      <c r="D18078" s="183"/>
      <c r="E18078" s="126">
        <v>5000</v>
      </c>
      <c r="F18078" s="126"/>
      <c r="G18078" s="126">
        <f t="shared" si="290"/>
        <v>-5000</v>
      </c>
      <c r="H18078" s="705" t="s">
        <v>12047</v>
      </c>
    </row>
    <row r="18079" spans="1:10" ht="15" x14ac:dyDescent="0.2">
      <c r="A18079" s="734">
        <v>45292</v>
      </c>
      <c r="B18079" s="63" t="s">
        <v>103</v>
      </c>
      <c r="C18079" s="63" t="s">
        <v>103</v>
      </c>
      <c r="D18079" s="183" t="s">
        <v>8158</v>
      </c>
      <c r="E18079" s="126">
        <v>3000</v>
      </c>
      <c r="F18079" s="126"/>
      <c r="G18079" s="126">
        <f t="shared" si="290"/>
        <v>-3000</v>
      </c>
      <c r="H18079" s="705" t="s">
        <v>12047</v>
      </c>
    </row>
    <row r="18080" spans="1:10" ht="15" x14ac:dyDescent="0.2">
      <c r="A18080" s="734">
        <v>45292</v>
      </c>
      <c r="B18080" s="63" t="s">
        <v>392</v>
      </c>
      <c r="C18080" s="63" t="s">
        <v>12075</v>
      </c>
      <c r="D18080" s="183" t="s">
        <v>12076</v>
      </c>
      <c r="E18080" s="126">
        <v>3000</v>
      </c>
      <c r="F18080" s="126"/>
      <c r="G18080" s="126">
        <f t="shared" si="290"/>
        <v>-3000</v>
      </c>
      <c r="H18080" s="705" t="s">
        <v>12047</v>
      </c>
    </row>
    <row r="18081" spans="1:8" ht="15" x14ac:dyDescent="0.2">
      <c r="A18081" s="734">
        <v>45292</v>
      </c>
      <c r="B18081" s="63" t="s">
        <v>11446</v>
      </c>
      <c r="C18081" s="63" t="s">
        <v>5410</v>
      </c>
      <c r="D18081" s="183" t="s">
        <v>12077</v>
      </c>
      <c r="E18081" s="126">
        <v>39000</v>
      </c>
      <c r="F18081" s="126"/>
      <c r="G18081" s="126">
        <f t="shared" si="290"/>
        <v>-39000</v>
      </c>
      <c r="H18081" s="705" t="s">
        <v>12047</v>
      </c>
    </row>
    <row r="18082" spans="1:8" ht="15" x14ac:dyDescent="0.2">
      <c r="A18082" s="734">
        <v>45292</v>
      </c>
      <c r="B18082" s="63"/>
      <c r="C18082" s="63" t="s">
        <v>1063</v>
      </c>
      <c r="D18082" s="183" t="s">
        <v>12078</v>
      </c>
      <c r="E18082" s="126">
        <v>16000</v>
      </c>
      <c r="F18082" s="126"/>
      <c r="G18082" s="126">
        <f t="shared" si="290"/>
        <v>-16000</v>
      </c>
      <c r="H18082" s="705" t="s">
        <v>12047</v>
      </c>
    </row>
    <row r="18083" spans="1:8" ht="15" x14ac:dyDescent="0.2">
      <c r="A18083" s="734">
        <v>45292</v>
      </c>
      <c r="B18083" s="63" t="s">
        <v>11093</v>
      </c>
      <c r="C18083" s="63" t="s">
        <v>1524</v>
      </c>
      <c r="D18083" s="183" t="s">
        <v>12079</v>
      </c>
      <c r="E18083" s="126">
        <v>3740</v>
      </c>
      <c r="F18083" s="126"/>
      <c r="G18083" s="126">
        <f t="shared" si="290"/>
        <v>-3740</v>
      </c>
      <c r="H18083" s="705" t="s">
        <v>12047</v>
      </c>
    </row>
    <row r="18084" spans="1:8" ht="15" x14ac:dyDescent="0.2">
      <c r="A18084" s="734">
        <v>45292</v>
      </c>
      <c r="B18084" s="63" t="s">
        <v>10908</v>
      </c>
      <c r="C18084" s="63" t="s">
        <v>5741</v>
      </c>
      <c r="D18084" s="183" t="s">
        <v>370</v>
      </c>
      <c r="E18084" s="126">
        <v>600</v>
      </c>
      <c r="F18084" s="126"/>
      <c r="G18084" s="126">
        <f t="shared" si="290"/>
        <v>-600</v>
      </c>
      <c r="H18084" s="705" t="s">
        <v>12047</v>
      </c>
    </row>
    <row r="18085" spans="1:8" ht="15" x14ac:dyDescent="0.2">
      <c r="A18085" s="734">
        <v>45292</v>
      </c>
      <c r="B18085" s="63" t="s">
        <v>103</v>
      </c>
      <c r="C18085" s="63" t="s">
        <v>103</v>
      </c>
      <c r="D18085" s="183" t="s">
        <v>12080</v>
      </c>
      <c r="E18085" s="126">
        <v>740</v>
      </c>
      <c r="F18085" s="126"/>
      <c r="G18085" s="126">
        <f t="shared" si="290"/>
        <v>-740</v>
      </c>
      <c r="H18085" s="705" t="s">
        <v>12047</v>
      </c>
    </row>
    <row r="18086" spans="1:8" ht="15" x14ac:dyDescent="0.2">
      <c r="A18086" s="734">
        <v>45292</v>
      </c>
      <c r="B18086" s="63" t="s">
        <v>11635</v>
      </c>
      <c r="C18086" s="63" t="s">
        <v>10993</v>
      </c>
      <c r="D18086" s="183" t="s">
        <v>4309</v>
      </c>
      <c r="E18086" s="126">
        <v>3800</v>
      </c>
      <c r="F18086" s="126"/>
      <c r="G18086" s="126">
        <f t="shared" si="290"/>
        <v>-3800</v>
      </c>
      <c r="H18086" s="705" t="s">
        <v>12047</v>
      </c>
    </row>
    <row r="18087" spans="1:8" ht="15" x14ac:dyDescent="0.2">
      <c r="A18087" s="734">
        <v>45293</v>
      </c>
      <c r="B18087" s="63" t="s">
        <v>11617</v>
      </c>
      <c r="C18087" s="670" t="s">
        <v>10993</v>
      </c>
      <c r="D18087" s="907" t="s">
        <v>12081</v>
      </c>
      <c r="E18087" s="672">
        <v>44500</v>
      </c>
      <c r="F18087" s="126"/>
      <c r="G18087" s="126">
        <f t="shared" si="290"/>
        <v>-44500</v>
      </c>
      <c r="H18087" s="705" t="s">
        <v>12047</v>
      </c>
    </row>
    <row r="18088" spans="1:8" ht="15" x14ac:dyDescent="0.2">
      <c r="A18088" s="734">
        <v>45293</v>
      </c>
      <c r="B18088" s="63" t="s">
        <v>10908</v>
      </c>
      <c r="C18088" s="670" t="s">
        <v>10993</v>
      </c>
      <c r="D18088" s="907" t="s">
        <v>12081</v>
      </c>
      <c r="E18088" s="672">
        <v>280400</v>
      </c>
      <c r="F18088" s="126"/>
      <c r="G18088" s="126">
        <f t="shared" si="290"/>
        <v>-280400</v>
      </c>
      <c r="H18088" s="705" t="s">
        <v>12047</v>
      </c>
    </row>
    <row r="18089" spans="1:8" ht="15" x14ac:dyDescent="0.2">
      <c r="A18089" s="734">
        <v>45293</v>
      </c>
      <c r="B18089" s="63" t="s">
        <v>11446</v>
      </c>
      <c r="C18089" s="670" t="s">
        <v>10993</v>
      </c>
      <c r="D18089" s="907" t="s">
        <v>12081</v>
      </c>
      <c r="E18089" s="672">
        <v>3000</v>
      </c>
      <c r="F18089" s="126"/>
      <c r="G18089" s="126">
        <f t="shared" si="290"/>
        <v>-3000</v>
      </c>
      <c r="H18089" s="705" t="s">
        <v>12047</v>
      </c>
    </row>
    <row r="18090" spans="1:8" ht="15" x14ac:dyDescent="0.2">
      <c r="A18090" s="734">
        <v>45293</v>
      </c>
      <c r="B18090" s="63" t="s">
        <v>10232</v>
      </c>
      <c r="C18090" s="670" t="s">
        <v>10993</v>
      </c>
      <c r="D18090" s="907" t="s">
        <v>12081</v>
      </c>
      <c r="E18090" s="672">
        <v>25000</v>
      </c>
      <c r="F18090" s="126"/>
      <c r="G18090" s="126">
        <f t="shared" si="290"/>
        <v>-25000</v>
      </c>
      <c r="H18090" s="705" t="s">
        <v>12047</v>
      </c>
    </row>
    <row r="18091" spans="1:8" ht="15" x14ac:dyDescent="0.2">
      <c r="A18091" s="734">
        <v>45293</v>
      </c>
      <c r="B18091" s="63" t="s">
        <v>9986</v>
      </c>
      <c r="C18091" s="670" t="s">
        <v>10993</v>
      </c>
      <c r="D18091" s="907" t="s">
        <v>12081</v>
      </c>
      <c r="E18091" s="672">
        <v>4500</v>
      </c>
      <c r="F18091" s="126"/>
      <c r="G18091" s="126">
        <f t="shared" si="290"/>
        <v>-4500</v>
      </c>
      <c r="H18091" s="705" t="s">
        <v>12047</v>
      </c>
    </row>
    <row r="18092" spans="1:8" ht="15" x14ac:dyDescent="0.2">
      <c r="A18092" s="734">
        <v>45293</v>
      </c>
      <c r="B18092" s="63" t="s">
        <v>9986</v>
      </c>
      <c r="C18092" s="63" t="s">
        <v>11752</v>
      </c>
      <c r="D18092" s="183" t="s">
        <v>12036</v>
      </c>
      <c r="E18092" s="126">
        <v>267000</v>
      </c>
      <c r="F18092" s="126"/>
      <c r="G18092" s="126">
        <f t="shared" si="290"/>
        <v>-267000</v>
      </c>
      <c r="H18092" s="705" t="s">
        <v>12047</v>
      </c>
    </row>
    <row r="18093" spans="1:8" ht="15" x14ac:dyDescent="0.2">
      <c r="A18093" s="734">
        <v>45293</v>
      </c>
      <c r="B18093" s="63" t="s">
        <v>12082</v>
      </c>
      <c r="C18093" s="63" t="s">
        <v>12083</v>
      </c>
      <c r="D18093" s="183" t="s">
        <v>12084</v>
      </c>
      <c r="E18093" s="126">
        <v>15000</v>
      </c>
      <c r="F18093" s="126"/>
      <c r="G18093" s="126">
        <f t="shared" ref="G18093:G18108" si="291">F18093-E18093</f>
        <v>-15000</v>
      </c>
      <c r="H18093" s="705" t="s">
        <v>12047</v>
      </c>
    </row>
    <row r="18094" spans="1:8" ht="15" x14ac:dyDescent="0.2">
      <c r="A18094" s="734">
        <v>45293</v>
      </c>
      <c r="B18094" s="63" t="s">
        <v>3946</v>
      </c>
      <c r="C18094" s="63" t="s">
        <v>286</v>
      </c>
      <c r="D18094" s="183" t="s">
        <v>11383</v>
      </c>
      <c r="E18094" s="126">
        <v>500</v>
      </c>
      <c r="F18094" s="126"/>
      <c r="G18094" s="126">
        <f t="shared" si="291"/>
        <v>-500</v>
      </c>
      <c r="H18094" s="705" t="s">
        <v>12047</v>
      </c>
    </row>
    <row r="18095" spans="1:8" ht="15" x14ac:dyDescent="0.2">
      <c r="A18095" s="734">
        <v>45293</v>
      </c>
      <c r="B18095" s="63" t="s">
        <v>3946</v>
      </c>
      <c r="C18095" s="63" t="s">
        <v>5741</v>
      </c>
      <c r="D18095" s="183" t="s">
        <v>370</v>
      </c>
      <c r="E18095" s="126">
        <v>2500</v>
      </c>
      <c r="F18095" s="126"/>
      <c r="G18095" s="126">
        <f t="shared" si="291"/>
        <v>-2500</v>
      </c>
      <c r="H18095" s="705" t="s">
        <v>12047</v>
      </c>
    </row>
    <row r="18096" spans="1:8" ht="15" x14ac:dyDescent="0.2">
      <c r="A18096" s="734">
        <v>45293</v>
      </c>
      <c r="B18096" s="63" t="s">
        <v>10232</v>
      </c>
      <c r="C18096" s="63" t="s">
        <v>5741</v>
      </c>
      <c r="D18096" s="183" t="s">
        <v>370</v>
      </c>
      <c r="E18096" s="126">
        <v>1800</v>
      </c>
      <c r="F18096" s="126"/>
      <c r="G18096" s="126">
        <f t="shared" si="291"/>
        <v>-1800</v>
      </c>
      <c r="H18096" s="705" t="s">
        <v>12047</v>
      </c>
    </row>
    <row r="18097" spans="1:8" ht="15" x14ac:dyDescent="0.2">
      <c r="A18097" s="734">
        <v>45293</v>
      </c>
      <c r="B18097" s="63" t="s">
        <v>103</v>
      </c>
      <c r="C18097" s="63" t="s">
        <v>103</v>
      </c>
      <c r="D18097" s="183" t="s">
        <v>12085</v>
      </c>
      <c r="E18097" s="126">
        <v>5000</v>
      </c>
      <c r="F18097" s="126"/>
      <c r="G18097" s="126">
        <f t="shared" si="291"/>
        <v>-5000</v>
      </c>
      <c r="H18097" s="705" t="s">
        <v>12047</v>
      </c>
    </row>
    <row r="18098" spans="1:8" ht="17.25" customHeight="1" x14ac:dyDescent="0.2">
      <c r="A18098" s="734">
        <v>45293</v>
      </c>
      <c r="B18098" s="63" t="s">
        <v>11617</v>
      </c>
      <c r="C18098" s="670" t="s">
        <v>10993</v>
      </c>
      <c r="D18098" s="907" t="s">
        <v>12087</v>
      </c>
      <c r="E18098" s="672">
        <v>38000</v>
      </c>
      <c r="F18098" s="126"/>
      <c r="G18098" s="126">
        <f t="shared" si="291"/>
        <v>-38000</v>
      </c>
      <c r="H18098" s="705" t="s">
        <v>12047</v>
      </c>
    </row>
    <row r="18099" spans="1:8" ht="17.25" customHeight="1" x14ac:dyDescent="0.2">
      <c r="A18099" s="734">
        <v>45293</v>
      </c>
      <c r="B18099" s="63" t="s">
        <v>11089</v>
      </c>
      <c r="C18099" s="670" t="s">
        <v>10993</v>
      </c>
      <c r="D18099" s="907" t="s">
        <v>12086</v>
      </c>
      <c r="E18099" s="672">
        <v>38000</v>
      </c>
      <c r="F18099" s="126"/>
      <c r="G18099" s="126">
        <f t="shared" si="291"/>
        <v>-38000</v>
      </c>
      <c r="H18099" s="705" t="s">
        <v>12047</v>
      </c>
    </row>
    <row r="18100" spans="1:8" ht="24" x14ac:dyDescent="0.2">
      <c r="A18100" s="734">
        <v>45293</v>
      </c>
      <c r="B18100" s="63" t="s">
        <v>11554</v>
      </c>
      <c r="C18100" s="63" t="s">
        <v>10993</v>
      </c>
      <c r="D18100" s="183" t="s">
        <v>12088</v>
      </c>
      <c r="E18100" s="126">
        <v>100000</v>
      </c>
      <c r="F18100" s="126"/>
      <c r="G18100" s="126">
        <f t="shared" si="291"/>
        <v>-100000</v>
      </c>
      <c r="H18100" s="705" t="s">
        <v>12047</v>
      </c>
    </row>
    <row r="18101" spans="1:8" ht="15" x14ac:dyDescent="0.2">
      <c r="A18101" s="734">
        <v>45294</v>
      </c>
      <c r="B18101" s="63" t="s">
        <v>37</v>
      </c>
      <c r="C18101" s="63" t="s">
        <v>794</v>
      </c>
      <c r="D18101" s="183" t="s">
        <v>12089</v>
      </c>
      <c r="E18101" s="126">
        <v>5000</v>
      </c>
      <c r="F18101" s="126"/>
      <c r="G18101" s="126">
        <f t="shared" si="291"/>
        <v>-5000</v>
      </c>
      <c r="H18101" s="705" t="s">
        <v>12047</v>
      </c>
    </row>
    <row r="18102" spans="1:8" ht="15" x14ac:dyDescent="0.2">
      <c r="A18102" s="734">
        <v>45294</v>
      </c>
      <c r="B18102" s="63" t="s">
        <v>11728</v>
      </c>
      <c r="C18102" s="63" t="s">
        <v>10993</v>
      </c>
      <c r="D18102" s="183" t="s">
        <v>12090</v>
      </c>
      <c r="E18102" s="126">
        <v>3000</v>
      </c>
      <c r="F18102" s="126"/>
      <c r="G18102" s="126">
        <f t="shared" si="291"/>
        <v>-3000</v>
      </c>
      <c r="H18102" s="705" t="s">
        <v>12047</v>
      </c>
    </row>
    <row r="18103" spans="1:8" ht="15" x14ac:dyDescent="0.2">
      <c r="A18103" s="734">
        <v>45294</v>
      </c>
      <c r="B18103" s="63" t="s">
        <v>11089</v>
      </c>
      <c r="C18103" s="63" t="s">
        <v>5387</v>
      </c>
      <c r="D18103" s="183" t="s">
        <v>12099</v>
      </c>
      <c r="E18103" s="126">
        <v>7000</v>
      </c>
      <c r="F18103" s="126"/>
      <c r="G18103" s="126">
        <f t="shared" si="291"/>
        <v>-7000</v>
      </c>
      <c r="H18103" s="705" t="s">
        <v>12047</v>
      </c>
    </row>
    <row r="18104" spans="1:8" ht="15" x14ac:dyDescent="0.2">
      <c r="A18104" s="734">
        <v>45294</v>
      </c>
      <c r="B18104" s="63" t="s">
        <v>11728</v>
      </c>
      <c r="C18104" s="63" t="s">
        <v>11099</v>
      </c>
      <c r="D18104" s="183" t="s">
        <v>1157</v>
      </c>
      <c r="E18104" s="126">
        <v>40000</v>
      </c>
      <c r="F18104" s="126"/>
      <c r="G18104" s="126">
        <f t="shared" si="291"/>
        <v>-40000</v>
      </c>
      <c r="H18104" s="705" t="s">
        <v>12047</v>
      </c>
    </row>
    <row r="18105" spans="1:8" ht="15" customHeight="1" x14ac:dyDescent="0.2">
      <c r="A18105" s="734">
        <v>45294</v>
      </c>
      <c r="B18105" s="63" t="s">
        <v>10232</v>
      </c>
      <c r="C18105" s="63" t="s">
        <v>5741</v>
      </c>
      <c r="D18105" s="183" t="s">
        <v>370</v>
      </c>
      <c r="E18105" s="126">
        <v>700</v>
      </c>
      <c r="F18105" s="126"/>
      <c r="G18105" s="126">
        <f t="shared" si="291"/>
        <v>-700</v>
      </c>
      <c r="H18105" s="705" t="s">
        <v>12047</v>
      </c>
    </row>
    <row r="18106" spans="1:8" ht="15" x14ac:dyDescent="0.2">
      <c r="A18106" s="734">
        <v>45294</v>
      </c>
      <c r="B18106" s="63" t="s">
        <v>103</v>
      </c>
      <c r="C18106" s="63" t="s">
        <v>103</v>
      </c>
      <c r="D18106" s="183" t="s">
        <v>8158</v>
      </c>
      <c r="E18106" s="126">
        <v>3000</v>
      </c>
      <c r="F18106" s="126"/>
      <c r="G18106" s="126">
        <f t="shared" si="291"/>
        <v>-3000</v>
      </c>
      <c r="H18106" s="705" t="s">
        <v>12047</v>
      </c>
    </row>
    <row r="18107" spans="1:8" ht="15" x14ac:dyDescent="0.2">
      <c r="A18107" s="734">
        <v>45294</v>
      </c>
      <c r="B18107" s="63" t="s">
        <v>11089</v>
      </c>
      <c r="C18107" s="63" t="s">
        <v>10993</v>
      </c>
      <c r="D18107" s="183" t="s">
        <v>12100</v>
      </c>
      <c r="E18107" s="126">
        <v>7000</v>
      </c>
      <c r="F18107" s="126"/>
      <c r="G18107" s="126">
        <f t="shared" si="291"/>
        <v>-7000</v>
      </c>
      <c r="H18107" s="705" t="s">
        <v>12047</v>
      </c>
    </row>
    <row r="18108" spans="1:8" ht="15" x14ac:dyDescent="0.2">
      <c r="A18108" s="734">
        <v>45294</v>
      </c>
      <c r="B18108" s="63" t="s">
        <v>10232</v>
      </c>
      <c r="C18108" s="63" t="s">
        <v>10993</v>
      </c>
      <c r="D18108" s="183" t="s">
        <v>12101</v>
      </c>
      <c r="E18108" s="126">
        <v>6000</v>
      </c>
      <c r="F18108" s="126"/>
      <c r="G18108" s="126">
        <f t="shared" si="291"/>
        <v>-6000</v>
      </c>
      <c r="H18108" s="705" t="s">
        <v>12047</v>
      </c>
    </row>
    <row r="18109" spans="1:8" ht="15" x14ac:dyDescent="0.2">
      <c r="A18109" s="734">
        <v>45294</v>
      </c>
      <c r="B18109" s="63" t="s">
        <v>103</v>
      </c>
      <c r="C18109" s="63" t="s">
        <v>103</v>
      </c>
      <c r="D18109" s="183" t="s">
        <v>8158</v>
      </c>
      <c r="E18109" s="126">
        <v>4000</v>
      </c>
      <c r="F18109" s="126"/>
      <c r="G18109" s="126">
        <f t="shared" ref="G18109:G18133" si="292">F18109-E18109</f>
        <v>-4000</v>
      </c>
      <c r="H18109" s="705" t="s">
        <v>12047</v>
      </c>
    </row>
    <row r="18110" spans="1:8" ht="15" x14ac:dyDescent="0.2">
      <c r="A18110" s="734">
        <v>45294</v>
      </c>
      <c r="B18110" s="63" t="s">
        <v>11093</v>
      </c>
      <c r="C18110" s="670" t="s">
        <v>5681</v>
      </c>
      <c r="D18110" s="907" t="s">
        <v>12102</v>
      </c>
      <c r="E18110" s="672">
        <v>60000</v>
      </c>
      <c r="F18110" s="126"/>
      <c r="G18110" s="126">
        <f t="shared" si="292"/>
        <v>-60000</v>
      </c>
      <c r="H18110" s="705" t="s">
        <v>12047</v>
      </c>
    </row>
    <row r="18111" spans="1:8" ht="15" x14ac:dyDescent="0.2">
      <c r="A18111" s="734">
        <v>45294</v>
      </c>
      <c r="B18111" s="63" t="s">
        <v>10379</v>
      </c>
      <c r="C18111" s="670" t="s">
        <v>5681</v>
      </c>
      <c r="D18111" s="907" t="s">
        <v>12102</v>
      </c>
      <c r="E18111" s="672">
        <v>190000</v>
      </c>
      <c r="F18111" s="126"/>
      <c r="G18111" s="126">
        <f t="shared" si="292"/>
        <v>-190000</v>
      </c>
      <c r="H18111" s="705" t="s">
        <v>12047</v>
      </c>
    </row>
    <row r="18112" spans="1:8" ht="15" x14ac:dyDescent="0.2">
      <c r="A18112" s="734">
        <v>45294</v>
      </c>
      <c r="B18112" s="736" t="s">
        <v>10908</v>
      </c>
      <c r="C18112" s="63" t="s">
        <v>10853</v>
      </c>
      <c r="D18112" s="183" t="s">
        <v>12036</v>
      </c>
      <c r="E18112" s="126">
        <v>500000</v>
      </c>
      <c r="F18112" s="126"/>
      <c r="G18112" s="126">
        <f t="shared" si="292"/>
        <v>-500000</v>
      </c>
      <c r="H18112" s="705" t="s">
        <v>12047</v>
      </c>
    </row>
    <row r="18113" spans="1:8" ht="15" x14ac:dyDescent="0.2">
      <c r="A18113" s="734">
        <v>45294</v>
      </c>
      <c r="B18113" s="63" t="s">
        <v>11728</v>
      </c>
      <c r="C18113" s="63" t="s">
        <v>11099</v>
      </c>
      <c r="D18113" s="183" t="s">
        <v>12103</v>
      </c>
      <c r="E18113" s="126">
        <v>30000</v>
      </c>
      <c r="F18113" s="126"/>
      <c r="G18113" s="126">
        <f t="shared" si="292"/>
        <v>-30000</v>
      </c>
      <c r="H18113" s="705" t="s">
        <v>12047</v>
      </c>
    </row>
    <row r="18114" spans="1:8" ht="15" x14ac:dyDescent="0.2">
      <c r="A18114" s="734">
        <v>45294</v>
      </c>
      <c r="B18114" s="63" t="s">
        <v>11728</v>
      </c>
      <c r="C18114" s="63" t="s">
        <v>12104</v>
      </c>
      <c r="D18114" s="183" t="s">
        <v>12103</v>
      </c>
      <c r="E18114" s="126">
        <v>50000</v>
      </c>
      <c r="F18114" s="126"/>
      <c r="G18114" s="126">
        <f t="shared" si="292"/>
        <v>-50000</v>
      </c>
      <c r="H18114" s="705" t="s">
        <v>12047</v>
      </c>
    </row>
    <row r="18115" spans="1:8" ht="15" customHeight="1" x14ac:dyDescent="0.2">
      <c r="A18115" s="734">
        <v>45295</v>
      </c>
      <c r="B18115" s="63" t="s">
        <v>11897</v>
      </c>
      <c r="C18115" s="63" t="s">
        <v>12027</v>
      </c>
      <c r="D18115" s="183" t="s">
        <v>12028</v>
      </c>
      <c r="E18115" s="126">
        <v>750000</v>
      </c>
      <c r="F18115" s="126"/>
      <c r="G18115" s="126">
        <f t="shared" si="292"/>
        <v>-750000</v>
      </c>
      <c r="H18115" s="705" t="s">
        <v>12047</v>
      </c>
    </row>
    <row r="18116" spans="1:8" ht="15" customHeight="1" x14ac:dyDescent="0.2">
      <c r="A18116" s="734">
        <v>45295</v>
      </c>
      <c r="B18116" s="63" t="s">
        <v>10232</v>
      </c>
      <c r="C18116" s="670" t="s">
        <v>8394</v>
      </c>
      <c r="D18116" s="907" t="s">
        <v>12136</v>
      </c>
      <c r="E18116" s="672">
        <v>250000</v>
      </c>
      <c r="F18116" s="126"/>
      <c r="G18116" s="126">
        <f t="shared" si="292"/>
        <v>-250000</v>
      </c>
      <c r="H18116" s="705" t="s">
        <v>12047</v>
      </c>
    </row>
    <row r="18117" spans="1:8" ht="15" customHeight="1" x14ac:dyDescent="0.2">
      <c r="A18117" s="734">
        <v>45295</v>
      </c>
      <c r="B18117" s="63" t="s">
        <v>11446</v>
      </c>
      <c r="C18117" s="670" t="s">
        <v>8394</v>
      </c>
      <c r="D18117" s="907" t="s">
        <v>12136</v>
      </c>
      <c r="E18117" s="672">
        <v>250000</v>
      </c>
      <c r="F18117" s="126"/>
      <c r="G18117" s="126">
        <f t="shared" si="292"/>
        <v>-250000</v>
      </c>
      <c r="H18117" s="705" t="s">
        <v>12047</v>
      </c>
    </row>
    <row r="18118" spans="1:8" ht="15" customHeight="1" x14ac:dyDescent="0.2">
      <c r="A18118" s="734">
        <v>45295</v>
      </c>
      <c r="B18118" s="63" t="s">
        <v>11617</v>
      </c>
      <c r="C18118" s="670" t="s">
        <v>8394</v>
      </c>
      <c r="D18118" s="907" t="s">
        <v>12136</v>
      </c>
      <c r="E18118" s="672">
        <v>500000</v>
      </c>
      <c r="F18118" s="126"/>
      <c r="G18118" s="126">
        <f t="shared" si="292"/>
        <v>-500000</v>
      </c>
      <c r="H18118" s="705" t="s">
        <v>12047</v>
      </c>
    </row>
    <row r="18119" spans="1:8" ht="15" customHeight="1" x14ac:dyDescent="0.2">
      <c r="A18119" s="734">
        <v>45295</v>
      </c>
      <c r="B18119" s="63" t="s">
        <v>3946</v>
      </c>
      <c r="C18119" s="63" t="s">
        <v>10993</v>
      </c>
      <c r="D18119" s="183" t="s">
        <v>12106</v>
      </c>
      <c r="E18119" s="126">
        <v>78000</v>
      </c>
      <c r="F18119" s="126"/>
      <c r="G18119" s="126">
        <f t="shared" si="292"/>
        <v>-78000</v>
      </c>
      <c r="H18119" s="705" t="s">
        <v>12047</v>
      </c>
    </row>
    <row r="18120" spans="1:8" ht="15" x14ac:dyDescent="0.2">
      <c r="A18120" s="734">
        <v>45295</v>
      </c>
      <c r="B18120" s="63" t="s">
        <v>3946</v>
      </c>
      <c r="C18120" s="63" t="s">
        <v>5741</v>
      </c>
      <c r="D18120" s="183" t="s">
        <v>12107</v>
      </c>
      <c r="E18120" s="126">
        <v>2500</v>
      </c>
      <c r="F18120" s="126"/>
      <c r="G18120" s="126">
        <f t="shared" si="292"/>
        <v>-2500</v>
      </c>
      <c r="H18120" s="705" t="s">
        <v>12047</v>
      </c>
    </row>
    <row r="18121" spans="1:8" ht="15" x14ac:dyDescent="0.2">
      <c r="A18121" s="734">
        <v>45295</v>
      </c>
      <c r="B18121" s="63" t="s">
        <v>3946</v>
      </c>
      <c r="C18121" s="63" t="s">
        <v>286</v>
      </c>
      <c r="D18121" s="183" t="s">
        <v>11383</v>
      </c>
      <c r="E18121" s="126">
        <v>500</v>
      </c>
      <c r="F18121" s="126"/>
      <c r="G18121" s="126">
        <f t="shared" si="292"/>
        <v>-500</v>
      </c>
      <c r="H18121" s="705" t="s">
        <v>12047</v>
      </c>
    </row>
    <row r="18122" spans="1:8" ht="24" x14ac:dyDescent="0.2">
      <c r="A18122" s="734">
        <v>45295</v>
      </c>
      <c r="B18122" s="63" t="s">
        <v>11897</v>
      </c>
      <c r="C18122" s="63" t="s">
        <v>10993</v>
      </c>
      <c r="D18122" s="183" t="s">
        <v>12108</v>
      </c>
      <c r="E18122" s="126">
        <v>85000</v>
      </c>
      <c r="F18122" s="126"/>
      <c r="G18122" s="126">
        <f t="shared" si="292"/>
        <v>-85000</v>
      </c>
      <c r="H18122" s="705" t="s">
        <v>12047</v>
      </c>
    </row>
    <row r="18123" spans="1:8" ht="15" x14ac:dyDescent="0.2">
      <c r="A18123" s="734">
        <v>45295</v>
      </c>
      <c r="B18123" s="63" t="s">
        <v>11897</v>
      </c>
      <c r="C18123" s="63" t="s">
        <v>12110</v>
      </c>
      <c r="D18123" s="183" t="s">
        <v>12109</v>
      </c>
      <c r="E18123" s="126">
        <v>165988</v>
      </c>
      <c r="F18123" s="126"/>
      <c r="G18123" s="126">
        <f t="shared" si="292"/>
        <v>-165988</v>
      </c>
      <c r="H18123" s="705" t="s">
        <v>12047</v>
      </c>
    </row>
    <row r="18124" spans="1:8" ht="15" x14ac:dyDescent="0.2">
      <c r="A18124" s="734">
        <v>45295</v>
      </c>
      <c r="B18124" s="63" t="s">
        <v>10471</v>
      </c>
      <c r="C18124" s="63" t="s">
        <v>12032</v>
      </c>
      <c r="D18124" s="183" t="s">
        <v>12111</v>
      </c>
      <c r="E18124" s="126">
        <v>60000</v>
      </c>
      <c r="F18124" s="126"/>
      <c r="G18124" s="126">
        <f t="shared" si="292"/>
        <v>-60000</v>
      </c>
      <c r="H18124" s="705" t="s">
        <v>12047</v>
      </c>
    </row>
    <row r="18125" spans="1:8" ht="15" x14ac:dyDescent="0.2">
      <c r="A18125" s="734">
        <v>45295</v>
      </c>
      <c r="B18125" s="63" t="s">
        <v>37</v>
      </c>
      <c r="C18125" s="63" t="s">
        <v>392</v>
      </c>
      <c r="D18125" s="183" t="s">
        <v>12112</v>
      </c>
      <c r="E18125" s="126">
        <v>400</v>
      </c>
      <c r="F18125" s="126"/>
      <c r="G18125" s="126">
        <f t="shared" si="292"/>
        <v>-400</v>
      </c>
      <c r="H18125" s="705" t="s">
        <v>12047</v>
      </c>
    </row>
    <row r="18126" spans="1:8" ht="15" x14ac:dyDescent="0.2">
      <c r="A18126" s="734">
        <v>45295</v>
      </c>
      <c r="B18126" s="63" t="s">
        <v>37</v>
      </c>
      <c r="C18126" s="63" t="s">
        <v>392</v>
      </c>
      <c r="D18126" s="183" t="s">
        <v>6429</v>
      </c>
      <c r="E18126" s="126">
        <v>3000</v>
      </c>
      <c r="F18126" s="126"/>
      <c r="G18126" s="126">
        <f t="shared" si="292"/>
        <v>-3000</v>
      </c>
      <c r="H18126" s="705" t="s">
        <v>12047</v>
      </c>
    </row>
    <row r="18127" spans="1:8" ht="15" customHeight="1" x14ac:dyDescent="0.2">
      <c r="A18127" s="734">
        <v>45295</v>
      </c>
      <c r="B18127" s="63" t="s">
        <v>10908</v>
      </c>
      <c r="C18127" s="63" t="s">
        <v>10993</v>
      </c>
      <c r="D18127" s="183" t="s">
        <v>12113</v>
      </c>
      <c r="E18127" s="126">
        <v>2000</v>
      </c>
      <c r="F18127" s="126"/>
      <c r="G18127" s="126">
        <f t="shared" si="292"/>
        <v>-2000</v>
      </c>
      <c r="H18127" s="705" t="s">
        <v>12047</v>
      </c>
    </row>
    <row r="18128" spans="1:8" ht="15" customHeight="1" x14ac:dyDescent="0.2">
      <c r="A18128" s="734">
        <v>45295</v>
      </c>
      <c r="B18128" s="63" t="s">
        <v>103</v>
      </c>
      <c r="C18128" s="63" t="s">
        <v>1495</v>
      </c>
      <c r="D18128" s="183" t="s">
        <v>370</v>
      </c>
      <c r="E18128" s="126">
        <v>1980</v>
      </c>
      <c r="F18128" s="126"/>
      <c r="G18128" s="126">
        <f t="shared" si="292"/>
        <v>-1980</v>
      </c>
      <c r="H18128" s="705" t="s">
        <v>12047</v>
      </c>
    </row>
    <row r="18129" spans="1:8" ht="15" customHeight="1" x14ac:dyDescent="0.2">
      <c r="A18129" s="734">
        <v>45295</v>
      </c>
      <c r="B18129" s="63" t="s">
        <v>103</v>
      </c>
      <c r="C18129" s="63" t="s">
        <v>392</v>
      </c>
      <c r="D18129" s="183" t="s">
        <v>10988</v>
      </c>
      <c r="E18129" s="126">
        <v>1000</v>
      </c>
      <c r="F18129" s="126"/>
      <c r="G18129" s="126">
        <f t="shared" si="292"/>
        <v>-1000</v>
      </c>
      <c r="H18129" s="705" t="s">
        <v>12047</v>
      </c>
    </row>
    <row r="18130" spans="1:8" ht="15" customHeight="1" x14ac:dyDescent="0.2">
      <c r="A18130" s="734">
        <v>45295</v>
      </c>
      <c r="B18130" s="63" t="s">
        <v>11897</v>
      </c>
      <c r="C18130" s="63" t="s">
        <v>5741</v>
      </c>
      <c r="D18130" s="183" t="s">
        <v>10337</v>
      </c>
      <c r="E18130" s="126">
        <v>300</v>
      </c>
      <c r="F18130" s="126"/>
      <c r="G18130" s="126">
        <f t="shared" si="292"/>
        <v>-300</v>
      </c>
      <c r="H18130" s="705" t="s">
        <v>12047</v>
      </c>
    </row>
    <row r="18131" spans="1:8" ht="15" customHeight="1" x14ac:dyDescent="0.2">
      <c r="A18131" s="734">
        <v>45295</v>
      </c>
      <c r="B18131" s="63" t="s">
        <v>11728</v>
      </c>
      <c r="C18131" s="63" t="s">
        <v>5741</v>
      </c>
      <c r="D18131" s="183" t="s">
        <v>10337</v>
      </c>
      <c r="E18131" s="126">
        <v>700</v>
      </c>
      <c r="F18131" s="126"/>
      <c r="G18131" s="126">
        <f t="shared" si="292"/>
        <v>-700</v>
      </c>
      <c r="H18131" s="705" t="s">
        <v>12047</v>
      </c>
    </row>
    <row r="18132" spans="1:8" ht="15" customHeight="1" x14ac:dyDescent="0.2">
      <c r="A18132" s="734">
        <v>45295</v>
      </c>
      <c r="B18132" s="63" t="s">
        <v>11089</v>
      </c>
      <c r="C18132" s="63" t="s">
        <v>5741</v>
      </c>
      <c r="D18132" s="183" t="s">
        <v>370</v>
      </c>
      <c r="E18132" s="126">
        <v>700</v>
      </c>
      <c r="F18132" s="126"/>
      <c r="G18132" s="126">
        <f t="shared" si="292"/>
        <v>-700</v>
      </c>
      <c r="H18132" s="705" t="s">
        <v>12047</v>
      </c>
    </row>
    <row r="18133" spans="1:8" ht="14.25" customHeight="1" x14ac:dyDescent="0.2">
      <c r="A18133" s="734">
        <v>45295</v>
      </c>
      <c r="B18133" s="63" t="s">
        <v>11446</v>
      </c>
      <c r="C18133" s="63" t="s">
        <v>10993</v>
      </c>
      <c r="D18133" s="183" t="s">
        <v>12115</v>
      </c>
      <c r="E18133" s="126">
        <v>15000</v>
      </c>
      <c r="F18133" s="126"/>
      <c r="G18133" s="126">
        <f t="shared" si="292"/>
        <v>-15000</v>
      </c>
      <c r="H18133" s="705" t="s">
        <v>12047</v>
      </c>
    </row>
    <row r="18134" spans="1:8" ht="15" x14ac:dyDescent="0.2">
      <c r="A18134" s="734">
        <v>45296</v>
      </c>
      <c r="B18134" s="63" t="s">
        <v>3946</v>
      </c>
      <c r="C18134" s="63" t="s">
        <v>12117</v>
      </c>
      <c r="D18134" s="183" t="s">
        <v>12118</v>
      </c>
      <c r="E18134" s="126">
        <v>75000</v>
      </c>
      <c r="F18134" s="126"/>
      <c r="G18134" s="126">
        <f t="shared" ref="G18134:G18170" si="293">F18134-E18134</f>
        <v>-75000</v>
      </c>
      <c r="H18134" s="705" t="s">
        <v>12047</v>
      </c>
    </row>
    <row r="18135" spans="1:8" ht="15" x14ac:dyDescent="0.2">
      <c r="A18135" s="734">
        <v>45296</v>
      </c>
      <c r="B18135" s="63" t="s">
        <v>103</v>
      </c>
      <c r="C18135" s="63" t="s">
        <v>103</v>
      </c>
      <c r="D18135" s="183" t="s">
        <v>8158</v>
      </c>
      <c r="E18135" s="126">
        <v>4000</v>
      </c>
      <c r="F18135" s="126"/>
      <c r="G18135" s="126">
        <f t="shared" si="293"/>
        <v>-4000</v>
      </c>
      <c r="H18135" s="705" t="s">
        <v>12047</v>
      </c>
    </row>
    <row r="18136" spans="1:8" ht="15" x14ac:dyDescent="0.2">
      <c r="A18136" s="734">
        <v>45296</v>
      </c>
      <c r="B18136" s="63" t="s">
        <v>103</v>
      </c>
      <c r="C18136" s="63" t="s">
        <v>103</v>
      </c>
      <c r="D18136" s="183" t="s">
        <v>12119</v>
      </c>
      <c r="E18136" s="126">
        <v>1800</v>
      </c>
      <c r="F18136" s="126"/>
      <c r="G18136" s="126">
        <f t="shared" si="293"/>
        <v>-1800</v>
      </c>
      <c r="H18136" s="705" t="s">
        <v>12047</v>
      </c>
    </row>
    <row r="18137" spans="1:8" ht="15" x14ac:dyDescent="0.2">
      <c r="A18137" s="734">
        <v>45296</v>
      </c>
      <c r="B18137" s="63" t="s">
        <v>11897</v>
      </c>
      <c r="C18137" s="63" t="s">
        <v>8372</v>
      </c>
      <c r="D18137" s="183" t="s">
        <v>370</v>
      </c>
      <c r="E18137" s="126">
        <v>2700</v>
      </c>
      <c r="F18137" s="126"/>
      <c r="G18137" s="126">
        <f t="shared" si="293"/>
        <v>-2700</v>
      </c>
      <c r="H18137" s="705" t="s">
        <v>12047</v>
      </c>
    </row>
    <row r="18138" spans="1:8" ht="15" x14ac:dyDescent="0.2">
      <c r="A18138" s="734">
        <v>45296</v>
      </c>
      <c r="B18138" s="63" t="s">
        <v>11897</v>
      </c>
      <c r="C18138" s="63" t="s">
        <v>1063</v>
      </c>
      <c r="D18138" s="183" t="s">
        <v>12124</v>
      </c>
      <c r="E18138" s="126">
        <v>13000</v>
      </c>
      <c r="F18138" s="126"/>
      <c r="G18138" s="126">
        <f t="shared" si="293"/>
        <v>-13000</v>
      </c>
      <c r="H18138" s="705" t="s">
        <v>12047</v>
      </c>
    </row>
    <row r="18139" spans="1:8" ht="15" x14ac:dyDescent="0.2">
      <c r="A18139" s="734">
        <v>45297</v>
      </c>
      <c r="B18139" s="41" t="s">
        <v>6505</v>
      </c>
      <c r="C18139" s="63" t="s">
        <v>12016</v>
      </c>
      <c r="D18139" s="183" t="s">
        <v>12036</v>
      </c>
      <c r="E18139" s="126">
        <v>50000</v>
      </c>
      <c r="F18139" s="126"/>
      <c r="G18139" s="126">
        <f t="shared" si="293"/>
        <v>-50000</v>
      </c>
      <c r="H18139" s="705" t="s">
        <v>12047</v>
      </c>
    </row>
    <row r="18140" spans="1:8" ht="24" x14ac:dyDescent="0.2">
      <c r="A18140" s="734">
        <v>45297</v>
      </c>
      <c r="B18140" s="63" t="s">
        <v>10471</v>
      </c>
      <c r="C18140" s="63" t="s">
        <v>11633</v>
      </c>
      <c r="D18140" s="183" t="s">
        <v>12125</v>
      </c>
      <c r="E18140" s="126">
        <v>200000</v>
      </c>
      <c r="F18140" s="126"/>
      <c r="G18140" s="126">
        <f t="shared" si="293"/>
        <v>-200000</v>
      </c>
      <c r="H18140" s="705" t="s">
        <v>12047</v>
      </c>
    </row>
    <row r="18141" spans="1:8" ht="15" x14ac:dyDescent="0.2">
      <c r="A18141" s="734">
        <v>45296</v>
      </c>
      <c r="B18141" s="63" t="s">
        <v>11446</v>
      </c>
      <c r="C18141" s="63" t="s">
        <v>10993</v>
      </c>
      <c r="D18141" s="183" t="s">
        <v>12126</v>
      </c>
      <c r="E18141" s="126">
        <v>14000</v>
      </c>
      <c r="F18141" s="126"/>
      <c r="G18141" s="126">
        <f t="shared" si="293"/>
        <v>-14000</v>
      </c>
      <c r="H18141" s="705" t="s">
        <v>12047</v>
      </c>
    </row>
    <row r="18142" spans="1:8" ht="48" x14ac:dyDescent="0.2">
      <c r="A18142" s="734">
        <v>45296</v>
      </c>
      <c r="B18142" s="63" t="s">
        <v>11446</v>
      </c>
      <c r="C18142" s="63" t="s">
        <v>12128</v>
      </c>
      <c r="D18142" s="183" t="s">
        <v>12129</v>
      </c>
      <c r="E18142" s="126">
        <v>3600000</v>
      </c>
      <c r="F18142" s="126"/>
      <c r="G18142" s="126">
        <f t="shared" si="293"/>
        <v>-3600000</v>
      </c>
      <c r="H18142" s="705" t="s">
        <v>12047</v>
      </c>
    </row>
    <row r="18143" spans="1:8" ht="15" x14ac:dyDescent="0.2">
      <c r="A18143" s="734">
        <v>45297</v>
      </c>
      <c r="B18143" s="63" t="s">
        <v>10908</v>
      </c>
      <c r="C18143" s="63" t="s">
        <v>2190</v>
      </c>
      <c r="D18143" s="183" t="s">
        <v>12127</v>
      </c>
      <c r="E18143" s="126">
        <v>15000</v>
      </c>
      <c r="F18143" s="126"/>
      <c r="G18143" s="126">
        <f t="shared" si="293"/>
        <v>-15000</v>
      </c>
      <c r="H18143" s="705" t="s">
        <v>12047</v>
      </c>
    </row>
    <row r="18144" spans="1:8" ht="15" x14ac:dyDescent="0.2">
      <c r="A18144" s="734">
        <v>45297</v>
      </c>
      <c r="B18144" s="63" t="s">
        <v>11897</v>
      </c>
      <c r="C18144" s="63" t="s">
        <v>5741</v>
      </c>
      <c r="D18144" s="183" t="s">
        <v>370</v>
      </c>
      <c r="E18144" s="126">
        <v>1700</v>
      </c>
      <c r="F18144" s="126"/>
      <c r="G18144" s="126">
        <f t="shared" si="293"/>
        <v>-1700</v>
      </c>
      <c r="H18144" s="705" t="s">
        <v>12047</v>
      </c>
    </row>
    <row r="18145" spans="1:8" ht="15" x14ac:dyDescent="0.2">
      <c r="A18145" s="734">
        <v>45297</v>
      </c>
      <c r="B18145" s="63" t="s">
        <v>10908</v>
      </c>
      <c r="C18145" s="63" t="s">
        <v>5741</v>
      </c>
      <c r="D18145" s="183" t="s">
        <v>10337</v>
      </c>
      <c r="E18145" s="126">
        <v>400</v>
      </c>
      <c r="F18145" s="126"/>
      <c r="G18145" s="126">
        <f t="shared" si="293"/>
        <v>-400</v>
      </c>
      <c r="H18145" s="705" t="s">
        <v>12047</v>
      </c>
    </row>
    <row r="18146" spans="1:8" ht="15" x14ac:dyDescent="0.2">
      <c r="A18146" s="734">
        <v>45297</v>
      </c>
      <c r="B18146" s="63" t="s">
        <v>12624</v>
      </c>
      <c r="C18146" s="63" t="s">
        <v>10993</v>
      </c>
      <c r="D18146" s="183" t="s">
        <v>12131</v>
      </c>
      <c r="E18146" s="126">
        <v>10300</v>
      </c>
      <c r="F18146" s="126"/>
      <c r="G18146" s="126">
        <f t="shared" si="293"/>
        <v>-10300</v>
      </c>
      <c r="H18146" s="705" t="s">
        <v>12047</v>
      </c>
    </row>
    <row r="18147" spans="1:8" ht="15" x14ac:dyDescent="0.2">
      <c r="A18147" s="734">
        <v>45297</v>
      </c>
      <c r="B18147" s="63" t="s">
        <v>11635</v>
      </c>
      <c r="C18147" s="63" t="s">
        <v>392</v>
      </c>
      <c r="D18147" s="183" t="s">
        <v>12132</v>
      </c>
      <c r="E18147" s="126">
        <v>150</v>
      </c>
      <c r="F18147" s="126"/>
      <c r="G18147" s="126">
        <f t="shared" si="293"/>
        <v>-150</v>
      </c>
      <c r="H18147" s="705" t="s">
        <v>12047</v>
      </c>
    </row>
    <row r="18148" spans="1:8" ht="15" x14ac:dyDescent="0.2">
      <c r="A18148" s="734">
        <v>45297</v>
      </c>
      <c r="B18148" s="63" t="s">
        <v>10908</v>
      </c>
      <c r="C18148" s="63" t="s">
        <v>10993</v>
      </c>
      <c r="D18148" s="183" t="s">
        <v>12133</v>
      </c>
      <c r="E18148" s="126">
        <v>2000</v>
      </c>
      <c r="F18148" s="126"/>
      <c r="G18148" s="126">
        <f t="shared" si="293"/>
        <v>-2000</v>
      </c>
      <c r="H18148" s="705" t="s">
        <v>12047</v>
      </c>
    </row>
    <row r="18149" spans="1:8" ht="15" x14ac:dyDescent="0.2">
      <c r="A18149" s="734">
        <v>45297</v>
      </c>
      <c r="B18149" s="63" t="s">
        <v>11897</v>
      </c>
      <c r="C18149" s="63" t="s">
        <v>5741</v>
      </c>
      <c r="D18149" s="183" t="s">
        <v>12134</v>
      </c>
      <c r="E18149" s="126">
        <v>500</v>
      </c>
      <c r="F18149" s="126"/>
      <c r="G18149" s="126">
        <f t="shared" si="293"/>
        <v>-500</v>
      </c>
      <c r="H18149" s="705" t="s">
        <v>12047</v>
      </c>
    </row>
    <row r="18150" spans="1:8" ht="15" x14ac:dyDescent="0.2">
      <c r="A18150" s="734">
        <v>45299</v>
      </c>
      <c r="B18150" s="63" t="s">
        <v>12624</v>
      </c>
      <c r="C18150" s="63" t="s">
        <v>10993</v>
      </c>
      <c r="D18150" s="183" t="s">
        <v>12151</v>
      </c>
      <c r="E18150" s="126">
        <v>1500</v>
      </c>
      <c r="F18150" s="126"/>
      <c r="G18150" s="126">
        <f t="shared" si="293"/>
        <v>-1500</v>
      </c>
      <c r="H18150" s="705" t="s">
        <v>12047</v>
      </c>
    </row>
    <row r="18151" spans="1:8" ht="15" x14ac:dyDescent="0.2">
      <c r="A18151" s="734">
        <v>45299</v>
      </c>
      <c r="B18151" s="63" t="s">
        <v>11089</v>
      </c>
      <c r="C18151" s="63" t="s">
        <v>5741</v>
      </c>
      <c r="D18151" s="183" t="s">
        <v>12152</v>
      </c>
      <c r="E18151" s="126">
        <v>5000</v>
      </c>
      <c r="F18151" s="126"/>
      <c r="G18151" s="126">
        <f t="shared" si="293"/>
        <v>-5000</v>
      </c>
      <c r="H18151" s="705" t="s">
        <v>12047</v>
      </c>
    </row>
    <row r="18152" spans="1:8" ht="15" x14ac:dyDescent="0.2">
      <c r="A18152" s="734">
        <v>45299</v>
      </c>
      <c r="B18152" s="63" t="s">
        <v>11089</v>
      </c>
      <c r="C18152" s="63" t="s">
        <v>286</v>
      </c>
      <c r="D18152" s="183" t="s">
        <v>12158</v>
      </c>
      <c r="E18152" s="126">
        <v>7000</v>
      </c>
      <c r="F18152" s="126"/>
      <c r="G18152" s="126">
        <f t="shared" si="293"/>
        <v>-7000</v>
      </c>
      <c r="H18152" s="705" t="s">
        <v>12047</v>
      </c>
    </row>
    <row r="18153" spans="1:8" ht="15" x14ac:dyDescent="0.2">
      <c r="A18153" s="734">
        <v>45299</v>
      </c>
      <c r="B18153" s="63" t="s">
        <v>11089</v>
      </c>
      <c r="C18153" s="63" t="s">
        <v>10993</v>
      </c>
      <c r="D18153" s="183" t="s">
        <v>9917</v>
      </c>
      <c r="E18153" s="126">
        <v>29500</v>
      </c>
      <c r="F18153" s="126"/>
      <c r="G18153" s="126">
        <f t="shared" si="293"/>
        <v>-29500</v>
      </c>
      <c r="H18153" s="705" t="s">
        <v>12047</v>
      </c>
    </row>
    <row r="18154" spans="1:8" ht="15" x14ac:dyDescent="0.2">
      <c r="A18154" s="734">
        <v>45299</v>
      </c>
      <c r="B18154" s="63" t="s">
        <v>11089</v>
      </c>
      <c r="C18154" s="63" t="s">
        <v>392</v>
      </c>
      <c r="D18154" s="183" t="s">
        <v>12159</v>
      </c>
      <c r="E18154" s="126">
        <v>10000</v>
      </c>
      <c r="F18154" s="126"/>
      <c r="G18154" s="126">
        <f t="shared" si="293"/>
        <v>-10000</v>
      </c>
      <c r="H18154" s="705" t="s">
        <v>12047</v>
      </c>
    </row>
    <row r="18155" spans="1:8" ht="15" x14ac:dyDescent="0.2">
      <c r="A18155" s="734">
        <v>45299</v>
      </c>
      <c r="B18155" s="63" t="s">
        <v>11089</v>
      </c>
      <c r="C18155" s="63" t="s">
        <v>12238</v>
      </c>
      <c r="D18155" s="183" t="s">
        <v>12236</v>
      </c>
      <c r="E18155" s="126">
        <v>10000</v>
      </c>
      <c r="F18155" s="126"/>
      <c r="G18155" s="126">
        <f t="shared" si="293"/>
        <v>-10000</v>
      </c>
      <c r="H18155" s="705" t="s">
        <v>12047</v>
      </c>
    </row>
    <row r="18156" spans="1:8" ht="15" x14ac:dyDescent="0.2">
      <c r="A18156" s="734">
        <v>45299</v>
      </c>
      <c r="B18156" s="63" t="s">
        <v>103</v>
      </c>
      <c r="C18156" s="63" t="s">
        <v>392</v>
      </c>
      <c r="D18156" s="183" t="s">
        <v>12237</v>
      </c>
      <c r="E18156" s="126">
        <v>5000</v>
      </c>
      <c r="F18156" s="126"/>
      <c r="G18156" s="126">
        <f t="shared" si="293"/>
        <v>-5000</v>
      </c>
      <c r="H18156" s="705" t="s">
        <v>12047</v>
      </c>
    </row>
    <row r="18157" spans="1:8" ht="15" x14ac:dyDescent="0.2">
      <c r="A18157" s="734">
        <v>45300</v>
      </c>
      <c r="B18157" s="63" t="s">
        <v>11089</v>
      </c>
      <c r="C18157" s="63" t="s">
        <v>7949</v>
      </c>
      <c r="D18157" s="183" t="s">
        <v>12160</v>
      </c>
      <c r="E18157" s="126">
        <v>40000</v>
      </c>
      <c r="F18157" s="126"/>
      <c r="G18157" s="126">
        <f t="shared" si="293"/>
        <v>-40000</v>
      </c>
      <c r="H18157" s="705" t="s">
        <v>12047</v>
      </c>
    </row>
    <row r="18158" spans="1:8" ht="15" x14ac:dyDescent="0.2">
      <c r="A18158" s="734">
        <v>45300</v>
      </c>
      <c r="B18158" s="63" t="s">
        <v>10296</v>
      </c>
      <c r="C18158" s="566" t="s">
        <v>8394</v>
      </c>
      <c r="D18158" s="875" t="s">
        <v>12311</v>
      </c>
      <c r="E18158" s="567">
        <v>25780</v>
      </c>
      <c r="F18158" s="126"/>
      <c r="G18158" s="126">
        <f t="shared" si="293"/>
        <v>-25780</v>
      </c>
      <c r="H18158" s="705" t="s">
        <v>12047</v>
      </c>
    </row>
    <row r="18159" spans="1:8" ht="15" x14ac:dyDescent="0.2">
      <c r="A18159" s="734">
        <v>45300</v>
      </c>
      <c r="B18159" s="63" t="s">
        <v>10232</v>
      </c>
      <c r="C18159" s="566" t="s">
        <v>8394</v>
      </c>
      <c r="D18159" s="875" t="s">
        <v>12311</v>
      </c>
      <c r="E18159" s="567">
        <v>10470</v>
      </c>
      <c r="F18159" s="126"/>
      <c r="G18159" s="126">
        <f t="shared" ref="G18159:G18168" si="294">F18159-E18159</f>
        <v>-10470</v>
      </c>
      <c r="H18159" s="705" t="s">
        <v>12047</v>
      </c>
    </row>
    <row r="18160" spans="1:8" ht="15" x14ac:dyDescent="0.2">
      <c r="A18160" s="734">
        <v>45300</v>
      </c>
      <c r="B18160" s="63" t="s">
        <v>10576</v>
      </c>
      <c r="C18160" s="566" t="s">
        <v>8394</v>
      </c>
      <c r="D18160" s="875" t="s">
        <v>12311</v>
      </c>
      <c r="E18160" s="567">
        <v>1347</v>
      </c>
      <c r="F18160" s="126"/>
      <c r="G18160" s="126">
        <f t="shared" si="294"/>
        <v>-1347</v>
      </c>
      <c r="H18160" s="705" t="s">
        <v>12047</v>
      </c>
    </row>
    <row r="18161" spans="1:8" ht="15" x14ac:dyDescent="0.2">
      <c r="A18161" s="734">
        <v>45300</v>
      </c>
      <c r="B18161" s="63" t="s">
        <v>10909</v>
      </c>
      <c r="C18161" s="566" t="s">
        <v>8394</v>
      </c>
      <c r="D18161" s="875" t="s">
        <v>12311</v>
      </c>
      <c r="E18161" s="567">
        <v>187415</v>
      </c>
      <c r="F18161" s="126"/>
      <c r="G18161" s="126">
        <f t="shared" si="294"/>
        <v>-187415</v>
      </c>
      <c r="H18161" s="705" t="s">
        <v>12047</v>
      </c>
    </row>
    <row r="18162" spans="1:8" ht="15" x14ac:dyDescent="0.2">
      <c r="A18162" s="734">
        <v>45300</v>
      </c>
      <c r="B18162" s="63" t="s">
        <v>11007</v>
      </c>
      <c r="C18162" s="566" t="s">
        <v>8394</v>
      </c>
      <c r="D18162" s="875" t="s">
        <v>12311</v>
      </c>
      <c r="E18162" s="567">
        <v>4390</v>
      </c>
      <c r="F18162" s="126"/>
      <c r="G18162" s="126">
        <f t="shared" si="294"/>
        <v>-4390</v>
      </c>
      <c r="H18162" s="705" t="s">
        <v>12047</v>
      </c>
    </row>
    <row r="18163" spans="1:8" ht="15" x14ac:dyDescent="0.2">
      <c r="A18163" s="734">
        <v>45300</v>
      </c>
      <c r="B18163" s="63" t="s">
        <v>11075</v>
      </c>
      <c r="C18163" s="566" t="s">
        <v>8394</v>
      </c>
      <c r="D18163" s="875" t="s">
        <v>12311</v>
      </c>
      <c r="E18163" s="567">
        <v>75122</v>
      </c>
      <c r="F18163" s="126"/>
      <c r="G18163" s="126">
        <f t="shared" si="294"/>
        <v>-75122</v>
      </c>
      <c r="H18163" s="705" t="s">
        <v>12047</v>
      </c>
    </row>
    <row r="18164" spans="1:8" ht="15" x14ac:dyDescent="0.2">
      <c r="A18164" s="734">
        <v>45300</v>
      </c>
      <c r="B18164" s="63" t="s">
        <v>11446</v>
      </c>
      <c r="C18164" s="566" t="s">
        <v>8394</v>
      </c>
      <c r="D18164" s="875" t="s">
        <v>12311</v>
      </c>
      <c r="E18164" s="567">
        <v>130168</v>
      </c>
      <c r="F18164" s="126"/>
      <c r="G18164" s="126">
        <f t="shared" si="294"/>
        <v>-130168</v>
      </c>
      <c r="H18164" s="705" t="s">
        <v>12047</v>
      </c>
    </row>
    <row r="18165" spans="1:8" ht="15" x14ac:dyDescent="0.2">
      <c r="A18165" s="734">
        <v>45300</v>
      </c>
      <c r="B18165" s="63" t="s">
        <v>11271</v>
      </c>
      <c r="C18165" s="566" t="s">
        <v>8394</v>
      </c>
      <c r="D18165" s="875" t="s">
        <v>12311</v>
      </c>
      <c r="E18165" s="567">
        <v>13416</v>
      </c>
      <c r="F18165" s="126"/>
      <c r="G18165" s="126">
        <f t="shared" si="294"/>
        <v>-13416</v>
      </c>
      <c r="H18165" s="705" t="s">
        <v>12047</v>
      </c>
    </row>
    <row r="18166" spans="1:8" ht="15" x14ac:dyDescent="0.2">
      <c r="A18166" s="734">
        <v>45300</v>
      </c>
      <c r="B18166" s="63" t="s">
        <v>11716</v>
      </c>
      <c r="C18166" s="566" t="s">
        <v>8394</v>
      </c>
      <c r="D18166" s="875" t="s">
        <v>12311</v>
      </c>
      <c r="E18166" s="567">
        <v>56173</v>
      </c>
      <c r="F18166" s="126"/>
      <c r="G18166" s="126">
        <f t="shared" si="294"/>
        <v>-56173</v>
      </c>
      <c r="H18166" s="705" t="s">
        <v>12047</v>
      </c>
    </row>
    <row r="18167" spans="1:8" ht="15" x14ac:dyDescent="0.2">
      <c r="A18167" s="734">
        <v>45300</v>
      </c>
      <c r="B18167" s="63" t="s">
        <v>11511</v>
      </c>
      <c r="C18167" s="566" t="s">
        <v>8394</v>
      </c>
      <c r="D18167" s="875" t="s">
        <v>12311</v>
      </c>
      <c r="E18167" s="567">
        <v>73043</v>
      </c>
      <c r="F18167" s="126"/>
      <c r="G18167" s="126">
        <f t="shared" si="294"/>
        <v>-73043</v>
      </c>
      <c r="H18167" s="705" t="s">
        <v>12047</v>
      </c>
    </row>
    <row r="18168" spans="1:8" ht="15" x14ac:dyDescent="0.2">
      <c r="A18168" s="734">
        <v>45300</v>
      </c>
      <c r="B18168" s="63" t="s">
        <v>11617</v>
      </c>
      <c r="C18168" s="566" t="s">
        <v>8394</v>
      </c>
      <c r="D18168" s="875" t="s">
        <v>12311</v>
      </c>
      <c r="E18168" s="567">
        <v>322676</v>
      </c>
      <c r="F18168" s="126"/>
      <c r="G18168" s="126">
        <f t="shared" si="294"/>
        <v>-322676</v>
      </c>
      <c r="H18168" s="705" t="s">
        <v>12047</v>
      </c>
    </row>
    <row r="18169" spans="1:8" ht="15" x14ac:dyDescent="0.2">
      <c r="A18169" s="734">
        <v>45300</v>
      </c>
      <c r="B18169" s="63" t="s">
        <v>11897</v>
      </c>
      <c r="C18169" s="63" t="s">
        <v>11291</v>
      </c>
      <c r="D18169" s="183" t="s">
        <v>12036</v>
      </c>
      <c r="E18169" s="126">
        <v>275000</v>
      </c>
      <c r="F18169" s="126"/>
      <c r="G18169" s="126">
        <f t="shared" si="293"/>
        <v>-275000</v>
      </c>
      <c r="H18169" s="705" t="s">
        <v>12047</v>
      </c>
    </row>
    <row r="18170" spans="1:8" ht="15" x14ac:dyDescent="0.2">
      <c r="A18170" s="734">
        <v>45300</v>
      </c>
      <c r="B18170" s="63" t="s">
        <v>11089</v>
      </c>
      <c r="C18170" s="63" t="s">
        <v>5741</v>
      </c>
      <c r="D18170" s="183" t="s">
        <v>370</v>
      </c>
      <c r="E18170" s="126">
        <v>240</v>
      </c>
      <c r="F18170" s="126"/>
      <c r="G18170" s="126">
        <f t="shared" si="293"/>
        <v>-240</v>
      </c>
      <c r="H18170" s="705" t="s">
        <v>12047</v>
      </c>
    </row>
    <row r="18171" spans="1:8" ht="15" x14ac:dyDescent="0.2">
      <c r="A18171" s="734">
        <v>45300</v>
      </c>
      <c r="B18171" s="63" t="s">
        <v>11089</v>
      </c>
      <c r="C18171" s="63" t="s">
        <v>11975</v>
      </c>
      <c r="D18171" s="183" t="s">
        <v>12153</v>
      </c>
      <c r="E18171" s="126">
        <v>20000</v>
      </c>
      <c r="F18171" s="126"/>
      <c r="G18171" s="126">
        <f t="shared" ref="G18171:G18203" si="295">F18171-E18171</f>
        <v>-20000</v>
      </c>
      <c r="H18171" s="705" t="s">
        <v>12047</v>
      </c>
    </row>
    <row r="18172" spans="1:8" ht="15" x14ac:dyDescent="0.2">
      <c r="A18172" s="734">
        <v>45300</v>
      </c>
      <c r="B18172" s="63" t="s">
        <v>103</v>
      </c>
      <c r="C18172" s="63" t="s">
        <v>103</v>
      </c>
      <c r="D18172" s="183" t="s">
        <v>8158</v>
      </c>
      <c r="E18172" s="126">
        <v>4000</v>
      </c>
      <c r="F18172" s="126"/>
      <c r="G18172" s="126">
        <f t="shared" si="295"/>
        <v>-4000</v>
      </c>
      <c r="H18172" s="705" t="s">
        <v>12047</v>
      </c>
    </row>
    <row r="18173" spans="1:8" ht="15" x14ac:dyDescent="0.2">
      <c r="A18173" s="734">
        <v>45300</v>
      </c>
      <c r="B18173" s="63" t="s">
        <v>3946</v>
      </c>
      <c r="C18173" s="63" t="s">
        <v>5410</v>
      </c>
      <c r="D18173" s="183" t="s">
        <v>12154</v>
      </c>
      <c r="E18173" s="126">
        <v>20000</v>
      </c>
      <c r="F18173" s="126"/>
      <c r="G18173" s="126">
        <f t="shared" si="295"/>
        <v>-20000</v>
      </c>
      <c r="H18173" s="705" t="s">
        <v>12047</v>
      </c>
    </row>
    <row r="18174" spans="1:8" ht="15" x14ac:dyDescent="0.2">
      <c r="A18174" s="734">
        <v>45300</v>
      </c>
      <c r="B18174" s="63" t="s">
        <v>11738</v>
      </c>
      <c r="C18174" s="63" t="s">
        <v>12155</v>
      </c>
      <c r="D18174" s="183" t="s">
        <v>12156</v>
      </c>
      <c r="E18174" s="126">
        <v>15100</v>
      </c>
      <c r="F18174" s="126"/>
      <c r="G18174" s="126">
        <f t="shared" si="295"/>
        <v>-15100</v>
      </c>
      <c r="H18174" s="705" t="s">
        <v>12047</v>
      </c>
    </row>
    <row r="18175" spans="1:8" ht="15" x14ac:dyDescent="0.2">
      <c r="A18175" s="734">
        <v>45300</v>
      </c>
      <c r="B18175" s="63" t="s">
        <v>11093</v>
      </c>
      <c r="C18175" s="63" t="s">
        <v>392</v>
      </c>
      <c r="D18175" s="183" t="s">
        <v>12162</v>
      </c>
      <c r="E18175" s="126">
        <v>600</v>
      </c>
      <c r="F18175" s="126"/>
      <c r="G18175" s="126">
        <f t="shared" si="295"/>
        <v>-600</v>
      </c>
      <c r="H18175" s="705" t="s">
        <v>12047</v>
      </c>
    </row>
    <row r="18176" spans="1:8" ht="15" x14ac:dyDescent="0.2">
      <c r="A18176" s="734">
        <v>45300</v>
      </c>
      <c r="B18176" s="63" t="s">
        <v>11897</v>
      </c>
      <c r="C18176" s="63" t="s">
        <v>5410</v>
      </c>
      <c r="D18176" s="183" t="s">
        <v>2655</v>
      </c>
      <c r="E18176" s="126">
        <v>5000</v>
      </c>
      <c r="F18176" s="126"/>
      <c r="G18176" s="126">
        <f t="shared" si="295"/>
        <v>-5000</v>
      </c>
      <c r="H18176" s="705" t="s">
        <v>12047</v>
      </c>
    </row>
    <row r="18177" spans="1:8" ht="15" x14ac:dyDescent="0.2">
      <c r="A18177" s="734">
        <v>45301</v>
      </c>
      <c r="B18177" s="63" t="s">
        <v>11897</v>
      </c>
      <c r="C18177" s="63" t="s">
        <v>5387</v>
      </c>
      <c r="D18177" s="183" t="s">
        <v>10764</v>
      </c>
      <c r="E18177" s="126">
        <v>7000</v>
      </c>
      <c r="F18177" s="126"/>
      <c r="G18177" s="126">
        <f t="shared" si="295"/>
        <v>-7000</v>
      </c>
      <c r="H18177" s="705" t="s">
        <v>12047</v>
      </c>
    </row>
    <row r="18178" spans="1:8" ht="15" x14ac:dyDescent="0.2">
      <c r="A18178" s="734">
        <v>45302</v>
      </c>
      <c r="B18178" s="63" t="s">
        <v>12207</v>
      </c>
      <c r="C18178" s="63" t="s">
        <v>11428</v>
      </c>
      <c r="D18178" s="183" t="s">
        <v>12163</v>
      </c>
      <c r="E18178" s="126">
        <v>94000</v>
      </c>
      <c r="F18178" s="126"/>
      <c r="G18178" s="126">
        <f t="shared" si="295"/>
        <v>-94000</v>
      </c>
      <c r="H18178" s="705" t="s">
        <v>12047</v>
      </c>
    </row>
    <row r="18179" spans="1:8" ht="15" x14ac:dyDescent="0.2">
      <c r="A18179" s="734">
        <v>45302</v>
      </c>
      <c r="B18179" s="63" t="s">
        <v>11897</v>
      </c>
      <c r="C18179" s="63" t="s">
        <v>10993</v>
      </c>
      <c r="D18179" s="183" t="s">
        <v>12164</v>
      </c>
      <c r="E18179" s="126">
        <v>85000</v>
      </c>
      <c r="F18179" s="126"/>
      <c r="G18179" s="126">
        <f t="shared" si="295"/>
        <v>-85000</v>
      </c>
      <c r="H18179" s="705" t="s">
        <v>12047</v>
      </c>
    </row>
    <row r="18180" spans="1:8" ht="15" x14ac:dyDescent="0.2">
      <c r="A18180" s="734">
        <v>45302</v>
      </c>
      <c r="B18180" s="63" t="s">
        <v>11897</v>
      </c>
      <c r="C18180" s="63" t="s">
        <v>12027</v>
      </c>
      <c r="D18180" s="183" t="s">
        <v>12165</v>
      </c>
      <c r="E18180" s="126">
        <v>306300</v>
      </c>
      <c r="F18180" s="126"/>
      <c r="G18180" s="126">
        <f t="shared" si="295"/>
        <v>-306300</v>
      </c>
      <c r="H18180" s="705" t="s">
        <v>12047</v>
      </c>
    </row>
    <row r="18181" spans="1:8" ht="15" x14ac:dyDescent="0.2">
      <c r="A18181" s="734">
        <v>45302</v>
      </c>
      <c r="B18181" s="63" t="s">
        <v>10908</v>
      </c>
      <c r="C18181" s="670" t="s">
        <v>12010</v>
      </c>
      <c r="D18181" s="907" t="s">
        <v>12166</v>
      </c>
      <c r="E18181" s="672">
        <v>14100</v>
      </c>
      <c r="F18181" s="126"/>
      <c r="G18181" s="126">
        <f t="shared" si="295"/>
        <v>-14100</v>
      </c>
      <c r="H18181" s="705" t="s">
        <v>12047</v>
      </c>
    </row>
    <row r="18182" spans="1:8" ht="15" x14ac:dyDescent="0.2">
      <c r="A18182" s="734">
        <v>45302</v>
      </c>
      <c r="B18182" s="63" t="s">
        <v>11089</v>
      </c>
      <c r="C18182" s="670" t="s">
        <v>12010</v>
      </c>
      <c r="D18182" s="907" t="s">
        <v>12166</v>
      </c>
      <c r="E18182" s="672">
        <v>65000</v>
      </c>
      <c r="F18182" s="126"/>
      <c r="G18182" s="126">
        <f t="shared" si="295"/>
        <v>-65000</v>
      </c>
      <c r="H18182" s="705" t="s">
        <v>12047</v>
      </c>
    </row>
    <row r="18183" spans="1:8" ht="15" x14ac:dyDescent="0.2">
      <c r="A18183" s="734">
        <v>45302</v>
      </c>
      <c r="B18183" s="63" t="s">
        <v>11897</v>
      </c>
      <c r="C18183" s="670" t="s">
        <v>12010</v>
      </c>
      <c r="D18183" s="907" t="s">
        <v>12166</v>
      </c>
      <c r="E18183" s="672">
        <v>128080</v>
      </c>
      <c r="F18183" s="126"/>
      <c r="G18183" s="126">
        <f t="shared" si="295"/>
        <v>-128080</v>
      </c>
      <c r="H18183" s="705" t="s">
        <v>12047</v>
      </c>
    </row>
    <row r="18184" spans="1:8" ht="15" x14ac:dyDescent="0.2">
      <c r="A18184" s="734">
        <v>45303</v>
      </c>
      <c r="B18184" s="63" t="s">
        <v>11089</v>
      </c>
      <c r="C18184" s="63" t="s">
        <v>10484</v>
      </c>
      <c r="D18184" s="183" t="s">
        <v>12175</v>
      </c>
      <c r="E18184" s="126">
        <v>700000</v>
      </c>
      <c r="F18184" s="126"/>
      <c r="G18184" s="126">
        <f t="shared" si="295"/>
        <v>-700000</v>
      </c>
      <c r="H18184" s="705" t="s">
        <v>12047</v>
      </c>
    </row>
    <row r="18185" spans="1:8" ht="15" x14ac:dyDescent="0.2">
      <c r="A18185" s="734">
        <v>45306</v>
      </c>
      <c r="B18185" s="63" t="s">
        <v>11089</v>
      </c>
      <c r="C18185" s="63" t="s">
        <v>11975</v>
      </c>
      <c r="D18185" s="183" t="s">
        <v>12167</v>
      </c>
      <c r="E18185" s="126">
        <v>40000</v>
      </c>
      <c r="F18185" s="126"/>
      <c r="G18185" s="126">
        <f t="shared" si="295"/>
        <v>-40000</v>
      </c>
      <c r="H18185" s="705" t="s">
        <v>12047</v>
      </c>
    </row>
    <row r="18186" spans="1:8" ht="15" x14ac:dyDescent="0.2">
      <c r="A18186" s="734">
        <v>45301</v>
      </c>
      <c r="B18186" s="63" t="s">
        <v>103</v>
      </c>
      <c r="C18186" s="63" t="s">
        <v>392</v>
      </c>
      <c r="D18186" s="183" t="s">
        <v>12168</v>
      </c>
      <c r="E18186" s="126">
        <v>25000</v>
      </c>
      <c r="F18186" s="126"/>
      <c r="G18186" s="126">
        <f t="shared" si="295"/>
        <v>-25000</v>
      </c>
      <c r="H18186" s="705" t="s">
        <v>12047</v>
      </c>
    </row>
    <row r="18187" spans="1:8" ht="15" x14ac:dyDescent="0.2">
      <c r="A18187" s="734">
        <v>45301</v>
      </c>
      <c r="B18187" s="63" t="s">
        <v>11728</v>
      </c>
      <c r="C18187" s="63" t="s">
        <v>11099</v>
      </c>
      <c r="D18187" s="183" t="s">
        <v>7720</v>
      </c>
      <c r="E18187" s="126">
        <v>88000</v>
      </c>
      <c r="F18187" s="126"/>
      <c r="G18187" s="126">
        <f t="shared" si="295"/>
        <v>-88000</v>
      </c>
      <c r="H18187" s="705" t="s">
        <v>12047</v>
      </c>
    </row>
    <row r="18188" spans="1:8" ht="15" x14ac:dyDescent="0.2">
      <c r="A18188" s="734">
        <v>45301</v>
      </c>
      <c r="B18188" s="63" t="s">
        <v>103</v>
      </c>
      <c r="C18188" s="63" t="s">
        <v>103</v>
      </c>
      <c r="D18188" s="183" t="s">
        <v>8513</v>
      </c>
      <c r="E18188" s="126">
        <v>850</v>
      </c>
      <c r="F18188" s="126"/>
      <c r="G18188" s="126">
        <f t="shared" si="295"/>
        <v>-850</v>
      </c>
      <c r="H18188" s="705" t="s">
        <v>12047</v>
      </c>
    </row>
    <row r="18189" spans="1:8" ht="15" x14ac:dyDescent="0.2">
      <c r="A18189" s="734">
        <v>45301</v>
      </c>
      <c r="B18189" s="63" t="s">
        <v>11089</v>
      </c>
      <c r="C18189" s="63" t="s">
        <v>392</v>
      </c>
      <c r="D18189" s="183" t="s">
        <v>12169</v>
      </c>
      <c r="E18189" s="126">
        <v>1000</v>
      </c>
      <c r="F18189" s="126"/>
      <c r="G18189" s="126">
        <f t="shared" si="295"/>
        <v>-1000</v>
      </c>
      <c r="H18189" s="705" t="s">
        <v>12047</v>
      </c>
    </row>
    <row r="18190" spans="1:8" ht="15" x14ac:dyDescent="0.2">
      <c r="A18190" s="734">
        <v>45303</v>
      </c>
      <c r="B18190" s="63" t="s">
        <v>11446</v>
      </c>
      <c r="C18190" s="63" t="s">
        <v>11884</v>
      </c>
      <c r="D18190" s="183" t="s">
        <v>12174</v>
      </c>
      <c r="E18190" s="126">
        <v>80000</v>
      </c>
      <c r="F18190" s="126"/>
      <c r="G18190" s="126">
        <f t="shared" si="295"/>
        <v>-80000</v>
      </c>
      <c r="H18190" s="705" t="s">
        <v>12047</v>
      </c>
    </row>
    <row r="18191" spans="1:8" ht="15" x14ac:dyDescent="0.2">
      <c r="A18191" s="734">
        <v>45303</v>
      </c>
      <c r="B18191" s="63" t="s">
        <v>11635</v>
      </c>
      <c r="C18191" s="63" t="s">
        <v>11884</v>
      </c>
      <c r="D18191" s="183" t="s">
        <v>12174</v>
      </c>
      <c r="E18191" s="126">
        <v>30000</v>
      </c>
      <c r="F18191" s="126"/>
      <c r="G18191" s="126">
        <f t="shared" si="295"/>
        <v>-30000</v>
      </c>
      <c r="H18191" s="705" t="s">
        <v>12047</v>
      </c>
    </row>
    <row r="18192" spans="1:8" ht="15" x14ac:dyDescent="0.2">
      <c r="A18192" s="734">
        <v>45303</v>
      </c>
      <c r="B18192" s="63" t="s">
        <v>9967</v>
      </c>
      <c r="C18192" s="670" t="s">
        <v>1198</v>
      </c>
      <c r="D18192" s="907" t="s">
        <v>12283</v>
      </c>
      <c r="E18192" s="672">
        <v>148537</v>
      </c>
      <c r="F18192" s="126"/>
      <c r="G18192" s="126">
        <f t="shared" si="295"/>
        <v>-148537</v>
      </c>
      <c r="H18192" s="705" t="s">
        <v>12047</v>
      </c>
    </row>
    <row r="18193" spans="1:8" ht="15" x14ac:dyDescent="0.2">
      <c r="A18193" s="734">
        <v>45303</v>
      </c>
      <c r="B18193" s="63" t="s">
        <v>10296</v>
      </c>
      <c r="C18193" s="670" t="s">
        <v>1198</v>
      </c>
      <c r="D18193" s="907" t="s">
        <v>12283</v>
      </c>
      <c r="E18193" s="672">
        <v>8740</v>
      </c>
      <c r="F18193" s="126"/>
      <c r="G18193" s="126">
        <f t="shared" ref="G18193:G18199" si="296">F18193-E18193</f>
        <v>-8740</v>
      </c>
      <c r="H18193" s="705" t="s">
        <v>12047</v>
      </c>
    </row>
    <row r="18194" spans="1:8" ht="15" x14ac:dyDescent="0.2">
      <c r="A18194" s="734">
        <v>45303</v>
      </c>
      <c r="B18194" s="63" t="s">
        <v>10571</v>
      </c>
      <c r="C18194" s="670" t="s">
        <v>1198</v>
      </c>
      <c r="D18194" s="907" t="s">
        <v>12283</v>
      </c>
      <c r="E18194" s="672">
        <v>91300</v>
      </c>
      <c r="F18194" s="126"/>
      <c r="G18194" s="126">
        <f t="shared" si="296"/>
        <v>-91300</v>
      </c>
      <c r="H18194" s="705" t="s">
        <v>12047</v>
      </c>
    </row>
    <row r="18195" spans="1:8" ht="15" x14ac:dyDescent="0.2">
      <c r="A18195" s="734">
        <v>45303</v>
      </c>
      <c r="B18195" s="63" t="s">
        <v>7807</v>
      </c>
      <c r="C18195" s="670" t="s">
        <v>1198</v>
      </c>
      <c r="D18195" s="907" t="s">
        <v>12283</v>
      </c>
      <c r="E18195" s="672">
        <v>10980</v>
      </c>
      <c r="F18195" s="126"/>
      <c r="G18195" s="126">
        <f t="shared" si="296"/>
        <v>-10980</v>
      </c>
      <c r="H18195" s="705" t="s">
        <v>12047</v>
      </c>
    </row>
    <row r="18196" spans="1:8" ht="15" x14ac:dyDescent="0.2">
      <c r="A18196" s="734">
        <v>45303</v>
      </c>
      <c r="B18196" s="63" t="s">
        <v>10379</v>
      </c>
      <c r="C18196" s="670" t="s">
        <v>1198</v>
      </c>
      <c r="D18196" s="907" t="s">
        <v>12283</v>
      </c>
      <c r="E18196" s="672">
        <v>206520</v>
      </c>
      <c r="F18196" s="126"/>
      <c r="G18196" s="126">
        <f t="shared" si="296"/>
        <v>-206520</v>
      </c>
      <c r="H18196" s="705" t="s">
        <v>12047</v>
      </c>
    </row>
    <row r="18197" spans="1:8" ht="15" x14ac:dyDescent="0.2">
      <c r="A18197" s="734">
        <v>45303</v>
      </c>
      <c r="B18197" s="63" t="s">
        <v>11271</v>
      </c>
      <c r="C18197" s="670" t="s">
        <v>1198</v>
      </c>
      <c r="D18197" s="907" t="s">
        <v>12283</v>
      </c>
      <c r="E18197" s="672">
        <v>19640</v>
      </c>
      <c r="F18197" s="126"/>
      <c r="G18197" s="126">
        <f t="shared" si="296"/>
        <v>-19640</v>
      </c>
      <c r="H18197" s="705" t="s">
        <v>12047</v>
      </c>
    </row>
    <row r="18198" spans="1:8" ht="15" x14ac:dyDescent="0.2">
      <c r="A18198" s="734">
        <v>45303</v>
      </c>
      <c r="B18198" s="63" t="s">
        <v>10471</v>
      </c>
      <c r="C18198" s="670" t="s">
        <v>1198</v>
      </c>
      <c r="D18198" s="907" t="s">
        <v>12283</v>
      </c>
      <c r="E18198" s="672">
        <v>259118</v>
      </c>
      <c r="F18198" s="126"/>
      <c r="G18198" s="126">
        <f t="shared" si="296"/>
        <v>-259118</v>
      </c>
      <c r="H18198" s="705" t="s">
        <v>12047</v>
      </c>
    </row>
    <row r="18199" spans="1:8" ht="15" x14ac:dyDescent="0.2">
      <c r="A18199" s="734">
        <v>45303</v>
      </c>
      <c r="B18199" s="63" t="s">
        <v>10576</v>
      </c>
      <c r="C18199" s="670" t="s">
        <v>1198</v>
      </c>
      <c r="D18199" s="907" t="s">
        <v>12283</v>
      </c>
      <c r="E18199" s="672">
        <v>5165</v>
      </c>
      <c r="F18199" s="126"/>
      <c r="G18199" s="126">
        <f t="shared" si="296"/>
        <v>-5165</v>
      </c>
      <c r="H18199" s="705" t="s">
        <v>12047</v>
      </c>
    </row>
    <row r="18200" spans="1:8" ht="15" x14ac:dyDescent="0.2">
      <c r="A18200" s="734">
        <v>45304</v>
      </c>
      <c r="B18200" s="63" t="s">
        <v>11897</v>
      </c>
      <c r="C18200" s="63" t="s">
        <v>10993</v>
      </c>
      <c r="D18200" s="183" t="s">
        <v>12178</v>
      </c>
      <c r="E18200" s="126">
        <v>125000</v>
      </c>
      <c r="F18200" s="126"/>
      <c r="G18200" s="126">
        <f t="shared" si="295"/>
        <v>-125000</v>
      </c>
      <c r="H18200" s="705" t="s">
        <v>12047</v>
      </c>
    </row>
    <row r="18201" spans="1:8" ht="15" x14ac:dyDescent="0.2">
      <c r="A18201" s="734">
        <v>45303</v>
      </c>
      <c r="B18201" s="63" t="s">
        <v>25</v>
      </c>
      <c r="C18201" s="63" t="s">
        <v>8150</v>
      </c>
      <c r="D18201" s="183" t="s">
        <v>12235</v>
      </c>
      <c r="E18201" s="126">
        <v>5500</v>
      </c>
      <c r="F18201" s="126"/>
      <c r="G18201" s="126">
        <f t="shared" si="295"/>
        <v>-5500</v>
      </c>
      <c r="H18201" s="705" t="s">
        <v>12047</v>
      </c>
    </row>
    <row r="18202" spans="1:8" ht="15" x14ac:dyDescent="0.2">
      <c r="A18202" s="734">
        <v>45303</v>
      </c>
      <c r="B18202" s="63" t="s">
        <v>103</v>
      </c>
      <c r="C18202" s="63" t="s">
        <v>8150</v>
      </c>
      <c r="D18202" s="183" t="s">
        <v>12235</v>
      </c>
      <c r="E18202" s="126">
        <v>5500</v>
      </c>
      <c r="F18202" s="126"/>
      <c r="G18202" s="126">
        <f t="shared" si="295"/>
        <v>-5500</v>
      </c>
      <c r="H18202" s="705" t="s">
        <v>12047</v>
      </c>
    </row>
    <row r="18203" spans="1:8" ht="24" x14ac:dyDescent="0.2">
      <c r="A18203" s="734">
        <v>45303</v>
      </c>
      <c r="B18203" s="63" t="s">
        <v>11897</v>
      </c>
      <c r="C18203" s="63" t="s">
        <v>12179</v>
      </c>
      <c r="D18203" s="183" t="s">
        <v>12180</v>
      </c>
      <c r="E18203" s="126">
        <v>114000</v>
      </c>
      <c r="F18203" s="126"/>
      <c r="G18203" s="126">
        <f t="shared" si="295"/>
        <v>-114000</v>
      </c>
      <c r="H18203" s="705" t="s">
        <v>12047</v>
      </c>
    </row>
    <row r="18204" spans="1:8" ht="15" x14ac:dyDescent="0.2">
      <c r="A18204" s="734">
        <v>45303</v>
      </c>
      <c r="B18204" s="63" t="s">
        <v>103</v>
      </c>
      <c r="C18204" s="63" t="s">
        <v>103</v>
      </c>
      <c r="D18204" s="183" t="s">
        <v>12181</v>
      </c>
      <c r="E18204" s="126">
        <v>4000</v>
      </c>
      <c r="F18204" s="126"/>
      <c r="G18204" s="126">
        <f t="shared" ref="G18204:G18215" si="297">F18204-E18204</f>
        <v>-4000</v>
      </c>
      <c r="H18204" s="705" t="s">
        <v>12047</v>
      </c>
    </row>
    <row r="18205" spans="1:8" ht="15" x14ac:dyDescent="0.2">
      <c r="A18205" s="734">
        <v>45303</v>
      </c>
      <c r="B18205" s="63" t="s">
        <v>11897</v>
      </c>
      <c r="C18205" s="63" t="s">
        <v>286</v>
      </c>
      <c r="D18205" s="183" t="s">
        <v>8663</v>
      </c>
      <c r="E18205" s="126">
        <v>2000</v>
      </c>
      <c r="F18205" s="126"/>
      <c r="G18205" s="126">
        <f t="shared" si="297"/>
        <v>-2000</v>
      </c>
      <c r="H18205" s="705" t="s">
        <v>12047</v>
      </c>
    </row>
    <row r="18206" spans="1:8" ht="15" x14ac:dyDescent="0.2">
      <c r="A18206" s="734">
        <v>45303</v>
      </c>
      <c r="B18206" s="63" t="s">
        <v>11635</v>
      </c>
      <c r="C18206" s="63" t="s">
        <v>2190</v>
      </c>
      <c r="D18206" s="183" t="s">
        <v>370</v>
      </c>
      <c r="E18206" s="126">
        <v>850</v>
      </c>
      <c r="F18206" s="126"/>
      <c r="G18206" s="126">
        <f t="shared" si="297"/>
        <v>-850</v>
      </c>
      <c r="H18206" s="705" t="s">
        <v>12047</v>
      </c>
    </row>
    <row r="18207" spans="1:8" ht="15" x14ac:dyDescent="0.2">
      <c r="A18207" s="734">
        <v>45303</v>
      </c>
      <c r="B18207" s="63" t="s">
        <v>11897</v>
      </c>
      <c r="C18207" s="63" t="s">
        <v>5741</v>
      </c>
      <c r="D18207" s="183" t="s">
        <v>12182</v>
      </c>
      <c r="E18207" s="126">
        <v>5550</v>
      </c>
      <c r="F18207" s="126"/>
      <c r="G18207" s="126">
        <f t="shared" si="297"/>
        <v>-5550</v>
      </c>
      <c r="H18207" s="705" t="s">
        <v>12047</v>
      </c>
    </row>
    <row r="18208" spans="1:8" ht="15" x14ac:dyDescent="0.2">
      <c r="A18208" s="734">
        <v>45304</v>
      </c>
      <c r="B18208" s="63" t="s">
        <v>11728</v>
      </c>
      <c r="C18208" s="63" t="s">
        <v>5741</v>
      </c>
      <c r="D18208" s="183" t="s">
        <v>12182</v>
      </c>
      <c r="E18208" s="126">
        <v>3500</v>
      </c>
      <c r="F18208" s="126"/>
      <c r="G18208" s="126">
        <f t="shared" si="297"/>
        <v>-3500</v>
      </c>
      <c r="H18208" s="705" t="s">
        <v>12047</v>
      </c>
    </row>
    <row r="18209" spans="1:8" ht="15" x14ac:dyDescent="0.2">
      <c r="A18209" s="734">
        <v>45304</v>
      </c>
      <c r="B18209" s="63" t="s">
        <v>11897</v>
      </c>
      <c r="C18209" s="63" t="s">
        <v>10993</v>
      </c>
      <c r="D18209" s="183" t="s">
        <v>12183</v>
      </c>
      <c r="E18209" s="126">
        <v>85000</v>
      </c>
      <c r="F18209" s="126"/>
      <c r="G18209" s="126">
        <f t="shared" si="297"/>
        <v>-85000</v>
      </c>
      <c r="H18209" s="705" t="s">
        <v>12047</v>
      </c>
    </row>
    <row r="18210" spans="1:8" ht="24" x14ac:dyDescent="0.2">
      <c r="A18210" s="734">
        <v>45306</v>
      </c>
      <c r="B18210" s="63" t="s">
        <v>11897</v>
      </c>
      <c r="C18210" s="63" t="s">
        <v>2104</v>
      </c>
      <c r="D18210" s="183" t="s">
        <v>12180</v>
      </c>
      <c r="E18210" s="126">
        <v>108000</v>
      </c>
      <c r="F18210" s="126"/>
      <c r="G18210" s="126">
        <f t="shared" si="297"/>
        <v>-108000</v>
      </c>
      <c r="H18210" s="705" t="s">
        <v>12047</v>
      </c>
    </row>
    <row r="18211" spans="1:8" ht="15" x14ac:dyDescent="0.2">
      <c r="A18211" s="734">
        <v>45306</v>
      </c>
      <c r="B18211" s="63" t="s">
        <v>11897</v>
      </c>
      <c r="C18211" s="63" t="s">
        <v>4725</v>
      </c>
      <c r="D18211" s="183" t="s">
        <v>12184</v>
      </c>
      <c r="E18211" s="126">
        <v>550000</v>
      </c>
      <c r="F18211" s="126"/>
      <c r="G18211" s="126">
        <f t="shared" si="297"/>
        <v>-550000</v>
      </c>
      <c r="H18211" s="705" t="s">
        <v>12047</v>
      </c>
    </row>
    <row r="18212" spans="1:8" ht="15" x14ac:dyDescent="0.2">
      <c r="A18212" s="734">
        <v>45306</v>
      </c>
      <c r="B18212" s="63" t="s">
        <v>11635</v>
      </c>
      <c r="C18212" s="566" t="s">
        <v>6624</v>
      </c>
      <c r="D18212" s="875" t="s">
        <v>12185</v>
      </c>
      <c r="E18212" s="567">
        <v>42000</v>
      </c>
      <c r="F18212" s="126"/>
      <c r="G18212" s="126">
        <f t="shared" si="297"/>
        <v>-42000</v>
      </c>
      <c r="H18212" s="705" t="s">
        <v>12047</v>
      </c>
    </row>
    <row r="18213" spans="1:8" ht="15" x14ac:dyDescent="0.2">
      <c r="A18213" s="734">
        <v>45306</v>
      </c>
      <c r="B18213" s="63" t="s">
        <v>10908</v>
      </c>
      <c r="C18213" s="566" t="s">
        <v>6624</v>
      </c>
      <c r="D18213" s="875" t="s">
        <v>12185</v>
      </c>
      <c r="E18213" s="567">
        <v>30000</v>
      </c>
      <c r="F18213" s="126"/>
      <c r="G18213" s="126">
        <f t="shared" si="297"/>
        <v>-30000</v>
      </c>
      <c r="H18213" s="705" t="s">
        <v>12047</v>
      </c>
    </row>
    <row r="18214" spans="1:8" ht="15" x14ac:dyDescent="0.2">
      <c r="A18214" s="734">
        <v>45306</v>
      </c>
      <c r="B18214" s="63" t="s">
        <v>11446</v>
      </c>
      <c r="C18214" s="63" t="s">
        <v>11884</v>
      </c>
      <c r="D18214" s="183" t="s">
        <v>12186</v>
      </c>
      <c r="E18214" s="126">
        <v>19000</v>
      </c>
      <c r="F18214" s="126"/>
      <c r="G18214" s="126">
        <f t="shared" si="297"/>
        <v>-19000</v>
      </c>
      <c r="H18214" s="705" t="s">
        <v>12047</v>
      </c>
    </row>
    <row r="18215" spans="1:8" ht="24" x14ac:dyDescent="0.2">
      <c r="A18215" s="734">
        <v>45306</v>
      </c>
      <c r="B18215" s="63" t="s">
        <v>11897</v>
      </c>
      <c r="C18215" s="63" t="s">
        <v>12187</v>
      </c>
      <c r="D18215" s="183" t="s">
        <v>12206</v>
      </c>
      <c r="E18215" s="126">
        <v>240000</v>
      </c>
      <c r="F18215" s="126"/>
      <c r="G18215" s="126">
        <f t="shared" si="297"/>
        <v>-240000</v>
      </c>
      <c r="H18215" s="705" t="s">
        <v>12047</v>
      </c>
    </row>
    <row r="18216" spans="1:8" ht="15" x14ac:dyDescent="0.2">
      <c r="A18216" s="734">
        <v>45306</v>
      </c>
      <c r="B18216" s="63" t="s">
        <v>11897</v>
      </c>
      <c r="C18216" s="63" t="s">
        <v>10993</v>
      </c>
      <c r="D18216" s="183" t="s">
        <v>12189</v>
      </c>
      <c r="E18216" s="126">
        <v>4100</v>
      </c>
      <c r="F18216" s="126"/>
      <c r="G18216" s="126">
        <f t="shared" ref="G18216:G18249" si="298">F18216-E18216</f>
        <v>-4100</v>
      </c>
      <c r="H18216" s="705" t="s">
        <v>12047</v>
      </c>
    </row>
    <row r="18217" spans="1:8" ht="15" x14ac:dyDescent="0.2">
      <c r="A18217" s="734">
        <v>45306</v>
      </c>
      <c r="B18217" s="63" t="s">
        <v>11897</v>
      </c>
      <c r="C18217" s="63" t="s">
        <v>286</v>
      </c>
      <c r="D18217" s="183" t="s">
        <v>8663</v>
      </c>
      <c r="E18217" s="126">
        <v>1000</v>
      </c>
      <c r="F18217" s="126"/>
      <c r="G18217" s="126">
        <f t="shared" si="298"/>
        <v>-1000</v>
      </c>
      <c r="H18217" s="705" t="s">
        <v>12047</v>
      </c>
    </row>
    <row r="18218" spans="1:8" ht="15" x14ac:dyDescent="0.2">
      <c r="A18218" s="734">
        <v>45306</v>
      </c>
      <c r="B18218" s="63" t="s">
        <v>11897</v>
      </c>
      <c r="C18218" s="63" t="s">
        <v>10993</v>
      </c>
      <c r="D18218" s="183" t="s">
        <v>12190</v>
      </c>
      <c r="E18218" s="126">
        <v>5900</v>
      </c>
      <c r="F18218" s="126"/>
      <c r="G18218" s="126">
        <f t="shared" si="298"/>
        <v>-5900</v>
      </c>
      <c r="H18218" s="705" t="s">
        <v>12047</v>
      </c>
    </row>
    <row r="18219" spans="1:8" ht="15" x14ac:dyDescent="0.2">
      <c r="A18219" s="734">
        <v>45306</v>
      </c>
      <c r="B18219" s="63" t="s">
        <v>11897</v>
      </c>
      <c r="C18219" s="63" t="s">
        <v>5741</v>
      </c>
      <c r="D18219" s="183" t="s">
        <v>12182</v>
      </c>
      <c r="E18219" s="126">
        <v>2000</v>
      </c>
      <c r="F18219" s="126"/>
      <c r="G18219" s="126">
        <f t="shared" si="298"/>
        <v>-2000</v>
      </c>
      <c r="H18219" s="705" t="s">
        <v>12047</v>
      </c>
    </row>
    <row r="18220" spans="1:8" ht="15" x14ac:dyDescent="0.2">
      <c r="A18220" s="734">
        <v>45306</v>
      </c>
      <c r="B18220" s="63" t="s">
        <v>11897</v>
      </c>
      <c r="C18220" s="63" t="s">
        <v>5387</v>
      </c>
      <c r="D18220" s="183" t="s">
        <v>12191</v>
      </c>
      <c r="E18220" s="126">
        <v>1000</v>
      </c>
      <c r="F18220" s="126"/>
      <c r="G18220" s="126">
        <f t="shared" si="298"/>
        <v>-1000</v>
      </c>
      <c r="H18220" s="705" t="s">
        <v>12047</v>
      </c>
    </row>
    <row r="18221" spans="1:8" ht="15" x14ac:dyDescent="0.2">
      <c r="A18221" s="734">
        <v>45306</v>
      </c>
      <c r="B18221" s="63" t="s">
        <v>103</v>
      </c>
      <c r="C18221" s="63" t="s">
        <v>103</v>
      </c>
      <c r="D18221" s="183" t="s">
        <v>8513</v>
      </c>
      <c r="E18221" s="126">
        <v>2000</v>
      </c>
      <c r="F18221" s="126"/>
      <c r="G18221" s="126">
        <f t="shared" si="298"/>
        <v>-2000</v>
      </c>
      <c r="H18221" s="705" t="s">
        <v>12047</v>
      </c>
    </row>
    <row r="18222" spans="1:8" ht="15" x14ac:dyDescent="0.2">
      <c r="A18222" s="734">
        <v>45306</v>
      </c>
      <c r="B18222" s="63" t="s">
        <v>10908</v>
      </c>
      <c r="C18222" s="63" t="s">
        <v>5741</v>
      </c>
      <c r="D18222" s="183" t="s">
        <v>370</v>
      </c>
      <c r="E18222" s="126">
        <v>3000</v>
      </c>
      <c r="F18222" s="126"/>
      <c r="G18222" s="126">
        <f t="shared" si="298"/>
        <v>-3000</v>
      </c>
      <c r="H18222" s="705" t="s">
        <v>12047</v>
      </c>
    </row>
    <row r="18223" spans="1:8" ht="15" x14ac:dyDescent="0.2">
      <c r="A18223" s="734">
        <v>45306</v>
      </c>
      <c r="B18223" s="63" t="s">
        <v>10908</v>
      </c>
      <c r="C18223" s="63" t="s">
        <v>5741</v>
      </c>
      <c r="D18223" s="183" t="s">
        <v>12192</v>
      </c>
      <c r="E18223" s="126">
        <v>5100</v>
      </c>
      <c r="F18223" s="126"/>
      <c r="G18223" s="126">
        <f t="shared" si="298"/>
        <v>-5100</v>
      </c>
      <c r="H18223" s="705" t="s">
        <v>12047</v>
      </c>
    </row>
    <row r="18224" spans="1:8" ht="15" x14ac:dyDescent="0.2">
      <c r="A18224" s="734">
        <v>45307</v>
      </c>
      <c r="B18224" s="63" t="s">
        <v>11897</v>
      </c>
      <c r="C18224" s="63" t="s">
        <v>10993</v>
      </c>
      <c r="D18224" s="183" t="s">
        <v>12193</v>
      </c>
      <c r="E18224" s="126">
        <v>8500</v>
      </c>
      <c r="F18224" s="126"/>
      <c r="G18224" s="126">
        <f t="shared" si="298"/>
        <v>-8500</v>
      </c>
      <c r="H18224" s="705" t="s">
        <v>12047</v>
      </c>
    </row>
    <row r="18225" spans="1:8" ht="15" x14ac:dyDescent="0.2">
      <c r="A18225" s="734">
        <v>45307</v>
      </c>
      <c r="B18225" s="63" t="s">
        <v>11897</v>
      </c>
      <c r="C18225" s="63" t="s">
        <v>5741</v>
      </c>
      <c r="D18225" s="183" t="s">
        <v>12182</v>
      </c>
      <c r="E18225" s="126">
        <v>2500</v>
      </c>
      <c r="F18225" s="126"/>
      <c r="G18225" s="126">
        <f t="shared" si="298"/>
        <v>-2500</v>
      </c>
      <c r="H18225" s="705" t="s">
        <v>12047</v>
      </c>
    </row>
    <row r="18226" spans="1:8" ht="15" x14ac:dyDescent="0.2">
      <c r="A18226" s="734">
        <v>45307</v>
      </c>
      <c r="B18226" s="63" t="s">
        <v>10908</v>
      </c>
      <c r="C18226" s="63" t="s">
        <v>10993</v>
      </c>
      <c r="D18226" s="183" t="s">
        <v>12194</v>
      </c>
      <c r="E18226" s="126">
        <v>1900</v>
      </c>
      <c r="F18226" s="126"/>
      <c r="G18226" s="126">
        <f t="shared" si="298"/>
        <v>-1900</v>
      </c>
      <c r="H18226" s="705" t="s">
        <v>12047</v>
      </c>
    </row>
    <row r="18227" spans="1:8" ht="15" x14ac:dyDescent="0.2">
      <c r="A18227" s="734">
        <v>45307</v>
      </c>
      <c r="B18227" s="63" t="s">
        <v>25</v>
      </c>
      <c r="C18227" s="63" t="s">
        <v>392</v>
      </c>
      <c r="D18227" s="183" t="s">
        <v>12195</v>
      </c>
      <c r="E18227" s="126">
        <v>900</v>
      </c>
      <c r="F18227" s="126"/>
      <c r="G18227" s="126">
        <f t="shared" si="298"/>
        <v>-900</v>
      </c>
      <c r="H18227" s="705" t="s">
        <v>12047</v>
      </c>
    </row>
    <row r="18228" spans="1:8" ht="15" x14ac:dyDescent="0.2">
      <c r="A18228" s="734">
        <v>45307</v>
      </c>
      <c r="B18228" s="63" t="s">
        <v>11897</v>
      </c>
      <c r="C18228" s="63" t="s">
        <v>8372</v>
      </c>
      <c r="D18228" s="183" t="s">
        <v>600</v>
      </c>
      <c r="E18228" s="126">
        <v>3940</v>
      </c>
      <c r="F18228" s="126"/>
      <c r="G18228" s="126">
        <f t="shared" si="298"/>
        <v>-3940</v>
      </c>
      <c r="H18228" s="705" t="s">
        <v>12047</v>
      </c>
    </row>
    <row r="18229" spans="1:8" ht="15" x14ac:dyDescent="0.2">
      <c r="A18229" s="734">
        <v>45307</v>
      </c>
      <c r="B18229" s="63" t="s">
        <v>11897</v>
      </c>
      <c r="C18229" s="63" t="s">
        <v>5741</v>
      </c>
      <c r="D18229" s="183" t="s">
        <v>12196</v>
      </c>
      <c r="E18229" s="126">
        <v>1500</v>
      </c>
      <c r="F18229" s="126"/>
      <c r="G18229" s="126">
        <f t="shared" si="298"/>
        <v>-1500</v>
      </c>
      <c r="H18229" s="705" t="s">
        <v>12047</v>
      </c>
    </row>
    <row r="18230" spans="1:8" ht="15" x14ac:dyDescent="0.2">
      <c r="A18230" s="734">
        <v>45308</v>
      </c>
      <c r="B18230" s="63" t="s">
        <v>103</v>
      </c>
      <c r="C18230" s="63" t="s">
        <v>103</v>
      </c>
      <c r="D18230" s="183" t="s">
        <v>8513</v>
      </c>
      <c r="E18230" s="126">
        <v>4000</v>
      </c>
      <c r="F18230" s="126"/>
      <c r="G18230" s="126">
        <f t="shared" si="298"/>
        <v>-4000</v>
      </c>
      <c r="H18230" s="705" t="s">
        <v>12047</v>
      </c>
    </row>
    <row r="18231" spans="1:8" ht="15" x14ac:dyDescent="0.2">
      <c r="A18231" s="734">
        <v>45308</v>
      </c>
      <c r="B18231" s="63" t="s">
        <v>10908</v>
      </c>
      <c r="C18231" s="63" t="s">
        <v>10993</v>
      </c>
      <c r="D18231" s="183" t="s">
        <v>12342</v>
      </c>
      <c r="E18231" s="126">
        <v>20300</v>
      </c>
      <c r="F18231" s="126"/>
      <c r="G18231" s="126">
        <f t="shared" ref="G18231" si="299">F18231-E18231</f>
        <v>-20300</v>
      </c>
      <c r="H18231" s="705" t="s">
        <v>12047</v>
      </c>
    </row>
    <row r="18232" spans="1:8" ht="15" x14ac:dyDescent="0.2">
      <c r="A18232" s="734">
        <v>45309</v>
      </c>
      <c r="B18232" s="63" t="s">
        <v>11635</v>
      </c>
      <c r="C18232" s="63" t="s">
        <v>11418</v>
      </c>
      <c r="D18232" s="183" t="s">
        <v>12197</v>
      </c>
      <c r="E18232" s="126">
        <v>4500</v>
      </c>
      <c r="F18232" s="126"/>
      <c r="G18232" s="126">
        <f t="shared" si="298"/>
        <v>-4500</v>
      </c>
      <c r="H18232" s="705" t="s">
        <v>12047</v>
      </c>
    </row>
    <row r="18233" spans="1:8" ht="15" x14ac:dyDescent="0.2">
      <c r="A18233" s="734">
        <v>45309</v>
      </c>
      <c r="B18233" s="63" t="s">
        <v>11271</v>
      </c>
      <c r="C18233" s="63" t="s">
        <v>10993</v>
      </c>
      <c r="D18233" s="183" t="s">
        <v>12198</v>
      </c>
      <c r="E18233" s="126">
        <v>1000</v>
      </c>
      <c r="F18233" s="126"/>
      <c r="G18233" s="126">
        <f t="shared" si="298"/>
        <v>-1000</v>
      </c>
      <c r="H18233" s="705" t="s">
        <v>12047</v>
      </c>
    </row>
    <row r="18234" spans="1:8" ht="15" x14ac:dyDescent="0.2">
      <c r="A18234" s="734">
        <v>45309</v>
      </c>
      <c r="B18234" s="63" t="s">
        <v>11728</v>
      </c>
      <c r="C18234" s="63" t="s">
        <v>392</v>
      </c>
      <c r="D18234" s="183" t="s">
        <v>12199</v>
      </c>
      <c r="E18234" s="126">
        <v>2500</v>
      </c>
      <c r="F18234" s="126"/>
      <c r="G18234" s="126">
        <f t="shared" si="298"/>
        <v>-2500</v>
      </c>
      <c r="H18234" s="705" t="s">
        <v>12047</v>
      </c>
    </row>
    <row r="18235" spans="1:8" ht="15" x14ac:dyDescent="0.2">
      <c r="A18235" s="734">
        <v>45309</v>
      </c>
      <c r="B18235" s="63" t="s">
        <v>10908</v>
      </c>
      <c r="C18235" s="63" t="s">
        <v>5741</v>
      </c>
      <c r="D18235" s="183" t="s">
        <v>370</v>
      </c>
      <c r="E18235" s="126">
        <v>2000</v>
      </c>
      <c r="F18235" s="126"/>
      <c r="G18235" s="126">
        <f t="shared" si="298"/>
        <v>-2000</v>
      </c>
      <c r="H18235" s="705" t="s">
        <v>12047</v>
      </c>
    </row>
    <row r="18236" spans="1:8" ht="15" x14ac:dyDescent="0.2">
      <c r="A18236" s="734">
        <v>45309</v>
      </c>
      <c r="B18236" s="63" t="s">
        <v>11897</v>
      </c>
      <c r="C18236" s="63" t="s">
        <v>5741</v>
      </c>
      <c r="D18236" s="183" t="s">
        <v>370</v>
      </c>
      <c r="E18236" s="126">
        <v>1000</v>
      </c>
      <c r="F18236" s="126"/>
      <c r="G18236" s="126">
        <f t="shared" si="298"/>
        <v>-1000</v>
      </c>
      <c r="H18236" s="705" t="s">
        <v>12047</v>
      </c>
    </row>
    <row r="18237" spans="1:8" ht="15" x14ac:dyDescent="0.2">
      <c r="A18237" s="733">
        <v>45308</v>
      </c>
      <c r="B18237" s="174" t="s">
        <v>10908</v>
      </c>
      <c r="C18237" s="174" t="s">
        <v>11288</v>
      </c>
      <c r="D18237" s="228" t="s">
        <v>12200</v>
      </c>
      <c r="E18237" s="236">
        <v>100000</v>
      </c>
      <c r="F18237" s="236"/>
      <c r="G18237" s="236">
        <f t="shared" si="298"/>
        <v>-100000</v>
      </c>
      <c r="H18237" s="709" t="s">
        <v>12047</v>
      </c>
    </row>
    <row r="18238" spans="1:8" ht="15" x14ac:dyDescent="0.2">
      <c r="A18238" s="734">
        <v>45308</v>
      </c>
      <c r="B18238" s="736" t="s">
        <v>11728</v>
      </c>
      <c r="C18238" s="63" t="s">
        <v>12128</v>
      </c>
      <c r="D18238" s="921" t="s">
        <v>12036</v>
      </c>
      <c r="E18238" s="126">
        <v>520000</v>
      </c>
      <c r="F18238" s="126"/>
      <c r="G18238" s="126">
        <f t="shared" si="298"/>
        <v>-520000</v>
      </c>
      <c r="H18238" s="705" t="s">
        <v>12047</v>
      </c>
    </row>
    <row r="18239" spans="1:8" ht="15" x14ac:dyDescent="0.2">
      <c r="A18239" s="734">
        <v>45308</v>
      </c>
      <c r="B18239" s="63" t="s">
        <v>11897</v>
      </c>
      <c r="C18239" s="63" t="s">
        <v>12201</v>
      </c>
      <c r="D18239" s="183" t="s">
        <v>12202</v>
      </c>
      <c r="E18239" s="126">
        <v>700000</v>
      </c>
      <c r="F18239" s="126"/>
      <c r="G18239" s="126">
        <f t="shared" si="298"/>
        <v>-700000</v>
      </c>
      <c r="H18239" s="705" t="s">
        <v>12047</v>
      </c>
    </row>
    <row r="18240" spans="1:8" ht="15" x14ac:dyDescent="0.2">
      <c r="A18240" s="734">
        <v>45308</v>
      </c>
      <c r="B18240" s="63" t="s">
        <v>10908</v>
      </c>
      <c r="C18240" s="63" t="s">
        <v>11288</v>
      </c>
      <c r="D18240" s="183" t="s">
        <v>10721</v>
      </c>
      <c r="E18240" s="126">
        <v>25000</v>
      </c>
      <c r="F18240" s="126"/>
      <c r="G18240" s="126">
        <f t="shared" si="298"/>
        <v>-25000</v>
      </c>
      <c r="H18240" s="705" t="s">
        <v>12047</v>
      </c>
    </row>
    <row r="18241" spans="1:8" ht="15" x14ac:dyDescent="0.2">
      <c r="A18241" s="734">
        <v>45308</v>
      </c>
      <c r="B18241" s="63" t="s">
        <v>11089</v>
      </c>
      <c r="C18241" s="63" t="s">
        <v>6784</v>
      </c>
      <c r="D18241" s="183" t="s">
        <v>12203</v>
      </c>
      <c r="E18241" s="126">
        <v>300000</v>
      </c>
      <c r="F18241" s="126"/>
      <c r="G18241" s="126">
        <f t="shared" si="298"/>
        <v>-300000</v>
      </c>
      <c r="H18241" s="705" t="s">
        <v>12047</v>
      </c>
    </row>
    <row r="18242" spans="1:8" ht="15" x14ac:dyDescent="0.2">
      <c r="A18242" s="734">
        <v>45308</v>
      </c>
      <c r="B18242" s="63" t="s">
        <v>11446</v>
      </c>
      <c r="C18242" s="63" t="s">
        <v>11386</v>
      </c>
      <c r="D18242" s="183" t="s">
        <v>12222</v>
      </c>
      <c r="E18242" s="126">
        <v>75000</v>
      </c>
      <c r="F18242" s="126"/>
      <c r="G18242" s="126">
        <f t="shared" si="298"/>
        <v>-75000</v>
      </c>
      <c r="H18242" s="705" t="s">
        <v>12047</v>
      </c>
    </row>
    <row r="18243" spans="1:8" ht="15" x14ac:dyDescent="0.2">
      <c r="A18243" s="734">
        <v>45310</v>
      </c>
      <c r="B18243" s="63" t="s">
        <v>12082</v>
      </c>
      <c r="C18243" s="63" t="s">
        <v>267</v>
      </c>
      <c r="D18243" s="183" t="s">
        <v>12204</v>
      </c>
      <c r="E18243" s="126">
        <v>20000</v>
      </c>
      <c r="F18243" s="126"/>
      <c r="G18243" s="126">
        <f t="shared" si="298"/>
        <v>-20000</v>
      </c>
      <c r="H18243" s="705" t="s">
        <v>12047</v>
      </c>
    </row>
    <row r="18244" spans="1:8" ht="18.75" customHeight="1" x14ac:dyDescent="0.2">
      <c r="A18244" s="734">
        <v>45310</v>
      </c>
      <c r="B18244" s="63" t="s">
        <v>10908</v>
      </c>
      <c r="C18244" s="670" t="s">
        <v>11772</v>
      </c>
      <c r="D18244" s="907" t="s">
        <v>12205</v>
      </c>
      <c r="E18244" s="672">
        <f>160000+50000</f>
        <v>210000</v>
      </c>
      <c r="F18244" s="126"/>
      <c r="G18244" s="126">
        <f t="shared" si="298"/>
        <v>-210000</v>
      </c>
      <c r="H18244" s="705" t="s">
        <v>12047</v>
      </c>
    </row>
    <row r="18245" spans="1:8" ht="18.75" customHeight="1" x14ac:dyDescent="0.2">
      <c r="A18245" s="734">
        <v>45310</v>
      </c>
      <c r="B18245" s="63" t="s">
        <v>11026</v>
      </c>
      <c r="C18245" s="670" t="s">
        <v>11772</v>
      </c>
      <c r="D18245" s="907" t="s">
        <v>12205</v>
      </c>
      <c r="E18245" s="672">
        <v>160000</v>
      </c>
      <c r="F18245" s="126"/>
      <c r="G18245" s="126">
        <f t="shared" si="298"/>
        <v>-160000</v>
      </c>
      <c r="H18245" s="705" t="s">
        <v>12047</v>
      </c>
    </row>
    <row r="18246" spans="1:8" ht="18.75" customHeight="1" x14ac:dyDescent="0.2">
      <c r="A18246" s="734">
        <v>45310</v>
      </c>
      <c r="B18246" s="63" t="s">
        <v>11897</v>
      </c>
      <c r="C18246" s="670" t="s">
        <v>11772</v>
      </c>
      <c r="D18246" s="907" t="s">
        <v>12205</v>
      </c>
      <c r="E18246" s="672">
        <v>180000</v>
      </c>
      <c r="F18246" s="126"/>
      <c r="G18246" s="126">
        <f t="shared" si="298"/>
        <v>-180000</v>
      </c>
      <c r="H18246" s="705" t="s">
        <v>12047</v>
      </c>
    </row>
    <row r="18247" spans="1:8" ht="18.75" customHeight="1" x14ac:dyDescent="0.2">
      <c r="A18247" s="734">
        <v>45310</v>
      </c>
      <c r="B18247" s="63" t="s">
        <v>25</v>
      </c>
      <c r="C18247" s="63" t="s">
        <v>7595</v>
      </c>
      <c r="D18247" s="183" t="s">
        <v>12221</v>
      </c>
      <c r="E18247" s="126">
        <v>80000</v>
      </c>
      <c r="F18247" s="126"/>
      <c r="G18247" s="126">
        <f t="shared" si="298"/>
        <v>-80000</v>
      </c>
      <c r="H18247" s="705" t="s">
        <v>12047</v>
      </c>
    </row>
    <row r="18248" spans="1:8" ht="18.75" customHeight="1" x14ac:dyDescent="0.2">
      <c r="A18248" s="734">
        <v>45310</v>
      </c>
      <c r="B18248" s="63" t="s">
        <v>6505</v>
      </c>
      <c r="C18248" s="63" t="s">
        <v>4334</v>
      </c>
      <c r="D18248" s="183" t="s">
        <v>12223</v>
      </c>
      <c r="E18248" s="126">
        <v>150000</v>
      </c>
      <c r="F18248" s="126"/>
      <c r="G18248" s="126">
        <f t="shared" si="298"/>
        <v>-150000</v>
      </c>
      <c r="H18248" s="705" t="s">
        <v>12047</v>
      </c>
    </row>
    <row r="18249" spans="1:8" ht="18.75" customHeight="1" x14ac:dyDescent="0.2">
      <c r="A18249" s="734">
        <v>45310</v>
      </c>
      <c r="B18249" s="63" t="s">
        <v>8559</v>
      </c>
      <c r="C18249" s="63" t="s">
        <v>11612</v>
      </c>
      <c r="D18249" s="183" t="s">
        <v>12224</v>
      </c>
      <c r="E18249" s="126">
        <v>24000</v>
      </c>
      <c r="F18249" s="126"/>
      <c r="G18249" s="126">
        <f t="shared" si="298"/>
        <v>-24000</v>
      </c>
      <c r="H18249" s="705" t="s">
        <v>12047</v>
      </c>
    </row>
    <row r="18250" spans="1:8" ht="18.75" customHeight="1" x14ac:dyDescent="0.2">
      <c r="A18250" s="734">
        <v>45310</v>
      </c>
      <c r="B18250" s="63" t="s">
        <v>11728</v>
      </c>
      <c r="C18250" s="63" t="s">
        <v>12104</v>
      </c>
      <c r="D18250" s="183" t="s">
        <v>11778</v>
      </c>
      <c r="E18250" s="126">
        <v>250000</v>
      </c>
      <c r="F18250" s="126"/>
      <c r="G18250" s="126">
        <f>F18250-E18250</f>
        <v>-250000</v>
      </c>
      <c r="H18250" s="705" t="s">
        <v>12047</v>
      </c>
    </row>
    <row r="18251" spans="1:8" ht="18.75" customHeight="1" x14ac:dyDescent="0.2">
      <c r="A18251" s="734">
        <v>45311</v>
      </c>
      <c r="B18251" s="63" t="s">
        <v>9986</v>
      </c>
      <c r="C18251" s="63" t="s">
        <v>6476</v>
      </c>
      <c r="D18251" s="183" t="s">
        <v>12224</v>
      </c>
      <c r="E18251" s="126">
        <v>100000</v>
      </c>
      <c r="F18251" s="126"/>
      <c r="G18251" s="126">
        <f>F18251-E18251</f>
        <v>-100000</v>
      </c>
      <c r="H18251" s="705" t="s">
        <v>12047</v>
      </c>
    </row>
    <row r="18252" spans="1:8" ht="18.75" customHeight="1" x14ac:dyDescent="0.2">
      <c r="A18252" s="734">
        <v>45310</v>
      </c>
      <c r="B18252" s="63" t="s">
        <v>103</v>
      </c>
      <c r="C18252" s="63" t="s">
        <v>103</v>
      </c>
      <c r="D18252" s="183" t="s">
        <v>8513</v>
      </c>
      <c r="E18252" s="126">
        <v>4000</v>
      </c>
      <c r="F18252" s="126"/>
      <c r="G18252" s="126">
        <f t="shared" ref="G18252:G18255" si="300">F18252-E18252</f>
        <v>-4000</v>
      </c>
      <c r="H18252" s="705" t="s">
        <v>12047</v>
      </c>
    </row>
    <row r="18253" spans="1:8" ht="18.75" customHeight="1" x14ac:dyDescent="0.2">
      <c r="A18253" s="734">
        <v>45311</v>
      </c>
      <c r="B18253" s="63" t="s">
        <v>11089</v>
      </c>
      <c r="C18253" s="63" t="s">
        <v>2796</v>
      </c>
      <c r="D18253" s="183" t="s">
        <v>12225</v>
      </c>
      <c r="E18253" s="126">
        <v>1500</v>
      </c>
      <c r="F18253" s="126"/>
      <c r="G18253" s="126">
        <f t="shared" si="300"/>
        <v>-1500</v>
      </c>
      <c r="H18253" s="705" t="s">
        <v>12047</v>
      </c>
    </row>
    <row r="18254" spans="1:8" ht="18.75" customHeight="1" x14ac:dyDescent="0.2">
      <c r="A18254" s="734">
        <v>45311</v>
      </c>
      <c r="B18254" s="63" t="s">
        <v>10908</v>
      </c>
      <c r="C18254" s="63" t="s">
        <v>10993</v>
      </c>
      <c r="D18254" s="183" t="s">
        <v>12226</v>
      </c>
      <c r="E18254" s="126">
        <v>350</v>
      </c>
      <c r="F18254" s="126"/>
      <c r="G18254" s="126">
        <f t="shared" si="300"/>
        <v>-350</v>
      </c>
      <c r="H18254" s="705" t="s">
        <v>12047</v>
      </c>
    </row>
    <row r="18255" spans="1:8" ht="18.75" customHeight="1" x14ac:dyDescent="0.2">
      <c r="A18255" s="734">
        <v>45311</v>
      </c>
      <c r="B18255" s="63" t="s">
        <v>10908</v>
      </c>
      <c r="C18255" s="63" t="s">
        <v>286</v>
      </c>
      <c r="D18255" s="183" t="s">
        <v>6603</v>
      </c>
      <c r="E18255" s="126">
        <v>150</v>
      </c>
      <c r="F18255" s="126"/>
      <c r="G18255" s="126">
        <f t="shared" si="300"/>
        <v>-150</v>
      </c>
      <c r="H18255" s="705" t="s">
        <v>12047</v>
      </c>
    </row>
    <row r="18256" spans="1:8" ht="18.75" customHeight="1" x14ac:dyDescent="0.2">
      <c r="A18256" s="734">
        <v>45311</v>
      </c>
      <c r="B18256" s="63" t="s">
        <v>10908</v>
      </c>
      <c r="C18256" s="63" t="s">
        <v>10993</v>
      </c>
      <c r="D18256" s="183" t="s">
        <v>12227</v>
      </c>
      <c r="E18256" s="126">
        <v>20500</v>
      </c>
      <c r="F18256" s="126"/>
      <c r="G18256" s="126">
        <f t="shared" ref="G18256:G18259" si="301">F18256-E18256</f>
        <v>-20500</v>
      </c>
      <c r="H18256" s="705" t="s">
        <v>12047</v>
      </c>
    </row>
    <row r="18257" spans="1:8" ht="18.75" customHeight="1" x14ac:dyDescent="0.2">
      <c r="A18257" s="734">
        <v>45311</v>
      </c>
      <c r="B18257" s="63" t="s">
        <v>392</v>
      </c>
      <c r="C18257" s="63" t="s">
        <v>5410</v>
      </c>
      <c r="D18257" s="183" t="s">
        <v>12228</v>
      </c>
      <c r="E18257" s="126">
        <v>5000</v>
      </c>
      <c r="F18257" s="126"/>
      <c r="G18257" s="126">
        <f t="shared" si="301"/>
        <v>-5000</v>
      </c>
      <c r="H18257" s="705" t="s">
        <v>12047</v>
      </c>
    </row>
    <row r="18258" spans="1:8" ht="18.75" customHeight="1" x14ac:dyDescent="0.2">
      <c r="A18258" s="734">
        <v>45311</v>
      </c>
      <c r="B18258" s="63" t="s">
        <v>11897</v>
      </c>
      <c r="C18258" s="63" t="s">
        <v>5741</v>
      </c>
      <c r="D18258" s="183" t="s">
        <v>12229</v>
      </c>
      <c r="E18258" s="126">
        <v>3000</v>
      </c>
      <c r="F18258" s="126"/>
      <c r="G18258" s="126">
        <f t="shared" si="301"/>
        <v>-3000</v>
      </c>
      <c r="H18258" s="705" t="s">
        <v>12047</v>
      </c>
    </row>
    <row r="18259" spans="1:8" ht="18.75" customHeight="1" x14ac:dyDescent="0.2">
      <c r="A18259" s="734">
        <v>45311</v>
      </c>
      <c r="B18259" s="63" t="s">
        <v>8559</v>
      </c>
      <c r="C18259" s="63" t="s">
        <v>10993</v>
      </c>
      <c r="D18259" s="183" t="s">
        <v>12230</v>
      </c>
      <c r="E18259" s="126">
        <v>12080</v>
      </c>
      <c r="F18259" s="126"/>
      <c r="G18259" s="126">
        <f t="shared" si="301"/>
        <v>-12080</v>
      </c>
      <c r="H18259" s="705" t="s">
        <v>12047</v>
      </c>
    </row>
    <row r="18260" spans="1:8" ht="18.75" customHeight="1" x14ac:dyDescent="0.2">
      <c r="A18260" s="734">
        <v>45311</v>
      </c>
      <c r="B18260" s="63" t="s">
        <v>103</v>
      </c>
      <c r="C18260" s="63" t="s">
        <v>103</v>
      </c>
      <c r="D18260" s="183" t="s">
        <v>8513</v>
      </c>
      <c r="E18260" s="126">
        <v>1000</v>
      </c>
      <c r="F18260" s="126"/>
      <c r="G18260" s="126">
        <f t="shared" ref="G18260:G18266" si="302">F18260-E18260</f>
        <v>-1000</v>
      </c>
      <c r="H18260" s="705" t="s">
        <v>12047</v>
      </c>
    </row>
    <row r="18261" spans="1:8" ht="18.75" customHeight="1" x14ac:dyDescent="0.2">
      <c r="A18261" s="734">
        <v>45311</v>
      </c>
      <c r="B18261" s="63" t="s">
        <v>10908</v>
      </c>
      <c r="C18261" s="63" t="s">
        <v>392</v>
      </c>
      <c r="D18261" s="183" t="s">
        <v>12231</v>
      </c>
      <c r="E18261" s="126">
        <v>120</v>
      </c>
      <c r="F18261" s="126"/>
      <c r="G18261" s="126">
        <f t="shared" si="302"/>
        <v>-120</v>
      </c>
      <c r="H18261" s="705" t="s">
        <v>12047</v>
      </c>
    </row>
    <row r="18262" spans="1:8" ht="18.75" customHeight="1" x14ac:dyDescent="0.2">
      <c r="A18262" s="734">
        <v>45311</v>
      </c>
      <c r="B18262" s="63" t="s">
        <v>11738</v>
      </c>
      <c r="C18262" s="63" t="s">
        <v>10993</v>
      </c>
      <c r="D18262" s="183" t="s">
        <v>12232</v>
      </c>
      <c r="E18262" s="126">
        <v>16200</v>
      </c>
      <c r="F18262" s="126"/>
      <c r="G18262" s="126">
        <f t="shared" si="302"/>
        <v>-16200</v>
      </c>
      <c r="H18262" s="705" t="s">
        <v>12047</v>
      </c>
    </row>
    <row r="18263" spans="1:8" ht="18.75" customHeight="1" x14ac:dyDescent="0.2">
      <c r="A18263" s="734">
        <v>45311</v>
      </c>
      <c r="B18263" s="63" t="s">
        <v>11738</v>
      </c>
      <c r="C18263" s="63" t="s">
        <v>10993</v>
      </c>
      <c r="D18263" s="183" t="s">
        <v>6486</v>
      </c>
      <c r="E18263" s="126">
        <v>5050</v>
      </c>
      <c r="F18263" s="126"/>
      <c r="G18263" s="126">
        <f t="shared" si="302"/>
        <v>-5050</v>
      </c>
      <c r="H18263" s="705" t="s">
        <v>12047</v>
      </c>
    </row>
    <row r="18264" spans="1:8" ht="18.75" customHeight="1" x14ac:dyDescent="0.2">
      <c r="A18264" s="734">
        <v>45311</v>
      </c>
      <c r="B18264" s="63" t="s">
        <v>11089</v>
      </c>
      <c r="C18264" s="63" t="s">
        <v>10993</v>
      </c>
      <c r="D18264" s="183" t="s">
        <v>9917</v>
      </c>
      <c r="E18264" s="126">
        <v>4760</v>
      </c>
      <c r="F18264" s="126"/>
      <c r="G18264" s="126">
        <f t="shared" si="302"/>
        <v>-4760</v>
      </c>
      <c r="H18264" s="705" t="s">
        <v>12047</v>
      </c>
    </row>
    <row r="18265" spans="1:8" ht="18.75" customHeight="1" x14ac:dyDescent="0.2">
      <c r="A18265" s="734">
        <v>45311</v>
      </c>
      <c r="B18265" s="63" t="s">
        <v>11728</v>
      </c>
      <c r="C18265" s="63" t="s">
        <v>10993</v>
      </c>
      <c r="D18265" s="183" t="s">
        <v>12233</v>
      </c>
      <c r="E18265" s="126">
        <v>32000</v>
      </c>
      <c r="F18265" s="126"/>
      <c r="G18265" s="126">
        <f t="shared" si="302"/>
        <v>-32000</v>
      </c>
      <c r="H18265" s="705" t="s">
        <v>12047</v>
      </c>
    </row>
    <row r="18266" spans="1:8" ht="18.75" customHeight="1" x14ac:dyDescent="0.2">
      <c r="A18266" s="734">
        <v>45311</v>
      </c>
      <c r="B18266" s="63" t="s">
        <v>11897</v>
      </c>
      <c r="C18266" s="63" t="s">
        <v>10993</v>
      </c>
      <c r="D18266" s="183" t="s">
        <v>4309</v>
      </c>
      <c r="E18266" s="126">
        <v>9458</v>
      </c>
      <c r="F18266" s="126"/>
      <c r="G18266" s="126">
        <f t="shared" si="302"/>
        <v>-9458</v>
      </c>
      <c r="H18266" s="705" t="s">
        <v>12047</v>
      </c>
    </row>
    <row r="18267" spans="1:8" ht="18.75" customHeight="1" x14ac:dyDescent="0.2">
      <c r="A18267" s="734">
        <v>45313</v>
      </c>
      <c r="B18267" s="63" t="s">
        <v>103</v>
      </c>
      <c r="C18267" s="63" t="s">
        <v>103</v>
      </c>
      <c r="D18267" s="183" t="s">
        <v>3843</v>
      </c>
      <c r="E18267" s="126">
        <v>3000</v>
      </c>
      <c r="F18267" s="126"/>
      <c r="G18267" s="126">
        <f t="shared" ref="G18267" si="303">F18267-E18267</f>
        <v>-3000</v>
      </c>
      <c r="H18267" s="705" t="s">
        <v>12047</v>
      </c>
    </row>
    <row r="18268" spans="1:8" ht="18.75" customHeight="1" x14ac:dyDescent="0.2">
      <c r="A18268" s="734">
        <v>45313</v>
      </c>
      <c r="B18268" s="63" t="s">
        <v>11897</v>
      </c>
      <c r="C18268" s="63" t="s">
        <v>10993</v>
      </c>
      <c r="D18268" s="183" t="s">
        <v>11563</v>
      </c>
      <c r="E18268" s="126">
        <v>4550</v>
      </c>
      <c r="F18268" s="126"/>
      <c r="G18268" s="126">
        <f t="shared" ref="G18268:G18283" si="304">F18268-E18268</f>
        <v>-4550</v>
      </c>
      <c r="H18268" s="705" t="s">
        <v>12047</v>
      </c>
    </row>
    <row r="18269" spans="1:8" ht="18.75" customHeight="1" x14ac:dyDescent="0.2">
      <c r="A18269" s="734">
        <v>45313</v>
      </c>
      <c r="B18269" s="63" t="s">
        <v>11897</v>
      </c>
      <c r="C18269" s="63" t="s">
        <v>5741</v>
      </c>
      <c r="D18269" s="183" t="s">
        <v>10337</v>
      </c>
      <c r="E18269" s="126">
        <v>400</v>
      </c>
      <c r="F18269" s="126"/>
      <c r="G18269" s="126">
        <f t="shared" si="304"/>
        <v>-400</v>
      </c>
      <c r="H18269" s="705" t="s">
        <v>12047</v>
      </c>
    </row>
    <row r="18270" spans="1:8" ht="18.75" customHeight="1" x14ac:dyDescent="0.2">
      <c r="A18270" s="734">
        <v>45313</v>
      </c>
      <c r="B18270" s="63" t="s">
        <v>10908</v>
      </c>
      <c r="C18270" s="63" t="s">
        <v>5387</v>
      </c>
      <c r="D18270" s="183" t="s">
        <v>12288</v>
      </c>
      <c r="E18270" s="126">
        <v>400</v>
      </c>
      <c r="F18270" s="126"/>
      <c r="G18270" s="126">
        <f t="shared" si="304"/>
        <v>-400</v>
      </c>
      <c r="H18270" s="705" t="s">
        <v>12047</v>
      </c>
    </row>
    <row r="18271" spans="1:8" ht="18.75" customHeight="1" x14ac:dyDescent="0.2">
      <c r="A18271" s="734">
        <v>45313</v>
      </c>
      <c r="B18271" s="63" t="s">
        <v>11635</v>
      </c>
      <c r="C18271" s="63" t="s">
        <v>10993</v>
      </c>
      <c r="D18271" s="183" t="s">
        <v>12289</v>
      </c>
      <c r="E18271" s="126">
        <v>5000</v>
      </c>
      <c r="F18271" s="126"/>
      <c r="G18271" s="126">
        <f t="shared" si="304"/>
        <v>-5000</v>
      </c>
      <c r="H18271" s="705" t="s">
        <v>12047</v>
      </c>
    </row>
    <row r="18272" spans="1:8" ht="18.75" customHeight="1" x14ac:dyDescent="0.2">
      <c r="A18272" s="734">
        <v>45313</v>
      </c>
      <c r="B18272" s="63" t="s">
        <v>11897</v>
      </c>
      <c r="C18272" s="670" t="s">
        <v>10993</v>
      </c>
      <c r="D18272" s="907" t="s">
        <v>12290</v>
      </c>
      <c r="E18272" s="672">
        <v>84000</v>
      </c>
      <c r="F18272" s="126"/>
      <c r="G18272" s="126">
        <f t="shared" si="304"/>
        <v>-84000</v>
      </c>
      <c r="H18272" s="705" t="s">
        <v>12047</v>
      </c>
    </row>
    <row r="18273" spans="1:8" ht="18.75" customHeight="1" x14ac:dyDescent="0.2">
      <c r="A18273" s="734">
        <v>45313</v>
      </c>
      <c r="B18273" s="63" t="s">
        <v>10908</v>
      </c>
      <c r="C18273" s="670" t="s">
        <v>10993</v>
      </c>
      <c r="D18273" s="907" t="s">
        <v>12290</v>
      </c>
      <c r="E18273" s="672">
        <v>50000</v>
      </c>
      <c r="F18273" s="126"/>
      <c r="G18273" s="126">
        <f t="shared" si="304"/>
        <v>-50000</v>
      </c>
      <c r="H18273" s="705" t="s">
        <v>12047</v>
      </c>
    </row>
    <row r="18274" spans="1:8" ht="18.75" customHeight="1" x14ac:dyDescent="0.2">
      <c r="A18274" s="734">
        <v>45313</v>
      </c>
      <c r="B18274" s="63" t="s">
        <v>12207</v>
      </c>
      <c r="C18274" s="670" t="s">
        <v>10993</v>
      </c>
      <c r="D18274" s="907" t="s">
        <v>12290</v>
      </c>
      <c r="E18274" s="672">
        <v>27180</v>
      </c>
      <c r="F18274" s="126"/>
      <c r="G18274" s="126">
        <f t="shared" si="304"/>
        <v>-27180</v>
      </c>
      <c r="H18274" s="705" t="s">
        <v>12047</v>
      </c>
    </row>
    <row r="18275" spans="1:8" ht="18.75" customHeight="1" x14ac:dyDescent="0.2">
      <c r="A18275" s="734">
        <v>45313</v>
      </c>
      <c r="B18275" s="63" t="s">
        <v>10232</v>
      </c>
      <c r="C18275" s="670" t="s">
        <v>10993</v>
      </c>
      <c r="D18275" s="907" t="s">
        <v>12290</v>
      </c>
      <c r="E18275" s="672">
        <v>5600</v>
      </c>
      <c r="F18275" s="126"/>
      <c r="G18275" s="126">
        <f t="shared" si="304"/>
        <v>-5600</v>
      </c>
      <c r="H18275" s="705" t="s">
        <v>12047</v>
      </c>
    </row>
    <row r="18276" spans="1:8" ht="18.75" customHeight="1" x14ac:dyDescent="0.2">
      <c r="A18276" s="734">
        <v>45313</v>
      </c>
      <c r="B18276" s="63" t="s">
        <v>11635</v>
      </c>
      <c r="C18276" s="670" t="s">
        <v>10993</v>
      </c>
      <c r="D18276" s="907" t="s">
        <v>12290</v>
      </c>
      <c r="E18276" s="672">
        <v>11580</v>
      </c>
      <c r="F18276" s="126"/>
      <c r="G18276" s="126">
        <f t="shared" si="304"/>
        <v>-11580</v>
      </c>
      <c r="H18276" s="705" t="s">
        <v>12047</v>
      </c>
    </row>
    <row r="18277" spans="1:8" ht="18.75" customHeight="1" x14ac:dyDescent="0.2">
      <c r="A18277" s="734">
        <v>45313</v>
      </c>
      <c r="B18277" s="63" t="s">
        <v>11728</v>
      </c>
      <c r="C18277" s="670" t="s">
        <v>10993</v>
      </c>
      <c r="D18277" s="907" t="s">
        <v>12290</v>
      </c>
      <c r="E18277" s="672">
        <v>29535</v>
      </c>
      <c r="F18277" s="126"/>
      <c r="G18277" s="126">
        <f t="shared" si="304"/>
        <v>-29535</v>
      </c>
      <c r="H18277" s="705" t="s">
        <v>12047</v>
      </c>
    </row>
    <row r="18278" spans="1:8" ht="18.75" customHeight="1" x14ac:dyDescent="0.2">
      <c r="A18278" s="734">
        <v>45313</v>
      </c>
      <c r="B18278" s="63" t="s">
        <v>12207</v>
      </c>
      <c r="C18278" s="63" t="s">
        <v>11099</v>
      </c>
      <c r="D18278" s="183" t="s">
        <v>12291</v>
      </c>
      <c r="E18278" s="126">
        <v>50000</v>
      </c>
      <c r="F18278" s="126"/>
      <c r="G18278" s="126">
        <f t="shared" si="304"/>
        <v>-50000</v>
      </c>
      <c r="H18278" s="705" t="s">
        <v>12047</v>
      </c>
    </row>
    <row r="18279" spans="1:8" ht="18.75" customHeight="1" x14ac:dyDescent="0.2">
      <c r="A18279" s="734">
        <v>45313</v>
      </c>
      <c r="B18279" s="63" t="s">
        <v>11897</v>
      </c>
      <c r="C18279" s="63" t="s">
        <v>11536</v>
      </c>
      <c r="D18279" s="183" t="s">
        <v>12292</v>
      </c>
      <c r="E18279" s="126">
        <v>200000</v>
      </c>
      <c r="F18279" s="126"/>
      <c r="G18279" s="126">
        <f t="shared" si="304"/>
        <v>-200000</v>
      </c>
      <c r="H18279" s="705" t="s">
        <v>12047</v>
      </c>
    </row>
    <row r="18280" spans="1:8" ht="18.75" customHeight="1" x14ac:dyDescent="0.2">
      <c r="A18280" s="734">
        <v>45314</v>
      </c>
      <c r="B18280" s="63" t="s">
        <v>11089</v>
      </c>
      <c r="C18280" s="63" t="s">
        <v>11896</v>
      </c>
      <c r="D18280" s="183" t="s">
        <v>12293</v>
      </c>
      <c r="E18280" s="126">
        <v>400000</v>
      </c>
      <c r="F18280" s="126"/>
      <c r="G18280" s="126">
        <f t="shared" si="304"/>
        <v>-400000</v>
      </c>
      <c r="H18280" s="705" t="s">
        <v>12047</v>
      </c>
    </row>
    <row r="18281" spans="1:8" ht="15" x14ac:dyDescent="0.2">
      <c r="A18281" s="734">
        <v>45314</v>
      </c>
      <c r="B18281" s="63" t="s">
        <v>11897</v>
      </c>
      <c r="C18281" s="670" t="s">
        <v>10993</v>
      </c>
      <c r="D18281" s="907" t="s">
        <v>12294</v>
      </c>
      <c r="E18281" s="672">
        <v>32500</v>
      </c>
      <c r="F18281" s="126"/>
      <c r="G18281" s="126">
        <f t="shared" si="304"/>
        <v>-32500</v>
      </c>
      <c r="H18281" s="705" t="s">
        <v>12047</v>
      </c>
    </row>
    <row r="18282" spans="1:8" ht="15" x14ac:dyDescent="0.2">
      <c r="A18282" s="734">
        <v>45314</v>
      </c>
      <c r="B18282" s="63" t="s">
        <v>10908</v>
      </c>
      <c r="C18282" s="670" t="s">
        <v>10993</v>
      </c>
      <c r="D18282" s="907" t="s">
        <v>12294</v>
      </c>
      <c r="E18282" s="672">
        <v>32500</v>
      </c>
      <c r="F18282" s="126"/>
      <c r="G18282" s="126">
        <f t="shared" si="304"/>
        <v>-32500</v>
      </c>
      <c r="H18282" s="705" t="s">
        <v>12047</v>
      </c>
    </row>
    <row r="18283" spans="1:8" ht="15" x14ac:dyDescent="0.2">
      <c r="A18283" s="734">
        <v>45314</v>
      </c>
      <c r="B18283" s="63" t="s">
        <v>12207</v>
      </c>
      <c r="C18283" s="670" t="s">
        <v>10993</v>
      </c>
      <c r="D18283" s="907" t="s">
        <v>12294</v>
      </c>
      <c r="E18283" s="672">
        <v>32500</v>
      </c>
      <c r="F18283" s="126"/>
      <c r="G18283" s="126">
        <f t="shared" si="304"/>
        <v>-32500</v>
      </c>
      <c r="H18283" s="705" t="s">
        <v>12047</v>
      </c>
    </row>
    <row r="18284" spans="1:8" ht="15" x14ac:dyDescent="0.2">
      <c r="A18284" s="734">
        <v>45314</v>
      </c>
      <c r="B18284" s="63" t="s">
        <v>11897</v>
      </c>
      <c r="C18284" s="63" t="s">
        <v>5741</v>
      </c>
      <c r="D18284" s="183" t="s">
        <v>370</v>
      </c>
      <c r="E18284" s="126">
        <v>500</v>
      </c>
      <c r="F18284" s="126"/>
      <c r="G18284" s="126">
        <f t="shared" ref="G18284:G18290" si="305">F18284-E18284</f>
        <v>-500</v>
      </c>
      <c r="H18284" s="705" t="s">
        <v>12047</v>
      </c>
    </row>
    <row r="18285" spans="1:8" ht="15" x14ac:dyDescent="0.2">
      <c r="A18285" s="734">
        <v>45314</v>
      </c>
      <c r="B18285" s="63" t="s">
        <v>11897</v>
      </c>
      <c r="C18285" s="670" t="s">
        <v>10993</v>
      </c>
      <c r="D18285" s="907" t="s">
        <v>12309</v>
      </c>
      <c r="E18285" s="672">
        <v>7200</v>
      </c>
      <c r="F18285" s="126"/>
      <c r="G18285" s="126">
        <f t="shared" si="305"/>
        <v>-7200</v>
      </c>
      <c r="H18285" s="705" t="s">
        <v>12047</v>
      </c>
    </row>
    <row r="18286" spans="1:8" ht="15" x14ac:dyDescent="0.2">
      <c r="A18286" s="734">
        <v>45314</v>
      </c>
      <c r="B18286" s="63" t="s">
        <v>10908</v>
      </c>
      <c r="C18286" s="670" t="s">
        <v>10993</v>
      </c>
      <c r="D18286" s="907" t="s">
        <v>12309</v>
      </c>
      <c r="E18286" s="672">
        <v>7200</v>
      </c>
      <c r="F18286" s="126"/>
      <c r="G18286" s="126">
        <f t="shared" si="305"/>
        <v>-7200</v>
      </c>
      <c r="H18286" s="705" t="s">
        <v>12047</v>
      </c>
    </row>
    <row r="18287" spans="1:8" ht="15" x14ac:dyDescent="0.2">
      <c r="A18287" s="734">
        <v>45314</v>
      </c>
      <c r="B18287" s="63" t="s">
        <v>12207</v>
      </c>
      <c r="C18287" s="670" t="s">
        <v>10993</v>
      </c>
      <c r="D18287" s="907" t="s">
        <v>12309</v>
      </c>
      <c r="E18287" s="672">
        <v>7200</v>
      </c>
      <c r="F18287" s="126"/>
      <c r="G18287" s="126">
        <f t="shared" si="305"/>
        <v>-7200</v>
      </c>
      <c r="H18287" s="705" t="s">
        <v>12047</v>
      </c>
    </row>
    <row r="18288" spans="1:8" ht="15" x14ac:dyDescent="0.2">
      <c r="A18288" s="734">
        <v>45314</v>
      </c>
      <c r="B18288" s="63" t="s">
        <v>11897</v>
      </c>
      <c r="C18288" s="566" t="s">
        <v>10993</v>
      </c>
      <c r="D18288" s="875" t="s">
        <v>12310</v>
      </c>
      <c r="E18288" s="567">
        <v>3000</v>
      </c>
      <c r="F18288" s="126"/>
      <c r="G18288" s="126">
        <f t="shared" si="305"/>
        <v>-3000</v>
      </c>
      <c r="H18288" s="705" t="s">
        <v>12047</v>
      </c>
    </row>
    <row r="18289" spans="1:8" ht="15" x14ac:dyDescent="0.2">
      <c r="A18289" s="734">
        <v>45314</v>
      </c>
      <c r="B18289" s="63" t="s">
        <v>10908</v>
      </c>
      <c r="C18289" s="566" t="s">
        <v>10993</v>
      </c>
      <c r="D18289" s="875" t="s">
        <v>12310</v>
      </c>
      <c r="E18289" s="567">
        <v>3000</v>
      </c>
      <c r="F18289" s="126"/>
      <c r="G18289" s="126">
        <f t="shared" si="305"/>
        <v>-3000</v>
      </c>
      <c r="H18289" s="705" t="s">
        <v>12047</v>
      </c>
    </row>
    <row r="18290" spans="1:8" ht="15" x14ac:dyDescent="0.2">
      <c r="A18290" s="734">
        <v>45314</v>
      </c>
      <c r="B18290" s="63" t="s">
        <v>12207</v>
      </c>
      <c r="C18290" s="566" t="s">
        <v>10993</v>
      </c>
      <c r="D18290" s="875" t="s">
        <v>12310</v>
      </c>
      <c r="E18290" s="567">
        <v>3000</v>
      </c>
      <c r="F18290" s="126"/>
      <c r="G18290" s="126">
        <f t="shared" si="305"/>
        <v>-3000</v>
      </c>
      <c r="H18290" s="705" t="s">
        <v>12047</v>
      </c>
    </row>
    <row r="18291" spans="1:8" ht="15" x14ac:dyDescent="0.2">
      <c r="A18291" s="734">
        <v>45314</v>
      </c>
      <c r="B18291" s="63" t="s">
        <v>10908</v>
      </c>
      <c r="C18291" s="63" t="s">
        <v>5741</v>
      </c>
      <c r="D18291" s="183" t="s">
        <v>370</v>
      </c>
      <c r="E18291" s="126">
        <v>2600</v>
      </c>
      <c r="F18291" s="126"/>
      <c r="G18291" s="126">
        <f t="shared" ref="G18291:G18293" si="306">F18291-E18291</f>
        <v>-2600</v>
      </c>
      <c r="H18291" s="705" t="s">
        <v>12047</v>
      </c>
    </row>
    <row r="18292" spans="1:8" ht="15" x14ac:dyDescent="0.2">
      <c r="A18292" s="734">
        <v>45314</v>
      </c>
      <c r="B18292" s="63" t="s">
        <v>11089</v>
      </c>
      <c r="C18292" s="670" t="s">
        <v>10993</v>
      </c>
      <c r="D18292" s="907" t="s">
        <v>12295</v>
      </c>
      <c r="E18292" s="672">
        <v>37840</v>
      </c>
      <c r="F18292" s="126"/>
      <c r="G18292" s="126">
        <f t="shared" si="306"/>
        <v>-37840</v>
      </c>
      <c r="H18292" s="705" t="s">
        <v>12047</v>
      </c>
    </row>
    <row r="18293" spans="1:8" ht="15" x14ac:dyDescent="0.2">
      <c r="A18293" s="734">
        <v>45314</v>
      </c>
      <c r="B18293" s="63" t="s">
        <v>8559</v>
      </c>
      <c r="C18293" s="670" t="s">
        <v>10993</v>
      </c>
      <c r="D18293" s="907" t="s">
        <v>12295</v>
      </c>
      <c r="E18293" s="672">
        <v>11000</v>
      </c>
      <c r="F18293" s="126"/>
      <c r="G18293" s="126">
        <f t="shared" si="306"/>
        <v>-11000</v>
      </c>
      <c r="H18293" s="705" t="s">
        <v>12047</v>
      </c>
    </row>
    <row r="18294" spans="1:8" ht="15" x14ac:dyDescent="0.2">
      <c r="A18294" s="734">
        <v>45315</v>
      </c>
      <c r="B18294" s="63" t="s">
        <v>10179</v>
      </c>
      <c r="C18294" s="63" t="s">
        <v>10993</v>
      </c>
      <c r="D18294" s="183" t="s">
        <v>12296</v>
      </c>
      <c r="E18294" s="126">
        <v>1500</v>
      </c>
      <c r="F18294" s="126"/>
      <c r="G18294" s="126">
        <f t="shared" ref="G18294:G18298" si="307">F18294-E18294</f>
        <v>-1500</v>
      </c>
      <c r="H18294" s="705" t="s">
        <v>12047</v>
      </c>
    </row>
    <row r="18295" spans="1:8" ht="15" x14ac:dyDescent="0.2">
      <c r="A18295" s="734">
        <v>45315</v>
      </c>
      <c r="B18295" s="63" t="s">
        <v>11738</v>
      </c>
      <c r="C18295" s="63" t="s">
        <v>10993</v>
      </c>
      <c r="D18295" s="183" t="s">
        <v>12297</v>
      </c>
      <c r="E18295" s="126">
        <v>1500</v>
      </c>
      <c r="F18295" s="126"/>
      <c r="G18295" s="126">
        <f t="shared" si="307"/>
        <v>-1500</v>
      </c>
      <c r="H18295" s="705" t="s">
        <v>12047</v>
      </c>
    </row>
    <row r="18296" spans="1:8" ht="15" x14ac:dyDescent="0.2">
      <c r="A18296" s="734">
        <v>45315</v>
      </c>
      <c r="B18296" s="63" t="s">
        <v>103</v>
      </c>
      <c r="C18296" s="63" t="s">
        <v>103</v>
      </c>
      <c r="D18296" s="183" t="s">
        <v>3843</v>
      </c>
      <c r="E18296" s="126">
        <v>5000</v>
      </c>
      <c r="F18296" s="126"/>
      <c r="G18296" s="126">
        <f t="shared" si="307"/>
        <v>-5000</v>
      </c>
      <c r="H18296" s="705" t="s">
        <v>12047</v>
      </c>
    </row>
    <row r="18297" spans="1:8" ht="15" x14ac:dyDescent="0.2">
      <c r="A18297" s="734">
        <v>45315</v>
      </c>
      <c r="B18297" s="63" t="s">
        <v>12298</v>
      </c>
      <c r="C18297" s="63" t="s">
        <v>12299</v>
      </c>
      <c r="D18297" s="183" t="s">
        <v>6927</v>
      </c>
      <c r="E18297" s="126">
        <v>11000</v>
      </c>
      <c r="F18297" s="126"/>
      <c r="G18297" s="126">
        <f t="shared" si="307"/>
        <v>-11000</v>
      </c>
      <c r="H18297" s="705" t="s">
        <v>12047</v>
      </c>
    </row>
    <row r="18298" spans="1:8" ht="15" x14ac:dyDescent="0.2">
      <c r="A18298" s="734">
        <v>45315</v>
      </c>
      <c r="B18298" s="63" t="s">
        <v>8876</v>
      </c>
      <c r="C18298" s="63" t="s">
        <v>12299</v>
      </c>
      <c r="D18298" s="183" t="s">
        <v>6927</v>
      </c>
      <c r="E18298" s="126">
        <v>20000</v>
      </c>
      <c r="F18298" s="126"/>
      <c r="G18298" s="126">
        <f t="shared" si="307"/>
        <v>-20000</v>
      </c>
      <c r="H18298" s="705" t="s">
        <v>12047</v>
      </c>
    </row>
    <row r="18299" spans="1:8" ht="15" x14ac:dyDescent="0.2">
      <c r="A18299" s="734">
        <v>45315</v>
      </c>
      <c r="B18299" s="63" t="s">
        <v>37</v>
      </c>
      <c r="C18299" s="63" t="s">
        <v>794</v>
      </c>
      <c r="D18299" s="183" t="s">
        <v>12300</v>
      </c>
      <c r="E18299" s="126">
        <v>3500</v>
      </c>
      <c r="F18299" s="126"/>
      <c r="G18299" s="126">
        <f t="shared" ref="G18299:G18306" si="308">F18299-E18299</f>
        <v>-3500</v>
      </c>
      <c r="H18299" s="705" t="s">
        <v>12047</v>
      </c>
    </row>
    <row r="18300" spans="1:8" ht="15" x14ac:dyDescent="0.2">
      <c r="A18300" s="734">
        <v>45315</v>
      </c>
      <c r="B18300" s="63" t="s">
        <v>37</v>
      </c>
      <c r="C18300" s="63" t="s">
        <v>286</v>
      </c>
      <c r="D18300" s="183" t="s">
        <v>370</v>
      </c>
      <c r="E18300" s="126">
        <v>700</v>
      </c>
      <c r="F18300" s="126"/>
      <c r="G18300" s="126">
        <f t="shared" si="308"/>
        <v>-700</v>
      </c>
      <c r="H18300" s="705" t="s">
        <v>12047</v>
      </c>
    </row>
    <row r="18301" spans="1:8" ht="15" x14ac:dyDescent="0.2">
      <c r="A18301" s="734">
        <v>45315</v>
      </c>
      <c r="B18301" s="63" t="s">
        <v>11635</v>
      </c>
      <c r="C18301" s="63" t="s">
        <v>11418</v>
      </c>
      <c r="D18301" s="183" t="s">
        <v>12301</v>
      </c>
      <c r="E18301" s="126">
        <v>19000</v>
      </c>
      <c r="F18301" s="126"/>
      <c r="G18301" s="126">
        <f t="shared" si="308"/>
        <v>-19000</v>
      </c>
      <c r="H18301" s="705" t="s">
        <v>12047</v>
      </c>
    </row>
    <row r="18302" spans="1:8" ht="15" x14ac:dyDescent="0.2">
      <c r="A18302" s="734">
        <v>45315</v>
      </c>
      <c r="B18302" s="63" t="s">
        <v>10232</v>
      </c>
      <c r="C18302" s="63" t="s">
        <v>7467</v>
      </c>
      <c r="D18302" s="183" t="s">
        <v>12036</v>
      </c>
      <c r="E18302" s="126">
        <v>1000000</v>
      </c>
      <c r="F18302" s="126"/>
      <c r="G18302" s="126">
        <f t="shared" si="308"/>
        <v>-1000000</v>
      </c>
      <c r="H18302" s="705" t="s">
        <v>12047</v>
      </c>
    </row>
    <row r="18303" spans="1:8" ht="15" x14ac:dyDescent="0.2">
      <c r="A18303" s="734">
        <v>45315</v>
      </c>
      <c r="B18303" s="63" t="s">
        <v>11897</v>
      </c>
      <c r="C18303" s="63" t="s">
        <v>11898</v>
      </c>
      <c r="D18303" s="183" t="s">
        <v>12303</v>
      </c>
      <c r="E18303" s="126">
        <v>500000</v>
      </c>
      <c r="F18303" s="126"/>
      <c r="G18303" s="126">
        <f t="shared" si="308"/>
        <v>-500000</v>
      </c>
      <c r="H18303" s="705" t="s">
        <v>12047</v>
      </c>
    </row>
    <row r="18304" spans="1:8" ht="15" x14ac:dyDescent="0.2">
      <c r="A18304" s="734">
        <v>45315</v>
      </c>
      <c r="B18304" s="63" t="s">
        <v>12207</v>
      </c>
      <c r="C18304" s="63" t="s">
        <v>11725</v>
      </c>
      <c r="D18304" s="183" t="s">
        <v>12303</v>
      </c>
      <c r="E18304" s="126">
        <v>150000</v>
      </c>
      <c r="F18304" s="126"/>
      <c r="G18304" s="126">
        <f t="shared" si="308"/>
        <v>-150000</v>
      </c>
      <c r="H18304" s="705" t="s">
        <v>12047</v>
      </c>
    </row>
    <row r="18305" spans="1:8" ht="15" x14ac:dyDescent="0.2">
      <c r="A18305" s="734">
        <v>45315</v>
      </c>
      <c r="B18305" s="63" t="s">
        <v>11089</v>
      </c>
      <c r="C18305" s="63" t="s">
        <v>10993</v>
      </c>
      <c r="D18305" s="183" t="s">
        <v>4966</v>
      </c>
      <c r="E18305" s="126">
        <v>10330</v>
      </c>
      <c r="F18305" s="126"/>
      <c r="G18305" s="126">
        <f t="shared" si="308"/>
        <v>-10330</v>
      </c>
      <c r="H18305" s="705" t="s">
        <v>12047</v>
      </c>
    </row>
    <row r="18306" spans="1:8" ht="15" x14ac:dyDescent="0.2">
      <c r="A18306" s="734">
        <v>45315</v>
      </c>
      <c r="B18306" s="63" t="s">
        <v>11738</v>
      </c>
      <c r="C18306" s="63" t="s">
        <v>10993</v>
      </c>
      <c r="D18306" s="183" t="s">
        <v>12305</v>
      </c>
      <c r="E18306" s="126">
        <v>125960</v>
      </c>
      <c r="F18306" s="126"/>
      <c r="G18306" s="126">
        <f t="shared" si="308"/>
        <v>-125960</v>
      </c>
      <c r="H18306" s="705" t="s">
        <v>12047</v>
      </c>
    </row>
    <row r="18307" spans="1:8" ht="15" x14ac:dyDescent="0.2">
      <c r="A18307" s="734">
        <v>45315</v>
      </c>
      <c r="B18307" s="63" t="s">
        <v>8876</v>
      </c>
      <c r="C18307" s="1099" t="s">
        <v>794</v>
      </c>
      <c r="D18307" s="1102" t="s">
        <v>12306</v>
      </c>
      <c r="E18307" s="126">
        <v>33000</v>
      </c>
      <c r="F18307" s="126"/>
      <c r="G18307" s="126">
        <f t="shared" ref="G18307:G18308" si="309">F18307-E18307</f>
        <v>-33000</v>
      </c>
      <c r="H18307" s="705" t="s">
        <v>12047</v>
      </c>
    </row>
    <row r="18308" spans="1:8" ht="15" x14ac:dyDescent="0.2">
      <c r="A18308" s="734">
        <v>45315</v>
      </c>
      <c r="B18308" s="63" t="s">
        <v>11635</v>
      </c>
      <c r="C18308" s="63" t="s">
        <v>12307</v>
      </c>
      <c r="D18308" s="183" t="s">
        <v>12308</v>
      </c>
      <c r="E18308" s="126">
        <v>50000</v>
      </c>
      <c r="F18308" s="126"/>
      <c r="G18308" s="126">
        <f t="shared" si="309"/>
        <v>-50000</v>
      </c>
      <c r="H18308" s="705" t="s">
        <v>12047</v>
      </c>
    </row>
    <row r="18309" spans="1:8" ht="15" x14ac:dyDescent="0.2">
      <c r="A18309" s="734">
        <v>45316</v>
      </c>
      <c r="B18309" s="63" t="s">
        <v>11089</v>
      </c>
      <c r="C18309" s="63" t="s">
        <v>5741</v>
      </c>
      <c r="D18309" s="183" t="s">
        <v>12317</v>
      </c>
      <c r="E18309" s="126">
        <v>500</v>
      </c>
      <c r="F18309" s="126"/>
      <c r="G18309" s="126">
        <f t="shared" ref="G18309:G18326" si="310">F18309-E18309</f>
        <v>-500</v>
      </c>
      <c r="H18309" s="705" t="s">
        <v>12047</v>
      </c>
    </row>
    <row r="18310" spans="1:8" ht="15" x14ac:dyDescent="0.2">
      <c r="A18310" s="734">
        <v>45316</v>
      </c>
      <c r="B18310" s="63" t="s">
        <v>103</v>
      </c>
      <c r="C18310" s="63" t="s">
        <v>103</v>
      </c>
      <c r="D18310" s="183" t="s">
        <v>3843</v>
      </c>
      <c r="E18310" s="126">
        <v>1500</v>
      </c>
      <c r="F18310" s="126"/>
      <c r="G18310" s="126">
        <f t="shared" si="310"/>
        <v>-1500</v>
      </c>
      <c r="H18310" s="705" t="s">
        <v>12047</v>
      </c>
    </row>
    <row r="18311" spans="1:8" ht="15" x14ac:dyDescent="0.2">
      <c r="A18311" s="734">
        <v>45316</v>
      </c>
      <c r="B18311" s="63" t="s">
        <v>10363</v>
      </c>
      <c r="C18311" s="63" t="s">
        <v>670</v>
      </c>
      <c r="D18311" s="183" t="s">
        <v>2711</v>
      </c>
      <c r="E18311" s="126">
        <v>54400</v>
      </c>
      <c r="F18311" s="126"/>
      <c r="G18311" s="126">
        <f t="shared" si="310"/>
        <v>-54400</v>
      </c>
      <c r="H18311" s="705" t="s">
        <v>12047</v>
      </c>
    </row>
    <row r="18312" spans="1:8" ht="15" x14ac:dyDescent="0.2">
      <c r="A18312" s="734">
        <v>45316</v>
      </c>
      <c r="B18312" s="63" t="s">
        <v>11897</v>
      </c>
      <c r="C18312" s="63" t="s">
        <v>6847</v>
      </c>
      <c r="D18312" s="183" t="s">
        <v>12036</v>
      </c>
      <c r="E18312" s="126">
        <v>500000</v>
      </c>
      <c r="F18312" s="126"/>
      <c r="G18312" s="126">
        <f t="shared" si="310"/>
        <v>-500000</v>
      </c>
      <c r="H18312" s="705" t="s">
        <v>12047</v>
      </c>
    </row>
    <row r="18313" spans="1:8" ht="24" x14ac:dyDescent="0.2">
      <c r="A18313" s="734">
        <v>45316</v>
      </c>
      <c r="B18313" s="63" t="s">
        <v>11897</v>
      </c>
      <c r="C18313" s="63" t="s">
        <v>12319</v>
      </c>
      <c r="D18313" s="183" t="s">
        <v>12320</v>
      </c>
      <c r="E18313" s="126">
        <v>1010000</v>
      </c>
      <c r="F18313" s="126"/>
      <c r="G18313" s="126">
        <f t="shared" si="310"/>
        <v>-1010000</v>
      </c>
      <c r="H18313" s="705" t="s">
        <v>12047</v>
      </c>
    </row>
    <row r="18314" spans="1:8" ht="15" x14ac:dyDescent="0.2">
      <c r="A18314" s="734">
        <v>45316</v>
      </c>
      <c r="B18314" s="63" t="s">
        <v>11897</v>
      </c>
      <c r="C18314" s="63" t="s">
        <v>8394</v>
      </c>
      <c r="D18314" s="183" t="s">
        <v>12318</v>
      </c>
      <c r="E18314" s="126">
        <v>1000000</v>
      </c>
      <c r="F18314" s="126"/>
      <c r="G18314" s="126">
        <f t="shared" si="310"/>
        <v>-1000000</v>
      </c>
      <c r="H18314" s="705" t="s">
        <v>12047</v>
      </c>
    </row>
    <row r="18315" spans="1:8" ht="15" x14ac:dyDescent="0.2">
      <c r="A18315" s="734">
        <v>45316</v>
      </c>
      <c r="B18315" s="736"/>
      <c r="C18315" s="63"/>
      <c r="D18315" s="183" t="s">
        <v>12322</v>
      </c>
      <c r="E18315" s="126">
        <v>480000</v>
      </c>
      <c r="F18315" s="126"/>
      <c r="G18315" s="126">
        <f t="shared" ref="G18315:G18316" si="311">F18315-E18315</f>
        <v>-480000</v>
      </c>
      <c r="H18315" s="705" t="s">
        <v>12047</v>
      </c>
    </row>
    <row r="18316" spans="1:8" ht="15" x14ac:dyDescent="0.2">
      <c r="A18316" s="734">
        <v>45316</v>
      </c>
      <c r="B18316" s="736"/>
      <c r="C18316" s="63"/>
      <c r="D18316" s="183" t="s">
        <v>12322</v>
      </c>
      <c r="E18316" s="126">
        <v>370000</v>
      </c>
      <c r="F18316" s="126"/>
      <c r="G18316" s="126">
        <f t="shared" si="311"/>
        <v>-370000</v>
      </c>
      <c r="H18316" s="705" t="s">
        <v>12047</v>
      </c>
    </row>
    <row r="18317" spans="1:8" ht="15" x14ac:dyDescent="0.2">
      <c r="A18317" s="734">
        <v>45316</v>
      </c>
      <c r="B18317" s="63" t="s">
        <v>11897</v>
      </c>
      <c r="C18317" s="63" t="s">
        <v>11291</v>
      </c>
      <c r="D18317" s="183" t="s">
        <v>12321</v>
      </c>
      <c r="E18317" s="126">
        <v>200000</v>
      </c>
      <c r="F18317" s="126"/>
      <c r="G18317" s="126">
        <f t="shared" si="310"/>
        <v>-200000</v>
      </c>
      <c r="H18317" s="705" t="s">
        <v>12047</v>
      </c>
    </row>
    <row r="18318" spans="1:8" ht="15" x14ac:dyDescent="0.2">
      <c r="A18318" s="734">
        <v>45316</v>
      </c>
      <c r="B18318" s="63" t="s">
        <v>25</v>
      </c>
      <c r="C18318" s="63" t="s">
        <v>8150</v>
      </c>
      <c r="D18318" s="183" t="s">
        <v>6337</v>
      </c>
      <c r="E18318" s="126">
        <v>42810</v>
      </c>
      <c r="F18318" s="126"/>
      <c r="G18318" s="126">
        <f t="shared" ref="G18318:G18323" si="312">F18318-E18318</f>
        <v>-42810</v>
      </c>
      <c r="H18318" s="705" t="s">
        <v>12047</v>
      </c>
    </row>
    <row r="18319" spans="1:8" ht="15" x14ac:dyDescent="0.2">
      <c r="A18319" s="734">
        <v>45316</v>
      </c>
      <c r="B18319" s="63" t="s">
        <v>103</v>
      </c>
      <c r="C18319" s="63" t="s">
        <v>8150</v>
      </c>
      <c r="D18319" s="183" t="s">
        <v>6337</v>
      </c>
      <c r="E18319" s="126">
        <v>18848</v>
      </c>
      <c r="F18319" s="126"/>
      <c r="G18319" s="126">
        <f t="shared" si="312"/>
        <v>-18848</v>
      </c>
      <c r="H18319" s="705" t="s">
        <v>12047</v>
      </c>
    </row>
    <row r="18320" spans="1:8" ht="15" x14ac:dyDescent="0.2">
      <c r="A18320" s="734">
        <v>45316</v>
      </c>
      <c r="B18320" s="63" t="s">
        <v>103</v>
      </c>
      <c r="C18320" s="63" t="s">
        <v>8150</v>
      </c>
      <c r="D18320" s="183" t="s">
        <v>6310</v>
      </c>
      <c r="E18320" s="126">
        <v>670</v>
      </c>
      <c r="F18320" s="126"/>
      <c r="G18320" s="126">
        <f t="shared" si="312"/>
        <v>-670</v>
      </c>
      <c r="H18320" s="705" t="s">
        <v>12047</v>
      </c>
    </row>
    <row r="18321" spans="1:8" ht="15" x14ac:dyDescent="0.2">
      <c r="A18321" s="734">
        <v>45316</v>
      </c>
      <c r="B18321" s="63" t="s">
        <v>12624</v>
      </c>
      <c r="C18321" s="63" t="s">
        <v>5741</v>
      </c>
      <c r="D18321" s="183" t="s">
        <v>370</v>
      </c>
      <c r="E18321" s="126">
        <v>1000</v>
      </c>
      <c r="F18321" s="126"/>
      <c r="G18321" s="126">
        <f t="shared" si="312"/>
        <v>-1000</v>
      </c>
      <c r="H18321" s="705" t="s">
        <v>12047</v>
      </c>
    </row>
    <row r="18322" spans="1:8" ht="15" x14ac:dyDescent="0.2">
      <c r="A18322" s="734">
        <v>45316</v>
      </c>
      <c r="B18322" s="63" t="s">
        <v>12207</v>
      </c>
      <c r="C18322" s="63" t="s">
        <v>5410</v>
      </c>
      <c r="D18322" s="183" t="s">
        <v>370</v>
      </c>
      <c r="E18322" s="126">
        <v>5000</v>
      </c>
      <c r="F18322" s="126"/>
      <c r="G18322" s="126">
        <f t="shared" si="312"/>
        <v>-5000</v>
      </c>
      <c r="H18322" s="705" t="s">
        <v>12047</v>
      </c>
    </row>
    <row r="18323" spans="1:8" ht="15" x14ac:dyDescent="0.2">
      <c r="A18323" s="734">
        <v>45316</v>
      </c>
      <c r="B18323" s="63" t="s">
        <v>103</v>
      </c>
      <c r="C18323" s="63" t="s">
        <v>103</v>
      </c>
      <c r="D18323" s="183" t="s">
        <v>3843</v>
      </c>
      <c r="E18323" s="126">
        <v>2000</v>
      </c>
      <c r="F18323" s="126"/>
      <c r="G18323" s="126">
        <f t="shared" si="312"/>
        <v>-2000</v>
      </c>
      <c r="H18323" s="705" t="s">
        <v>12047</v>
      </c>
    </row>
    <row r="18324" spans="1:8" ht="15" x14ac:dyDescent="0.2">
      <c r="A18324" s="734">
        <v>45316</v>
      </c>
      <c r="B18324" s="63" t="s">
        <v>8559</v>
      </c>
      <c r="C18324" s="63" t="s">
        <v>10993</v>
      </c>
      <c r="D18324" s="183" t="s">
        <v>12323</v>
      </c>
      <c r="E18324" s="126">
        <v>51921</v>
      </c>
      <c r="F18324" s="126"/>
      <c r="G18324" s="126">
        <f t="shared" si="310"/>
        <v>-51921</v>
      </c>
      <c r="H18324" s="705" t="s">
        <v>12047</v>
      </c>
    </row>
    <row r="18325" spans="1:8" ht="15" x14ac:dyDescent="0.2">
      <c r="A18325" s="734">
        <v>45316</v>
      </c>
      <c r="B18325" s="63" t="s">
        <v>8559</v>
      </c>
      <c r="C18325" s="63" t="s">
        <v>10993</v>
      </c>
      <c r="D18325" s="183" t="s">
        <v>12323</v>
      </c>
      <c r="E18325" s="126">
        <v>131538</v>
      </c>
      <c r="F18325" s="126"/>
      <c r="G18325" s="126">
        <f t="shared" si="310"/>
        <v>-131538</v>
      </c>
      <c r="H18325" s="705" t="s">
        <v>12047</v>
      </c>
    </row>
    <row r="18326" spans="1:8" ht="15" x14ac:dyDescent="0.2">
      <c r="A18326" s="734">
        <v>45316</v>
      </c>
      <c r="B18326" s="63" t="s">
        <v>103</v>
      </c>
      <c r="C18326" s="63" t="s">
        <v>103</v>
      </c>
      <c r="D18326" s="183" t="s">
        <v>12324</v>
      </c>
      <c r="E18326" s="126">
        <v>11800</v>
      </c>
      <c r="F18326" s="126"/>
      <c r="G18326" s="126">
        <f t="shared" si="310"/>
        <v>-11800</v>
      </c>
      <c r="H18326" s="705" t="s">
        <v>12047</v>
      </c>
    </row>
    <row r="18327" spans="1:8" ht="15" x14ac:dyDescent="0.2">
      <c r="A18327" s="734">
        <v>45317</v>
      </c>
      <c r="B18327" s="63" t="s">
        <v>11897</v>
      </c>
      <c r="C18327" s="63" t="s">
        <v>12325</v>
      </c>
      <c r="D18327" s="183" t="s">
        <v>12326</v>
      </c>
      <c r="E18327" s="126">
        <v>72000</v>
      </c>
      <c r="F18327" s="126"/>
      <c r="G18327" s="126">
        <f t="shared" ref="G18327:G18332" si="313">F18327-E18327</f>
        <v>-72000</v>
      </c>
      <c r="H18327" s="705" t="s">
        <v>12047</v>
      </c>
    </row>
    <row r="18328" spans="1:8" ht="15" x14ac:dyDescent="0.2">
      <c r="A18328" s="734">
        <v>45317</v>
      </c>
      <c r="B18328" s="63" t="s">
        <v>103</v>
      </c>
      <c r="C18328" s="63" t="s">
        <v>103</v>
      </c>
      <c r="D18328" s="183" t="s">
        <v>3843</v>
      </c>
      <c r="E18328" s="126">
        <v>3000</v>
      </c>
      <c r="F18328" s="126"/>
      <c r="G18328" s="126">
        <f t="shared" si="313"/>
        <v>-3000</v>
      </c>
      <c r="H18328" s="705" t="s">
        <v>12047</v>
      </c>
    </row>
    <row r="18329" spans="1:8" ht="15" x14ac:dyDescent="0.2">
      <c r="A18329" s="734">
        <v>45317</v>
      </c>
      <c r="B18329" s="63" t="s">
        <v>11089</v>
      </c>
      <c r="C18329" s="63" t="s">
        <v>10993</v>
      </c>
      <c r="D18329" s="183" t="s">
        <v>12327</v>
      </c>
      <c r="E18329" s="126">
        <v>11180</v>
      </c>
      <c r="F18329" s="126"/>
      <c r="G18329" s="126">
        <f t="shared" si="313"/>
        <v>-11180</v>
      </c>
      <c r="H18329" s="705" t="s">
        <v>12047</v>
      </c>
    </row>
    <row r="18330" spans="1:8" ht="15" x14ac:dyDescent="0.2">
      <c r="A18330" s="734">
        <v>45317</v>
      </c>
      <c r="B18330" s="63" t="s">
        <v>11897</v>
      </c>
      <c r="C18330" s="63" t="s">
        <v>286</v>
      </c>
      <c r="D18330" s="183" t="s">
        <v>3150</v>
      </c>
      <c r="E18330" s="126">
        <v>400</v>
      </c>
      <c r="F18330" s="126"/>
      <c r="G18330" s="126">
        <f t="shared" si="313"/>
        <v>-400</v>
      </c>
      <c r="H18330" s="705" t="s">
        <v>12047</v>
      </c>
    </row>
    <row r="18331" spans="1:8" ht="15" x14ac:dyDescent="0.2">
      <c r="A18331" s="734">
        <v>45317</v>
      </c>
      <c r="B18331" s="63" t="s">
        <v>12207</v>
      </c>
      <c r="C18331" s="63" t="s">
        <v>5741</v>
      </c>
      <c r="D18331" s="183" t="s">
        <v>370</v>
      </c>
      <c r="E18331" s="126">
        <v>800</v>
      </c>
      <c r="F18331" s="126"/>
      <c r="G18331" s="126">
        <f t="shared" si="313"/>
        <v>-800</v>
      </c>
      <c r="H18331" s="705" t="s">
        <v>12047</v>
      </c>
    </row>
    <row r="18332" spans="1:8" ht="15" x14ac:dyDescent="0.2">
      <c r="A18332" s="734">
        <v>45317</v>
      </c>
      <c r="B18332" s="63" t="s">
        <v>10908</v>
      </c>
      <c r="C18332" s="63" t="s">
        <v>5741</v>
      </c>
      <c r="D18332" s="183" t="s">
        <v>370</v>
      </c>
      <c r="E18332" s="126">
        <v>800</v>
      </c>
      <c r="F18332" s="126"/>
      <c r="G18332" s="126">
        <f t="shared" si="313"/>
        <v>-800</v>
      </c>
      <c r="H18332" s="705" t="s">
        <v>12047</v>
      </c>
    </row>
    <row r="18333" spans="1:8" ht="15" x14ac:dyDescent="0.2">
      <c r="A18333" s="734">
        <v>45317</v>
      </c>
      <c r="B18333" s="63" t="s">
        <v>12624</v>
      </c>
      <c r="C18333" s="63" t="s">
        <v>10993</v>
      </c>
      <c r="D18333" s="183" t="s">
        <v>12329</v>
      </c>
      <c r="E18333" s="126">
        <v>4250</v>
      </c>
      <c r="F18333" s="126"/>
      <c r="G18333" s="126">
        <f t="shared" ref="G18333:G18335" si="314">F18333-E18333</f>
        <v>-4250</v>
      </c>
      <c r="H18333" s="705" t="s">
        <v>12047</v>
      </c>
    </row>
    <row r="18334" spans="1:8" ht="15" x14ac:dyDescent="0.2">
      <c r="A18334" s="734">
        <v>45317</v>
      </c>
      <c r="B18334" s="63" t="s">
        <v>11728</v>
      </c>
      <c r="C18334" s="63" t="s">
        <v>10993</v>
      </c>
      <c r="D18334" s="183" t="s">
        <v>12330</v>
      </c>
      <c r="E18334" s="126">
        <v>25000</v>
      </c>
      <c r="F18334" s="126"/>
      <c r="G18334" s="126">
        <f t="shared" si="314"/>
        <v>-25000</v>
      </c>
      <c r="H18334" s="705" t="s">
        <v>12047</v>
      </c>
    </row>
    <row r="18335" spans="1:8" ht="15" x14ac:dyDescent="0.2">
      <c r="A18335" s="734">
        <v>45317</v>
      </c>
      <c r="B18335" s="63" t="s">
        <v>10232</v>
      </c>
      <c r="C18335" s="63" t="s">
        <v>12331</v>
      </c>
      <c r="D18335" s="183" t="s">
        <v>12332</v>
      </c>
      <c r="E18335" s="126">
        <v>5500</v>
      </c>
      <c r="F18335" s="126"/>
      <c r="G18335" s="126">
        <f t="shared" si="314"/>
        <v>-5500</v>
      </c>
      <c r="H18335" s="705" t="s">
        <v>12047</v>
      </c>
    </row>
    <row r="18336" spans="1:8" ht="15" x14ac:dyDescent="0.2">
      <c r="A18336" s="734">
        <v>45317</v>
      </c>
      <c r="B18336" s="63" t="s">
        <v>12207</v>
      </c>
      <c r="C18336" s="63" t="s">
        <v>10993</v>
      </c>
      <c r="D18336" s="183" t="s">
        <v>12333</v>
      </c>
      <c r="E18336" s="126">
        <v>61000</v>
      </c>
      <c r="F18336" s="126"/>
      <c r="G18336" s="126">
        <f t="shared" ref="G18336:G18340" si="315">F18336-E18336</f>
        <v>-61000</v>
      </c>
      <c r="H18336" s="705" t="s">
        <v>12047</v>
      </c>
    </row>
    <row r="18337" spans="1:8" ht="15" x14ac:dyDescent="0.2">
      <c r="A18337" s="734">
        <v>45317</v>
      </c>
      <c r="B18337" s="63" t="s">
        <v>11089</v>
      </c>
      <c r="C18337" s="63" t="s">
        <v>10993</v>
      </c>
      <c r="D18337" s="183" t="s">
        <v>6641</v>
      </c>
      <c r="E18337" s="126">
        <v>5500</v>
      </c>
      <c r="F18337" s="126"/>
      <c r="G18337" s="126">
        <f t="shared" si="315"/>
        <v>-5500</v>
      </c>
      <c r="H18337" s="705" t="s">
        <v>12047</v>
      </c>
    </row>
    <row r="18338" spans="1:8" ht="15" x14ac:dyDescent="0.2">
      <c r="A18338" s="734">
        <v>45317</v>
      </c>
      <c r="B18338" s="63" t="s">
        <v>10908</v>
      </c>
      <c r="C18338" s="63" t="s">
        <v>10993</v>
      </c>
      <c r="D18338" s="183" t="s">
        <v>12334</v>
      </c>
      <c r="E18338" s="126">
        <v>10000</v>
      </c>
      <c r="F18338" s="126"/>
      <c r="G18338" s="126">
        <f t="shared" si="315"/>
        <v>-10000</v>
      </c>
      <c r="H18338" s="705" t="s">
        <v>12047</v>
      </c>
    </row>
    <row r="18339" spans="1:8" ht="15" x14ac:dyDescent="0.2">
      <c r="A18339" s="734">
        <v>45317</v>
      </c>
      <c r="B18339" s="63" t="s">
        <v>10908</v>
      </c>
      <c r="C18339" s="63" t="s">
        <v>11110</v>
      </c>
      <c r="D18339" s="183" t="s">
        <v>12335</v>
      </c>
      <c r="E18339" s="126">
        <v>500000</v>
      </c>
      <c r="F18339" s="126"/>
      <c r="G18339" s="126">
        <f t="shared" si="315"/>
        <v>-500000</v>
      </c>
      <c r="H18339" s="705" t="s">
        <v>12047</v>
      </c>
    </row>
    <row r="18340" spans="1:8" ht="24" x14ac:dyDescent="0.2">
      <c r="A18340" s="734">
        <v>45317</v>
      </c>
      <c r="B18340" s="63" t="s">
        <v>11635</v>
      </c>
      <c r="C18340" s="63" t="s">
        <v>8091</v>
      </c>
      <c r="D18340" s="183" t="s">
        <v>12337</v>
      </c>
      <c r="E18340" s="126">
        <v>500000</v>
      </c>
      <c r="F18340" s="126"/>
      <c r="G18340" s="126">
        <f t="shared" si="315"/>
        <v>-500000</v>
      </c>
      <c r="H18340" s="705" t="s">
        <v>12047</v>
      </c>
    </row>
    <row r="18341" spans="1:8" ht="15" x14ac:dyDescent="0.2">
      <c r="A18341" s="734">
        <v>45317</v>
      </c>
      <c r="B18341" s="63" t="s">
        <v>11089</v>
      </c>
      <c r="C18341" s="63" t="s">
        <v>10993</v>
      </c>
      <c r="D18341" s="183" t="s">
        <v>12327</v>
      </c>
      <c r="E18341" s="126">
        <v>11180</v>
      </c>
      <c r="F18341" s="126"/>
      <c r="G18341" s="126">
        <f t="shared" ref="G18341:G18345" si="316">F18341-E18341</f>
        <v>-11180</v>
      </c>
      <c r="H18341" s="705" t="s">
        <v>12047</v>
      </c>
    </row>
    <row r="18342" spans="1:8" ht="15" x14ac:dyDescent="0.2">
      <c r="A18342" s="734">
        <v>45318</v>
      </c>
      <c r="B18342" s="63" t="s">
        <v>11089</v>
      </c>
      <c r="C18342" s="63" t="s">
        <v>5741</v>
      </c>
      <c r="D18342" s="183" t="s">
        <v>12340</v>
      </c>
      <c r="E18342" s="126">
        <v>3500</v>
      </c>
      <c r="F18342" s="126"/>
      <c r="G18342" s="126">
        <f t="shared" si="316"/>
        <v>-3500</v>
      </c>
      <c r="H18342" s="705" t="s">
        <v>12047</v>
      </c>
    </row>
    <row r="18343" spans="1:8" ht="15" x14ac:dyDescent="0.2">
      <c r="A18343" s="734">
        <v>45318</v>
      </c>
      <c r="B18343" s="63" t="s">
        <v>8559</v>
      </c>
      <c r="C18343" s="63" t="s">
        <v>11418</v>
      </c>
      <c r="D18343" s="183" t="s">
        <v>12341</v>
      </c>
      <c r="E18343" s="126">
        <v>3370</v>
      </c>
      <c r="F18343" s="126"/>
      <c r="G18343" s="126">
        <f t="shared" si="316"/>
        <v>-3370</v>
      </c>
      <c r="H18343" s="705" t="s">
        <v>12047</v>
      </c>
    </row>
    <row r="18344" spans="1:8" ht="15" x14ac:dyDescent="0.2">
      <c r="A18344" s="734">
        <v>45318</v>
      </c>
      <c r="B18344" s="63" t="s">
        <v>103</v>
      </c>
      <c r="C18344" s="63" t="s">
        <v>2996</v>
      </c>
      <c r="D18344" s="183" t="s">
        <v>370</v>
      </c>
      <c r="E18344" s="126">
        <v>5330</v>
      </c>
      <c r="F18344" s="126"/>
      <c r="G18344" s="126">
        <f t="shared" si="316"/>
        <v>-5330</v>
      </c>
      <c r="H18344" s="705" t="s">
        <v>12047</v>
      </c>
    </row>
    <row r="18345" spans="1:8" ht="15" x14ac:dyDescent="0.2">
      <c r="A18345" s="734">
        <v>45318</v>
      </c>
      <c r="B18345" s="63" t="s">
        <v>103</v>
      </c>
      <c r="C18345" s="63" t="s">
        <v>103</v>
      </c>
      <c r="D18345" s="183" t="s">
        <v>3843</v>
      </c>
      <c r="E18345" s="126">
        <v>3000</v>
      </c>
      <c r="F18345" s="126"/>
      <c r="G18345" s="126">
        <f t="shared" si="316"/>
        <v>-3000</v>
      </c>
      <c r="H18345" s="705" t="s">
        <v>12047</v>
      </c>
    </row>
    <row r="18346" spans="1:8" ht="15" x14ac:dyDescent="0.2">
      <c r="A18346" s="734">
        <v>45318</v>
      </c>
      <c r="B18346" s="63" t="s">
        <v>11897</v>
      </c>
      <c r="C18346" s="63" t="s">
        <v>5741</v>
      </c>
      <c r="D18346" s="183" t="s">
        <v>12343</v>
      </c>
      <c r="E18346" s="126">
        <v>3500</v>
      </c>
      <c r="F18346" s="126"/>
      <c r="G18346" s="126">
        <f t="shared" ref="G18346:G18354" si="317">F18346-E18346</f>
        <v>-3500</v>
      </c>
      <c r="H18346" s="705" t="s">
        <v>12047</v>
      </c>
    </row>
    <row r="18347" spans="1:8" ht="15" x14ac:dyDescent="0.2">
      <c r="A18347" s="734">
        <v>45318</v>
      </c>
      <c r="B18347" s="63" t="s">
        <v>11089</v>
      </c>
      <c r="C18347" s="63" t="s">
        <v>10993</v>
      </c>
      <c r="D18347" s="183" t="s">
        <v>12344</v>
      </c>
      <c r="E18347" s="126">
        <v>2340</v>
      </c>
      <c r="F18347" s="126"/>
      <c r="G18347" s="126">
        <f t="shared" si="317"/>
        <v>-2340</v>
      </c>
      <c r="H18347" s="705" t="s">
        <v>12047</v>
      </c>
    </row>
    <row r="18348" spans="1:8" ht="15" x14ac:dyDescent="0.2">
      <c r="A18348" s="734">
        <v>45318</v>
      </c>
      <c r="B18348" s="63" t="s">
        <v>11093</v>
      </c>
      <c r="C18348" s="63" t="s">
        <v>5741</v>
      </c>
      <c r="D18348" s="183" t="s">
        <v>10337</v>
      </c>
      <c r="E18348" s="126">
        <v>250</v>
      </c>
      <c r="F18348" s="126"/>
      <c r="G18348" s="126">
        <f t="shared" si="317"/>
        <v>-250</v>
      </c>
      <c r="H18348" s="705" t="s">
        <v>12047</v>
      </c>
    </row>
    <row r="18349" spans="1:8" ht="15" x14ac:dyDescent="0.2">
      <c r="A18349" s="734">
        <v>45318</v>
      </c>
      <c r="B18349" s="63" t="s">
        <v>10908</v>
      </c>
      <c r="C18349" s="63" t="s">
        <v>11386</v>
      </c>
      <c r="D18349" s="183" t="s">
        <v>12345</v>
      </c>
      <c r="E18349" s="126">
        <v>50000</v>
      </c>
      <c r="F18349" s="126"/>
      <c r="G18349" s="126">
        <f t="shared" si="317"/>
        <v>-50000</v>
      </c>
      <c r="H18349" s="705" t="s">
        <v>12047</v>
      </c>
    </row>
    <row r="18350" spans="1:8" ht="15" x14ac:dyDescent="0.2">
      <c r="A18350" s="734">
        <v>45318</v>
      </c>
      <c r="B18350" s="63" t="s">
        <v>12207</v>
      </c>
      <c r="C18350" s="63" t="s">
        <v>7906</v>
      </c>
      <c r="D18350" s="183" t="s">
        <v>12346</v>
      </c>
      <c r="E18350" s="126">
        <v>48000</v>
      </c>
      <c r="F18350" s="126"/>
      <c r="G18350" s="126">
        <f t="shared" si="317"/>
        <v>-48000</v>
      </c>
      <c r="H18350" s="705" t="s">
        <v>12047</v>
      </c>
    </row>
    <row r="18351" spans="1:8" ht="15" x14ac:dyDescent="0.2">
      <c r="A18351" s="734">
        <v>45320</v>
      </c>
      <c r="B18351" s="63" t="s">
        <v>12624</v>
      </c>
      <c r="C18351" s="63" t="s">
        <v>10993</v>
      </c>
      <c r="D18351" s="183" t="s">
        <v>12329</v>
      </c>
      <c r="E18351" s="126">
        <v>5000</v>
      </c>
      <c r="F18351" s="126"/>
      <c r="G18351" s="126">
        <f t="shared" si="317"/>
        <v>-5000</v>
      </c>
      <c r="H18351" s="705" t="s">
        <v>12047</v>
      </c>
    </row>
    <row r="18352" spans="1:8" ht="15" x14ac:dyDescent="0.2">
      <c r="A18352" s="734">
        <v>45320</v>
      </c>
      <c r="B18352" s="63" t="s">
        <v>103</v>
      </c>
      <c r="C18352" s="63" t="s">
        <v>372</v>
      </c>
      <c r="D18352" s="183" t="s">
        <v>2108</v>
      </c>
      <c r="E18352" s="126">
        <v>1000</v>
      </c>
      <c r="F18352" s="126"/>
      <c r="G18352" s="126">
        <f t="shared" si="317"/>
        <v>-1000</v>
      </c>
      <c r="H18352" s="705" t="s">
        <v>12047</v>
      </c>
    </row>
    <row r="18353" spans="1:8" ht="15" x14ac:dyDescent="0.2">
      <c r="A18353" s="734">
        <v>45320</v>
      </c>
      <c r="B18353" s="63" t="s">
        <v>103</v>
      </c>
      <c r="C18353" s="63" t="s">
        <v>103</v>
      </c>
      <c r="D18353" s="183" t="s">
        <v>3843</v>
      </c>
      <c r="E18353" s="126">
        <v>3000</v>
      </c>
      <c r="F18353" s="126"/>
      <c r="G18353" s="126">
        <f t="shared" si="317"/>
        <v>-3000</v>
      </c>
      <c r="H18353" s="705" t="s">
        <v>12047</v>
      </c>
    </row>
    <row r="18354" spans="1:8" ht="15" x14ac:dyDescent="0.2">
      <c r="A18354" s="734">
        <v>45320</v>
      </c>
      <c r="B18354" s="63" t="s">
        <v>25</v>
      </c>
      <c r="C18354" s="63" t="s">
        <v>4065</v>
      </c>
      <c r="D18354" s="183" t="s">
        <v>2108</v>
      </c>
      <c r="E18354" s="126">
        <v>1500</v>
      </c>
      <c r="F18354" s="126"/>
      <c r="G18354" s="126">
        <f t="shared" si="317"/>
        <v>-1500</v>
      </c>
      <c r="H18354" s="705" t="s">
        <v>12047</v>
      </c>
    </row>
    <row r="18355" spans="1:8" ht="15" x14ac:dyDescent="0.2">
      <c r="A18355" s="734">
        <v>45320</v>
      </c>
      <c r="B18355" s="63" t="s">
        <v>11089</v>
      </c>
      <c r="C18355" s="670" t="s">
        <v>10993</v>
      </c>
      <c r="D18355" s="907" t="s">
        <v>12347</v>
      </c>
      <c r="E18355" s="672">
        <v>36000</v>
      </c>
      <c r="F18355" s="126"/>
      <c r="G18355" s="126">
        <f t="shared" ref="G18355:G18361" si="318">F18355-E18355</f>
        <v>-36000</v>
      </c>
      <c r="H18355" s="705" t="s">
        <v>12047</v>
      </c>
    </row>
    <row r="18356" spans="1:8" ht="15" x14ac:dyDescent="0.2">
      <c r="A18356" s="734">
        <v>45320</v>
      </c>
      <c r="B18356" s="63" t="s">
        <v>8876</v>
      </c>
      <c r="C18356" s="670" t="s">
        <v>10993</v>
      </c>
      <c r="D18356" s="907" t="s">
        <v>12347</v>
      </c>
      <c r="E18356" s="672">
        <v>8000</v>
      </c>
      <c r="F18356" s="126"/>
      <c r="G18356" s="126">
        <f t="shared" si="318"/>
        <v>-8000</v>
      </c>
      <c r="H18356" s="705" t="s">
        <v>12047</v>
      </c>
    </row>
    <row r="18357" spans="1:8" ht="15" x14ac:dyDescent="0.2">
      <c r="A18357" s="734">
        <v>45320</v>
      </c>
      <c r="B18357" s="63" t="s">
        <v>11738</v>
      </c>
      <c r="C18357" s="670" t="s">
        <v>10993</v>
      </c>
      <c r="D18357" s="907" t="s">
        <v>12347</v>
      </c>
      <c r="E18357" s="672">
        <v>8000</v>
      </c>
      <c r="F18357" s="126"/>
      <c r="G18357" s="126">
        <f t="shared" si="318"/>
        <v>-8000</v>
      </c>
      <c r="H18357" s="705" t="s">
        <v>12047</v>
      </c>
    </row>
    <row r="18358" spans="1:8" ht="15" x14ac:dyDescent="0.2">
      <c r="A18358" s="734">
        <v>45320</v>
      </c>
      <c r="B18358" s="63" t="s">
        <v>6505</v>
      </c>
      <c r="C18358" s="670" t="s">
        <v>10993</v>
      </c>
      <c r="D18358" s="907" t="s">
        <v>12347</v>
      </c>
      <c r="E18358" s="672">
        <v>3600</v>
      </c>
      <c r="F18358" s="126"/>
      <c r="G18358" s="126">
        <f t="shared" si="318"/>
        <v>-3600</v>
      </c>
      <c r="H18358" s="705" t="s">
        <v>12047</v>
      </c>
    </row>
    <row r="18359" spans="1:8" ht="15" x14ac:dyDescent="0.2">
      <c r="A18359" s="734">
        <v>45320</v>
      </c>
      <c r="B18359" s="63" t="s">
        <v>10908</v>
      </c>
      <c r="C18359" s="63" t="s">
        <v>10993</v>
      </c>
      <c r="D18359" s="183" t="s">
        <v>12348</v>
      </c>
      <c r="E18359" s="126">
        <v>5000</v>
      </c>
      <c r="F18359" s="126"/>
      <c r="G18359" s="126">
        <f t="shared" si="318"/>
        <v>-5000</v>
      </c>
      <c r="H18359" s="705" t="s">
        <v>12047</v>
      </c>
    </row>
    <row r="18360" spans="1:8" ht="15" x14ac:dyDescent="0.2">
      <c r="A18360" s="734">
        <v>45320</v>
      </c>
      <c r="B18360" s="63" t="s">
        <v>10908</v>
      </c>
      <c r="C18360" s="63" t="s">
        <v>286</v>
      </c>
      <c r="D18360" s="183" t="s">
        <v>12349</v>
      </c>
      <c r="E18360" s="126">
        <v>20000</v>
      </c>
      <c r="F18360" s="126"/>
      <c r="G18360" s="126">
        <f t="shared" si="318"/>
        <v>-20000</v>
      </c>
      <c r="H18360" s="705" t="s">
        <v>12047</v>
      </c>
    </row>
    <row r="18361" spans="1:8" ht="15" x14ac:dyDescent="0.2">
      <c r="A18361" s="734">
        <v>45320</v>
      </c>
      <c r="B18361" s="63" t="s">
        <v>11635</v>
      </c>
      <c r="C18361" s="63" t="s">
        <v>286</v>
      </c>
      <c r="D18361" s="183" t="s">
        <v>12350</v>
      </c>
      <c r="E18361" s="126">
        <v>20000</v>
      </c>
      <c r="F18361" s="126"/>
      <c r="G18361" s="126">
        <f t="shared" si="318"/>
        <v>-20000</v>
      </c>
      <c r="H18361" s="705" t="s">
        <v>12047</v>
      </c>
    </row>
    <row r="18362" spans="1:8" ht="15" x14ac:dyDescent="0.2">
      <c r="A18362" s="734">
        <v>45320</v>
      </c>
      <c r="B18362" s="63" t="s">
        <v>11089</v>
      </c>
      <c r="C18362" s="63" t="s">
        <v>11975</v>
      </c>
      <c r="D18362" s="183" t="s">
        <v>6927</v>
      </c>
      <c r="E18362" s="126">
        <v>15000</v>
      </c>
      <c r="F18362" s="126"/>
      <c r="G18362" s="126">
        <f t="shared" ref="G18362:G18368" si="319">F18362-E18362</f>
        <v>-15000</v>
      </c>
      <c r="H18362" s="705" t="s">
        <v>12047</v>
      </c>
    </row>
    <row r="18363" spans="1:8" ht="15" x14ac:dyDescent="0.2">
      <c r="A18363" s="734">
        <v>45320</v>
      </c>
      <c r="B18363" s="63" t="s">
        <v>12207</v>
      </c>
      <c r="C18363" s="63" t="s">
        <v>5387</v>
      </c>
      <c r="D18363" s="183" t="s">
        <v>12191</v>
      </c>
      <c r="E18363" s="126">
        <v>1250</v>
      </c>
      <c r="F18363" s="126"/>
      <c r="G18363" s="126">
        <f t="shared" si="319"/>
        <v>-1250</v>
      </c>
      <c r="H18363" s="705" t="s">
        <v>12047</v>
      </c>
    </row>
    <row r="18364" spans="1:8" ht="15" x14ac:dyDescent="0.2">
      <c r="A18364" s="734">
        <v>45320</v>
      </c>
      <c r="B18364" s="63" t="s">
        <v>11897</v>
      </c>
      <c r="C18364" s="63" t="s">
        <v>5741</v>
      </c>
      <c r="D18364" s="183" t="s">
        <v>370</v>
      </c>
      <c r="E18364" s="126">
        <v>3500</v>
      </c>
      <c r="F18364" s="126"/>
      <c r="G18364" s="126">
        <f t="shared" si="319"/>
        <v>-3500</v>
      </c>
      <c r="H18364" s="705" t="s">
        <v>12047</v>
      </c>
    </row>
    <row r="18365" spans="1:8" ht="15" x14ac:dyDescent="0.2">
      <c r="A18365" s="734">
        <v>45320</v>
      </c>
      <c r="B18365" s="63" t="s">
        <v>11093</v>
      </c>
      <c r="C18365" s="63" t="s">
        <v>9549</v>
      </c>
      <c r="D18365" s="183" t="s">
        <v>1157</v>
      </c>
      <c r="E18365" s="126">
        <v>50000</v>
      </c>
      <c r="F18365" s="126"/>
      <c r="G18365" s="126">
        <f t="shared" si="319"/>
        <v>-50000</v>
      </c>
      <c r="H18365" s="705" t="s">
        <v>12047</v>
      </c>
    </row>
    <row r="18366" spans="1:8" ht="15" x14ac:dyDescent="0.2">
      <c r="A18366" s="734">
        <v>45320</v>
      </c>
      <c r="B18366" s="63" t="s">
        <v>12207</v>
      </c>
      <c r="C18366" s="63" t="s">
        <v>10993</v>
      </c>
      <c r="D18366" s="183" t="s">
        <v>12354</v>
      </c>
      <c r="E18366" s="126">
        <v>3680</v>
      </c>
      <c r="F18366" s="126"/>
      <c r="G18366" s="126">
        <f t="shared" si="319"/>
        <v>-3680</v>
      </c>
      <c r="H18366" s="705" t="s">
        <v>12047</v>
      </c>
    </row>
    <row r="18367" spans="1:8" ht="15" x14ac:dyDescent="0.2">
      <c r="A18367" s="734">
        <v>45320</v>
      </c>
      <c r="B18367" s="63" t="s">
        <v>12532</v>
      </c>
      <c r="C18367" s="63" t="s">
        <v>5741</v>
      </c>
      <c r="D18367" s="183" t="s">
        <v>370</v>
      </c>
      <c r="E18367" s="126">
        <v>250</v>
      </c>
      <c r="F18367" s="126"/>
      <c r="G18367" s="126">
        <f t="shared" si="319"/>
        <v>-250</v>
      </c>
      <c r="H18367" s="705" t="s">
        <v>12047</v>
      </c>
    </row>
    <row r="18368" spans="1:8" ht="15" x14ac:dyDescent="0.2">
      <c r="A18368" s="734">
        <v>45320</v>
      </c>
      <c r="B18368" s="63" t="s">
        <v>11897</v>
      </c>
      <c r="C18368" s="63" t="s">
        <v>392</v>
      </c>
      <c r="D18368" s="183" t="s">
        <v>12355</v>
      </c>
      <c r="E18368" s="126">
        <v>47000</v>
      </c>
      <c r="F18368" s="126"/>
      <c r="G18368" s="126">
        <f t="shared" si="319"/>
        <v>-47000</v>
      </c>
      <c r="H18368" s="705" t="s">
        <v>12047</v>
      </c>
    </row>
    <row r="18369" spans="1:8" ht="15" x14ac:dyDescent="0.2">
      <c r="A18369" s="734">
        <v>45320</v>
      </c>
      <c r="B18369" s="63" t="s">
        <v>11089</v>
      </c>
      <c r="C18369" s="63" t="s">
        <v>256</v>
      </c>
      <c r="D18369" s="183" t="s">
        <v>12359</v>
      </c>
      <c r="E18369" s="126">
        <v>491000</v>
      </c>
      <c r="F18369" s="126"/>
      <c r="G18369" s="126">
        <f>F18369-E18369</f>
        <v>-491000</v>
      </c>
      <c r="H18369" s="705" t="s">
        <v>12047</v>
      </c>
    </row>
    <row r="18370" spans="1:8" ht="24" x14ac:dyDescent="0.2">
      <c r="A18370" s="734">
        <v>45320</v>
      </c>
      <c r="B18370" s="63" t="s">
        <v>11897</v>
      </c>
      <c r="C18370" s="63" t="s">
        <v>7467</v>
      </c>
      <c r="D18370" s="183" t="s">
        <v>12360</v>
      </c>
      <c r="E18370" s="126">
        <v>650000</v>
      </c>
      <c r="F18370" s="126"/>
      <c r="G18370" s="126">
        <f>F18370-E18370</f>
        <v>-650000</v>
      </c>
      <c r="H18370" s="705" t="s">
        <v>12047</v>
      </c>
    </row>
    <row r="18371" spans="1:8" ht="24" x14ac:dyDescent="0.2">
      <c r="A18371" s="734">
        <v>45320</v>
      </c>
      <c r="B18371" s="63" t="s">
        <v>11635</v>
      </c>
      <c r="C18371" s="63" t="s">
        <v>7467</v>
      </c>
      <c r="D18371" s="183" t="s">
        <v>12360</v>
      </c>
      <c r="E18371" s="126">
        <v>700000</v>
      </c>
      <c r="F18371" s="126"/>
      <c r="G18371" s="126">
        <f>F18371-E18371</f>
        <v>-700000</v>
      </c>
      <c r="H18371" s="705" t="s">
        <v>12047</v>
      </c>
    </row>
    <row r="18372" spans="1:8" ht="15" x14ac:dyDescent="0.2">
      <c r="A18372" s="734">
        <v>45320</v>
      </c>
      <c r="B18372" s="63" t="s">
        <v>11089</v>
      </c>
      <c r="C18372" s="63" t="s">
        <v>7775</v>
      </c>
      <c r="D18372" s="183" t="s">
        <v>12365</v>
      </c>
      <c r="E18372" s="126">
        <v>10000</v>
      </c>
      <c r="F18372" s="126"/>
      <c r="G18372" s="126">
        <f>F18372-E18372</f>
        <v>-10000</v>
      </c>
      <c r="H18372" s="705" t="s">
        <v>12047</v>
      </c>
    </row>
    <row r="18373" spans="1:8" ht="24" x14ac:dyDescent="0.2">
      <c r="A18373" s="734">
        <v>45320</v>
      </c>
      <c r="B18373" s="63" t="s">
        <v>10471</v>
      </c>
      <c r="C18373" s="63" t="s">
        <v>12363</v>
      </c>
      <c r="D18373" s="183" t="s">
        <v>12364</v>
      </c>
      <c r="E18373" s="126">
        <v>62400</v>
      </c>
      <c r="F18373" s="126"/>
      <c r="G18373" s="126">
        <f>F18373-E18373</f>
        <v>-62400</v>
      </c>
      <c r="H18373" s="705" t="s">
        <v>12047</v>
      </c>
    </row>
    <row r="18374" spans="1:8" ht="15" x14ac:dyDescent="0.2">
      <c r="A18374" s="734">
        <v>45320</v>
      </c>
      <c r="B18374" s="63" t="s">
        <v>12207</v>
      </c>
      <c r="C18374" s="63" t="s">
        <v>5741</v>
      </c>
      <c r="D18374" s="183" t="s">
        <v>370</v>
      </c>
      <c r="E18374" s="126">
        <v>500</v>
      </c>
      <c r="F18374" s="126"/>
      <c r="G18374" s="126">
        <f t="shared" ref="G18374:G18409" si="320">F18374-E18374</f>
        <v>-500</v>
      </c>
      <c r="H18374" s="705" t="s">
        <v>12047</v>
      </c>
    </row>
    <row r="18375" spans="1:8" ht="15" x14ac:dyDescent="0.2">
      <c r="A18375" s="734">
        <v>45320</v>
      </c>
      <c r="B18375" s="63" t="s">
        <v>8559</v>
      </c>
      <c r="C18375" s="63" t="s">
        <v>5410</v>
      </c>
      <c r="D18375" s="183" t="s">
        <v>370</v>
      </c>
      <c r="E18375" s="126">
        <v>5000</v>
      </c>
      <c r="F18375" s="126"/>
      <c r="G18375" s="126">
        <f t="shared" si="320"/>
        <v>-5000</v>
      </c>
      <c r="H18375" s="705" t="s">
        <v>12047</v>
      </c>
    </row>
    <row r="18376" spans="1:8" ht="15" x14ac:dyDescent="0.2">
      <c r="A18376" s="734">
        <v>45321</v>
      </c>
      <c r="B18376" s="63" t="s">
        <v>10232</v>
      </c>
      <c r="C18376" s="63" t="s">
        <v>11633</v>
      </c>
      <c r="D18376" s="183" t="s">
        <v>12367</v>
      </c>
      <c r="E18376" s="126">
        <v>29280</v>
      </c>
      <c r="F18376" s="126"/>
      <c r="G18376" s="126">
        <f t="shared" si="320"/>
        <v>-29280</v>
      </c>
      <c r="H18376" s="705" t="s">
        <v>12047</v>
      </c>
    </row>
    <row r="18377" spans="1:8" ht="15" x14ac:dyDescent="0.2">
      <c r="A18377" s="734">
        <v>45321</v>
      </c>
      <c r="B18377" s="63" t="s">
        <v>12207</v>
      </c>
      <c r="C18377" s="63" t="s">
        <v>10993</v>
      </c>
      <c r="D18377" s="183" t="s">
        <v>12368</v>
      </c>
      <c r="E18377" s="126">
        <v>11060</v>
      </c>
      <c r="F18377" s="126"/>
      <c r="G18377" s="126">
        <f t="shared" si="320"/>
        <v>-11060</v>
      </c>
      <c r="H18377" s="705" t="s">
        <v>12047</v>
      </c>
    </row>
    <row r="18378" spans="1:8" ht="15" x14ac:dyDescent="0.2">
      <c r="A18378" s="734">
        <v>45321</v>
      </c>
      <c r="B18378" s="63" t="s">
        <v>12207</v>
      </c>
      <c r="C18378" s="63" t="s">
        <v>5741</v>
      </c>
      <c r="D18378" s="183" t="s">
        <v>370</v>
      </c>
      <c r="E18378" s="126">
        <v>1000</v>
      </c>
      <c r="F18378" s="126"/>
      <c r="G18378" s="126">
        <f t="shared" si="320"/>
        <v>-1000</v>
      </c>
      <c r="H18378" s="705" t="s">
        <v>12047</v>
      </c>
    </row>
    <row r="18379" spans="1:8" ht="15" x14ac:dyDescent="0.2">
      <c r="A18379" s="734">
        <v>45321</v>
      </c>
      <c r="B18379" s="63" t="s">
        <v>11897</v>
      </c>
      <c r="C18379" s="1099" t="s">
        <v>794</v>
      </c>
      <c r="D18379" s="1102" t="s">
        <v>12218</v>
      </c>
      <c r="E18379" s="1101">
        <v>25000</v>
      </c>
      <c r="F18379" s="126"/>
      <c r="G18379" s="126">
        <f t="shared" ref="G18379:G18383" si="321">F18379-E18379</f>
        <v>-25000</v>
      </c>
      <c r="H18379" s="705" t="s">
        <v>12047</v>
      </c>
    </row>
    <row r="18380" spans="1:8" ht="15" x14ac:dyDescent="0.2">
      <c r="A18380" s="734">
        <v>45321</v>
      </c>
      <c r="B18380" s="63" t="s">
        <v>11089</v>
      </c>
      <c r="C18380" s="1099" t="s">
        <v>794</v>
      </c>
      <c r="D18380" s="1102" t="s">
        <v>12218</v>
      </c>
      <c r="E18380" s="1101">
        <v>25000</v>
      </c>
      <c r="F18380" s="126"/>
      <c r="G18380" s="126">
        <f t="shared" si="321"/>
        <v>-25000</v>
      </c>
      <c r="H18380" s="705" t="s">
        <v>12047</v>
      </c>
    </row>
    <row r="18381" spans="1:8" ht="15" x14ac:dyDescent="0.2">
      <c r="A18381" s="734">
        <v>45321</v>
      </c>
      <c r="B18381" s="63" t="s">
        <v>11635</v>
      </c>
      <c r="C18381" s="1099" t="s">
        <v>794</v>
      </c>
      <c r="D18381" s="1102" t="s">
        <v>12219</v>
      </c>
      <c r="E18381" s="1101">
        <v>25000</v>
      </c>
      <c r="F18381" s="126"/>
      <c r="G18381" s="126">
        <f t="shared" si="321"/>
        <v>-25000</v>
      </c>
      <c r="H18381" s="705" t="s">
        <v>12047</v>
      </c>
    </row>
    <row r="18382" spans="1:8" ht="15" x14ac:dyDescent="0.2">
      <c r="A18382" s="734">
        <v>45321</v>
      </c>
      <c r="B18382" s="63" t="s">
        <v>10232</v>
      </c>
      <c r="C18382" s="1099" t="s">
        <v>794</v>
      </c>
      <c r="D18382" s="1102" t="s">
        <v>12219</v>
      </c>
      <c r="E18382" s="1101">
        <v>25000</v>
      </c>
      <c r="F18382" s="126"/>
      <c r="G18382" s="126">
        <f t="shared" si="321"/>
        <v>-25000</v>
      </c>
      <c r="H18382" s="705" t="s">
        <v>12047</v>
      </c>
    </row>
    <row r="18383" spans="1:8" ht="15" x14ac:dyDescent="0.2">
      <c r="A18383" s="734">
        <v>45321</v>
      </c>
      <c r="B18383" s="63" t="s">
        <v>25</v>
      </c>
      <c r="C18383" s="1099" t="s">
        <v>794</v>
      </c>
      <c r="D18383" s="1102" t="s">
        <v>12220</v>
      </c>
      <c r="E18383" s="1101">
        <v>105000</v>
      </c>
      <c r="F18383" s="126"/>
      <c r="G18383" s="126">
        <f t="shared" si="321"/>
        <v>-105000</v>
      </c>
      <c r="H18383" s="705" t="s">
        <v>12047</v>
      </c>
    </row>
    <row r="18384" spans="1:8" ht="15" x14ac:dyDescent="0.2">
      <c r="A18384" s="734">
        <v>45321</v>
      </c>
      <c r="B18384" s="63" t="s">
        <v>11738</v>
      </c>
      <c r="C18384" s="1099" t="s">
        <v>794</v>
      </c>
      <c r="D18384" s="1102" t="s">
        <v>12411</v>
      </c>
      <c r="E18384" s="1101">
        <v>649700</v>
      </c>
      <c r="F18384" s="126"/>
      <c r="G18384" s="126">
        <f t="shared" ref="G18384:G18403" si="322">F18384-E18384</f>
        <v>-649700</v>
      </c>
      <c r="H18384" s="705" t="s">
        <v>12047</v>
      </c>
    </row>
    <row r="18385" spans="1:8" ht="15" x14ac:dyDescent="0.2">
      <c r="A18385" s="734">
        <v>45321</v>
      </c>
      <c r="B18385" s="63" t="s">
        <v>37</v>
      </c>
      <c r="C18385" s="1099" t="s">
        <v>794</v>
      </c>
      <c r="D18385" s="1102" t="s">
        <v>11845</v>
      </c>
      <c r="E18385" s="1101">
        <v>169677.41935483873</v>
      </c>
      <c r="F18385" s="126"/>
      <c r="G18385" s="126">
        <f t="shared" si="322"/>
        <v>-169677.41935483873</v>
      </c>
      <c r="H18385" s="705" t="s">
        <v>12047</v>
      </c>
    </row>
    <row r="18386" spans="1:8" ht="15" x14ac:dyDescent="0.2">
      <c r="A18386" s="734">
        <v>45321</v>
      </c>
      <c r="B18386" s="63" t="s">
        <v>103</v>
      </c>
      <c r="C18386" s="1099" t="s">
        <v>794</v>
      </c>
      <c r="D18386" s="1102" t="s">
        <v>10137</v>
      </c>
      <c r="E18386" s="1101">
        <v>260000</v>
      </c>
      <c r="F18386" s="126"/>
      <c r="G18386" s="126">
        <f t="shared" si="322"/>
        <v>-260000</v>
      </c>
      <c r="H18386" s="705" t="s">
        <v>12047</v>
      </c>
    </row>
    <row r="18387" spans="1:8" ht="15" x14ac:dyDescent="0.2">
      <c r="A18387" s="734">
        <v>45321</v>
      </c>
      <c r="B18387" s="63" t="s">
        <v>8559</v>
      </c>
      <c r="C18387" s="1099" t="s">
        <v>794</v>
      </c>
      <c r="D18387" s="1102" t="s">
        <v>12412</v>
      </c>
      <c r="E18387" s="1101">
        <v>61200</v>
      </c>
      <c r="F18387" s="126"/>
      <c r="G18387" s="126">
        <f t="shared" si="322"/>
        <v>-61200</v>
      </c>
      <c r="H18387" s="705" t="s">
        <v>12047</v>
      </c>
    </row>
    <row r="18388" spans="1:8" ht="15" x14ac:dyDescent="0.2">
      <c r="A18388" s="734">
        <v>45321</v>
      </c>
      <c r="B18388" s="63" t="s">
        <v>11089</v>
      </c>
      <c r="C18388" s="1099" t="s">
        <v>794</v>
      </c>
      <c r="D18388" s="1102" t="s">
        <v>11847</v>
      </c>
      <c r="E18388" s="1101">
        <v>42700</v>
      </c>
      <c r="F18388" s="126"/>
      <c r="G18388" s="126">
        <f t="shared" si="322"/>
        <v>-42700</v>
      </c>
      <c r="H18388" s="705" t="s">
        <v>12047</v>
      </c>
    </row>
    <row r="18389" spans="1:8" ht="15" x14ac:dyDescent="0.2">
      <c r="A18389" s="734">
        <v>45321</v>
      </c>
      <c r="B18389" s="63" t="s">
        <v>7807</v>
      </c>
      <c r="C18389" s="1099" t="s">
        <v>794</v>
      </c>
      <c r="D18389" s="1102" t="s">
        <v>10118</v>
      </c>
      <c r="E18389" s="1101">
        <v>36200</v>
      </c>
      <c r="F18389" s="126"/>
      <c r="G18389" s="126">
        <f t="shared" si="322"/>
        <v>-36200</v>
      </c>
      <c r="H18389" s="705" t="s">
        <v>12047</v>
      </c>
    </row>
    <row r="18390" spans="1:8" ht="15" x14ac:dyDescent="0.2">
      <c r="A18390" s="734">
        <v>45321</v>
      </c>
      <c r="B18390" s="63" t="s">
        <v>11089</v>
      </c>
      <c r="C18390" s="1099" t="s">
        <v>794</v>
      </c>
      <c r="D18390" s="1102" t="s">
        <v>12413</v>
      </c>
      <c r="E18390" s="1101">
        <v>44250</v>
      </c>
      <c r="F18390" s="126"/>
      <c r="G18390" s="126">
        <f t="shared" si="322"/>
        <v>-44250</v>
      </c>
      <c r="H18390" s="705" t="s">
        <v>12047</v>
      </c>
    </row>
    <row r="18391" spans="1:8" ht="15" x14ac:dyDescent="0.2">
      <c r="A18391" s="734">
        <v>45321</v>
      </c>
      <c r="B18391" s="63" t="s">
        <v>11089</v>
      </c>
      <c r="C18391" s="1099" t="s">
        <v>794</v>
      </c>
      <c r="D18391" s="1102" t="s">
        <v>12414</v>
      </c>
      <c r="E18391" s="1101">
        <v>34840</v>
      </c>
      <c r="F18391" s="126"/>
      <c r="G18391" s="126">
        <f t="shared" si="322"/>
        <v>-34840</v>
      </c>
      <c r="H18391" s="705" t="s">
        <v>12047</v>
      </c>
    </row>
    <row r="18392" spans="1:8" ht="15" x14ac:dyDescent="0.2">
      <c r="A18392" s="734">
        <v>45321</v>
      </c>
      <c r="B18392" s="63" t="s">
        <v>11635</v>
      </c>
      <c r="C18392" s="1099" t="s">
        <v>794</v>
      </c>
      <c r="D18392" s="1102" t="s">
        <v>11597</v>
      </c>
      <c r="E18392" s="1101">
        <v>45000</v>
      </c>
      <c r="F18392" s="126"/>
      <c r="G18392" s="126">
        <f t="shared" si="322"/>
        <v>-45000</v>
      </c>
      <c r="H18392" s="705" t="s">
        <v>12047</v>
      </c>
    </row>
    <row r="18393" spans="1:8" ht="15" x14ac:dyDescent="0.2">
      <c r="A18393" s="734">
        <v>45321</v>
      </c>
      <c r="B18393" s="63" t="s">
        <v>11897</v>
      </c>
      <c r="C18393" s="1099" t="s">
        <v>794</v>
      </c>
      <c r="D18393" s="1102" t="s">
        <v>10749</v>
      </c>
      <c r="E18393" s="1101">
        <v>100500</v>
      </c>
      <c r="F18393" s="126"/>
      <c r="G18393" s="126">
        <f t="shared" si="322"/>
        <v>-100500</v>
      </c>
      <c r="H18393" s="705" t="s">
        <v>12047</v>
      </c>
    </row>
    <row r="18394" spans="1:8" ht="15" x14ac:dyDescent="0.2">
      <c r="A18394" s="734">
        <v>45321</v>
      </c>
      <c r="B18394" s="63" t="s">
        <v>3945</v>
      </c>
      <c r="C18394" s="1099" t="s">
        <v>794</v>
      </c>
      <c r="D18394" s="1102" t="s">
        <v>12415</v>
      </c>
      <c r="E18394" s="1101">
        <v>137891.12903225806</v>
      </c>
      <c r="F18394" s="126"/>
      <c r="G18394" s="126">
        <f t="shared" si="322"/>
        <v>-137891.12903225806</v>
      </c>
      <c r="H18394" s="705" t="s">
        <v>12047</v>
      </c>
    </row>
    <row r="18395" spans="1:8" ht="15" x14ac:dyDescent="0.2">
      <c r="A18395" s="734">
        <v>45321</v>
      </c>
      <c r="B18395" s="63" t="s">
        <v>3946</v>
      </c>
      <c r="C18395" s="1099" t="s">
        <v>794</v>
      </c>
      <c r="D18395" s="1102" t="s">
        <v>12416</v>
      </c>
      <c r="E18395" s="1101">
        <v>128949.59677419355</v>
      </c>
      <c r="F18395" s="126"/>
      <c r="G18395" s="126">
        <f t="shared" si="322"/>
        <v>-128949.59677419355</v>
      </c>
      <c r="H18395" s="705" t="s">
        <v>12047</v>
      </c>
    </row>
    <row r="18396" spans="1:8" ht="15" x14ac:dyDescent="0.2">
      <c r="A18396" s="734">
        <v>45321</v>
      </c>
      <c r="B18396" s="63" t="s">
        <v>8559</v>
      </c>
      <c r="C18396" s="1099" t="s">
        <v>794</v>
      </c>
      <c r="D18396" s="1102" t="s">
        <v>12417</v>
      </c>
      <c r="E18396" s="1101">
        <v>182668</v>
      </c>
      <c r="F18396" s="126"/>
      <c r="G18396" s="126">
        <f t="shared" si="322"/>
        <v>-182668</v>
      </c>
      <c r="H18396" s="705" t="s">
        <v>12047</v>
      </c>
    </row>
    <row r="18397" spans="1:8" ht="15" x14ac:dyDescent="0.2">
      <c r="A18397" s="734">
        <v>45321</v>
      </c>
      <c r="B18397" s="63" t="s">
        <v>11635</v>
      </c>
      <c r="C18397" s="1099" t="s">
        <v>794</v>
      </c>
      <c r="D18397" s="1102" t="s">
        <v>12418</v>
      </c>
      <c r="E18397" s="1101">
        <v>62250</v>
      </c>
      <c r="F18397" s="126"/>
      <c r="G18397" s="126">
        <f t="shared" si="322"/>
        <v>-62250</v>
      </c>
      <c r="H18397" s="705" t="s">
        <v>12047</v>
      </c>
    </row>
    <row r="18398" spans="1:8" ht="15" x14ac:dyDescent="0.2">
      <c r="A18398" s="734">
        <v>45321</v>
      </c>
      <c r="B18398" s="63" t="s">
        <v>10908</v>
      </c>
      <c r="C18398" s="1099" t="s">
        <v>794</v>
      </c>
      <c r="D18398" s="1102" t="s">
        <v>12177</v>
      </c>
      <c r="E18398" s="1101">
        <v>60000</v>
      </c>
      <c r="F18398" s="126"/>
      <c r="G18398" s="126">
        <f t="shared" si="322"/>
        <v>-60000</v>
      </c>
      <c r="H18398" s="705" t="s">
        <v>12047</v>
      </c>
    </row>
    <row r="18399" spans="1:8" ht="15" x14ac:dyDescent="0.2">
      <c r="A18399" s="734">
        <v>45321</v>
      </c>
      <c r="B18399" s="63" t="s">
        <v>10908</v>
      </c>
      <c r="C18399" s="1099" t="s">
        <v>794</v>
      </c>
      <c r="D18399" s="1102" t="s">
        <v>12419</v>
      </c>
      <c r="E18399" s="1101">
        <v>38258.06451612903</v>
      </c>
      <c r="F18399" s="126"/>
      <c r="G18399" s="126">
        <f t="shared" si="322"/>
        <v>-38258.06451612903</v>
      </c>
      <c r="H18399" s="705" t="s">
        <v>12047</v>
      </c>
    </row>
    <row r="18400" spans="1:8" ht="15" x14ac:dyDescent="0.2">
      <c r="A18400" s="734">
        <v>45321</v>
      </c>
      <c r="B18400" s="63" t="s">
        <v>11897</v>
      </c>
      <c r="C18400" s="1099" t="s">
        <v>794</v>
      </c>
      <c r="D18400" s="1102" t="s">
        <v>11609</v>
      </c>
      <c r="E18400" s="1101">
        <v>51900</v>
      </c>
      <c r="F18400" s="126"/>
      <c r="G18400" s="126">
        <f t="shared" si="322"/>
        <v>-51900</v>
      </c>
      <c r="H18400" s="705" t="s">
        <v>12047</v>
      </c>
    </row>
    <row r="18401" spans="1:10" ht="15" x14ac:dyDescent="0.2">
      <c r="A18401" s="734">
        <v>45321</v>
      </c>
      <c r="B18401" s="63" t="s">
        <v>11089</v>
      </c>
      <c r="C18401" s="1099" t="s">
        <v>794</v>
      </c>
      <c r="D18401" s="1102" t="s">
        <v>11854</v>
      </c>
      <c r="E18401" s="1101">
        <v>41010</v>
      </c>
      <c r="F18401" s="126"/>
      <c r="G18401" s="126">
        <f t="shared" si="322"/>
        <v>-41010</v>
      </c>
      <c r="H18401" s="705" t="s">
        <v>12047</v>
      </c>
    </row>
    <row r="18402" spans="1:10" ht="15" x14ac:dyDescent="0.2">
      <c r="A18402" s="734">
        <v>45321</v>
      </c>
      <c r="B18402" s="63" t="s">
        <v>3946</v>
      </c>
      <c r="C18402" s="1099" t="s">
        <v>794</v>
      </c>
      <c r="D18402" s="1102" t="s">
        <v>12420</v>
      </c>
      <c r="E18402" s="1101">
        <v>31000</v>
      </c>
      <c r="F18402" s="126"/>
      <c r="G18402" s="126">
        <f t="shared" si="322"/>
        <v>-31000</v>
      </c>
      <c r="H18402" s="705" t="s">
        <v>12047</v>
      </c>
    </row>
    <row r="18403" spans="1:10" ht="15" x14ac:dyDescent="0.2">
      <c r="A18403" s="734">
        <v>45321</v>
      </c>
      <c r="B18403" s="63" t="s">
        <v>9986</v>
      </c>
      <c r="C18403" s="1099" t="s">
        <v>794</v>
      </c>
      <c r="D18403" s="1102" t="s">
        <v>12116</v>
      </c>
      <c r="E18403" s="1101">
        <v>17750</v>
      </c>
      <c r="F18403" s="126"/>
      <c r="G18403" s="126">
        <f t="shared" si="322"/>
        <v>-17750</v>
      </c>
      <c r="H18403" s="705" t="s">
        <v>12047</v>
      </c>
    </row>
    <row r="18404" spans="1:10" ht="15" x14ac:dyDescent="0.2">
      <c r="A18404" s="734">
        <v>45321</v>
      </c>
      <c r="B18404" s="63" t="s">
        <v>37</v>
      </c>
      <c r="C18404" s="1099" t="s">
        <v>794</v>
      </c>
      <c r="D18404" s="1102" t="s">
        <v>12515</v>
      </c>
      <c r="E18404" s="1101">
        <v>105000</v>
      </c>
      <c r="F18404" s="126"/>
      <c r="G18404" s="126">
        <f>F18404-E18404</f>
        <v>-105000</v>
      </c>
      <c r="H18404" s="705" t="s">
        <v>12047</v>
      </c>
      <c r="J18404" s="40"/>
    </row>
    <row r="18405" spans="1:10" ht="15" x14ac:dyDescent="0.2">
      <c r="A18405" s="734">
        <v>45321</v>
      </c>
      <c r="B18405" s="63" t="s">
        <v>10179</v>
      </c>
      <c r="C18405" s="1099" t="s">
        <v>794</v>
      </c>
      <c r="D18405" s="1102" t="s">
        <v>8431</v>
      </c>
      <c r="E18405" s="1101">
        <v>5000</v>
      </c>
      <c r="F18405" s="126"/>
      <c r="G18405" s="126">
        <f>F18405-E18405</f>
        <v>-5000</v>
      </c>
      <c r="H18405" s="705" t="s">
        <v>12047</v>
      </c>
      <c r="J18405" s="40"/>
    </row>
    <row r="18406" spans="1:10" ht="15" x14ac:dyDescent="0.2">
      <c r="A18406" s="734">
        <v>45321</v>
      </c>
      <c r="B18406" s="63" t="s">
        <v>3946</v>
      </c>
      <c r="C18406" s="63" t="s">
        <v>794</v>
      </c>
      <c r="D18406" s="183" t="s">
        <v>12535</v>
      </c>
      <c r="E18406" s="126">
        <v>6050</v>
      </c>
      <c r="F18406" s="126"/>
      <c r="G18406" s="126">
        <f>F18406-E18406</f>
        <v>-6050</v>
      </c>
      <c r="H18406" s="705" t="s">
        <v>12047</v>
      </c>
      <c r="J18406" s="40"/>
    </row>
    <row r="18407" spans="1:10" ht="15" x14ac:dyDescent="0.2">
      <c r="A18407" s="734">
        <v>45321</v>
      </c>
      <c r="B18407" s="63" t="s">
        <v>12624</v>
      </c>
      <c r="C18407" s="63" t="s">
        <v>10993</v>
      </c>
      <c r="D18407" s="183" t="s">
        <v>10009</v>
      </c>
      <c r="E18407" s="126">
        <v>1500</v>
      </c>
      <c r="F18407" s="126"/>
      <c r="G18407" s="126">
        <f t="shared" si="320"/>
        <v>-1500</v>
      </c>
      <c r="H18407" s="705" t="s">
        <v>12047</v>
      </c>
    </row>
    <row r="18408" spans="1:10" ht="15" x14ac:dyDescent="0.2">
      <c r="A18408" s="734">
        <v>45321</v>
      </c>
      <c r="B18408" s="63" t="s">
        <v>12207</v>
      </c>
      <c r="C18408" s="63" t="s">
        <v>10993</v>
      </c>
      <c r="D18408" s="183" t="s">
        <v>12369</v>
      </c>
      <c r="E18408" s="126">
        <v>2715</v>
      </c>
      <c r="F18408" s="126"/>
      <c r="G18408" s="126">
        <f t="shared" si="320"/>
        <v>-2715</v>
      </c>
      <c r="H18408" s="705" t="s">
        <v>12047</v>
      </c>
    </row>
    <row r="18409" spans="1:10" ht="18.75" customHeight="1" x14ac:dyDescent="0.2">
      <c r="A18409" s="734">
        <v>45321</v>
      </c>
      <c r="B18409" s="63" t="s">
        <v>11089</v>
      </c>
      <c r="C18409" s="63" t="s">
        <v>10993</v>
      </c>
      <c r="D18409" s="183" t="s">
        <v>12370</v>
      </c>
      <c r="E18409" s="126">
        <v>27400</v>
      </c>
      <c r="F18409" s="126"/>
      <c r="G18409" s="126">
        <f t="shared" si="320"/>
        <v>-27400</v>
      </c>
      <c r="H18409" s="705" t="s">
        <v>12047</v>
      </c>
    </row>
    <row r="18410" spans="1:10" ht="18.75" customHeight="1" x14ac:dyDescent="0.2">
      <c r="A18410" s="734">
        <v>45321</v>
      </c>
      <c r="B18410" s="63" t="s">
        <v>12624</v>
      </c>
      <c r="C18410" s="63" t="s">
        <v>12307</v>
      </c>
      <c r="D18410" s="183" t="s">
        <v>12371</v>
      </c>
      <c r="E18410" s="126">
        <v>5000</v>
      </c>
      <c r="F18410" s="126"/>
      <c r="G18410" s="126">
        <f t="shared" ref="G18410:G18415" si="323">F18410-E18410</f>
        <v>-5000</v>
      </c>
      <c r="H18410" s="705" t="s">
        <v>12047</v>
      </c>
    </row>
    <row r="18411" spans="1:10" ht="18.75" customHeight="1" x14ac:dyDescent="0.2">
      <c r="A18411" s="734">
        <v>45321</v>
      </c>
      <c r="B18411" s="63" t="s">
        <v>12372</v>
      </c>
      <c r="C18411" s="63" t="s">
        <v>286</v>
      </c>
      <c r="D18411" s="183" t="s">
        <v>12373</v>
      </c>
      <c r="E18411" s="126">
        <v>2700</v>
      </c>
      <c r="F18411" s="126"/>
      <c r="G18411" s="126">
        <f t="shared" si="323"/>
        <v>-2700</v>
      </c>
      <c r="H18411" s="705" t="s">
        <v>12047</v>
      </c>
    </row>
    <row r="18412" spans="1:10" ht="18.75" customHeight="1" x14ac:dyDescent="0.2">
      <c r="A18412" s="734">
        <v>45322</v>
      </c>
      <c r="B18412" s="63" t="s">
        <v>8559</v>
      </c>
      <c r="C18412" s="63" t="s">
        <v>12374</v>
      </c>
      <c r="D18412" s="183" t="s">
        <v>12375</v>
      </c>
      <c r="E18412" s="126">
        <v>5000</v>
      </c>
      <c r="F18412" s="126"/>
      <c r="G18412" s="126">
        <f t="shared" si="323"/>
        <v>-5000</v>
      </c>
      <c r="H18412" s="705" t="s">
        <v>12047</v>
      </c>
    </row>
    <row r="18413" spans="1:10" ht="18.75" customHeight="1" x14ac:dyDescent="0.2">
      <c r="A18413" s="734">
        <v>45322</v>
      </c>
      <c r="B18413" s="736"/>
      <c r="C18413" s="63" t="s">
        <v>12325</v>
      </c>
      <c r="D18413" s="183" t="s">
        <v>11171</v>
      </c>
      <c r="E18413" s="126">
        <v>300000</v>
      </c>
      <c r="F18413" s="126"/>
      <c r="G18413" s="126">
        <f t="shared" si="323"/>
        <v>-300000</v>
      </c>
      <c r="H18413" s="705" t="s">
        <v>12047</v>
      </c>
    </row>
    <row r="18414" spans="1:10" ht="18.75" customHeight="1" x14ac:dyDescent="0.2">
      <c r="A18414" s="734">
        <v>45322</v>
      </c>
      <c r="B18414" s="63" t="s">
        <v>12624</v>
      </c>
      <c r="C18414" s="63" t="s">
        <v>10993</v>
      </c>
      <c r="D18414" s="183" t="s">
        <v>12376</v>
      </c>
      <c r="E18414" s="126">
        <v>90000</v>
      </c>
      <c r="F18414" s="126"/>
      <c r="G18414" s="126">
        <f t="shared" si="323"/>
        <v>-90000</v>
      </c>
      <c r="H18414" s="705" t="s">
        <v>12047</v>
      </c>
    </row>
    <row r="18415" spans="1:10" ht="18.75" customHeight="1" x14ac:dyDescent="0.2">
      <c r="A18415" s="734">
        <v>45322</v>
      </c>
      <c r="B18415" s="63" t="s">
        <v>11897</v>
      </c>
      <c r="C18415" s="63" t="s">
        <v>392</v>
      </c>
      <c r="D18415" s="183" t="s">
        <v>3991</v>
      </c>
      <c r="E18415" s="126">
        <v>4200</v>
      </c>
      <c r="F18415" s="126"/>
      <c r="G18415" s="126">
        <f t="shared" si="323"/>
        <v>-4200</v>
      </c>
      <c r="H18415" s="705" t="s">
        <v>12047</v>
      </c>
    </row>
    <row r="18416" spans="1:10" ht="18.75" customHeight="1" x14ac:dyDescent="0.2">
      <c r="A18416" s="734">
        <v>45322</v>
      </c>
      <c r="B18416" s="63" t="s">
        <v>8559</v>
      </c>
      <c r="C18416" s="63" t="s">
        <v>3104</v>
      </c>
      <c r="D18416" s="183" t="s">
        <v>12377</v>
      </c>
      <c r="E18416" s="126">
        <v>15000</v>
      </c>
      <c r="F18416" s="126"/>
      <c r="G18416" s="126">
        <f t="shared" ref="G18416:G18421" si="324">F18416-E18416</f>
        <v>-15000</v>
      </c>
      <c r="H18416" s="705" t="s">
        <v>12047</v>
      </c>
    </row>
    <row r="18417" spans="1:8" ht="18.75" customHeight="1" x14ac:dyDescent="0.2">
      <c r="A18417" s="734">
        <v>45322</v>
      </c>
      <c r="B18417" s="63" t="s">
        <v>103</v>
      </c>
      <c r="C18417" s="63" t="s">
        <v>103</v>
      </c>
      <c r="D18417" s="183" t="s">
        <v>3843</v>
      </c>
      <c r="E18417" s="126">
        <v>3000</v>
      </c>
      <c r="F18417" s="126"/>
      <c r="G18417" s="126">
        <f t="shared" si="324"/>
        <v>-3000</v>
      </c>
      <c r="H18417" s="705" t="s">
        <v>12047</v>
      </c>
    </row>
    <row r="18418" spans="1:8" ht="18.75" customHeight="1" x14ac:dyDescent="0.2">
      <c r="A18418" s="734">
        <v>45322</v>
      </c>
      <c r="B18418" s="63" t="s">
        <v>25</v>
      </c>
      <c r="C18418" s="63" t="s">
        <v>8150</v>
      </c>
      <c r="D18418" s="183" t="s">
        <v>6310</v>
      </c>
      <c r="E18418" s="126">
        <v>860</v>
      </c>
      <c r="F18418" s="126"/>
      <c r="G18418" s="126">
        <f t="shared" si="324"/>
        <v>-860</v>
      </c>
      <c r="H18418" s="705" t="s">
        <v>12047</v>
      </c>
    </row>
    <row r="18419" spans="1:8" ht="18.75" customHeight="1" x14ac:dyDescent="0.2">
      <c r="A18419" s="734">
        <v>45322</v>
      </c>
      <c r="B18419" s="63" t="s">
        <v>11897</v>
      </c>
      <c r="C18419" s="63" t="s">
        <v>5741</v>
      </c>
      <c r="D18419" s="183" t="s">
        <v>370</v>
      </c>
      <c r="E18419" s="126">
        <v>2700</v>
      </c>
      <c r="F18419" s="126"/>
      <c r="G18419" s="126">
        <f t="shared" si="324"/>
        <v>-2700</v>
      </c>
      <c r="H18419" s="705" t="s">
        <v>12047</v>
      </c>
    </row>
    <row r="18420" spans="1:8" ht="18.75" customHeight="1" x14ac:dyDescent="0.2">
      <c r="A18420" s="734">
        <v>45322</v>
      </c>
      <c r="B18420" s="63" t="s">
        <v>12207</v>
      </c>
      <c r="C18420" s="63" t="s">
        <v>5741</v>
      </c>
      <c r="D18420" s="183" t="s">
        <v>370</v>
      </c>
      <c r="E18420" s="126">
        <v>1500</v>
      </c>
      <c r="F18420" s="126"/>
      <c r="G18420" s="126">
        <f t="shared" si="324"/>
        <v>-1500</v>
      </c>
      <c r="H18420" s="705" t="s">
        <v>12047</v>
      </c>
    </row>
    <row r="18421" spans="1:8" ht="18.75" customHeight="1" x14ac:dyDescent="0.2">
      <c r="A18421" s="734">
        <v>45322</v>
      </c>
      <c r="B18421" s="63" t="s">
        <v>11089</v>
      </c>
      <c r="C18421" s="63" t="s">
        <v>11552</v>
      </c>
      <c r="D18421" s="183" t="s">
        <v>12378</v>
      </c>
      <c r="E18421" s="126">
        <v>19100</v>
      </c>
      <c r="F18421" s="126"/>
      <c r="G18421" s="126">
        <f t="shared" si="324"/>
        <v>-19100</v>
      </c>
      <c r="H18421" s="705" t="s">
        <v>12047</v>
      </c>
    </row>
    <row r="18422" spans="1:8" ht="24" x14ac:dyDescent="0.2">
      <c r="A18422" s="733">
        <v>45292</v>
      </c>
      <c r="B18422" s="174" t="s">
        <v>9986</v>
      </c>
      <c r="C18422" s="551" t="s">
        <v>12050</v>
      </c>
      <c r="D18422" s="740" t="s">
        <v>12067</v>
      </c>
      <c r="E18422" s="552">
        <v>91980</v>
      </c>
      <c r="F18422" s="236"/>
      <c r="G18422" s="236">
        <f t="shared" ref="G18422:G18472" si="325">F18422-E18422</f>
        <v>-91980</v>
      </c>
      <c r="H18422" s="709" t="s">
        <v>12047</v>
      </c>
    </row>
    <row r="18423" spans="1:8" ht="24" x14ac:dyDescent="0.2">
      <c r="A18423" s="733">
        <v>45292</v>
      </c>
      <c r="B18423" s="174" t="s">
        <v>10151</v>
      </c>
      <c r="C18423" s="551" t="s">
        <v>12050</v>
      </c>
      <c r="D18423" s="740" t="s">
        <v>12067</v>
      </c>
      <c r="E18423" s="552">
        <v>21340</v>
      </c>
      <c r="F18423" s="236"/>
      <c r="G18423" s="236">
        <f t="shared" si="325"/>
        <v>-21340</v>
      </c>
      <c r="H18423" s="709" t="s">
        <v>12047</v>
      </c>
    </row>
    <row r="18424" spans="1:8" ht="24" x14ac:dyDescent="0.2">
      <c r="A18424" s="733">
        <v>45292</v>
      </c>
      <c r="B18424" s="174" t="s">
        <v>10471</v>
      </c>
      <c r="C18424" s="551" t="s">
        <v>12050</v>
      </c>
      <c r="D18424" s="740" t="s">
        <v>12067</v>
      </c>
      <c r="E18424" s="552">
        <v>140985</v>
      </c>
      <c r="F18424" s="236"/>
      <c r="G18424" s="236">
        <f t="shared" si="325"/>
        <v>-140985</v>
      </c>
      <c r="H18424" s="709" t="s">
        <v>12047</v>
      </c>
    </row>
    <row r="18425" spans="1:8" ht="24" x14ac:dyDescent="0.2">
      <c r="A18425" s="733">
        <v>45292</v>
      </c>
      <c r="B18425" s="174" t="s">
        <v>10232</v>
      </c>
      <c r="C18425" s="551" t="s">
        <v>12050</v>
      </c>
      <c r="D18425" s="740" t="s">
        <v>12067</v>
      </c>
      <c r="E18425" s="552">
        <v>15980</v>
      </c>
      <c r="F18425" s="236"/>
      <c r="G18425" s="236">
        <f t="shared" si="325"/>
        <v>-15980</v>
      </c>
      <c r="H18425" s="709" t="s">
        <v>12047</v>
      </c>
    </row>
    <row r="18426" spans="1:8" ht="24" x14ac:dyDescent="0.2">
      <c r="A18426" s="733">
        <v>45292</v>
      </c>
      <c r="B18426" s="174" t="s">
        <v>10571</v>
      </c>
      <c r="C18426" s="551" t="s">
        <v>12050</v>
      </c>
      <c r="D18426" s="740" t="s">
        <v>12067</v>
      </c>
      <c r="E18426" s="552">
        <v>45000</v>
      </c>
      <c r="F18426" s="236"/>
      <c r="G18426" s="236">
        <f t="shared" si="325"/>
        <v>-45000</v>
      </c>
      <c r="H18426" s="709" t="s">
        <v>12047</v>
      </c>
    </row>
    <row r="18427" spans="1:8" ht="24" x14ac:dyDescent="0.2">
      <c r="A18427" s="733">
        <v>45292</v>
      </c>
      <c r="B18427" s="174" t="s">
        <v>10379</v>
      </c>
      <c r="C18427" s="551" t="s">
        <v>12050</v>
      </c>
      <c r="D18427" s="740" t="s">
        <v>12067</v>
      </c>
      <c r="E18427" s="552">
        <v>114255</v>
      </c>
      <c r="F18427" s="236"/>
      <c r="G18427" s="236">
        <f t="shared" si="325"/>
        <v>-114255</v>
      </c>
      <c r="H18427" s="709" t="s">
        <v>12047</v>
      </c>
    </row>
    <row r="18428" spans="1:8" ht="24" x14ac:dyDescent="0.2">
      <c r="A18428" s="733">
        <v>45292</v>
      </c>
      <c r="B18428" s="174" t="s">
        <v>10909</v>
      </c>
      <c r="C18428" s="551" t="s">
        <v>12050</v>
      </c>
      <c r="D18428" s="740" t="s">
        <v>12067</v>
      </c>
      <c r="E18428" s="552">
        <v>83530</v>
      </c>
      <c r="F18428" s="236"/>
      <c r="G18428" s="236">
        <f t="shared" si="325"/>
        <v>-83530</v>
      </c>
      <c r="H18428" s="709" t="s">
        <v>12047</v>
      </c>
    </row>
    <row r="18429" spans="1:8" ht="24" x14ac:dyDescent="0.2">
      <c r="A18429" s="733">
        <v>45292</v>
      </c>
      <c r="B18429" s="174" t="s">
        <v>11007</v>
      </c>
      <c r="C18429" s="551" t="s">
        <v>12050</v>
      </c>
      <c r="D18429" s="740" t="s">
        <v>12067</v>
      </c>
      <c r="E18429" s="552">
        <v>65500</v>
      </c>
      <c r="F18429" s="236"/>
      <c r="G18429" s="236">
        <f t="shared" si="325"/>
        <v>-65500</v>
      </c>
      <c r="H18429" s="709" t="s">
        <v>12047</v>
      </c>
    </row>
    <row r="18430" spans="1:8" ht="24" x14ac:dyDescent="0.2">
      <c r="A18430" s="733">
        <v>45292</v>
      </c>
      <c r="B18430" s="174" t="s">
        <v>11446</v>
      </c>
      <c r="C18430" s="551" t="s">
        <v>12050</v>
      </c>
      <c r="D18430" s="740" t="s">
        <v>12067</v>
      </c>
      <c r="E18430" s="552">
        <v>250855</v>
      </c>
      <c r="F18430" s="236"/>
      <c r="G18430" s="236">
        <f t="shared" si="325"/>
        <v>-250855</v>
      </c>
      <c r="H18430" s="709" t="s">
        <v>12047</v>
      </c>
    </row>
    <row r="18431" spans="1:8" ht="24" x14ac:dyDescent="0.2">
      <c r="A18431" s="733">
        <v>45292</v>
      </c>
      <c r="B18431" s="174" t="s">
        <v>11617</v>
      </c>
      <c r="C18431" s="551" t="s">
        <v>12050</v>
      </c>
      <c r="D18431" s="740" t="s">
        <v>12067</v>
      </c>
      <c r="E18431" s="552">
        <v>41135</v>
      </c>
      <c r="F18431" s="236"/>
      <c r="G18431" s="236">
        <f t="shared" si="325"/>
        <v>-41135</v>
      </c>
      <c r="H18431" s="709" t="s">
        <v>12047</v>
      </c>
    </row>
    <row r="18432" spans="1:8" ht="24" x14ac:dyDescent="0.2">
      <c r="A18432" s="733">
        <v>45292</v>
      </c>
      <c r="B18432" s="736"/>
      <c r="C18432" s="551" t="s">
        <v>12050</v>
      </c>
      <c r="D18432" s="740" t="s">
        <v>12067</v>
      </c>
      <c r="E18432" s="552">
        <v>205140</v>
      </c>
      <c r="F18432" s="236"/>
      <c r="G18432" s="236">
        <f t="shared" si="325"/>
        <v>-205140</v>
      </c>
      <c r="H18432" s="709" t="s">
        <v>12047</v>
      </c>
    </row>
    <row r="18433" spans="1:8" ht="15" x14ac:dyDescent="0.2">
      <c r="A18433" s="733">
        <v>45292</v>
      </c>
      <c r="B18433" s="174" t="s">
        <v>10232</v>
      </c>
      <c r="C18433" s="174" t="s">
        <v>7467</v>
      </c>
      <c r="D18433" s="228" t="s">
        <v>12037</v>
      </c>
      <c r="E18433" s="236">
        <v>1000000</v>
      </c>
      <c r="F18433" s="236"/>
      <c r="G18433" s="236">
        <f t="shared" si="325"/>
        <v>-1000000</v>
      </c>
      <c r="H18433" s="709" t="s">
        <v>12047</v>
      </c>
    </row>
    <row r="18434" spans="1:8" ht="15" x14ac:dyDescent="0.2">
      <c r="A18434" s="733">
        <v>45292</v>
      </c>
      <c r="B18434" s="174" t="s">
        <v>11093</v>
      </c>
      <c r="C18434" s="174" t="s">
        <v>8251</v>
      </c>
      <c r="D18434" s="228" t="s">
        <v>12068</v>
      </c>
      <c r="E18434" s="236">
        <v>153000</v>
      </c>
      <c r="F18434" s="236"/>
      <c r="G18434" s="236">
        <f t="shared" si="325"/>
        <v>-153000</v>
      </c>
      <c r="H18434" s="709" t="s">
        <v>12047</v>
      </c>
    </row>
    <row r="18435" spans="1:8" ht="15" x14ac:dyDescent="0.2">
      <c r="A18435" s="733">
        <v>45292</v>
      </c>
      <c r="B18435" s="174" t="s">
        <v>10576</v>
      </c>
      <c r="C18435" s="174" t="s">
        <v>8251</v>
      </c>
      <c r="D18435" s="228" t="s">
        <v>12069</v>
      </c>
      <c r="E18435" s="236">
        <v>150000</v>
      </c>
      <c r="F18435" s="236"/>
      <c r="G18435" s="236">
        <f t="shared" si="325"/>
        <v>-150000</v>
      </c>
      <c r="H18435" s="709" t="s">
        <v>12047</v>
      </c>
    </row>
    <row r="18436" spans="1:8" ht="36" x14ac:dyDescent="0.2">
      <c r="A18436" s="733">
        <v>45292</v>
      </c>
      <c r="B18436" s="174" t="s">
        <v>10232</v>
      </c>
      <c r="C18436" s="551" t="s">
        <v>3446</v>
      </c>
      <c r="D18436" s="740" t="s">
        <v>12072</v>
      </c>
      <c r="E18436" s="552">
        <v>98000</v>
      </c>
      <c r="F18436" s="236"/>
      <c r="G18436" s="236">
        <f t="shared" si="325"/>
        <v>-98000</v>
      </c>
      <c r="H18436" s="709" t="s">
        <v>12047</v>
      </c>
    </row>
    <row r="18437" spans="1:8" ht="36" x14ac:dyDescent="0.2">
      <c r="A18437" s="733">
        <v>45292</v>
      </c>
      <c r="B18437" s="174" t="s">
        <v>9356</v>
      </c>
      <c r="C18437" s="551" t="s">
        <v>3446</v>
      </c>
      <c r="D18437" s="740" t="s">
        <v>12072</v>
      </c>
      <c r="E18437" s="552">
        <v>50000</v>
      </c>
      <c r="F18437" s="236"/>
      <c r="G18437" s="236">
        <f t="shared" si="325"/>
        <v>-50000</v>
      </c>
      <c r="H18437" s="709" t="s">
        <v>12047</v>
      </c>
    </row>
    <row r="18438" spans="1:8" ht="36" x14ac:dyDescent="0.2">
      <c r="A18438" s="733">
        <v>45292</v>
      </c>
      <c r="B18438" s="174" t="s">
        <v>9507</v>
      </c>
      <c r="C18438" s="551" t="s">
        <v>3446</v>
      </c>
      <c r="D18438" s="740" t="s">
        <v>12072</v>
      </c>
      <c r="E18438" s="552">
        <v>61000</v>
      </c>
      <c r="F18438" s="236"/>
      <c r="G18438" s="236">
        <f t="shared" si="325"/>
        <v>-61000</v>
      </c>
      <c r="H18438" s="709" t="s">
        <v>12047</v>
      </c>
    </row>
    <row r="18439" spans="1:8" ht="36" x14ac:dyDescent="0.2">
      <c r="A18439" s="733">
        <v>45292</v>
      </c>
      <c r="B18439" s="174" t="s">
        <v>8868</v>
      </c>
      <c r="C18439" s="551" t="s">
        <v>3446</v>
      </c>
      <c r="D18439" s="740" t="s">
        <v>12072</v>
      </c>
      <c r="E18439" s="552">
        <v>25000</v>
      </c>
      <c r="F18439" s="236"/>
      <c r="G18439" s="236">
        <f t="shared" si="325"/>
        <v>-25000</v>
      </c>
      <c r="H18439" s="709" t="s">
        <v>12047</v>
      </c>
    </row>
    <row r="18440" spans="1:8" ht="36" x14ac:dyDescent="0.2">
      <c r="A18440" s="733">
        <v>45292</v>
      </c>
      <c r="B18440" s="174" t="s">
        <v>11271</v>
      </c>
      <c r="C18440" s="551" t="s">
        <v>3446</v>
      </c>
      <c r="D18440" s="740" t="s">
        <v>12072</v>
      </c>
      <c r="E18440" s="552">
        <v>55000</v>
      </c>
      <c r="F18440" s="236"/>
      <c r="G18440" s="236">
        <f t="shared" si="325"/>
        <v>-55000</v>
      </c>
      <c r="H18440" s="709" t="s">
        <v>12047</v>
      </c>
    </row>
    <row r="18441" spans="1:8" ht="36" x14ac:dyDescent="0.2">
      <c r="A18441" s="733">
        <v>45292</v>
      </c>
      <c r="B18441" s="174" t="s">
        <v>11728</v>
      </c>
      <c r="C18441" s="551" t="s">
        <v>3446</v>
      </c>
      <c r="D18441" s="740" t="s">
        <v>12072</v>
      </c>
      <c r="E18441" s="552">
        <v>53000</v>
      </c>
      <c r="F18441" s="236"/>
      <c r="G18441" s="236">
        <f t="shared" si="325"/>
        <v>-53000</v>
      </c>
      <c r="H18441" s="709" t="s">
        <v>12047</v>
      </c>
    </row>
    <row r="18442" spans="1:8" ht="15" x14ac:dyDescent="0.2">
      <c r="A18442" s="733">
        <v>45293</v>
      </c>
      <c r="B18442" s="174" t="s">
        <v>10232</v>
      </c>
      <c r="C18442" s="670" t="s">
        <v>11386</v>
      </c>
      <c r="D18442" s="907" t="s">
        <v>12091</v>
      </c>
      <c r="E18442" s="672">
        <v>31000</v>
      </c>
      <c r="F18442" s="236"/>
      <c r="G18442" s="236">
        <f t="shared" si="325"/>
        <v>-31000</v>
      </c>
      <c r="H18442" s="709" t="s">
        <v>12047</v>
      </c>
    </row>
    <row r="18443" spans="1:8" ht="15" x14ac:dyDescent="0.2">
      <c r="A18443" s="733">
        <v>45293</v>
      </c>
      <c r="B18443" s="174" t="s">
        <v>11446</v>
      </c>
      <c r="C18443" s="670" t="s">
        <v>11386</v>
      </c>
      <c r="D18443" s="907" t="s">
        <v>12091</v>
      </c>
      <c r="E18443" s="672">
        <v>16000</v>
      </c>
      <c r="F18443" s="236"/>
      <c r="G18443" s="236">
        <f t="shared" si="325"/>
        <v>-16000</v>
      </c>
      <c r="H18443" s="709" t="s">
        <v>12047</v>
      </c>
    </row>
    <row r="18444" spans="1:8" ht="15" x14ac:dyDescent="0.2">
      <c r="A18444" s="733">
        <v>45293</v>
      </c>
      <c r="B18444" s="174" t="s">
        <v>10908</v>
      </c>
      <c r="C18444" s="670" t="s">
        <v>11386</v>
      </c>
      <c r="D18444" s="907" t="s">
        <v>12091</v>
      </c>
      <c r="E18444" s="672">
        <v>54000</v>
      </c>
      <c r="F18444" s="236"/>
      <c r="G18444" s="236">
        <f t="shared" si="325"/>
        <v>-54000</v>
      </c>
      <c r="H18444" s="709" t="s">
        <v>12047</v>
      </c>
    </row>
    <row r="18445" spans="1:8" ht="15" x14ac:dyDescent="0.2">
      <c r="A18445" s="733">
        <v>45293</v>
      </c>
      <c r="B18445" s="174" t="s">
        <v>11635</v>
      </c>
      <c r="C18445" s="670" t="s">
        <v>11386</v>
      </c>
      <c r="D18445" s="907" t="s">
        <v>12091</v>
      </c>
      <c r="E18445" s="672">
        <v>6000</v>
      </c>
      <c r="F18445" s="236"/>
      <c r="G18445" s="236">
        <f t="shared" si="325"/>
        <v>-6000</v>
      </c>
      <c r="H18445" s="709" t="s">
        <v>12047</v>
      </c>
    </row>
    <row r="18446" spans="1:8" ht="15" x14ac:dyDescent="0.2">
      <c r="A18446" s="733">
        <v>45293</v>
      </c>
      <c r="B18446" s="174" t="s">
        <v>11093</v>
      </c>
      <c r="C18446" s="670" t="s">
        <v>11386</v>
      </c>
      <c r="D18446" s="907" t="s">
        <v>12091</v>
      </c>
      <c r="E18446" s="672">
        <v>4000</v>
      </c>
      <c r="F18446" s="236"/>
      <c r="G18446" s="236">
        <f t="shared" si="325"/>
        <v>-4000</v>
      </c>
      <c r="H18446" s="709" t="s">
        <v>12047</v>
      </c>
    </row>
    <row r="18447" spans="1:8" ht="15" x14ac:dyDescent="0.2">
      <c r="A18447" s="733">
        <v>45293</v>
      </c>
      <c r="B18447" s="174" t="s">
        <v>3946</v>
      </c>
      <c r="C18447" s="566" t="s">
        <v>3003</v>
      </c>
      <c r="D18447" s="875" t="s">
        <v>12070</v>
      </c>
      <c r="E18447" s="567">
        <v>32760</v>
      </c>
      <c r="F18447" s="236"/>
      <c r="G18447" s="236">
        <f t="shared" si="325"/>
        <v>-32760</v>
      </c>
      <c r="H18447" s="709" t="s">
        <v>12047</v>
      </c>
    </row>
    <row r="18448" spans="1:8" ht="15" x14ac:dyDescent="0.2">
      <c r="A18448" s="733">
        <v>45293</v>
      </c>
      <c r="B18448" s="174" t="s">
        <v>3945</v>
      </c>
      <c r="C18448" s="566" t="s">
        <v>3003</v>
      </c>
      <c r="D18448" s="875" t="s">
        <v>12070</v>
      </c>
      <c r="E18448" s="567">
        <v>35360</v>
      </c>
      <c r="F18448" s="236"/>
      <c r="G18448" s="236">
        <f t="shared" si="325"/>
        <v>-35360</v>
      </c>
      <c r="H18448" s="709" t="s">
        <v>12047</v>
      </c>
    </row>
    <row r="18449" spans="1:8" ht="15" x14ac:dyDescent="0.2">
      <c r="A18449" s="733">
        <v>45293</v>
      </c>
      <c r="B18449" s="174" t="s">
        <v>11625</v>
      </c>
      <c r="C18449" s="566" t="s">
        <v>3003</v>
      </c>
      <c r="D18449" s="875" t="s">
        <v>12070</v>
      </c>
      <c r="E18449" s="567">
        <v>11960</v>
      </c>
      <c r="F18449" s="236"/>
      <c r="G18449" s="236">
        <f t="shared" si="325"/>
        <v>-11960</v>
      </c>
      <c r="H18449" s="709" t="s">
        <v>12047</v>
      </c>
    </row>
    <row r="18450" spans="1:8" ht="15" x14ac:dyDescent="0.2">
      <c r="A18450" s="733">
        <v>45293</v>
      </c>
      <c r="B18450" s="174" t="s">
        <v>8559</v>
      </c>
      <c r="C18450" s="566" t="s">
        <v>3003</v>
      </c>
      <c r="D18450" s="875" t="s">
        <v>12070</v>
      </c>
      <c r="E18450" s="567">
        <v>17316</v>
      </c>
      <c r="F18450" s="236"/>
      <c r="G18450" s="236">
        <f t="shared" si="325"/>
        <v>-17316</v>
      </c>
      <c r="H18450" s="709" t="s">
        <v>12047</v>
      </c>
    </row>
    <row r="18451" spans="1:8" ht="15" x14ac:dyDescent="0.2">
      <c r="A18451" s="733">
        <v>45293</v>
      </c>
      <c r="B18451" s="174" t="s">
        <v>11503</v>
      </c>
      <c r="C18451" s="566" t="s">
        <v>3003</v>
      </c>
      <c r="D18451" s="875" t="s">
        <v>12071</v>
      </c>
      <c r="E18451" s="567">
        <v>-15738</v>
      </c>
      <c r="F18451" s="236"/>
      <c r="G18451" s="236">
        <f t="shared" si="325"/>
        <v>15738</v>
      </c>
      <c r="H18451" s="709" t="s">
        <v>12047</v>
      </c>
    </row>
    <row r="18452" spans="1:8" ht="15" x14ac:dyDescent="0.2">
      <c r="A18452" s="733">
        <v>45295</v>
      </c>
      <c r="B18452" s="174" t="s">
        <v>11089</v>
      </c>
      <c r="C18452" s="174" t="s">
        <v>256</v>
      </c>
      <c r="D18452" s="228" t="s">
        <v>12135</v>
      </c>
      <c r="E18452" s="236">
        <v>1154145</v>
      </c>
      <c r="F18452" s="236"/>
      <c r="G18452" s="236">
        <f t="shared" si="325"/>
        <v>-1154145</v>
      </c>
      <c r="H18452" s="709" t="s">
        <v>12047</v>
      </c>
    </row>
    <row r="18453" spans="1:8" ht="15" x14ac:dyDescent="0.2">
      <c r="A18453" s="733">
        <v>45310</v>
      </c>
      <c r="B18453" s="174" t="s">
        <v>10908</v>
      </c>
      <c r="C18453" s="174" t="s">
        <v>7223</v>
      </c>
      <c r="D18453" s="228" t="s">
        <v>12149</v>
      </c>
      <c r="E18453" s="236">
        <v>400000</v>
      </c>
      <c r="F18453" s="236"/>
      <c r="G18453" s="236">
        <f t="shared" si="325"/>
        <v>-400000</v>
      </c>
      <c r="H18453" s="709" t="s">
        <v>12047</v>
      </c>
    </row>
    <row r="18454" spans="1:8" ht="15" x14ac:dyDescent="0.2">
      <c r="A18454" s="733">
        <v>45310</v>
      </c>
      <c r="B18454" s="174" t="s">
        <v>11897</v>
      </c>
      <c r="C18454" s="174" t="s">
        <v>4725</v>
      </c>
      <c r="D18454" s="228" t="s">
        <v>12150</v>
      </c>
      <c r="E18454" s="236">
        <v>600000</v>
      </c>
      <c r="F18454" s="236"/>
      <c r="G18454" s="236">
        <f t="shared" si="325"/>
        <v>-600000</v>
      </c>
      <c r="H18454" s="709" t="s">
        <v>12047</v>
      </c>
    </row>
    <row r="18455" spans="1:8" ht="15" x14ac:dyDescent="0.2">
      <c r="A18455" s="733">
        <v>45313</v>
      </c>
      <c r="B18455" s="174" t="s">
        <v>11897</v>
      </c>
      <c r="C18455" s="174" t="s">
        <v>256</v>
      </c>
      <c r="D18455" s="228" t="s">
        <v>12256</v>
      </c>
      <c r="E18455" s="236">
        <v>1119250</v>
      </c>
      <c r="F18455" s="236"/>
      <c r="G18455" s="236">
        <f t="shared" si="325"/>
        <v>-1119250</v>
      </c>
      <c r="H18455" s="709" t="s">
        <v>12047</v>
      </c>
    </row>
    <row r="18456" spans="1:8" ht="15" x14ac:dyDescent="0.2">
      <c r="A18456" s="733">
        <v>45318</v>
      </c>
      <c r="B18456" s="174" t="s">
        <v>9986</v>
      </c>
      <c r="C18456" s="174" t="s">
        <v>6476</v>
      </c>
      <c r="D18456" s="228" t="s">
        <v>12395</v>
      </c>
      <c r="E18456" s="236">
        <v>100000</v>
      </c>
      <c r="F18456" s="236"/>
      <c r="G18456" s="236">
        <f t="shared" si="325"/>
        <v>-100000</v>
      </c>
      <c r="H18456" s="709" t="s">
        <v>12047</v>
      </c>
    </row>
    <row r="18457" spans="1:8" ht="15" x14ac:dyDescent="0.2">
      <c r="A18457" s="730">
        <v>45292</v>
      </c>
      <c r="B18457" s="94" t="s">
        <v>10232</v>
      </c>
      <c r="C18457" s="94" t="s">
        <v>559</v>
      </c>
      <c r="D18457" s="892" t="s">
        <v>12049</v>
      </c>
      <c r="E18457" s="176"/>
      <c r="F18457" s="176">
        <v>4096986</v>
      </c>
      <c r="G18457" s="176">
        <f t="shared" si="325"/>
        <v>4096986</v>
      </c>
      <c r="H18457" s="702" t="s">
        <v>12047</v>
      </c>
    </row>
    <row r="18458" spans="1:8" ht="15" x14ac:dyDescent="0.2">
      <c r="A18458" s="730">
        <v>45292</v>
      </c>
      <c r="B18458" s="94" t="s">
        <v>10232</v>
      </c>
      <c r="C18458" s="94" t="s">
        <v>559</v>
      </c>
      <c r="D18458" s="898" t="s">
        <v>12040</v>
      </c>
      <c r="E18458" s="643">
        <v>41000</v>
      </c>
      <c r="F18458" s="176"/>
      <c r="G18458" s="176">
        <f t="shared" si="325"/>
        <v>-41000</v>
      </c>
      <c r="H18458" s="702" t="s">
        <v>12047</v>
      </c>
    </row>
    <row r="18459" spans="1:8" ht="15" x14ac:dyDescent="0.2">
      <c r="A18459" s="730">
        <v>45295</v>
      </c>
      <c r="B18459" s="94" t="s">
        <v>11446</v>
      </c>
      <c r="C18459" s="94" t="s">
        <v>559</v>
      </c>
      <c r="D18459" s="892" t="s">
        <v>12095</v>
      </c>
      <c r="E18459" s="176"/>
      <c r="F18459" s="176">
        <v>8000000</v>
      </c>
      <c r="G18459" s="176">
        <f t="shared" si="325"/>
        <v>8000000</v>
      </c>
      <c r="H18459" s="702" t="s">
        <v>12047</v>
      </c>
    </row>
    <row r="18460" spans="1:8" ht="15" x14ac:dyDescent="0.2">
      <c r="A18460" s="730">
        <v>45295</v>
      </c>
      <c r="B18460" s="94" t="s">
        <v>11446</v>
      </c>
      <c r="C18460" s="94" t="s">
        <v>559</v>
      </c>
      <c r="D18460" s="898" t="s">
        <v>12040</v>
      </c>
      <c r="E18460" s="643">
        <v>80000</v>
      </c>
      <c r="F18460" s="176"/>
      <c r="G18460" s="176">
        <f t="shared" si="325"/>
        <v>-80000</v>
      </c>
      <c r="H18460" s="702" t="s">
        <v>12047</v>
      </c>
    </row>
    <row r="18461" spans="1:8" ht="15" x14ac:dyDescent="0.2">
      <c r="A18461" s="730">
        <v>45295</v>
      </c>
      <c r="B18461" s="94" t="s">
        <v>11446</v>
      </c>
      <c r="C18461" s="94" t="s">
        <v>559</v>
      </c>
      <c r="D18461" s="892" t="s">
        <v>12096</v>
      </c>
      <c r="E18461" s="176"/>
      <c r="F18461" s="176">
        <v>1154145</v>
      </c>
      <c r="G18461" s="176">
        <f t="shared" si="325"/>
        <v>1154145</v>
      </c>
      <c r="H18461" s="702" t="s">
        <v>12047</v>
      </c>
    </row>
    <row r="18462" spans="1:8" ht="15" x14ac:dyDescent="0.2">
      <c r="A18462" s="730">
        <v>45295</v>
      </c>
      <c r="B18462" s="94" t="s">
        <v>11738</v>
      </c>
      <c r="C18462" s="94" t="s">
        <v>559</v>
      </c>
      <c r="D18462" s="892" t="s">
        <v>12097</v>
      </c>
      <c r="E18462" s="176"/>
      <c r="F18462" s="176">
        <v>2920000</v>
      </c>
      <c r="G18462" s="176">
        <f t="shared" si="325"/>
        <v>2920000</v>
      </c>
      <c r="H18462" s="702" t="s">
        <v>12047</v>
      </c>
    </row>
    <row r="18463" spans="1:8" ht="15" x14ac:dyDescent="0.2">
      <c r="A18463" s="730">
        <v>45295</v>
      </c>
      <c r="B18463" s="94" t="s">
        <v>11635</v>
      </c>
      <c r="C18463" s="94" t="s">
        <v>559</v>
      </c>
      <c r="D18463" s="892" t="s">
        <v>12098</v>
      </c>
      <c r="E18463" s="176"/>
      <c r="F18463" s="176">
        <v>7925552</v>
      </c>
      <c r="G18463" s="176">
        <f t="shared" si="325"/>
        <v>7925552</v>
      </c>
      <c r="H18463" s="702" t="s">
        <v>12047</v>
      </c>
    </row>
    <row r="18464" spans="1:8" ht="15" x14ac:dyDescent="0.2">
      <c r="A18464" s="730">
        <v>45307</v>
      </c>
      <c r="B18464" s="94" t="s">
        <v>8559</v>
      </c>
      <c r="C18464" s="94" t="s">
        <v>559</v>
      </c>
      <c r="D18464" s="892" t="s">
        <v>12147</v>
      </c>
      <c r="E18464" s="176"/>
      <c r="F18464" s="176">
        <v>1012687</v>
      </c>
      <c r="G18464" s="176">
        <f t="shared" si="325"/>
        <v>1012687</v>
      </c>
      <c r="H18464" s="702" t="s">
        <v>12047</v>
      </c>
    </row>
    <row r="18465" spans="1:10" ht="15" x14ac:dyDescent="0.2">
      <c r="A18465" s="730">
        <v>45307</v>
      </c>
      <c r="B18465" s="94" t="s">
        <v>8559</v>
      </c>
      <c r="C18465" s="94" t="s">
        <v>559</v>
      </c>
      <c r="D18465" s="892" t="s">
        <v>12148</v>
      </c>
      <c r="E18465" s="176"/>
      <c r="F18465" s="176">
        <v>467659</v>
      </c>
      <c r="G18465" s="176">
        <f t="shared" si="325"/>
        <v>467659</v>
      </c>
      <c r="H18465" s="702" t="s">
        <v>12047</v>
      </c>
    </row>
    <row r="18466" spans="1:10" ht="15" x14ac:dyDescent="0.2">
      <c r="A18466" s="730">
        <v>45307</v>
      </c>
      <c r="B18466" s="94" t="s">
        <v>11135</v>
      </c>
      <c r="C18466" s="94" t="s">
        <v>559</v>
      </c>
      <c r="D18466" s="892" t="s">
        <v>12239</v>
      </c>
      <c r="E18466" s="176"/>
      <c r="F18466" s="176">
        <v>550000</v>
      </c>
      <c r="G18466" s="176">
        <f t="shared" si="325"/>
        <v>550000</v>
      </c>
      <c r="H18466" s="702" t="s">
        <v>12047</v>
      </c>
    </row>
    <row r="18467" spans="1:10" ht="15" x14ac:dyDescent="0.2">
      <c r="A18467" s="730">
        <v>45307</v>
      </c>
      <c r="B18467" s="94" t="s">
        <v>11135</v>
      </c>
      <c r="C18467" s="94" t="s">
        <v>559</v>
      </c>
      <c r="D18467" s="892" t="s">
        <v>12351</v>
      </c>
      <c r="E18467" s="176"/>
      <c r="F18467" s="176">
        <v>650000</v>
      </c>
      <c r="G18467" s="176">
        <f t="shared" si="325"/>
        <v>650000</v>
      </c>
      <c r="H18467" s="702" t="s">
        <v>12047</v>
      </c>
    </row>
    <row r="18468" spans="1:10" ht="15" x14ac:dyDescent="0.2">
      <c r="A18468" s="730">
        <v>45307</v>
      </c>
      <c r="B18468" s="94" t="s">
        <v>11135</v>
      </c>
      <c r="C18468" s="94" t="s">
        <v>559</v>
      </c>
      <c r="D18468" s="892" t="s">
        <v>12351</v>
      </c>
      <c r="E18468" s="176"/>
      <c r="F18468" s="176">
        <v>700000</v>
      </c>
      <c r="G18468" s="176">
        <f t="shared" si="325"/>
        <v>700000</v>
      </c>
      <c r="H18468" s="702" t="s">
        <v>12047</v>
      </c>
    </row>
    <row r="18469" spans="1:10" ht="15" x14ac:dyDescent="0.2">
      <c r="A18469" s="730">
        <v>45307</v>
      </c>
      <c r="B18469" s="94" t="s">
        <v>11897</v>
      </c>
      <c r="C18469" s="94" t="s">
        <v>559</v>
      </c>
      <c r="D18469" s="892" t="s">
        <v>12157</v>
      </c>
      <c r="E18469" s="176"/>
      <c r="F18469" s="176">
        <v>10000000</v>
      </c>
      <c r="G18469" s="176">
        <f t="shared" si="325"/>
        <v>10000000</v>
      </c>
      <c r="H18469" s="702" t="s">
        <v>12047</v>
      </c>
    </row>
    <row r="18470" spans="1:10" ht="15" x14ac:dyDescent="0.2">
      <c r="A18470" s="730">
        <v>45307</v>
      </c>
      <c r="B18470" s="94" t="s">
        <v>11897</v>
      </c>
      <c r="C18470" s="94" t="s">
        <v>559</v>
      </c>
      <c r="D18470" s="898" t="s">
        <v>12040</v>
      </c>
      <c r="E18470" s="643">
        <v>76000</v>
      </c>
      <c r="F18470" s="176"/>
      <c r="G18470" s="176">
        <f t="shared" si="325"/>
        <v>-76000</v>
      </c>
      <c r="H18470" s="702" t="s">
        <v>12047</v>
      </c>
    </row>
    <row r="18471" spans="1:10" ht="15" x14ac:dyDescent="0.2">
      <c r="A18471" s="730">
        <v>45307</v>
      </c>
      <c r="B18471" s="94" t="s">
        <v>12207</v>
      </c>
      <c r="C18471" s="94" t="s">
        <v>559</v>
      </c>
      <c r="D18471" s="892" t="s">
        <v>12208</v>
      </c>
      <c r="E18471" s="176"/>
      <c r="F18471" s="176">
        <v>9316872</v>
      </c>
      <c r="G18471" s="176">
        <f t="shared" si="325"/>
        <v>9316872</v>
      </c>
      <c r="H18471" s="702" t="s">
        <v>12047</v>
      </c>
    </row>
    <row r="18472" spans="1:10" ht="15" x14ac:dyDescent="0.2">
      <c r="A18472" s="730">
        <v>45307</v>
      </c>
      <c r="B18472" s="94" t="s">
        <v>3946</v>
      </c>
      <c r="C18472" s="94" t="s">
        <v>559</v>
      </c>
      <c r="D18472" s="892" t="s">
        <v>12240</v>
      </c>
      <c r="E18472" s="176"/>
      <c r="F18472" s="176">
        <v>359992</v>
      </c>
      <c r="G18472" s="176">
        <f t="shared" si="325"/>
        <v>359992</v>
      </c>
      <c r="H18472" s="702" t="s">
        <v>12047</v>
      </c>
    </row>
    <row r="18473" spans="1:10" ht="15" x14ac:dyDescent="0.2">
      <c r="A18473" s="730">
        <v>45313</v>
      </c>
      <c r="B18473" s="94" t="s">
        <v>10471</v>
      </c>
      <c r="C18473" s="94" t="s">
        <v>559</v>
      </c>
      <c r="D18473" s="892" t="s">
        <v>12241</v>
      </c>
      <c r="E18473" s="176"/>
      <c r="F18473" s="176">
        <v>1119250</v>
      </c>
      <c r="G18473" s="176">
        <f t="shared" ref="G18473" si="326">F18473-E18473</f>
        <v>1119250</v>
      </c>
      <c r="H18473" s="702" t="s">
        <v>12047</v>
      </c>
    </row>
    <row r="18474" spans="1:10" ht="15" x14ac:dyDescent="0.2">
      <c r="A18474" s="730">
        <v>45313</v>
      </c>
      <c r="B18474" s="94" t="s">
        <v>10776</v>
      </c>
      <c r="C18474" s="94" t="s">
        <v>559</v>
      </c>
      <c r="D18474" s="892" t="s">
        <v>12281</v>
      </c>
      <c r="E18474" s="176"/>
      <c r="F18474" s="176">
        <v>500000</v>
      </c>
      <c r="G18474" s="176">
        <f t="shared" ref="G18474:G18476" si="327">F18474-E18474</f>
        <v>500000</v>
      </c>
      <c r="H18474" s="702" t="s">
        <v>12047</v>
      </c>
    </row>
    <row r="18475" spans="1:10" ht="36" x14ac:dyDescent="0.2">
      <c r="A18475" s="730">
        <v>45315</v>
      </c>
      <c r="B18475" s="94" t="s">
        <v>10576</v>
      </c>
      <c r="C18475" s="94" t="s">
        <v>559</v>
      </c>
      <c r="D18475" s="898" t="s">
        <v>12462</v>
      </c>
      <c r="E18475" s="643">
        <v>78000</v>
      </c>
      <c r="F18475" s="176"/>
      <c r="G18475" s="176">
        <f t="shared" si="327"/>
        <v>-78000</v>
      </c>
      <c r="H18475" s="702" t="s">
        <v>12047</v>
      </c>
    </row>
    <row r="18476" spans="1:10" ht="15" x14ac:dyDescent="0.2">
      <c r="A18476" s="730">
        <v>45315</v>
      </c>
      <c r="B18476" s="94" t="s">
        <v>8559</v>
      </c>
      <c r="C18476" s="94" t="s">
        <v>559</v>
      </c>
      <c r="D18476" s="892" t="s">
        <v>12328</v>
      </c>
      <c r="E18476" s="176"/>
      <c r="F18476" s="176">
        <v>1013457</v>
      </c>
      <c r="G18476" s="176">
        <f t="shared" si="327"/>
        <v>1013457</v>
      </c>
      <c r="H18476" s="702" t="s">
        <v>12047</v>
      </c>
      <c r="J18476" s="40"/>
    </row>
    <row r="18477" spans="1:10" ht="15" x14ac:dyDescent="0.2">
      <c r="A18477" s="734">
        <v>45323</v>
      </c>
      <c r="B18477" s="63" t="s">
        <v>12207</v>
      </c>
      <c r="C18477" s="63" t="s">
        <v>5741</v>
      </c>
      <c r="D18477" s="183" t="s">
        <v>370</v>
      </c>
      <c r="E18477" s="126">
        <v>2000</v>
      </c>
      <c r="F18477" s="126"/>
      <c r="G18477" s="126">
        <f t="shared" ref="G18477:G18493" si="328">F18477-E18477</f>
        <v>-2000</v>
      </c>
      <c r="H18477" s="705" t="s">
        <v>12380</v>
      </c>
      <c r="J18477" s="40"/>
    </row>
    <row r="18478" spans="1:10" ht="24" x14ac:dyDescent="0.2">
      <c r="A18478" s="734">
        <v>45323</v>
      </c>
      <c r="B18478" s="63" t="s">
        <v>103</v>
      </c>
      <c r="C18478" s="63" t="s">
        <v>103</v>
      </c>
      <c r="D18478" s="183" t="s">
        <v>12400</v>
      </c>
      <c r="E18478" s="126">
        <v>121000</v>
      </c>
      <c r="F18478" s="126"/>
      <c r="G18478" s="126">
        <f t="shared" si="328"/>
        <v>-121000</v>
      </c>
      <c r="H18478" s="705" t="s">
        <v>12380</v>
      </c>
      <c r="J18478" s="40"/>
    </row>
    <row r="18479" spans="1:10" ht="15" x14ac:dyDescent="0.2">
      <c r="A18479" s="734">
        <v>45323</v>
      </c>
      <c r="B18479" s="63" t="s">
        <v>103</v>
      </c>
      <c r="C18479" s="63" t="s">
        <v>103</v>
      </c>
      <c r="D18479" s="183" t="s">
        <v>8158</v>
      </c>
      <c r="E18479" s="126">
        <v>5000</v>
      </c>
      <c r="F18479" s="126"/>
      <c r="G18479" s="126">
        <f t="shared" si="328"/>
        <v>-5000</v>
      </c>
      <c r="H18479" s="705" t="s">
        <v>12380</v>
      </c>
      <c r="J18479" s="40"/>
    </row>
    <row r="18480" spans="1:10" ht="15" x14ac:dyDescent="0.2">
      <c r="A18480" s="734">
        <v>45324</v>
      </c>
      <c r="B18480" s="63" t="s">
        <v>11089</v>
      </c>
      <c r="C18480" s="63" t="s">
        <v>10993</v>
      </c>
      <c r="D18480" s="183" t="s">
        <v>12401</v>
      </c>
      <c r="E18480" s="126">
        <v>24600</v>
      </c>
      <c r="F18480" s="126"/>
      <c r="G18480" s="126">
        <f t="shared" si="328"/>
        <v>-24600</v>
      </c>
      <c r="H18480" s="705" t="s">
        <v>12380</v>
      </c>
      <c r="J18480" s="40"/>
    </row>
    <row r="18481" spans="1:10" ht="15" x14ac:dyDescent="0.2">
      <c r="A18481" s="734">
        <v>45324</v>
      </c>
      <c r="B18481" s="63" t="s">
        <v>11897</v>
      </c>
      <c r="C18481" s="63" t="s">
        <v>10993</v>
      </c>
      <c r="D18481" s="183" t="s">
        <v>12402</v>
      </c>
      <c r="E18481" s="126">
        <v>10770</v>
      </c>
      <c r="F18481" s="126"/>
      <c r="G18481" s="126">
        <f t="shared" si="328"/>
        <v>-10770</v>
      </c>
      <c r="H18481" s="705" t="s">
        <v>12380</v>
      </c>
      <c r="J18481" s="40"/>
    </row>
    <row r="18482" spans="1:10" ht="15" x14ac:dyDescent="0.2">
      <c r="A18482" s="734">
        <v>45324</v>
      </c>
      <c r="B18482" s="63" t="s">
        <v>11897</v>
      </c>
      <c r="C18482" s="63" t="s">
        <v>286</v>
      </c>
      <c r="D18482" s="183" t="s">
        <v>8663</v>
      </c>
      <c r="E18482" s="126">
        <v>1000</v>
      </c>
      <c r="F18482" s="126"/>
      <c r="G18482" s="126">
        <f t="shared" si="328"/>
        <v>-1000</v>
      </c>
      <c r="H18482" s="705" t="s">
        <v>12380</v>
      </c>
      <c r="J18482" s="40"/>
    </row>
    <row r="18483" spans="1:10" ht="15" x14ac:dyDescent="0.2">
      <c r="A18483" s="734">
        <v>45324</v>
      </c>
      <c r="B18483" s="63" t="s">
        <v>103</v>
      </c>
      <c r="C18483" s="63" t="s">
        <v>103</v>
      </c>
      <c r="D18483" s="183" t="s">
        <v>12403</v>
      </c>
      <c r="E18483" s="126">
        <v>7000</v>
      </c>
      <c r="F18483" s="126"/>
      <c r="G18483" s="126">
        <f t="shared" si="328"/>
        <v>-7000</v>
      </c>
      <c r="H18483" s="705" t="s">
        <v>12380</v>
      </c>
      <c r="J18483" s="40"/>
    </row>
    <row r="18484" spans="1:10" ht="15" x14ac:dyDescent="0.2">
      <c r="A18484" s="734">
        <v>45324</v>
      </c>
      <c r="B18484" s="63" t="s">
        <v>11897</v>
      </c>
      <c r="C18484" s="63" t="s">
        <v>5741</v>
      </c>
      <c r="D18484" s="183" t="s">
        <v>12404</v>
      </c>
      <c r="E18484" s="126">
        <v>3000</v>
      </c>
      <c r="F18484" s="126"/>
      <c r="G18484" s="126">
        <f t="shared" si="328"/>
        <v>-3000</v>
      </c>
      <c r="H18484" s="705" t="s">
        <v>12380</v>
      </c>
      <c r="J18484" s="40"/>
    </row>
    <row r="18485" spans="1:10" ht="15" x14ac:dyDescent="0.2">
      <c r="A18485" s="734">
        <v>45324</v>
      </c>
      <c r="B18485" s="63" t="s">
        <v>103</v>
      </c>
      <c r="C18485" s="63" t="s">
        <v>103</v>
      </c>
      <c r="D18485" s="183" t="s">
        <v>12405</v>
      </c>
      <c r="E18485" s="126">
        <v>2200</v>
      </c>
      <c r="F18485" s="126"/>
      <c r="G18485" s="126">
        <f t="shared" si="328"/>
        <v>-2200</v>
      </c>
      <c r="H18485" s="705" t="s">
        <v>12380</v>
      </c>
      <c r="J18485" s="40"/>
    </row>
    <row r="18486" spans="1:10" ht="15" x14ac:dyDescent="0.2">
      <c r="A18486" s="734">
        <v>45324</v>
      </c>
      <c r="B18486" s="63" t="s">
        <v>12366</v>
      </c>
      <c r="C18486" s="63" t="s">
        <v>12406</v>
      </c>
      <c r="D18486" s="183" t="s">
        <v>12407</v>
      </c>
      <c r="E18486" s="126">
        <v>500000</v>
      </c>
      <c r="F18486" s="126"/>
      <c r="G18486" s="126">
        <f t="shared" si="328"/>
        <v>-500000</v>
      </c>
      <c r="H18486" s="705" t="s">
        <v>12380</v>
      </c>
      <c r="J18486" s="40"/>
    </row>
    <row r="18487" spans="1:10" ht="15" x14ac:dyDescent="0.2">
      <c r="A18487" s="734">
        <v>45325</v>
      </c>
      <c r="B18487" s="63" t="s">
        <v>11089</v>
      </c>
      <c r="C18487" s="63" t="s">
        <v>10993</v>
      </c>
      <c r="D18487" s="183" t="s">
        <v>12428</v>
      </c>
      <c r="E18487" s="126">
        <v>1600</v>
      </c>
      <c r="F18487" s="126"/>
      <c r="G18487" s="126">
        <f t="shared" ref="G18487:G18492" si="329">F18487-E18487</f>
        <v>-1600</v>
      </c>
      <c r="H18487" s="705" t="s">
        <v>12380</v>
      </c>
      <c r="J18487" s="40"/>
    </row>
    <row r="18488" spans="1:10" ht="15" x14ac:dyDescent="0.2">
      <c r="A18488" s="734">
        <v>45325</v>
      </c>
      <c r="B18488" s="63" t="s">
        <v>11897</v>
      </c>
      <c r="C18488" s="63" t="s">
        <v>5741</v>
      </c>
      <c r="D18488" s="183" t="s">
        <v>12429</v>
      </c>
      <c r="E18488" s="126">
        <v>500</v>
      </c>
      <c r="F18488" s="126"/>
      <c r="G18488" s="126">
        <f t="shared" si="329"/>
        <v>-500</v>
      </c>
      <c r="H18488" s="705" t="s">
        <v>12380</v>
      </c>
      <c r="J18488" s="40"/>
    </row>
    <row r="18489" spans="1:10" ht="15" x14ac:dyDescent="0.2">
      <c r="A18489" s="734">
        <v>45325</v>
      </c>
      <c r="B18489" s="63" t="s">
        <v>11728</v>
      </c>
      <c r="C18489" s="63" t="s">
        <v>10993</v>
      </c>
      <c r="D18489" s="183" t="s">
        <v>12430</v>
      </c>
      <c r="E18489" s="126">
        <v>2115</v>
      </c>
      <c r="F18489" s="126"/>
      <c r="G18489" s="126">
        <f t="shared" si="329"/>
        <v>-2115</v>
      </c>
      <c r="H18489" s="705" t="s">
        <v>12380</v>
      </c>
      <c r="J18489" s="40"/>
    </row>
    <row r="18490" spans="1:10" ht="15" x14ac:dyDescent="0.2">
      <c r="A18490" s="734">
        <v>45325</v>
      </c>
      <c r="B18490" s="63" t="s">
        <v>11089</v>
      </c>
      <c r="C18490" s="63" t="s">
        <v>10993</v>
      </c>
      <c r="D18490" s="183" t="s">
        <v>9882</v>
      </c>
      <c r="E18490" s="126">
        <v>3810</v>
      </c>
      <c r="F18490" s="126"/>
      <c r="G18490" s="126">
        <f t="shared" si="329"/>
        <v>-3810</v>
      </c>
      <c r="H18490" s="705" t="s">
        <v>12380</v>
      </c>
      <c r="J18490" s="40"/>
    </row>
    <row r="18491" spans="1:10" ht="15" x14ac:dyDescent="0.2">
      <c r="A18491" s="734">
        <v>45325</v>
      </c>
      <c r="B18491" s="63" t="s">
        <v>11089</v>
      </c>
      <c r="C18491" s="63" t="s">
        <v>10993</v>
      </c>
      <c r="D18491" s="183" t="s">
        <v>12431</v>
      </c>
      <c r="E18491" s="126">
        <v>1500</v>
      </c>
      <c r="F18491" s="126"/>
      <c r="G18491" s="126">
        <f t="shared" si="329"/>
        <v>-1500</v>
      </c>
      <c r="H18491" s="705" t="s">
        <v>12380</v>
      </c>
      <c r="J18491" s="40"/>
    </row>
    <row r="18492" spans="1:10" ht="15" x14ac:dyDescent="0.2">
      <c r="A18492" s="734">
        <v>45325</v>
      </c>
      <c r="B18492" s="63" t="s">
        <v>11089</v>
      </c>
      <c r="C18492" s="63" t="s">
        <v>5741</v>
      </c>
      <c r="D18492" s="183" t="s">
        <v>370</v>
      </c>
      <c r="E18492" s="126">
        <v>2350</v>
      </c>
      <c r="F18492" s="126"/>
      <c r="G18492" s="126">
        <f t="shared" si="329"/>
        <v>-2350</v>
      </c>
      <c r="H18492" s="705" t="s">
        <v>12380</v>
      </c>
      <c r="J18492" s="40"/>
    </row>
    <row r="18493" spans="1:10" ht="15" x14ac:dyDescent="0.2">
      <c r="A18493" s="734">
        <v>45324</v>
      </c>
      <c r="B18493" s="63" t="s">
        <v>11089</v>
      </c>
      <c r="C18493" s="63" t="s">
        <v>10993</v>
      </c>
      <c r="D18493" s="183" t="s">
        <v>12408</v>
      </c>
      <c r="E18493" s="126">
        <v>15000</v>
      </c>
      <c r="F18493" s="126"/>
      <c r="G18493" s="126">
        <f t="shared" si="328"/>
        <v>-15000</v>
      </c>
      <c r="H18493" s="705" t="s">
        <v>12380</v>
      </c>
      <c r="J18493" s="40"/>
    </row>
    <row r="18494" spans="1:10" ht="15" x14ac:dyDescent="0.2">
      <c r="A18494" s="734">
        <v>45325</v>
      </c>
      <c r="B18494" s="63" t="s">
        <v>11897</v>
      </c>
      <c r="C18494" s="63" t="s">
        <v>8372</v>
      </c>
      <c r="D18494" s="183" t="s">
        <v>3369</v>
      </c>
      <c r="E18494" s="126">
        <v>5216</v>
      </c>
      <c r="F18494" s="126"/>
      <c r="G18494" s="126">
        <f t="shared" ref="G18494:G18498" si="330">F18494-E18494</f>
        <v>-5216</v>
      </c>
      <c r="H18494" s="705" t="s">
        <v>12380</v>
      </c>
      <c r="J18494" s="40"/>
    </row>
    <row r="18495" spans="1:10" ht="15" x14ac:dyDescent="0.2">
      <c r="A18495" s="734">
        <v>45325</v>
      </c>
      <c r="B18495" s="63" t="s">
        <v>11897</v>
      </c>
      <c r="C18495" s="63" t="s">
        <v>10993</v>
      </c>
      <c r="D18495" s="183" t="s">
        <v>12409</v>
      </c>
      <c r="E18495" s="126">
        <v>85000</v>
      </c>
      <c r="F18495" s="126"/>
      <c r="G18495" s="126">
        <f t="shared" si="330"/>
        <v>-85000</v>
      </c>
      <c r="H18495" s="705" t="s">
        <v>12380</v>
      </c>
      <c r="J18495" s="40"/>
    </row>
    <row r="18496" spans="1:10" ht="15" x14ac:dyDescent="0.2">
      <c r="A18496" s="734">
        <v>45325</v>
      </c>
      <c r="B18496" s="63" t="s">
        <v>11897</v>
      </c>
      <c r="C18496" s="63" t="s">
        <v>1198</v>
      </c>
      <c r="D18496" s="183" t="s">
        <v>12410</v>
      </c>
      <c r="E18496" s="126">
        <v>158700</v>
      </c>
      <c r="F18496" s="126"/>
      <c r="G18496" s="126">
        <f t="shared" si="330"/>
        <v>-158700</v>
      </c>
      <c r="H18496" s="705" t="s">
        <v>12380</v>
      </c>
      <c r="J18496" s="40"/>
    </row>
    <row r="18497" spans="1:10" ht="15" x14ac:dyDescent="0.2">
      <c r="A18497" s="734">
        <v>45325</v>
      </c>
      <c r="B18497" s="63" t="s">
        <v>11897</v>
      </c>
      <c r="C18497" s="63" t="s">
        <v>11029</v>
      </c>
      <c r="D18497" s="183" t="s">
        <v>12421</v>
      </c>
      <c r="E18497" s="126">
        <v>100000</v>
      </c>
      <c r="F18497" s="126"/>
      <c r="G18497" s="126">
        <f t="shared" si="330"/>
        <v>-100000</v>
      </c>
      <c r="H18497" s="705" t="s">
        <v>12380</v>
      </c>
      <c r="J18497" s="40"/>
    </row>
    <row r="18498" spans="1:10" ht="15" x14ac:dyDescent="0.2">
      <c r="A18498" s="734">
        <v>45325</v>
      </c>
      <c r="B18498" s="63" t="s">
        <v>12366</v>
      </c>
      <c r="C18498" s="63" t="s">
        <v>11099</v>
      </c>
      <c r="D18498" s="183" t="s">
        <v>12461</v>
      </c>
      <c r="E18498" s="126">
        <v>50000</v>
      </c>
      <c r="F18498" s="126"/>
      <c r="G18498" s="126">
        <f t="shared" si="330"/>
        <v>-50000</v>
      </c>
      <c r="H18498" s="705" t="s">
        <v>12380</v>
      </c>
      <c r="J18498" s="40"/>
    </row>
    <row r="18499" spans="1:10" ht="15" x14ac:dyDescent="0.2">
      <c r="A18499" s="734">
        <v>45325</v>
      </c>
      <c r="B18499" s="63" t="s">
        <v>103</v>
      </c>
      <c r="C18499" s="63" t="s">
        <v>2672</v>
      </c>
      <c r="D18499" s="183" t="s">
        <v>12422</v>
      </c>
      <c r="E18499" s="126">
        <v>1000</v>
      </c>
      <c r="F18499" s="126"/>
      <c r="G18499" s="126">
        <f t="shared" ref="G18499:G18518" si="331">F18499-E18499</f>
        <v>-1000</v>
      </c>
      <c r="H18499" s="705" t="s">
        <v>12380</v>
      </c>
      <c r="J18499" s="40"/>
    </row>
    <row r="18500" spans="1:10" ht="15" x14ac:dyDescent="0.2">
      <c r="A18500" s="734">
        <v>45325</v>
      </c>
      <c r="B18500" s="63" t="s">
        <v>37</v>
      </c>
      <c r="C18500" s="63" t="s">
        <v>392</v>
      </c>
      <c r="D18500" s="183" t="s">
        <v>12423</v>
      </c>
      <c r="E18500" s="126">
        <v>3000</v>
      </c>
      <c r="F18500" s="126"/>
      <c r="G18500" s="126">
        <f t="shared" si="331"/>
        <v>-3000</v>
      </c>
      <c r="H18500" s="705" t="s">
        <v>12380</v>
      </c>
      <c r="J18500" s="40"/>
    </row>
    <row r="18501" spans="1:10" ht="15" x14ac:dyDescent="0.2">
      <c r="A18501" s="734">
        <v>45325</v>
      </c>
      <c r="B18501" s="63" t="s">
        <v>12532</v>
      </c>
      <c r="C18501" s="63" t="s">
        <v>5410</v>
      </c>
      <c r="D18501" s="183" t="s">
        <v>12424</v>
      </c>
      <c r="E18501" s="126">
        <v>5000</v>
      </c>
      <c r="F18501" s="126"/>
      <c r="G18501" s="126">
        <f t="shared" si="331"/>
        <v>-5000</v>
      </c>
      <c r="H18501" s="705" t="s">
        <v>12380</v>
      </c>
      <c r="J18501" s="40"/>
    </row>
    <row r="18502" spans="1:10" ht="15" x14ac:dyDescent="0.2">
      <c r="A18502" s="734">
        <v>45328</v>
      </c>
      <c r="B18502" s="63" t="s">
        <v>11897</v>
      </c>
      <c r="C18502" s="63" t="s">
        <v>5741</v>
      </c>
      <c r="D18502" s="183" t="s">
        <v>12425</v>
      </c>
      <c r="E18502" s="126">
        <v>1500</v>
      </c>
      <c r="F18502" s="126"/>
      <c r="G18502" s="126">
        <f t="shared" si="331"/>
        <v>-1500</v>
      </c>
      <c r="H18502" s="705" t="s">
        <v>12380</v>
      </c>
      <c r="J18502" s="40"/>
    </row>
    <row r="18503" spans="1:10" ht="15" x14ac:dyDescent="0.2">
      <c r="A18503" s="734">
        <v>45328</v>
      </c>
      <c r="B18503" s="63" t="s">
        <v>10363</v>
      </c>
      <c r="C18503" s="63" t="s">
        <v>5741</v>
      </c>
      <c r="D18503" s="183" t="s">
        <v>1886</v>
      </c>
      <c r="E18503" s="126">
        <v>2800</v>
      </c>
      <c r="F18503" s="126"/>
      <c r="G18503" s="126">
        <f t="shared" si="331"/>
        <v>-2800</v>
      </c>
      <c r="H18503" s="705" t="s">
        <v>12380</v>
      </c>
      <c r="J18503" s="40"/>
    </row>
    <row r="18504" spans="1:10" ht="15" x14ac:dyDescent="0.2">
      <c r="A18504" s="734">
        <v>45328</v>
      </c>
      <c r="B18504" s="63" t="s">
        <v>103</v>
      </c>
      <c r="C18504" s="63" t="s">
        <v>103</v>
      </c>
      <c r="D18504" s="183" t="s">
        <v>8158</v>
      </c>
      <c r="E18504" s="126">
        <v>5000</v>
      </c>
      <c r="F18504" s="126"/>
      <c r="G18504" s="126">
        <f t="shared" si="331"/>
        <v>-5000</v>
      </c>
      <c r="H18504" s="705" t="s">
        <v>12380</v>
      </c>
      <c r="J18504" s="40"/>
    </row>
    <row r="18505" spans="1:10" ht="15" x14ac:dyDescent="0.2">
      <c r="A18505" s="734">
        <v>45328</v>
      </c>
      <c r="B18505" s="63" t="s">
        <v>12426</v>
      </c>
      <c r="C18505" s="63" t="s">
        <v>5410</v>
      </c>
      <c r="D18505" s="183" t="s">
        <v>12427</v>
      </c>
      <c r="E18505" s="126">
        <v>5000</v>
      </c>
      <c r="F18505" s="126"/>
      <c r="G18505" s="126">
        <f t="shared" si="331"/>
        <v>-5000</v>
      </c>
      <c r="H18505" s="705" t="s">
        <v>12380</v>
      </c>
      <c r="J18505" s="40"/>
    </row>
    <row r="18506" spans="1:10" ht="15" x14ac:dyDescent="0.2">
      <c r="A18506" s="734">
        <v>45328</v>
      </c>
      <c r="B18506" s="63" t="s">
        <v>103</v>
      </c>
      <c r="C18506" s="63" t="s">
        <v>1495</v>
      </c>
      <c r="D18506" s="183" t="s">
        <v>370</v>
      </c>
      <c r="E18506" s="126">
        <v>1200</v>
      </c>
      <c r="F18506" s="126"/>
      <c r="G18506" s="126">
        <f t="shared" si="331"/>
        <v>-1200</v>
      </c>
      <c r="H18506" s="705" t="s">
        <v>12380</v>
      </c>
      <c r="J18506" s="40"/>
    </row>
    <row r="18507" spans="1:10" ht="15" x14ac:dyDescent="0.2">
      <c r="A18507" s="734">
        <v>45328</v>
      </c>
      <c r="B18507" s="63" t="s">
        <v>11897</v>
      </c>
      <c r="C18507" s="63" t="s">
        <v>5741</v>
      </c>
      <c r="D18507" s="183" t="s">
        <v>370</v>
      </c>
      <c r="E18507" s="126">
        <v>1700</v>
      </c>
      <c r="F18507" s="126"/>
      <c r="G18507" s="126">
        <f t="shared" si="331"/>
        <v>-1700</v>
      </c>
      <c r="H18507" s="705" t="s">
        <v>12380</v>
      </c>
      <c r="J18507" s="40"/>
    </row>
    <row r="18508" spans="1:10" ht="15" x14ac:dyDescent="0.2">
      <c r="A18508" s="734">
        <v>45328</v>
      </c>
      <c r="B18508" s="63" t="s">
        <v>11897</v>
      </c>
      <c r="C18508" s="63" t="s">
        <v>11029</v>
      </c>
      <c r="D18508" s="183" t="s">
        <v>12036</v>
      </c>
      <c r="E18508" s="126">
        <v>100000</v>
      </c>
      <c r="F18508" s="126"/>
      <c r="G18508" s="126">
        <f t="shared" si="331"/>
        <v>-100000</v>
      </c>
      <c r="H18508" s="705" t="s">
        <v>12380</v>
      </c>
      <c r="J18508" s="40"/>
    </row>
    <row r="18509" spans="1:10" ht="15" x14ac:dyDescent="0.2">
      <c r="A18509" s="734">
        <v>45329</v>
      </c>
      <c r="B18509" s="63" t="s">
        <v>12366</v>
      </c>
      <c r="C18509" s="63" t="s">
        <v>11725</v>
      </c>
      <c r="D18509" s="183" t="s">
        <v>12036</v>
      </c>
      <c r="E18509" s="126">
        <v>162500</v>
      </c>
      <c r="F18509" s="126"/>
      <c r="G18509" s="126">
        <f t="shared" si="331"/>
        <v>-162500</v>
      </c>
      <c r="H18509" s="705" t="s">
        <v>12380</v>
      </c>
      <c r="J18509" s="40"/>
    </row>
    <row r="18510" spans="1:10" ht="24" x14ac:dyDescent="0.2">
      <c r="A18510" s="734">
        <v>45329</v>
      </c>
      <c r="B18510" s="63" t="s">
        <v>11617</v>
      </c>
      <c r="C18510" s="551" t="s">
        <v>10993</v>
      </c>
      <c r="D18510" s="740" t="s">
        <v>12434</v>
      </c>
      <c r="E18510" s="552">
        <v>16000</v>
      </c>
      <c r="F18510" s="126"/>
      <c r="G18510" s="126">
        <f t="shared" si="331"/>
        <v>-16000</v>
      </c>
      <c r="H18510" s="705" t="s">
        <v>12380</v>
      </c>
      <c r="J18510" s="40"/>
    </row>
    <row r="18511" spans="1:10" ht="24" x14ac:dyDescent="0.2">
      <c r="A18511" s="734">
        <v>45329</v>
      </c>
      <c r="B18511" s="63" t="s">
        <v>11738</v>
      </c>
      <c r="C18511" s="551" t="s">
        <v>10993</v>
      </c>
      <c r="D18511" s="740" t="s">
        <v>12434</v>
      </c>
      <c r="E18511" s="552">
        <v>38000</v>
      </c>
      <c r="F18511" s="126"/>
      <c r="G18511" s="126">
        <f t="shared" si="331"/>
        <v>-38000</v>
      </c>
      <c r="H18511" s="705" t="s">
        <v>12380</v>
      </c>
      <c r="J18511" s="40"/>
    </row>
    <row r="18512" spans="1:10" ht="24" x14ac:dyDescent="0.2">
      <c r="A18512" s="734">
        <v>45329</v>
      </c>
      <c r="B18512" s="63" t="s">
        <v>12624</v>
      </c>
      <c r="C18512" s="551" t="s">
        <v>10993</v>
      </c>
      <c r="D18512" s="740" t="s">
        <v>12434</v>
      </c>
      <c r="E18512" s="552">
        <v>19500</v>
      </c>
      <c r="F18512" s="126"/>
      <c r="G18512" s="126">
        <f t="shared" si="331"/>
        <v>-19500</v>
      </c>
      <c r="H18512" s="705" t="s">
        <v>12380</v>
      </c>
      <c r="J18512" s="40"/>
    </row>
    <row r="18513" spans="1:10" ht="24" x14ac:dyDescent="0.2">
      <c r="A18513" s="734">
        <v>45329</v>
      </c>
      <c r="B18513" s="63" t="s">
        <v>11897</v>
      </c>
      <c r="C18513" s="551" t="s">
        <v>10993</v>
      </c>
      <c r="D18513" s="740" t="s">
        <v>12434</v>
      </c>
      <c r="E18513" s="552">
        <v>80000</v>
      </c>
      <c r="F18513" s="126"/>
      <c r="G18513" s="126">
        <f t="shared" si="331"/>
        <v>-80000</v>
      </c>
      <c r="H18513" s="705" t="s">
        <v>12380</v>
      </c>
      <c r="J18513" s="40"/>
    </row>
    <row r="18514" spans="1:10" ht="15" x14ac:dyDescent="0.2">
      <c r="A18514" s="734">
        <v>45329</v>
      </c>
      <c r="B18514" s="63" t="s">
        <v>11617</v>
      </c>
      <c r="C18514" s="63" t="s">
        <v>11552</v>
      </c>
      <c r="D18514" s="183" t="s">
        <v>12435</v>
      </c>
      <c r="E18514" s="126">
        <v>88800</v>
      </c>
      <c r="F18514" s="126"/>
      <c r="G18514" s="126">
        <f t="shared" si="331"/>
        <v>-88800</v>
      </c>
      <c r="H18514" s="705" t="s">
        <v>12380</v>
      </c>
      <c r="J18514" s="40"/>
    </row>
    <row r="18515" spans="1:10" ht="24" x14ac:dyDescent="0.2">
      <c r="A18515" s="734">
        <v>45329</v>
      </c>
      <c r="B18515" s="63" t="s">
        <v>11897</v>
      </c>
      <c r="C18515" s="63" t="s">
        <v>12436</v>
      </c>
      <c r="D18515" s="183" t="s">
        <v>12437</v>
      </c>
      <c r="E18515" s="126">
        <v>164000</v>
      </c>
      <c r="F18515" s="126"/>
      <c r="G18515" s="126">
        <f t="shared" si="331"/>
        <v>-164000</v>
      </c>
      <c r="H18515" s="705" t="s">
        <v>12380</v>
      </c>
      <c r="J18515" s="40"/>
    </row>
    <row r="18516" spans="1:10" ht="15" x14ac:dyDescent="0.2">
      <c r="A18516" s="734">
        <v>45329</v>
      </c>
      <c r="B18516" s="63" t="s">
        <v>10471</v>
      </c>
      <c r="C18516" s="63" t="s">
        <v>12438</v>
      </c>
      <c r="D18516" s="183" t="s">
        <v>12439</v>
      </c>
      <c r="E18516" s="126">
        <v>140000</v>
      </c>
      <c r="F18516" s="126"/>
      <c r="G18516" s="126">
        <f t="shared" si="331"/>
        <v>-140000</v>
      </c>
      <c r="H18516" s="705" t="s">
        <v>12380</v>
      </c>
      <c r="J18516" s="40"/>
    </row>
    <row r="18517" spans="1:10" ht="24" x14ac:dyDescent="0.2">
      <c r="A18517" s="734">
        <v>45329</v>
      </c>
      <c r="B18517" s="63" t="s">
        <v>11897</v>
      </c>
      <c r="C18517" s="63" t="s">
        <v>10993</v>
      </c>
      <c r="D18517" s="183" t="s">
        <v>12440</v>
      </c>
      <c r="E18517" s="126">
        <v>208000</v>
      </c>
      <c r="F18517" s="126"/>
      <c r="G18517" s="126">
        <f t="shared" si="331"/>
        <v>-208000</v>
      </c>
      <c r="H18517" s="705" t="s">
        <v>12380</v>
      </c>
      <c r="J18517" s="40"/>
    </row>
    <row r="18518" spans="1:10" ht="15" x14ac:dyDescent="0.2">
      <c r="A18518" s="734">
        <v>45329</v>
      </c>
      <c r="B18518" s="63" t="s">
        <v>11617</v>
      </c>
      <c r="C18518" s="63" t="s">
        <v>10993</v>
      </c>
      <c r="D18518" s="183" t="s">
        <v>12441</v>
      </c>
      <c r="E18518" s="126">
        <v>23680</v>
      </c>
      <c r="F18518" s="126"/>
      <c r="G18518" s="126">
        <f t="shared" si="331"/>
        <v>-23680</v>
      </c>
      <c r="H18518" s="705" t="s">
        <v>12380</v>
      </c>
      <c r="J18518" s="40"/>
    </row>
    <row r="18519" spans="1:10" ht="15" x14ac:dyDescent="0.2">
      <c r="A18519" s="734">
        <v>45329</v>
      </c>
      <c r="B18519" s="63" t="s">
        <v>103</v>
      </c>
      <c r="C18519" s="63" t="s">
        <v>103</v>
      </c>
      <c r="D18519" s="183" t="s">
        <v>8158</v>
      </c>
      <c r="E18519" s="126">
        <v>2000</v>
      </c>
      <c r="F18519" s="126"/>
      <c r="G18519" s="126">
        <f t="shared" ref="G18519:G18522" si="332">F18519-E18519</f>
        <v>-2000</v>
      </c>
      <c r="H18519" s="705" t="s">
        <v>12380</v>
      </c>
      <c r="J18519" s="40"/>
    </row>
    <row r="18520" spans="1:10" ht="15" x14ac:dyDescent="0.2">
      <c r="A18520" s="734">
        <v>45329</v>
      </c>
      <c r="B18520" s="63" t="s">
        <v>9986</v>
      </c>
      <c r="C18520" s="63" t="s">
        <v>6423</v>
      </c>
      <c r="D18520" s="183" t="s">
        <v>1157</v>
      </c>
      <c r="E18520" s="126">
        <v>35000</v>
      </c>
      <c r="F18520" s="126"/>
      <c r="G18520" s="126">
        <f t="shared" si="332"/>
        <v>-35000</v>
      </c>
      <c r="H18520" s="705" t="s">
        <v>12380</v>
      </c>
      <c r="J18520" s="40"/>
    </row>
    <row r="18521" spans="1:10" ht="15" x14ac:dyDescent="0.2">
      <c r="A18521" s="734">
        <v>45329</v>
      </c>
      <c r="B18521" s="63" t="s">
        <v>11089</v>
      </c>
      <c r="C18521" s="63" t="s">
        <v>10993</v>
      </c>
      <c r="D18521" s="183" t="s">
        <v>12433</v>
      </c>
      <c r="E18521" s="126">
        <v>25500</v>
      </c>
      <c r="F18521" s="126"/>
      <c r="G18521" s="126">
        <f t="shared" ref="G18521" si="333">F18521-E18521</f>
        <v>-25500</v>
      </c>
      <c r="H18521" s="705" t="s">
        <v>12380</v>
      </c>
      <c r="J18521" s="40"/>
    </row>
    <row r="18522" spans="1:10" ht="15" x14ac:dyDescent="0.2">
      <c r="A18522" s="734">
        <v>45329</v>
      </c>
      <c r="B18522" s="63" t="s">
        <v>12426</v>
      </c>
      <c r="C18522" s="63" t="s">
        <v>5741</v>
      </c>
      <c r="D18522" s="183" t="s">
        <v>370</v>
      </c>
      <c r="E18522" s="126">
        <v>2700</v>
      </c>
      <c r="F18522" s="126"/>
      <c r="G18522" s="126">
        <f t="shared" si="332"/>
        <v>-2700</v>
      </c>
      <c r="H18522" s="705" t="s">
        <v>12380</v>
      </c>
      <c r="J18522" s="40"/>
    </row>
    <row r="18523" spans="1:10" ht="15" x14ac:dyDescent="0.2">
      <c r="A18523" s="734">
        <v>45331</v>
      </c>
      <c r="B18523" s="63" t="s">
        <v>11635</v>
      </c>
      <c r="C18523" s="63" t="s">
        <v>12442</v>
      </c>
      <c r="D18523" s="183" t="s">
        <v>1157</v>
      </c>
      <c r="E18523" s="126">
        <v>50000</v>
      </c>
      <c r="F18523" s="126"/>
      <c r="G18523" s="126">
        <f t="shared" ref="G18523:G18535" si="334">F18523-E18523</f>
        <v>-50000</v>
      </c>
      <c r="H18523" s="705" t="s">
        <v>12380</v>
      </c>
      <c r="J18523" s="40"/>
    </row>
    <row r="18524" spans="1:10" ht="15" x14ac:dyDescent="0.2">
      <c r="A18524" s="734">
        <v>45331</v>
      </c>
      <c r="B18524" s="63" t="s">
        <v>12366</v>
      </c>
      <c r="C18524" s="63" t="s">
        <v>10993</v>
      </c>
      <c r="D18524" s="183" t="s">
        <v>12443</v>
      </c>
      <c r="E18524" s="126">
        <v>3000</v>
      </c>
      <c r="F18524" s="126"/>
      <c r="G18524" s="126">
        <f t="shared" si="334"/>
        <v>-3000</v>
      </c>
      <c r="H18524" s="705" t="s">
        <v>12380</v>
      </c>
      <c r="J18524" s="40"/>
    </row>
    <row r="18525" spans="1:10" ht="15" x14ac:dyDescent="0.2">
      <c r="A18525" s="734">
        <v>45331</v>
      </c>
      <c r="B18525" s="63" t="s">
        <v>103</v>
      </c>
      <c r="C18525" s="63" t="s">
        <v>103</v>
      </c>
      <c r="D18525" s="183" t="s">
        <v>8158</v>
      </c>
      <c r="E18525" s="126">
        <v>3000</v>
      </c>
      <c r="F18525" s="126"/>
      <c r="G18525" s="126">
        <f t="shared" si="334"/>
        <v>-3000</v>
      </c>
      <c r="H18525" s="705" t="s">
        <v>12380</v>
      </c>
      <c r="J18525" s="40"/>
    </row>
    <row r="18526" spans="1:10" ht="15" x14ac:dyDescent="0.2">
      <c r="A18526" s="734">
        <v>45331</v>
      </c>
      <c r="B18526" s="63" t="s">
        <v>11089</v>
      </c>
      <c r="C18526" s="63" t="s">
        <v>5741</v>
      </c>
      <c r="D18526" s="183" t="s">
        <v>370</v>
      </c>
      <c r="E18526" s="126">
        <v>2000</v>
      </c>
      <c r="F18526" s="126"/>
      <c r="G18526" s="126">
        <f t="shared" si="334"/>
        <v>-2000</v>
      </c>
      <c r="H18526" s="705" t="s">
        <v>12380</v>
      </c>
      <c r="J18526" s="40"/>
    </row>
    <row r="18527" spans="1:10" ht="15" x14ac:dyDescent="0.2">
      <c r="A18527" s="734">
        <v>45331</v>
      </c>
      <c r="B18527" s="63" t="s">
        <v>10471</v>
      </c>
      <c r="C18527" s="63" t="s">
        <v>12307</v>
      </c>
      <c r="D18527" s="183" t="s">
        <v>1157</v>
      </c>
      <c r="E18527" s="126">
        <v>50000</v>
      </c>
      <c r="F18527" s="126"/>
      <c r="G18527" s="126">
        <f t="shared" si="334"/>
        <v>-50000</v>
      </c>
      <c r="H18527" s="705" t="s">
        <v>12380</v>
      </c>
      <c r="J18527" s="40"/>
    </row>
    <row r="18528" spans="1:10" ht="15" x14ac:dyDescent="0.2">
      <c r="A18528" s="734">
        <v>45331</v>
      </c>
      <c r="B18528" s="63" t="s">
        <v>9356</v>
      </c>
      <c r="C18528" s="63" t="s">
        <v>12307</v>
      </c>
      <c r="D18528" s="183" t="s">
        <v>1157</v>
      </c>
      <c r="E18528" s="126">
        <v>25000</v>
      </c>
      <c r="F18528" s="126"/>
      <c r="G18528" s="126">
        <f t="shared" si="334"/>
        <v>-25000</v>
      </c>
      <c r="H18528" s="705" t="s">
        <v>12380</v>
      </c>
      <c r="J18528" s="40"/>
    </row>
    <row r="18529" spans="1:10" ht="15" x14ac:dyDescent="0.2">
      <c r="A18529" s="734">
        <v>45331</v>
      </c>
      <c r="B18529" s="63" t="s">
        <v>11738</v>
      </c>
      <c r="C18529" s="63" t="s">
        <v>12155</v>
      </c>
      <c r="D18529" s="183" t="s">
        <v>12459</v>
      </c>
      <c r="E18529" s="126">
        <v>25000</v>
      </c>
      <c r="F18529" s="126"/>
      <c r="G18529" s="126">
        <f t="shared" si="334"/>
        <v>-25000</v>
      </c>
      <c r="H18529" s="705" t="s">
        <v>12380</v>
      </c>
      <c r="J18529" s="40"/>
    </row>
    <row r="18530" spans="1:10" ht="15" x14ac:dyDescent="0.2">
      <c r="A18530" s="734">
        <v>45332</v>
      </c>
      <c r="B18530" s="63" t="s">
        <v>8559</v>
      </c>
      <c r="C18530" s="63" t="s">
        <v>11633</v>
      </c>
      <c r="D18530" s="183" t="s">
        <v>12444</v>
      </c>
      <c r="E18530" s="126">
        <v>12000</v>
      </c>
      <c r="F18530" s="126"/>
      <c r="G18530" s="126">
        <f t="shared" si="334"/>
        <v>-12000</v>
      </c>
      <c r="H18530" s="705" t="s">
        <v>12380</v>
      </c>
      <c r="J18530" s="40"/>
    </row>
    <row r="18531" spans="1:10" ht="15" x14ac:dyDescent="0.2">
      <c r="A18531" s="734">
        <v>45332</v>
      </c>
      <c r="B18531" s="63" t="s">
        <v>11089</v>
      </c>
      <c r="C18531" s="63" t="s">
        <v>5741</v>
      </c>
      <c r="D18531" s="183" t="s">
        <v>12445</v>
      </c>
      <c r="E18531" s="126">
        <v>3500</v>
      </c>
      <c r="F18531" s="126"/>
      <c r="G18531" s="126">
        <f t="shared" si="334"/>
        <v>-3500</v>
      </c>
      <c r="H18531" s="705" t="s">
        <v>12380</v>
      </c>
      <c r="J18531" s="40"/>
    </row>
    <row r="18532" spans="1:10" ht="15" x14ac:dyDescent="0.2">
      <c r="A18532" s="734">
        <v>45332</v>
      </c>
      <c r="B18532" s="63" t="s">
        <v>12446</v>
      </c>
      <c r="C18532" s="63" t="s">
        <v>5741</v>
      </c>
      <c r="D18532" s="183" t="s">
        <v>12447</v>
      </c>
      <c r="E18532" s="126">
        <v>2200</v>
      </c>
      <c r="F18532" s="126"/>
      <c r="G18532" s="126">
        <f t="shared" si="334"/>
        <v>-2200</v>
      </c>
      <c r="H18532" s="705" t="s">
        <v>12380</v>
      </c>
      <c r="J18532" s="40"/>
    </row>
    <row r="18533" spans="1:10" ht="24" x14ac:dyDescent="0.2">
      <c r="A18533" s="734">
        <v>45332</v>
      </c>
      <c r="B18533" s="63" t="s">
        <v>11897</v>
      </c>
      <c r="C18533" s="63" t="s">
        <v>11633</v>
      </c>
      <c r="D18533" s="183" t="s">
        <v>12448</v>
      </c>
      <c r="E18533" s="126">
        <v>85000</v>
      </c>
      <c r="F18533" s="126"/>
      <c r="G18533" s="126">
        <f t="shared" si="334"/>
        <v>-85000</v>
      </c>
      <c r="H18533" s="705" t="s">
        <v>12380</v>
      </c>
      <c r="J18533" s="40"/>
    </row>
    <row r="18534" spans="1:10" ht="15" x14ac:dyDescent="0.2">
      <c r="A18534" s="734">
        <v>45332</v>
      </c>
      <c r="B18534" s="63" t="s">
        <v>11897</v>
      </c>
      <c r="C18534" s="63" t="s">
        <v>12038</v>
      </c>
      <c r="D18534" s="183" t="s">
        <v>12450</v>
      </c>
      <c r="E18534" s="126">
        <v>500000</v>
      </c>
      <c r="F18534" s="126"/>
      <c r="G18534" s="126">
        <f t="shared" si="334"/>
        <v>-500000</v>
      </c>
      <c r="H18534" s="705" t="s">
        <v>12380</v>
      </c>
      <c r="J18534" s="40"/>
    </row>
    <row r="18535" spans="1:10" ht="15" x14ac:dyDescent="0.2">
      <c r="A18535" s="734">
        <v>45332</v>
      </c>
      <c r="B18535" s="63" t="s">
        <v>11738</v>
      </c>
      <c r="C18535" s="63" t="s">
        <v>10993</v>
      </c>
      <c r="D18535" s="183" t="s">
        <v>11877</v>
      </c>
      <c r="E18535" s="126">
        <v>15170</v>
      </c>
      <c r="F18535" s="126"/>
      <c r="G18535" s="126">
        <f t="shared" si="334"/>
        <v>-15170</v>
      </c>
      <c r="H18535" s="705" t="s">
        <v>12380</v>
      </c>
      <c r="J18535" s="40"/>
    </row>
    <row r="18536" spans="1:10" ht="15" x14ac:dyDescent="0.2">
      <c r="A18536" s="734">
        <v>45332</v>
      </c>
      <c r="B18536" s="63" t="s">
        <v>10363</v>
      </c>
      <c r="C18536" s="63" t="s">
        <v>2190</v>
      </c>
      <c r="D18536" s="183" t="s">
        <v>12451</v>
      </c>
      <c r="E18536" s="126">
        <v>24000</v>
      </c>
      <c r="F18536" s="126"/>
      <c r="G18536" s="126">
        <f t="shared" ref="G18536:G18546" si="335">F18536-E18536</f>
        <v>-24000</v>
      </c>
      <c r="H18536" s="705" t="s">
        <v>12380</v>
      </c>
      <c r="J18536" s="40"/>
    </row>
    <row r="18537" spans="1:10" ht="15" x14ac:dyDescent="0.2">
      <c r="A18537" s="734">
        <v>45332</v>
      </c>
      <c r="B18537" s="63" t="s">
        <v>8559</v>
      </c>
      <c r="C18537" s="63" t="s">
        <v>5741</v>
      </c>
      <c r="D18537" s="183" t="s">
        <v>370</v>
      </c>
      <c r="E18537" s="126">
        <v>3000</v>
      </c>
      <c r="F18537" s="126"/>
      <c r="G18537" s="126">
        <f t="shared" si="335"/>
        <v>-3000</v>
      </c>
      <c r="H18537" s="705" t="s">
        <v>12380</v>
      </c>
      <c r="J18537" s="40"/>
    </row>
    <row r="18538" spans="1:10" ht="15" x14ac:dyDescent="0.2">
      <c r="A18538" s="734">
        <v>45332</v>
      </c>
      <c r="B18538" s="63" t="s">
        <v>11897</v>
      </c>
      <c r="C18538" s="63" t="s">
        <v>5741</v>
      </c>
      <c r="D18538" s="183" t="s">
        <v>370</v>
      </c>
      <c r="E18538" s="126">
        <v>600</v>
      </c>
      <c r="F18538" s="126"/>
      <c r="G18538" s="126">
        <f t="shared" si="335"/>
        <v>-600</v>
      </c>
      <c r="H18538" s="705" t="s">
        <v>12380</v>
      </c>
      <c r="J18538" s="40"/>
    </row>
    <row r="18539" spans="1:10" ht="15" x14ac:dyDescent="0.2">
      <c r="A18539" s="734">
        <v>45332</v>
      </c>
      <c r="B18539" s="63" t="s">
        <v>12532</v>
      </c>
      <c r="C18539" s="63" t="s">
        <v>5410</v>
      </c>
      <c r="D18539" s="183" t="s">
        <v>12452</v>
      </c>
      <c r="E18539" s="126">
        <v>5000</v>
      </c>
      <c r="F18539" s="126"/>
      <c r="G18539" s="126">
        <f t="shared" si="335"/>
        <v>-5000</v>
      </c>
      <c r="H18539" s="705" t="s">
        <v>12380</v>
      </c>
      <c r="J18539" s="40"/>
    </row>
    <row r="18540" spans="1:10" ht="15" x14ac:dyDescent="0.2">
      <c r="A18540" s="734">
        <v>45332</v>
      </c>
      <c r="B18540" s="63" t="s">
        <v>11897</v>
      </c>
      <c r="C18540" s="63" t="s">
        <v>10993</v>
      </c>
      <c r="D18540" s="183" t="s">
        <v>12453</v>
      </c>
      <c r="E18540" s="126">
        <v>7500</v>
      </c>
      <c r="F18540" s="126"/>
      <c r="G18540" s="126">
        <f t="shared" si="335"/>
        <v>-7500</v>
      </c>
      <c r="H18540" s="705" t="s">
        <v>12380</v>
      </c>
      <c r="J18540" s="40"/>
    </row>
    <row r="18541" spans="1:10" ht="15" x14ac:dyDescent="0.2">
      <c r="A18541" s="734">
        <v>45332</v>
      </c>
      <c r="B18541" s="63" t="s">
        <v>3945</v>
      </c>
      <c r="C18541" s="63" t="s">
        <v>794</v>
      </c>
      <c r="D18541" s="183" t="s">
        <v>12454</v>
      </c>
      <c r="E18541" s="126">
        <v>2100</v>
      </c>
      <c r="F18541" s="126"/>
      <c r="G18541" s="126">
        <f t="shared" si="335"/>
        <v>-2100</v>
      </c>
      <c r="H18541" s="705" t="s">
        <v>12380</v>
      </c>
      <c r="J18541" s="40"/>
    </row>
    <row r="18542" spans="1:10" ht="15" x14ac:dyDescent="0.2">
      <c r="A18542" s="734">
        <v>45332</v>
      </c>
      <c r="B18542" s="63" t="s">
        <v>11897</v>
      </c>
      <c r="C18542" s="63" t="s">
        <v>5741</v>
      </c>
      <c r="D18542" s="183" t="s">
        <v>370</v>
      </c>
      <c r="E18542" s="126">
        <v>450</v>
      </c>
      <c r="F18542" s="126"/>
      <c r="G18542" s="126">
        <f t="shared" si="335"/>
        <v>-450</v>
      </c>
      <c r="H18542" s="705" t="s">
        <v>12380</v>
      </c>
      <c r="J18542" s="40"/>
    </row>
    <row r="18543" spans="1:10" ht="15" x14ac:dyDescent="0.2">
      <c r="A18543" s="734">
        <v>45332</v>
      </c>
      <c r="B18543" s="63" t="s">
        <v>9356</v>
      </c>
      <c r="C18543" s="63" t="s">
        <v>10993</v>
      </c>
      <c r="D18543" s="183" t="s">
        <v>12458</v>
      </c>
      <c r="E18543" s="126">
        <v>1200</v>
      </c>
      <c r="F18543" s="126"/>
      <c r="G18543" s="126">
        <f>F18543-E18543</f>
        <v>-1200</v>
      </c>
      <c r="H18543" s="705" t="s">
        <v>12380</v>
      </c>
      <c r="J18543" s="40"/>
    </row>
    <row r="18544" spans="1:10" ht="15" x14ac:dyDescent="0.2">
      <c r="A18544" s="734">
        <v>45332</v>
      </c>
      <c r="B18544" s="63" t="s">
        <v>12455</v>
      </c>
      <c r="C18544" s="63" t="s">
        <v>12456</v>
      </c>
      <c r="D18544" s="183" t="s">
        <v>12457</v>
      </c>
      <c r="E18544" s="126">
        <v>20900</v>
      </c>
      <c r="F18544" s="126"/>
      <c r="G18544" s="126">
        <f t="shared" si="335"/>
        <v>-20900</v>
      </c>
      <c r="H18544" s="705" t="s">
        <v>12380</v>
      </c>
      <c r="J18544" s="40"/>
    </row>
    <row r="18545" spans="1:10" ht="15" x14ac:dyDescent="0.2">
      <c r="A18545" s="734">
        <v>45332</v>
      </c>
      <c r="B18545" s="63" t="s">
        <v>12426</v>
      </c>
      <c r="C18545" s="63" t="s">
        <v>392</v>
      </c>
      <c r="D18545" s="183" t="s">
        <v>12464</v>
      </c>
      <c r="E18545" s="126">
        <v>3100</v>
      </c>
      <c r="F18545" s="126"/>
      <c r="G18545" s="126">
        <f t="shared" si="335"/>
        <v>-3100</v>
      </c>
      <c r="H18545" s="705" t="s">
        <v>12380</v>
      </c>
      <c r="J18545" s="40"/>
    </row>
    <row r="18546" spans="1:10" ht="15" x14ac:dyDescent="0.2">
      <c r="A18546" s="734">
        <v>45332</v>
      </c>
      <c r="B18546" s="63" t="s">
        <v>10908</v>
      </c>
      <c r="C18546" s="63" t="s">
        <v>392</v>
      </c>
      <c r="D18546" s="183" t="s">
        <v>12463</v>
      </c>
      <c r="E18546" s="126">
        <v>7230</v>
      </c>
      <c r="F18546" s="126"/>
      <c r="G18546" s="126">
        <f t="shared" si="335"/>
        <v>-7230</v>
      </c>
      <c r="H18546" s="705" t="s">
        <v>12380</v>
      </c>
      <c r="J18546" s="40"/>
    </row>
    <row r="18547" spans="1:10" ht="15" x14ac:dyDescent="0.2">
      <c r="A18547" s="734">
        <v>45332</v>
      </c>
      <c r="B18547" s="63" t="s">
        <v>11897</v>
      </c>
      <c r="C18547" s="63" t="s">
        <v>5741</v>
      </c>
      <c r="D18547" s="183" t="s">
        <v>370</v>
      </c>
      <c r="E18547" s="126">
        <v>600</v>
      </c>
      <c r="F18547" s="126"/>
      <c r="G18547" s="126">
        <f t="shared" ref="G18547:G18550" si="336">F18547-E18547</f>
        <v>-600</v>
      </c>
      <c r="H18547" s="705" t="s">
        <v>12380</v>
      </c>
      <c r="J18547" s="40"/>
    </row>
    <row r="18548" spans="1:10" ht="15" x14ac:dyDescent="0.2">
      <c r="A18548" s="734">
        <v>45332</v>
      </c>
      <c r="B18548" s="63" t="s">
        <v>10908</v>
      </c>
      <c r="C18548" s="63" t="s">
        <v>5741</v>
      </c>
      <c r="D18548" s="183" t="s">
        <v>370</v>
      </c>
      <c r="E18548" s="126">
        <v>2000</v>
      </c>
      <c r="F18548" s="126"/>
      <c r="G18548" s="126">
        <f t="shared" si="336"/>
        <v>-2000</v>
      </c>
      <c r="H18548" s="705" t="s">
        <v>12380</v>
      </c>
      <c r="J18548" s="40"/>
    </row>
    <row r="18549" spans="1:10" ht="15" x14ac:dyDescent="0.2">
      <c r="A18549" s="734">
        <v>45333</v>
      </c>
      <c r="B18549" s="63" t="s">
        <v>12624</v>
      </c>
      <c r="C18549" s="63" t="s">
        <v>9549</v>
      </c>
      <c r="D18549" s="183" t="s">
        <v>12465</v>
      </c>
      <c r="E18549" s="126">
        <v>1000</v>
      </c>
      <c r="F18549" s="126"/>
      <c r="G18549" s="126">
        <f t="shared" si="336"/>
        <v>-1000</v>
      </c>
      <c r="H18549" s="705" t="s">
        <v>12380</v>
      </c>
      <c r="J18549" s="40"/>
    </row>
    <row r="18550" spans="1:10" ht="15" x14ac:dyDescent="0.2">
      <c r="A18550" s="734">
        <v>45333</v>
      </c>
      <c r="B18550" s="63" t="s">
        <v>12426</v>
      </c>
      <c r="C18550" s="63" t="s">
        <v>5741</v>
      </c>
      <c r="D18550" s="183" t="s">
        <v>12466</v>
      </c>
      <c r="E18550" s="126">
        <v>1200</v>
      </c>
      <c r="F18550" s="126"/>
      <c r="G18550" s="126">
        <f t="shared" si="336"/>
        <v>-1200</v>
      </c>
      <c r="H18550" s="705" t="s">
        <v>12380</v>
      </c>
      <c r="J18550" s="40"/>
    </row>
    <row r="18551" spans="1:10" ht="15" x14ac:dyDescent="0.2">
      <c r="A18551" s="734">
        <v>45334</v>
      </c>
      <c r="B18551" s="63" t="s">
        <v>103</v>
      </c>
      <c r="C18551" s="63" t="s">
        <v>103</v>
      </c>
      <c r="D18551" s="183" t="s">
        <v>8158</v>
      </c>
      <c r="E18551" s="126">
        <v>3000</v>
      </c>
      <c r="F18551" s="126"/>
      <c r="G18551" s="126">
        <f t="shared" ref="G18551:G18559" si="337">F18551-E18551</f>
        <v>-3000</v>
      </c>
      <c r="H18551" s="705" t="s">
        <v>12380</v>
      </c>
      <c r="J18551" s="40"/>
    </row>
    <row r="18552" spans="1:10" ht="15" x14ac:dyDescent="0.2">
      <c r="A18552" s="734">
        <v>45334</v>
      </c>
      <c r="B18552" s="63" t="s">
        <v>10908</v>
      </c>
      <c r="C18552" s="63" t="s">
        <v>5741</v>
      </c>
      <c r="D18552" s="183" t="s">
        <v>370</v>
      </c>
      <c r="E18552" s="126">
        <v>2000</v>
      </c>
      <c r="F18552" s="126"/>
      <c r="G18552" s="126">
        <f t="shared" si="337"/>
        <v>-2000</v>
      </c>
      <c r="H18552" s="705" t="s">
        <v>12380</v>
      </c>
      <c r="J18552" s="40"/>
    </row>
    <row r="18553" spans="1:10" ht="15" x14ac:dyDescent="0.2">
      <c r="A18553" s="734">
        <v>45334</v>
      </c>
      <c r="B18553" s="63" t="s">
        <v>10908</v>
      </c>
      <c r="C18553" s="63" t="s">
        <v>5741</v>
      </c>
      <c r="D18553" s="183" t="s">
        <v>370</v>
      </c>
      <c r="E18553" s="126">
        <v>500</v>
      </c>
      <c r="F18553" s="126"/>
      <c r="G18553" s="126">
        <f t="shared" si="337"/>
        <v>-500</v>
      </c>
      <c r="H18553" s="705" t="s">
        <v>12380</v>
      </c>
      <c r="J18553" s="40"/>
    </row>
    <row r="18554" spans="1:10" ht="24" x14ac:dyDescent="0.2">
      <c r="A18554" s="734">
        <v>45334</v>
      </c>
      <c r="B18554" s="63" t="s">
        <v>12532</v>
      </c>
      <c r="C18554" s="63" t="s">
        <v>6423</v>
      </c>
      <c r="D18554" s="183" t="s">
        <v>12808</v>
      </c>
      <c r="E18554" s="126">
        <v>35000</v>
      </c>
      <c r="F18554" s="126"/>
      <c r="G18554" s="126">
        <f t="shared" si="337"/>
        <v>-35000</v>
      </c>
      <c r="H18554" s="705" t="s">
        <v>12380</v>
      </c>
      <c r="J18554" s="40"/>
    </row>
    <row r="18555" spans="1:10" ht="15" x14ac:dyDescent="0.2">
      <c r="A18555" s="734">
        <v>45334</v>
      </c>
      <c r="B18555" s="63" t="s">
        <v>8559</v>
      </c>
      <c r="C18555" s="63" t="s">
        <v>5741</v>
      </c>
      <c r="D18555" s="183" t="s">
        <v>12467</v>
      </c>
      <c r="E18555" s="126">
        <v>500</v>
      </c>
      <c r="F18555" s="126"/>
      <c r="G18555" s="126">
        <f t="shared" si="337"/>
        <v>-500</v>
      </c>
      <c r="H18555" s="705" t="s">
        <v>12380</v>
      </c>
      <c r="J18555" s="40"/>
    </row>
    <row r="18556" spans="1:10" ht="15" x14ac:dyDescent="0.2">
      <c r="A18556" s="734">
        <v>45334</v>
      </c>
      <c r="B18556" s="63" t="s">
        <v>9356</v>
      </c>
      <c r="C18556" s="63" t="s">
        <v>10993</v>
      </c>
      <c r="D18556" s="183" t="s">
        <v>12468</v>
      </c>
      <c r="E18556" s="126">
        <v>5000</v>
      </c>
      <c r="F18556" s="126"/>
      <c r="G18556" s="126">
        <f t="shared" si="337"/>
        <v>-5000</v>
      </c>
      <c r="H18556" s="705" t="s">
        <v>12380</v>
      </c>
      <c r="J18556" s="40"/>
    </row>
    <row r="18557" spans="1:10" ht="15" x14ac:dyDescent="0.2">
      <c r="A18557" s="734">
        <v>45334</v>
      </c>
      <c r="B18557" s="63" t="s">
        <v>9356</v>
      </c>
      <c r="C18557" s="63" t="s">
        <v>392</v>
      </c>
      <c r="D18557" s="183" t="s">
        <v>12469</v>
      </c>
      <c r="E18557" s="126">
        <v>1500</v>
      </c>
      <c r="F18557" s="126"/>
      <c r="G18557" s="126">
        <f t="shared" si="337"/>
        <v>-1500</v>
      </c>
      <c r="H18557" s="705" t="s">
        <v>12380</v>
      </c>
      <c r="J18557" s="40"/>
    </row>
    <row r="18558" spans="1:10" ht="15" x14ac:dyDescent="0.2">
      <c r="A18558" s="734">
        <v>45334</v>
      </c>
      <c r="B18558" s="63" t="s">
        <v>11897</v>
      </c>
      <c r="C18558" s="63" t="s">
        <v>8091</v>
      </c>
      <c r="D18558" s="183" t="s">
        <v>12470</v>
      </c>
      <c r="E18558" s="126">
        <v>500000</v>
      </c>
      <c r="F18558" s="126"/>
      <c r="G18558" s="126">
        <f t="shared" si="337"/>
        <v>-500000</v>
      </c>
      <c r="H18558" s="705" t="s">
        <v>12380</v>
      </c>
      <c r="J18558" s="40"/>
    </row>
    <row r="18559" spans="1:10" ht="24" x14ac:dyDescent="0.2">
      <c r="A18559" s="734">
        <v>45334</v>
      </c>
      <c r="B18559" s="63" t="s">
        <v>8559</v>
      </c>
      <c r="C18559" s="63" t="s">
        <v>3145</v>
      </c>
      <c r="D18559" s="183" t="s">
        <v>12471</v>
      </c>
      <c r="E18559" s="126">
        <v>60000</v>
      </c>
      <c r="F18559" s="126"/>
      <c r="G18559" s="126">
        <f t="shared" si="337"/>
        <v>-60000</v>
      </c>
      <c r="H18559" s="705" t="s">
        <v>12380</v>
      </c>
      <c r="J18559" s="40"/>
    </row>
    <row r="18560" spans="1:10" ht="15" x14ac:dyDescent="0.2">
      <c r="A18560" s="734">
        <v>45334</v>
      </c>
      <c r="B18560" s="63" t="s">
        <v>11089</v>
      </c>
      <c r="C18560" s="63" t="s">
        <v>12472</v>
      </c>
      <c r="D18560" s="183" t="s">
        <v>12473</v>
      </c>
      <c r="E18560" s="126">
        <v>20000</v>
      </c>
      <c r="F18560" s="126"/>
      <c r="G18560" s="126">
        <f t="shared" ref="G18560:G18562" si="338">F18560-E18560</f>
        <v>-20000</v>
      </c>
      <c r="H18560" s="705" t="s">
        <v>12380</v>
      </c>
      <c r="J18560" s="40"/>
    </row>
    <row r="18561" spans="1:10" ht="15" x14ac:dyDescent="0.2">
      <c r="A18561" s="734">
        <v>45334</v>
      </c>
      <c r="B18561" s="63" t="s">
        <v>10908</v>
      </c>
      <c r="C18561" s="63" t="s">
        <v>5741</v>
      </c>
      <c r="D18561" s="183" t="s">
        <v>370</v>
      </c>
      <c r="E18561" s="126">
        <v>200</v>
      </c>
      <c r="F18561" s="126"/>
      <c r="G18561" s="126">
        <f t="shared" si="338"/>
        <v>-200</v>
      </c>
      <c r="H18561" s="705" t="s">
        <v>12380</v>
      </c>
      <c r="J18561" s="40"/>
    </row>
    <row r="18562" spans="1:10" ht="15" x14ac:dyDescent="0.2">
      <c r="A18562" s="734">
        <v>45334</v>
      </c>
      <c r="B18562" s="63" t="s">
        <v>12207</v>
      </c>
      <c r="C18562" s="63" t="s">
        <v>11099</v>
      </c>
      <c r="D18562" s="183" t="s">
        <v>12036</v>
      </c>
      <c r="E18562" s="126">
        <v>100000</v>
      </c>
      <c r="F18562" s="126"/>
      <c r="G18562" s="126">
        <f t="shared" si="338"/>
        <v>-100000</v>
      </c>
      <c r="H18562" s="705" t="s">
        <v>12380</v>
      </c>
      <c r="J18562" s="40"/>
    </row>
    <row r="18563" spans="1:10" ht="15" x14ac:dyDescent="0.2">
      <c r="A18563" s="734">
        <v>45334</v>
      </c>
      <c r="B18563" s="63" t="s">
        <v>11897</v>
      </c>
      <c r="C18563" s="63" t="s">
        <v>5741</v>
      </c>
      <c r="D18563" s="183" t="s">
        <v>370</v>
      </c>
      <c r="E18563" s="126">
        <v>1350</v>
      </c>
      <c r="F18563" s="126"/>
      <c r="G18563" s="126">
        <f t="shared" ref="G18563:G18572" si="339">F18563-E18563</f>
        <v>-1350</v>
      </c>
      <c r="H18563" s="705" t="s">
        <v>12380</v>
      </c>
      <c r="J18563" s="40"/>
    </row>
    <row r="18564" spans="1:10" ht="15" x14ac:dyDescent="0.2">
      <c r="A18564" s="734">
        <v>45334</v>
      </c>
      <c r="B18564" s="63" t="s">
        <v>103</v>
      </c>
      <c r="C18564" s="63" t="s">
        <v>12502</v>
      </c>
      <c r="D18564" s="183" t="s">
        <v>370</v>
      </c>
      <c r="E18564" s="126">
        <v>6300</v>
      </c>
      <c r="F18564" s="126"/>
      <c r="G18564" s="126">
        <f t="shared" si="339"/>
        <v>-6300</v>
      </c>
      <c r="H18564" s="705" t="s">
        <v>12380</v>
      </c>
      <c r="J18564" s="40"/>
    </row>
    <row r="18565" spans="1:10" ht="15" x14ac:dyDescent="0.2">
      <c r="A18565" s="734">
        <v>45334</v>
      </c>
      <c r="B18565" s="63" t="s">
        <v>103</v>
      </c>
      <c r="C18565" s="63" t="s">
        <v>103</v>
      </c>
      <c r="D18565" s="183" t="s">
        <v>12503</v>
      </c>
      <c r="E18565" s="126">
        <v>2000</v>
      </c>
      <c r="F18565" s="126"/>
      <c r="G18565" s="126">
        <f t="shared" si="339"/>
        <v>-2000</v>
      </c>
      <c r="H18565" s="705" t="s">
        <v>12380</v>
      </c>
      <c r="J18565" s="40"/>
    </row>
    <row r="18566" spans="1:10" ht="15" x14ac:dyDescent="0.2">
      <c r="A18566" s="734">
        <v>45334</v>
      </c>
      <c r="B18566" s="63" t="s">
        <v>103</v>
      </c>
      <c r="C18566" s="63" t="s">
        <v>12504</v>
      </c>
      <c r="D18566" s="183" t="s">
        <v>12505</v>
      </c>
      <c r="E18566" s="126">
        <v>12840</v>
      </c>
      <c r="F18566" s="126"/>
      <c r="G18566" s="126">
        <f t="shared" si="339"/>
        <v>-12840</v>
      </c>
      <c r="H18566" s="705" t="s">
        <v>12380</v>
      </c>
      <c r="J18566" s="40"/>
    </row>
    <row r="18567" spans="1:10" ht="15" x14ac:dyDescent="0.2">
      <c r="A18567" s="734">
        <v>45335</v>
      </c>
      <c r="B18567" s="63" t="s">
        <v>11635</v>
      </c>
      <c r="C18567" s="63" t="s">
        <v>5741</v>
      </c>
      <c r="D18567" s="183" t="s">
        <v>12506</v>
      </c>
      <c r="E18567" s="126">
        <v>300</v>
      </c>
      <c r="F18567" s="126"/>
      <c r="G18567" s="126">
        <f t="shared" si="339"/>
        <v>-300</v>
      </c>
      <c r="H18567" s="705" t="s">
        <v>12380</v>
      </c>
      <c r="J18567" s="40"/>
    </row>
    <row r="18568" spans="1:10" ht="15" x14ac:dyDescent="0.2">
      <c r="A18568" s="734">
        <v>45335</v>
      </c>
      <c r="B18568" s="63" t="s">
        <v>103</v>
      </c>
      <c r="C18568" s="63" t="s">
        <v>103</v>
      </c>
      <c r="D18568" s="183" t="s">
        <v>12507</v>
      </c>
      <c r="E18568" s="126">
        <v>4370</v>
      </c>
      <c r="F18568" s="126"/>
      <c r="G18568" s="126">
        <f t="shared" si="339"/>
        <v>-4370</v>
      </c>
      <c r="H18568" s="705" t="s">
        <v>12380</v>
      </c>
      <c r="J18568" s="40"/>
    </row>
    <row r="18569" spans="1:10" ht="15" x14ac:dyDescent="0.2">
      <c r="A18569" s="734">
        <v>45335</v>
      </c>
      <c r="B18569" s="63" t="s">
        <v>103</v>
      </c>
      <c r="C18569" s="63" t="s">
        <v>103</v>
      </c>
      <c r="D18569" s="183" t="s">
        <v>12503</v>
      </c>
      <c r="E18569" s="126">
        <v>4660</v>
      </c>
      <c r="F18569" s="126"/>
      <c r="G18569" s="126">
        <f t="shared" si="339"/>
        <v>-4660</v>
      </c>
      <c r="H18569" s="705" t="s">
        <v>12380</v>
      </c>
      <c r="J18569" s="40"/>
    </row>
    <row r="18570" spans="1:10" ht="15" x14ac:dyDescent="0.2">
      <c r="A18570" s="734">
        <v>45335</v>
      </c>
      <c r="B18570" s="63" t="s">
        <v>103</v>
      </c>
      <c r="C18570" s="63" t="s">
        <v>3470</v>
      </c>
      <c r="D18570" s="183" t="s">
        <v>12508</v>
      </c>
      <c r="E18570" s="126">
        <v>7500</v>
      </c>
      <c r="F18570" s="126"/>
      <c r="G18570" s="126">
        <f t="shared" si="339"/>
        <v>-7500</v>
      </c>
      <c r="H18570" s="705" t="s">
        <v>12380</v>
      </c>
      <c r="J18570" s="40"/>
    </row>
    <row r="18571" spans="1:10" ht="15" x14ac:dyDescent="0.2">
      <c r="A18571" s="734">
        <v>45335</v>
      </c>
      <c r="B18571" s="63" t="s">
        <v>103</v>
      </c>
      <c r="C18571" s="63" t="s">
        <v>103</v>
      </c>
      <c r="D18571" s="183" t="s">
        <v>8158</v>
      </c>
      <c r="E18571" s="126">
        <v>3000</v>
      </c>
      <c r="F18571" s="126"/>
      <c r="G18571" s="126">
        <f t="shared" si="339"/>
        <v>-3000</v>
      </c>
      <c r="H18571" s="705" t="s">
        <v>12380</v>
      </c>
      <c r="J18571" s="40"/>
    </row>
    <row r="18572" spans="1:10" ht="15" x14ac:dyDescent="0.2">
      <c r="A18572" s="734">
        <v>45335</v>
      </c>
      <c r="B18572" s="63" t="s">
        <v>11446</v>
      </c>
      <c r="C18572" s="63" t="s">
        <v>10993</v>
      </c>
      <c r="D18572" s="183" t="s">
        <v>12509</v>
      </c>
      <c r="E18572" s="126">
        <v>10900</v>
      </c>
      <c r="F18572" s="126"/>
      <c r="G18572" s="126">
        <f t="shared" si="339"/>
        <v>-10900</v>
      </c>
      <c r="H18572" s="705" t="s">
        <v>12380</v>
      </c>
      <c r="J18572" s="40"/>
    </row>
    <row r="18573" spans="1:10" ht="15" x14ac:dyDescent="0.2">
      <c r="A18573" s="734">
        <v>45335</v>
      </c>
      <c r="B18573" s="63" t="s">
        <v>12510</v>
      </c>
      <c r="C18573" s="63" t="s">
        <v>1198</v>
      </c>
      <c r="D18573" s="183" t="s">
        <v>12511</v>
      </c>
      <c r="E18573" s="126">
        <v>27500</v>
      </c>
      <c r="F18573" s="126"/>
      <c r="G18573" s="126">
        <f t="shared" ref="G18573:G18578" si="340">F18573-E18573</f>
        <v>-27500</v>
      </c>
      <c r="H18573" s="705" t="s">
        <v>12380</v>
      </c>
      <c r="J18573" s="40"/>
    </row>
    <row r="18574" spans="1:10" ht="15" x14ac:dyDescent="0.2">
      <c r="A18574" s="734">
        <v>45335</v>
      </c>
      <c r="B18574" s="63" t="s">
        <v>8559</v>
      </c>
      <c r="C18574" s="63" t="s">
        <v>5741</v>
      </c>
      <c r="D18574" s="183" t="s">
        <v>370</v>
      </c>
      <c r="E18574" s="126">
        <v>650</v>
      </c>
      <c r="F18574" s="126"/>
      <c r="G18574" s="126">
        <f t="shared" si="340"/>
        <v>-650</v>
      </c>
      <c r="H18574" s="705" t="s">
        <v>12380</v>
      </c>
      <c r="J18574" s="40"/>
    </row>
    <row r="18575" spans="1:10" ht="15" x14ac:dyDescent="0.2">
      <c r="A18575" s="734">
        <v>45335</v>
      </c>
      <c r="B18575" s="63" t="s">
        <v>103</v>
      </c>
      <c r="C18575" s="63" t="s">
        <v>286</v>
      </c>
      <c r="D18575" s="183" t="s">
        <v>3150</v>
      </c>
      <c r="E18575" s="126">
        <v>150</v>
      </c>
      <c r="F18575" s="126"/>
      <c r="G18575" s="126">
        <f t="shared" si="340"/>
        <v>-150</v>
      </c>
      <c r="H18575" s="705" t="s">
        <v>12380</v>
      </c>
      <c r="J18575" s="40"/>
    </row>
    <row r="18576" spans="1:10" ht="15" x14ac:dyDescent="0.2">
      <c r="A18576" s="734">
        <v>45335</v>
      </c>
      <c r="B18576" s="63" t="s">
        <v>12510</v>
      </c>
      <c r="C18576" s="63" t="s">
        <v>5741</v>
      </c>
      <c r="D18576" s="183" t="s">
        <v>12512</v>
      </c>
      <c r="E18576" s="126">
        <v>700</v>
      </c>
      <c r="F18576" s="126"/>
      <c r="G18576" s="126">
        <f t="shared" si="340"/>
        <v>-700</v>
      </c>
      <c r="H18576" s="705" t="s">
        <v>12380</v>
      </c>
      <c r="J18576" s="40"/>
    </row>
    <row r="18577" spans="1:10" ht="15" x14ac:dyDescent="0.2">
      <c r="A18577" s="734">
        <v>45335</v>
      </c>
      <c r="B18577" s="63" t="s">
        <v>10471</v>
      </c>
      <c r="C18577" s="63" t="s">
        <v>9460</v>
      </c>
      <c r="D18577" s="183" t="s">
        <v>11778</v>
      </c>
      <c r="E18577" s="126">
        <v>25000</v>
      </c>
      <c r="F18577" s="126"/>
      <c r="G18577" s="126">
        <f t="shared" si="340"/>
        <v>-25000</v>
      </c>
      <c r="H18577" s="705" t="s">
        <v>12380</v>
      </c>
      <c r="J18577" s="40"/>
    </row>
    <row r="18578" spans="1:10" ht="15" x14ac:dyDescent="0.2">
      <c r="A18578" s="734">
        <v>45335</v>
      </c>
      <c r="B18578" s="63" t="s">
        <v>10471</v>
      </c>
      <c r="C18578" s="63" t="s">
        <v>12438</v>
      </c>
      <c r="D18578" s="183" t="s">
        <v>12439</v>
      </c>
      <c r="E18578" s="126">
        <v>140000</v>
      </c>
      <c r="F18578" s="126"/>
      <c r="G18578" s="126">
        <f t="shared" si="340"/>
        <v>-140000</v>
      </c>
      <c r="H18578" s="705" t="s">
        <v>12380</v>
      </c>
      <c r="J18578" s="40"/>
    </row>
    <row r="18579" spans="1:10" ht="15" x14ac:dyDescent="0.2">
      <c r="A18579" s="734">
        <v>45336</v>
      </c>
      <c r="B18579" s="63" t="s">
        <v>25</v>
      </c>
      <c r="C18579" s="63" t="s">
        <v>4065</v>
      </c>
      <c r="D18579" s="183" t="s">
        <v>12513</v>
      </c>
      <c r="E18579" s="126">
        <v>2400</v>
      </c>
      <c r="F18579" s="126"/>
      <c r="G18579" s="126">
        <f t="shared" ref="G18579:G18588" si="341">F18579-E18579</f>
        <v>-2400</v>
      </c>
      <c r="H18579" s="705" t="s">
        <v>12380</v>
      </c>
      <c r="J18579" s="40"/>
    </row>
    <row r="18580" spans="1:10" ht="15" x14ac:dyDescent="0.2">
      <c r="A18580" s="734">
        <v>45336</v>
      </c>
      <c r="B18580" s="63" t="s">
        <v>8559</v>
      </c>
      <c r="C18580" s="63" t="s">
        <v>3104</v>
      </c>
      <c r="D18580" s="183" t="s">
        <v>12514</v>
      </c>
      <c r="E18580" s="126">
        <v>20000</v>
      </c>
      <c r="F18580" s="126"/>
      <c r="G18580" s="126">
        <f t="shared" si="341"/>
        <v>-20000</v>
      </c>
      <c r="H18580" s="705" t="s">
        <v>12380</v>
      </c>
      <c r="J18580" s="40"/>
    </row>
    <row r="18581" spans="1:10" ht="15" x14ac:dyDescent="0.2">
      <c r="A18581" s="734">
        <v>45336</v>
      </c>
      <c r="B18581" s="63" t="s">
        <v>10908</v>
      </c>
      <c r="C18581" s="63" t="s">
        <v>5741</v>
      </c>
      <c r="D18581" s="183" t="s">
        <v>370</v>
      </c>
      <c r="E18581" s="126">
        <v>600</v>
      </c>
      <c r="F18581" s="126"/>
      <c r="G18581" s="126">
        <f t="shared" si="341"/>
        <v>-600</v>
      </c>
      <c r="H18581" s="705" t="s">
        <v>12380</v>
      </c>
      <c r="J18581" s="40"/>
    </row>
    <row r="18582" spans="1:10" ht="15" x14ac:dyDescent="0.2">
      <c r="A18582" s="734">
        <v>45336</v>
      </c>
      <c r="B18582" s="63" t="s">
        <v>3945</v>
      </c>
      <c r="C18582" s="551" t="s">
        <v>3003</v>
      </c>
      <c r="D18582" s="740" t="s">
        <v>12516</v>
      </c>
      <c r="E18582" s="552">
        <v>35360</v>
      </c>
      <c r="F18582" s="126"/>
      <c r="G18582" s="126">
        <f t="shared" si="341"/>
        <v>-35360</v>
      </c>
      <c r="H18582" s="705" t="s">
        <v>12380</v>
      </c>
      <c r="J18582" s="40"/>
    </row>
    <row r="18583" spans="1:10" ht="15" x14ac:dyDescent="0.2">
      <c r="A18583" s="734">
        <v>45336</v>
      </c>
      <c r="B18583" s="63" t="s">
        <v>3946</v>
      </c>
      <c r="C18583" s="551" t="s">
        <v>3003</v>
      </c>
      <c r="D18583" s="740" t="s">
        <v>12516</v>
      </c>
      <c r="E18583" s="552">
        <v>32760</v>
      </c>
      <c r="F18583" s="126"/>
      <c r="G18583" s="126">
        <f t="shared" si="341"/>
        <v>-32760</v>
      </c>
      <c r="H18583" s="705" t="s">
        <v>12380</v>
      </c>
      <c r="J18583" s="40"/>
    </row>
    <row r="18584" spans="1:10" ht="15" x14ac:dyDescent="0.2">
      <c r="A18584" s="734">
        <v>45336</v>
      </c>
      <c r="B18584" s="63" t="s">
        <v>8559</v>
      </c>
      <c r="C18584" s="551" t="s">
        <v>3003</v>
      </c>
      <c r="D18584" s="740" t="s">
        <v>12516</v>
      </c>
      <c r="E18584" s="552">
        <v>145766</v>
      </c>
      <c r="F18584" s="126"/>
      <c r="G18584" s="126">
        <f t="shared" si="341"/>
        <v>-145766</v>
      </c>
      <c r="H18584" s="705" t="s">
        <v>12380</v>
      </c>
      <c r="J18584" s="40"/>
    </row>
    <row r="18585" spans="1:10" ht="15" x14ac:dyDescent="0.2">
      <c r="A18585" s="734">
        <v>45336</v>
      </c>
      <c r="B18585" s="63" t="s">
        <v>11635</v>
      </c>
      <c r="C18585" s="551" t="s">
        <v>3003</v>
      </c>
      <c r="D18585" s="740" t="s">
        <v>12516</v>
      </c>
      <c r="E18585" s="552">
        <v>508379</v>
      </c>
      <c r="F18585" s="126"/>
      <c r="G18585" s="126">
        <f t="shared" si="341"/>
        <v>-508379</v>
      </c>
      <c r="H18585" s="705" t="s">
        <v>12380</v>
      </c>
      <c r="J18585" s="40"/>
    </row>
    <row r="18586" spans="1:10" ht="15" x14ac:dyDescent="0.2">
      <c r="A18586" s="734">
        <v>45336</v>
      </c>
      <c r="B18586" s="63" t="s">
        <v>11897</v>
      </c>
      <c r="C18586" s="63" t="s">
        <v>8394</v>
      </c>
      <c r="D18586" s="183" t="s">
        <v>12318</v>
      </c>
      <c r="E18586" s="126">
        <v>1000000</v>
      </c>
      <c r="F18586" s="126"/>
      <c r="G18586" s="126">
        <f t="shared" si="341"/>
        <v>-1000000</v>
      </c>
      <c r="H18586" s="705" t="s">
        <v>12380</v>
      </c>
      <c r="J18586" s="40"/>
    </row>
    <row r="18587" spans="1:10" ht="15" x14ac:dyDescent="0.2">
      <c r="A18587" s="734">
        <v>45336</v>
      </c>
      <c r="B18587" s="63" t="s">
        <v>10232</v>
      </c>
      <c r="C18587" s="63" t="s">
        <v>11752</v>
      </c>
      <c r="D18587" s="183" t="s">
        <v>11171</v>
      </c>
      <c r="E18587" s="126">
        <v>500000</v>
      </c>
      <c r="F18587" s="126"/>
      <c r="G18587" s="126">
        <f t="shared" si="341"/>
        <v>-500000</v>
      </c>
      <c r="H18587" s="705" t="s">
        <v>12380</v>
      </c>
      <c r="J18587" s="40"/>
    </row>
    <row r="18588" spans="1:10" ht="15" x14ac:dyDescent="0.2">
      <c r="A18588" s="734">
        <v>45336</v>
      </c>
      <c r="B18588" s="63" t="s">
        <v>11135</v>
      </c>
      <c r="C18588" s="63" t="s">
        <v>12517</v>
      </c>
      <c r="D18588" s="183" t="s">
        <v>11171</v>
      </c>
      <c r="E18588" s="126">
        <v>500000</v>
      </c>
      <c r="F18588" s="126"/>
      <c r="G18588" s="126">
        <f t="shared" si="341"/>
        <v>-500000</v>
      </c>
      <c r="H18588" s="705" t="s">
        <v>12380</v>
      </c>
      <c r="J18588" s="40"/>
    </row>
    <row r="18589" spans="1:10" ht="15" x14ac:dyDescent="0.2">
      <c r="A18589" s="734">
        <v>45337</v>
      </c>
      <c r="B18589" s="63" t="s">
        <v>11089</v>
      </c>
      <c r="C18589" s="63" t="s">
        <v>11975</v>
      </c>
      <c r="D18589" s="183" t="s">
        <v>12518</v>
      </c>
      <c r="E18589" s="126">
        <v>10000</v>
      </c>
      <c r="F18589" s="126"/>
      <c r="G18589" s="126">
        <f t="shared" ref="G18589:G18590" si="342">F18589-E18589</f>
        <v>-10000</v>
      </c>
      <c r="H18589" s="705" t="s">
        <v>12380</v>
      </c>
      <c r="J18589" s="40"/>
    </row>
    <row r="18590" spans="1:10" ht="15" x14ac:dyDescent="0.2">
      <c r="A18590" s="734">
        <v>45337</v>
      </c>
      <c r="B18590" s="63" t="s">
        <v>11089</v>
      </c>
      <c r="C18590" s="63" t="s">
        <v>392</v>
      </c>
      <c r="D18590" s="183" t="s">
        <v>7649</v>
      </c>
      <c r="E18590" s="126">
        <v>2000</v>
      </c>
      <c r="F18590" s="126"/>
      <c r="G18590" s="126">
        <f t="shared" si="342"/>
        <v>-2000</v>
      </c>
      <c r="H18590" s="705" t="s">
        <v>12380</v>
      </c>
      <c r="J18590" s="40"/>
    </row>
    <row r="18591" spans="1:10" ht="15" x14ac:dyDescent="0.2">
      <c r="A18591" s="734">
        <v>45338</v>
      </c>
      <c r="B18591" s="63" t="s">
        <v>11089</v>
      </c>
      <c r="C18591" s="63" t="s">
        <v>1063</v>
      </c>
      <c r="D18591" s="183" t="s">
        <v>12519</v>
      </c>
      <c r="E18591" s="126">
        <v>4800</v>
      </c>
      <c r="F18591" s="126"/>
      <c r="G18591" s="126">
        <f t="shared" ref="G18591:G18592" si="343">F18591-E18591</f>
        <v>-4800</v>
      </c>
      <c r="H18591" s="705" t="s">
        <v>12380</v>
      </c>
      <c r="J18591" s="40"/>
    </row>
    <row r="18592" spans="1:10" ht="15" x14ac:dyDescent="0.2">
      <c r="A18592" s="734">
        <v>45338</v>
      </c>
      <c r="B18592" s="63" t="s">
        <v>10908</v>
      </c>
      <c r="C18592" s="63" t="s">
        <v>10993</v>
      </c>
      <c r="D18592" s="183" t="s">
        <v>12520</v>
      </c>
      <c r="E18592" s="126">
        <v>9000</v>
      </c>
      <c r="F18592" s="126"/>
      <c r="G18592" s="126">
        <f t="shared" si="343"/>
        <v>-9000</v>
      </c>
      <c r="H18592" s="705" t="s">
        <v>12380</v>
      </c>
      <c r="J18592" s="40"/>
    </row>
    <row r="18593" spans="1:10" ht="15" x14ac:dyDescent="0.2">
      <c r="A18593" s="734">
        <v>45338</v>
      </c>
      <c r="B18593" s="63" t="s">
        <v>11089</v>
      </c>
      <c r="C18593" s="63" t="s">
        <v>5741</v>
      </c>
      <c r="D18593" s="183" t="s">
        <v>12525</v>
      </c>
      <c r="E18593" s="126">
        <v>4000</v>
      </c>
      <c r="F18593" s="126"/>
      <c r="G18593" s="126">
        <f t="shared" ref="G18593:G18601" si="344">F18593-E18593</f>
        <v>-4000</v>
      </c>
      <c r="H18593" s="705" t="s">
        <v>12380</v>
      </c>
      <c r="J18593" s="40"/>
    </row>
    <row r="18594" spans="1:10" ht="15" x14ac:dyDescent="0.2">
      <c r="A18594" s="734">
        <v>45338</v>
      </c>
      <c r="B18594" s="63" t="s">
        <v>12207</v>
      </c>
      <c r="C18594" s="63" t="s">
        <v>12526</v>
      </c>
      <c r="D18594" s="183" t="s">
        <v>12527</v>
      </c>
      <c r="E18594" s="126">
        <v>9880</v>
      </c>
      <c r="F18594" s="126"/>
      <c r="G18594" s="126">
        <f t="shared" si="344"/>
        <v>-9880</v>
      </c>
      <c r="H18594" s="705" t="s">
        <v>12380</v>
      </c>
      <c r="J18594" s="40"/>
    </row>
    <row r="18595" spans="1:10" ht="15" x14ac:dyDescent="0.2">
      <c r="A18595" s="734">
        <v>45338</v>
      </c>
      <c r="B18595" s="63" t="s">
        <v>103</v>
      </c>
      <c r="C18595" s="63" t="s">
        <v>103</v>
      </c>
      <c r="D18595" s="183" t="s">
        <v>12528</v>
      </c>
      <c r="E18595" s="126">
        <v>17700</v>
      </c>
      <c r="F18595" s="126"/>
      <c r="G18595" s="126">
        <f t="shared" si="344"/>
        <v>-17700</v>
      </c>
      <c r="H18595" s="705" t="s">
        <v>12380</v>
      </c>
      <c r="J18595" s="40"/>
    </row>
    <row r="18596" spans="1:10" ht="15" x14ac:dyDescent="0.2">
      <c r="A18596" s="734">
        <v>45338</v>
      </c>
      <c r="B18596" s="63" t="s">
        <v>12366</v>
      </c>
      <c r="C18596" s="63" t="s">
        <v>5741</v>
      </c>
      <c r="D18596" s="183" t="s">
        <v>12529</v>
      </c>
      <c r="E18596" s="126">
        <v>700</v>
      </c>
      <c r="F18596" s="126"/>
      <c r="G18596" s="126">
        <f t="shared" si="344"/>
        <v>-700</v>
      </c>
      <c r="H18596" s="705" t="s">
        <v>12380</v>
      </c>
      <c r="J18596" s="40"/>
    </row>
    <row r="18597" spans="1:10" ht="15" x14ac:dyDescent="0.2">
      <c r="A18597" s="734">
        <v>45338</v>
      </c>
      <c r="B18597" s="63" t="s">
        <v>11897</v>
      </c>
      <c r="C18597" s="63" t="s">
        <v>10993</v>
      </c>
      <c r="D18597" s="183" t="s">
        <v>12530</v>
      </c>
      <c r="E18597" s="126">
        <v>3000</v>
      </c>
      <c r="F18597" s="126"/>
      <c r="G18597" s="126">
        <f t="shared" si="344"/>
        <v>-3000</v>
      </c>
      <c r="H18597" s="705" t="s">
        <v>12380</v>
      </c>
      <c r="J18597" s="40"/>
    </row>
    <row r="18598" spans="1:10" ht="15" x14ac:dyDescent="0.2">
      <c r="A18598" s="734">
        <v>45338</v>
      </c>
      <c r="B18598" s="63" t="s">
        <v>10908</v>
      </c>
      <c r="C18598" s="63" t="s">
        <v>5741</v>
      </c>
      <c r="D18598" s="183" t="s">
        <v>370</v>
      </c>
      <c r="E18598" s="126">
        <v>3000</v>
      </c>
      <c r="F18598" s="126"/>
      <c r="G18598" s="126">
        <f t="shared" si="344"/>
        <v>-3000</v>
      </c>
      <c r="H18598" s="705" t="s">
        <v>12380</v>
      </c>
      <c r="J18598" s="40"/>
    </row>
    <row r="18599" spans="1:10" ht="15" x14ac:dyDescent="0.2">
      <c r="A18599" s="734">
        <v>45338</v>
      </c>
      <c r="B18599" s="63" t="s">
        <v>103</v>
      </c>
      <c r="C18599" s="63" t="s">
        <v>392</v>
      </c>
      <c r="D18599" s="183" t="s">
        <v>12531</v>
      </c>
      <c r="E18599" s="126">
        <v>2250</v>
      </c>
      <c r="F18599" s="126"/>
      <c r="G18599" s="126">
        <f t="shared" si="344"/>
        <v>-2250</v>
      </c>
      <c r="H18599" s="705" t="s">
        <v>12380</v>
      </c>
      <c r="J18599" s="40"/>
    </row>
    <row r="18600" spans="1:10" ht="15" x14ac:dyDescent="0.2">
      <c r="A18600" s="734">
        <v>45338</v>
      </c>
      <c r="B18600" s="63" t="s">
        <v>12532</v>
      </c>
      <c r="C18600" s="63" t="s">
        <v>10993</v>
      </c>
      <c r="D18600" s="183" t="s">
        <v>12533</v>
      </c>
      <c r="E18600" s="126">
        <v>17400</v>
      </c>
      <c r="F18600" s="126"/>
      <c r="G18600" s="126">
        <f t="shared" si="344"/>
        <v>-17400</v>
      </c>
      <c r="H18600" s="705" t="s">
        <v>12380</v>
      </c>
      <c r="J18600" s="40"/>
    </row>
    <row r="18601" spans="1:10" ht="15" x14ac:dyDescent="0.2">
      <c r="A18601" s="734">
        <v>45338</v>
      </c>
      <c r="B18601" s="63" t="s">
        <v>10151</v>
      </c>
      <c r="C18601" s="63" t="s">
        <v>392</v>
      </c>
      <c r="D18601" s="183" t="s">
        <v>12534</v>
      </c>
      <c r="E18601" s="126">
        <v>50000</v>
      </c>
      <c r="F18601" s="126"/>
      <c r="G18601" s="126">
        <f t="shared" si="344"/>
        <v>-50000</v>
      </c>
      <c r="H18601" s="705" t="s">
        <v>12380</v>
      </c>
      <c r="J18601" s="40"/>
    </row>
    <row r="18602" spans="1:10" ht="15" x14ac:dyDescent="0.2">
      <c r="A18602" s="734">
        <v>45339</v>
      </c>
      <c r="B18602" s="63" t="s">
        <v>103</v>
      </c>
      <c r="C18602" s="63" t="s">
        <v>103</v>
      </c>
      <c r="D18602" s="183" t="s">
        <v>8158</v>
      </c>
      <c r="E18602" s="126">
        <v>4000</v>
      </c>
      <c r="F18602" s="126"/>
      <c r="G18602" s="126">
        <f t="shared" ref="G18602:G18616" si="345">F18602-E18602</f>
        <v>-4000</v>
      </c>
      <c r="H18602" s="705" t="s">
        <v>12380</v>
      </c>
      <c r="J18602" s="40"/>
    </row>
    <row r="18603" spans="1:10" ht="15" x14ac:dyDescent="0.2">
      <c r="A18603" s="734">
        <v>45339</v>
      </c>
      <c r="B18603" s="63" t="s">
        <v>3946</v>
      </c>
      <c r="C18603" s="63" t="s">
        <v>5741</v>
      </c>
      <c r="D18603" s="183" t="s">
        <v>12536</v>
      </c>
      <c r="E18603" s="126">
        <v>5000</v>
      </c>
      <c r="F18603" s="126"/>
      <c r="G18603" s="126">
        <f t="shared" si="345"/>
        <v>-5000</v>
      </c>
      <c r="H18603" s="705" t="s">
        <v>12380</v>
      </c>
      <c r="J18603" s="40"/>
    </row>
    <row r="18604" spans="1:10" ht="15" x14ac:dyDescent="0.2">
      <c r="A18604" s="734">
        <v>45339</v>
      </c>
      <c r="B18604" s="63" t="s">
        <v>3946</v>
      </c>
      <c r="C18604" s="63" t="s">
        <v>286</v>
      </c>
      <c r="D18604" s="183" t="s">
        <v>11383</v>
      </c>
      <c r="E18604" s="126">
        <v>500</v>
      </c>
      <c r="F18604" s="126"/>
      <c r="G18604" s="126">
        <f t="shared" si="345"/>
        <v>-500</v>
      </c>
      <c r="H18604" s="705" t="s">
        <v>12380</v>
      </c>
      <c r="J18604" s="40"/>
    </row>
    <row r="18605" spans="1:10" ht="15" x14ac:dyDescent="0.2">
      <c r="A18605" s="734">
        <v>45339</v>
      </c>
      <c r="B18605" s="63" t="s">
        <v>3946</v>
      </c>
      <c r="C18605" s="63" t="s">
        <v>10993</v>
      </c>
      <c r="D18605" s="183" t="s">
        <v>12537</v>
      </c>
      <c r="E18605" s="126">
        <v>800</v>
      </c>
      <c r="F18605" s="126"/>
      <c r="G18605" s="126">
        <f t="shared" si="345"/>
        <v>-800</v>
      </c>
      <c r="H18605" s="705" t="s">
        <v>12380</v>
      </c>
      <c r="J18605" s="40"/>
    </row>
    <row r="18606" spans="1:10" ht="15" x14ac:dyDescent="0.2">
      <c r="A18606" s="734">
        <v>45339</v>
      </c>
      <c r="B18606" s="63" t="s">
        <v>8559</v>
      </c>
      <c r="C18606" s="63" t="s">
        <v>11633</v>
      </c>
      <c r="D18606" s="183" t="s">
        <v>12444</v>
      </c>
      <c r="E18606" s="126">
        <v>12000</v>
      </c>
      <c r="F18606" s="126"/>
      <c r="G18606" s="126">
        <f t="shared" si="345"/>
        <v>-12000</v>
      </c>
      <c r="H18606" s="705" t="s">
        <v>12380</v>
      </c>
      <c r="J18606" s="40"/>
    </row>
    <row r="18607" spans="1:10" ht="15" x14ac:dyDescent="0.2">
      <c r="A18607" s="734">
        <v>45339</v>
      </c>
      <c r="B18607" s="63" t="s">
        <v>8559</v>
      </c>
      <c r="C18607" s="63" t="s">
        <v>10993</v>
      </c>
      <c r="D18607" s="183" t="s">
        <v>12538</v>
      </c>
      <c r="E18607" s="126">
        <v>1130</v>
      </c>
      <c r="F18607" s="126"/>
      <c r="G18607" s="126">
        <f t="shared" si="345"/>
        <v>-1130</v>
      </c>
      <c r="H18607" s="705" t="s">
        <v>12380</v>
      </c>
      <c r="J18607" s="40"/>
    </row>
    <row r="18608" spans="1:10" ht="15" x14ac:dyDescent="0.2">
      <c r="A18608" s="734">
        <v>45339</v>
      </c>
      <c r="B18608" s="63" t="s">
        <v>12366</v>
      </c>
      <c r="C18608" s="63" t="s">
        <v>12539</v>
      </c>
      <c r="D18608" s="183" t="s">
        <v>12540</v>
      </c>
      <c r="E18608" s="126">
        <v>12000</v>
      </c>
      <c r="F18608" s="126"/>
      <c r="G18608" s="126">
        <f t="shared" si="345"/>
        <v>-12000</v>
      </c>
      <c r="H18608" s="705" t="s">
        <v>12380</v>
      </c>
      <c r="J18608" s="40"/>
    </row>
    <row r="18609" spans="1:10" ht="15" x14ac:dyDescent="0.2">
      <c r="A18609" s="734">
        <v>45339</v>
      </c>
      <c r="B18609" s="63" t="s">
        <v>8559</v>
      </c>
      <c r="C18609" s="63" t="s">
        <v>5741</v>
      </c>
      <c r="D18609" s="183" t="s">
        <v>370</v>
      </c>
      <c r="E18609" s="126">
        <v>2000</v>
      </c>
      <c r="F18609" s="126"/>
      <c r="G18609" s="126">
        <f t="shared" si="345"/>
        <v>-2000</v>
      </c>
      <c r="H18609" s="705" t="s">
        <v>12380</v>
      </c>
      <c r="J18609" s="40"/>
    </row>
    <row r="18610" spans="1:10" ht="15" x14ac:dyDescent="0.2">
      <c r="A18610" s="734">
        <v>45339</v>
      </c>
      <c r="B18610" s="63" t="s">
        <v>8559</v>
      </c>
      <c r="C18610" s="63" t="s">
        <v>12539</v>
      </c>
      <c r="D18610" s="183" t="s">
        <v>12540</v>
      </c>
      <c r="E18610" s="126">
        <v>13000</v>
      </c>
      <c r="F18610" s="126"/>
      <c r="G18610" s="126">
        <f t="shared" si="345"/>
        <v>-13000</v>
      </c>
      <c r="H18610" s="705" t="s">
        <v>12380</v>
      </c>
      <c r="J18610" s="40"/>
    </row>
    <row r="18611" spans="1:10" ht="15" x14ac:dyDescent="0.2">
      <c r="A18611" s="734">
        <v>45339</v>
      </c>
      <c r="B18611" s="63" t="s">
        <v>11897</v>
      </c>
      <c r="C18611" s="63" t="s">
        <v>5741</v>
      </c>
      <c r="D18611" s="183" t="s">
        <v>12541</v>
      </c>
      <c r="E18611" s="126">
        <v>3000</v>
      </c>
      <c r="F18611" s="126"/>
      <c r="G18611" s="126">
        <f t="shared" si="345"/>
        <v>-3000</v>
      </c>
      <c r="H18611" s="705" t="s">
        <v>12380</v>
      </c>
      <c r="J18611" s="40"/>
    </row>
    <row r="18612" spans="1:10" ht="15" x14ac:dyDescent="0.2">
      <c r="A18612" s="734">
        <v>45339</v>
      </c>
      <c r="B18612" s="63" t="s">
        <v>11897</v>
      </c>
      <c r="C18612" s="63" t="s">
        <v>5741</v>
      </c>
      <c r="D18612" s="183" t="s">
        <v>11904</v>
      </c>
      <c r="E18612" s="126">
        <v>2700</v>
      </c>
      <c r="F18612" s="126"/>
      <c r="G18612" s="126">
        <f t="shared" si="345"/>
        <v>-2700</v>
      </c>
      <c r="H18612" s="705" t="s">
        <v>12380</v>
      </c>
      <c r="J18612" s="40"/>
    </row>
    <row r="18613" spans="1:10" ht="15" x14ac:dyDescent="0.2">
      <c r="A18613" s="734">
        <v>45339</v>
      </c>
      <c r="B18613" s="63" t="s">
        <v>103</v>
      </c>
      <c r="C18613" s="63" t="s">
        <v>286</v>
      </c>
      <c r="D18613" s="183" t="s">
        <v>8663</v>
      </c>
      <c r="E18613" s="126">
        <v>750</v>
      </c>
      <c r="F18613" s="126"/>
      <c r="G18613" s="126">
        <f t="shared" si="345"/>
        <v>-750</v>
      </c>
      <c r="H18613" s="705" t="s">
        <v>12380</v>
      </c>
      <c r="J18613" s="40"/>
    </row>
    <row r="18614" spans="1:10" ht="15" x14ac:dyDescent="0.2">
      <c r="A18614" s="734">
        <v>45339</v>
      </c>
      <c r="B18614" s="63" t="s">
        <v>25</v>
      </c>
      <c r="C18614" s="63" t="s">
        <v>8150</v>
      </c>
      <c r="D18614" s="183" t="s">
        <v>6343</v>
      </c>
      <c r="E18614" s="126">
        <v>3635</v>
      </c>
      <c r="F18614" s="126"/>
      <c r="G18614" s="126">
        <f t="shared" si="345"/>
        <v>-3635</v>
      </c>
      <c r="H18614" s="705" t="s">
        <v>12380</v>
      </c>
      <c r="J18614" s="40"/>
    </row>
    <row r="18615" spans="1:10" ht="15" x14ac:dyDescent="0.2">
      <c r="A18615" s="734">
        <v>45339</v>
      </c>
      <c r="B18615" s="63" t="s">
        <v>103</v>
      </c>
      <c r="C18615" s="63" t="s">
        <v>8150</v>
      </c>
      <c r="D18615" s="183" t="s">
        <v>6343</v>
      </c>
      <c r="E18615" s="126">
        <v>9800</v>
      </c>
      <c r="F18615" s="126"/>
      <c r="G18615" s="126">
        <f t="shared" si="345"/>
        <v>-9800</v>
      </c>
      <c r="H18615" s="705" t="s">
        <v>12380</v>
      </c>
      <c r="J18615" s="40"/>
    </row>
    <row r="18616" spans="1:10" ht="15" x14ac:dyDescent="0.2">
      <c r="A18616" s="734">
        <v>45339</v>
      </c>
      <c r="B18616" s="63" t="s">
        <v>11093</v>
      </c>
      <c r="C18616" s="63" t="s">
        <v>5741</v>
      </c>
      <c r="D18616" s="183" t="s">
        <v>370</v>
      </c>
      <c r="E18616" s="126">
        <v>1200</v>
      </c>
      <c r="F18616" s="126"/>
      <c r="G18616" s="126">
        <f t="shared" si="345"/>
        <v>-1200</v>
      </c>
      <c r="H18616" s="705" t="s">
        <v>12380</v>
      </c>
      <c r="J18616" s="40"/>
    </row>
    <row r="18617" spans="1:10" ht="15" x14ac:dyDescent="0.2">
      <c r="A18617" s="734">
        <v>45339</v>
      </c>
      <c r="B18617" s="63" t="s">
        <v>11897</v>
      </c>
      <c r="C18617" s="63" t="s">
        <v>11386</v>
      </c>
      <c r="D18617" s="183" t="s">
        <v>12543</v>
      </c>
      <c r="E18617" s="126">
        <v>100000</v>
      </c>
      <c r="F18617" s="126"/>
      <c r="G18617" s="126">
        <f t="shared" ref="G18617:G18618" si="346">F18617-E18617</f>
        <v>-100000</v>
      </c>
      <c r="H18617" s="705" t="s">
        <v>12380</v>
      </c>
      <c r="J18617" s="40"/>
    </row>
    <row r="18618" spans="1:10" ht="15" x14ac:dyDescent="0.2">
      <c r="A18618" s="734">
        <v>45339</v>
      </c>
      <c r="B18618" s="63" t="s">
        <v>11897</v>
      </c>
      <c r="C18618" s="63" t="s">
        <v>12027</v>
      </c>
      <c r="D18618" s="183" t="s">
        <v>12542</v>
      </c>
      <c r="E18618" s="126">
        <v>400000</v>
      </c>
      <c r="F18618" s="126"/>
      <c r="G18618" s="126">
        <f t="shared" si="346"/>
        <v>-400000</v>
      </c>
      <c r="H18618" s="705" t="s">
        <v>12380</v>
      </c>
      <c r="J18618" s="40"/>
    </row>
    <row r="18619" spans="1:10" ht="15" x14ac:dyDescent="0.2">
      <c r="A18619" s="734">
        <v>45339</v>
      </c>
      <c r="B18619" s="63" t="s">
        <v>11089</v>
      </c>
      <c r="C18619" s="63" t="s">
        <v>1198</v>
      </c>
      <c r="D18619" s="183" t="s">
        <v>12544</v>
      </c>
      <c r="E18619" s="126">
        <v>480000</v>
      </c>
      <c r="F18619" s="126"/>
      <c r="G18619" s="126">
        <f t="shared" ref="G18619:G18620" si="347">F18619-E18619</f>
        <v>-480000</v>
      </c>
      <c r="H18619" s="705" t="s">
        <v>12380</v>
      </c>
      <c r="J18619" s="40"/>
    </row>
    <row r="18620" spans="1:10" ht="15" x14ac:dyDescent="0.2">
      <c r="A18620" s="734">
        <v>45339</v>
      </c>
      <c r="B18620" s="63" t="s">
        <v>11089</v>
      </c>
      <c r="C18620" s="63" t="s">
        <v>1198</v>
      </c>
      <c r="D18620" s="183" t="s">
        <v>12544</v>
      </c>
      <c r="E18620" s="126">
        <v>370000</v>
      </c>
      <c r="F18620" s="126"/>
      <c r="G18620" s="126">
        <f t="shared" si="347"/>
        <v>-370000</v>
      </c>
      <c r="H18620" s="705" t="s">
        <v>12380</v>
      </c>
      <c r="J18620" s="40"/>
    </row>
    <row r="18621" spans="1:10" ht="15" x14ac:dyDescent="0.2">
      <c r="A18621" s="734">
        <v>45339</v>
      </c>
      <c r="B18621" s="63" t="s">
        <v>11089</v>
      </c>
      <c r="C18621" s="63" t="s">
        <v>1198</v>
      </c>
      <c r="D18621" s="183" t="s">
        <v>12545</v>
      </c>
      <c r="E18621" s="126">
        <v>704800</v>
      </c>
      <c r="F18621" s="126"/>
      <c r="G18621" s="126">
        <f t="shared" ref="G18621:G18622" si="348">F18621-E18621</f>
        <v>-704800</v>
      </c>
      <c r="H18621" s="705" t="s">
        <v>12380</v>
      </c>
      <c r="J18621" s="40"/>
    </row>
    <row r="18622" spans="1:10" ht="15" x14ac:dyDescent="0.2">
      <c r="A18622" s="734">
        <v>45339</v>
      </c>
      <c r="B18622" s="63" t="s">
        <v>12624</v>
      </c>
      <c r="C18622" s="63" t="s">
        <v>12546</v>
      </c>
      <c r="D18622" s="183" t="s">
        <v>12547</v>
      </c>
      <c r="E18622" s="126">
        <v>40000</v>
      </c>
      <c r="F18622" s="126"/>
      <c r="G18622" s="126">
        <f t="shared" si="348"/>
        <v>-40000</v>
      </c>
      <c r="H18622" s="705" t="s">
        <v>12380</v>
      </c>
      <c r="J18622" s="40"/>
    </row>
    <row r="18623" spans="1:10" ht="15" x14ac:dyDescent="0.2">
      <c r="A18623" s="734">
        <v>45341</v>
      </c>
      <c r="B18623" s="63" t="s">
        <v>11089</v>
      </c>
      <c r="C18623" s="63" t="s">
        <v>5387</v>
      </c>
      <c r="D18623" s="183" t="s">
        <v>370</v>
      </c>
      <c r="E18623" s="126">
        <v>5000</v>
      </c>
      <c r="F18623" s="126"/>
      <c r="G18623" s="126">
        <f t="shared" ref="G18623:G18625" si="349">F18623-E18623</f>
        <v>-5000</v>
      </c>
      <c r="H18623" s="705" t="s">
        <v>12380</v>
      </c>
      <c r="J18623" s="40"/>
    </row>
    <row r="18624" spans="1:10" ht="15" x14ac:dyDescent="0.2">
      <c r="A18624" s="734">
        <v>45341</v>
      </c>
      <c r="B18624" s="63" t="s">
        <v>11093</v>
      </c>
      <c r="C18624" s="63" t="s">
        <v>392</v>
      </c>
      <c r="D18624" s="183" t="s">
        <v>12548</v>
      </c>
      <c r="E18624" s="126">
        <v>7000</v>
      </c>
      <c r="F18624" s="126"/>
      <c r="G18624" s="126">
        <f t="shared" si="349"/>
        <v>-7000</v>
      </c>
      <c r="H18624" s="705" t="s">
        <v>12380</v>
      </c>
      <c r="J18624" s="40"/>
    </row>
    <row r="18625" spans="1:10" ht="15" x14ac:dyDescent="0.2">
      <c r="A18625" s="734">
        <v>45341</v>
      </c>
      <c r="B18625" s="63" t="s">
        <v>103</v>
      </c>
      <c r="C18625" s="63" t="s">
        <v>103</v>
      </c>
      <c r="D18625" s="183" t="s">
        <v>8158</v>
      </c>
      <c r="E18625" s="126">
        <v>1200</v>
      </c>
      <c r="F18625" s="126"/>
      <c r="G18625" s="126">
        <f t="shared" si="349"/>
        <v>-1200</v>
      </c>
      <c r="H18625" s="705" t="s">
        <v>12380</v>
      </c>
      <c r="J18625" s="40"/>
    </row>
    <row r="18626" spans="1:10" ht="15" x14ac:dyDescent="0.2">
      <c r="A18626" s="734">
        <v>45341</v>
      </c>
      <c r="B18626" s="63" t="s">
        <v>12207</v>
      </c>
      <c r="C18626" s="63" t="s">
        <v>11725</v>
      </c>
      <c r="D18626" s="183" t="s">
        <v>12549</v>
      </c>
      <c r="E18626" s="126">
        <v>20180</v>
      </c>
      <c r="F18626" s="126"/>
      <c r="G18626" s="126">
        <f t="shared" ref="G18626:G18634" si="350">F18626-E18626</f>
        <v>-20180</v>
      </c>
      <c r="H18626" s="705" t="s">
        <v>12380</v>
      </c>
      <c r="J18626" s="40"/>
    </row>
    <row r="18627" spans="1:10" ht="15" x14ac:dyDescent="0.2">
      <c r="A18627" s="734">
        <v>45341</v>
      </c>
      <c r="B18627" s="63" t="s">
        <v>11897</v>
      </c>
      <c r="C18627" s="63" t="s">
        <v>11536</v>
      </c>
      <c r="D18627" s="183" t="s">
        <v>12550</v>
      </c>
      <c r="E18627" s="126">
        <v>300000</v>
      </c>
      <c r="F18627" s="126"/>
      <c r="G18627" s="126">
        <f t="shared" si="350"/>
        <v>-300000</v>
      </c>
      <c r="H18627" s="705" t="s">
        <v>12380</v>
      </c>
      <c r="J18627" s="40"/>
    </row>
    <row r="18628" spans="1:10" ht="15" x14ac:dyDescent="0.2">
      <c r="A18628" s="734">
        <v>45341</v>
      </c>
      <c r="B18628" s="63" t="s">
        <v>11093</v>
      </c>
      <c r="C18628" s="551" t="s">
        <v>11752</v>
      </c>
      <c r="D18628" s="740" t="s">
        <v>12551</v>
      </c>
      <c r="E18628" s="552">
        <v>100000</v>
      </c>
      <c r="F18628" s="126"/>
      <c r="G18628" s="126">
        <f t="shared" si="350"/>
        <v>-100000</v>
      </c>
      <c r="H18628" s="705" t="s">
        <v>12380</v>
      </c>
      <c r="J18628" s="40"/>
    </row>
    <row r="18629" spans="1:10" ht="15" x14ac:dyDescent="0.2">
      <c r="A18629" s="734">
        <v>45341</v>
      </c>
      <c r="B18629" s="63" t="s">
        <v>10232</v>
      </c>
      <c r="C18629" s="551" t="s">
        <v>11752</v>
      </c>
      <c r="D18629" s="740" t="s">
        <v>12551</v>
      </c>
      <c r="E18629" s="552">
        <v>528670</v>
      </c>
      <c r="F18629" s="126"/>
      <c r="G18629" s="126">
        <f t="shared" si="350"/>
        <v>-528670</v>
      </c>
      <c r="H18629" s="705" t="s">
        <v>12380</v>
      </c>
      <c r="J18629" s="40"/>
    </row>
    <row r="18630" spans="1:10" ht="15" x14ac:dyDescent="0.2">
      <c r="A18630" s="734">
        <v>45341</v>
      </c>
      <c r="B18630" s="63" t="s">
        <v>11897</v>
      </c>
      <c r="C18630" s="63" t="s">
        <v>10993</v>
      </c>
      <c r="D18630" s="183" t="s">
        <v>12552</v>
      </c>
      <c r="E18630" s="126">
        <v>196890</v>
      </c>
      <c r="F18630" s="126"/>
      <c r="G18630" s="126">
        <f t="shared" si="350"/>
        <v>-196890</v>
      </c>
      <c r="H18630" s="705" t="s">
        <v>12380</v>
      </c>
      <c r="J18630" s="40"/>
    </row>
    <row r="18631" spans="1:10" ht="15" x14ac:dyDescent="0.2">
      <c r="A18631" s="734">
        <v>45341</v>
      </c>
      <c r="B18631" s="63" t="s">
        <v>11897</v>
      </c>
      <c r="C18631" s="63" t="s">
        <v>10993</v>
      </c>
      <c r="D18631" s="183" t="s">
        <v>12553</v>
      </c>
      <c r="E18631" s="126">
        <v>74950</v>
      </c>
      <c r="F18631" s="126"/>
      <c r="G18631" s="126">
        <f t="shared" si="350"/>
        <v>-74950</v>
      </c>
      <c r="H18631" s="705" t="s">
        <v>12380</v>
      </c>
      <c r="J18631" s="40"/>
    </row>
    <row r="18632" spans="1:10" ht="15" x14ac:dyDescent="0.2">
      <c r="A18632" s="734">
        <v>45341</v>
      </c>
      <c r="B18632" s="63" t="s">
        <v>11135</v>
      </c>
      <c r="C18632" s="551" t="s">
        <v>10993</v>
      </c>
      <c r="D18632" s="740" t="s">
        <v>12554</v>
      </c>
      <c r="E18632" s="552">
        <v>80000</v>
      </c>
      <c r="F18632" s="126"/>
      <c r="G18632" s="126">
        <f t="shared" si="350"/>
        <v>-80000</v>
      </c>
      <c r="H18632" s="705" t="s">
        <v>12380</v>
      </c>
      <c r="J18632" s="40"/>
    </row>
    <row r="18633" spans="1:10" ht="15" x14ac:dyDescent="0.2">
      <c r="A18633" s="734">
        <v>45341</v>
      </c>
      <c r="B18633" s="63" t="s">
        <v>11897</v>
      </c>
      <c r="C18633" s="551" t="s">
        <v>10993</v>
      </c>
      <c r="D18633" s="740" t="s">
        <v>12554</v>
      </c>
      <c r="E18633" s="552">
        <v>224620</v>
      </c>
      <c r="F18633" s="126"/>
      <c r="G18633" s="126">
        <f t="shared" si="350"/>
        <v>-224620</v>
      </c>
      <c r="H18633" s="705" t="s">
        <v>12380</v>
      </c>
      <c r="J18633" s="40"/>
    </row>
    <row r="18634" spans="1:10" ht="15" x14ac:dyDescent="0.2">
      <c r="A18634" s="734">
        <v>45341</v>
      </c>
      <c r="B18634" s="63" t="s">
        <v>10908</v>
      </c>
      <c r="C18634" s="63" t="s">
        <v>7223</v>
      </c>
      <c r="D18634" s="183" t="s">
        <v>10721</v>
      </c>
      <c r="E18634" s="126">
        <v>300000</v>
      </c>
      <c r="F18634" s="126"/>
      <c r="G18634" s="126">
        <f t="shared" si="350"/>
        <v>-300000</v>
      </c>
      <c r="H18634" s="705" t="s">
        <v>12380</v>
      </c>
      <c r="J18634" s="40"/>
    </row>
    <row r="18635" spans="1:10" ht="15" x14ac:dyDescent="0.2">
      <c r="A18635" s="734">
        <v>45342</v>
      </c>
      <c r="B18635" s="63" t="s">
        <v>12426</v>
      </c>
      <c r="C18635" s="63" t="s">
        <v>10993</v>
      </c>
      <c r="D18635" s="183" t="s">
        <v>12555</v>
      </c>
      <c r="E18635" s="126">
        <v>700</v>
      </c>
      <c r="F18635" s="126"/>
      <c r="G18635" s="126">
        <f t="shared" ref="G18635:G18642" si="351">F18635-E18635</f>
        <v>-700</v>
      </c>
      <c r="H18635" s="705" t="s">
        <v>12380</v>
      </c>
      <c r="J18635" s="40"/>
    </row>
    <row r="18636" spans="1:10" ht="15" x14ac:dyDescent="0.2">
      <c r="A18636" s="734">
        <v>45342</v>
      </c>
      <c r="B18636" s="63" t="s">
        <v>10908</v>
      </c>
      <c r="C18636" s="63" t="s">
        <v>372</v>
      </c>
      <c r="D18636" s="183" t="s">
        <v>2108</v>
      </c>
      <c r="E18636" s="126">
        <v>1000</v>
      </c>
      <c r="F18636" s="126"/>
      <c r="G18636" s="126">
        <f t="shared" si="351"/>
        <v>-1000</v>
      </c>
      <c r="H18636" s="705" t="s">
        <v>12380</v>
      </c>
      <c r="J18636" s="40"/>
    </row>
    <row r="18637" spans="1:10" ht="15" x14ac:dyDescent="0.2">
      <c r="A18637" s="734">
        <v>45342</v>
      </c>
      <c r="B18637" s="63" t="s">
        <v>10908</v>
      </c>
      <c r="C18637" s="63" t="s">
        <v>5741</v>
      </c>
      <c r="D18637" s="183" t="s">
        <v>370</v>
      </c>
      <c r="E18637" s="126">
        <v>2000</v>
      </c>
      <c r="F18637" s="126"/>
      <c r="G18637" s="126">
        <f t="shared" si="351"/>
        <v>-2000</v>
      </c>
      <c r="H18637" s="705" t="s">
        <v>12380</v>
      </c>
      <c r="J18637" s="40"/>
    </row>
    <row r="18638" spans="1:10" ht="15" x14ac:dyDescent="0.2">
      <c r="A18638" s="734">
        <v>45342</v>
      </c>
      <c r="B18638" s="63" t="s">
        <v>12366</v>
      </c>
      <c r="C18638" s="63" t="s">
        <v>392</v>
      </c>
      <c r="D18638" s="183" t="s">
        <v>12556</v>
      </c>
      <c r="E18638" s="126">
        <v>6000</v>
      </c>
      <c r="F18638" s="126"/>
      <c r="G18638" s="126">
        <f t="shared" si="351"/>
        <v>-6000</v>
      </c>
      <c r="H18638" s="705" t="s">
        <v>12380</v>
      </c>
      <c r="J18638" s="40"/>
    </row>
    <row r="18639" spans="1:10" ht="15" x14ac:dyDescent="0.2">
      <c r="A18639" s="734">
        <v>45342</v>
      </c>
      <c r="B18639" s="63" t="s">
        <v>103</v>
      </c>
      <c r="C18639" s="63" t="s">
        <v>103</v>
      </c>
      <c r="D18639" s="183" t="s">
        <v>12557</v>
      </c>
      <c r="E18639" s="126">
        <v>7000</v>
      </c>
      <c r="F18639" s="126"/>
      <c r="G18639" s="126">
        <f t="shared" si="351"/>
        <v>-7000</v>
      </c>
      <c r="H18639" s="705" t="s">
        <v>12380</v>
      </c>
      <c r="J18639" s="40"/>
    </row>
    <row r="18640" spans="1:10" ht="15" x14ac:dyDescent="0.2">
      <c r="A18640" s="734">
        <v>45342</v>
      </c>
      <c r="B18640" s="63" t="s">
        <v>11093</v>
      </c>
      <c r="C18640" s="63" t="s">
        <v>392</v>
      </c>
      <c r="D18640" s="183" t="s">
        <v>12548</v>
      </c>
      <c r="E18640" s="126">
        <v>3000</v>
      </c>
      <c r="F18640" s="126"/>
      <c r="G18640" s="126">
        <f t="shared" si="351"/>
        <v>-3000</v>
      </c>
      <c r="H18640" s="705" t="s">
        <v>12380</v>
      </c>
      <c r="J18640" s="40"/>
    </row>
    <row r="18641" spans="1:10" ht="15" x14ac:dyDescent="0.2">
      <c r="A18641" s="734">
        <v>45342</v>
      </c>
      <c r="B18641" s="63" t="s">
        <v>12366</v>
      </c>
      <c r="C18641" s="63" t="s">
        <v>5741</v>
      </c>
      <c r="D18641" s="183" t="s">
        <v>10337</v>
      </c>
      <c r="E18641" s="126">
        <v>400</v>
      </c>
      <c r="F18641" s="126"/>
      <c r="G18641" s="126">
        <f t="shared" si="351"/>
        <v>-400</v>
      </c>
      <c r="H18641" s="705" t="s">
        <v>12380</v>
      </c>
      <c r="J18641" s="40"/>
    </row>
    <row r="18642" spans="1:10" ht="15" x14ac:dyDescent="0.2">
      <c r="A18642" s="734">
        <v>45342</v>
      </c>
      <c r="B18642" s="63" t="s">
        <v>103</v>
      </c>
      <c r="C18642" s="63" t="s">
        <v>12502</v>
      </c>
      <c r="D18642" s="183" t="s">
        <v>370</v>
      </c>
      <c r="E18642" s="126">
        <v>1000</v>
      </c>
      <c r="F18642" s="126"/>
      <c r="G18642" s="126">
        <f t="shared" si="351"/>
        <v>-1000</v>
      </c>
      <c r="H18642" s="705" t="s">
        <v>12380</v>
      </c>
      <c r="J18642" s="40"/>
    </row>
    <row r="18643" spans="1:10" ht="15" x14ac:dyDescent="0.2">
      <c r="A18643" s="734">
        <v>45342</v>
      </c>
      <c r="B18643" s="63" t="s">
        <v>12207</v>
      </c>
      <c r="C18643" s="63" t="s">
        <v>392</v>
      </c>
      <c r="D18643" s="183" t="s">
        <v>12558</v>
      </c>
      <c r="E18643" s="126">
        <v>40000</v>
      </c>
      <c r="F18643" s="126"/>
      <c r="G18643" s="126">
        <f t="shared" ref="G18643:G18645" si="352">F18643-E18643</f>
        <v>-40000</v>
      </c>
      <c r="H18643" s="705" t="s">
        <v>12380</v>
      </c>
      <c r="J18643" s="40"/>
    </row>
    <row r="18644" spans="1:10" ht="15" x14ac:dyDescent="0.2">
      <c r="A18644" s="734">
        <v>45342</v>
      </c>
      <c r="B18644" s="63" t="s">
        <v>8559</v>
      </c>
      <c r="C18644" s="63" t="s">
        <v>10993</v>
      </c>
      <c r="D18644" s="183" t="s">
        <v>12561</v>
      </c>
      <c r="E18644" s="126">
        <v>149000</v>
      </c>
      <c r="F18644" s="126"/>
      <c r="G18644" s="126">
        <f t="shared" si="352"/>
        <v>-149000</v>
      </c>
      <c r="H18644" s="705" t="s">
        <v>12380</v>
      </c>
      <c r="J18644" s="40"/>
    </row>
    <row r="18645" spans="1:10" ht="15" x14ac:dyDescent="0.2">
      <c r="A18645" s="734">
        <v>45342</v>
      </c>
      <c r="B18645" s="63" t="s">
        <v>12532</v>
      </c>
      <c r="C18645" s="63" t="s">
        <v>12559</v>
      </c>
      <c r="D18645" s="183" t="s">
        <v>12560</v>
      </c>
      <c r="E18645" s="126">
        <v>300000</v>
      </c>
      <c r="F18645" s="126"/>
      <c r="G18645" s="126">
        <f t="shared" si="352"/>
        <v>-300000</v>
      </c>
      <c r="H18645" s="705" t="s">
        <v>12380</v>
      </c>
      <c r="J18645" s="40"/>
    </row>
    <row r="18646" spans="1:10" ht="15" x14ac:dyDescent="0.2">
      <c r="A18646" s="734">
        <v>45343</v>
      </c>
      <c r="B18646" s="63" t="s">
        <v>11089</v>
      </c>
      <c r="C18646" s="63" t="s">
        <v>10993</v>
      </c>
      <c r="D18646" s="183" t="s">
        <v>12562</v>
      </c>
      <c r="E18646" s="126">
        <v>7300</v>
      </c>
      <c r="F18646" s="126"/>
      <c r="G18646" s="126">
        <f t="shared" ref="G18646:G18651" si="353">F18646-E18646</f>
        <v>-7300</v>
      </c>
      <c r="H18646" s="705" t="s">
        <v>12380</v>
      </c>
      <c r="J18646" s="40"/>
    </row>
    <row r="18647" spans="1:10" ht="15" x14ac:dyDescent="0.2">
      <c r="A18647" s="734">
        <v>45343</v>
      </c>
      <c r="B18647" s="63" t="s">
        <v>8559</v>
      </c>
      <c r="C18647" s="63" t="s">
        <v>10993</v>
      </c>
      <c r="D18647" s="183" t="s">
        <v>12563</v>
      </c>
      <c r="E18647" s="126">
        <v>1100</v>
      </c>
      <c r="F18647" s="126"/>
      <c r="G18647" s="126">
        <f t="shared" si="353"/>
        <v>-1100</v>
      </c>
      <c r="H18647" s="705" t="s">
        <v>12380</v>
      </c>
      <c r="J18647" s="40"/>
    </row>
    <row r="18648" spans="1:10" ht="15" x14ac:dyDescent="0.2">
      <c r="A18648" s="734">
        <v>45343</v>
      </c>
      <c r="B18648" s="63" t="s">
        <v>10908</v>
      </c>
      <c r="C18648" s="63" t="s">
        <v>392</v>
      </c>
      <c r="D18648" s="183" t="s">
        <v>10306</v>
      </c>
      <c r="E18648" s="126">
        <v>1000</v>
      </c>
      <c r="F18648" s="126"/>
      <c r="G18648" s="126">
        <f t="shared" si="353"/>
        <v>-1000</v>
      </c>
      <c r="H18648" s="705" t="s">
        <v>12380</v>
      </c>
      <c r="J18648" s="40"/>
    </row>
    <row r="18649" spans="1:10" ht="15" x14ac:dyDescent="0.2">
      <c r="A18649" s="734">
        <v>45343</v>
      </c>
      <c r="B18649" s="63" t="s">
        <v>12366</v>
      </c>
      <c r="C18649" s="63" t="s">
        <v>5741</v>
      </c>
      <c r="D18649" s="183" t="s">
        <v>12564</v>
      </c>
      <c r="E18649" s="126">
        <v>500</v>
      </c>
      <c r="F18649" s="126"/>
      <c r="G18649" s="126">
        <f t="shared" si="353"/>
        <v>-500</v>
      </c>
      <c r="H18649" s="705" t="s">
        <v>12380</v>
      </c>
      <c r="J18649" s="40"/>
    </row>
    <row r="18650" spans="1:10" ht="15" x14ac:dyDescent="0.2">
      <c r="A18650" s="734">
        <v>45343</v>
      </c>
      <c r="B18650" s="63" t="s">
        <v>12366</v>
      </c>
      <c r="C18650" s="63" t="s">
        <v>5741</v>
      </c>
      <c r="D18650" s="183" t="s">
        <v>370</v>
      </c>
      <c r="E18650" s="126">
        <v>1800</v>
      </c>
      <c r="F18650" s="126"/>
      <c r="G18650" s="126">
        <f t="shared" si="353"/>
        <v>-1800</v>
      </c>
      <c r="H18650" s="705" t="s">
        <v>12380</v>
      </c>
      <c r="J18650" s="40"/>
    </row>
    <row r="18651" spans="1:10" ht="15" x14ac:dyDescent="0.2">
      <c r="A18651" s="734">
        <v>45343</v>
      </c>
      <c r="B18651" s="63" t="s">
        <v>103</v>
      </c>
      <c r="C18651" s="63" t="s">
        <v>103</v>
      </c>
      <c r="D18651" s="183" t="s">
        <v>12557</v>
      </c>
      <c r="E18651" s="126">
        <v>3000</v>
      </c>
      <c r="F18651" s="126"/>
      <c r="G18651" s="126">
        <f t="shared" si="353"/>
        <v>-3000</v>
      </c>
      <c r="H18651" s="705" t="s">
        <v>12380</v>
      </c>
      <c r="J18651" s="40"/>
    </row>
    <row r="18652" spans="1:10" ht="15" x14ac:dyDescent="0.2">
      <c r="A18652" s="734">
        <v>45343</v>
      </c>
      <c r="B18652" s="63" t="s">
        <v>10908</v>
      </c>
      <c r="C18652" s="63" t="s">
        <v>11110</v>
      </c>
      <c r="D18652" s="183" t="s">
        <v>12565</v>
      </c>
      <c r="E18652" s="126">
        <v>275000</v>
      </c>
      <c r="F18652" s="126"/>
      <c r="G18652" s="126">
        <f t="shared" ref="G18652:G18653" si="354">F18652-E18652</f>
        <v>-275000</v>
      </c>
      <c r="H18652" s="705" t="s">
        <v>12380</v>
      </c>
      <c r="J18652" s="40"/>
    </row>
    <row r="18653" spans="1:10" ht="15" x14ac:dyDescent="0.2">
      <c r="A18653" s="734">
        <v>45343</v>
      </c>
      <c r="B18653" s="63" t="s">
        <v>11897</v>
      </c>
      <c r="C18653" s="63" t="s">
        <v>7467</v>
      </c>
      <c r="D18653" s="183" t="s">
        <v>12566</v>
      </c>
      <c r="E18653" s="126">
        <v>1000000</v>
      </c>
      <c r="F18653" s="126"/>
      <c r="G18653" s="126">
        <f t="shared" si="354"/>
        <v>-1000000</v>
      </c>
      <c r="H18653" s="705" t="s">
        <v>12380</v>
      </c>
      <c r="J18653" s="40"/>
    </row>
    <row r="18654" spans="1:10" ht="15" x14ac:dyDescent="0.2">
      <c r="A18654" s="734">
        <v>45344</v>
      </c>
      <c r="B18654" s="63" t="s">
        <v>103</v>
      </c>
      <c r="C18654" s="63" t="s">
        <v>2996</v>
      </c>
      <c r="D18654" s="183" t="s">
        <v>370</v>
      </c>
      <c r="E18654" s="126">
        <v>5330</v>
      </c>
      <c r="F18654" s="126"/>
      <c r="G18654" s="126">
        <f t="shared" ref="G18654:G18656" si="355">F18654-E18654</f>
        <v>-5330</v>
      </c>
      <c r="H18654" s="705" t="s">
        <v>12380</v>
      </c>
      <c r="J18654" s="40"/>
    </row>
    <row r="18655" spans="1:10" ht="15" x14ac:dyDescent="0.2">
      <c r="A18655" s="734">
        <v>45344</v>
      </c>
      <c r="B18655" s="63" t="s">
        <v>8559</v>
      </c>
      <c r="C18655" s="63" t="s">
        <v>205</v>
      </c>
      <c r="D18655" s="183" t="s">
        <v>9919</v>
      </c>
      <c r="E18655" s="126">
        <v>1000</v>
      </c>
      <c r="F18655" s="126"/>
      <c r="G18655" s="126">
        <f t="shared" si="355"/>
        <v>-1000</v>
      </c>
      <c r="H18655" s="705" t="s">
        <v>12380</v>
      </c>
      <c r="J18655" s="40"/>
    </row>
    <row r="18656" spans="1:10" ht="24" x14ac:dyDescent="0.2">
      <c r="A18656" s="734">
        <v>45344</v>
      </c>
      <c r="B18656" s="63" t="s">
        <v>12532</v>
      </c>
      <c r="C18656" s="63" t="s">
        <v>12582</v>
      </c>
      <c r="D18656" s="183" t="s">
        <v>12583</v>
      </c>
      <c r="E18656" s="126">
        <v>2092916</v>
      </c>
      <c r="F18656" s="126"/>
      <c r="G18656" s="126">
        <f t="shared" si="355"/>
        <v>-2092916</v>
      </c>
      <c r="H18656" s="705" t="s">
        <v>12380</v>
      </c>
      <c r="J18656" s="40"/>
    </row>
    <row r="18657" spans="1:10" ht="15" x14ac:dyDescent="0.2">
      <c r="A18657" s="734">
        <v>45345</v>
      </c>
      <c r="B18657" s="63" t="s">
        <v>11089</v>
      </c>
      <c r="C18657" s="63" t="s">
        <v>12567</v>
      </c>
      <c r="D18657" s="183" t="s">
        <v>12568</v>
      </c>
      <c r="E18657" s="126">
        <v>195500</v>
      </c>
      <c r="F18657" s="126"/>
      <c r="G18657" s="126">
        <f t="shared" ref="G18657:G18662" si="356">F18657-E18657</f>
        <v>-195500</v>
      </c>
      <c r="H18657" s="705" t="s">
        <v>12380</v>
      </c>
      <c r="J18657" s="40"/>
    </row>
    <row r="18658" spans="1:10" ht="24" x14ac:dyDescent="0.2">
      <c r="A18658" s="734">
        <v>45345</v>
      </c>
      <c r="B18658" s="63" t="s">
        <v>11089</v>
      </c>
      <c r="C18658" s="63" t="s">
        <v>10993</v>
      </c>
      <c r="D18658" s="183" t="s">
        <v>12569</v>
      </c>
      <c r="E18658" s="126">
        <v>21600</v>
      </c>
      <c r="F18658" s="126"/>
      <c r="G18658" s="126">
        <f t="shared" si="356"/>
        <v>-21600</v>
      </c>
      <c r="H18658" s="705" t="s">
        <v>12380</v>
      </c>
      <c r="J18658" s="40"/>
    </row>
    <row r="18659" spans="1:10" ht="15" x14ac:dyDescent="0.2">
      <c r="A18659" s="734">
        <v>45345</v>
      </c>
      <c r="B18659" s="63" t="s">
        <v>11089</v>
      </c>
      <c r="C18659" s="63" t="s">
        <v>10993</v>
      </c>
      <c r="D18659" s="183" t="s">
        <v>12570</v>
      </c>
      <c r="E18659" s="126">
        <v>78500</v>
      </c>
      <c r="F18659" s="126"/>
      <c r="G18659" s="126">
        <f t="shared" si="356"/>
        <v>-78500</v>
      </c>
      <c r="H18659" s="705" t="s">
        <v>12380</v>
      </c>
      <c r="J18659" s="40"/>
    </row>
    <row r="18660" spans="1:10" ht="15" x14ac:dyDescent="0.2">
      <c r="A18660" s="734">
        <v>45345</v>
      </c>
      <c r="B18660" s="63" t="s">
        <v>11738</v>
      </c>
      <c r="C18660" s="63" t="s">
        <v>10112</v>
      </c>
      <c r="D18660" s="183" t="s">
        <v>12571</v>
      </c>
      <c r="E18660" s="126">
        <v>200000</v>
      </c>
      <c r="F18660" s="126"/>
      <c r="G18660" s="126">
        <f t="shared" si="356"/>
        <v>-200000</v>
      </c>
      <c r="H18660" s="705" t="s">
        <v>12380</v>
      </c>
      <c r="J18660" s="40"/>
    </row>
    <row r="18661" spans="1:10" ht="15" x14ac:dyDescent="0.2">
      <c r="A18661" s="734">
        <v>45345</v>
      </c>
      <c r="B18661" s="63" t="s">
        <v>12532</v>
      </c>
      <c r="C18661" s="63" t="s">
        <v>12559</v>
      </c>
      <c r="D18661" s="183" t="s">
        <v>12572</v>
      </c>
      <c r="E18661" s="126">
        <v>200000</v>
      </c>
      <c r="F18661" s="126"/>
      <c r="G18661" s="126">
        <f t="shared" si="356"/>
        <v>-200000</v>
      </c>
      <c r="H18661" s="705" t="s">
        <v>12380</v>
      </c>
      <c r="J18661" s="40"/>
    </row>
    <row r="18662" spans="1:10" ht="15" x14ac:dyDescent="0.2">
      <c r="A18662" s="734">
        <v>45345</v>
      </c>
      <c r="B18662" s="63" t="s">
        <v>25</v>
      </c>
      <c r="C18662" s="63" t="s">
        <v>8150</v>
      </c>
      <c r="D18662" s="183" t="s">
        <v>6337</v>
      </c>
      <c r="E18662" s="126">
        <v>45290</v>
      </c>
      <c r="F18662" s="126"/>
      <c r="G18662" s="126">
        <f t="shared" si="356"/>
        <v>-45290</v>
      </c>
      <c r="H18662" s="705" t="s">
        <v>12380</v>
      </c>
      <c r="J18662" s="40"/>
    </row>
    <row r="18663" spans="1:10" ht="15" x14ac:dyDescent="0.2">
      <c r="A18663" s="734">
        <v>45345</v>
      </c>
      <c r="B18663" s="63" t="s">
        <v>103</v>
      </c>
      <c r="C18663" s="63" t="s">
        <v>8150</v>
      </c>
      <c r="D18663" s="183" t="s">
        <v>6337</v>
      </c>
      <c r="E18663" s="126">
        <v>17872</v>
      </c>
      <c r="F18663" s="126"/>
      <c r="G18663" s="126">
        <f t="shared" ref="G18663:G18680" si="357">F18663-E18663</f>
        <v>-17872</v>
      </c>
      <c r="H18663" s="705" t="s">
        <v>12380</v>
      </c>
      <c r="J18663" s="40"/>
    </row>
    <row r="18664" spans="1:10" ht="15" x14ac:dyDescent="0.2">
      <c r="A18664" s="734">
        <v>45345</v>
      </c>
      <c r="B18664" s="63" t="s">
        <v>103</v>
      </c>
      <c r="C18664" s="63" t="s">
        <v>103</v>
      </c>
      <c r="D18664" s="183" t="s">
        <v>12557</v>
      </c>
      <c r="E18664" s="126">
        <v>3000</v>
      </c>
      <c r="F18664" s="126"/>
      <c r="G18664" s="126">
        <f t="shared" si="357"/>
        <v>-3000</v>
      </c>
      <c r="H18664" s="705" t="s">
        <v>12380</v>
      </c>
      <c r="J18664" s="40"/>
    </row>
    <row r="18665" spans="1:10" ht="15" x14ac:dyDescent="0.2">
      <c r="A18665" s="734">
        <v>45345</v>
      </c>
      <c r="B18665" s="63" t="s">
        <v>12426</v>
      </c>
      <c r="C18665" s="63" t="s">
        <v>286</v>
      </c>
      <c r="D18665" s="183" t="s">
        <v>9895</v>
      </c>
      <c r="E18665" s="126">
        <v>400</v>
      </c>
      <c r="F18665" s="126"/>
      <c r="G18665" s="126">
        <f t="shared" si="357"/>
        <v>-400</v>
      </c>
      <c r="H18665" s="705" t="s">
        <v>12380</v>
      </c>
      <c r="J18665" s="40"/>
    </row>
    <row r="18666" spans="1:10" ht="15" x14ac:dyDescent="0.2">
      <c r="A18666" s="734">
        <v>45345</v>
      </c>
      <c r="B18666" s="63" t="s">
        <v>10908</v>
      </c>
      <c r="C18666" s="63" t="s">
        <v>286</v>
      </c>
      <c r="D18666" s="183" t="s">
        <v>12599</v>
      </c>
      <c r="E18666" s="126">
        <v>20000</v>
      </c>
      <c r="F18666" s="126"/>
      <c r="G18666" s="126">
        <f t="shared" si="357"/>
        <v>-20000</v>
      </c>
      <c r="H18666" s="705" t="s">
        <v>12380</v>
      </c>
      <c r="J18666" s="40"/>
    </row>
    <row r="18667" spans="1:10" ht="15" x14ac:dyDescent="0.2">
      <c r="A18667" s="734">
        <v>45346</v>
      </c>
      <c r="B18667" s="63" t="s">
        <v>11897</v>
      </c>
      <c r="C18667" s="63" t="s">
        <v>8394</v>
      </c>
      <c r="D18667" s="183" t="s">
        <v>12318</v>
      </c>
      <c r="E18667" s="126">
        <v>500000</v>
      </c>
      <c r="F18667" s="126"/>
      <c r="G18667" s="126">
        <f t="shared" si="357"/>
        <v>-500000</v>
      </c>
      <c r="H18667" s="705" t="s">
        <v>12380</v>
      </c>
      <c r="J18667" s="40"/>
    </row>
    <row r="18668" spans="1:10" ht="15" x14ac:dyDescent="0.2">
      <c r="A18668" s="734">
        <v>45346</v>
      </c>
      <c r="B18668" s="63" t="s">
        <v>10379</v>
      </c>
      <c r="C18668" s="670" t="s">
        <v>256</v>
      </c>
      <c r="D18668" s="907" t="s">
        <v>12584</v>
      </c>
      <c r="E18668" s="672">
        <v>13760</v>
      </c>
      <c r="F18668" s="126"/>
      <c r="G18668" s="126">
        <f t="shared" si="357"/>
        <v>-13760</v>
      </c>
      <c r="H18668" s="705" t="s">
        <v>12380</v>
      </c>
      <c r="J18668" s="40"/>
    </row>
    <row r="18669" spans="1:10" ht="15" x14ac:dyDescent="0.2">
      <c r="A18669" s="734">
        <v>45346</v>
      </c>
      <c r="B18669" s="63" t="s">
        <v>10909</v>
      </c>
      <c r="C18669" s="670" t="s">
        <v>256</v>
      </c>
      <c r="D18669" s="907" t="s">
        <v>12584</v>
      </c>
      <c r="E18669" s="672">
        <v>164280</v>
      </c>
      <c r="F18669" s="126"/>
      <c r="G18669" s="126">
        <f t="shared" ref="G18669:G18671" si="358">F18669-E18669</f>
        <v>-164280</v>
      </c>
      <c r="H18669" s="705" t="s">
        <v>12380</v>
      </c>
      <c r="J18669" s="40"/>
    </row>
    <row r="18670" spans="1:10" ht="15" x14ac:dyDescent="0.2">
      <c r="A18670" s="734">
        <v>45346</v>
      </c>
      <c r="B18670" s="63" t="s">
        <v>11617</v>
      </c>
      <c r="C18670" s="670" t="s">
        <v>256</v>
      </c>
      <c r="D18670" s="907" t="s">
        <v>12584</v>
      </c>
      <c r="E18670" s="672">
        <v>145230</v>
      </c>
      <c r="F18670" s="126"/>
      <c r="G18670" s="126">
        <f t="shared" si="358"/>
        <v>-145230</v>
      </c>
      <c r="H18670" s="705" t="s">
        <v>12380</v>
      </c>
      <c r="J18670" s="40"/>
    </row>
    <row r="18671" spans="1:10" ht="15" x14ac:dyDescent="0.2">
      <c r="A18671" s="734">
        <v>45346</v>
      </c>
      <c r="B18671" s="63" t="s">
        <v>11897</v>
      </c>
      <c r="C18671" s="670" t="s">
        <v>256</v>
      </c>
      <c r="D18671" s="907" t="s">
        <v>12584</v>
      </c>
      <c r="E18671" s="672">
        <v>176730</v>
      </c>
      <c r="F18671" s="126"/>
      <c r="G18671" s="126">
        <f t="shared" si="358"/>
        <v>-176730</v>
      </c>
      <c r="H18671" s="705" t="s">
        <v>12380</v>
      </c>
      <c r="J18671" s="40"/>
    </row>
    <row r="18672" spans="1:10" ht="15" x14ac:dyDescent="0.2">
      <c r="A18672" s="734">
        <v>45347</v>
      </c>
      <c r="B18672" s="63" t="s">
        <v>10908</v>
      </c>
      <c r="C18672" s="63" t="s">
        <v>392</v>
      </c>
      <c r="D18672" s="183" t="s">
        <v>3991</v>
      </c>
      <c r="E18672" s="126">
        <v>5670</v>
      </c>
      <c r="F18672" s="126"/>
      <c r="G18672" s="126">
        <f t="shared" si="357"/>
        <v>-5670</v>
      </c>
      <c r="H18672" s="705" t="s">
        <v>12380</v>
      </c>
      <c r="J18672" s="40"/>
    </row>
    <row r="18673" spans="1:10" ht="15" x14ac:dyDescent="0.2">
      <c r="A18673" s="734">
        <v>45347</v>
      </c>
      <c r="B18673" s="63" t="s">
        <v>8559</v>
      </c>
      <c r="C18673" s="63" t="s">
        <v>10993</v>
      </c>
      <c r="D18673" s="183" t="s">
        <v>5136</v>
      </c>
      <c r="E18673" s="126">
        <v>114974</v>
      </c>
      <c r="F18673" s="126"/>
      <c r="G18673" s="126">
        <f t="shared" si="357"/>
        <v>-114974</v>
      </c>
      <c r="H18673" s="705" t="s">
        <v>12380</v>
      </c>
      <c r="J18673" s="40"/>
    </row>
    <row r="18674" spans="1:10" ht="15" x14ac:dyDescent="0.2">
      <c r="A18674" s="734">
        <v>45347</v>
      </c>
      <c r="B18674" s="63" t="s">
        <v>11089</v>
      </c>
      <c r="C18674" s="63" t="s">
        <v>10993</v>
      </c>
      <c r="D18674" s="183" t="s">
        <v>5136</v>
      </c>
      <c r="E18674" s="126">
        <v>128521</v>
      </c>
      <c r="F18674" s="126"/>
      <c r="G18674" s="126">
        <f t="shared" si="357"/>
        <v>-128521</v>
      </c>
      <c r="H18674" s="705" t="s">
        <v>12380</v>
      </c>
      <c r="J18674" s="40"/>
    </row>
    <row r="18675" spans="1:10" ht="15" x14ac:dyDescent="0.2">
      <c r="A18675" s="734">
        <v>45347</v>
      </c>
      <c r="B18675" s="63" t="s">
        <v>11089</v>
      </c>
      <c r="C18675" s="63" t="s">
        <v>10993</v>
      </c>
      <c r="D18675" s="183" t="s">
        <v>12585</v>
      </c>
      <c r="E18675" s="126">
        <v>16000</v>
      </c>
      <c r="F18675" s="126"/>
      <c r="G18675" s="126">
        <f t="shared" si="357"/>
        <v>-16000</v>
      </c>
      <c r="H18675" s="705" t="s">
        <v>12380</v>
      </c>
      <c r="J18675" s="40"/>
    </row>
    <row r="18676" spans="1:10" ht="15" x14ac:dyDescent="0.2">
      <c r="A18676" s="734">
        <v>45347</v>
      </c>
      <c r="B18676" s="63" t="s">
        <v>103</v>
      </c>
      <c r="C18676" s="63" t="s">
        <v>12586</v>
      </c>
      <c r="D18676" s="183" t="s">
        <v>12587</v>
      </c>
      <c r="E18676" s="126">
        <v>100000</v>
      </c>
      <c r="F18676" s="126"/>
      <c r="G18676" s="126">
        <f t="shared" si="357"/>
        <v>-100000</v>
      </c>
      <c r="H18676" s="705" t="s">
        <v>12380</v>
      </c>
      <c r="J18676" s="40"/>
    </row>
    <row r="18677" spans="1:10" ht="15" x14ac:dyDescent="0.2">
      <c r="A18677" s="734">
        <v>45347</v>
      </c>
      <c r="B18677" s="63" t="s">
        <v>11897</v>
      </c>
      <c r="C18677" s="63" t="s">
        <v>8390</v>
      </c>
      <c r="D18677" s="183" t="s">
        <v>12589</v>
      </c>
      <c r="E18677" s="126">
        <v>33000</v>
      </c>
      <c r="F18677" s="126"/>
      <c r="G18677" s="126">
        <f t="shared" si="357"/>
        <v>-33000</v>
      </c>
      <c r="H18677" s="705" t="s">
        <v>12380</v>
      </c>
      <c r="J18677" s="40"/>
    </row>
    <row r="18678" spans="1:10" ht="15" x14ac:dyDescent="0.2">
      <c r="A18678" s="734">
        <v>45347</v>
      </c>
      <c r="B18678" s="63" t="s">
        <v>9986</v>
      </c>
      <c r="C18678" s="63" t="s">
        <v>6423</v>
      </c>
      <c r="D18678" s="183" t="s">
        <v>12588</v>
      </c>
      <c r="E18678" s="126">
        <v>50000</v>
      </c>
      <c r="F18678" s="126"/>
      <c r="G18678" s="126">
        <f t="shared" si="357"/>
        <v>-50000</v>
      </c>
      <c r="H18678" s="705" t="s">
        <v>12380</v>
      </c>
      <c r="J18678" s="40"/>
    </row>
    <row r="18679" spans="1:10" ht="15" x14ac:dyDescent="0.2">
      <c r="A18679" s="734">
        <v>45348</v>
      </c>
      <c r="B18679" s="63" t="s">
        <v>10232</v>
      </c>
      <c r="C18679" s="63" t="s">
        <v>11748</v>
      </c>
      <c r="D18679" s="183" t="s">
        <v>12590</v>
      </c>
      <c r="E18679" s="126">
        <v>146000</v>
      </c>
      <c r="F18679" s="126"/>
      <c r="G18679" s="126">
        <f t="shared" si="357"/>
        <v>-146000</v>
      </c>
      <c r="H18679" s="705" t="s">
        <v>12380</v>
      </c>
      <c r="J18679" s="40"/>
    </row>
    <row r="18680" spans="1:10" ht="15" x14ac:dyDescent="0.2">
      <c r="A18680" s="734">
        <v>45348</v>
      </c>
      <c r="B18680" s="63" t="s">
        <v>12532</v>
      </c>
      <c r="C18680" s="63" t="s">
        <v>10979</v>
      </c>
      <c r="D18680" s="183" t="s">
        <v>12591</v>
      </c>
      <c r="E18680" s="126">
        <v>135936</v>
      </c>
      <c r="F18680" s="126"/>
      <c r="G18680" s="126">
        <f t="shared" si="357"/>
        <v>-135936</v>
      </c>
      <c r="H18680" s="705" t="s">
        <v>12380</v>
      </c>
      <c r="J18680" s="40"/>
    </row>
    <row r="18681" spans="1:10" ht="15" x14ac:dyDescent="0.2">
      <c r="A18681" s="734">
        <v>45348</v>
      </c>
      <c r="B18681" s="63" t="s">
        <v>3946</v>
      </c>
      <c r="C18681" s="63" t="s">
        <v>392</v>
      </c>
      <c r="D18681" s="183" t="s">
        <v>12592</v>
      </c>
      <c r="E18681" s="126">
        <v>11000</v>
      </c>
      <c r="F18681" s="126"/>
      <c r="G18681" s="126">
        <f t="shared" ref="G18681:G18720" si="359">F18681-E18681</f>
        <v>-11000</v>
      </c>
      <c r="H18681" s="705" t="s">
        <v>12380</v>
      </c>
      <c r="J18681" s="40"/>
    </row>
    <row r="18682" spans="1:10" ht="15" x14ac:dyDescent="0.2">
      <c r="A18682" s="734">
        <v>45348</v>
      </c>
      <c r="B18682" s="63" t="s">
        <v>9409</v>
      </c>
      <c r="C18682" s="63" t="s">
        <v>5741</v>
      </c>
      <c r="D18682" s="183" t="s">
        <v>370</v>
      </c>
      <c r="E18682" s="126">
        <v>5000</v>
      </c>
      <c r="F18682" s="126"/>
      <c r="G18682" s="126">
        <f t="shared" si="359"/>
        <v>-5000</v>
      </c>
      <c r="H18682" s="705" t="s">
        <v>12380</v>
      </c>
      <c r="J18682" s="40"/>
    </row>
    <row r="18683" spans="1:10" ht="15" x14ac:dyDescent="0.2">
      <c r="A18683" s="734">
        <v>45348</v>
      </c>
      <c r="B18683" s="63" t="s">
        <v>11897</v>
      </c>
      <c r="C18683" s="1099" t="s">
        <v>794</v>
      </c>
      <c r="D18683" s="1102" t="s">
        <v>12218</v>
      </c>
      <c r="E18683" s="1101">
        <v>25000</v>
      </c>
      <c r="F18683" s="126"/>
      <c r="G18683" s="126">
        <f t="shared" ref="G18683:G18687" si="360">F18683-E18683</f>
        <v>-25000</v>
      </c>
      <c r="H18683" s="705" t="s">
        <v>12380</v>
      </c>
      <c r="J18683" s="40"/>
    </row>
    <row r="18684" spans="1:10" ht="15" x14ac:dyDescent="0.2">
      <c r="A18684" s="734">
        <v>45348</v>
      </c>
      <c r="B18684" s="63" t="s">
        <v>11089</v>
      </c>
      <c r="C18684" s="1099" t="s">
        <v>794</v>
      </c>
      <c r="D18684" s="1102" t="s">
        <v>12218</v>
      </c>
      <c r="E18684" s="1101">
        <v>25000</v>
      </c>
      <c r="F18684" s="126"/>
      <c r="G18684" s="126">
        <f t="shared" si="360"/>
        <v>-25000</v>
      </c>
      <c r="H18684" s="705" t="s">
        <v>12380</v>
      </c>
      <c r="J18684" s="40"/>
    </row>
    <row r="18685" spans="1:10" ht="15" x14ac:dyDescent="0.2">
      <c r="A18685" s="734">
        <v>45348</v>
      </c>
      <c r="B18685" s="63" t="s">
        <v>10908</v>
      </c>
      <c r="C18685" s="1099" t="s">
        <v>794</v>
      </c>
      <c r="D18685" s="1102" t="s">
        <v>12219</v>
      </c>
      <c r="E18685" s="1101">
        <v>25000</v>
      </c>
      <c r="F18685" s="126"/>
      <c r="G18685" s="126">
        <f t="shared" si="360"/>
        <v>-25000</v>
      </c>
      <c r="H18685" s="705" t="s">
        <v>12380</v>
      </c>
      <c r="J18685" s="40"/>
    </row>
    <row r="18686" spans="1:10" ht="15" x14ac:dyDescent="0.2">
      <c r="A18686" s="734">
        <v>45348</v>
      </c>
      <c r="B18686" s="63" t="s">
        <v>10232</v>
      </c>
      <c r="C18686" s="1099" t="s">
        <v>794</v>
      </c>
      <c r="D18686" s="1102" t="s">
        <v>12219</v>
      </c>
      <c r="E18686" s="1101">
        <v>25000</v>
      </c>
      <c r="F18686" s="126"/>
      <c r="G18686" s="126">
        <f t="shared" si="360"/>
        <v>-25000</v>
      </c>
      <c r="H18686" s="705" t="s">
        <v>12380</v>
      </c>
      <c r="J18686" s="40"/>
    </row>
    <row r="18687" spans="1:10" ht="15" x14ac:dyDescent="0.2">
      <c r="A18687" s="734">
        <v>45348</v>
      </c>
      <c r="B18687" s="63" t="s">
        <v>25</v>
      </c>
      <c r="C18687" s="1099" t="s">
        <v>794</v>
      </c>
      <c r="D18687" s="1102" t="s">
        <v>12220</v>
      </c>
      <c r="E18687" s="1101">
        <v>105000</v>
      </c>
      <c r="F18687" s="126"/>
      <c r="G18687" s="126">
        <f t="shared" si="360"/>
        <v>-105000</v>
      </c>
      <c r="H18687" s="705" t="s">
        <v>12380</v>
      </c>
      <c r="J18687" s="40"/>
    </row>
    <row r="18688" spans="1:10" ht="15" x14ac:dyDescent="0.2">
      <c r="A18688" s="734">
        <v>45348</v>
      </c>
      <c r="B18688" s="1099" t="s">
        <v>11089</v>
      </c>
      <c r="C18688" s="1099" t="s">
        <v>794</v>
      </c>
      <c r="D18688" s="1102" t="s">
        <v>11847</v>
      </c>
      <c r="E18688" s="1101">
        <v>46250</v>
      </c>
      <c r="F18688" s="126"/>
      <c r="G18688" s="126">
        <f t="shared" ref="G18688:G18705" si="361">F18688-E18688</f>
        <v>-46250</v>
      </c>
      <c r="H18688" s="705" t="s">
        <v>12380</v>
      </c>
      <c r="J18688" s="40"/>
    </row>
    <row r="18689" spans="1:10" ht="15" x14ac:dyDescent="0.2">
      <c r="A18689" s="734">
        <v>45348</v>
      </c>
      <c r="B18689" s="1099" t="s">
        <v>11135</v>
      </c>
      <c r="C18689" s="1099" t="s">
        <v>794</v>
      </c>
      <c r="D18689" s="1102" t="s">
        <v>10118</v>
      </c>
      <c r="E18689" s="1101">
        <v>36050</v>
      </c>
      <c r="F18689" s="126"/>
      <c r="G18689" s="126">
        <f t="shared" si="361"/>
        <v>-36050</v>
      </c>
      <c r="H18689" s="705" t="s">
        <v>12380</v>
      </c>
      <c r="J18689" s="40"/>
    </row>
    <row r="18690" spans="1:10" ht="15" x14ac:dyDescent="0.2">
      <c r="A18690" s="734">
        <v>45348</v>
      </c>
      <c r="B18690" s="1099" t="s">
        <v>103</v>
      </c>
      <c r="C18690" s="1099" t="s">
        <v>794</v>
      </c>
      <c r="D18690" s="1102" t="s">
        <v>10137</v>
      </c>
      <c r="E18690" s="1101">
        <v>267000</v>
      </c>
      <c r="F18690" s="126"/>
      <c r="G18690" s="126">
        <f t="shared" si="361"/>
        <v>-267000</v>
      </c>
      <c r="H18690" s="705" t="s">
        <v>12380</v>
      </c>
      <c r="J18690" s="40"/>
    </row>
    <row r="18691" spans="1:10" ht="15" x14ac:dyDescent="0.2">
      <c r="A18691" s="734">
        <v>45348</v>
      </c>
      <c r="B18691" s="1099" t="s">
        <v>8559</v>
      </c>
      <c r="C18691" s="1099" t="s">
        <v>794</v>
      </c>
      <c r="D18691" s="1102" t="s">
        <v>11850</v>
      </c>
      <c r="E18691" s="1101">
        <v>50430</v>
      </c>
      <c r="F18691" s="126"/>
      <c r="G18691" s="126">
        <f t="shared" si="361"/>
        <v>-50430</v>
      </c>
      <c r="H18691" s="705" t="s">
        <v>12380</v>
      </c>
      <c r="J18691" s="40"/>
    </row>
    <row r="18692" spans="1:10" ht="15" x14ac:dyDescent="0.2">
      <c r="A18692" s="734">
        <v>45348</v>
      </c>
      <c r="B18692" s="1099" t="s">
        <v>3946</v>
      </c>
      <c r="C18692" s="1099" t="s">
        <v>794</v>
      </c>
      <c r="D18692" s="1102" t="s">
        <v>12105</v>
      </c>
      <c r="E18692" s="1101">
        <v>131915.94827586209</v>
      </c>
      <c r="F18692" s="126"/>
      <c r="G18692" s="126">
        <f t="shared" si="361"/>
        <v>-131915.94827586209</v>
      </c>
      <c r="H18692" s="705" t="s">
        <v>12380</v>
      </c>
      <c r="J18692" s="40"/>
    </row>
    <row r="18693" spans="1:10" ht="15" x14ac:dyDescent="0.2">
      <c r="A18693" s="734">
        <v>45348</v>
      </c>
      <c r="B18693" s="1099" t="s">
        <v>11135</v>
      </c>
      <c r="C18693" s="1099" t="s">
        <v>794</v>
      </c>
      <c r="D18693" s="1102" t="s">
        <v>12651</v>
      </c>
      <c r="E18693" s="1101">
        <v>88680</v>
      </c>
      <c r="F18693" s="126"/>
      <c r="G18693" s="126">
        <f t="shared" si="361"/>
        <v>-88680</v>
      </c>
      <c r="H18693" s="705" t="s">
        <v>12380</v>
      </c>
      <c r="J18693" s="40"/>
    </row>
    <row r="18694" spans="1:10" ht="15" x14ac:dyDescent="0.2">
      <c r="A18694" s="734">
        <v>45348</v>
      </c>
      <c r="B18694" s="1099" t="s">
        <v>12634</v>
      </c>
      <c r="C18694" s="1099" t="s">
        <v>794</v>
      </c>
      <c r="D18694" s="1102" t="s">
        <v>12652</v>
      </c>
      <c r="E18694" s="1101">
        <v>71890</v>
      </c>
      <c r="F18694" s="126"/>
      <c r="G18694" s="126">
        <f t="shared" si="361"/>
        <v>-71890</v>
      </c>
      <c r="H18694" s="705" t="s">
        <v>12380</v>
      </c>
      <c r="J18694" s="40"/>
    </row>
    <row r="18695" spans="1:10" ht="15" x14ac:dyDescent="0.2">
      <c r="A18695" s="734">
        <v>45348</v>
      </c>
      <c r="B18695" s="1099" t="s">
        <v>10908</v>
      </c>
      <c r="C18695" s="1099" t="s">
        <v>794</v>
      </c>
      <c r="D18695" s="1102" t="s">
        <v>11846</v>
      </c>
      <c r="E18695" s="1101">
        <v>13800</v>
      </c>
      <c r="F18695" s="126"/>
      <c r="G18695" s="126">
        <f t="shared" si="361"/>
        <v>-13800</v>
      </c>
      <c r="H18695" s="705" t="s">
        <v>12380</v>
      </c>
      <c r="J18695" s="40"/>
    </row>
    <row r="18696" spans="1:10" ht="15" x14ac:dyDescent="0.2">
      <c r="A18696" s="734">
        <v>45348</v>
      </c>
      <c r="B18696" s="1099" t="s">
        <v>37</v>
      </c>
      <c r="C18696" s="1099" t="s">
        <v>794</v>
      </c>
      <c r="D18696" s="1102" t="s">
        <v>11845</v>
      </c>
      <c r="E18696" s="1101">
        <v>164698.27586206899</v>
      </c>
      <c r="F18696" s="126"/>
      <c r="G18696" s="126">
        <f t="shared" si="361"/>
        <v>-164698.27586206899</v>
      </c>
      <c r="H18696" s="705" t="s">
        <v>12380</v>
      </c>
      <c r="J18696" s="40"/>
    </row>
    <row r="18697" spans="1:10" ht="15" x14ac:dyDescent="0.2">
      <c r="A18697" s="734">
        <v>45348</v>
      </c>
      <c r="B18697" s="1099" t="s">
        <v>11897</v>
      </c>
      <c r="C18697" s="1099" t="s">
        <v>794</v>
      </c>
      <c r="D18697" s="1102" t="s">
        <v>12418</v>
      </c>
      <c r="E18697" s="1101">
        <v>70000</v>
      </c>
      <c r="F18697" s="126"/>
      <c r="G18697" s="126">
        <f t="shared" si="361"/>
        <v>-70000</v>
      </c>
      <c r="H18697" s="705" t="s">
        <v>12380</v>
      </c>
      <c r="J18697" s="40"/>
    </row>
    <row r="18698" spans="1:10" ht="15" x14ac:dyDescent="0.2">
      <c r="A18698" s="734">
        <v>45348</v>
      </c>
      <c r="B18698" s="1099" t="s">
        <v>10908</v>
      </c>
      <c r="C18698" s="1099" t="s">
        <v>794</v>
      </c>
      <c r="D18698" s="1102" t="s">
        <v>10749</v>
      </c>
      <c r="E18698" s="1101">
        <v>83000</v>
      </c>
      <c r="F18698" s="126"/>
      <c r="G18698" s="126">
        <f t="shared" si="361"/>
        <v>-83000</v>
      </c>
      <c r="H18698" s="705" t="s">
        <v>12380</v>
      </c>
      <c r="J18698" s="40"/>
    </row>
    <row r="18699" spans="1:10" ht="15" x14ac:dyDescent="0.2">
      <c r="A18699" s="734">
        <v>45348</v>
      </c>
      <c r="B18699" s="1099" t="s">
        <v>11089</v>
      </c>
      <c r="C18699" s="1099" t="s">
        <v>794</v>
      </c>
      <c r="D18699" s="1102" t="s">
        <v>10738</v>
      </c>
      <c r="E18699" s="1101">
        <v>20700</v>
      </c>
      <c r="F18699" s="126"/>
      <c r="G18699" s="126">
        <f t="shared" si="361"/>
        <v>-20700</v>
      </c>
      <c r="H18699" s="705" t="s">
        <v>12380</v>
      </c>
      <c r="J18699" s="40"/>
    </row>
    <row r="18700" spans="1:10" ht="15" x14ac:dyDescent="0.2">
      <c r="A18700" s="734">
        <v>45348</v>
      </c>
      <c r="B18700" s="1099" t="s">
        <v>11089</v>
      </c>
      <c r="C18700" s="1099" t="s">
        <v>794</v>
      </c>
      <c r="D18700" s="1102" t="s">
        <v>12654</v>
      </c>
      <c r="E18700" s="1101">
        <v>39100</v>
      </c>
      <c r="F18700" s="126"/>
      <c r="G18700" s="126">
        <f t="shared" si="361"/>
        <v>-39100</v>
      </c>
      <c r="H18700" s="705" t="s">
        <v>12380</v>
      </c>
      <c r="J18700" s="40"/>
    </row>
    <row r="18701" spans="1:10" ht="15" x14ac:dyDescent="0.2">
      <c r="A18701" s="734">
        <v>45348</v>
      </c>
      <c r="B18701" s="1099" t="s">
        <v>11089</v>
      </c>
      <c r="C18701" s="1099" t="s">
        <v>794</v>
      </c>
      <c r="D18701" s="1102" t="s">
        <v>12655</v>
      </c>
      <c r="E18701" s="1101">
        <v>34300</v>
      </c>
      <c r="F18701" s="126"/>
      <c r="G18701" s="126">
        <f t="shared" si="361"/>
        <v>-34300</v>
      </c>
      <c r="H18701" s="705" t="s">
        <v>12380</v>
      </c>
      <c r="J18701" s="40"/>
    </row>
    <row r="18702" spans="1:10" ht="15" x14ac:dyDescent="0.2">
      <c r="A18702" s="734">
        <v>45348</v>
      </c>
      <c r="B18702" s="1099" t="s">
        <v>3945</v>
      </c>
      <c r="C18702" s="1099" t="s">
        <v>794</v>
      </c>
      <c r="D18702" s="1102" t="s">
        <v>12416</v>
      </c>
      <c r="E18702" s="1101">
        <v>140338.36206896551</v>
      </c>
      <c r="F18702" s="126"/>
      <c r="G18702" s="126">
        <f t="shared" si="361"/>
        <v>-140338.36206896551</v>
      </c>
      <c r="H18702" s="705" t="s">
        <v>12380</v>
      </c>
      <c r="J18702" s="40"/>
    </row>
    <row r="18703" spans="1:10" ht="15" x14ac:dyDescent="0.2">
      <c r="A18703" s="734">
        <v>45348</v>
      </c>
      <c r="B18703" s="1099" t="s">
        <v>10908</v>
      </c>
      <c r="C18703" s="1099" t="s">
        <v>794</v>
      </c>
      <c r="D18703" s="1102" t="s">
        <v>12177</v>
      </c>
      <c r="E18703" s="1101">
        <v>57930</v>
      </c>
      <c r="F18703" s="126"/>
      <c r="G18703" s="126">
        <f t="shared" si="361"/>
        <v>-57930</v>
      </c>
      <c r="H18703" s="705" t="s">
        <v>12380</v>
      </c>
      <c r="J18703" s="40"/>
    </row>
    <row r="18704" spans="1:10" ht="15" x14ac:dyDescent="0.2">
      <c r="A18704" s="734">
        <v>45348</v>
      </c>
      <c r="B18704" s="1099" t="s">
        <v>10908</v>
      </c>
      <c r="C18704" s="1099" t="s">
        <v>794</v>
      </c>
      <c r="D18704" s="1102" t="s">
        <v>11881</v>
      </c>
      <c r="E18704" s="1101">
        <v>28500</v>
      </c>
      <c r="F18704" s="126"/>
      <c r="G18704" s="126">
        <f t="shared" si="361"/>
        <v>-28500</v>
      </c>
      <c r="H18704" s="705" t="s">
        <v>12380</v>
      </c>
      <c r="J18704" s="40"/>
    </row>
    <row r="18705" spans="1:10" ht="15" x14ac:dyDescent="0.2">
      <c r="A18705" s="734">
        <v>45348</v>
      </c>
      <c r="B18705" s="1099" t="s">
        <v>11897</v>
      </c>
      <c r="C18705" s="1099" t="s">
        <v>794</v>
      </c>
      <c r="D18705" s="1102" t="s">
        <v>12419</v>
      </c>
      <c r="E18705" s="1101">
        <v>60000</v>
      </c>
      <c r="F18705" s="126"/>
      <c r="G18705" s="126">
        <f t="shared" si="361"/>
        <v>-60000</v>
      </c>
      <c r="H18705" s="705" t="s">
        <v>12380</v>
      </c>
      <c r="J18705" s="40"/>
    </row>
    <row r="18706" spans="1:10" ht="15" x14ac:dyDescent="0.2">
      <c r="A18706" s="734">
        <v>45348</v>
      </c>
      <c r="B18706" s="1099" t="s">
        <v>10908</v>
      </c>
      <c r="C18706" s="1099" t="s">
        <v>794</v>
      </c>
      <c r="D18706" s="1102" t="s">
        <v>11597</v>
      </c>
      <c r="E18706" s="1101">
        <v>40650</v>
      </c>
      <c r="F18706" s="126"/>
      <c r="G18706" s="126">
        <f t="shared" ref="G18706:G18716" si="362">F18706-E18706</f>
        <v>-40650</v>
      </c>
      <c r="H18706" s="705" t="s">
        <v>12380</v>
      </c>
      <c r="J18706" s="40"/>
    </row>
    <row r="18707" spans="1:10" ht="15" x14ac:dyDescent="0.2">
      <c r="A18707" s="734">
        <v>45348</v>
      </c>
      <c r="B18707" s="1099" t="s">
        <v>3946</v>
      </c>
      <c r="C18707" s="1099" t="s">
        <v>794</v>
      </c>
      <c r="D18707" s="1102" t="s">
        <v>12690</v>
      </c>
      <c r="E18707" s="1101">
        <v>28000</v>
      </c>
      <c r="F18707" s="126"/>
      <c r="G18707" s="126">
        <f t="shared" si="362"/>
        <v>-28000</v>
      </c>
      <c r="H18707" s="705" t="s">
        <v>12380</v>
      </c>
      <c r="J18707" s="40"/>
    </row>
    <row r="18708" spans="1:10" ht="15" x14ac:dyDescent="0.2">
      <c r="A18708" s="734">
        <v>45348</v>
      </c>
      <c r="B18708" s="1099" t="s">
        <v>8559</v>
      </c>
      <c r="C18708" s="1099" t="s">
        <v>794</v>
      </c>
      <c r="D18708" s="1102" t="s">
        <v>10747</v>
      </c>
      <c r="E18708" s="1101">
        <v>51750</v>
      </c>
      <c r="F18708" s="126"/>
      <c r="G18708" s="126">
        <f t="shared" si="362"/>
        <v>-51750</v>
      </c>
      <c r="H18708" s="705" t="s">
        <v>12380</v>
      </c>
      <c r="J18708" s="40"/>
    </row>
    <row r="18709" spans="1:10" ht="15" x14ac:dyDescent="0.2">
      <c r="A18709" s="734">
        <v>45348</v>
      </c>
      <c r="B18709" s="1099" t="s">
        <v>11897</v>
      </c>
      <c r="C18709" s="1099" t="s">
        <v>794</v>
      </c>
      <c r="D18709" s="1102" t="s">
        <v>12691</v>
      </c>
      <c r="E18709" s="1101">
        <v>64150</v>
      </c>
      <c r="F18709" s="126"/>
      <c r="G18709" s="126">
        <f t="shared" si="362"/>
        <v>-64150</v>
      </c>
      <c r="H18709" s="705" t="s">
        <v>12380</v>
      </c>
      <c r="J18709" s="40"/>
    </row>
    <row r="18710" spans="1:10" ht="15" x14ac:dyDescent="0.2">
      <c r="A18710" s="734">
        <v>45348</v>
      </c>
      <c r="B18710" s="1099" t="s">
        <v>11738</v>
      </c>
      <c r="C18710" s="1099" t="s">
        <v>794</v>
      </c>
      <c r="D18710" s="1102" t="s">
        <v>12411</v>
      </c>
      <c r="E18710" s="1101">
        <v>678905.17241379316</v>
      </c>
      <c r="F18710" s="126"/>
      <c r="G18710" s="126">
        <f t="shared" si="362"/>
        <v>-678905.17241379316</v>
      </c>
      <c r="H18710" s="705" t="s">
        <v>12380</v>
      </c>
      <c r="J18710" s="40"/>
    </row>
    <row r="18711" spans="1:10" ht="15" x14ac:dyDescent="0.2">
      <c r="A18711" s="734">
        <v>45348</v>
      </c>
      <c r="B18711" s="1099" t="s">
        <v>12532</v>
      </c>
      <c r="C18711" s="1099" t="s">
        <v>794</v>
      </c>
      <c r="D18711" s="1102" t="s">
        <v>11848</v>
      </c>
      <c r="E18711" s="1101">
        <v>76200</v>
      </c>
      <c r="F18711" s="126"/>
      <c r="G18711" s="126">
        <f t="shared" si="362"/>
        <v>-76200</v>
      </c>
      <c r="H18711" s="705" t="s">
        <v>12380</v>
      </c>
      <c r="J18711" s="40"/>
    </row>
    <row r="18712" spans="1:10" ht="15" x14ac:dyDescent="0.2">
      <c r="A18712" s="734">
        <v>45348</v>
      </c>
      <c r="B18712" s="1099" t="s">
        <v>10179</v>
      </c>
      <c r="C18712" s="1099" t="s">
        <v>794</v>
      </c>
      <c r="D18712" s="1102" t="s">
        <v>8431</v>
      </c>
      <c r="E18712" s="1101">
        <v>5000</v>
      </c>
      <c r="F18712" s="126"/>
      <c r="G18712" s="126">
        <f t="shared" si="362"/>
        <v>-5000</v>
      </c>
      <c r="H18712" s="705" t="s">
        <v>12380</v>
      </c>
      <c r="J18712" s="40"/>
    </row>
    <row r="18713" spans="1:10" ht="15" x14ac:dyDescent="0.2">
      <c r="A18713" s="734">
        <v>45348</v>
      </c>
      <c r="B18713" s="1099" t="s">
        <v>11738</v>
      </c>
      <c r="C18713" s="1099" t="s">
        <v>794</v>
      </c>
      <c r="D18713" s="1102" t="s">
        <v>12742</v>
      </c>
      <c r="E18713" s="1101">
        <v>3500</v>
      </c>
      <c r="F18713" s="126"/>
      <c r="G18713" s="126">
        <f t="shared" si="362"/>
        <v>-3500</v>
      </c>
      <c r="H18713" s="705" t="s">
        <v>12380</v>
      </c>
      <c r="J18713" s="40"/>
    </row>
    <row r="18714" spans="1:10" ht="15" x14ac:dyDescent="0.2">
      <c r="A18714" s="734">
        <v>45348</v>
      </c>
      <c r="B18714" s="1099" t="s">
        <v>11738</v>
      </c>
      <c r="C18714" s="1099" t="s">
        <v>794</v>
      </c>
      <c r="D18714" s="1102" t="s">
        <v>12743</v>
      </c>
      <c r="E18714" s="1101">
        <v>32500</v>
      </c>
      <c r="F18714" s="126"/>
      <c r="G18714" s="126">
        <f t="shared" si="362"/>
        <v>-32500</v>
      </c>
      <c r="H18714" s="705" t="s">
        <v>12380</v>
      </c>
      <c r="J18714" s="40"/>
    </row>
    <row r="18715" spans="1:10" ht="15" x14ac:dyDescent="0.2">
      <c r="A18715" s="734">
        <v>45348</v>
      </c>
      <c r="B18715" s="63" t="s">
        <v>11093</v>
      </c>
      <c r="C18715" s="63" t="s">
        <v>10993</v>
      </c>
      <c r="D18715" s="183" t="s">
        <v>12593</v>
      </c>
      <c r="E18715" s="126">
        <v>1350</v>
      </c>
      <c r="F18715" s="126"/>
      <c r="G18715" s="126">
        <f t="shared" si="362"/>
        <v>-1350</v>
      </c>
      <c r="H18715" s="705" t="s">
        <v>12380</v>
      </c>
      <c r="J18715" s="40"/>
    </row>
    <row r="18716" spans="1:10" ht="15" x14ac:dyDescent="0.2">
      <c r="A18716" s="734">
        <v>45348</v>
      </c>
      <c r="B18716" s="63" t="s">
        <v>11897</v>
      </c>
      <c r="C18716" s="63" t="s">
        <v>10993</v>
      </c>
      <c r="D18716" s="183" t="s">
        <v>11268</v>
      </c>
      <c r="E18716" s="126">
        <v>3450</v>
      </c>
      <c r="F18716" s="126"/>
      <c r="G18716" s="126">
        <f t="shared" si="362"/>
        <v>-3450</v>
      </c>
      <c r="H18716" s="705" t="s">
        <v>12380</v>
      </c>
      <c r="J18716" s="40"/>
    </row>
    <row r="18717" spans="1:10" ht="15" x14ac:dyDescent="0.2">
      <c r="A18717" s="734">
        <v>45348</v>
      </c>
      <c r="B18717" s="63" t="s">
        <v>10908</v>
      </c>
      <c r="C18717" s="63" t="s">
        <v>10993</v>
      </c>
      <c r="D18717" s="183" t="s">
        <v>12594</v>
      </c>
      <c r="E18717" s="126">
        <v>1950</v>
      </c>
      <c r="F18717" s="126"/>
      <c r="G18717" s="126">
        <f t="shared" si="359"/>
        <v>-1950</v>
      </c>
      <c r="H18717" s="705" t="s">
        <v>12380</v>
      </c>
      <c r="J18717" s="40"/>
    </row>
    <row r="18718" spans="1:10" ht="15" x14ac:dyDescent="0.2">
      <c r="A18718" s="734">
        <v>45348</v>
      </c>
      <c r="B18718" s="63" t="s">
        <v>103</v>
      </c>
      <c r="C18718" s="63" t="s">
        <v>103</v>
      </c>
      <c r="D18718" s="183" t="s">
        <v>12557</v>
      </c>
      <c r="E18718" s="126">
        <v>5500</v>
      </c>
      <c r="F18718" s="126"/>
      <c r="G18718" s="126">
        <f t="shared" si="359"/>
        <v>-5500</v>
      </c>
      <c r="H18718" s="705" t="s">
        <v>12380</v>
      </c>
      <c r="J18718" s="40"/>
    </row>
    <row r="18719" spans="1:10" ht="15" x14ac:dyDescent="0.2">
      <c r="A18719" s="734">
        <v>45349</v>
      </c>
      <c r="B18719" s="63" t="s">
        <v>8559</v>
      </c>
      <c r="C18719" s="63" t="s">
        <v>12595</v>
      </c>
      <c r="D18719" s="183" t="s">
        <v>12596</v>
      </c>
      <c r="E18719" s="126">
        <v>30000</v>
      </c>
      <c r="F18719" s="126"/>
      <c r="G18719" s="126">
        <f t="shared" si="359"/>
        <v>-30000</v>
      </c>
      <c r="H18719" s="705" t="s">
        <v>12380</v>
      </c>
      <c r="J18719" s="40"/>
    </row>
    <row r="18720" spans="1:10" ht="48" x14ac:dyDescent="0.2">
      <c r="A18720" s="734">
        <v>45349</v>
      </c>
      <c r="B18720" s="63" t="s">
        <v>10908</v>
      </c>
      <c r="C18720" s="63" t="s">
        <v>10853</v>
      </c>
      <c r="D18720" s="183" t="s">
        <v>12597</v>
      </c>
      <c r="E18720" s="126">
        <v>200000</v>
      </c>
      <c r="F18720" s="126"/>
      <c r="G18720" s="126">
        <f t="shared" si="359"/>
        <v>-200000</v>
      </c>
      <c r="H18720" s="705" t="s">
        <v>12380</v>
      </c>
      <c r="J18720" s="40"/>
    </row>
    <row r="18721" spans="1:10" ht="15" x14ac:dyDescent="0.2">
      <c r="A18721" s="734">
        <v>45349</v>
      </c>
      <c r="B18721" s="63" t="s">
        <v>10363</v>
      </c>
      <c r="C18721" s="63" t="s">
        <v>8372</v>
      </c>
      <c r="D18721" s="183" t="s">
        <v>370</v>
      </c>
      <c r="E18721" s="126">
        <v>7600</v>
      </c>
      <c r="F18721" s="126"/>
      <c r="G18721" s="126">
        <f t="shared" ref="G18721:G18725" si="363">F18721-E18721</f>
        <v>-7600</v>
      </c>
      <c r="H18721" s="705" t="s">
        <v>12380</v>
      </c>
      <c r="J18721" s="40"/>
    </row>
    <row r="18722" spans="1:10" ht="15" x14ac:dyDescent="0.2">
      <c r="A18722" s="734">
        <v>45349</v>
      </c>
      <c r="B18722" s="63" t="s">
        <v>11089</v>
      </c>
      <c r="C18722" s="63" t="s">
        <v>11633</v>
      </c>
      <c r="D18722" s="183" t="s">
        <v>12612</v>
      </c>
      <c r="E18722" s="126">
        <v>6500</v>
      </c>
      <c r="F18722" s="126"/>
      <c r="G18722" s="126">
        <f t="shared" si="363"/>
        <v>-6500</v>
      </c>
      <c r="H18722" s="705" t="s">
        <v>12380</v>
      </c>
      <c r="J18722" s="40"/>
    </row>
    <row r="18723" spans="1:10" ht="15" x14ac:dyDescent="0.2">
      <c r="A18723" s="734">
        <v>45349</v>
      </c>
      <c r="B18723" s="63" t="s">
        <v>11897</v>
      </c>
      <c r="C18723" s="63" t="s">
        <v>7467</v>
      </c>
      <c r="D18723" s="183" t="s">
        <v>11315</v>
      </c>
      <c r="E18723" s="126">
        <v>1000000</v>
      </c>
      <c r="F18723" s="126"/>
      <c r="G18723" s="126">
        <f t="shared" si="363"/>
        <v>-1000000</v>
      </c>
      <c r="H18723" s="705" t="s">
        <v>12380</v>
      </c>
      <c r="J18723" s="40"/>
    </row>
    <row r="18724" spans="1:10" ht="15" x14ac:dyDescent="0.2">
      <c r="A18724" s="734">
        <v>45349</v>
      </c>
      <c r="B18724" s="63" t="s">
        <v>11897</v>
      </c>
      <c r="C18724" s="63" t="s">
        <v>10858</v>
      </c>
      <c r="D18724" s="183" t="s">
        <v>12614</v>
      </c>
      <c r="E18724" s="126">
        <v>1333000</v>
      </c>
      <c r="F18724" s="126"/>
      <c r="G18724" s="126">
        <f t="shared" si="363"/>
        <v>-1333000</v>
      </c>
      <c r="H18724" s="705" t="s">
        <v>12380</v>
      </c>
      <c r="J18724" s="40"/>
    </row>
    <row r="18725" spans="1:10" ht="15" x14ac:dyDescent="0.2">
      <c r="A18725" s="734">
        <v>45349</v>
      </c>
      <c r="B18725" s="63" t="s">
        <v>12366</v>
      </c>
      <c r="C18725" s="63" t="s">
        <v>11099</v>
      </c>
      <c r="D18725" s="183" t="s">
        <v>10721</v>
      </c>
      <c r="E18725" s="126">
        <v>50000</v>
      </c>
      <c r="F18725" s="126"/>
      <c r="G18725" s="126">
        <f t="shared" si="363"/>
        <v>-50000</v>
      </c>
      <c r="H18725" s="705" t="s">
        <v>12380</v>
      </c>
      <c r="J18725" s="40"/>
    </row>
    <row r="18726" spans="1:10" ht="15" x14ac:dyDescent="0.2">
      <c r="A18726" s="734">
        <v>45350</v>
      </c>
      <c r="B18726" s="63" t="s">
        <v>8876</v>
      </c>
      <c r="C18726" s="63" t="s">
        <v>392</v>
      </c>
      <c r="D18726" s="183" t="s">
        <v>12615</v>
      </c>
      <c r="E18726" s="126">
        <v>6000</v>
      </c>
      <c r="F18726" s="126"/>
      <c r="G18726" s="126">
        <f t="shared" ref="G18726:G18732" si="364">F18726-E18726</f>
        <v>-6000</v>
      </c>
      <c r="H18726" s="705" t="s">
        <v>12380</v>
      </c>
      <c r="J18726" s="40"/>
    </row>
    <row r="18727" spans="1:10" ht="15" x14ac:dyDescent="0.2">
      <c r="A18727" s="734">
        <v>45350</v>
      </c>
      <c r="B18727" s="63" t="s">
        <v>37</v>
      </c>
      <c r="C18727" s="63" t="s">
        <v>392</v>
      </c>
      <c r="D18727" s="183" t="s">
        <v>12616</v>
      </c>
      <c r="E18727" s="126">
        <v>5000</v>
      </c>
      <c r="F18727" s="126"/>
      <c r="G18727" s="126">
        <f t="shared" si="364"/>
        <v>-5000</v>
      </c>
      <c r="H18727" s="705" t="s">
        <v>12380</v>
      </c>
      <c r="J18727" s="40"/>
    </row>
    <row r="18728" spans="1:10" ht="15" x14ac:dyDescent="0.2">
      <c r="A18728" s="734">
        <v>45350</v>
      </c>
      <c r="B18728" s="63" t="s">
        <v>11635</v>
      </c>
      <c r="C18728" s="63" t="s">
        <v>392</v>
      </c>
      <c r="D18728" s="183" t="s">
        <v>12617</v>
      </c>
      <c r="E18728" s="126">
        <v>5000</v>
      </c>
      <c r="F18728" s="126"/>
      <c r="G18728" s="126">
        <f t="shared" si="364"/>
        <v>-5000</v>
      </c>
      <c r="H18728" s="705" t="s">
        <v>12380</v>
      </c>
      <c r="J18728" s="40"/>
    </row>
    <row r="18729" spans="1:10" ht="15" x14ac:dyDescent="0.2">
      <c r="A18729" s="734">
        <v>45350</v>
      </c>
      <c r="B18729" s="63" t="s">
        <v>10151</v>
      </c>
      <c r="C18729" s="63" t="s">
        <v>392</v>
      </c>
      <c r="D18729" s="183" t="s">
        <v>12618</v>
      </c>
      <c r="E18729" s="126">
        <v>5500</v>
      </c>
      <c r="F18729" s="126"/>
      <c r="G18729" s="126">
        <f t="shared" si="364"/>
        <v>-5500</v>
      </c>
      <c r="H18729" s="705" t="s">
        <v>12380</v>
      </c>
      <c r="J18729" s="40"/>
    </row>
    <row r="18730" spans="1:10" ht="15" x14ac:dyDescent="0.2">
      <c r="A18730" s="734">
        <v>45350</v>
      </c>
      <c r="B18730" s="63" t="s">
        <v>11089</v>
      </c>
      <c r="C18730" s="63" t="s">
        <v>392</v>
      </c>
      <c r="D18730" s="183" t="s">
        <v>12619</v>
      </c>
      <c r="E18730" s="126">
        <v>12000</v>
      </c>
      <c r="F18730" s="126"/>
      <c r="G18730" s="126">
        <f t="shared" si="364"/>
        <v>-12000</v>
      </c>
      <c r="H18730" s="705" t="s">
        <v>12380</v>
      </c>
      <c r="J18730" s="40"/>
    </row>
    <row r="18731" spans="1:10" ht="15" x14ac:dyDescent="0.2">
      <c r="A18731" s="734">
        <v>45350</v>
      </c>
      <c r="B18731" s="63" t="s">
        <v>103</v>
      </c>
      <c r="C18731" s="63" t="s">
        <v>392</v>
      </c>
      <c r="D18731" s="183" t="s">
        <v>12620</v>
      </c>
      <c r="E18731" s="126">
        <v>3150</v>
      </c>
      <c r="F18731" s="126"/>
      <c r="G18731" s="126">
        <f t="shared" si="364"/>
        <v>-3150</v>
      </c>
      <c r="H18731" s="705" t="s">
        <v>12380</v>
      </c>
      <c r="J18731" s="40"/>
    </row>
    <row r="18732" spans="1:10" ht="15" x14ac:dyDescent="0.2">
      <c r="A18732" s="734">
        <v>45350</v>
      </c>
      <c r="B18732" s="63" t="s">
        <v>12532</v>
      </c>
      <c r="C18732" s="63" t="s">
        <v>392</v>
      </c>
      <c r="D18732" s="183" t="s">
        <v>12621</v>
      </c>
      <c r="E18732" s="126">
        <v>13000</v>
      </c>
      <c r="F18732" s="126"/>
      <c r="G18732" s="126">
        <f t="shared" si="364"/>
        <v>-13000</v>
      </c>
      <c r="H18732" s="705" t="s">
        <v>12380</v>
      </c>
      <c r="J18732" s="40"/>
    </row>
    <row r="18733" spans="1:10" ht="15" x14ac:dyDescent="0.2">
      <c r="A18733" s="734">
        <v>45350</v>
      </c>
      <c r="B18733" s="63" t="s">
        <v>103</v>
      </c>
      <c r="C18733" s="63" t="s">
        <v>5741</v>
      </c>
      <c r="D18733" s="183" t="s">
        <v>10337</v>
      </c>
      <c r="E18733" s="126">
        <v>250</v>
      </c>
      <c r="F18733" s="126"/>
      <c r="G18733" s="126">
        <f t="shared" ref="G18733:G18738" si="365">F18733-E18733</f>
        <v>-250</v>
      </c>
      <c r="H18733" s="705" t="s">
        <v>12380</v>
      </c>
      <c r="J18733" s="40"/>
    </row>
    <row r="18734" spans="1:10" ht="15" x14ac:dyDescent="0.2">
      <c r="A18734" s="734">
        <v>45350</v>
      </c>
      <c r="B18734" s="63" t="s">
        <v>103</v>
      </c>
      <c r="C18734" s="63" t="s">
        <v>103</v>
      </c>
      <c r="D18734" s="183" t="s">
        <v>12557</v>
      </c>
      <c r="E18734" s="126">
        <v>1000</v>
      </c>
      <c r="F18734" s="126"/>
      <c r="G18734" s="126">
        <f t="shared" si="365"/>
        <v>-1000</v>
      </c>
      <c r="H18734" s="705" t="s">
        <v>12380</v>
      </c>
      <c r="J18734" s="40"/>
    </row>
    <row r="18735" spans="1:10" ht="15" x14ac:dyDescent="0.2">
      <c r="A18735" s="734">
        <v>45350</v>
      </c>
      <c r="B18735" s="63" t="s">
        <v>11897</v>
      </c>
      <c r="C18735" s="63" t="s">
        <v>11386</v>
      </c>
      <c r="D18735" s="183" t="s">
        <v>10721</v>
      </c>
      <c r="E18735" s="126">
        <v>70000</v>
      </c>
      <c r="F18735" s="126"/>
      <c r="G18735" s="126">
        <f t="shared" si="365"/>
        <v>-70000</v>
      </c>
      <c r="H18735" s="705" t="s">
        <v>12380</v>
      </c>
      <c r="J18735" s="40"/>
    </row>
    <row r="18736" spans="1:10" ht="15" x14ac:dyDescent="0.2">
      <c r="A18736" s="734">
        <v>45350</v>
      </c>
      <c r="B18736" s="63" t="s">
        <v>11897</v>
      </c>
      <c r="C18736" s="63" t="s">
        <v>11386</v>
      </c>
      <c r="D18736" s="183" t="s">
        <v>10721</v>
      </c>
      <c r="E18736" s="126">
        <v>130000</v>
      </c>
      <c r="F18736" s="126"/>
      <c r="G18736" s="126">
        <f t="shared" si="365"/>
        <v>-130000</v>
      </c>
      <c r="H18736" s="705" t="s">
        <v>12380</v>
      </c>
      <c r="J18736" s="40"/>
    </row>
    <row r="18737" spans="1:10" ht="15" x14ac:dyDescent="0.2">
      <c r="A18737" s="734">
        <v>45350</v>
      </c>
      <c r="B18737" s="63" t="s">
        <v>10908</v>
      </c>
      <c r="C18737" s="63" t="s">
        <v>10993</v>
      </c>
      <c r="D18737" s="183" t="s">
        <v>12461</v>
      </c>
      <c r="E18737" s="126">
        <v>54400</v>
      </c>
      <c r="F18737" s="126"/>
      <c r="G18737" s="126">
        <f t="shared" si="365"/>
        <v>-54400</v>
      </c>
      <c r="H18737" s="705" t="s">
        <v>12380</v>
      </c>
      <c r="J18737" s="40"/>
    </row>
    <row r="18738" spans="1:10" ht="15" x14ac:dyDescent="0.2">
      <c r="A18738" s="734">
        <v>45350</v>
      </c>
      <c r="B18738" s="63" t="s">
        <v>11089</v>
      </c>
      <c r="C18738" s="63" t="s">
        <v>11725</v>
      </c>
      <c r="D18738" s="183" t="s">
        <v>12461</v>
      </c>
      <c r="E18738" s="126">
        <v>100000</v>
      </c>
      <c r="F18738" s="126"/>
      <c r="G18738" s="126">
        <f t="shared" si="365"/>
        <v>-100000</v>
      </c>
      <c r="H18738" s="705" t="s">
        <v>12380</v>
      </c>
      <c r="J18738" s="40"/>
    </row>
    <row r="18739" spans="1:10" ht="15" x14ac:dyDescent="0.2">
      <c r="A18739" s="734">
        <v>45351</v>
      </c>
      <c r="B18739" s="63" t="s">
        <v>11897</v>
      </c>
      <c r="C18739" s="63" t="s">
        <v>11029</v>
      </c>
      <c r="D18739" s="183" t="s">
        <v>12628</v>
      </c>
      <c r="E18739" s="126">
        <v>100000</v>
      </c>
      <c r="F18739" s="126"/>
      <c r="G18739" s="126">
        <f t="shared" ref="G18739:G18740" si="366">F18739-E18739</f>
        <v>-100000</v>
      </c>
      <c r="H18739" s="705" t="s">
        <v>12380</v>
      </c>
      <c r="J18739" s="40"/>
    </row>
    <row r="18740" spans="1:10" ht="24" x14ac:dyDescent="0.2">
      <c r="A18740" s="734">
        <v>45351</v>
      </c>
      <c r="B18740" s="63" t="s">
        <v>10151</v>
      </c>
      <c r="C18740" s="63" t="s">
        <v>12627</v>
      </c>
      <c r="D18740" s="183" t="s">
        <v>12629</v>
      </c>
      <c r="E18740" s="126">
        <v>70000</v>
      </c>
      <c r="F18740" s="126"/>
      <c r="G18740" s="126">
        <f t="shared" si="366"/>
        <v>-70000</v>
      </c>
      <c r="H18740" s="705" t="s">
        <v>12380</v>
      </c>
      <c r="J18740" s="40"/>
    </row>
    <row r="18741" spans="1:10" ht="15" x14ac:dyDescent="0.2">
      <c r="A18741" s="734">
        <v>45351</v>
      </c>
      <c r="B18741" s="63" t="s">
        <v>103</v>
      </c>
      <c r="C18741" s="63" t="s">
        <v>103</v>
      </c>
      <c r="D18741" s="183" t="s">
        <v>12557</v>
      </c>
      <c r="E18741" s="126">
        <v>7000</v>
      </c>
      <c r="F18741" s="126"/>
      <c r="G18741" s="126">
        <f t="shared" ref="G18741:G18757" si="367">F18741-E18741</f>
        <v>-7000</v>
      </c>
      <c r="H18741" s="705" t="s">
        <v>12380</v>
      </c>
      <c r="J18741" s="40"/>
    </row>
    <row r="18742" spans="1:10" ht="15" x14ac:dyDescent="0.2">
      <c r="A18742" s="734">
        <v>45351</v>
      </c>
      <c r="B18742" s="63" t="s">
        <v>11089</v>
      </c>
      <c r="C18742" s="63" t="s">
        <v>5741</v>
      </c>
      <c r="D18742" s="183" t="s">
        <v>370</v>
      </c>
      <c r="E18742" s="126">
        <v>3000</v>
      </c>
      <c r="F18742" s="126"/>
      <c r="G18742" s="126">
        <f t="shared" si="367"/>
        <v>-3000</v>
      </c>
      <c r="H18742" s="705" t="s">
        <v>12380</v>
      </c>
      <c r="J18742" s="40"/>
    </row>
    <row r="18743" spans="1:10" ht="15" x14ac:dyDescent="0.2">
      <c r="A18743" s="734">
        <v>45351</v>
      </c>
      <c r="B18743" s="63" t="s">
        <v>12510</v>
      </c>
      <c r="C18743" s="63" t="s">
        <v>392</v>
      </c>
      <c r="D18743" s="183" t="s">
        <v>12630</v>
      </c>
      <c r="E18743" s="126">
        <v>450</v>
      </c>
      <c r="F18743" s="126"/>
      <c r="G18743" s="126">
        <f t="shared" si="367"/>
        <v>-450</v>
      </c>
      <c r="H18743" s="705" t="s">
        <v>12380</v>
      </c>
      <c r="J18743" s="40"/>
    </row>
    <row r="18744" spans="1:10" ht="15" x14ac:dyDescent="0.2">
      <c r="A18744" s="734">
        <v>45351</v>
      </c>
      <c r="B18744" s="63" t="s">
        <v>10908</v>
      </c>
      <c r="C18744" s="63" t="s">
        <v>10993</v>
      </c>
      <c r="D18744" s="183" t="s">
        <v>12631</v>
      </c>
      <c r="E18744" s="126">
        <v>17400</v>
      </c>
      <c r="F18744" s="126"/>
      <c r="G18744" s="126">
        <f t="shared" si="367"/>
        <v>-17400</v>
      </c>
      <c r="H18744" s="705" t="s">
        <v>12380</v>
      </c>
      <c r="J18744" s="40"/>
    </row>
    <row r="18745" spans="1:10" ht="15" x14ac:dyDescent="0.2">
      <c r="A18745" s="734">
        <v>45351</v>
      </c>
      <c r="B18745" s="63" t="s">
        <v>10363</v>
      </c>
      <c r="C18745" s="63" t="s">
        <v>10993</v>
      </c>
      <c r="D18745" s="183" t="s">
        <v>12632</v>
      </c>
      <c r="E18745" s="126">
        <v>9500</v>
      </c>
      <c r="F18745" s="126"/>
      <c r="G18745" s="126">
        <f t="shared" si="367"/>
        <v>-9500</v>
      </c>
      <c r="H18745" s="705" t="s">
        <v>12380</v>
      </c>
      <c r="J18745" s="40"/>
    </row>
    <row r="18746" spans="1:10" ht="15" x14ac:dyDescent="0.2">
      <c r="A18746" s="734">
        <v>45351</v>
      </c>
      <c r="B18746" s="63" t="s">
        <v>10908</v>
      </c>
      <c r="C18746" s="63" t="s">
        <v>286</v>
      </c>
      <c r="D18746" s="183" t="s">
        <v>12633</v>
      </c>
      <c r="E18746" s="126">
        <v>1000</v>
      </c>
      <c r="F18746" s="126"/>
      <c r="G18746" s="126">
        <f t="shared" si="367"/>
        <v>-1000</v>
      </c>
      <c r="H18746" s="705" t="s">
        <v>12380</v>
      </c>
      <c r="J18746" s="40"/>
    </row>
    <row r="18747" spans="1:10" ht="15" x14ac:dyDescent="0.2">
      <c r="A18747" s="734">
        <v>45351</v>
      </c>
      <c r="B18747" s="63" t="s">
        <v>12634</v>
      </c>
      <c r="C18747" s="63" t="s">
        <v>4008</v>
      </c>
      <c r="D18747" s="183" t="s">
        <v>12635</v>
      </c>
      <c r="E18747" s="126">
        <v>50000</v>
      </c>
      <c r="F18747" s="126"/>
      <c r="G18747" s="126">
        <f t="shared" si="367"/>
        <v>-50000</v>
      </c>
      <c r="H18747" s="705" t="s">
        <v>12380</v>
      </c>
      <c r="J18747" s="40"/>
    </row>
    <row r="18748" spans="1:10" ht="15" x14ac:dyDescent="0.2">
      <c r="A18748" s="734">
        <v>45351</v>
      </c>
      <c r="B18748" s="63" t="s">
        <v>12634</v>
      </c>
      <c r="C18748" s="63" t="s">
        <v>392</v>
      </c>
      <c r="D18748" s="183" t="s">
        <v>12636</v>
      </c>
      <c r="E18748" s="126">
        <v>10000</v>
      </c>
      <c r="F18748" s="126"/>
      <c r="G18748" s="126">
        <f t="shared" si="367"/>
        <v>-10000</v>
      </c>
      <c r="H18748" s="705" t="s">
        <v>12380</v>
      </c>
      <c r="J18748" s="40"/>
    </row>
    <row r="18749" spans="1:10" ht="15" x14ac:dyDescent="0.2">
      <c r="A18749" s="734">
        <v>45351</v>
      </c>
      <c r="B18749" s="63" t="s">
        <v>12634</v>
      </c>
      <c r="C18749" s="63" t="s">
        <v>286</v>
      </c>
      <c r="D18749" s="183" t="s">
        <v>12637</v>
      </c>
      <c r="E18749" s="126">
        <v>5000</v>
      </c>
      <c r="F18749" s="126"/>
      <c r="G18749" s="126">
        <f t="shared" si="367"/>
        <v>-5000</v>
      </c>
      <c r="H18749" s="705" t="s">
        <v>12380</v>
      </c>
      <c r="J18749" s="40"/>
    </row>
    <row r="18750" spans="1:10" ht="15" x14ac:dyDescent="0.2">
      <c r="A18750" s="734">
        <v>45351</v>
      </c>
      <c r="B18750" s="63" t="s">
        <v>11897</v>
      </c>
      <c r="C18750" s="63" t="s">
        <v>392</v>
      </c>
      <c r="D18750" s="183" t="s">
        <v>12638</v>
      </c>
      <c r="E18750" s="126">
        <v>1000</v>
      </c>
      <c r="F18750" s="126"/>
      <c r="G18750" s="126">
        <f t="shared" si="367"/>
        <v>-1000</v>
      </c>
      <c r="H18750" s="705" t="s">
        <v>12380</v>
      </c>
      <c r="J18750" s="40"/>
    </row>
    <row r="18751" spans="1:10" ht="15" x14ac:dyDescent="0.2">
      <c r="A18751" s="734">
        <v>45351</v>
      </c>
      <c r="B18751" s="63" t="s">
        <v>11897</v>
      </c>
      <c r="C18751" s="63" t="s">
        <v>5741</v>
      </c>
      <c r="D18751" s="183" t="s">
        <v>370</v>
      </c>
      <c r="E18751" s="126">
        <v>270</v>
      </c>
      <c r="F18751" s="126"/>
      <c r="G18751" s="126">
        <f t="shared" si="367"/>
        <v>-270</v>
      </c>
      <c r="H18751" s="705" t="s">
        <v>12380</v>
      </c>
      <c r="J18751" s="40"/>
    </row>
    <row r="18752" spans="1:10" ht="15" x14ac:dyDescent="0.2">
      <c r="A18752" s="734">
        <v>45351</v>
      </c>
      <c r="B18752" s="63" t="s">
        <v>11089</v>
      </c>
      <c r="C18752" s="63" t="s">
        <v>12472</v>
      </c>
      <c r="D18752" s="183" t="s">
        <v>1157</v>
      </c>
      <c r="E18752" s="126">
        <v>10000</v>
      </c>
      <c r="F18752" s="126"/>
      <c r="G18752" s="126">
        <f t="shared" si="367"/>
        <v>-10000</v>
      </c>
      <c r="H18752" s="705" t="s">
        <v>12380</v>
      </c>
      <c r="J18752" s="40"/>
    </row>
    <row r="18753" spans="1:10" ht="15" x14ac:dyDescent="0.2">
      <c r="A18753" s="734">
        <v>45351</v>
      </c>
      <c r="B18753" s="63" t="s">
        <v>11093</v>
      </c>
      <c r="C18753" s="63" t="s">
        <v>10993</v>
      </c>
      <c r="D18753" s="183" t="s">
        <v>4966</v>
      </c>
      <c r="E18753" s="126">
        <v>18480</v>
      </c>
      <c r="F18753" s="126"/>
      <c r="G18753" s="126">
        <f t="shared" si="367"/>
        <v>-18480</v>
      </c>
      <c r="H18753" s="705" t="s">
        <v>12380</v>
      </c>
      <c r="J18753" s="40"/>
    </row>
    <row r="18754" spans="1:10" ht="15" x14ac:dyDescent="0.2">
      <c r="A18754" s="734">
        <v>45351</v>
      </c>
      <c r="B18754" s="63" t="s">
        <v>12532</v>
      </c>
      <c r="C18754" s="63" t="s">
        <v>10993</v>
      </c>
      <c r="D18754" s="183" t="s">
        <v>4966</v>
      </c>
      <c r="E18754" s="126">
        <v>7700</v>
      </c>
      <c r="F18754" s="126"/>
      <c r="G18754" s="126">
        <f t="shared" si="367"/>
        <v>-7700</v>
      </c>
      <c r="H18754" s="705" t="s">
        <v>12380</v>
      </c>
      <c r="J18754" s="40"/>
    </row>
    <row r="18755" spans="1:10" ht="15" x14ac:dyDescent="0.2">
      <c r="A18755" s="734">
        <v>45351</v>
      </c>
      <c r="B18755" s="63" t="s">
        <v>12532</v>
      </c>
      <c r="C18755" s="63" t="s">
        <v>10993</v>
      </c>
      <c r="D18755" s="183" t="s">
        <v>4966</v>
      </c>
      <c r="E18755" s="126">
        <v>135454</v>
      </c>
      <c r="F18755" s="126"/>
      <c r="G18755" s="126">
        <f t="shared" si="367"/>
        <v>-135454</v>
      </c>
      <c r="H18755" s="705" t="s">
        <v>12380</v>
      </c>
      <c r="J18755" s="40"/>
    </row>
    <row r="18756" spans="1:10" ht="15" x14ac:dyDescent="0.2">
      <c r="A18756" s="734">
        <v>45351</v>
      </c>
      <c r="B18756" s="63" t="s">
        <v>10908</v>
      </c>
      <c r="C18756" s="63" t="s">
        <v>10993</v>
      </c>
      <c r="D18756" s="183" t="s">
        <v>4966</v>
      </c>
      <c r="E18756" s="126">
        <v>690</v>
      </c>
      <c r="F18756" s="126"/>
      <c r="G18756" s="126">
        <f t="shared" si="367"/>
        <v>-690</v>
      </c>
      <c r="H18756" s="705" t="s">
        <v>12380</v>
      </c>
      <c r="J18756" s="40"/>
    </row>
    <row r="18757" spans="1:10" ht="15" x14ac:dyDescent="0.2">
      <c r="A18757" s="734">
        <v>45351</v>
      </c>
      <c r="B18757" s="63" t="s">
        <v>12532</v>
      </c>
      <c r="C18757" s="63" t="s">
        <v>10993</v>
      </c>
      <c r="D18757" s="183" t="s">
        <v>4966</v>
      </c>
      <c r="E18757" s="126">
        <v>46440</v>
      </c>
      <c r="F18757" s="126"/>
      <c r="G18757" s="126">
        <f t="shared" si="367"/>
        <v>-46440</v>
      </c>
      <c r="H18757" s="705" t="s">
        <v>12380</v>
      </c>
      <c r="J18757" s="40"/>
    </row>
    <row r="18758" spans="1:10" ht="15" x14ac:dyDescent="0.2">
      <c r="A18758" s="734">
        <v>45351</v>
      </c>
      <c r="B18758" s="63" t="s">
        <v>103</v>
      </c>
      <c r="C18758" s="63" t="s">
        <v>2996</v>
      </c>
      <c r="D18758" s="183" t="s">
        <v>12639</v>
      </c>
      <c r="E18758" s="126">
        <v>5330</v>
      </c>
      <c r="F18758" s="126"/>
      <c r="G18758" s="126">
        <f t="shared" ref="G18758:G18759" si="368">F18758-E18758</f>
        <v>-5330</v>
      </c>
      <c r="H18758" s="705" t="s">
        <v>12380</v>
      </c>
      <c r="J18758" s="40"/>
    </row>
    <row r="18759" spans="1:10" ht="15" x14ac:dyDescent="0.2">
      <c r="A18759" s="734">
        <v>45351</v>
      </c>
      <c r="B18759" s="63" t="s">
        <v>12366</v>
      </c>
      <c r="C18759" s="63" t="s">
        <v>11428</v>
      </c>
      <c r="D18759" s="183" t="s">
        <v>10721</v>
      </c>
      <c r="E18759" s="126">
        <v>100000</v>
      </c>
      <c r="F18759" s="126"/>
      <c r="G18759" s="126">
        <f t="shared" si="368"/>
        <v>-100000</v>
      </c>
      <c r="H18759" s="705" t="s">
        <v>12380</v>
      </c>
      <c r="J18759" s="40"/>
    </row>
    <row r="18760" spans="1:10" ht="15" x14ac:dyDescent="0.2">
      <c r="A18760" s="733">
        <v>45328</v>
      </c>
      <c r="B18760" s="174" t="s">
        <v>12624</v>
      </c>
      <c r="C18760" s="174" t="s">
        <v>12396</v>
      </c>
      <c r="D18760" s="228" t="s">
        <v>12397</v>
      </c>
      <c r="E18760" s="236">
        <v>330000</v>
      </c>
      <c r="F18760" s="236"/>
      <c r="G18760" s="236">
        <f t="shared" ref="G18760:G18771" si="369">F18760-E18760</f>
        <v>-330000</v>
      </c>
      <c r="H18760" s="709" t="s">
        <v>12380</v>
      </c>
    </row>
    <row r="18761" spans="1:10" ht="15" x14ac:dyDescent="0.2">
      <c r="A18761" s="733">
        <v>45328</v>
      </c>
      <c r="B18761" s="174" t="s">
        <v>11617</v>
      </c>
      <c r="C18761" s="174" t="s">
        <v>11884</v>
      </c>
      <c r="D18761" s="228" t="s">
        <v>12398</v>
      </c>
      <c r="E18761" s="236">
        <v>81000</v>
      </c>
      <c r="F18761" s="236"/>
      <c r="G18761" s="236">
        <f t="shared" si="369"/>
        <v>-81000</v>
      </c>
      <c r="H18761" s="709" t="s">
        <v>12380</v>
      </c>
    </row>
    <row r="18762" spans="1:10" ht="15" x14ac:dyDescent="0.2">
      <c r="A18762" s="733">
        <v>45328</v>
      </c>
      <c r="B18762" s="174" t="s">
        <v>11897</v>
      </c>
      <c r="C18762" s="174" t="s">
        <v>11291</v>
      </c>
      <c r="D18762" s="228" t="s">
        <v>12399</v>
      </c>
      <c r="E18762" s="236">
        <v>200000</v>
      </c>
      <c r="F18762" s="236"/>
      <c r="G18762" s="236">
        <f t="shared" si="369"/>
        <v>-200000</v>
      </c>
      <c r="H18762" s="709" t="s">
        <v>12380</v>
      </c>
    </row>
    <row r="18763" spans="1:10" ht="24" x14ac:dyDescent="0.2">
      <c r="A18763" s="733">
        <v>45341</v>
      </c>
      <c r="B18763" s="174" t="s">
        <v>103</v>
      </c>
      <c r="C18763" s="174" t="s">
        <v>12573</v>
      </c>
      <c r="D18763" s="228" t="s">
        <v>12575</v>
      </c>
      <c r="E18763" s="236">
        <v>100000</v>
      </c>
      <c r="F18763" s="236"/>
      <c r="G18763" s="236">
        <f t="shared" si="369"/>
        <v>-100000</v>
      </c>
      <c r="H18763" s="709" t="s">
        <v>12380</v>
      </c>
    </row>
    <row r="18764" spans="1:10" ht="15" x14ac:dyDescent="0.2">
      <c r="A18764" s="733">
        <v>45341</v>
      </c>
      <c r="B18764" s="174" t="s">
        <v>10471</v>
      </c>
      <c r="C18764" s="174" t="s">
        <v>9460</v>
      </c>
      <c r="D18764" s="228" t="s">
        <v>12574</v>
      </c>
      <c r="E18764" s="236">
        <v>90000</v>
      </c>
      <c r="F18764" s="236"/>
      <c r="G18764" s="236">
        <f t="shared" si="369"/>
        <v>-90000</v>
      </c>
      <c r="H18764" s="709" t="s">
        <v>12380</v>
      </c>
    </row>
    <row r="18765" spans="1:10" ht="15" x14ac:dyDescent="0.2">
      <c r="A18765" s="733">
        <v>45341</v>
      </c>
      <c r="B18765" s="736"/>
      <c r="C18765" s="174" t="s">
        <v>12050</v>
      </c>
      <c r="D18765" s="228" t="s">
        <v>12577</v>
      </c>
      <c r="E18765" s="236">
        <v>653892</v>
      </c>
      <c r="F18765" s="236"/>
      <c r="G18765" s="236">
        <f t="shared" si="369"/>
        <v>-653892</v>
      </c>
      <c r="H18765" s="709" t="s">
        <v>12380</v>
      </c>
    </row>
    <row r="18766" spans="1:10" ht="15" x14ac:dyDescent="0.2">
      <c r="A18766" s="733">
        <v>45342</v>
      </c>
      <c r="B18766" s="174" t="s">
        <v>9769</v>
      </c>
      <c r="C18766" s="174" t="s">
        <v>11428</v>
      </c>
      <c r="D18766" s="228" t="s">
        <v>12578</v>
      </c>
      <c r="E18766" s="236">
        <v>100000</v>
      </c>
      <c r="F18766" s="236"/>
      <c r="G18766" s="236">
        <f t="shared" si="369"/>
        <v>-100000</v>
      </c>
      <c r="H18766" s="709" t="s">
        <v>12380</v>
      </c>
    </row>
    <row r="18767" spans="1:10" ht="15" x14ac:dyDescent="0.2">
      <c r="A18767" s="733">
        <v>45342</v>
      </c>
      <c r="B18767" s="174" t="s">
        <v>12366</v>
      </c>
      <c r="C18767" s="174" t="s">
        <v>11428</v>
      </c>
      <c r="D18767" s="228" t="s">
        <v>12579</v>
      </c>
      <c r="E18767" s="236">
        <v>145000</v>
      </c>
      <c r="F18767" s="236"/>
      <c r="G18767" s="236">
        <f t="shared" si="369"/>
        <v>-145000</v>
      </c>
      <c r="H18767" s="709" t="s">
        <v>12380</v>
      </c>
    </row>
    <row r="18768" spans="1:10" ht="15" x14ac:dyDescent="0.2">
      <c r="A18768" s="733">
        <v>45343</v>
      </c>
      <c r="B18768" s="174" t="s">
        <v>12624</v>
      </c>
      <c r="C18768" s="174" t="s">
        <v>9549</v>
      </c>
      <c r="D18768" s="228" t="s">
        <v>12580</v>
      </c>
      <c r="E18768" s="236">
        <v>50000</v>
      </c>
      <c r="F18768" s="236"/>
      <c r="G18768" s="236">
        <f t="shared" si="369"/>
        <v>-50000</v>
      </c>
      <c r="H18768" s="709" t="s">
        <v>12380</v>
      </c>
    </row>
    <row r="18769" spans="1:8" ht="24" x14ac:dyDescent="0.2">
      <c r="A18769" s="733">
        <v>45343</v>
      </c>
      <c r="B18769" s="174" t="s">
        <v>103</v>
      </c>
      <c r="C18769" s="174" t="s">
        <v>12573</v>
      </c>
      <c r="D18769" s="228" t="s">
        <v>12581</v>
      </c>
      <c r="E18769" s="236">
        <v>150000</v>
      </c>
      <c r="F18769" s="236"/>
      <c r="G18769" s="236">
        <f t="shared" si="369"/>
        <v>-150000</v>
      </c>
      <c r="H18769" s="709" t="s">
        <v>12380</v>
      </c>
    </row>
    <row r="18770" spans="1:8" ht="15" x14ac:dyDescent="0.2">
      <c r="A18770" s="733">
        <v>45348</v>
      </c>
      <c r="B18770" s="174" t="s">
        <v>12207</v>
      </c>
      <c r="C18770" s="174" t="s">
        <v>11106</v>
      </c>
      <c r="D18770" s="228" t="s">
        <v>12600</v>
      </c>
      <c r="E18770" s="236">
        <v>35400</v>
      </c>
      <c r="F18770" s="236"/>
      <c r="G18770" s="236">
        <f t="shared" si="369"/>
        <v>-35400</v>
      </c>
      <c r="H18770" s="709" t="s">
        <v>12380</v>
      </c>
    </row>
    <row r="18771" spans="1:8" ht="24" x14ac:dyDescent="0.2">
      <c r="A18771" s="733">
        <v>45350</v>
      </c>
      <c r="B18771" s="174" t="s">
        <v>11089</v>
      </c>
      <c r="C18771" s="174" t="s">
        <v>1198</v>
      </c>
      <c r="D18771" s="228" t="s">
        <v>12622</v>
      </c>
      <c r="E18771" s="236">
        <v>638634</v>
      </c>
      <c r="F18771" s="236"/>
      <c r="G18771" s="236">
        <f t="shared" si="369"/>
        <v>-638634</v>
      </c>
      <c r="H18771" s="709" t="s">
        <v>12380</v>
      </c>
    </row>
    <row r="18772" spans="1:8" ht="15" x14ac:dyDescent="0.2">
      <c r="A18772" s="730">
        <v>45324</v>
      </c>
      <c r="B18772" s="94" t="s">
        <v>37</v>
      </c>
      <c r="C18772" s="94" t="s">
        <v>559</v>
      </c>
      <c r="D18772" s="892" t="s">
        <v>12381</v>
      </c>
      <c r="E18772" s="176"/>
      <c r="F18772" s="176">
        <v>246087</v>
      </c>
      <c r="G18772" s="176">
        <f t="shared" ref="G18772:G18775" si="370">F18772-E18772</f>
        <v>246087</v>
      </c>
      <c r="H18772" s="702" t="s">
        <v>12380</v>
      </c>
    </row>
    <row r="18773" spans="1:8" ht="15" x14ac:dyDescent="0.2">
      <c r="A18773" s="730">
        <v>45324</v>
      </c>
      <c r="B18773" s="94" t="s">
        <v>37</v>
      </c>
      <c r="C18773" s="94" t="s">
        <v>559</v>
      </c>
      <c r="D18773" s="892" t="s">
        <v>12382</v>
      </c>
      <c r="E18773" s="176"/>
      <c r="F18773" s="176">
        <v>246087</v>
      </c>
      <c r="G18773" s="176">
        <f t="shared" si="370"/>
        <v>246087</v>
      </c>
      <c r="H18773" s="702" t="s">
        <v>12380</v>
      </c>
    </row>
    <row r="18774" spans="1:8" ht="15" x14ac:dyDescent="0.2">
      <c r="A18774" s="730">
        <v>45324</v>
      </c>
      <c r="B18774" s="94" t="s">
        <v>37</v>
      </c>
      <c r="C18774" s="94" t="s">
        <v>559</v>
      </c>
      <c r="D18774" s="892" t="s">
        <v>12383</v>
      </c>
      <c r="E18774" s="176"/>
      <c r="F18774" s="176">
        <v>246087</v>
      </c>
      <c r="G18774" s="176">
        <f t="shared" si="370"/>
        <v>246087</v>
      </c>
      <c r="H18774" s="702" t="s">
        <v>12380</v>
      </c>
    </row>
    <row r="18775" spans="1:8" ht="15" x14ac:dyDescent="0.2">
      <c r="A18775" s="730">
        <v>45324</v>
      </c>
      <c r="B18775" s="94" t="s">
        <v>37</v>
      </c>
      <c r="C18775" s="94" t="s">
        <v>559</v>
      </c>
      <c r="D18775" s="892" t="s">
        <v>12384</v>
      </c>
      <c r="E18775" s="176"/>
      <c r="F18775" s="176">
        <v>178973</v>
      </c>
      <c r="G18775" s="176">
        <f t="shared" si="370"/>
        <v>178973</v>
      </c>
      <c r="H18775" s="702" t="s">
        <v>12380</v>
      </c>
    </row>
    <row r="18776" spans="1:8" ht="15" x14ac:dyDescent="0.2">
      <c r="A18776" s="730">
        <v>45329</v>
      </c>
      <c r="B18776" s="94" t="s">
        <v>9409</v>
      </c>
      <c r="C18776" s="94" t="s">
        <v>559</v>
      </c>
      <c r="D18776" s="892" t="s">
        <v>12663</v>
      </c>
      <c r="E18776" s="176"/>
      <c r="F18776" s="176">
        <v>677861</v>
      </c>
      <c r="G18776" s="176">
        <f t="shared" ref="G18776:G18777" si="371">F18776-E18776</f>
        <v>677861</v>
      </c>
      <c r="H18776" s="702" t="s">
        <v>12380</v>
      </c>
    </row>
    <row r="18777" spans="1:8" ht="15" x14ac:dyDescent="0.2">
      <c r="A18777" s="730">
        <v>45332</v>
      </c>
      <c r="B18777" s="94" t="s">
        <v>3945</v>
      </c>
      <c r="C18777" s="94" t="s">
        <v>559</v>
      </c>
      <c r="D18777" s="892" t="s">
        <v>12432</v>
      </c>
      <c r="E18777" s="176"/>
      <c r="F18777" s="176">
        <v>333522</v>
      </c>
      <c r="G18777" s="176">
        <f t="shared" si="371"/>
        <v>333522</v>
      </c>
      <c r="H18777" s="702" t="s">
        <v>12380</v>
      </c>
    </row>
    <row r="18778" spans="1:8" ht="15" x14ac:dyDescent="0.2">
      <c r="A18778" s="730">
        <v>45336</v>
      </c>
      <c r="B18778" s="94" t="s">
        <v>3946</v>
      </c>
      <c r="C18778" s="94" t="s">
        <v>559</v>
      </c>
      <c r="D18778" s="892" t="s">
        <v>12626</v>
      </c>
      <c r="E18778" s="176"/>
      <c r="F18778" s="176">
        <v>359992</v>
      </c>
      <c r="G18778" s="176">
        <f>F18778-E18778</f>
        <v>359992</v>
      </c>
      <c r="H18778" s="702" t="s">
        <v>12380</v>
      </c>
    </row>
    <row r="18779" spans="1:8" ht="15" x14ac:dyDescent="0.2">
      <c r="A18779" s="730">
        <v>45342</v>
      </c>
      <c r="B18779" s="94" t="s">
        <v>8043</v>
      </c>
      <c r="C18779" s="94" t="s">
        <v>559</v>
      </c>
      <c r="D18779" s="892" t="s">
        <v>12521</v>
      </c>
      <c r="E18779" s="176"/>
      <c r="F18779" s="176">
        <v>5000000</v>
      </c>
      <c r="G18779" s="176">
        <f t="shared" ref="G18779" si="372">F18779-E18779</f>
        <v>5000000</v>
      </c>
      <c r="H18779" s="702" t="s">
        <v>12380</v>
      </c>
    </row>
    <row r="18780" spans="1:8" ht="15" x14ac:dyDescent="0.2">
      <c r="A18780" s="730">
        <v>45344</v>
      </c>
      <c r="B18780" s="94" t="s">
        <v>9986</v>
      </c>
      <c r="C18780" s="94" t="s">
        <v>559</v>
      </c>
      <c r="D18780" s="892" t="s">
        <v>12522</v>
      </c>
      <c r="E18780" s="176"/>
      <c r="F18780" s="176">
        <v>1800000</v>
      </c>
      <c r="G18780" s="176">
        <f t="shared" ref="G18780" si="373">F18780-E18780</f>
        <v>1800000</v>
      </c>
      <c r="H18780" s="702" t="s">
        <v>12380</v>
      </c>
    </row>
    <row r="18781" spans="1:8" ht="24" x14ac:dyDescent="0.2">
      <c r="A18781" s="730">
        <v>45344</v>
      </c>
      <c r="B18781" s="94" t="s">
        <v>11093</v>
      </c>
      <c r="C18781" s="94" t="s">
        <v>559</v>
      </c>
      <c r="D18781" s="802" t="s">
        <v>12523</v>
      </c>
      <c r="E18781" s="176"/>
      <c r="F18781" s="176">
        <v>2092916</v>
      </c>
      <c r="G18781" s="176">
        <f t="shared" ref="G18781:G18784" si="374">F18781-E18781</f>
        <v>2092916</v>
      </c>
      <c r="H18781" s="702" t="s">
        <v>12380</v>
      </c>
    </row>
    <row r="18782" spans="1:8" ht="15" x14ac:dyDescent="0.2">
      <c r="A18782" s="730">
        <v>45344</v>
      </c>
      <c r="B18782" s="94" t="s">
        <v>37</v>
      </c>
      <c r="C18782" s="94" t="s">
        <v>559</v>
      </c>
      <c r="D18782" s="892" t="s">
        <v>12524</v>
      </c>
      <c r="E18782" s="176"/>
      <c r="F18782" s="176">
        <v>246087</v>
      </c>
      <c r="G18782" s="176">
        <f t="shared" si="374"/>
        <v>246087</v>
      </c>
      <c r="H18782" s="702" t="s">
        <v>12380</v>
      </c>
    </row>
    <row r="18783" spans="1:8" ht="15" x14ac:dyDescent="0.2">
      <c r="A18783" s="730">
        <v>45345</v>
      </c>
      <c r="B18783" s="94" t="s">
        <v>9986</v>
      </c>
      <c r="C18783" s="94" t="s">
        <v>559</v>
      </c>
      <c r="D18783" s="892" t="s">
        <v>12522</v>
      </c>
      <c r="E18783" s="176"/>
      <c r="F18783" s="176">
        <v>900000</v>
      </c>
      <c r="G18783" s="176">
        <f t="shared" si="374"/>
        <v>900000</v>
      </c>
      <c r="H18783" s="702" t="s">
        <v>12380</v>
      </c>
    </row>
    <row r="18784" spans="1:8" ht="15" x14ac:dyDescent="0.2">
      <c r="A18784" s="730">
        <v>45345</v>
      </c>
      <c r="B18784" s="94" t="s">
        <v>9986</v>
      </c>
      <c r="C18784" s="94" t="s">
        <v>559</v>
      </c>
      <c r="D18784" s="892" t="s">
        <v>12522</v>
      </c>
      <c r="E18784" s="176"/>
      <c r="F18784" s="176">
        <v>900000</v>
      </c>
      <c r="G18784" s="176">
        <f t="shared" si="374"/>
        <v>900000</v>
      </c>
      <c r="H18784" s="702" t="s">
        <v>12380</v>
      </c>
    </row>
    <row r="18785" spans="1:10" ht="24" x14ac:dyDescent="0.2">
      <c r="A18785" s="730">
        <v>45345</v>
      </c>
      <c r="B18785" s="94" t="s">
        <v>11738</v>
      </c>
      <c r="C18785" s="94" t="s">
        <v>559</v>
      </c>
      <c r="D18785" s="802" t="s">
        <v>12812</v>
      </c>
      <c r="E18785" s="176"/>
      <c r="F18785" s="176">
        <v>1460000</v>
      </c>
      <c r="G18785" s="176">
        <f t="shared" ref="G18785" si="375">F18785-E18785</f>
        <v>1460000</v>
      </c>
      <c r="H18785" s="702" t="s">
        <v>12380</v>
      </c>
    </row>
    <row r="18786" spans="1:10" ht="48" x14ac:dyDescent="0.2">
      <c r="A18786" s="730">
        <v>45349</v>
      </c>
      <c r="B18786" s="94" t="s">
        <v>11503</v>
      </c>
      <c r="C18786" s="94" t="s">
        <v>559</v>
      </c>
      <c r="D18786" s="802" t="s">
        <v>12598</v>
      </c>
      <c r="E18786" s="176"/>
      <c r="F18786" s="176">
        <v>200000</v>
      </c>
      <c r="G18786" s="176">
        <f t="shared" ref="G18786" si="376">F18786-E18786</f>
        <v>200000</v>
      </c>
      <c r="H18786" s="702" t="s">
        <v>12380</v>
      </c>
    </row>
    <row r="18787" spans="1:10" ht="24" x14ac:dyDescent="0.2">
      <c r="A18787" s="730">
        <v>45351</v>
      </c>
      <c r="B18787" s="94" t="s">
        <v>11093</v>
      </c>
      <c r="C18787" s="94" t="s">
        <v>559</v>
      </c>
      <c r="D18787" s="802" t="s">
        <v>12622</v>
      </c>
      <c r="E18787" s="176"/>
      <c r="F18787" s="176">
        <v>638634</v>
      </c>
      <c r="G18787" s="176">
        <f t="shared" ref="G18787" si="377">F18787-E18787</f>
        <v>638634</v>
      </c>
      <c r="H18787" s="702" t="s">
        <v>12380</v>
      </c>
    </row>
    <row r="18788" spans="1:10" ht="15" x14ac:dyDescent="0.2">
      <c r="A18788" s="734">
        <v>45353</v>
      </c>
      <c r="B18788" s="63" t="s">
        <v>11093</v>
      </c>
      <c r="C18788" s="63" t="s">
        <v>9549</v>
      </c>
      <c r="D18788" s="183" t="s">
        <v>8201</v>
      </c>
      <c r="E18788" s="126">
        <v>2000</v>
      </c>
      <c r="F18788" s="126"/>
      <c r="G18788" s="126">
        <f>F18788-E18788</f>
        <v>-2000</v>
      </c>
      <c r="H18788" s="705" t="s">
        <v>12659</v>
      </c>
      <c r="J18788" s="40"/>
    </row>
    <row r="18789" spans="1:10" ht="15" x14ac:dyDescent="0.2">
      <c r="A18789" s="734">
        <v>45353</v>
      </c>
      <c r="B18789" s="63" t="s">
        <v>103</v>
      </c>
      <c r="C18789" s="63" t="s">
        <v>103</v>
      </c>
      <c r="D18789" s="183" t="s">
        <v>12557</v>
      </c>
      <c r="E18789" s="126">
        <v>6000</v>
      </c>
      <c r="F18789" s="126"/>
      <c r="G18789" s="126">
        <f>F18789-E18789</f>
        <v>-6000</v>
      </c>
      <c r="H18789" s="705" t="s">
        <v>12659</v>
      </c>
      <c r="J18789" s="40"/>
    </row>
    <row r="18790" spans="1:10" ht="15" x14ac:dyDescent="0.2">
      <c r="A18790" s="734">
        <v>45353</v>
      </c>
      <c r="B18790" s="63" t="s">
        <v>10232</v>
      </c>
      <c r="C18790" s="63" t="s">
        <v>5741</v>
      </c>
      <c r="D18790" s="183" t="s">
        <v>10337</v>
      </c>
      <c r="E18790" s="126">
        <v>400</v>
      </c>
      <c r="F18790" s="126"/>
      <c r="G18790" s="126">
        <f>F18790-E18790</f>
        <v>-400</v>
      </c>
      <c r="H18790" s="705" t="s">
        <v>12659</v>
      </c>
      <c r="J18790" s="40"/>
    </row>
    <row r="18791" spans="1:10" ht="15" x14ac:dyDescent="0.2">
      <c r="A18791" s="734">
        <v>45353</v>
      </c>
      <c r="B18791" s="63" t="s">
        <v>10232</v>
      </c>
      <c r="C18791" s="63" t="s">
        <v>8372</v>
      </c>
      <c r="D18791" s="183" t="s">
        <v>370</v>
      </c>
      <c r="E18791" s="126">
        <v>200</v>
      </c>
      <c r="F18791" s="126"/>
      <c r="G18791" s="126">
        <f>F18791-E18791</f>
        <v>-200</v>
      </c>
      <c r="H18791" s="705" t="s">
        <v>12659</v>
      </c>
      <c r="J18791" s="40"/>
    </row>
    <row r="18792" spans="1:10" ht="15" x14ac:dyDescent="0.2">
      <c r="A18792" s="734">
        <v>45353</v>
      </c>
      <c r="B18792" s="63" t="s">
        <v>10363</v>
      </c>
      <c r="C18792" s="63" t="s">
        <v>5741</v>
      </c>
      <c r="D18792" s="183" t="s">
        <v>12640</v>
      </c>
      <c r="E18792" s="126">
        <v>5000</v>
      </c>
      <c r="F18792" s="126"/>
      <c r="G18792" s="126">
        <f>F18792-E18792</f>
        <v>-5000</v>
      </c>
      <c r="H18792" s="705" t="s">
        <v>12659</v>
      </c>
      <c r="J18792" s="40"/>
    </row>
    <row r="18793" spans="1:10" ht="24" x14ac:dyDescent="0.2">
      <c r="A18793" s="734">
        <v>45353</v>
      </c>
      <c r="B18793" s="63" t="s">
        <v>12532</v>
      </c>
      <c r="C18793" s="63" t="s">
        <v>12641</v>
      </c>
      <c r="D18793" s="183" t="s">
        <v>12642</v>
      </c>
      <c r="E18793" s="126">
        <v>50000</v>
      </c>
      <c r="F18793" s="126"/>
      <c r="G18793" s="126">
        <f t="shared" ref="G18793:G18794" si="378">F18793-E18793</f>
        <v>-50000</v>
      </c>
      <c r="H18793" s="705" t="s">
        <v>12659</v>
      </c>
      <c r="J18793" s="40"/>
    </row>
    <row r="18794" spans="1:10" ht="15" x14ac:dyDescent="0.2">
      <c r="A18794" s="734">
        <v>45353</v>
      </c>
      <c r="B18794" s="63" t="s">
        <v>11738</v>
      </c>
      <c r="C18794" s="63" t="s">
        <v>10993</v>
      </c>
      <c r="D18794" s="183" t="s">
        <v>6486</v>
      </c>
      <c r="E18794" s="126">
        <v>14460</v>
      </c>
      <c r="F18794" s="126"/>
      <c r="G18794" s="126">
        <f t="shared" si="378"/>
        <v>-14460</v>
      </c>
      <c r="H18794" s="705" t="s">
        <v>12659</v>
      </c>
      <c r="J18794" s="40"/>
    </row>
    <row r="18795" spans="1:10" ht="15" x14ac:dyDescent="0.2">
      <c r="A18795" s="734">
        <v>45353</v>
      </c>
      <c r="B18795" s="63" t="s">
        <v>103</v>
      </c>
      <c r="C18795" s="63" t="s">
        <v>12643</v>
      </c>
      <c r="D18795" s="183" t="s">
        <v>12644</v>
      </c>
      <c r="E18795" s="126">
        <v>3000</v>
      </c>
      <c r="F18795" s="126"/>
      <c r="G18795" s="126">
        <f t="shared" ref="G18795:G18801" si="379">F18795-E18795</f>
        <v>-3000</v>
      </c>
      <c r="H18795" s="705" t="s">
        <v>12659</v>
      </c>
      <c r="J18795" s="40"/>
    </row>
    <row r="18796" spans="1:10" ht="15" x14ac:dyDescent="0.2">
      <c r="A18796" s="734">
        <v>45353</v>
      </c>
      <c r="B18796" s="63" t="s">
        <v>11089</v>
      </c>
      <c r="C18796" s="63" t="s">
        <v>5741</v>
      </c>
      <c r="D18796" s="183" t="s">
        <v>370</v>
      </c>
      <c r="E18796" s="126">
        <v>1200</v>
      </c>
      <c r="F18796" s="126"/>
      <c r="G18796" s="126">
        <f t="shared" si="379"/>
        <v>-1200</v>
      </c>
      <c r="H18796" s="705" t="s">
        <v>12659</v>
      </c>
      <c r="J18796" s="40"/>
    </row>
    <row r="18797" spans="1:10" ht="15" x14ac:dyDescent="0.2">
      <c r="A18797" s="734">
        <v>45355</v>
      </c>
      <c r="B18797" s="63" t="s">
        <v>25</v>
      </c>
      <c r="C18797" s="63" t="s">
        <v>8150</v>
      </c>
      <c r="D18797" s="183" t="s">
        <v>6310</v>
      </c>
      <c r="E18797" s="126">
        <v>865</v>
      </c>
      <c r="F18797" s="126"/>
      <c r="G18797" s="126">
        <f t="shared" si="379"/>
        <v>-865</v>
      </c>
      <c r="H18797" s="705" t="s">
        <v>12659</v>
      </c>
      <c r="J18797" s="40"/>
    </row>
    <row r="18798" spans="1:10" ht="15" x14ac:dyDescent="0.2">
      <c r="A18798" s="734">
        <v>45355</v>
      </c>
      <c r="B18798" s="63" t="s">
        <v>103</v>
      </c>
      <c r="C18798" s="63" t="s">
        <v>8150</v>
      </c>
      <c r="D18798" s="183" t="s">
        <v>6310</v>
      </c>
      <c r="E18798" s="126">
        <v>745</v>
      </c>
      <c r="F18798" s="126"/>
      <c r="G18798" s="126">
        <f t="shared" si="379"/>
        <v>-745</v>
      </c>
      <c r="H18798" s="705" t="s">
        <v>12659</v>
      </c>
      <c r="J18798" s="40"/>
    </row>
    <row r="18799" spans="1:10" ht="15" x14ac:dyDescent="0.2">
      <c r="A18799" s="734">
        <v>45355</v>
      </c>
      <c r="B18799" s="63" t="s">
        <v>103</v>
      </c>
      <c r="C18799" s="63" t="s">
        <v>103</v>
      </c>
      <c r="D18799" s="183" t="s">
        <v>12557</v>
      </c>
      <c r="E18799" s="126">
        <v>3000</v>
      </c>
      <c r="F18799" s="126"/>
      <c r="G18799" s="126">
        <f t="shared" si="379"/>
        <v>-3000</v>
      </c>
      <c r="H18799" s="705" t="s">
        <v>12659</v>
      </c>
      <c r="J18799" s="40"/>
    </row>
    <row r="18800" spans="1:10" ht="15" x14ac:dyDescent="0.2">
      <c r="A18800" s="734">
        <v>45355</v>
      </c>
      <c r="B18800" s="63" t="s">
        <v>11089</v>
      </c>
      <c r="C18800" s="63" t="s">
        <v>12645</v>
      </c>
      <c r="D18800" s="183" t="s">
        <v>1157</v>
      </c>
      <c r="E18800" s="126">
        <v>10000</v>
      </c>
      <c r="F18800" s="126"/>
      <c r="G18800" s="126">
        <f t="shared" si="379"/>
        <v>-10000</v>
      </c>
      <c r="H18800" s="705" t="s">
        <v>12659</v>
      </c>
      <c r="J18800" s="40"/>
    </row>
    <row r="18801" spans="1:10" ht="15" x14ac:dyDescent="0.2">
      <c r="A18801" s="734">
        <v>45355</v>
      </c>
      <c r="B18801" s="63" t="s">
        <v>11897</v>
      </c>
      <c r="C18801" s="63" t="s">
        <v>431</v>
      </c>
      <c r="D18801" s="183" t="s">
        <v>12646</v>
      </c>
      <c r="E18801" s="126">
        <v>225000</v>
      </c>
      <c r="F18801" s="126"/>
      <c r="G18801" s="126">
        <f t="shared" si="379"/>
        <v>-225000</v>
      </c>
      <c r="H18801" s="705" t="s">
        <v>12659</v>
      </c>
      <c r="J18801" s="40"/>
    </row>
    <row r="18802" spans="1:10" ht="15" x14ac:dyDescent="0.2">
      <c r="A18802" s="734">
        <v>45355</v>
      </c>
      <c r="B18802" s="63" t="s">
        <v>11897</v>
      </c>
      <c r="C18802" s="63" t="s">
        <v>10993</v>
      </c>
      <c r="D18802" s="183" t="s">
        <v>12647</v>
      </c>
      <c r="E18802" s="126">
        <v>10000</v>
      </c>
      <c r="F18802" s="126"/>
      <c r="G18802" s="126">
        <f t="shared" ref="G18802:G18808" si="380">F18802-E18802</f>
        <v>-10000</v>
      </c>
      <c r="H18802" s="705" t="s">
        <v>12659</v>
      </c>
      <c r="J18802" s="40"/>
    </row>
    <row r="18803" spans="1:10" ht="15" x14ac:dyDescent="0.2">
      <c r="A18803" s="734">
        <v>45355</v>
      </c>
      <c r="B18803" s="63" t="s">
        <v>11897</v>
      </c>
      <c r="C18803" s="63" t="s">
        <v>5387</v>
      </c>
      <c r="D18803" s="183" t="s">
        <v>12648</v>
      </c>
      <c r="E18803" s="126">
        <v>6000</v>
      </c>
      <c r="F18803" s="126"/>
      <c r="G18803" s="126">
        <f t="shared" si="380"/>
        <v>-6000</v>
      </c>
      <c r="H18803" s="705" t="s">
        <v>12659</v>
      </c>
      <c r="J18803" s="40"/>
    </row>
    <row r="18804" spans="1:10" ht="15" x14ac:dyDescent="0.2">
      <c r="A18804" s="734">
        <v>45355</v>
      </c>
      <c r="B18804" s="63" t="s">
        <v>103</v>
      </c>
      <c r="C18804" s="63" t="s">
        <v>10589</v>
      </c>
      <c r="D18804" s="183" t="s">
        <v>1157</v>
      </c>
      <c r="E18804" s="126">
        <v>7000</v>
      </c>
      <c r="F18804" s="126"/>
      <c r="G18804" s="126">
        <f t="shared" si="380"/>
        <v>-7000</v>
      </c>
      <c r="H18804" s="705" t="s">
        <v>12659</v>
      </c>
      <c r="J18804" s="40"/>
    </row>
    <row r="18805" spans="1:10" ht="15" x14ac:dyDescent="0.2">
      <c r="A18805" s="734">
        <v>45355</v>
      </c>
      <c r="B18805" s="63" t="s">
        <v>103</v>
      </c>
      <c r="C18805" s="63" t="s">
        <v>103</v>
      </c>
      <c r="D18805" s="183" t="s">
        <v>12422</v>
      </c>
      <c r="E18805" s="126">
        <v>1000</v>
      </c>
      <c r="F18805" s="126"/>
      <c r="G18805" s="126">
        <f t="shared" si="380"/>
        <v>-1000</v>
      </c>
      <c r="H18805" s="705" t="s">
        <v>12659</v>
      </c>
      <c r="J18805" s="40"/>
    </row>
    <row r="18806" spans="1:10" ht="15" x14ac:dyDescent="0.2">
      <c r="A18806" s="734">
        <v>45356</v>
      </c>
      <c r="B18806" s="63" t="s">
        <v>11307</v>
      </c>
      <c r="C18806" s="63" t="s">
        <v>10993</v>
      </c>
      <c r="D18806" s="183" t="s">
        <v>12649</v>
      </c>
      <c r="E18806" s="126">
        <v>4800</v>
      </c>
      <c r="F18806" s="126"/>
      <c r="G18806" s="126">
        <f t="shared" si="380"/>
        <v>-4800</v>
      </c>
      <c r="H18806" s="705" t="s">
        <v>12659</v>
      </c>
      <c r="J18806" s="40"/>
    </row>
    <row r="18807" spans="1:10" ht="15" x14ac:dyDescent="0.2">
      <c r="A18807" s="734">
        <v>45356</v>
      </c>
      <c r="B18807" s="63" t="s">
        <v>10908</v>
      </c>
      <c r="C18807" s="63" t="s">
        <v>286</v>
      </c>
      <c r="D18807" s="183" t="s">
        <v>8663</v>
      </c>
      <c r="E18807" s="126">
        <v>500</v>
      </c>
      <c r="F18807" s="126"/>
      <c r="G18807" s="126">
        <f t="shared" si="380"/>
        <v>-500</v>
      </c>
      <c r="H18807" s="705" t="s">
        <v>12659</v>
      </c>
      <c r="J18807" s="40"/>
    </row>
    <row r="18808" spans="1:10" ht="15" x14ac:dyDescent="0.2">
      <c r="A18808" s="734">
        <v>45356</v>
      </c>
      <c r="B18808" s="63" t="s">
        <v>103</v>
      </c>
      <c r="C18808" s="63" t="s">
        <v>103</v>
      </c>
      <c r="D18808" s="183" t="s">
        <v>12557</v>
      </c>
      <c r="E18808" s="126">
        <v>4000</v>
      </c>
      <c r="F18808" s="126"/>
      <c r="G18808" s="126">
        <f t="shared" si="380"/>
        <v>-4000</v>
      </c>
      <c r="H18808" s="705" t="s">
        <v>12659</v>
      </c>
      <c r="J18808" s="40"/>
    </row>
    <row r="18809" spans="1:10" ht="15" x14ac:dyDescent="0.2">
      <c r="A18809" s="734">
        <v>45356</v>
      </c>
      <c r="B18809" s="63" t="s">
        <v>11738</v>
      </c>
      <c r="C18809" s="63" t="s">
        <v>10993</v>
      </c>
      <c r="D18809" s="183" t="s">
        <v>12650</v>
      </c>
      <c r="E18809" s="126">
        <v>2400</v>
      </c>
      <c r="F18809" s="126"/>
      <c r="G18809" s="126">
        <f t="shared" ref="G18809:G18814" si="381">F18809-E18809</f>
        <v>-2400</v>
      </c>
      <c r="H18809" s="705" t="s">
        <v>12659</v>
      </c>
      <c r="J18809" s="40"/>
    </row>
    <row r="18810" spans="1:10" ht="15" x14ac:dyDescent="0.2">
      <c r="A18810" s="734">
        <v>45356</v>
      </c>
      <c r="B18810" s="63" t="s">
        <v>12366</v>
      </c>
      <c r="C18810" s="63" t="s">
        <v>11099</v>
      </c>
      <c r="D18810" s="183" t="s">
        <v>1157</v>
      </c>
      <c r="E18810" s="126">
        <v>22000</v>
      </c>
      <c r="F18810" s="126"/>
      <c r="G18810" s="126">
        <f t="shared" si="381"/>
        <v>-22000</v>
      </c>
      <c r="H18810" s="705" t="s">
        <v>12659</v>
      </c>
      <c r="J18810" s="40"/>
    </row>
    <row r="18811" spans="1:10" ht="15" x14ac:dyDescent="0.2">
      <c r="A18811" s="734">
        <v>45356</v>
      </c>
      <c r="B18811" s="63" t="s">
        <v>37</v>
      </c>
      <c r="C18811" s="63" t="s">
        <v>392</v>
      </c>
      <c r="D18811" s="183" t="s">
        <v>5755</v>
      </c>
      <c r="E18811" s="126">
        <v>3000</v>
      </c>
      <c r="F18811" s="126"/>
      <c r="G18811" s="126">
        <f t="shared" si="381"/>
        <v>-3000</v>
      </c>
      <c r="H18811" s="705" t="s">
        <v>12659</v>
      </c>
      <c r="J18811" s="40"/>
    </row>
    <row r="18812" spans="1:10" ht="15" x14ac:dyDescent="0.2">
      <c r="A18812" s="734">
        <v>45356</v>
      </c>
      <c r="B18812" s="63" t="s">
        <v>12624</v>
      </c>
      <c r="C18812" s="63" t="s">
        <v>392</v>
      </c>
      <c r="D18812" s="183" t="s">
        <v>12653</v>
      </c>
      <c r="E18812" s="126">
        <v>12800</v>
      </c>
      <c r="F18812" s="126"/>
      <c r="G18812" s="126">
        <f t="shared" si="381"/>
        <v>-12800</v>
      </c>
      <c r="H18812" s="705" t="s">
        <v>12659</v>
      </c>
      <c r="J18812" s="40"/>
    </row>
    <row r="18813" spans="1:10" ht="15" x14ac:dyDescent="0.2">
      <c r="A18813" s="734">
        <v>45356</v>
      </c>
      <c r="B18813" s="63" t="s">
        <v>37</v>
      </c>
      <c r="C18813" s="63" t="s">
        <v>392</v>
      </c>
      <c r="D18813" s="183" t="s">
        <v>12731</v>
      </c>
      <c r="E18813" s="126">
        <v>5000</v>
      </c>
      <c r="F18813" s="126"/>
      <c r="G18813" s="126">
        <f t="shared" si="381"/>
        <v>-5000</v>
      </c>
      <c r="H18813" s="705" t="s">
        <v>12659</v>
      </c>
      <c r="J18813" s="40"/>
    </row>
    <row r="18814" spans="1:10" ht="15" x14ac:dyDescent="0.2">
      <c r="A18814" s="734">
        <v>45357</v>
      </c>
      <c r="B18814" s="63" t="s">
        <v>10776</v>
      </c>
      <c r="C18814" s="63" t="s">
        <v>392</v>
      </c>
      <c r="D18814" s="183" t="s">
        <v>12732</v>
      </c>
      <c r="E18814" s="126">
        <v>5000</v>
      </c>
      <c r="F18814" s="126"/>
      <c r="G18814" s="126">
        <f t="shared" si="381"/>
        <v>-5000</v>
      </c>
      <c r="H18814" s="705" t="s">
        <v>12659</v>
      </c>
      <c r="J18814" s="40"/>
    </row>
    <row r="18815" spans="1:10" ht="15" x14ac:dyDescent="0.2">
      <c r="A18815" s="734">
        <v>45357</v>
      </c>
      <c r="B18815" s="63" t="s">
        <v>103</v>
      </c>
      <c r="C18815" s="63" t="s">
        <v>103</v>
      </c>
      <c r="D18815" s="183" t="s">
        <v>12557</v>
      </c>
      <c r="E18815" s="126">
        <v>5000</v>
      </c>
      <c r="F18815" s="126"/>
      <c r="G18815" s="126">
        <f t="shared" ref="G18815:G18997" si="382">F18815-E18815</f>
        <v>-5000</v>
      </c>
      <c r="H18815" s="705" t="s">
        <v>12659</v>
      </c>
      <c r="J18815" s="40"/>
    </row>
    <row r="18816" spans="1:10" ht="15" x14ac:dyDescent="0.2">
      <c r="A18816" s="734">
        <v>45357</v>
      </c>
      <c r="B18816" s="63" t="s">
        <v>103</v>
      </c>
      <c r="C18816" s="63" t="s">
        <v>12502</v>
      </c>
      <c r="D18816" s="183" t="s">
        <v>370</v>
      </c>
      <c r="E18816" s="126">
        <v>6000</v>
      </c>
      <c r="F18816" s="126"/>
      <c r="G18816" s="126">
        <f t="shared" si="382"/>
        <v>-6000</v>
      </c>
      <c r="H18816" s="705" t="s">
        <v>12659</v>
      </c>
      <c r="J18816" s="40"/>
    </row>
    <row r="18817" spans="1:10" ht="15" x14ac:dyDescent="0.2">
      <c r="A18817" s="734">
        <v>45357</v>
      </c>
      <c r="B18817" s="63" t="s">
        <v>103</v>
      </c>
      <c r="C18817" s="63" t="s">
        <v>1495</v>
      </c>
      <c r="D18817" s="183" t="s">
        <v>370</v>
      </c>
      <c r="E18817" s="126">
        <v>1700</v>
      </c>
      <c r="F18817" s="126"/>
      <c r="G18817" s="126">
        <f t="shared" si="382"/>
        <v>-1700</v>
      </c>
      <c r="H18817" s="705" t="s">
        <v>12659</v>
      </c>
      <c r="J18817" s="40"/>
    </row>
    <row r="18818" spans="1:10" ht="15" x14ac:dyDescent="0.2">
      <c r="A18818" s="734">
        <v>45357</v>
      </c>
      <c r="B18818" s="63" t="s">
        <v>11089</v>
      </c>
      <c r="C18818" s="63" t="s">
        <v>5741</v>
      </c>
      <c r="D18818" s="183" t="s">
        <v>370</v>
      </c>
      <c r="E18818" s="126">
        <v>1400</v>
      </c>
      <c r="F18818" s="126"/>
      <c r="G18818" s="126">
        <f t="shared" si="382"/>
        <v>-1400</v>
      </c>
      <c r="H18818" s="705" t="s">
        <v>12659</v>
      </c>
      <c r="J18818" s="40"/>
    </row>
    <row r="18819" spans="1:10" ht="15" x14ac:dyDescent="0.2">
      <c r="A18819" s="734">
        <v>45357</v>
      </c>
      <c r="B18819" s="63" t="s">
        <v>11089</v>
      </c>
      <c r="C18819" s="63" t="s">
        <v>10993</v>
      </c>
      <c r="D18819" s="183" t="s">
        <v>12656</v>
      </c>
      <c r="E18819" s="126">
        <v>950</v>
      </c>
      <c r="F18819" s="126"/>
      <c r="G18819" s="126">
        <f t="shared" si="382"/>
        <v>-950</v>
      </c>
      <c r="H18819" s="705" t="s">
        <v>12659</v>
      </c>
      <c r="J18819" s="40"/>
    </row>
    <row r="18820" spans="1:10" ht="15" x14ac:dyDescent="0.2">
      <c r="A18820" s="734">
        <v>45357</v>
      </c>
      <c r="B18820" s="63" t="s">
        <v>11089</v>
      </c>
      <c r="C18820" s="63" t="s">
        <v>10993</v>
      </c>
      <c r="D18820" s="183" t="s">
        <v>12693</v>
      </c>
      <c r="E18820" s="126">
        <v>21000</v>
      </c>
      <c r="F18820" s="126"/>
      <c r="G18820" s="126">
        <f t="shared" si="382"/>
        <v>-21000</v>
      </c>
      <c r="H18820" s="705" t="s">
        <v>12659</v>
      </c>
      <c r="J18820" s="40"/>
    </row>
    <row r="18821" spans="1:10" ht="15" x14ac:dyDescent="0.2">
      <c r="A18821" s="734">
        <v>45357</v>
      </c>
      <c r="B18821" s="63" t="s">
        <v>25</v>
      </c>
      <c r="C18821" s="63" t="s">
        <v>2428</v>
      </c>
      <c r="D18821" s="183" t="s">
        <v>12657</v>
      </c>
      <c r="E18821" s="126">
        <v>150000</v>
      </c>
      <c r="F18821" s="126"/>
      <c r="G18821" s="126">
        <f t="shared" si="382"/>
        <v>-150000</v>
      </c>
      <c r="H18821" s="705" t="s">
        <v>12659</v>
      </c>
      <c r="J18821" s="40"/>
    </row>
    <row r="18822" spans="1:10" ht="15" x14ac:dyDescent="0.2">
      <c r="A18822" s="734">
        <v>45357</v>
      </c>
      <c r="B18822" s="63" t="s">
        <v>11738</v>
      </c>
      <c r="C18822" s="63" t="s">
        <v>10993</v>
      </c>
      <c r="D18822" s="183" t="s">
        <v>12658</v>
      </c>
      <c r="E18822" s="126">
        <v>21000</v>
      </c>
      <c r="F18822" s="126"/>
      <c r="G18822" s="126">
        <f t="shared" si="382"/>
        <v>-21000</v>
      </c>
      <c r="H18822" s="705" t="s">
        <v>12659</v>
      </c>
      <c r="J18822" s="40"/>
    </row>
    <row r="18823" spans="1:10" ht="15" x14ac:dyDescent="0.2">
      <c r="A18823" s="734">
        <v>45357</v>
      </c>
      <c r="B18823" s="63" t="s">
        <v>11738</v>
      </c>
      <c r="C18823" s="63" t="s">
        <v>12699</v>
      </c>
      <c r="D18823" s="183" t="s">
        <v>10721</v>
      </c>
      <c r="E18823" s="126">
        <v>40000</v>
      </c>
      <c r="F18823" s="126"/>
      <c r="G18823" s="126">
        <f t="shared" si="382"/>
        <v>-40000</v>
      </c>
      <c r="H18823" s="705" t="s">
        <v>12659</v>
      </c>
      <c r="J18823" s="40"/>
    </row>
    <row r="18824" spans="1:10" ht="15" x14ac:dyDescent="0.2">
      <c r="A18824" s="734">
        <v>45358</v>
      </c>
      <c r="B18824" s="63" t="s">
        <v>11738</v>
      </c>
      <c r="C18824" s="63" t="s">
        <v>10993</v>
      </c>
      <c r="D18824" s="183" t="s">
        <v>12658</v>
      </c>
      <c r="E18824" s="126">
        <v>9000</v>
      </c>
      <c r="F18824" s="126"/>
      <c r="G18824" s="126">
        <f t="shared" si="382"/>
        <v>-9000</v>
      </c>
      <c r="H18824" s="705" t="s">
        <v>12659</v>
      </c>
      <c r="J18824" s="40"/>
    </row>
    <row r="18825" spans="1:10" ht="15" x14ac:dyDescent="0.2">
      <c r="A18825" s="734">
        <v>45357</v>
      </c>
      <c r="B18825" s="63" t="s">
        <v>10908</v>
      </c>
      <c r="C18825" s="63" t="s">
        <v>10993</v>
      </c>
      <c r="D18825" s="183" t="s">
        <v>12694</v>
      </c>
      <c r="E18825" s="126">
        <v>15500</v>
      </c>
      <c r="F18825" s="126"/>
      <c r="G18825" s="126">
        <f t="shared" ref="G18825:G18828" si="383">F18825-E18825</f>
        <v>-15500</v>
      </c>
      <c r="H18825" s="705" t="s">
        <v>12659</v>
      </c>
      <c r="J18825" s="40"/>
    </row>
    <row r="18826" spans="1:10" ht="15" x14ac:dyDescent="0.2">
      <c r="A18826" s="734">
        <v>45358</v>
      </c>
      <c r="B18826" s="63" t="s">
        <v>10908</v>
      </c>
      <c r="C18826" s="63" t="s">
        <v>286</v>
      </c>
      <c r="D18826" s="183" t="s">
        <v>12689</v>
      </c>
      <c r="E18826" s="126">
        <v>650</v>
      </c>
      <c r="F18826" s="126"/>
      <c r="G18826" s="126">
        <f t="shared" si="383"/>
        <v>-650</v>
      </c>
      <c r="H18826" s="705" t="s">
        <v>12659</v>
      </c>
      <c r="J18826" s="40"/>
    </row>
    <row r="18827" spans="1:10" ht="15" x14ac:dyDescent="0.2">
      <c r="A18827" s="734">
        <v>45358</v>
      </c>
      <c r="B18827" s="63" t="s">
        <v>8559</v>
      </c>
      <c r="C18827" s="63" t="s">
        <v>11975</v>
      </c>
      <c r="D18827" s="183" t="s">
        <v>12692</v>
      </c>
      <c r="E18827" s="126">
        <v>20000</v>
      </c>
      <c r="F18827" s="126"/>
      <c r="G18827" s="126">
        <f t="shared" si="383"/>
        <v>-20000</v>
      </c>
      <c r="H18827" s="705" t="s">
        <v>12659</v>
      </c>
      <c r="J18827" s="40"/>
    </row>
    <row r="18828" spans="1:10" ht="15" x14ac:dyDescent="0.2">
      <c r="A18828" s="734">
        <v>45358</v>
      </c>
      <c r="B18828" s="63" t="s">
        <v>11089</v>
      </c>
      <c r="C18828" s="63" t="s">
        <v>5741</v>
      </c>
      <c r="D18828" s="183" t="s">
        <v>370</v>
      </c>
      <c r="E18828" s="126">
        <v>800</v>
      </c>
      <c r="F18828" s="126"/>
      <c r="G18828" s="126">
        <f t="shared" si="383"/>
        <v>-800</v>
      </c>
      <c r="H18828" s="705" t="s">
        <v>12659</v>
      </c>
      <c r="J18828" s="40"/>
    </row>
    <row r="18829" spans="1:10" ht="15" x14ac:dyDescent="0.2">
      <c r="A18829" s="734">
        <v>45359</v>
      </c>
      <c r="B18829" s="63" t="s">
        <v>103</v>
      </c>
      <c r="C18829" s="63" t="s">
        <v>103</v>
      </c>
      <c r="D18829" s="183" t="s">
        <v>12557</v>
      </c>
      <c r="E18829" s="126">
        <v>4000</v>
      </c>
      <c r="F18829" s="126"/>
      <c r="G18829" s="126">
        <f t="shared" ref="G18829:G18838" si="384">F18829-E18829</f>
        <v>-4000</v>
      </c>
      <c r="H18829" s="705" t="s">
        <v>12659</v>
      </c>
      <c r="J18829" s="40"/>
    </row>
    <row r="18830" spans="1:10" ht="15" x14ac:dyDescent="0.2">
      <c r="A18830" s="734">
        <v>45359</v>
      </c>
      <c r="B18830" s="63" t="s">
        <v>12695</v>
      </c>
      <c r="C18830" s="63" t="s">
        <v>10993</v>
      </c>
      <c r="D18830" s="183" t="s">
        <v>12696</v>
      </c>
      <c r="E18830" s="126">
        <v>182980</v>
      </c>
      <c r="F18830" s="126"/>
      <c r="G18830" s="126">
        <f t="shared" si="384"/>
        <v>-182980</v>
      </c>
      <c r="H18830" s="705" t="s">
        <v>12659</v>
      </c>
      <c r="J18830" s="40"/>
    </row>
    <row r="18831" spans="1:10" ht="15" x14ac:dyDescent="0.2">
      <c r="A18831" s="734">
        <v>45359</v>
      </c>
      <c r="B18831" s="63" t="s">
        <v>12695</v>
      </c>
      <c r="C18831" s="63" t="s">
        <v>5741</v>
      </c>
      <c r="D18831" s="183" t="s">
        <v>370</v>
      </c>
      <c r="E18831" s="126">
        <v>500</v>
      </c>
      <c r="F18831" s="126"/>
      <c r="G18831" s="126">
        <f t="shared" si="384"/>
        <v>-500</v>
      </c>
      <c r="H18831" s="705" t="s">
        <v>12659</v>
      </c>
      <c r="J18831" s="40"/>
    </row>
    <row r="18832" spans="1:10" ht="15" x14ac:dyDescent="0.2">
      <c r="A18832" s="734">
        <v>45359</v>
      </c>
      <c r="B18832" s="63" t="s">
        <v>12695</v>
      </c>
      <c r="C18832" s="63" t="s">
        <v>286</v>
      </c>
      <c r="D18832" s="183" t="s">
        <v>8663</v>
      </c>
      <c r="E18832" s="126">
        <v>500</v>
      </c>
      <c r="F18832" s="126"/>
      <c r="G18832" s="126">
        <f t="shared" si="384"/>
        <v>-500</v>
      </c>
      <c r="H18832" s="705" t="s">
        <v>12659</v>
      </c>
      <c r="J18832" s="40"/>
    </row>
    <row r="18833" spans="1:10" ht="15" x14ac:dyDescent="0.2">
      <c r="A18833" s="734">
        <v>45359</v>
      </c>
      <c r="B18833" s="63" t="s">
        <v>12695</v>
      </c>
      <c r="C18833" s="63" t="s">
        <v>11884</v>
      </c>
      <c r="D18833" s="183" t="s">
        <v>12697</v>
      </c>
      <c r="E18833" s="126">
        <v>10000</v>
      </c>
      <c r="F18833" s="126"/>
      <c r="G18833" s="126">
        <f t="shared" si="384"/>
        <v>-10000</v>
      </c>
      <c r="H18833" s="705" t="s">
        <v>12659</v>
      </c>
      <c r="J18833" s="40"/>
    </row>
    <row r="18834" spans="1:10" ht="15" x14ac:dyDescent="0.2">
      <c r="A18834" s="734">
        <v>45359</v>
      </c>
      <c r="B18834" s="63" t="s">
        <v>12695</v>
      </c>
      <c r="C18834" s="63" t="s">
        <v>5741</v>
      </c>
      <c r="D18834" s="183" t="s">
        <v>370</v>
      </c>
      <c r="E18834" s="126">
        <v>1500</v>
      </c>
      <c r="F18834" s="126"/>
      <c r="G18834" s="126">
        <f t="shared" si="384"/>
        <v>-1500</v>
      </c>
      <c r="H18834" s="705" t="s">
        <v>12659</v>
      </c>
      <c r="J18834" s="40"/>
    </row>
    <row r="18835" spans="1:10" ht="15" x14ac:dyDescent="0.2">
      <c r="A18835" s="734">
        <v>45359</v>
      </c>
      <c r="B18835" s="63" t="s">
        <v>11089</v>
      </c>
      <c r="C18835" s="63" t="s">
        <v>10993</v>
      </c>
      <c r="D18835" s="183" t="s">
        <v>12700</v>
      </c>
      <c r="E18835" s="126">
        <v>233500</v>
      </c>
      <c r="F18835" s="126"/>
      <c r="G18835" s="126">
        <f t="shared" si="384"/>
        <v>-233500</v>
      </c>
      <c r="H18835" s="705" t="s">
        <v>12659</v>
      </c>
      <c r="J18835" s="40"/>
    </row>
    <row r="18836" spans="1:10" ht="15" x14ac:dyDescent="0.2">
      <c r="A18836" s="734">
        <v>45359</v>
      </c>
      <c r="B18836" s="63" t="s">
        <v>11089</v>
      </c>
      <c r="C18836" s="63" t="s">
        <v>10993</v>
      </c>
      <c r="D18836" s="183" t="s">
        <v>12701</v>
      </c>
      <c r="E18836" s="126">
        <v>35600</v>
      </c>
      <c r="F18836" s="126"/>
      <c r="G18836" s="126">
        <f t="shared" si="384"/>
        <v>-35600</v>
      </c>
      <c r="H18836" s="705" t="s">
        <v>12659</v>
      </c>
      <c r="J18836" s="40"/>
    </row>
    <row r="18837" spans="1:10" ht="15" x14ac:dyDescent="0.2">
      <c r="A18837" s="734">
        <v>45359</v>
      </c>
      <c r="B18837" s="63" t="s">
        <v>11897</v>
      </c>
      <c r="C18837" s="63" t="s">
        <v>10993</v>
      </c>
      <c r="D18837" s="183" t="s">
        <v>12702</v>
      </c>
      <c r="E18837" s="126">
        <v>32000</v>
      </c>
      <c r="F18837" s="126"/>
      <c r="G18837" s="126">
        <f t="shared" si="384"/>
        <v>-32000</v>
      </c>
      <c r="H18837" s="705" t="s">
        <v>12659</v>
      </c>
      <c r="J18837" s="40"/>
    </row>
    <row r="18838" spans="1:10" ht="15" x14ac:dyDescent="0.2">
      <c r="A18838" s="734">
        <v>45359</v>
      </c>
      <c r="B18838" s="63" t="s">
        <v>11089</v>
      </c>
      <c r="C18838" s="63" t="s">
        <v>10993</v>
      </c>
      <c r="D18838" s="183" t="s">
        <v>12703</v>
      </c>
      <c r="E18838" s="126">
        <v>12000</v>
      </c>
      <c r="F18838" s="126"/>
      <c r="G18838" s="126">
        <f t="shared" si="384"/>
        <v>-12000</v>
      </c>
      <c r="H18838" s="705" t="s">
        <v>12659</v>
      </c>
      <c r="J18838" s="40"/>
    </row>
    <row r="18839" spans="1:10" ht="15" x14ac:dyDescent="0.2">
      <c r="A18839" s="734">
        <v>45360</v>
      </c>
      <c r="B18839" s="63" t="s">
        <v>103</v>
      </c>
      <c r="C18839" s="63" t="s">
        <v>103</v>
      </c>
      <c r="D18839" s="183" t="s">
        <v>12557</v>
      </c>
      <c r="E18839" s="126">
        <v>3000</v>
      </c>
      <c r="F18839" s="126"/>
      <c r="G18839" s="126">
        <f t="shared" ref="G18839:G18845" si="385">F18839-E18839</f>
        <v>-3000</v>
      </c>
      <c r="H18839" s="705" t="s">
        <v>12659</v>
      </c>
      <c r="J18839" s="40"/>
    </row>
    <row r="18840" spans="1:10" ht="15" x14ac:dyDescent="0.2">
      <c r="A18840" s="734">
        <v>45360</v>
      </c>
      <c r="B18840" s="63" t="s">
        <v>8559</v>
      </c>
      <c r="C18840" s="63" t="s">
        <v>3104</v>
      </c>
      <c r="D18840" s="183" t="s">
        <v>12758</v>
      </c>
      <c r="E18840" s="126">
        <v>10000</v>
      </c>
      <c r="F18840" s="126"/>
      <c r="G18840" s="126">
        <f t="shared" si="385"/>
        <v>-10000</v>
      </c>
      <c r="H18840" s="705" t="s">
        <v>12659</v>
      </c>
      <c r="J18840" s="40"/>
    </row>
    <row r="18841" spans="1:10" ht="15" x14ac:dyDescent="0.2">
      <c r="A18841" s="734">
        <v>45360</v>
      </c>
      <c r="B18841" s="63" t="s">
        <v>11089</v>
      </c>
      <c r="C18841" s="63" t="s">
        <v>10993</v>
      </c>
      <c r="D18841" s="183" t="s">
        <v>12704</v>
      </c>
      <c r="E18841" s="126">
        <v>1050</v>
      </c>
      <c r="F18841" s="126"/>
      <c r="G18841" s="126">
        <f t="shared" si="385"/>
        <v>-1050</v>
      </c>
      <c r="H18841" s="705" t="s">
        <v>12659</v>
      </c>
      <c r="J18841" s="40"/>
    </row>
    <row r="18842" spans="1:10" ht="15" x14ac:dyDescent="0.2">
      <c r="A18842" s="734">
        <v>45360</v>
      </c>
      <c r="B18842" s="63" t="s">
        <v>11089</v>
      </c>
      <c r="C18842" s="63" t="s">
        <v>103</v>
      </c>
      <c r="D18842" s="183" t="s">
        <v>12705</v>
      </c>
      <c r="E18842" s="126">
        <v>12000</v>
      </c>
      <c r="F18842" s="126"/>
      <c r="G18842" s="126">
        <f t="shared" si="385"/>
        <v>-12000</v>
      </c>
      <c r="H18842" s="705" t="s">
        <v>12659</v>
      </c>
      <c r="J18842" s="40"/>
    </row>
    <row r="18843" spans="1:10" ht="15" x14ac:dyDescent="0.2">
      <c r="A18843" s="734">
        <v>45360</v>
      </c>
      <c r="B18843" s="63" t="s">
        <v>11897</v>
      </c>
      <c r="C18843" s="63" t="s">
        <v>11029</v>
      </c>
      <c r="D18843" s="183" t="s">
        <v>10721</v>
      </c>
      <c r="E18843" s="126">
        <v>100000</v>
      </c>
      <c r="F18843" s="126"/>
      <c r="G18843" s="126">
        <f t="shared" si="385"/>
        <v>-100000</v>
      </c>
      <c r="H18843" s="705" t="s">
        <v>12659</v>
      </c>
      <c r="J18843" s="40"/>
    </row>
    <row r="18844" spans="1:10" ht="15" x14ac:dyDescent="0.2">
      <c r="A18844" s="734">
        <v>45360</v>
      </c>
      <c r="B18844" s="63" t="s">
        <v>9986</v>
      </c>
      <c r="C18844" s="63" t="s">
        <v>6423</v>
      </c>
      <c r="D18844" s="183" t="s">
        <v>12461</v>
      </c>
      <c r="E18844" s="126">
        <v>40000</v>
      </c>
      <c r="F18844" s="126"/>
      <c r="G18844" s="126">
        <f t="shared" si="385"/>
        <v>-40000</v>
      </c>
      <c r="H18844" s="705" t="s">
        <v>12659</v>
      </c>
      <c r="J18844" s="40"/>
    </row>
    <row r="18845" spans="1:10" ht="15" x14ac:dyDescent="0.2">
      <c r="A18845" s="734">
        <v>45360</v>
      </c>
      <c r="B18845" s="63" t="s">
        <v>11089</v>
      </c>
      <c r="C18845" s="63" t="s">
        <v>12472</v>
      </c>
      <c r="D18845" s="183" t="s">
        <v>12714</v>
      </c>
      <c r="E18845" s="126">
        <v>10000</v>
      </c>
      <c r="F18845" s="126"/>
      <c r="G18845" s="126">
        <f t="shared" si="385"/>
        <v>-10000</v>
      </c>
      <c r="H18845" s="705" t="s">
        <v>12659</v>
      </c>
      <c r="J18845" s="40"/>
    </row>
    <row r="18846" spans="1:10" ht="15" x14ac:dyDescent="0.2">
      <c r="A18846" s="734">
        <v>45362</v>
      </c>
      <c r="B18846" s="63" t="s">
        <v>3946</v>
      </c>
      <c r="C18846" s="63" t="s">
        <v>5741</v>
      </c>
      <c r="D18846" s="183" t="s">
        <v>12706</v>
      </c>
      <c r="E18846" s="126">
        <v>3000</v>
      </c>
      <c r="F18846" s="126"/>
      <c r="G18846" s="126">
        <f t="shared" ref="G18846:G18851" si="386">F18846-E18846</f>
        <v>-3000</v>
      </c>
      <c r="H18846" s="705" t="s">
        <v>12659</v>
      </c>
      <c r="J18846" s="40"/>
    </row>
    <row r="18847" spans="1:10" ht="15" x14ac:dyDescent="0.2">
      <c r="A18847" s="734">
        <v>45362</v>
      </c>
      <c r="B18847" s="63" t="s">
        <v>11089</v>
      </c>
      <c r="C18847" s="63" t="s">
        <v>10993</v>
      </c>
      <c r="D18847" s="183" t="s">
        <v>9917</v>
      </c>
      <c r="E18847" s="126">
        <v>19650</v>
      </c>
      <c r="F18847" s="126"/>
      <c r="G18847" s="126">
        <f t="shared" si="386"/>
        <v>-19650</v>
      </c>
      <c r="H18847" s="705" t="s">
        <v>12659</v>
      </c>
      <c r="J18847" s="40"/>
    </row>
    <row r="18848" spans="1:10" ht="15" x14ac:dyDescent="0.2">
      <c r="A18848" s="734">
        <v>45362</v>
      </c>
      <c r="B18848" s="63" t="s">
        <v>11089</v>
      </c>
      <c r="C18848" s="63" t="s">
        <v>6784</v>
      </c>
      <c r="D18848" s="183" t="s">
        <v>12302</v>
      </c>
      <c r="E18848" s="126">
        <v>250000</v>
      </c>
      <c r="F18848" s="126"/>
      <c r="G18848" s="126">
        <f t="shared" si="386"/>
        <v>-250000</v>
      </c>
      <c r="H18848" s="705" t="s">
        <v>12659</v>
      </c>
      <c r="J18848" s="40"/>
    </row>
    <row r="18849" spans="1:10" ht="15" x14ac:dyDescent="0.2">
      <c r="A18849" s="734">
        <v>45362</v>
      </c>
      <c r="B18849" s="63" t="s">
        <v>10908</v>
      </c>
      <c r="C18849" s="63" t="s">
        <v>392</v>
      </c>
      <c r="D18849" s="183" t="s">
        <v>3991</v>
      </c>
      <c r="E18849" s="126">
        <v>2800</v>
      </c>
      <c r="F18849" s="126"/>
      <c r="G18849" s="126">
        <f t="shared" si="386"/>
        <v>-2800</v>
      </c>
      <c r="H18849" s="705" t="s">
        <v>12659</v>
      </c>
      <c r="J18849" s="40"/>
    </row>
    <row r="18850" spans="1:10" ht="15" x14ac:dyDescent="0.2">
      <c r="A18850" s="734">
        <v>45362</v>
      </c>
      <c r="B18850" s="63" t="s">
        <v>11897</v>
      </c>
      <c r="C18850" s="63" t="s">
        <v>11386</v>
      </c>
      <c r="D18850" s="183" t="s">
        <v>12302</v>
      </c>
      <c r="E18850" s="126">
        <v>125000</v>
      </c>
      <c r="F18850" s="126"/>
      <c r="G18850" s="126">
        <f t="shared" si="386"/>
        <v>-125000</v>
      </c>
      <c r="H18850" s="705" t="s">
        <v>12659</v>
      </c>
      <c r="J18850" s="40"/>
    </row>
    <row r="18851" spans="1:10" ht="15" x14ac:dyDescent="0.2">
      <c r="A18851" s="734">
        <v>45362</v>
      </c>
      <c r="B18851" s="63" t="s">
        <v>11897</v>
      </c>
      <c r="C18851" s="63" t="s">
        <v>10993</v>
      </c>
      <c r="D18851" s="183" t="s">
        <v>12721</v>
      </c>
      <c r="E18851" s="126">
        <v>47000</v>
      </c>
      <c r="F18851" s="126"/>
      <c r="G18851" s="126">
        <f t="shared" si="386"/>
        <v>-47000</v>
      </c>
      <c r="H18851" s="705" t="s">
        <v>12659</v>
      </c>
      <c r="J18851" s="40"/>
    </row>
    <row r="18852" spans="1:10" ht="15" x14ac:dyDescent="0.2">
      <c r="A18852" s="734">
        <v>45362</v>
      </c>
      <c r="B18852" s="63" t="s">
        <v>3946</v>
      </c>
      <c r="C18852" s="63" t="s">
        <v>5741</v>
      </c>
      <c r="D18852" s="183" t="s">
        <v>12706</v>
      </c>
      <c r="E18852" s="126">
        <v>3000</v>
      </c>
      <c r="F18852" s="126"/>
      <c r="G18852" s="126">
        <f t="shared" ref="G18852:G18864" si="387">F18852-E18852</f>
        <v>-3000</v>
      </c>
      <c r="H18852" s="705" t="s">
        <v>12659</v>
      </c>
      <c r="J18852" s="40"/>
    </row>
    <row r="18853" spans="1:10" ht="15" x14ac:dyDescent="0.2">
      <c r="A18853" s="734">
        <v>45362</v>
      </c>
      <c r="B18853" s="63" t="s">
        <v>11897</v>
      </c>
      <c r="C18853" s="63" t="s">
        <v>5741</v>
      </c>
      <c r="D18853" s="183" t="s">
        <v>370</v>
      </c>
      <c r="E18853" s="126">
        <v>2000</v>
      </c>
      <c r="F18853" s="126"/>
      <c r="G18853" s="126">
        <f t="shared" si="387"/>
        <v>-2000</v>
      </c>
      <c r="H18853" s="705" t="s">
        <v>12659</v>
      </c>
      <c r="J18853" s="40"/>
    </row>
    <row r="18854" spans="1:10" ht="15" x14ac:dyDescent="0.2">
      <c r="A18854" s="734">
        <v>45362</v>
      </c>
      <c r="B18854" s="63" t="s">
        <v>103</v>
      </c>
      <c r="C18854" s="63" t="s">
        <v>103</v>
      </c>
      <c r="D18854" s="183" t="s">
        <v>12557</v>
      </c>
      <c r="E18854" s="126">
        <v>2000</v>
      </c>
      <c r="F18854" s="126"/>
      <c r="G18854" s="126">
        <f t="shared" si="387"/>
        <v>-2000</v>
      </c>
      <c r="H18854" s="705" t="s">
        <v>12659</v>
      </c>
      <c r="J18854" s="40"/>
    </row>
    <row r="18855" spans="1:10" ht="15" x14ac:dyDescent="0.2">
      <c r="A18855" s="734">
        <v>45362</v>
      </c>
      <c r="B18855" s="63" t="s">
        <v>12634</v>
      </c>
      <c r="C18855" s="63" t="s">
        <v>5741</v>
      </c>
      <c r="D18855" s="183" t="s">
        <v>12722</v>
      </c>
      <c r="E18855" s="126">
        <v>500</v>
      </c>
      <c r="F18855" s="126"/>
      <c r="G18855" s="126">
        <f t="shared" si="387"/>
        <v>-500</v>
      </c>
      <c r="H18855" s="705" t="s">
        <v>12659</v>
      </c>
      <c r="J18855" s="40"/>
    </row>
    <row r="18856" spans="1:10" ht="15" x14ac:dyDescent="0.2">
      <c r="A18856" s="734">
        <v>45362</v>
      </c>
      <c r="B18856" s="63" t="s">
        <v>12723</v>
      </c>
      <c r="C18856" s="63" t="s">
        <v>5741</v>
      </c>
      <c r="D18856" s="183" t="s">
        <v>12722</v>
      </c>
      <c r="E18856" s="126">
        <v>550</v>
      </c>
      <c r="F18856" s="126"/>
      <c r="G18856" s="126">
        <f t="shared" si="387"/>
        <v>-550</v>
      </c>
      <c r="H18856" s="705" t="s">
        <v>12659</v>
      </c>
      <c r="J18856" s="40"/>
    </row>
    <row r="18857" spans="1:10" ht="15" x14ac:dyDescent="0.2">
      <c r="A18857" s="734">
        <v>45362</v>
      </c>
      <c r="B18857" s="63" t="s">
        <v>11897</v>
      </c>
      <c r="C18857" s="63" t="s">
        <v>10993</v>
      </c>
      <c r="D18857" s="183" t="s">
        <v>9546</v>
      </c>
      <c r="E18857" s="126">
        <v>2500</v>
      </c>
      <c r="F18857" s="126"/>
      <c r="G18857" s="126">
        <f t="shared" si="387"/>
        <v>-2500</v>
      </c>
      <c r="H18857" s="705" t="s">
        <v>12659</v>
      </c>
      <c r="J18857" s="40"/>
    </row>
    <row r="18858" spans="1:10" ht="15" x14ac:dyDescent="0.2">
      <c r="A18858" s="734">
        <v>45362</v>
      </c>
      <c r="B18858" s="63" t="s">
        <v>11897</v>
      </c>
      <c r="C18858" s="63" t="s">
        <v>5741</v>
      </c>
      <c r="D18858" s="183" t="s">
        <v>12724</v>
      </c>
      <c r="E18858" s="126">
        <v>1500</v>
      </c>
      <c r="F18858" s="126"/>
      <c r="G18858" s="126">
        <f t="shared" si="387"/>
        <v>-1500</v>
      </c>
      <c r="H18858" s="705" t="s">
        <v>12659</v>
      </c>
      <c r="J18858" s="40"/>
    </row>
    <row r="18859" spans="1:10" ht="15" x14ac:dyDescent="0.2">
      <c r="A18859" s="734">
        <v>45362</v>
      </c>
      <c r="B18859" s="63" t="s">
        <v>11135</v>
      </c>
      <c r="C18859" s="63" t="s">
        <v>10993</v>
      </c>
      <c r="D18859" s="183" t="s">
        <v>12725</v>
      </c>
      <c r="E18859" s="126">
        <v>2000</v>
      </c>
      <c r="F18859" s="126"/>
      <c r="G18859" s="126">
        <f t="shared" si="387"/>
        <v>-2000</v>
      </c>
      <c r="H18859" s="705" t="s">
        <v>12659</v>
      </c>
      <c r="J18859" s="40"/>
    </row>
    <row r="18860" spans="1:10" ht="15" x14ac:dyDescent="0.2">
      <c r="A18860" s="734">
        <v>45362</v>
      </c>
      <c r="B18860" s="63" t="s">
        <v>103</v>
      </c>
      <c r="C18860" s="63" t="s">
        <v>103</v>
      </c>
      <c r="D18860" s="183" t="s">
        <v>12726</v>
      </c>
      <c r="E18860" s="126">
        <v>8000</v>
      </c>
      <c r="F18860" s="126"/>
      <c r="G18860" s="126">
        <f t="shared" si="387"/>
        <v>-8000</v>
      </c>
      <c r="H18860" s="705" t="s">
        <v>12659</v>
      </c>
      <c r="J18860" s="40"/>
    </row>
    <row r="18861" spans="1:10" ht="15" x14ac:dyDescent="0.2">
      <c r="A18861" s="734">
        <v>45362</v>
      </c>
      <c r="B18861" s="63" t="s">
        <v>12713</v>
      </c>
      <c r="C18861" s="63" t="s">
        <v>5410</v>
      </c>
      <c r="D18861" s="183" t="s">
        <v>12727</v>
      </c>
      <c r="E18861" s="126">
        <v>5000</v>
      </c>
      <c r="F18861" s="126"/>
      <c r="G18861" s="126">
        <f t="shared" si="387"/>
        <v>-5000</v>
      </c>
      <c r="H18861" s="705" t="s">
        <v>12659</v>
      </c>
      <c r="J18861" s="40"/>
    </row>
    <row r="18862" spans="1:10" ht="15" x14ac:dyDescent="0.2">
      <c r="A18862" s="734">
        <v>45363</v>
      </c>
      <c r="B18862" s="63" t="s">
        <v>11089</v>
      </c>
      <c r="C18862" s="63" t="s">
        <v>11552</v>
      </c>
      <c r="D18862" s="183" t="s">
        <v>12728</v>
      </c>
      <c r="E18862" s="126">
        <v>60600</v>
      </c>
      <c r="F18862" s="126"/>
      <c r="G18862" s="126">
        <f t="shared" si="387"/>
        <v>-60600</v>
      </c>
      <c r="H18862" s="705" t="s">
        <v>12659</v>
      </c>
      <c r="J18862" s="40"/>
    </row>
    <row r="18863" spans="1:10" ht="15" x14ac:dyDescent="0.2">
      <c r="A18863" s="734">
        <v>45363</v>
      </c>
      <c r="B18863" s="63" t="s">
        <v>11089</v>
      </c>
      <c r="C18863" s="63" t="s">
        <v>10993</v>
      </c>
      <c r="D18863" s="183" t="s">
        <v>12729</v>
      </c>
      <c r="E18863" s="126">
        <v>9600</v>
      </c>
      <c r="F18863" s="126"/>
      <c r="G18863" s="126">
        <f t="shared" si="387"/>
        <v>-9600</v>
      </c>
      <c r="H18863" s="705" t="s">
        <v>12659</v>
      </c>
      <c r="J18863" s="40"/>
    </row>
    <row r="18864" spans="1:10" ht="15" x14ac:dyDescent="0.2">
      <c r="A18864" s="734">
        <v>45363</v>
      </c>
      <c r="B18864" s="63" t="s">
        <v>11897</v>
      </c>
      <c r="C18864" s="63" t="s">
        <v>10993</v>
      </c>
      <c r="D18864" s="183" t="s">
        <v>12730</v>
      </c>
      <c r="E18864" s="126">
        <v>39950</v>
      </c>
      <c r="F18864" s="126"/>
      <c r="G18864" s="126">
        <f t="shared" si="387"/>
        <v>-39950</v>
      </c>
      <c r="H18864" s="705" t="s">
        <v>12659</v>
      </c>
      <c r="J18864" s="40"/>
    </row>
    <row r="18865" spans="1:10" ht="15" x14ac:dyDescent="0.2">
      <c r="A18865" s="734">
        <v>45363</v>
      </c>
      <c r="B18865" s="63" t="s">
        <v>11897</v>
      </c>
      <c r="C18865" s="63" t="s">
        <v>5741</v>
      </c>
      <c r="D18865" s="183" t="s">
        <v>370</v>
      </c>
      <c r="E18865" s="126">
        <v>2000</v>
      </c>
      <c r="F18865" s="126"/>
      <c r="G18865" s="126">
        <f t="shared" ref="G18865:G18876" si="388">F18865-E18865</f>
        <v>-2000</v>
      </c>
      <c r="H18865" s="705" t="s">
        <v>12659</v>
      </c>
      <c r="J18865" s="40"/>
    </row>
    <row r="18866" spans="1:10" ht="15" x14ac:dyDescent="0.2">
      <c r="A18866" s="734">
        <v>45363</v>
      </c>
      <c r="B18866" s="63" t="s">
        <v>11089</v>
      </c>
      <c r="C18866" s="63" t="s">
        <v>5741</v>
      </c>
      <c r="D18866" s="183" t="s">
        <v>370</v>
      </c>
      <c r="E18866" s="126">
        <v>1500</v>
      </c>
      <c r="F18866" s="126"/>
      <c r="G18866" s="126">
        <f t="shared" si="388"/>
        <v>-1500</v>
      </c>
      <c r="H18866" s="705" t="s">
        <v>12659</v>
      </c>
      <c r="J18866" s="40"/>
    </row>
    <row r="18867" spans="1:10" ht="15" x14ac:dyDescent="0.2">
      <c r="A18867" s="734">
        <v>45363</v>
      </c>
      <c r="B18867" s="63" t="s">
        <v>11089</v>
      </c>
      <c r="C18867" s="63" t="s">
        <v>10993</v>
      </c>
      <c r="D18867" s="183" t="s">
        <v>12734</v>
      </c>
      <c r="E18867" s="126">
        <v>18000</v>
      </c>
      <c r="F18867" s="126"/>
      <c r="G18867" s="126">
        <f t="shared" si="388"/>
        <v>-18000</v>
      </c>
      <c r="H18867" s="705" t="s">
        <v>12659</v>
      </c>
      <c r="J18867" s="40"/>
    </row>
    <row r="18868" spans="1:10" ht="15" x14ac:dyDescent="0.2">
      <c r="A18868" s="734">
        <v>45364</v>
      </c>
      <c r="B18868" s="63" t="s">
        <v>11897</v>
      </c>
      <c r="C18868" s="63" t="s">
        <v>5387</v>
      </c>
      <c r="D18868" s="183" t="s">
        <v>12735</v>
      </c>
      <c r="E18868" s="126">
        <v>2400</v>
      </c>
      <c r="F18868" s="126"/>
      <c r="G18868" s="126">
        <f t="shared" si="388"/>
        <v>-2400</v>
      </c>
      <c r="H18868" s="705" t="s">
        <v>12659</v>
      </c>
      <c r="J18868" s="40"/>
    </row>
    <row r="18869" spans="1:10" ht="15" x14ac:dyDescent="0.2">
      <c r="A18869" s="734">
        <v>45364</v>
      </c>
      <c r="B18869" s="63" t="s">
        <v>11738</v>
      </c>
      <c r="C18869" s="63" t="s">
        <v>5741</v>
      </c>
      <c r="D18869" s="183" t="s">
        <v>370</v>
      </c>
      <c r="E18869" s="126">
        <v>2000</v>
      </c>
      <c r="F18869" s="126"/>
      <c r="G18869" s="126">
        <f t="shared" si="388"/>
        <v>-2000</v>
      </c>
      <c r="H18869" s="705" t="s">
        <v>12659</v>
      </c>
      <c r="J18869" s="40"/>
    </row>
    <row r="18870" spans="1:10" ht="15" x14ac:dyDescent="0.2">
      <c r="A18870" s="734">
        <v>45364</v>
      </c>
      <c r="B18870" s="63" t="s">
        <v>103</v>
      </c>
      <c r="C18870" s="63" t="s">
        <v>8230</v>
      </c>
      <c r="D18870" s="183" t="s">
        <v>1157</v>
      </c>
      <c r="E18870" s="126">
        <v>5000</v>
      </c>
      <c r="F18870" s="126"/>
      <c r="G18870" s="126">
        <f t="shared" si="388"/>
        <v>-5000</v>
      </c>
      <c r="H18870" s="705" t="s">
        <v>12659</v>
      </c>
      <c r="J18870" s="40"/>
    </row>
    <row r="18871" spans="1:10" ht="15" x14ac:dyDescent="0.2">
      <c r="A18871" s="734">
        <v>45364</v>
      </c>
      <c r="B18871" s="63" t="s">
        <v>11738</v>
      </c>
      <c r="C18871" s="63" t="s">
        <v>1495</v>
      </c>
      <c r="D18871" s="183" t="s">
        <v>12736</v>
      </c>
      <c r="E18871" s="126">
        <v>4860</v>
      </c>
      <c r="F18871" s="126"/>
      <c r="G18871" s="126">
        <f t="shared" si="388"/>
        <v>-4860</v>
      </c>
      <c r="H18871" s="705" t="s">
        <v>12659</v>
      </c>
      <c r="J18871" s="40"/>
    </row>
    <row r="18872" spans="1:10" ht="15" x14ac:dyDescent="0.2">
      <c r="A18872" s="734">
        <v>45364</v>
      </c>
      <c r="B18872" s="63" t="s">
        <v>11738</v>
      </c>
      <c r="C18872" s="63" t="s">
        <v>10993</v>
      </c>
      <c r="D18872" s="183" t="s">
        <v>12737</v>
      </c>
      <c r="E18872" s="126">
        <v>63240</v>
      </c>
      <c r="F18872" s="126"/>
      <c r="G18872" s="126">
        <f t="shared" si="388"/>
        <v>-63240</v>
      </c>
      <c r="H18872" s="705" t="s">
        <v>12659</v>
      </c>
      <c r="J18872" s="40"/>
    </row>
    <row r="18873" spans="1:10" ht="15" x14ac:dyDescent="0.2">
      <c r="A18873" s="734">
        <v>45364</v>
      </c>
      <c r="B18873" s="63" t="s">
        <v>11738</v>
      </c>
      <c r="C18873" s="63" t="s">
        <v>10993</v>
      </c>
      <c r="D18873" s="183" t="s">
        <v>12738</v>
      </c>
      <c r="E18873" s="126">
        <v>5280</v>
      </c>
      <c r="F18873" s="126"/>
      <c r="G18873" s="126">
        <f t="shared" si="388"/>
        <v>-5280</v>
      </c>
      <c r="H18873" s="705" t="s">
        <v>12659</v>
      </c>
      <c r="J18873" s="40"/>
    </row>
    <row r="18874" spans="1:10" ht="15" x14ac:dyDescent="0.2">
      <c r="A18874" s="734">
        <v>45364</v>
      </c>
      <c r="B18874" s="63" t="s">
        <v>11897</v>
      </c>
      <c r="C18874" s="63" t="s">
        <v>8091</v>
      </c>
      <c r="D18874" s="183" t="s">
        <v>12739</v>
      </c>
      <c r="E18874" s="126">
        <v>250000</v>
      </c>
      <c r="F18874" s="126"/>
      <c r="G18874" s="126">
        <f t="shared" si="388"/>
        <v>-250000</v>
      </c>
      <c r="H18874" s="705" t="s">
        <v>12659</v>
      </c>
      <c r="J18874" s="40"/>
    </row>
    <row r="18875" spans="1:10" ht="48" x14ac:dyDescent="0.2">
      <c r="A18875" s="734">
        <v>45364</v>
      </c>
      <c r="B18875" s="63" t="s">
        <v>103</v>
      </c>
      <c r="C18875" s="63" t="s">
        <v>12740</v>
      </c>
      <c r="D18875" s="183" t="s">
        <v>12849</v>
      </c>
      <c r="E18875" s="126">
        <v>50000</v>
      </c>
      <c r="F18875" s="126"/>
      <c r="G18875" s="126">
        <f t="shared" si="388"/>
        <v>-50000</v>
      </c>
      <c r="H18875" s="705" t="s">
        <v>12659</v>
      </c>
      <c r="J18875" s="40"/>
    </row>
    <row r="18876" spans="1:10" ht="24" x14ac:dyDescent="0.2">
      <c r="A18876" s="734">
        <v>45364</v>
      </c>
      <c r="B18876" s="63" t="s">
        <v>9356</v>
      </c>
      <c r="C18876" s="63" t="s">
        <v>10993</v>
      </c>
      <c r="D18876" s="183" t="s">
        <v>12741</v>
      </c>
      <c r="E18876" s="126">
        <v>25500</v>
      </c>
      <c r="F18876" s="126"/>
      <c r="G18876" s="126">
        <f t="shared" si="388"/>
        <v>-25500</v>
      </c>
      <c r="H18876" s="705" t="s">
        <v>12659</v>
      </c>
      <c r="J18876" s="40"/>
    </row>
    <row r="18877" spans="1:10" ht="15" x14ac:dyDescent="0.2">
      <c r="A18877" s="734">
        <v>45364</v>
      </c>
      <c r="B18877" s="63" t="s">
        <v>25</v>
      </c>
      <c r="C18877" s="63" t="s">
        <v>4065</v>
      </c>
      <c r="D18877" s="183" t="s">
        <v>12744</v>
      </c>
      <c r="E18877" s="126">
        <v>900</v>
      </c>
      <c r="F18877" s="126"/>
      <c r="G18877" s="126">
        <f t="shared" ref="G18877:G18879" si="389">F18877-E18877</f>
        <v>-900</v>
      </c>
      <c r="H18877" s="705" t="s">
        <v>12659</v>
      </c>
      <c r="J18877" s="40"/>
    </row>
    <row r="18878" spans="1:10" ht="15" x14ac:dyDescent="0.2">
      <c r="A18878" s="734">
        <v>45364</v>
      </c>
      <c r="B18878" s="63" t="s">
        <v>103</v>
      </c>
      <c r="C18878" s="63" t="s">
        <v>103</v>
      </c>
      <c r="D18878" s="183" t="s">
        <v>12557</v>
      </c>
      <c r="E18878" s="126">
        <v>1000</v>
      </c>
      <c r="F18878" s="126"/>
      <c r="G18878" s="126">
        <f t="shared" si="389"/>
        <v>-1000</v>
      </c>
      <c r="H18878" s="705" t="s">
        <v>12659</v>
      </c>
      <c r="J18878" s="40"/>
    </row>
    <row r="18879" spans="1:10" ht="15" x14ac:dyDescent="0.2">
      <c r="A18879" s="734">
        <v>45365</v>
      </c>
      <c r="B18879" s="63" t="s">
        <v>11897</v>
      </c>
      <c r="C18879" s="63" t="s">
        <v>10993</v>
      </c>
      <c r="D18879" s="183" t="s">
        <v>12745</v>
      </c>
      <c r="E18879" s="126">
        <v>1800</v>
      </c>
      <c r="F18879" s="126"/>
      <c r="G18879" s="126">
        <f t="shared" si="389"/>
        <v>-1800</v>
      </c>
      <c r="H18879" s="705" t="s">
        <v>12659</v>
      </c>
      <c r="J18879" s="40"/>
    </row>
    <row r="18880" spans="1:10" ht="15" x14ac:dyDescent="0.2">
      <c r="A18880" s="734">
        <v>45365</v>
      </c>
      <c r="B18880" s="63" t="s">
        <v>11897</v>
      </c>
      <c r="C18880" s="63" t="s">
        <v>10993</v>
      </c>
      <c r="D18880" s="183" t="s">
        <v>12747</v>
      </c>
      <c r="E18880" s="126">
        <v>1250</v>
      </c>
      <c r="F18880" s="126"/>
      <c r="G18880" s="126">
        <f t="shared" ref="G18880:G18894" si="390">F18880-E18880</f>
        <v>-1250</v>
      </c>
      <c r="H18880" s="705" t="s">
        <v>12659</v>
      </c>
      <c r="J18880" s="40"/>
    </row>
    <row r="18881" spans="1:10" ht="15" x14ac:dyDescent="0.2">
      <c r="A18881" s="734">
        <v>45365</v>
      </c>
      <c r="B18881" s="63" t="s">
        <v>25</v>
      </c>
      <c r="C18881" s="63" t="s">
        <v>8150</v>
      </c>
      <c r="D18881" s="183" t="s">
        <v>6343</v>
      </c>
      <c r="E18881" s="126">
        <v>2905</v>
      </c>
      <c r="F18881" s="126"/>
      <c r="G18881" s="126">
        <f t="shared" si="390"/>
        <v>-2905</v>
      </c>
      <c r="H18881" s="705" t="s">
        <v>12659</v>
      </c>
      <c r="J18881" s="40"/>
    </row>
    <row r="18882" spans="1:10" ht="15" x14ac:dyDescent="0.2">
      <c r="A18882" s="734">
        <v>45365</v>
      </c>
      <c r="B18882" s="63" t="s">
        <v>103</v>
      </c>
      <c r="C18882" s="63" t="s">
        <v>8150</v>
      </c>
      <c r="D18882" s="183" t="s">
        <v>6343</v>
      </c>
      <c r="E18882" s="126">
        <v>9220</v>
      </c>
      <c r="F18882" s="126"/>
      <c r="G18882" s="126">
        <f t="shared" si="390"/>
        <v>-9220</v>
      </c>
      <c r="H18882" s="705" t="s">
        <v>12659</v>
      </c>
      <c r="J18882" s="40"/>
    </row>
    <row r="18883" spans="1:10" ht="15" x14ac:dyDescent="0.2">
      <c r="A18883" s="734">
        <v>45365</v>
      </c>
      <c r="B18883" s="63" t="s">
        <v>11897</v>
      </c>
      <c r="C18883" s="63" t="s">
        <v>5741</v>
      </c>
      <c r="D18883" s="183" t="s">
        <v>370</v>
      </c>
      <c r="E18883" s="126">
        <v>3000</v>
      </c>
      <c r="F18883" s="126"/>
      <c r="G18883" s="126">
        <f t="shared" si="390"/>
        <v>-3000</v>
      </c>
      <c r="H18883" s="705" t="s">
        <v>12659</v>
      </c>
      <c r="J18883" s="40"/>
    </row>
    <row r="18884" spans="1:10" ht="15" x14ac:dyDescent="0.2">
      <c r="A18884" s="734">
        <v>45365</v>
      </c>
      <c r="B18884" s="63" t="s">
        <v>11897</v>
      </c>
      <c r="C18884" s="63" t="s">
        <v>5741</v>
      </c>
      <c r="D18884" s="183" t="s">
        <v>12748</v>
      </c>
      <c r="E18884" s="126">
        <v>250</v>
      </c>
      <c r="F18884" s="126"/>
      <c r="G18884" s="126">
        <f t="shared" si="390"/>
        <v>-250</v>
      </c>
      <c r="H18884" s="705" t="s">
        <v>12659</v>
      </c>
      <c r="J18884" s="40"/>
    </row>
    <row r="18885" spans="1:10" ht="15" x14ac:dyDescent="0.2">
      <c r="A18885" s="734">
        <v>45365</v>
      </c>
      <c r="B18885" s="63" t="s">
        <v>10908</v>
      </c>
      <c r="C18885" s="63" t="s">
        <v>5741</v>
      </c>
      <c r="D18885" s="183" t="s">
        <v>12749</v>
      </c>
      <c r="E18885" s="126">
        <v>300</v>
      </c>
      <c r="F18885" s="126"/>
      <c r="G18885" s="126">
        <f t="shared" si="390"/>
        <v>-300</v>
      </c>
      <c r="H18885" s="705" t="s">
        <v>12659</v>
      </c>
      <c r="J18885" s="40"/>
    </row>
    <row r="18886" spans="1:10" ht="15" x14ac:dyDescent="0.2">
      <c r="A18886" s="734">
        <v>45365</v>
      </c>
      <c r="B18886" s="63" t="s">
        <v>11897</v>
      </c>
      <c r="C18886" s="63" t="s">
        <v>286</v>
      </c>
      <c r="D18886" s="183" t="s">
        <v>12750</v>
      </c>
      <c r="E18886" s="126">
        <v>1000</v>
      </c>
      <c r="F18886" s="126"/>
      <c r="G18886" s="126">
        <f t="shared" si="390"/>
        <v>-1000</v>
      </c>
      <c r="H18886" s="705" t="s">
        <v>12659</v>
      </c>
      <c r="J18886" s="40"/>
    </row>
    <row r="18887" spans="1:10" ht="15" x14ac:dyDescent="0.2">
      <c r="A18887" s="734">
        <v>45365</v>
      </c>
      <c r="B18887" s="63" t="s">
        <v>103</v>
      </c>
      <c r="C18887" s="63" t="s">
        <v>103</v>
      </c>
      <c r="D18887" s="183" t="s">
        <v>12557</v>
      </c>
      <c r="E18887" s="126">
        <v>1000</v>
      </c>
      <c r="F18887" s="126"/>
      <c r="G18887" s="126">
        <f t="shared" si="390"/>
        <v>-1000</v>
      </c>
      <c r="H18887" s="705" t="s">
        <v>12659</v>
      </c>
      <c r="J18887" s="40"/>
    </row>
    <row r="18888" spans="1:10" ht="15" x14ac:dyDescent="0.2">
      <c r="A18888" s="734">
        <v>45365</v>
      </c>
      <c r="B18888" s="63" t="s">
        <v>11897</v>
      </c>
      <c r="C18888" s="63" t="s">
        <v>5741</v>
      </c>
      <c r="D18888" s="183" t="s">
        <v>370</v>
      </c>
      <c r="E18888" s="126">
        <v>250</v>
      </c>
      <c r="F18888" s="126"/>
      <c r="G18888" s="126">
        <f t="shared" si="390"/>
        <v>-250</v>
      </c>
      <c r="H18888" s="705" t="s">
        <v>12659</v>
      </c>
      <c r="J18888" s="40"/>
    </row>
    <row r="18889" spans="1:10" ht="15" x14ac:dyDescent="0.2">
      <c r="A18889" s="734">
        <v>45365</v>
      </c>
      <c r="B18889" s="63" t="s">
        <v>11089</v>
      </c>
      <c r="C18889" s="63" t="s">
        <v>11725</v>
      </c>
      <c r="D18889" s="183" t="s">
        <v>12751</v>
      </c>
      <c r="E18889" s="126">
        <v>100000</v>
      </c>
      <c r="F18889" s="126"/>
      <c r="G18889" s="126">
        <f t="shared" si="390"/>
        <v>-100000</v>
      </c>
      <c r="H18889" s="705" t="s">
        <v>12659</v>
      </c>
      <c r="J18889" s="40"/>
    </row>
    <row r="18890" spans="1:10" ht="15" x14ac:dyDescent="0.2">
      <c r="A18890" s="734">
        <v>45365</v>
      </c>
      <c r="B18890" s="63" t="s">
        <v>11446</v>
      </c>
      <c r="C18890" s="63" t="s">
        <v>11884</v>
      </c>
      <c r="D18890" s="183" t="s">
        <v>10721</v>
      </c>
      <c r="E18890" s="126">
        <v>75000</v>
      </c>
      <c r="F18890" s="126"/>
      <c r="G18890" s="126">
        <f t="shared" si="390"/>
        <v>-75000</v>
      </c>
      <c r="H18890" s="705" t="s">
        <v>12659</v>
      </c>
      <c r="J18890" s="40"/>
    </row>
    <row r="18891" spans="1:10" ht="15" x14ac:dyDescent="0.2">
      <c r="A18891" s="734">
        <v>45365</v>
      </c>
      <c r="B18891" s="63" t="s">
        <v>25</v>
      </c>
      <c r="C18891" s="63" t="s">
        <v>392</v>
      </c>
      <c r="D18891" s="183" t="s">
        <v>12874</v>
      </c>
      <c r="E18891" s="126">
        <v>32800</v>
      </c>
      <c r="F18891" s="126"/>
      <c r="G18891" s="126">
        <f t="shared" si="390"/>
        <v>-32800</v>
      </c>
      <c r="H18891" s="705" t="s">
        <v>12659</v>
      </c>
      <c r="J18891" s="40"/>
    </row>
    <row r="18892" spans="1:10" ht="15" x14ac:dyDescent="0.2">
      <c r="A18892" s="734">
        <v>45365</v>
      </c>
      <c r="B18892" s="63" t="s">
        <v>25</v>
      </c>
      <c r="C18892" s="63" t="s">
        <v>7595</v>
      </c>
      <c r="D18892" s="183" t="s">
        <v>11376</v>
      </c>
      <c r="E18892" s="126">
        <v>85000</v>
      </c>
      <c r="F18892" s="126"/>
      <c r="G18892" s="126">
        <f t="shared" si="390"/>
        <v>-85000</v>
      </c>
      <c r="H18892" s="705" t="s">
        <v>12659</v>
      </c>
      <c r="J18892" s="40"/>
    </row>
    <row r="18893" spans="1:10" ht="15" x14ac:dyDescent="0.2">
      <c r="A18893" s="734">
        <v>45366</v>
      </c>
      <c r="B18893" s="63" t="s">
        <v>12532</v>
      </c>
      <c r="C18893" s="63" t="s">
        <v>10993</v>
      </c>
      <c r="D18893" s="183" t="s">
        <v>4966</v>
      </c>
      <c r="E18893" s="126">
        <v>193890</v>
      </c>
      <c r="F18893" s="126"/>
      <c r="G18893" s="126">
        <f t="shared" si="390"/>
        <v>-193890</v>
      </c>
      <c r="H18893" s="705" t="s">
        <v>12659</v>
      </c>
      <c r="J18893" s="40"/>
    </row>
    <row r="18894" spans="1:10" ht="15" x14ac:dyDescent="0.2">
      <c r="A18894" s="734">
        <v>45366</v>
      </c>
      <c r="B18894" s="63" t="s">
        <v>12532</v>
      </c>
      <c r="C18894" s="63" t="s">
        <v>10993</v>
      </c>
      <c r="D18894" s="183" t="s">
        <v>4966</v>
      </c>
      <c r="E18894" s="126">
        <v>116460</v>
      </c>
      <c r="F18894" s="126"/>
      <c r="G18894" s="126">
        <f t="shared" si="390"/>
        <v>-116460</v>
      </c>
      <c r="H18894" s="705" t="s">
        <v>12659</v>
      </c>
      <c r="J18894" s="40"/>
    </row>
    <row r="18895" spans="1:10" ht="15" x14ac:dyDescent="0.2">
      <c r="A18895" s="734">
        <v>45366</v>
      </c>
      <c r="B18895" s="63" t="s">
        <v>12532</v>
      </c>
      <c r="C18895" s="63" t="s">
        <v>10993</v>
      </c>
      <c r="D18895" s="183" t="s">
        <v>4966</v>
      </c>
      <c r="E18895" s="126">
        <v>11790</v>
      </c>
      <c r="F18895" s="126"/>
      <c r="G18895" s="126">
        <f t="shared" ref="G18895:G18896" si="391">F18895-E18895</f>
        <v>-11790</v>
      </c>
      <c r="H18895" s="705" t="s">
        <v>12659</v>
      </c>
      <c r="J18895" s="40"/>
    </row>
    <row r="18896" spans="1:10" ht="15" x14ac:dyDescent="0.2">
      <c r="A18896" s="734">
        <v>45366</v>
      </c>
      <c r="B18896" s="63" t="s">
        <v>12532</v>
      </c>
      <c r="C18896" s="63" t="s">
        <v>10993</v>
      </c>
      <c r="D18896" s="183" t="s">
        <v>4966</v>
      </c>
      <c r="E18896" s="126">
        <v>2300</v>
      </c>
      <c r="F18896" s="126"/>
      <c r="G18896" s="126">
        <f t="shared" si="391"/>
        <v>-2300</v>
      </c>
      <c r="H18896" s="705" t="s">
        <v>12659</v>
      </c>
      <c r="J18896" s="40"/>
    </row>
    <row r="18897" spans="1:10" ht="15" x14ac:dyDescent="0.2">
      <c r="A18897" s="734">
        <v>45366</v>
      </c>
      <c r="B18897" s="63" t="s">
        <v>11897</v>
      </c>
      <c r="C18897" s="63" t="s">
        <v>10993</v>
      </c>
      <c r="D18897" s="183" t="s">
        <v>12752</v>
      </c>
      <c r="E18897" s="126">
        <v>15600</v>
      </c>
      <c r="F18897" s="126"/>
      <c r="G18897" s="126">
        <f t="shared" ref="G18897:G18902" si="392">F18897-E18897</f>
        <v>-15600</v>
      </c>
      <c r="H18897" s="705" t="s">
        <v>12659</v>
      </c>
      <c r="J18897" s="40"/>
    </row>
    <row r="18898" spans="1:10" ht="15" x14ac:dyDescent="0.2">
      <c r="A18898" s="734">
        <v>45366</v>
      </c>
      <c r="B18898" s="63" t="s">
        <v>10908</v>
      </c>
      <c r="C18898" s="63" t="s">
        <v>10993</v>
      </c>
      <c r="D18898" s="183" t="s">
        <v>12753</v>
      </c>
      <c r="E18898" s="126">
        <v>1000</v>
      </c>
      <c r="F18898" s="126"/>
      <c r="G18898" s="126">
        <f t="shared" si="392"/>
        <v>-1000</v>
      </c>
      <c r="H18898" s="705" t="s">
        <v>12659</v>
      </c>
      <c r="J18898" s="40"/>
    </row>
    <row r="18899" spans="1:10" ht="15" x14ac:dyDescent="0.2">
      <c r="A18899" s="734">
        <v>45366</v>
      </c>
      <c r="B18899" s="63" t="s">
        <v>11897</v>
      </c>
      <c r="C18899" s="63" t="s">
        <v>10993</v>
      </c>
      <c r="D18899" s="183" t="s">
        <v>12754</v>
      </c>
      <c r="E18899" s="126">
        <v>7500</v>
      </c>
      <c r="F18899" s="126"/>
      <c r="G18899" s="126">
        <f t="shared" si="392"/>
        <v>-7500</v>
      </c>
      <c r="H18899" s="705" t="s">
        <v>12659</v>
      </c>
      <c r="J18899" s="40"/>
    </row>
    <row r="18900" spans="1:10" ht="15" x14ac:dyDescent="0.2">
      <c r="A18900" s="734">
        <v>45366</v>
      </c>
      <c r="B18900" s="63" t="s">
        <v>11897</v>
      </c>
      <c r="C18900" s="63" t="s">
        <v>10993</v>
      </c>
      <c r="D18900" s="183" t="s">
        <v>12755</v>
      </c>
      <c r="E18900" s="126">
        <v>540</v>
      </c>
      <c r="F18900" s="126"/>
      <c r="G18900" s="126">
        <f t="shared" si="392"/>
        <v>-540</v>
      </c>
      <c r="H18900" s="705" t="s">
        <v>12659</v>
      </c>
      <c r="J18900" s="40"/>
    </row>
    <row r="18901" spans="1:10" ht="24" x14ac:dyDescent="0.2">
      <c r="A18901" s="734">
        <v>45366</v>
      </c>
      <c r="B18901" s="63" t="s">
        <v>11089</v>
      </c>
      <c r="C18901" s="63" t="s">
        <v>10484</v>
      </c>
      <c r="D18901" s="183" t="s">
        <v>12757</v>
      </c>
      <c r="E18901" s="126">
        <v>500000</v>
      </c>
      <c r="F18901" s="126"/>
      <c r="G18901" s="126">
        <f t="shared" si="392"/>
        <v>-500000</v>
      </c>
      <c r="H18901" s="705" t="s">
        <v>12659</v>
      </c>
      <c r="J18901" s="40"/>
    </row>
    <row r="18902" spans="1:10" ht="15" x14ac:dyDescent="0.2">
      <c r="A18902" s="734">
        <v>45366</v>
      </c>
      <c r="B18902" s="63" t="s">
        <v>11897</v>
      </c>
      <c r="C18902" s="63" t="s">
        <v>12759</v>
      </c>
      <c r="D18902" s="183" t="s">
        <v>12224</v>
      </c>
      <c r="E18902" s="126">
        <v>250000</v>
      </c>
      <c r="F18902" s="126"/>
      <c r="G18902" s="126">
        <f t="shared" si="392"/>
        <v>-250000</v>
      </c>
      <c r="H18902" s="705" t="s">
        <v>12659</v>
      </c>
      <c r="J18902" s="40"/>
    </row>
    <row r="18903" spans="1:10" ht="15" x14ac:dyDescent="0.2">
      <c r="A18903" s="734">
        <v>45366</v>
      </c>
      <c r="B18903" s="63" t="s">
        <v>9356</v>
      </c>
      <c r="C18903" s="63" t="s">
        <v>392</v>
      </c>
      <c r="D18903" s="183" t="s">
        <v>12469</v>
      </c>
      <c r="E18903" s="126">
        <v>1500</v>
      </c>
      <c r="F18903" s="126"/>
      <c r="G18903" s="126">
        <f t="shared" ref="G18903:G18916" si="393">F18903-E18903</f>
        <v>-1500</v>
      </c>
      <c r="H18903" s="705" t="s">
        <v>12659</v>
      </c>
      <c r="J18903" s="40"/>
    </row>
    <row r="18904" spans="1:10" ht="15" x14ac:dyDescent="0.2">
      <c r="A18904" s="734">
        <v>45367</v>
      </c>
      <c r="B18904" s="63" t="s">
        <v>11897</v>
      </c>
      <c r="C18904" s="63" t="s">
        <v>10993</v>
      </c>
      <c r="D18904" s="183" t="s">
        <v>11268</v>
      </c>
      <c r="E18904" s="126">
        <v>5560</v>
      </c>
      <c r="F18904" s="126"/>
      <c r="G18904" s="126">
        <f t="shared" si="393"/>
        <v>-5560</v>
      </c>
      <c r="H18904" s="705" t="s">
        <v>12659</v>
      </c>
      <c r="J18904" s="40"/>
    </row>
    <row r="18905" spans="1:10" ht="15" x14ac:dyDescent="0.2">
      <c r="A18905" s="734">
        <v>45367</v>
      </c>
      <c r="B18905" s="63" t="s">
        <v>11897</v>
      </c>
      <c r="C18905" s="63" t="s">
        <v>5741</v>
      </c>
      <c r="D18905" s="183" t="s">
        <v>370</v>
      </c>
      <c r="E18905" s="126">
        <v>350</v>
      </c>
      <c r="F18905" s="126"/>
      <c r="G18905" s="126">
        <f t="shared" si="393"/>
        <v>-350</v>
      </c>
      <c r="H18905" s="705" t="s">
        <v>12659</v>
      </c>
      <c r="J18905" s="40"/>
    </row>
    <row r="18906" spans="1:10" ht="15" x14ac:dyDescent="0.2">
      <c r="A18906" s="734">
        <v>45367</v>
      </c>
      <c r="B18906" s="63" t="s">
        <v>11738</v>
      </c>
      <c r="C18906" s="63" t="s">
        <v>7838</v>
      </c>
      <c r="D18906" s="183" t="s">
        <v>12760</v>
      </c>
      <c r="E18906" s="126">
        <v>12400</v>
      </c>
      <c r="F18906" s="126"/>
      <c r="G18906" s="126">
        <f t="shared" si="393"/>
        <v>-12400</v>
      </c>
      <c r="H18906" s="705" t="s">
        <v>12659</v>
      </c>
      <c r="J18906" s="40"/>
    </row>
    <row r="18907" spans="1:10" ht="15" x14ac:dyDescent="0.2">
      <c r="A18907" s="734">
        <v>45367</v>
      </c>
      <c r="B18907" s="63" t="s">
        <v>10908</v>
      </c>
      <c r="C18907" s="63" t="s">
        <v>10993</v>
      </c>
      <c r="D18907" s="183" t="s">
        <v>12761</v>
      </c>
      <c r="E18907" s="126">
        <v>950</v>
      </c>
      <c r="F18907" s="126"/>
      <c r="G18907" s="126">
        <f t="shared" si="393"/>
        <v>-950</v>
      </c>
      <c r="H18907" s="705" t="s">
        <v>12659</v>
      </c>
      <c r="J18907" s="40"/>
    </row>
    <row r="18908" spans="1:10" ht="15" x14ac:dyDescent="0.2">
      <c r="A18908" s="734">
        <v>45367</v>
      </c>
      <c r="B18908" s="63" t="s">
        <v>10363</v>
      </c>
      <c r="C18908" s="63" t="s">
        <v>2190</v>
      </c>
      <c r="D18908" s="183" t="s">
        <v>12762</v>
      </c>
      <c r="E18908" s="126">
        <v>9500</v>
      </c>
      <c r="F18908" s="126"/>
      <c r="G18908" s="126">
        <f t="shared" si="393"/>
        <v>-9500</v>
      </c>
      <c r="H18908" s="705" t="s">
        <v>12659</v>
      </c>
      <c r="J18908" s="40"/>
    </row>
    <row r="18909" spans="1:10" ht="15" x14ac:dyDescent="0.2">
      <c r="A18909" s="734">
        <v>45367</v>
      </c>
      <c r="B18909" s="63" t="s">
        <v>10908</v>
      </c>
      <c r="C18909" s="63" t="s">
        <v>5741</v>
      </c>
      <c r="D18909" s="183" t="s">
        <v>370</v>
      </c>
      <c r="E18909" s="126">
        <v>500</v>
      </c>
      <c r="F18909" s="126"/>
      <c r="G18909" s="126">
        <f t="shared" si="393"/>
        <v>-500</v>
      </c>
      <c r="H18909" s="705" t="s">
        <v>12659</v>
      </c>
      <c r="J18909" s="40"/>
    </row>
    <row r="18910" spans="1:10" ht="15" x14ac:dyDescent="0.2">
      <c r="A18910" s="734">
        <v>45367</v>
      </c>
      <c r="B18910" s="63" t="s">
        <v>11897</v>
      </c>
      <c r="C18910" s="63" t="s">
        <v>12763</v>
      </c>
      <c r="D18910" s="183" t="s">
        <v>12461</v>
      </c>
      <c r="E18910" s="126">
        <v>58470</v>
      </c>
      <c r="F18910" s="126"/>
      <c r="G18910" s="126">
        <f t="shared" si="393"/>
        <v>-58470</v>
      </c>
      <c r="H18910" s="705" t="s">
        <v>12659</v>
      </c>
      <c r="J18910" s="40"/>
    </row>
    <row r="18911" spans="1:10" ht="15" x14ac:dyDescent="0.2">
      <c r="A18911" s="734">
        <v>45367</v>
      </c>
      <c r="B18911" s="63" t="s">
        <v>11135</v>
      </c>
      <c r="C18911" s="63" t="s">
        <v>392</v>
      </c>
      <c r="D18911" s="183" t="s">
        <v>5384</v>
      </c>
      <c r="E18911" s="126">
        <v>5000</v>
      </c>
      <c r="F18911" s="126"/>
      <c r="G18911" s="126">
        <f t="shared" ref="G18911:G18915" si="394">F18911-E18911</f>
        <v>-5000</v>
      </c>
      <c r="H18911" s="705" t="s">
        <v>12659</v>
      </c>
      <c r="J18911" s="40"/>
    </row>
    <row r="18912" spans="1:10" ht="15" x14ac:dyDescent="0.2">
      <c r="A18912" s="734">
        <v>45367</v>
      </c>
      <c r="B18912" s="63" t="s">
        <v>12634</v>
      </c>
      <c r="C18912" s="63" t="s">
        <v>392</v>
      </c>
      <c r="D18912" s="183" t="s">
        <v>5384</v>
      </c>
      <c r="E18912" s="126">
        <v>6340</v>
      </c>
      <c r="F18912" s="126"/>
      <c r="G18912" s="126">
        <f t="shared" si="394"/>
        <v>-6340</v>
      </c>
      <c r="H18912" s="705" t="s">
        <v>12659</v>
      </c>
      <c r="J18912" s="40"/>
    </row>
    <row r="18913" spans="1:10" ht="15" x14ac:dyDescent="0.2">
      <c r="A18913" s="734">
        <v>45367</v>
      </c>
      <c r="B18913" s="63" t="s">
        <v>10151</v>
      </c>
      <c r="C18913" s="63" t="s">
        <v>392</v>
      </c>
      <c r="D18913" s="183" t="s">
        <v>5384</v>
      </c>
      <c r="E18913" s="126">
        <v>2100</v>
      </c>
      <c r="F18913" s="126"/>
      <c r="G18913" s="126">
        <f t="shared" si="394"/>
        <v>-2100</v>
      </c>
      <c r="H18913" s="705" t="s">
        <v>12659</v>
      </c>
      <c r="J18913" s="40"/>
    </row>
    <row r="18914" spans="1:10" ht="15" x14ac:dyDescent="0.2">
      <c r="A18914" s="734">
        <v>45367</v>
      </c>
      <c r="B18914" s="63" t="s">
        <v>37</v>
      </c>
      <c r="C18914" s="63" t="s">
        <v>392</v>
      </c>
      <c r="D18914" s="183" t="s">
        <v>5384</v>
      </c>
      <c r="E18914" s="126">
        <v>3000</v>
      </c>
      <c r="F18914" s="126"/>
      <c r="G18914" s="126">
        <f t="shared" si="394"/>
        <v>-3000</v>
      </c>
      <c r="H18914" s="705" t="s">
        <v>12659</v>
      </c>
      <c r="J18914" s="40"/>
    </row>
    <row r="18915" spans="1:10" ht="15" x14ac:dyDescent="0.2">
      <c r="A18915" s="734">
        <v>45367</v>
      </c>
      <c r="B18915" s="63" t="s">
        <v>25</v>
      </c>
      <c r="C18915" s="63" t="s">
        <v>392</v>
      </c>
      <c r="D18915" s="183" t="s">
        <v>12773</v>
      </c>
      <c r="E18915" s="126">
        <v>10900</v>
      </c>
      <c r="F18915" s="126"/>
      <c r="G18915" s="126">
        <f t="shared" si="394"/>
        <v>-10900</v>
      </c>
      <c r="H18915" s="705" t="s">
        <v>12659</v>
      </c>
      <c r="J18915" s="40"/>
    </row>
    <row r="18916" spans="1:10" ht="15" x14ac:dyDescent="0.2">
      <c r="A18916" s="734">
        <v>45367</v>
      </c>
      <c r="B18916" s="63" t="s">
        <v>11897</v>
      </c>
      <c r="C18916" s="63" t="s">
        <v>7467</v>
      </c>
      <c r="D18916" s="183" t="s">
        <v>12764</v>
      </c>
      <c r="E18916" s="126">
        <v>2000000</v>
      </c>
      <c r="F18916" s="126"/>
      <c r="G18916" s="126">
        <f t="shared" si="393"/>
        <v>-2000000</v>
      </c>
      <c r="H18916" s="705" t="s">
        <v>12659</v>
      </c>
      <c r="J18916" s="40"/>
    </row>
    <row r="18917" spans="1:10" ht="15" x14ac:dyDescent="0.2">
      <c r="A18917" s="734">
        <v>45369</v>
      </c>
      <c r="B18917" s="63" t="s">
        <v>37</v>
      </c>
      <c r="C18917" s="63" t="s">
        <v>3003</v>
      </c>
      <c r="D18917" s="183" t="s">
        <v>12766</v>
      </c>
      <c r="E18917" s="126">
        <v>1557</v>
      </c>
      <c r="F18917" s="126"/>
      <c r="G18917" s="126">
        <f t="shared" ref="G18917:G18924" si="395">F18917-E18917</f>
        <v>-1557</v>
      </c>
      <c r="H18917" s="705" t="s">
        <v>12659</v>
      </c>
      <c r="J18917" s="40"/>
    </row>
    <row r="18918" spans="1:10" ht="15" x14ac:dyDescent="0.2">
      <c r="A18918" s="734">
        <v>45369</v>
      </c>
      <c r="B18918" s="736"/>
      <c r="C18918" s="63" t="s">
        <v>8394</v>
      </c>
      <c r="D18918" s="183" t="s">
        <v>12767</v>
      </c>
      <c r="E18918" s="126">
        <v>1000000</v>
      </c>
      <c r="F18918" s="126"/>
      <c r="G18918" s="126">
        <f t="shared" si="395"/>
        <v>-1000000</v>
      </c>
      <c r="H18918" s="705" t="s">
        <v>12659</v>
      </c>
      <c r="J18918" s="40"/>
    </row>
    <row r="18919" spans="1:10" ht="24" x14ac:dyDescent="0.2">
      <c r="A18919" s="734">
        <v>45369</v>
      </c>
      <c r="B18919" s="63" t="s">
        <v>11089</v>
      </c>
      <c r="C18919" s="63" t="s">
        <v>10484</v>
      </c>
      <c r="D18919" s="183" t="s">
        <v>12768</v>
      </c>
      <c r="E18919" s="126">
        <v>791000</v>
      </c>
      <c r="F18919" s="126"/>
      <c r="G18919" s="126">
        <f t="shared" si="395"/>
        <v>-791000</v>
      </c>
      <c r="H18919" s="705" t="s">
        <v>12659</v>
      </c>
      <c r="J18919" s="40"/>
    </row>
    <row r="18920" spans="1:10" ht="15" x14ac:dyDescent="0.2">
      <c r="A18920" s="734">
        <v>45369</v>
      </c>
      <c r="B18920" s="63" t="s">
        <v>11089</v>
      </c>
      <c r="C18920" s="63" t="s">
        <v>10993</v>
      </c>
      <c r="D18920" s="183" t="s">
        <v>12769</v>
      </c>
      <c r="E18920" s="126">
        <v>38000</v>
      </c>
      <c r="F18920" s="126"/>
      <c r="G18920" s="126">
        <f t="shared" si="395"/>
        <v>-38000</v>
      </c>
      <c r="H18920" s="705" t="s">
        <v>12659</v>
      </c>
      <c r="J18920" s="40"/>
    </row>
    <row r="18921" spans="1:10" ht="15" x14ac:dyDescent="0.2">
      <c r="A18921" s="734">
        <v>45370</v>
      </c>
      <c r="B18921" s="63" t="s">
        <v>12366</v>
      </c>
      <c r="C18921" s="566" t="s">
        <v>12104</v>
      </c>
      <c r="D18921" s="875" t="s">
        <v>12770</v>
      </c>
      <c r="E18921" s="567">
        <f>300000-81000</f>
        <v>219000</v>
      </c>
      <c r="F18921" s="126"/>
      <c r="G18921" s="126">
        <f t="shared" si="395"/>
        <v>-219000</v>
      </c>
      <c r="H18921" s="705" t="s">
        <v>12659</v>
      </c>
      <c r="J18921" s="40"/>
    </row>
    <row r="18922" spans="1:10" ht="15" x14ac:dyDescent="0.2">
      <c r="A18922" s="734">
        <v>45370</v>
      </c>
      <c r="B18922" s="63" t="s">
        <v>12510</v>
      </c>
      <c r="C18922" s="566" t="s">
        <v>12104</v>
      </c>
      <c r="D18922" s="875" t="s">
        <v>12770</v>
      </c>
      <c r="E18922" s="567">
        <v>81000</v>
      </c>
      <c r="F18922" s="126"/>
      <c r="G18922" s="126">
        <f t="shared" si="395"/>
        <v>-81000</v>
      </c>
      <c r="H18922" s="705" t="s">
        <v>12659</v>
      </c>
      <c r="J18922" s="40"/>
    </row>
    <row r="18923" spans="1:10" ht="15" x14ac:dyDescent="0.2">
      <c r="A18923" s="734">
        <v>45370</v>
      </c>
      <c r="B18923" s="63" t="s">
        <v>11897</v>
      </c>
      <c r="C18923" s="63" t="s">
        <v>8390</v>
      </c>
      <c r="D18923" s="183" t="s">
        <v>12771</v>
      </c>
      <c r="E18923" s="126">
        <v>30000</v>
      </c>
      <c r="F18923" s="126"/>
      <c r="G18923" s="126">
        <f t="shared" si="395"/>
        <v>-30000</v>
      </c>
      <c r="H18923" s="705" t="s">
        <v>12659</v>
      </c>
      <c r="J18923" s="40"/>
    </row>
    <row r="18924" spans="1:10" ht="24" x14ac:dyDescent="0.2">
      <c r="A18924" s="734">
        <v>45370</v>
      </c>
      <c r="B18924" s="63" t="s">
        <v>8559</v>
      </c>
      <c r="C18924" s="63" t="s">
        <v>10993</v>
      </c>
      <c r="D18924" s="183" t="s">
        <v>12772</v>
      </c>
      <c r="E18924" s="126">
        <v>43500</v>
      </c>
      <c r="F18924" s="126"/>
      <c r="G18924" s="126">
        <f t="shared" si="395"/>
        <v>-43500</v>
      </c>
      <c r="H18924" s="705" t="s">
        <v>12659</v>
      </c>
      <c r="J18924" s="40"/>
    </row>
    <row r="18925" spans="1:10" ht="15" x14ac:dyDescent="0.2">
      <c r="A18925" s="734">
        <v>45370</v>
      </c>
      <c r="B18925" s="63" t="s">
        <v>8559</v>
      </c>
      <c r="C18925" s="63" t="s">
        <v>12780</v>
      </c>
      <c r="D18925" s="183" t="s">
        <v>12781</v>
      </c>
      <c r="E18925" s="126">
        <v>5000</v>
      </c>
      <c r="F18925" s="126"/>
      <c r="G18925" s="126">
        <f t="shared" ref="G18925:G18940" si="396">F18925-E18925</f>
        <v>-5000</v>
      </c>
      <c r="H18925" s="705" t="s">
        <v>12659</v>
      </c>
      <c r="J18925" s="40"/>
    </row>
    <row r="18926" spans="1:10" ht="15" x14ac:dyDescent="0.2">
      <c r="A18926" s="734">
        <v>45370</v>
      </c>
      <c r="B18926" s="63" t="s">
        <v>8559</v>
      </c>
      <c r="C18926" s="63" t="s">
        <v>5741</v>
      </c>
      <c r="D18926" s="183" t="s">
        <v>370</v>
      </c>
      <c r="E18926" s="126">
        <v>200</v>
      </c>
      <c r="F18926" s="126"/>
      <c r="G18926" s="126">
        <f t="shared" si="396"/>
        <v>-200</v>
      </c>
      <c r="H18926" s="705" t="s">
        <v>12659</v>
      </c>
      <c r="J18926" s="40"/>
    </row>
    <row r="18927" spans="1:10" ht="15" x14ac:dyDescent="0.2">
      <c r="A18927" s="734">
        <v>45371</v>
      </c>
      <c r="B18927" s="63" t="s">
        <v>11738</v>
      </c>
      <c r="C18927" s="63" t="s">
        <v>10993</v>
      </c>
      <c r="D18927" s="183" t="s">
        <v>12782</v>
      </c>
      <c r="E18927" s="126">
        <v>11435</v>
      </c>
      <c r="F18927" s="126"/>
      <c r="G18927" s="126">
        <f t="shared" si="396"/>
        <v>-11435</v>
      </c>
      <c r="H18927" s="705" t="s">
        <v>12659</v>
      </c>
      <c r="J18927" s="40"/>
    </row>
    <row r="18928" spans="1:10" ht="15" x14ac:dyDescent="0.2">
      <c r="A18928" s="734">
        <v>45371</v>
      </c>
      <c r="B18928" s="63" t="s">
        <v>8559</v>
      </c>
      <c r="C18928" s="63" t="s">
        <v>3104</v>
      </c>
      <c r="D18928" s="183" t="s">
        <v>6927</v>
      </c>
      <c r="E18928" s="126">
        <v>20000</v>
      </c>
      <c r="F18928" s="126"/>
      <c r="G18928" s="126">
        <f t="shared" si="396"/>
        <v>-20000</v>
      </c>
      <c r="H18928" s="705" t="s">
        <v>12659</v>
      </c>
      <c r="J18928" s="40"/>
    </row>
    <row r="18929" spans="1:10" ht="15" x14ac:dyDescent="0.2">
      <c r="A18929" s="734">
        <v>45371</v>
      </c>
      <c r="B18929" s="63" t="s">
        <v>11897</v>
      </c>
      <c r="C18929" s="63" t="s">
        <v>286</v>
      </c>
      <c r="D18929" s="183" t="s">
        <v>8663</v>
      </c>
      <c r="E18929" s="126">
        <v>1000</v>
      </c>
      <c r="F18929" s="126"/>
      <c r="G18929" s="126">
        <f t="shared" si="396"/>
        <v>-1000</v>
      </c>
      <c r="H18929" s="705" t="s">
        <v>12659</v>
      </c>
      <c r="J18929" s="40"/>
    </row>
    <row r="18930" spans="1:10" ht="15" x14ac:dyDescent="0.2">
      <c r="A18930" s="734">
        <v>45371</v>
      </c>
      <c r="B18930" s="63" t="s">
        <v>11738</v>
      </c>
      <c r="C18930" s="63" t="s">
        <v>5741</v>
      </c>
      <c r="D18930" s="183" t="s">
        <v>370</v>
      </c>
      <c r="E18930" s="126">
        <v>1400</v>
      </c>
      <c r="F18930" s="126"/>
      <c r="G18930" s="126">
        <f t="shared" si="396"/>
        <v>-1400</v>
      </c>
      <c r="H18930" s="705" t="s">
        <v>12659</v>
      </c>
      <c r="J18930" s="40"/>
    </row>
    <row r="18931" spans="1:10" ht="15" x14ac:dyDescent="0.2">
      <c r="A18931" s="734">
        <v>45371</v>
      </c>
      <c r="B18931" s="63" t="s">
        <v>11089</v>
      </c>
      <c r="C18931" s="63" t="s">
        <v>5741</v>
      </c>
      <c r="D18931" s="183" t="s">
        <v>370</v>
      </c>
      <c r="E18931" s="126">
        <v>700</v>
      </c>
      <c r="F18931" s="126"/>
      <c r="G18931" s="126">
        <f t="shared" si="396"/>
        <v>-700</v>
      </c>
      <c r="H18931" s="705" t="s">
        <v>12659</v>
      </c>
      <c r="J18931" s="40"/>
    </row>
    <row r="18932" spans="1:10" ht="15" x14ac:dyDescent="0.2">
      <c r="A18932" s="734">
        <v>45371</v>
      </c>
      <c r="B18932" s="63" t="s">
        <v>9356</v>
      </c>
      <c r="C18932" s="63" t="s">
        <v>10993</v>
      </c>
      <c r="D18932" s="183" t="s">
        <v>12783</v>
      </c>
      <c r="E18932" s="126">
        <v>1000</v>
      </c>
      <c r="F18932" s="126"/>
      <c r="G18932" s="126">
        <f t="shared" si="396"/>
        <v>-1000</v>
      </c>
      <c r="H18932" s="705" t="s">
        <v>12659</v>
      </c>
      <c r="J18932" s="40"/>
    </row>
    <row r="18933" spans="1:10" ht="15" x14ac:dyDescent="0.2">
      <c r="A18933" s="734">
        <v>45371</v>
      </c>
      <c r="B18933" s="63" t="s">
        <v>9356</v>
      </c>
      <c r="C18933" s="63" t="s">
        <v>5741</v>
      </c>
      <c r="D18933" s="183" t="s">
        <v>370</v>
      </c>
      <c r="E18933" s="126">
        <v>700</v>
      </c>
      <c r="F18933" s="126"/>
      <c r="G18933" s="126">
        <f t="shared" si="396"/>
        <v>-700</v>
      </c>
      <c r="H18933" s="705" t="s">
        <v>12659</v>
      </c>
      <c r="J18933" s="40"/>
    </row>
    <row r="18934" spans="1:10" ht="15" x14ac:dyDescent="0.2">
      <c r="A18934" s="734">
        <v>45371</v>
      </c>
      <c r="B18934" s="63" t="s">
        <v>11897</v>
      </c>
      <c r="C18934" s="63" t="s">
        <v>10344</v>
      </c>
      <c r="D18934" s="183" t="s">
        <v>12784</v>
      </c>
      <c r="E18934" s="126">
        <v>540</v>
      </c>
      <c r="F18934" s="126"/>
      <c r="G18934" s="126">
        <f t="shared" si="396"/>
        <v>-540</v>
      </c>
      <c r="H18934" s="705" t="s">
        <v>12659</v>
      </c>
      <c r="J18934" s="40"/>
    </row>
    <row r="18935" spans="1:10" ht="15" x14ac:dyDescent="0.2">
      <c r="A18935" s="734">
        <v>45371</v>
      </c>
      <c r="B18935" s="63" t="s">
        <v>11089</v>
      </c>
      <c r="C18935" s="63" t="s">
        <v>5741</v>
      </c>
      <c r="D18935" s="183" t="s">
        <v>370</v>
      </c>
      <c r="E18935" s="126">
        <v>400</v>
      </c>
      <c r="F18935" s="126"/>
      <c r="G18935" s="126">
        <f t="shared" si="396"/>
        <v>-400</v>
      </c>
      <c r="H18935" s="705" t="s">
        <v>12659</v>
      </c>
      <c r="J18935" s="40"/>
    </row>
    <row r="18936" spans="1:10" ht="15" x14ac:dyDescent="0.2">
      <c r="A18936" s="734">
        <v>45371</v>
      </c>
      <c r="B18936" s="63" t="s">
        <v>10232</v>
      </c>
      <c r="C18936" s="63" t="s">
        <v>11748</v>
      </c>
      <c r="D18936" s="183" t="s">
        <v>12785</v>
      </c>
      <c r="E18936" s="126">
        <v>288000</v>
      </c>
      <c r="F18936" s="126"/>
      <c r="G18936" s="126">
        <f t="shared" si="396"/>
        <v>-288000</v>
      </c>
      <c r="H18936" s="705" t="s">
        <v>12659</v>
      </c>
      <c r="J18936" s="40"/>
    </row>
    <row r="18937" spans="1:10" ht="15" x14ac:dyDescent="0.2">
      <c r="A18937" s="734">
        <v>45371</v>
      </c>
      <c r="B18937" s="63" t="s">
        <v>11089</v>
      </c>
      <c r="C18937" s="63" t="s">
        <v>12472</v>
      </c>
      <c r="D18937" s="183" t="s">
        <v>12470</v>
      </c>
      <c r="E18937" s="126">
        <v>50000</v>
      </c>
      <c r="F18937" s="126"/>
      <c r="G18937" s="126">
        <f t="shared" si="396"/>
        <v>-50000</v>
      </c>
      <c r="H18937" s="705" t="s">
        <v>12659</v>
      </c>
      <c r="J18937" s="40"/>
    </row>
    <row r="18938" spans="1:10" ht="28.5" customHeight="1" x14ac:dyDescent="0.2">
      <c r="A18938" s="734">
        <v>45371</v>
      </c>
      <c r="B18938" s="63" t="s">
        <v>10908</v>
      </c>
      <c r="C18938" s="670" t="s">
        <v>12787</v>
      </c>
      <c r="D18938" s="907" t="s">
        <v>12788</v>
      </c>
      <c r="E18938" s="672">
        <v>75000</v>
      </c>
      <c r="F18938" s="126"/>
      <c r="G18938" s="126">
        <f t="shared" si="396"/>
        <v>-75000</v>
      </c>
      <c r="H18938" s="705" t="s">
        <v>12659</v>
      </c>
      <c r="J18938" s="40"/>
    </row>
    <row r="18939" spans="1:10" ht="33.75" customHeight="1" x14ac:dyDescent="0.2">
      <c r="A18939" s="734">
        <v>45371</v>
      </c>
      <c r="B18939" s="63" t="s">
        <v>12786</v>
      </c>
      <c r="C18939" s="670" t="s">
        <v>12787</v>
      </c>
      <c r="D18939" s="907" t="s">
        <v>12788</v>
      </c>
      <c r="E18939" s="672">
        <v>75000</v>
      </c>
      <c r="F18939" s="126"/>
      <c r="G18939" s="126">
        <f t="shared" si="396"/>
        <v>-75000</v>
      </c>
      <c r="H18939" s="705" t="s">
        <v>12659</v>
      </c>
      <c r="J18939" s="40"/>
    </row>
    <row r="18940" spans="1:10" ht="15" x14ac:dyDescent="0.2">
      <c r="A18940" s="734">
        <v>45371</v>
      </c>
      <c r="B18940" s="63" t="s">
        <v>12532</v>
      </c>
      <c r="C18940" s="63" t="s">
        <v>6423</v>
      </c>
      <c r="D18940" s="183" t="s">
        <v>12302</v>
      </c>
      <c r="E18940" s="126">
        <v>60000</v>
      </c>
      <c r="F18940" s="126"/>
      <c r="G18940" s="126">
        <f t="shared" si="396"/>
        <v>-60000</v>
      </c>
      <c r="H18940" s="705" t="s">
        <v>12659</v>
      </c>
      <c r="J18940" s="40"/>
    </row>
    <row r="18941" spans="1:10" ht="15" x14ac:dyDescent="0.2">
      <c r="A18941" s="734">
        <v>45371</v>
      </c>
      <c r="B18941" s="63" t="s">
        <v>103</v>
      </c>
      <c r="C18941" s="63" t="s">
        <v>794</v>
      </c>
      <c r="D18941" s="183" t="s">
        <v>12793</v>
      </c>
      <c r="E18941" s="126">
        <v>6000</v>
      </c>
      <c r="F18941" s="126"/>
      <c r="G18941" s="126">
        <f t="shared" ref="G18941:G18945" si="397">F18941-E18941</f>
        <v>-6000</v>
      </c>
      <c r="H18941" s="705" t="s">
        <v>12659</v>
      </c>
      <c r="J18941" s="40"/>
    </row>
    <row r="18942" spans="1:10" ht="15" x14ac:dyDescent="0.2">
      <c r="A18942" s="734">
        <v>45371</v>
      </c>
      <c r="B18942" s="63" t="s">
        <v>11089</v>
      </c>
      <c r="C18942" s="63" t="s">
        <v>5741</v>
      </c>
      <c r="D18942" s="183" t="s">
        <v>370</v>
      </c>
      <c r="E18942" s="126">
        <v>600</v>
      </c>
      <c r="F18942" s="126"/>
      <c r="G18942" s="126">
        <f t="shared" si="397"/>
        <v>-600</v>
      </c>
      <c r="H18942" s="705" t="s">
        <v>12659</v>
      </c>
      <c r="J18942" s="40"/>
    </row>
    <row r="18943" spans="1:10" ht="15" x14ac:dyDescent="0.2">
      <c r="A18943" s="734">
        <v>45371</v>
      </c>
      <c r="B18943" s="63" t="s">
        <v>103</v>
      </c>
      <c r="C18943" s="63" t="s">
        <v>103</v>
      </c>
      <c r="D18943" s="183" t="s">
        <v>12794</v>
      </c>
      <c r="E18943" s="126">
        <v>1000</v>
      </c>
      <c r="F18943" s="126"/>
      <c r="G18943" s="126">
        <f t="shared" si="397"/>
        <v>-1000</v>
      </c>
      <c r="H18943" s="705" t="s">
        <v>12659</v>
      </c>
      <c r="J18943" s="40"/>
    </row>
    <row r="18944" spans="1:10" ht="15" x14ac:dyDescent="0.2">
      <c r="A18944" s="734">
        <v>45371</v>
      </c>
      <c r="B18944" s="63" t="s">
        <v>103</v>
      </c>
      <c r="C18944" s="63" t="s">
        <v>103</v>
      </c>
      <c r="D18944" s="183" t="s">
        <v>6333</v>
      </c>
      <c r="E18944" s="126">
        <v>1000</v>
      </c>
      <c r="F18944" s="126"/>
      <c r="G18944" s="126">
        <f t="shared" si="397"/>
        <v>-1000</v>
      </c>
      <c r="H18944" s="705" t="s">
        <v>12659</v>
      </c>
      <c r="J18944" s="40"/>
    </row>
    <row r="18945" spans="1:10" ht="15" x14ac:dyDescent="0.2">
      <c r="A18945" s="734">
        <v>45372</v>
      </c>
      <c r="B18945" s="63" t="s">
        <v>11897</v>
      </c>
      <c r="C18945" s="63" t="s">
        <v>10993</v>
      </c>
      <c r="D18945" s="183" t="s">
        <v>12795</v>
      </c>
      <c r="E18945" s="126">
        <v>3000</v>
      </c>
      <c r="F18945" s="126"/>
      <c r="G18945" s="126">
        <f t="shared" si="397"/>
        <v>-3000</v>
      </c>
      <c r="H18945" s="705" t="s">
        <v>12659</v>
      </c>
      <c r="J18945" s="40"/>
    </row>
    <row r="18946" spans="1:10" ht="15" x14ac:dyDescent="0.2">
      <c r="A18946" s="734">
        <v>45372</v>
      </c>
      <c r="B18946" s="63" t="s">
        <v>11897</v>
      </c>
      <c r="C18946" s="63" t="s">
        <v>8372</v>
      </c>
      <c r="D18946" s="183" t="s">
        <v>9420</v>
      </c>
      <c r="E18946" s="126">
        <v>2000</v>
      </c>
      <c r="F18946" s="126"/>
      <c r="G18946" s="126">
        <f t="shared" ref="G18946:G18949" si="398">F18946-E18946</f>
        <v>-2000</v>
      </c>
      <c r="H18946" s="705" t="s">
        <v>12659</v>
      </c>
      <c r="J18946" s="40"/>
    </row>
    <row r="18947" spans="1:10" ht="15" x14ac:dyDescent="0.2">
      <c r="A18947" s="734">
        <v>45372</v>
      </c>
      <c r="B18947" s="63" t="s">
        <v>10232</v>
      </c>
      <c r="C18947" s="63" t="s">
        <v>10993</v>
      </c>
      <c r="D18947" s="183" t="s">
        <v>12796</v>
      </c>
      <c r="E18947" s="126">
        <v>8000</v>
      </c>
      <c r="F18947" s="126"/>
      <c r="G18947" s="126">
        <f t="shared" si="398"/>
        <v>-8000</v>
      </c>
      <c r="H18947" s="705" t="s">
        <v>12659</v>
      </c>
      <c r="J18947" s="40"/>
    </row>
    <row r="18948" spans="1:10" ht="15" x14ac:dyDescent="0.2">
      <c r="A18948" s="734">
        <v>45373</v>
      </c>
      <c r="B18948" s="63" t="s">
        <v>8559</v>
      </c>
      <c r="C18948" s="63" t="s">
        <v>11975</v>
      </c>
      <c r="D18948" s="183" t="s">
        <v>6927</v>
      </c>
      <c r="E18948" s="126">
        <v>10000</v>
      </c>
      <c r="F18948" s="126"/>
      <c r="G18948" s="126">
        <f t="shared" si="398"/>
        <v>-10000</v>
      </c>
      <c r="H18948" s="705" t="s">
        <v>12659</v>
      </c>
      <c r="J18948" s="40"/>
    </row>
    <row r="18949" spans="1:10" ht="15" x14ac:dyDescent="0.2">
      <c r="A18949" s="734">
        <v>45376</v>
      </c>
      <c r="B18949" s="63" t="s">
        <v>11897</v>
      </c>
      <c r="C18949" s="63" t="s">
        <v>392</v>
      </c>
      <c r="D18949" s="183" t="s">
        <v>12797</v>
      </c>
      <c r="E18949" s="126">
        <v>1500</v>
      </c>
      <c r="F18949" s="126"/>
      <c r="G18949" s="126">
        <f t="shared" si="398"/>
        <v>-1500</v>
      </c>
      <c r="H18949" s="705" t="s">
        <v>12659</v>
      </c>
      <c r="J18949" s="40"/>
    </row>
    <row r="18950" spans="1:10" ht="15" x14ac:dyDescent="0.2">
      <c r="A18950" s="734">
        <v>45376</v>
      </c>
      <c r="B18950" s="63" t="s">
        <v>11089</v>
      </c>
      <c r="C18950" s="63" t="s">
        <v>392</v>
      </c>
      <c r="D18950" s="183" t="s">
        <v>6702</v>
      </c>
      <c r="E18950" s="126">
        <v>5000</v>
      </c>
      <c r="F18950" s="126"/>
      <c r="G18950" s="126">
        <f t="shared" ref="G18950:G18975" si="399">F18950-E18950</f>
        <v>-5000</v>
      </c>
      <c r="H18950" s="705" t="s">
        <v>12659</v>
      </c>
      <c r="J18950" s="40"/>
    </row>
    <row r="18951" spans="1:10" ht="15" x14ac:dyDescent="0.2">
      <c r="A18951" s="734">
        <v>45376</v>
      </c>
      <c r="B18951" s="63" t="s">
        <v>8559</v>
      </c>
      <c r="C18951" s="63" t="s">
        <v>12595</v>
      </c>
      <c r="D18951" s="183" t="s">
        <v>12798</v>
      </c>
      <c r="E18951" s="126">
        <v>15000</v>
      </c>
      <c r="F18951" s="126"/>
      <c r="G18951" s="126">
        <f t="shared" si="399"/>
        <v>-15000</v>
      </c>
      <c r="H18951" s="705" t="s">
        <v>12659</v>
      </c>
      <c r="J18951" s="40"/>
    </row>
    <row r="18952" spans="1:10" ht="15" x14ac:dyDescent="0.2">
      <c r="A18952" s="734">
        <v>45376</v>
      </c>
      <c r="B18952" s="63" t="s">
        <v>12634</v>
      </c>
      <c r="C18952" s="63" t="s">
        <v>11398</v>
      </c>
      <c r="D18952" s="183" t="s">
        <v>12798</v>
      </c>
      <c r="E18952" s="126">
        <v>200000</v>
      </c>
      <c r="F18952" s="126"/>
      <c r="G18952" s="126">
        <f t="shared" si="399"/>
        <v>-200000</v>
      </c>
      <c r="H18952" s="705" t="s">
        <v>12659</v>
      </c>
      <c r="J18952" s="40"/>
    </row>
    <row r="18953" spans="1:10" ht="15" x14ac:dyDescent="0.2">
      <c r="A18953" s="734">
        <v>45376</v>
      </c>
      <c r="B18953" s="63" t="s">
        <v>10232</v>
      </c>
      <c r="C18953" s="63" t="s">
        <v>11748</v>
      </c>
      <c r="D18953" s="183" t="s">
        <v>12817</v>
      </c>
      <c r="E18953" s="126">
        <v>369095</v>
      </c>
      <c r="F18953" s="126"/>
      <c r="G18953" s="126">
        <f>F18953-E18953</f>
        <v>-369095</v>
      </c>
      <c r="H18953" s="705" t="s">
        <v>12659</v>
      </c>
    </row>
    <row r="18954" spans="1:10" ht="24" x14ac:dyDescent="0.2">
      <c r="A18954" s="734">
        <v>45376</v>
      </c>
      <c r="B18954" s="63" t="s">
        <v>11089</v>
      </c>
      <c r="C18954" s="566" t="s">
        <v>10993</v>
      </c>
      <c r="D18954" s="875" t="s">
        <v>12799</v>
      </c>
      <c r="E18954" s="567">
        <v>63000</v>
      </c>
      <c r="F18954" s="126"/>
      <c r="G18954" s="126">
        <f t="shared" si="399"/>
        <v>-63000</v>
      </c>
      <c r="H18954" s="705" t="s">
        <v>12659</v>
      </c>
      <c r="J18954" s="40"/>
    </row>
    <row r="18955" spans="1:10" ht="24" x14ac:dyDescent="0.2">
      <c r="A18955" s="734">
        <v>45376</v>
      </c>
      <c r="B18955" s="63" t="s">
        <v>11897</v>
      </c>
      <c r="C18955" s="566" t="s">
        <v>10993</v>
      </c>
      <c r="D18955" s="875" t="s">
        <v>12799</v>
      </c>
      <c r="E18955" s="567">
        <v>68000</v>
      </c>
      <c r="F18955" s="126"/>
      <c r="G18955" s="126">
        <f t="shared" si="399"/>
        <v>-68000</v>
      </c>
      <c r="H18955" s="705" t="s">
        <v>12659</v>
      </c>
      <c r="J18955" s="40"/>
    </row>
    <row r="18956" spans="1:10" ht="24" x14ac:dyDescent="0.2">
      <c r="A18956" s="734">
        <v>45376</v>
      </c>
      <c r="B18956" s="63" t="s">
        <v>9986</v>
      </c>
      <c r="C18956" s="566" t="s">
        <v>10993</v>
      </c>
      <c r="D18956" s="875" t="s">
        <v>12799</v>
      </c>
      <c r="E18956" s="567">
        <v>20240</v>
      </c>
      <c r="F18956" s="126"/>
      <c r="G18956" s="126">
        <f t="shared" si="399"/>
        <v>-20240</v>
      </c>
      <c r="H18956" s="705" t="s">
        <v>12659</v>
      </c>
      <c r="J18956" s="40"/>
    </row>
    <row r="18957" spans="1:10" ht="15" x14ac:dyDescent="0.2">
      <c r="A18957" s="734">
        <v>45376</v>
      </c>
      <c r="B18957" s="63" t="s">
        <v>11897</v>
      </c>
      <c r="C18957" s="63" t="s">
        <v>10993</v>
      </c>
      <c r="D18957" s="183" t="s">
        <v>12800</v>
      </c>
      <c r="E18957" s="126">
        <v>46370</v>
      </c>
      <c r="F18957" s="126"/>
      <c r="G18957" s="126">
        <f t="shared" si="399"/>
        <v>-46370</v>
      </c>
      <c r="H18957" s="705" t="s">
        <v>12659</v>
      </c>
      <c r="J18957" s="40"/>
    </row>
    <row r="18958" spans="1:10" ht="15" x14ac:dyDescent="0.2">
      <c r="A18958" s="734">
        <v>45376</v>
      </c>
      <c r="B18958" s="63" t="s">
        <v>8876</v>
      </c>
      <c r="C18958" s="566" t="s">
        <v>10993</v>
      </c>
      <c r="D18958" s="875" t="s">
        <v>12801</v>
      </c>
      <c r="E18958" s="567">
        <v>38087</v>
      </c>
      <c r="F18958" s="126"/>
      <c r="G18958" s="126">
        <f t="shared" si="399"/>
        <v>-38087</v>
      </c>
      <c r="H18958" s="705" t="s">
        <v>12659</v>
      </c>
      <c r="J18958" s="40"/>
    </row>
    <row r="18959" spans="1:10" ht="15" x14ac:dyDescent="0.2">
      <c r="A18959" s="734">
        <v>45376</v>
      </c>
      <c r="B18959" s="63" t="s">
        <v>11897</v>
      </c>
      <c r="C18959" s="566" t="s">
        <v>10993</v>
      </c>
      <c r="D18959" s="875" t="s">
        <v>12801</v>
      </c>
      <c r="E18959" s="567">
        <v>267086</v>
      </c>
      <c r="F18959" s="126"/>
      <c r="G18959" s="126">
        <f t="shared" si="399"/>
        <v>-267086</v>
      </c>
      <c r="H18959" s="705" t="s">
        <v>12659</v>
      </c>
      <c r="J18959" s="40"/>
    </row>
    <row r="18960" spans="1:10" ht="15" x14ac:dyDescent="0.2">
      <c r="A18960" s="734">
        <v>45376</v>
      </c>
      <c r="B18960" s="63" t="s">
        <v>11093</v>
      </c>
      <c r="C18960" s="566" t="s">
        <v>10993</v>
      </c>
      <c r="D18960" s="875" t="s">
        <v>12801</v>
      </c>
      <c r="E18960" s="567">
        <v>19680</v>
      </c>
      <c r="F18960" s="126"/>
      <c r="G18960" s="126">
        <f t="shared" si="399"/>
        <v>-19680</v>
      </c>
      <c r="H18960" s="705" t="s">
        <v>12659</v>
      </c>
      <c r="J18960" s="40"/>
    </row>
    <row r="18961" spans="1:10" ht="15" x14ac:dyDescent="0.2">
      <c r="A18961" s="734">
        <v>45376</v>
      </c>
      <c r="B18961" s="63" t="s">
        <v>11089</v>
      </c>
      <c r="C18961" s="566" t="s">
        <v>10993</v>
      </c>
      <c r="D18961" s="875" t="s">
        <v>12801</v>
      </c>
      <c r="E18961" s="567">
        <v>44000</v>
      </c>
      <c r="F18961" s="126"/>
      <c r="G18961" s="126">
        <f t="shared" si="399"/>
        <v>-44000</v>
      </c>
      <c r="H18961" s="705" t="s">
        <v>12659</v>
      </c>
      <c r="J18961" s="40"/>
    </row>
    <row r="18962" spans="1:10" ht="15" x14ac:dyDescent="0.2">
      <c r="A18962" s="734">
        <v>45377</v>
      </c>
      <c r="B18962" s="63" t="s">
        <v>10908</v>
      </c>
      <c r="C18962" s="63" t="s">
        <v>10853</v>
      </c>
      <c r="D18962" s="183" t="s">
        <v>12802</v>
      </c>
      <c r="E18962" s="126">
        <v>100000</v>
      </c>
      <c r="F18962" s="126"/>
      <c r="G18962" s="126">
        <f t="shared" si="399"/>
        <v>-100000</v>
      </c>
      <c r="H18962" s="705" t="s">
        <v>12659</v>
      </c>
      <c r="J18962" s="40"/>
    </row>
    <row r="18963" spans="1:10" ht="15" x14ac:dyDescent="0.2">
      <c r="A18963" s="734">
        <v>45377</v>
      </c>
      <c r="B18963" s="63" t="s">
        <v>10908</v>
      </c>
      <c r="C18963" s="63" t="s">
        <v>11110</v>
      </c>
      <c r="D18963" s="183" t="s">
        <v>12804</v>
      </c>
      <c r="E18963" s="126">
        <v>200000</v>
      </c>
      <c r="F18963" s="126"/>
      <c r="G18963" s="126">
        <f t="shared" si="399"/>
        <v>-200000</v>
      </c>
      <c r="H18963" s="705" t="s">
        <v>12659</v>
      </c>
      <c r="J18963" s="40"/>
    </row>
    <row r="18964" spans="1:10" ht="15" x14ac:dyDescent="0.2">
      <c r="A18964" s="734">
        <v>45377</v>
      </c>
      <c r="B18964" s="63" t="s">
        <v>10908</v>
      </c>
      <c r="C18964" s="63" t="s">
        <v>11110</v>
      </c>
      <c r="D18964" s="183" t="s">
        <v>12804</v>
      </c>
      <c r="E18964" s="126">
        <v>100000</v>
      </c>
      <c r="F18964" s="126"/>
      <c r="G18964" s="126">
        <f t="shared" ref="G18964" si="400">F18964-E18964</f>
        <v>-100000</v>
      </c>
      <c r="H18964" s="705" t="s">
        <v>12659</v>
      </c>
      <c r="J18964" s="40"/>
    </row>
    <row r="18965" spans="1:10" ht="15" x14ac:dyDescent="0.2">
      <c r="A18965" s="734">
        <v>45377</v>
      </c>
      <c r="B18965" s="63" t="s">
        <v>12366</v>
      </c>
      <c r="C18965" s="63" t="s">
        <v>11428</v>
      </c>
      <c r="D18965" s="183" t="s">
        <v>12805</v>
      </c>
      <c r="E18965" s="126">
        <v>150000</v>
      </c>
      <c r="F18965" s="126"/>
      <c r="G18965" s="126">
        <f t="shared" si="399"/>
        <v>-150000</v>
      </c>
      <c r="H18965" s="705" t="s">
        <v>12659</v>
      </c>
      <c r="J18965" s="40"/>
    </row>
    <row r="18966" spans="1:10" ht="15" x14ac:dyDescent="0.2">
      <c r="A18966" s="734">
        <v>45377</v>
      </c>
      <c r="B18966" s="63" t="s">
        <v>12634</v>
      </c>
      <c r="C18966" s="63" t="s">
        <v>11398</v>
      </c>
      <c r="D18966" s="183" t="s">
        <v>12824</v>
      </c>
      <c r="E18966" s="126">
        <v>100000</v>
      </c>
      <c r="F18966" s="126"/>
      <c r="G18966" s="126">
        <f t="shared" si="399"/>
        <v>-100000</v>
      </c>
      <c r="H18966" s="705" t="s">
        <v>12659</v>
      </c>
      <c r="J18966" s="40"/>
    </row>
    <row r="18967" spans="1:10" ht="15" x14ac:dyDescent="0.2">
      <c r="A18967" s="734">
        <v>45377</v>
      </c>
      <c r="B18967" s="63" t="s">
        <v>103</v>
      </c>
      <c r="C18967" s="63" t="s">
        <v>2996</v>
      </c>
      <c r="D18967" s="183" t="s">
        <v>370</v>
      </c>
      <c r="E18967" s="126">
        <v>5330</v>
      </c>
      <c r="F18967" s="126"/>
      <c r="G18967" s="126">
        <f t="shared" ref="G18967:G18971" si="401">F18967-E18967</f>
        <v>-5330</v>
      </c>
      <c r="H18967" s="705" t="s">
        <v>12659</v>
      </c>
      <c r="J18967" s="40"/>
    </row>
    <row r="18968" spans="1:10" ht="15" x14ac:dyDescent="0.2">
      <c r="A18968" s="734">
        <v>45377</v>
      </c>
      <c r="B18968" s="63" t="s">
        <v>11897</v>
      </c>
      <c r="C18968" s="63" t="s">
        <v>5741</v>
      </c>
      <c r="D18968" s="183" t="s">
        <v>370</v>
      </c>
      <c r="E18968" s="126">
        <v>1300</v>
      </c>
      <c r="F18968" s="126"/>
      <c r="G18968" s="126">
        <f t="shared" si="401"/>
        <v>-1300</v>
      </c>
      <c r="H18968" s="705" t="s">
        <v>12659</v>
      </c>
      <c r="J18968" s="40"/>
    </row>
    <row r="18969" spans="1:10" ht="15" x14ac:dyDescent="0.2">
      <c r="A18969" s="734">
        <v>45377</v>
      </c>
      <c r="B18969" s="63" t="s">
        <v>10908</v>
      </c>
      <c r="C18969" s="63" t="s">
        <v>5741</v>
      </c>
      <c r="D18969" s="183" t="s">
        <v>370</v>
      </c>
      <c r="E18969" s="126">
        <v>350</v>
      </c>
      <c r="F18969" s="126"/>
      <c r="G18969" s="126">
        <f t="shared" si="401"/>
        <v>-350</v>
      </c>
      <c r="H18969" s="705" t="s">
        <v>12659</v>
      </c>
      <c r="J18969" s="40"/>
    </row>
    <row r="18970" spans="1:10" ht="15" x14ac:dyDescent="0.2">
      <c r="A18970" s="734">
        <v>45377</v>
      </c>
      <c r="B18970" s="63" t="s">
        <v>10908</v>
      </c>
      <c r="C18970" s="63" t="s">
        <v>5741</v>
      </c>
      <c r="D18970" s="183" t="s">
        <v>370</v>
      </c>
      <c r="E18970" s="126">
        <v>350</v>
      </c>
      <c r="F18970" s="126"/>
      <c r="G18970" s="126">
        <f t="shared" si="401"/>
        <v>-350</v>
      </c>
      <c r="H18970" s="705" t="s">
        <v>12659</v>
      </c>
      <c r="J18970" s="40"/>
    </row>
    <row r="18971" spans="1:10" ht="15" x14ac:dyDescent="0.2">
      <c r="A18971" s="734">
        <v>45377</v>
      </c>
      <c r="B18971" s="63" t="s">
        <v>12818</v>
      </c>
      <c r="C18971" s="63" t="s">
        <v>5741</v>
      </c>
      <c r="D18971" s="183" t="s">
        <v>370</v>
      </c>
      <c r="E18971" s="126">
        <v>1000</v>
      </c>
      <c r="F18971" s="126"/>
      <c r="G18971" s="126">
        <f t="shared" si="401"/>
        <v>-1000</v>
      </c>
      <c r="H18971" s="705" t="s">
        <v>12659</v>
      </c>
      <c r="J18971" s="40"/>
    </row>
    <row r="18972" spans="1:10" ht="24" x14ac:dyDescent="0.2">
      <c r="A18972" s="734">
        <v>45379</v>
      </c>
      <c r="B18972" s="63" t="s">
        <v>12634</v>
      </c>
      <c r="C18972" s="63" t="s">
        <v>12806</v>
      </c>
      <c r="D18972" s="183" t="s">
        <v>12807</v>
      </c>
      <c r="E18972" s="126">
        <v>1000000</v>
      </c>
      <c r="F18972" s="126"/>
      <c r="G18972" s="126">
        <f t="shared" si="399"/>
        <v>-1000000</v>
      </c>
      <c r="H18972" s="705" t="s">
        <v>12659</v>
      </c>
      <c r="J18972" s="40"/>
    </row>
    <row r="18973" spans="1:10" ht="15" x14ac:dyDescent="0.2">
      <c r="A18973" s="734">
        <v>45379</v>
      </c>
      <c r="B18973" s="63" t="s">
        <v>12532</v>
      </c>
      <c r="C18973" s="63" t="s">
        <v>438</v>
      </c>
      <c r="D18973" s="183" t="s">
        <v>12809</v>
      </c>
      <c r="E18973" s="126">
        <v>225000</v>
      </c>
      <c r="F18973" s="126"/>
      <c r="G18973" s="126">
        <f t="shared" si="399"/>
        <v>-225000</v>
      </c>
      <c r="H18973" s="705" t="s">
        <v>12659</v>
      </c>
      <c r="J18973" s="40"/>
    </row>
    <row r="18974" spans="1:10" ht="15" x14ac:dyDescent="0.2">
      <c r="A18974" s="734">
        <v>45379</v>
      </c>
      <c r="B18974" s="63" t="s">
        <v>12532</v>
      </c>
      <c r="C18974" s="63" t="s">
        <v>12641</v>
      </c>
      <c r="D18974" s="183" t="s">
        <v>12810</v>
      </c>
      <c r="E18974" s="126">
        <v>35000</v>
      </c>
      <c r="F18974" s="126"/>
      <c r="G18974" s="126">
        <f t="shared" si="399"/>
        <v>-35000</v>
      </c>
      <c r="H18974" s="705" t="s">
        <v>12659</v>
      </c>
      <c r="J18974" s="40"/>
    </row>
    <row r="18975" spans="1:10" ht="15" x14ac:dyDescent="0.2">
      <c r="A18975" s="734">
        <v>45380</v>
      </c>
      <c r="B18975" s="63" t="s">
        <v>11135</v>
      </c>
      <c r="C18975" s="63" t="s">
        <v>12517</v>
      </c>
      <c r="D18975" s="183" t="s">
        <v>11171</v>
      </c>
      <c r="E18975" s="126">
        <v>500000</v>
      </c>
      <c r="F18975" s="126"/>
      <c r="G18975" s="126">
        <f t="shared" si="399"/>
        <v>-500000</v>
      </c>
      <c r="H18975" s="705" t="s">
        <v>12659</v>
      </c>
      <c r="J18975" s="40"/>
    </row>
    <row r="18976" spans="1:10" ht="15" x14ac:dyDescent="0.2">
      <c r="A18976" s="734">
        <v>45380</v>
      </c>
      <c r="B18976" s="63" t="s">
        <v>11897</v>
      </c>
      <c r="C18976" s="63" t="s">
        <v>5410</v>
      </c>
      <c r="D18976" s="183" t="s">
        <v>12813</v>
      </c>
      <c r="E18976" s="126">
        <v>18000</v>
      </c>
      <c r="F18976" s="126"/>
      <c r="G18976" s="126">
        <f t="shared" ref="G18976:G18978" si="402">F18976-E18976</f>
        <v>-18000</v>
      </c>
      <c r="H18976" s="705" t="s">
        <v>12659</v>
      </c>
      <c r="J18976" s="40"/>
    </row>
    <row r="18977" spans="1:10" ht="15" x14ac:dyDescent="0.2">
      <c r="A18977" s="734">
        <v>45380</v>
      </c>
      <c r="B18977" s="63" t="s">
        <v>11897</v>
      </c>
      <c r="C18977" s="63" t="s">
        <v>5410</v>
      </c>
      <c r="D18977" s="183" t="s">
        <v>12814</v>
      </c>
      <c r="E18977" s="126">
        <v>20000</v>
      </c>
      <c r="F18977" s="126"/>
      <c r="G18977" s="126">
        <f t="shared" si="402"/>
        <v>-20000</v>
      </c>
      <c r="H18977" s="705" t="s">
        <v>12659</v>
      </c>
      <c r="J18977" s="40"/>
    </row>
    <row r="18978" spans="1:10" ht="15" x14ac:dyDescent="0.2">
      <c r="A18978" s="734">
        <v>45380</v>
      </c>
      <c r="B18978" s="63" t="s">
        <v>11897</v>
      </c>
      <c r="C18978" s="63" t="s">
        <v>5410</v>
      </c>
      <c r="D18978" s="183" t="s">
        <v>12815</v>
      </c>
      <c r="E18978" s="126">
        <v>18000</v>
      </c>
      <c r="F18978" s="126"/>
      <c r="G18978" s="126">
        <f t="shared" si="402"/>
        <v>-18000</v>
      </c>
      <c r="H18978" s="705" t="s">
        <v>12659</v>
      </c>
      <c r="J18978" s="40"/>
    </row>
    <row r="18979" spans="1:10" ht="15" x14ac:dyDescent="0.2">
      <c r="A18979" s="734">
        <v>45380</v>
      </c>
      <c r="B18979" s="63" t="s">
        <v>103</v>
      </c>
      <c r="C18979" s="551" t="s">
        <v>8150</v>
      </c>
      <c r="D18979" s="740" t="s">
        <v>6337</v>
      </c>
      <c r="E18979" s="552">
        <v>18965</v>
      </c>
      <c r="F18979" s="126"/>
      <c r="G18979" s="126">
        <f t="shared" ref="G18979:G18987" si="403">F18979-E18979</f>
        <v>-18965</v>
      </c>
      <c r="H18979" s="705" t="s">
        <v>12659</v>
      </c>
      <c r="J18979" s="40"/>
    </row>
    <row r="18980" spans="1:10" ht="15" x14ac:dyDescent="0.2">
      <c r="A18980" s="734">
        <v>45380</v>
      </c>
      <c r="B18980" s="63" t="s">
        <v>25</v>
      </c>
      <c r="C18980" s="551" t="s">
        <v>8150</v>
      </c>
      <c r="D18980" s="740" t="s">
        <v>6337</v>
      </c>
      <c r="E18980" s="552">
        <v>44854</v>
      </c>
      <c r="F18980" s="126"/>
      <c r="G18980" s="126">
        <f t="shared" si="403"/>
        <v>-44854</v>
      </c>
      <c r="H18980" s="705" t="s">
        <v>12659</v>
      </c>
      <c r="J18980" s="40"/>
    </row>
    <row r="18981" spans="1:10" ht="15" x14ac:dyDescent="0.2">
      <c r="A18981" s="734">
        <v>45380</v>
      </c>
      <c r="B18981" s="63" t="s">
        <v>12818</v>
      </c>
      <c r="C18981" s="63" t="s">
        <v>10993</v>
      </c>
      <c r="D18981" s="183" t="s">
        <v>12819</v>
      </c>
      <c r="E18981" s="126">
        <v>13540</v>
      </c>
      <c r="F18981" s="126"/>
      <c r="G18981" s="126">
        <f t="shared" si="403"/>
        <v>-13540</v>
      </c>
      <c r="H18981" s="705" t="s">
        <v>12659</v>
      </c>
      <c r="J18981" s="40"/>
    </row>
    <row r="18982" spans="1:10" ht="15" x14ac:dyDescent="0.2">
      <c r="A18982" s="734">
        <v>45380</v>
      </c>
      <c r="B18982" s="63" t="s">
        <v>10908</v>
      </c>
      <c r="C18982" s="63" t="s">
        <v>10993</v>
      </c>
      <c r="D18982" s="183" t="s">
        <v>12821</v>
      </c>
      <c r="E18982" s="126">
        <v>3000</v>
      </c>
      <c r="F18982" s="126"/>
      <c r="G18982" s="126">
        <f t="shared" si="403"/>
        <v>-3000</v>
      </c>
      <c r="H18982" s="705" t="s">
        <v>12659</v>
      </c>
      <c r="J18982" s="40"/>
    </row>
    <row r="18983" spans="1:10" ht="15" x14ac:dyDescent="0.2">
      <c r="A18983" s="734">
        <v>45380</v>
      </c>
      <c r="B18983" s="63" t="s">
        <v>12818</v>
      </c>
      <c r="C18983" s="63" t="s">
        <v>10993</v>
      </c>
      <c r="D18983" s="183" t="s">
        <v>12820</v>
      </c>
      <c r="E18983" s="126">
        <v>280</v>
      </c>
      <c r="F18983" s="126"/>
      <c r="G18983" s="126">
        <f t="shared" si="403"/>
        <v>-280</v>
      </c>
      <c r="H18983" s="705" t="s">
        <v>12659</v>
      </c>
      <c r="J18983" s="40"/>
    </row>
    <row r="18984" spans="1:10" ht="15" x14ac:dyDescent="0.2">
      <c r="A18984" s="734">
        <v>45380</v>
      </c>
      <c r="B18984" s="63" t="s">
        <v>12818</v>
      </c>
      <c r="C18984" s="63" t="s">
        <v>10993</v>
      </c>
      <c r="D18984" s="183" t="s">
        <v>12822</v>
      </c>
      <c r="E18984" s="126">
        <v>15660</v>
      </c>
      <c r="F18984" s="126"/>
      <c r="G18984" s="126">
        <f t="shared" si="403"/>
        <v>-15660</v>
      </c>
      <c r="H18984" s="705" t="s">
        <v>12659</v>
      </c>
      <c r="J18984" s="40"/>
    </row>
    <row r="18985" spans="1:10" ht="15" x14ac:dyDescent="0.2">
      <c r="A18985" s="734">
        <v>45380</v>
      </c>
      <c r="B18985" s="63" t="s">
        <v>10908</v>
      </c>
      <c r="C18985" s="63" t="s">
        <v>392</v>
      </c>
      <c r="D18985" s="183" t="s">
        <v>10556</v>
      </c>
      <c r="E18985" s="126">
        <v>12000</v>
      </c>
      <c r="F18985" s="126"/>
      <c r="G18985" s="126">
        <f t="shared" si="403"/>
        <v>-12000</v>
      </c>
      <c r="H18985" s="705" t="s">
        <v>12659</v>
      </c>
      <c r="J18985" s="40"/>
    </row>
    <row r="18986" spans="1:10" ht="15" x14ac:dyDescent="0.2">
      <c r="A18986" s="734">
        <v>45380</v>
      </c>
      <c r="B18986" s="63" t="s">
        <v>10908</v>
      </c>
      <c r="C18986" s="63" t="s">
        <v>286</v>
      </c>
      <c r="D18986" s="183" t="s">
        <v>10887</v>
      </c>
      <c r="E18986" s="126">
        <v>1000</v>
      </c>
      <c r="F18986" s="126"/>
      <c r="G18986" s="126">
        <f t="shared" si="403"/>
        <v>-1000</v>
      </c>
      <c r="H18986" s="705" t="s">
        <v>12659</v>
      </c>
      <c r="J18986" s="40"/>
    </row>
    <row r="18987" spans="1:10" ht="15" x14ac:dyDescent="0.2">
      <c r="A18987" s="734">
        <v>45380</v>
      </c>
      <c r="B18987" s="63" t="s">
        <v>10908</v>
      </c>
      <c r="C18987" s="63" t="s">
        <v>5741</v>
      </c>
      <c r="D18987" s="183" t="s">
        <v>158</v>
      </c>
      <c r="E18987" s="126">
        <v>2650</v>
      </c>
      <c r="F18987" s="126"/>
      <c r="G18987" s="126">
        <f t="shared" si="403"/>
        <v>-2650</v>
      </c>
      <c r="H18987" s="705" t="s">
        <v>12659</v>
      </c>
      <c r="J18987" s="40"/>
    </row>
    <row r="18988" spans="1:10" ht="15" x14ac:dyDescent="0.2">
      <c r="A18988" s="733">
        <v>45355</v>
      </c>
      <c r="B18988" s="174" t="s">
        <v>11635</v>
      </c>
      <c r="C18988" s="174" t="s">
        <v>11291</v>
      </c>
      <c r="D18988" s="228" t="s">
        <v>12660</v>
      </c>
      <c r="E18988" s="236">
        <v>65000</v>
      </c>
      <c r="F18988" s="236"/>
      <c r="G18988" s="236">
        <f t="shared" si="382"/>
        <v>-65000</v>
      </c>
      <c r="H18988" s="709" t="s">
        <v>12659</v>
      </c>
    </row>
    <row r="18989" spans="1:10" ht="24" x14ac:dyDescent="0.2">
      <c r="A18989" s="733">
        <v>45355</v>
      </c>
      <c r="B18989" s="174" t="s">
        <v>11897</v>
      </c>
      <c r="C18989" s="174" t="s">
        <v>11291</v>
      </c>
      <c r="D18989" s="228" t="s">
        <v>12661</v>
      </c>
      <c r="E18989" s="236">
        <v>135000</v>
      </c>
      <c r="F18989" s="236"/>
      <c r="G18989" s="236">
        <f t="shared" si="382"/>
        <v>-135000</v>
      </c>
      <c r="H18989" s="709" t="s">
        <v>12659</v>
      </c>
    </row>
    <row r="18990" spans="1:10" ht="15" x14ac:dyDescent="0.2">
      <c r="A18990" s="733">
        <v>45356</v>
      </c>
      <c r="B18990" s="174" t="s">
        <v>12366</v>
      </c>
      <c r="C18990" s="174" t="s">
        <v>12104</v>
      </c>
      <c r="D18990" s="228" t="s">
        <v>12662</v>
      </c>
      <c r="E18990" s="236">
        <v>186000</v>
      </c>
      <c r="F18990" s="236"/>
      <c r="G18990" s="236">
        <f t="shared" si="382"/>
        <v>-186000</v>
      </c>
      <c r="H18990" s="709" t="s">
        <v>12659</v>
      </c>
    </row>
    <row r="18991" spans="1:10" ht="15" x14ac:dyDescent="0.2">
      <c r="A18991" s="733">
        <v>45359</v>
      </c>
      <c r="B18991" s="174" t="s">
        <v>9356</v>
      </c>
      <c r="C18991" s="174" t="s">
        <v>1198</v>
      </c>
      <c r="D18991" s="228" t="s">
        <v>12665</v>
      </c>
      <c r="E18991" s="236">
        <v>412181</v>
      </c>
      <c r="F18991" s="236"/>
      <c r="G18991" s="236">
        <f t="shared" si="382"/>
        <v>-412181</v>
      </c>
      <c r="H18991" s="709" t="s">
        <v>12659</v>
      </c>
    </row>
    <row r="18992" spans="1:10" ht="18.75" customHeight="1" x14ac:dyDescent="0.2">
      <c r="A18992" s="733">
        <v>45362</v>
      </c>
      <c r="B18992" s="174" t="s">
        <v>12710</v>
      </c>
      <c r="C18992" s="174" t="s">
        <v>12711</v>
      </c>
      <c r="D18992" s="228" t="s">
        <v>12712</v>
      </c>
      <c r="E18992" s="236">
        <v>1071000</v>
      </c>
      <c r="F18992" s="236"/>
      <c r="G18992" s="236">
        <f t="shared" si="382"/>
        <v>-1071000</v>
      </c>
      <c r="H18992" s="709" t="s">
        <v>12659</v>
      </c>
    </row>
    <row r="18993" spans="1:8" ht="15" x14ac:dyDescent="0.2">
      <c r="A18993" s="733">
        <v>45364</v>
      </c>
      <c r="B18993" s="174" t="s">
        <v>37</v>
      </c>
      <c r="C18993" s="551" t="s">
        <v>3003</v>
      </c>
      <c r="D18993" s="740" t="s">
        <v>12733</v>
      </c>
      <c r="E18993" s="552">
        <v>27362</v>
      </c>
      <c r="F18993" s="236"/>
      <c r="G18993" s="236">
        <f t="shared" si="382"/>
        <v>-27362</v>
      </c>
      <c r="H18993" s="709" t="s">
        <v>12659</v>
      </c>
    </row>
    <row r="18994" spans="1:8" ht="15" x14ac:dyDescent="0.2">
      <c r="A18994" s="733">
        <v>45364</v>
      </c>
      <c r="B18994" s="174" t="s">
        <v>3945</v>
      </c>
      <c r="C18994" s="551" t="s">
        <v>3003</v>
      </c>
      <c r="D18994" s="740" t="s">
        <v>12733</v>
      </c>
      <c r="E18994" s="552">
        <v>35367</v>
      </c>
      <c r="F18994" s="236"/>
      <c r="G18994" s="236">
        <f t="shared" si="382"/>
        <v>-35367</v>
      </c>
      <c r="H18994" s="709" t="s">
        <v>12659</v>
      </c>
    </row>
    <row r="18995" spans="1:8" ht="15" x14ac:dyDescent="0.2">
      <c r="A18995" s="733">
        <v>45364</v>
      </c>
      <c r="B18995" s="174" t="s">
        <v>3946</v>
      </c>
      <c r="C18995" s="551" t="s">
        <v>3003</v>
      </c>
      <c r="D18995" s="740" t="s">
        <v>12733</v>
      </c>
      <c r="E18995" s="552">
        <v>32760</v>
      </c>
      <c r="F18995" s="236"/>
      <c r="G18995" s="236">
        <f t="shared" si="382"/>
        <v>-32760</v>
      </c>
      <c r="H18995" s="709" t="s">
        <v>12659</v>
      </c>
    </row>
    <row r="18996" spans="1:8" ht="15" x14ac:dyDescent="0.2">
      <c r="A18996" s="733">
        <v>45372</v>
      </c>
      <c r="B18996" s="174" t="s">
        <v>12366</v>
      </c>
      <c r="C18996" s="174" t="s">
        <v>256</v>
      </c>
      <c r="D18996" s="228" t="s">
        <v>12790</v>
      </c>
      <c r="E18996" s="236">
        <v>712701</v>
      </c>
      <c r="F18996" s="236"/>
      <c r="G18996" s="236">
        <f t="shared" ref="G18996" si="404">F18996-E18996</f>
        <v>-712701</v>
      </c>
      <c r="H18996" s="709" t="s">
        <v>12659</v>
      </c>
    </row>
    <row r="18997" spans="1:8" ht="24" x14ac:dyDescent="0.2">
      <c r="A18997" s="730">
        <v>45359</v>
      </c>
      <c r="B18997" s="94" t="s">
        <v>9356</v>
      </c>
      <c r="C18997" s="94" t="s">
        <v>559</v>
      </c>
      <c r="D18997" s="802" t="s">
        <v>12664</v>
      </c>
      <c r="E18997" s="176"/>
      <c r="F18997" s="176">
        <v>412181</v>
      </c>
      <c r="G18997" s="176">
        <f t="shared" si="382"/>
        <v>412181</v>
      </c>
      <c r="H18997" s="702" t="s">
        <v>12659</v>
      </c>
    </row>
    <row r="18998" spans="1:8" ht="15" x14ac:dyDescent="0.2">
      <c r="A18998" s="730">
        <v>45359</v>
      </c>
      <c r="B18998" s="94" t="s">
        <v>12532</v>
      </c>
      <c r="C18998" s="94" t="s">
        <v>559</v>
      </c>
      <c r="D18998" s="802" t="s">
        <v>12683</v>
      </c>
      <c r="E18998" s="176"/>
      <c r="F18998" s="176">
        <v>8053923</v>
      </c>
      <c r="G18998" s="176">
        <f t="shared" ref="G18998" si="405">F18998-E18998</f>
        <v>8053923</v>
      </c>
      <c r="H18998" s="702" t="s">
        <v>12659</v>
      </c>
    </row>
    <row r="18999" spans="1:8" ht="15" x14ac:dyDescent="0.2">
      <c r="A18999" s="730">
        <v>45359</v>
      </c>
      <c r="B18999" s="94" t="s">
        <v>3946</v>
      </c>
      <c r="C18999" s="94" t="s">
        <v>559</v>
      </c>
      <c r="D18999" s="892" t="s">
        <v>12792</v>
      </c>
      <c r="E18999" s="176"/>
      <c r="F18999" s="176">
        <v>359992</v>
      </c>
      <c r="G18999" s="92">
        <f>F18999-E18999</f>
        <v>359992</v>
      </c>
      <c r="H18999" s="702" t="s">
        <v>12659</v>
      </c>
    </row>
    <row r="19000" spans="1:8" ht="15" x14ac:dyDescent="0.2">
      <c r="A19000" s="730">
        <v>45362</v>
      </c>
      <c r="B19000" s="94" t="s">
        <v>12366</v>
      </c>
      <c r="C19000" s="94" t="s">
        <v>559</v>
      </c>
      <c r="D19000" s="802" t="s">
        <v>12698</v>
      </c>
      <c r="E19000" s="176"/>
      <c r="F19000" s="176">
        <v>4658436</v>
      </c>
      <c r="G19000" s="176">
        <f t="shared" ref="G19000:G19005" si="406">F19000-E19000</f>
        <v>4658436</v>
      </c>
      <c r="H19000" s="702" t="s">
        <v>12659</v>
      </c>
    </row>
    <row r="19001" spans="1:8" ht="15" x14ac:dyDescent="0.2">
      <c r="A19001" s="730">
        <v>45362</v>
      </c>
      <c r="B19001" s="91" t="s">
        <v>11897</v>
      </c>
      <c r="C19001" s="94" t="s">
        <v>559</v>
      </c>
      <c r="D19001" s="801" t="s">
        <v>12707</v>
      </c>
      <c r="E19001" s="92"/>
      <c r="F19001" s="92">
        <v>6010680</v>
      </c>
      <c r="G19001" s="92">
        <f t="shared" si="406"/>
        <v>6010680</v>
      </c>
      <c r="H19001" s="702" t="s">
        <v>12659</v>
      </c>
    </row>
    <row r="19002" spans="1:8" ht="15" x14ac:dyDescent="0.2">
      <c r="A19002" s="730">
        <v>45362</v>
      </c>
      <c r="B19002" s="91" t="s">
        <v>11897</v>
      </c>
      <c r="C19002" s="94" t="s">
        <v>559</v>
      </c>
      <c r="D19002" s="801" t="s">
        <v>12707</v>
      </c>
      <c r="E19002" s="92"/>
      <c r="F19002" s="92">
        <v>5060000</v>
      </c>
      <c r="G19002" s="92">
        <f t="shared" si="406"/>
        <v>5060000</v>
      </c>
      <c r="H19002" s="702" t="s">
        <v>12659</v>
      </c>
    </row>
    <row r="19003" spans="1:8" ht="15" x14ac:dyDescent="0.2">
      <c r="A19003" s="730">
        <v>45362</v>
      </c>
      <c r="B19003" s="94" t="s">
        <v>11897</v>
      </c>
      <c r="C19003" s="94" t="s">
        <v>559</v>
      </c>
      <c r="D19003" s="898" t="s">
        <v>12040</v>
      </c>
      <c r="E19003" s="643">
        <v>110000</v>
      </c>
      <c r="F19003" s="92"/>
      <c r="G19003" s="92">
        <f t="shared" si="406"/>
        <v>-110000</v>
      </c>
      <c r="H19003" s="702" t="s">
        <v>12659</v>
      </c>
    </row>
    <row r="19004" spans="1:8" ht="15" x14ac:dyDescent="0.2">
      <c r="A19004" s="730">
        <v>45362</v>
      </c>
      <c r="B19004" s="91" t="s">
        <v>11897</v>
      </c>
      <c r="C19004" s="94" t="s">
        <v>559</v>
      </c>
      <c r="D19004" s="801" t="s">
        <v>12708</v>
      </c>
      <c r="E19004" s="92"/>
      <c r="F19004" s="92">
        <v>10000000</v>
      </c>
      <c r="G19004" s="92">
        <f t="shared" si="406"/>
        <v>10000000</v>
      </c>
      <c r="H19004" s="702" t="s">
        <v>12659</v>
      </c>
    </row>
    <row r="19005" spans="1:8" ht="15" x14ac:dyDescent="0.2">
      <c r="A19005" s="730">
        <v>45362</v>
      </c>
      <c r="B19005" s="91" t="s">
        <v>11897</v>
      </c>
      <c r="C19005" s="94" t="s">
        <v>559</v>
      </c>
      <c r="D19005" s="801" t="s">
        <v>12709</v>
      </c>
      <c r="E19005" s="92"/>
      <c r="F19005" s="92">
        <v>1071000</v>
      </c>
      <c r="G19005" s="92">
        <f t="shared" si="406"/>
        <v>1071000</v>
      </c>
      <c r="H19005" s="702" t="s">
        <v>12659</v>
      </c>
    </row>
    <row r="19006" spans="1:8" ht="15" x14ac:dyDescent="0.2">
      <c r="A19006" s="730">
        <v>45366</v>
      </c>
      <c r="B19006" s="91" t="s">
        <v>12372</v>
      </c>
      <c r="C19006" s="94" t="s">
        <v>559</v>
      </c>
      <c r="D19006" s="801" t="s">
        <v>12756</v>
      </c>
      <c r="E19006" s="92"/>
      <c r="F19006" s="92">
        <v>500000</v>
      </c>
      <c r="G19006" s="92">
        <f t="shared" ref="G19006" si="407">F19006-E19006</f>
        <v>500000</v>
      </c>
      <c r="H19006" s="702" t="s">
        <v>12659</v>
      </c>
    </row>
    <row r="19007" spans="1:8" ht="15" x14ac:dyDescent="0.2">
      <c r="A19007" s="730">
        <v>45372</v>
      </c>
      <c r="B19007" s="91" t="s">
        <v>11897</v>
      </c>
      <c r="C19007" s="94" t="s">
        <v>559</v>
      </c>
      <c r="D19007" s="801" t="s">
        <v>12789</v>
      </c>
      <c r="E19007" s="92"/>
      <c r="F19007" s="92">
        <v>712701</v>
      </c>
      <c r="G19007" s="92">
        <f t="shared" ref="G19007:G19008" si="408">F19007-E19007</f>
        <v>712701</v>
      </c>
      <c r="H19007" s="702" t="s">
        <v>12659</v>
      </c>
    </row>
    <row r="19008" spans="1:8" ht="15" x14ac:dyDescent="0.2">
      <c r="A19008" s="730">
        <v>45373</v>
      </c>
      <c r="B19008" s="91" t="s">
        <v>9356</v>
      </c>
      <c r="C19008" s="94" t="s">
        <v>559</v>
      </c>
      <c r="D19008" s="801" t="s">
        <v>12816</v>
      </c>
      <c r="E19008" s="92"/>
      <c r="F19008" s="92">
        <v>369095</v>
      </c>
      <c r="G19008" s="92">
        <f t="shared" si="408"/>
        <v>369095</v>
      </c>
      <c r="H19008" s="702" t="s">
        <v>12659</v>
      </c>
    </row>
    <row r="19009" spans="1:8" ht="15" x14ac:dyDescent="0.2">
      <c r="A19009" s="730">
        <v>45381</v>
      </c>
      <c r="B19009" s="91" t="s">
        <v>11738</v>
      </c>
      <c r="C19009" s="94" t="s">
        <v>559</v>
      </c>
      <c r="D19009" s="801" t="s">
        <v>12811</v>
      </c>
      <c r="E19009" s="92"/>
      <c r="F19009" s="92">
        <v>3840424</v>
      </c>
      <c r="G19009" s="92">
        <f t="shared" ref="G19009" si="409">F19009-E19009</f>
        <v>3840424</v>
      </c>
      <c r="H19009" s="702" t="s">
        <v>12659</v>
      </c>
    </row>
    <row r="19010" spans="1:8" ht="15" x14ac:dyDescent="0.2">
      <c r="A19010" s="734">
        <v>45384</v>
      </c>
      <c r="B19010" s="1126" t="s">
        <v>11897</v>
      </c>
      <c r="C19010" s="1099" t="s">
        <v>794</v>
      </c>
      <c r="D19010" s="1127" t="s">
        <v>12834</v>
      </c>
      <c r="E19010" s="1128">
        <v>50000</v>
      </c>
      <c r="F19010" s="58"/>
      <c r="G19010" s="58">
        <f t="shared" ref="G19010:G19231" si="410">F19010-E19010</f>
        <v>-50000</v>
      </c>
      <c r="H19010" s="705" t="s">
        <v>12833</v>
      </c>
    </row>
    <row r="19011" spans="1:8" ht="15" x14ac:dyDescent="0.2">
      <c r="A19011" s="734">
        <v>45384</v>
      </c>
      <c r="B19011" s="1126" t="s">
        <v>10179</v>
      </c>
      <c r="C19011" s="1099" t="s">
        <v>794</v>
      </c>
      <c r="D19011" s="1127" t="s">
        <v>8431</v>
      </c>
      <c r="E19011" s="1128">
        <v>5000</v>
      </c>
      <c r="F19011" s="58"/>
      <c r="G19011" s="58">
        <f t="shared" si="410"/>
        <v>-5000</v>
      </c>
      <c r="H19011" s="705" t="s">
        <v>12833</v>
      </c>
    </row>
    <row r="19012" spans="1:8" ht="15" x14ac:dyDescent="0.2">
      <c r="A19012" s="734">
        <v>45384</v>
      </c>
      <c r="B19012" s="1126" t="s">
        <v>10908</v>
      </c>
      <c r="C19012" s="1099" t="s">
        <v>794</v>
      </c>
      <c r="D19012" s="1127" t="s">
        <v>12219</v>
      </c>
      <c r="E19012" s="1128">
        <v>50000</v>
      </c>
      <c r="F19012" s="58"/>
      <c r="G19012" s="58">
        <f t="shared" si="410"/>
        <v>-50000</v>
      </c>
      <c r="H19012" s="705" t="s">
        <v>12833</v>
      </c>
    </row>
    <row r="19013" spans="1:8" ht="15" x14ac:dyDescent="0.2">
      <c r="A19013" s="734">
        <v>45384</v>
      </c>
      <c r="B19013" s="1126" t="s">
        <v>103</v>
      </c>
      <c r="C19013" s="1099" t="s">
        <v>794</v>
      </c>
      <c r="D19013" s="1127" t="s">
        <v>12835</v>
      </c>
      <c r="E19013" s="1128">
        <v>105000</v>
      </c>
      <c r="F19013" s="58"/>
      <c r="G19013" s="58">
        <f t="shared" si="410"/>
        <v>-105000</v>
      </c>
      <c r="H19013" s="705" t="s">
        <v>12833</v>
      </c>
    </row>
    <row r="19014" spans="1:8" ht="15" x14ac:dyDescent="0.2">
      <c r="A19014" s="734">
        <v>45384</v>
      </c>
      <c r="B19014" s="1126" t="s">
        <v>11897</v>
      </c>
      <c r="C19014" s="1099" t="s">
        <v>794</v>
      </c>
      <c r="D19014" s="1127" t="s">
        <v>12825</v>
      </c>
      <c r="E19014" s="1128">
        <v>80160</v>
      </c>
      <c r="F19014" s="58"/>
      <c r="G19014" s="58">
        <f t="shared" ref="G19014:G19054" si="411">F19014-E19014</f>
        <v>-80160</v>
      </c>
      <c r="H19014" s="705" t="s">
        <v>12833</v>
      </c>
    </row>
    <row r="19015" spans="1:8" ht="15" x14ac:dyDescent="0.2">
      <c r="A19015" s="734">
        <v>45384</v>
      </c>
      <c r="B19015" s="1126" t="s">
        <v>12818</v>
      </c>
      <c r="C19015" s="1099" t="s">
        <v>794</v>
      </c>
      <c r="D19015" s="1127" t="s">
        <v>11846</v>
      </c>
      <c r="E19015" s="1128">
        <v>23130</v>
      </c>
      <c r="F19015" s="58"/>
      <c r="G19015" s="58">
        <f t="shared" si="411"/>
        <v>-23130</v>
      </c>
      <c r="H19015" s="705" t="s">
        <v>12833</v>
      </c>
    </row>
    <row r="19016" spans="1:8" ht="15" x14ac:dyDescent="0.2">
      <c r="A19016" s="734">
        <v>45384</v>
      </c>
      <c r="B19016" s="1126" t="s">
        <v>103</v>
      </c>
      <c r="C19016" s="1099" t="s">
        <v>794</v>
      </c>
      <c r="D19016" s="1127" t="s">
        <v>10137</v>
      </c>
      <c r="E19016" s="1128">
        <v>219500</v>
      </c>
      <c r="F19016" s="58"/>
      <c r="G19016" s="58">
        <f t="shared" ref="G19016:G19022" si="412">F19016-E19016</f>
        <v>-219500</v>
      </c>
      <c r="H19016" s="705" t="s">
        <v>12833</v>
      </c>
    </row>
    <row r="19017" spans="1:8" ht="15" x14ac:dyDescent="0.2">
      <c r="A19017" s="734">
        <v>45384</v>
      </c>
      <c r="B19017" s="1126" t="s">
        <v>11089</v>
      </c>
      <c r="C19017" s="1099" t="s">
        <v>794</v>
      </c>
      <c r="D19017" s="1127" t="s">
        <v>11847</v>
      </c>
      <c r="E19017" s="1128">
        <v>44050</v>
      </c>
      <c r="F19017" s="58"/>
      <c r="G19017" s="58">
        <f t="shared" si="412"/>
        <v>-44050</v>
      </c>
      <c r="H19017" s="705" t="s">
        <v>12833</v>
      </c>
    </row>
    <row r="19018" spans="1:8" ht="15" x14ac:dyDescent="0.2">
      <c r="A19018" s="734">
        <v>45385</v>
      </c>
      <c r="B19018" s="1126" t="s">
        <v>37</v>
      </c>
      <c r="C19018" s="1099" t="s">
        <v>794</v>
      </c>
      <c r="D19018" s="1127" t="s">
        <v>11845</v>
      </c>
      <c r="E19018" s="1128">
        <v>186200</v>
      </c>
      <c r="F19018" s="58"/>
      <c r="G19018" s="58">
        <f t="shared" si="412"/>
        <v>-186200</v>
      </c>
      <c r="H19018" s="705" t="s">
        <v>12833</v>
      </c>
    </row>
    <row r="19019" spans="1:8" ht="15" x14ac:dyDescent="0.2">
      <c r="A19019" s="734">
        <v>45385</v>
      </c>
      <c r="B19019" s="1126" t="s">
        <v>12634</v>
      </c>
      <c r="C19019" s="1099" t="s">
        <v>794</v>
      </c>
      <c r="D19019" s="1127" t="s">
        <v>12846</v>
      </c>
      <c r="E19019" s="1128">
        <v>266282</v>
      </c>
      <c r="F19019" s="58"/>
      <c r="G19019" s="58">
        <f t="shared" si="412"/>
        <v>-266282</v>
      </c>
      <c r="H19019" s="705" t="s">
        <v>12833</v>
      </c>
    </row>
    <row r="19020" spans="1:8" ht="15" x14ac:dyDescent="0.2">
      <c r="A19020" s="734">
        <v>45385</v>
      </c>
      <c r="B19020" s="1126" t="s">
        <v>8559</v>
      </c>
      <c r="C19020" s="1099" t="s">
        <v>794</v>
      </c>
      <c r="D19020" s="1127" t="s">
        <v>12847</v>
      </c>
      <c r="E19020" s="1128">
        <v>129000</v>
      </c>
      <c r="F19020" s="58"/>
      <c r="G19020" s="58">
        <f t="shared" si="412"/>
        <v>-129000</v>
      </c>
      <c r="H19020" s="705" t="s">
        <v>12833</v>
      </c>
    </row>
    <row r="19021" spans="1:8" ht="15" x14ac:dyDescent="0.2">
      <c r="A19021" s="734">
        <v>45386</v>
      </c>
      <c r="B19021" s="1099" t="s">
        <v>11738</v>
      </c>
      <c r="C19021" s="1099" t="s">
        <v>794</v>
      </c>
      <c r="D19021" s="1102" t="s">
        <v>12411</v>
      </c>
      <c r="E19021" s="1101">
        <v>535700</v>
      </c>
      <c r="F19021" s="126"/>
      <c r="G19021" s="126">
        <f t="shared" si="412"/>
        <v>-535700</v>
      </c>
      <c r="H19021" s="705" t="s">
        <v>12833</v>
      </c>
    </row>
    <row r="19022" spans="1:8" ht="15" x14ac:dyDescent="0.2">
      <c r="A19022" s="734">
        <v>45386</v>
      </c>
      <c r="B19022" s="1099" t="s">
        <v>11738</v>
      </c>
      <c r="C19022" s="1099" t="s">
        <v>794</v>
      </c>
      <c r="D19022" s="1102" t="s">
        <v>12860</v>
      </c>
      <c r="E19022" s="1101">
        <v>220000</v>
      </c>
      <c r="F19022" s="126"/>
      <c r="G19022" s="126">
        <f t="shared" si="412"/>
        <v>-220000</v>
      </c>
      <c r="H19022" s="705" t="s">
        <v>12833</v>
      </c>
    </row>
    <row r="19023" spans="1:8" ht="15" x14ac:dyDescent="0.2">
      <c r="A19023" s="734">
        <v>45386</v>
      </c>
      <c r="B19023" s="1099" t="s">
        <v>10908</v>
      </c>
      <c r="C19023" s="1099" t="s">
        <v>794</v>
      </c>
      <c r="D19023" s="1102" t="s">
        <v>12861</v>
      </c>
      <c r="E19023" s="1101">
        <v>75970</v>
      </c>
      <c r="F19023" s="126"/>
      <c r="G19023" s="126">
        <f t="shared" ref="G19023:G19025" si="413">F19023-E19023</f>
        <v>-75970</v>
      </c>
      <c r="H19023" s="705" t="s">
        <v>12833</v>
      </c>
    </row>
    <row r="19024" spans="1:8" ht="15" x14ac:dyDescent="0.2">
      <c r="A19024" s="734">
        <v>45386</v>
      </c>
      <c r="B19024" s="1099" t="s">
        <v>11897</v>
      </c>
      <c r="C19024" s="1099" t="s">
        <v>794</v>
      </c>
      <c r="D19024" s="1102" t="s">
        <v>12862</v>
      </c>
      <c r="E19024" s="1101">
        <v>75000</v>
      </c>
      <c r="F19024" s="126"/>
      <c r="G19024" s="126">
        <f t="shared" si="413"/>
        <v>-75000</v>
      </c>
      <c r="H19024" s="705" t="s">
        <v>12833</v>
      </c>
    </row>
    <row r="19025" spans="1:8" ht="15" x14ac:dyDescent="0.2">
      <c r="A19025" s="734">
        <v>45386</v>
      </c>
      <c r="B19025" s="1099" t="s">
        <v>11897</v>
      </c>
      <c r="C19025" s="1099" t="s">
        <v>794</v>
      </c>
      <c r="D19025" s="1102" t="s">
        <v>12863</v>
      </c>
      <c r="E19025" s="1101">
        <v>57260</v>
      </c>
      <c r="F19025" s="126"/>
      <c r="G19025" s="126">
        <f t="shared" si="413"/>
        <v>-57260</v>
      </c>
      <c r="H19025" s="705" t="s">
        <v>12833</v>
      </c>
    </row>
    <row r="19026" spans="1:8" ht="15" x14ac:dyDescent="0.2">
      <c r="A19026" s="734">
        <v>45386</v>
      </c>
      <c r="B19026" s="1099" t="s">
        <v>12827</v>
      </c>
      <c r="C19026" s="1099" t="s">
        <v>794</v>
      </c>
      <c r="D19026" s="1102" t="s">
        <v>12851</v>
      </c>
      <c r="E19026" s="1101">
        <v>43016</v>
      </c>
      <c r="F19026" s="126"/>
      <c r="G19026" s="126">
        <f>F19026-E19026</f>
        <v>-43016</v>
      </c>
      <c r="H19026" s="705" t="s">
        <v>12833</v>
      </c>
    </row>
    <row r="19027" spans="1:8" ht="15" x14ac:dyDescent="0.2">
      <c r="A19027" s="734">
        <v>45386</v>
      </c>
      <c r="B19027" s="1099" t="s">
        <v>11897</v>
      </c>
      <c r="C19027" s="1099" t="s">
        <v>794</v>
      </c>
      <c r="D19027" s="1102" t="s">
        <v>12852</v>
      </c>
      <c r="E19027" s="1101">
        <v>65000</v>
      </c>
      <c r="F19027" s="126"/>
      <c r="G19027" s="126">
        <f>F19027-E19027</f>
        <v>-65000</v>
      </c>
      <c r="H19027" s="705" t="s">
        <v>12833</v>
      </c>
    </row>
    <row r="19028" spans="1:8" ht="15" x14ac:dyDescent="0.2">
      <c r="A19028" s="734">
        <v>45386</v>
      </c>
      <c r="B19028" s="1099" t="s">
        <v>3946</v>
      </c>
      <c r="C19028" s="1099" t="s">
        <v>794</v>
      </c>
      <c r="D19028" s="1102" t="s">
        <v>12415</v>
      </c>
      <c r="E19028" s="1101">
        <v>137409.27419354839</v>
      </c>
      <c r="F19028" s="126"/>
      <c r="G19028" s="126">
        <f>F19028-E19028</f>
        <v>-137409.27419354839</v>
      </c>
      <c r="H19028" s="705" t="s">
        <v>12833</v>
      </c>
    </row>
    <row r="19029" spans="1:8" ht="15" x14ac:dyDescent="0.2">
      <c r="A19029" s="734">
        <v>45386</v>
      </c>
      <c r="B19029" s="1099" t="s">
        <v>3945</v>
      </c>
      <c r="C19029" s="1099" t="s">
        <v>794</v>
      </c>
      <c r="D19029" s="1102" t="s">
        <v>12105</v>
      </c>
      <c r="E19029" s="1101">
        <v>139459.67741935485</v>
      </c>
      <c r="F19029" s="126"/>
      <c r="G19029" s="126">
        <f>F19029-E19029</f>
        <v>-139459.67741935485</v>
      </c>
      <c r="H19029" s="705" t="s">
        <v>12833</v>
      </c>
    </row>
    <row r="19030" spans="1:8" ht="15" x14ac:dyDescent="0.2">
      <c r="A19030" s="734">
        <v>45386</v>
      </c>
      <c r="B19030" s="1099" t="s">
        <v>3946</v>
      </c>
      <c r="C19030" s="1099" t="s">
        <v>794</v>
      </c>
      <c r="D19030" s="1102" t="s">
        <v>12690</v>
      </c>
      <c r="E19030" s="1101">
        <v>28000</v>
      </c>
      <c r="F19030" s="126"/>
      <c r="G19030" s="126">
        <f>F19030-E19030</f>
        <v>-28000</v>
      </c>
      <c r="H19030" s="705" t="s">
        <v>12833</v>
      </c>
    </row>
    <row r="19031" spans="1:8" ht="15" x14ac:dyDescent="0.2">
      <c r="A19031" s="734">
        <v>45384</v>
      </c>
      <c r="B19031" s="41" t="s">
        <v>12366</v>
      </c>
      <c r="C19031" s="63" t="s">
        <v>10993</v>
      </c>
      <c r="D19031" s="108" t="s">
        <v>12837</v>
      </c>
      <c r="E19031" s="58">
        <v>100000</v>
      </c>
      <c r="F19031" s="58"/>
      <c r="G19031" s="58">
        <f t="shared" si="411"/>
        <v>-100000</v>
      </c>
      <c r="H19031" s="705" t="s">
        <v>12833</v>
      </c>
    </row>
    <row r="19032" spans="1:8" ht="15" x14ac:dyDescent="0.2">
      <c r="A19032" s="734">
        <v>45384</v>
      </c>
      <c r="B19032" s="41" t="s">
        <v>3946</v>
      </c>
      <c r="C19032" s="63" t="s">
        <v>10993</v>
      </c>
      <c r="D19032" s="108" t="s">
        <v>12826</v>
      </c>
      <c r="E19032" s="58">
        <v>1700</v>
      </c>
      <c r="F19032" s="58"/>
      <c r="G19032" s="58">
        <f t="shared" si="411"/>
        <v>-1700</v>
      </c>
      <c r="H19032" s="705" t="s">
        <v>12833</v>
      </c>
    </row>
    <row r="19033" spans="1:8" ht="15" x14ac:dyDescent="0.2">
      <c r="A19033" s="734">
        <v>45384</v>
      </c>
      <c r="B19033" s="1129" t="s">
        <v>103</v>
      </c>
      <c r="C19033" s="1130" t="s">
        <v>9731</v>
      </c>
      <c r="D19033" s="1131" t="s">
        <v>12843</v>
      </c>
      <c r="E19033" s="1132">
        <v>874250</v>
      </c>
      <c r="F19033" s="58"/>
      <c r="G19033" s="58">
        <f t="shared" ref="G19033" si="414">F19033-E19033</f>
        <v>-874250</v>
      </c>
      <c r="H19033" s="705" t="s">
        <v>12833</v>
      </c>
    </row>
    <row r="19034" spans="1:8" ht="15" x14ac:dyDescent="0.2">
      <c r="A19034" s="734">
        <v>45384</v>
      </c>
      <c r="B19034" s="41" t="s">
        <v>103</v>
      </c>
      <c r="C19034" s="63" t="s">
        <v>103</v>
      </c>
      <c r="D19034" s="108" t="s">
        <v>12557</v>
      </c>
      <c r="E19034" s="58">
        <v>3000</v>
      </c>
      <c r="F19034" s="58"/>
      <c r="G19034" s="58">
        <f t="shared" si="411"/>
        <v>-3000</v>
      </c>
      <c r="H19034" s="705" t="s">
        <v>12833</v>
      </c>
    </row>
    <row r="19035" spans="1:8" ht="15" x14ac:dyDescent="0.2">
      <c r="A19035" s="734">
        <v>45384</v>
      </c>
      <c r="B19035" s="41" t="s">
        <v>12827</v>
      </c>
      <c r="C19035" s="63" t="s">
        <v>5410</v>
      </c>
      <c r="D19035" s="108" t="s">
        <v>12424</v>
      </c>
      <c r="E19035" s="58">
        <v>5000</v>
      </c>
      <c r="F19035" s="58"/>
      <c r="G19035" s="58">
        <f t="shared" si="411"/>
        <v>-5000</v>
      </c>
      <c r="H19035" s="705" t="s">
        <v>12833</v>
      </c>
    </row>
    <row r="19036" spans="1:8" ht="15" x14ac:dyDescent="0.2">
      <c r="A19036" s="734">
        <v>45384</v>
      </c>
      <c r="B19036" s="41" t="s">
        <v>25</v>
      </c>
      <c r="C19036" s="63" t="s">
        <v>8150</v>
      </c>
      <c r="D19036" s="108" t="s">
        <v>6310</v>
      </c>
      <c r="E19036" s="58">
        <v>1330</v>
      </c>
      <c r="F19036" s="58"/>
      <c r="G19036" s="58">
        <f t="shared" si="411"/>
        <v>-1330</v>
      </c>
      <c r="H19036" s="705" t="s">
        <v>12833</v>
      </c>
    </row>
    <row r="19037" spans="1:8" ht="15" x14ac:dyDescent="0.2">
      <c r="A19037" s="734">
        <v>45384</v>
      </c>
      <c r="B19037" s="41" t="s">
        <v>11897</v>
      </c>
      <c r="C19037" s="63" t="s">
        <v>12828</v>
      </c>
      <c r="D19037" s="108" t="s">
        <v>12829</v>
      </c>
      <c r="E19037" s="58">
        <v>35000</v>
      </c>
      <c r="F19037" s="58"/>
      <c r="G19037" s="58">
        <f t="shared" si="411"/>
        <v>-35000</v>
      </c>
      <c r="H19037" s="705" t="s">
        <v>12833</v>
      </c>
    </row>
    <row r="19038" spans="1:8" ht="15" x14ac:dyDescent="0.2">
      <c r="A19038" s="734">
        <v>45384</v>
      </c>
      <c r="B19038" s="41" t="s">
        <v>11897</v>
      </c>
      <c r="C19038" s="63" t="s">
        <v>5741</v>
      </c>
      <c r="D19038" s="108" t="s">
        <v>12830</v>
      </c>
      <c r="E19038" s="58">
        <v>4500</v>
      </c>
      <c r="F19038" s="58"/>
      <c r="G19038" s="58">
        <f t="shared" si="411"/>
        <v>-4500</v>
      </c>
      <c r="H19038" s="705" t="s">
        <v>12833</v>
      </c>
    </row>
    <row r="19039" spans="1:8" ht="15" x14ac:dyDescent="0.2">
      <c r="A19039" s="734">
        <v>45384</v>
      </c>
      <c r="B19039" s="41" t="s">
        <v>12818</v>
      </c>
      <c r="C19039" s="63" t="s">
        <v>10993</v>
      </c>
      <c r="D19039" s="108" t="s">
        <v>11724</v>
      </c>
      <c r="E19039" s="58">
        <v>1250</v>
      </c>
      <c r="F19039" s="58"/>
      <c r="G19039" s="58">
        <f t="shared" si="411"/>
        <v>-1250</v>
      </c>
      <c r="H19039" s="705" t="s">
        <v>12833</v>
      </c>
    </row>
    <row r="19040" spans="1:8" ht="15" x14ac:dyDescent="0.2">
      <c r="A19040" s="734">
        <v>45384</v>
      </c>
      <c r="B19040" s="41" t="s">
        <v>103</v>
      </c>
      <c r="C19040" s="63" t="s">
        <v>8150</v>
      </c>
      <c r="D19040" s="108" t="s">
        <v>6310</v>
      </c>
      <c r="E19040" s="58">
        <v>1200</v>
      </c>
      <c r="F19040" s="58"/>
      <c r="G19040" s="58">
        <f t="shared" si="411"/>
        <v>-1200</v>
      </c>
      <c r="H19040" s="705" t="s">
        <v>12833</v>
      </c>
    </row>
    <row r="19041" spans="1:8" ht="15" x14ac:dyDescent="0.2">
      <c r="A19041" s="734">
        <v>45384</v>
      </c>
      <c r="B19041" s="41" t="s">
        <v>12818</v>
      </c>
      <c r="C19041" s="63" t="s">
        <v>5741</v>
      </c>
      <c r="D19041" s="108" t="s">
        <v>370</v>
      </c>
      <c r="E19041" s="58">
        <v>1000</v>
      </c>
      <c r="F19041" s="58"/>
      <c r="G19041" s="58">
        <f t="shared" si="411"/>
        <v>-1000</v>
      </c>
      <c r="H19041" s="705" t="s">
        <v>12833</v>
      </c>
    </row>
    <row r="19042" spans="1:8" ht="15" x14ac:dyDescent="0.2">
      <c r="A19042" s="734">
        <v>45384</v>
      </c>
      <c r="B19042" s="41" t="s">
        <v>11897</v>
      </c>
      <c r="C19042" s="63" t="s">
        <v>5741</v>
      </c>
      <c r="D19042" s="108" t="s">
        <v>370</v>
      </c>
      <c r="E19042" s="58">
        <v>900</v>
      </c>
      <c r="F19042" s="58"/>
      <c r="G19042" s="58">
        <f t="shared" si="411"/>
        <v>-900</v>
      </c>
      <c r="H19042" s="705" t="s">
        <v>12833</v>
      </c>
    </row>
    <row r="19043" spans="1:8" ht="15" x14ac:dyDescent="0.2">
      <c r="A19043" s="734">
        <v>45384</v>
      </c>
      <c r="B19043" s="41" t="s">
        <v>11738</v>
      </c>
      <c r="C19043" s="63" t="s">
        <v>12831</v>
      </c>
      <c r="D19043" s="108" t="s">
        <v>12832</v>
      </c>
      <c r="E19043" s="58">
        <v>15000</v>
      </c>
      <c r="F19043" s="58"/>
      <c r="G19043" s="58">
        <f t="shared" si="411"/>
        <v>-15000</v>
      </c>
      <c r="H19043" s="705" t="s">
        <v>12833</v>
      </c>
    </row>
    <row r="19044" spans="1:8" ht="15" x14ac:dyDescent="0.2">
      <c r="A19044" s="734">
        <v>45384</v>
      </c>
      <c r="B19044" s="41" t="s">
        <v>12532</v>
      </c>
      <c r="C19044" s="63" t="s">
        <v>392</v>
      </c>
      <c r="D19044" s="108" t="s">
        <v>5384</v>
      </c>
      <c r="E19044" s="58">
        <v>2000</v>
      </c>
      <c r="F19044" s="58"/>
      <c r="G19044" s="58">
        <f t="shared" si="411"/>
        <v>-2000</v>
      </c>
      <c r="H19044" s="705" t="s">
        <v>12833</v>
      </c>
    </row>
    <row r="19045" spans="1:8" ht="15" x14ac:dyDescent="0.2">
      <c r="A19045" s="734">
        <v>45384</v>
      </c>
      <c r="B19045" s="41" t="s">
        <v>12827</v>
      </c>
      <c r="C19045" s="63" t="s">
        <v>392</v>
      </c>
      <c r="D19045" s="108" t="s">
        <v>5384</v>
      </c>
      <c r="E19045" s="58">
        <v>4000</v>
      </c>
      <c r="F19045" s="58"/>
      <c r="G19045" s="58">
        <f t="shared" si="411"/>
        <v>-4000</v>
      </c>
      <c r="H19045" s="705" t="s">
        <v>12833</v>
      </c>
    </row>
    <row r="19046" spans="1:8" ht="15" x14ac:dyDescent="0.2">
      <c r="A19046" s="734">
        <v>45384</v>
      </c>
      <c r="B19046" s="41" t="s">
        <v>37</v>
      </c>
      <c r="C19046" s="63" t="s">
        <v>392</v>
      </c>
      <c r="D19046" s="108" t="s">
        <v>5384</v>
      </c>
      <c r="E19046" s="58">
        <v>2000</v>
      </c>
      <c r="F19046" s="58"/>
      <c r="G19046" s="58">
        <f t="shared" si="411"/>
        <v>-2000</v>
      </c>
      <c r="H19046" s="705" t="s">
        <v>12833</v>
      </c>
    </row>
    <row r="19047" spans="1:8" ht="15" x14ac:dyDescent="0.2">
      <c r="A19047" s="734">
        <v>45384</v>
      </c>
      <c r="B19047" s="41" t="s">
        <v>11089</v>
      </c>
      <c r="C19047" s="63" t="s">
        <v>392</v>
      </c>
      <c r="D19047" s="108" t="s">
        <v>5384</v>
      </c>
      <c r="E19047" s="58">
        <v>5250</v>
      </c>
      <c r="F19047" s="58"/>
      <c r="G19047" s="58">
        <f t="shared" si="411"/>
        <v>-5250</v>
      </c>
      <c r="H19047" s="705" t="s">
        <v>12833</v>
      </c>
    </row>
    <row r="19048" spans="1:8" ht="15" x14ac:dyDescent="0.2">
      <c r="A19048" s="734">
        <v>45384</v>
      </c>
      <c r="B19048" s="41" t="s">
        <v>10776</v>
      </c>
      <c r="C19048" s="63" t="s">
        <v>10993</v>
      </c>
      <c r="D19048" s="108" t="s">
        <v>4966</v>
      </c>
      <c r="E19048" s="58">
        <v>13040</v>
      </c>
      <c r="F19048" s="58"/>
      <c r="G19048" s="58">
        <f t="shared" si="411"/>
        <v>-13040</v>
      </c>
      <c r="H19048" s="705" t="s">
        <v>12833</v>
      </c>
    </row>
    <row r="19049" spans="1:8" ht="15" x14ac:dyDescent="0.2">
      <c r="A19049" s="734">
        <v>45384</v>
      </c>
      <c r="B19049" s="41" t="s">
        <v>8559</v>
      </c>
      <c r="C19049" s="63" t="s">
        <v>10993</v>
      </c>
      <c r="D19049" s="108" t="s">
        <v>4966</v>
      </c>
      <c r="E19049" s="58">
        <v>12700</v>
      </c>
      <c r="F19049" s="58"/>
      <c r="G19049" s="58">
        <f t="shared" si="411"/>
        <v>-12700</v>
      </c>
      <c r="H19049" s="705" t="s">
        <v>12833</v>
      </c>
    </row>
    <row r="19050" spans="1:8" ht="15" x14ac:dyDescent="0.2">
      <c r="A19050" s="734">
        <v>45384</v>
      </c>
      <c r="B19050" s="41" t="s">
        <v>8559</v>
      </c>
      <c r="C19050" s="63" t="s">
        <v>10993</v>
      </c>
      <c r="D19050" s="108" t="s">
        <v>4966</v>
      </c>
      <c r="E19050" s="58">
        <v>3718</v>
      </c>
      <c r="F19050" s="58"/>
      <c r="G19050" s="58">
        <f t="shared" si="411"/>
        <v>-3718</v>
      </c>
      <c r="H19050" s="705" t="s">
        <v>12833</v>
      </c>
    </row>
    <row r="19051" spans="1:8" ht="15" x14ac:dyDescent="0.2">
      <c r="A19051" s="734">
        <v>45384</v>
      </c>
      <c r="B19051" s="41" t="s">
        <v>12532</v>
      </c>
      <c r="C19051" s="63" t="s">
        <v>10993</v>
      </c>
      <c r="D19051" s="108" t="s">
        <v>4966</v>
      </c>
      <c r="E19051" s="58">
        <v>95726</v>
      </c>
      <c r="F19051" s="58"/>
      <c r="G19051" s="58">
        <f t="shared" si="411"/>
        <v>-95726</v>
      </c>
      <c r="H19051" s="705" t="s">
        <v>12833</v>
      </c>
    </row>
    <row r="19052" spans="1:8" ht="15" x14ac:dyDescent="0.2">
      <c r="A19052" s="734">
        <v>45384</v>
      </c>
      <c r="B19052" s="41" t="s">
        <v>103</v>
      </c>
      <c r="C19052" s="63" t="s">
        <v>392</v>
      </c>
      <c r="D19052" s="108" t="s">
        <v>12836</v>
      </c>
      <c r="E19052" s="58">
        <v>50000</v>
      </c>
      <c r="F19052" s="58"/>
      <c r="G19052" s="58">
        <f t="shared" si="411"/>
        <v>-50000</v>
      </c>
      <c r="H19052" s="705" t="s">
        <v>12833</v>
      </c>
    </row>
    <row r="19053" spans="1:8" ht="15" x14ac:dyDescent="0.2">
      <c r="A19053" s="734">
        <v>45384</v>
      </c>
      <c r="B19053" s="41" t="s">
        <v>12827</v>
      </c>
      <c r="C19053" s="63" t="s">
        <v>5410</v>
      </c>
      <c r="D19053" s="108" t="s">
        <v>12424</v>
      </c>
      <c r="E19053" s="58">
        <v>5000</v>
      </c>
      <c r="F19053" s="58"/>
      <c r="G19053" s="58">
        <f t="shared" ref="G19053" si="415">F19053-E19053</f>
        <v>-5000</v>
      </c>
      <c r="H19053" s="705" t="s">
        <v>12833</v>
      </c>
    </row>
    <row r="19054" spans="1:8" ht="15" x14ac:dyDescent="0.2">
      <c r="A19054" s="734">
        <v>45384</v>
      </c>
      <c r="B19054" s="45"/>
      <c r="C19054" s="63" t="s">
        <v>12539</v>
      </c>
      <c r="D19054" s="108" t="s">
        <v>12302</v>
      </c>
      <c r="E19054" s="58">
        <v>50000</v>
      </c>
      <c r="F19054" s="58"/>
      <c r="G19054" s="58">
        <f t="shared" si="411"/>
        <v>-50000</v>
      </c>
      <c r="H19054" s="705" t="s">
        <v>12833</v>
      </c>
    </row>
    <row r="19055" spans="1:8" ht="15" x14ac:dyDescent="0.2">
      <c r="A19055" s="734">
        <v>45384</v>
      </c>
      <c r="B19055" s="41" t="s">
        <v>11897</v>
      </c>
      <c r="C19055" s="63" t="s">
        <v>392</v>
      </c>
      <c r="D19055" s="108" t="s">
        <v>12838</v>
      </c>
      <c r="E19055" s="58">
        <v>2000</v>
      </c>
      <c r="F19055" s="58"/>
      <c r="G19055" s="58">
        <f t="shared" ref="G19055" si="416">F19055-E19055</f>
        <v>-2000</v>
      </c>
      <c r="H19055" s="705" t="s">
        <v>12833</v>
      </c>
    </row>
    <row r="19056" spans="1:8" ht="15" x14ac:dyDescent="0.2">
      <c r="A19056" s="734">
        <v>45385</v>
      </c>
      <c r="B19056" s="41" t="s">
        <v>103</v>
      </c>
      <c r="C19056" s="63" t="s">
        <v>103</v>
      </c>
      <c r="D19056" s="108" t="s">
        <v>12844</v>
      </c>
      <c r="E19056" s="58">
        <v>1000</v>
      </c>
      <c r="F19056" s="58"/>
      <c r="G19056" s="58">
        <f t="shared" ref="G19056:G19063" si="417">F19056-E19056</f>
        <v>-1000</v>
      </c>
      <c r="H19056" s="705" t="s">
        <v>12833</v>
      </c>
    </row>
    <row r="19057" spans="1:8" ht="15" x14ac:dyDescent="0.2">
      <c r="A19057" s="734">
        <v>45385</v>
      </c>
      <c r="B19057" s="41" t="s">
        <v>37</v>
      </c>
      <c r="C19057" s="63" t="s">
        <v>392</v>
      </c>
      <c r="D19057" s="108" t="s">
        <v>5755</v>
      </c>
      <c r="E19057" s="58">
        <v>3000</v>
      </c>
      <c r="F19057" s="58"/>
      <c r="G19057" s="58">
        <f t="shared" si="417"/>
        <v>-3000</v>
      </c>
      <c r="H19057" s="705" t="s">
        <v>12833</v>
      </c>
    </row>
    <row r="19058" spans="1:8" ht="15" x14ac:dyDescent="0.2">
      <c r="A19058" s="734">
        <v>45385</v>
      </c>
      <c r="B19058" s="41" t="s">
        <v>37</v>
      </c>
      <c r="C19058" s="63" t="s">
        <v>392</v>
      </c>
      <c r="D19058" s="108" t="s">
        <v>12845</v>
      </c>
      <c r="E19058" s="58">
        <v>500</v>
      </c>
      <c r="F19058" s="58"/>
      <c r="G19058" s="58">
        <f t="shared" si="417"/>
        <v>-500</v>
      </c>
      <c r="H19058" s="705" t="s">
        <v>12833</v>
      </c>
    </row>
    <row r="19059" spans="1:8" ht="15" x14ac:dyDescent="0.2">
      <c r="A19059" s="734">
        <v>45385</v>
      </c>
      <c r="B19059" s="41" t="s">
        <v>10232</v>
      </c>
      <c r="C19059" s="634" t="s">
        <v>12299</v>
      </c>
      <c r="D19059" s="918" t="s">
        <v>12848</v>
      </c>
      <c r="E19059" s="735">
        <v>60000</v>
      </c>
      <c r="F19059" s="58"/>
      <c r="G19059" s="58">
        <f t="shared" si="417"/>
        <v>-60000</v>
      </c>
      <c r="H19059" s="705" t="s">
        <v>12833</v>
      </c>
    </row>
    <row r="19060" spans="1:8" ht="15" x14ac:dyDescent="0.2">
      <c r="A19060" s="734">
        <v>45385</v>
      </c>
      <c r="B19060" s="41" t="s">
        <v>8559</v>
      </c>
      <c r="C19060" s="634" t="s">
        <v>12299</v>
      </c>
      <c r="D19060" s="918" t="s">
        <v>12848</v>
      </c>
      <c r="E19060" s="735">
        <v>15000</v>
      </c>
      <c r="F19060" s="58"/>
      <c r="G19060" s="58">
        <f t="shared" si="417"/>
        <v>-15000</v>
      </c>
      <c r="H19060" s="705" t="s">
        <v>12833</v>
      </c>
    </row>
    <row r="19061" spans="1:8" ht="15" x14ac:dyDescent="0.2">
      <c r="A19061" s="734">
        <v>45385</v>
      </c>
      <c r="B19061" s="41" t="s">
        <v>11897</v>
      </c>
      <c r="C19061" s="63" t="s">
        <v>4725</v>
      </c>
      <c r="D19061" s="108" t="s">
        <v>12302</v>
      </c>
      <c r="E19061" s="58">
        <v>300000</v>
      </c>
      <c r="F19061" s="58"/>
      <c r="G19061" s="58">
        <f t="shared" si="417"/>
        <v>-300000</v>
      </c>
      <c r="H19061" s="705" t="s">
        <v>12833</v>
      </c>
    </row>
    <row r="19062" spans="1:8" ht="15" x14ac:dyDescent="0.2">
      <c r="A19062" s="734">
        <v>45385</v>
      </c>
      <c r="B19062" s="41" t="s">
        <v>12532</v>
      </c>
      <c r="C19062" s="63" t="s">
        <v>12559</v>
      </c>
      <c r="D19062" s="108" t="s">
        <v>12302</v>
      </c>
      <c r="E19062" s="58">
        <v>250000</v>
      </c>
      <c r="F19062" s="58"/>
      <c r="G19062" s="58">
        <f t="shared" si="417"/>
        <v>-250000</v>
      </c>
      <c r="H19062" s="705" t="s">
        <v>12833</v>
      </c>
    </row>
    <row r="19063" spans="1:8" ht="36" x14ac:dyDescent="0.2">
      <c r="A19063" s="734">
        <v>45385</v>
      </c>
      <c r="B19063" s="63" t="s">
        <v>103</v>
      </c>
      <c r="C19063" s="63" t="s">
        <v>12740</v>
      </c>
      <c r="D19063" s="183" t="s">
        <v>12850</v>
      </c>
      <c r="E19063" s="126">
        <v>11000</v>
      </c>
      <c r="F19063" s="126"/>
      <c r="G19063" s="126">
        <f t="shared" si="417"/>
        <v>-11000</v>
      </c>
      <c r="H19063" s="705" t="s">
        <v>12833</v>
      </c>
    </row>
    <row r="19064" spans="1:8" ht="15" x14ac:dyDescent="0.2">
      <c r="A19064" s="734">
        <v>45385</v>
      </c>
      <c r="B19064" s="63" t="s">
        <v>10232</v>
      </c>
      <c r="C19064" s="63" t="s">
        <v>286</v>
      </c>
      <c r="D19064" s="183" t="s">
        <v>12858</v>
      </c>
      <c r="E19064" s="126">
        <v>30000</v>
      </c>
      <c r="F19064" s="126"/>
      <c r="G19064" s="126">
        <f t="shared" ref="G19064:G19065" si="418">F19064-E19064</f>
        <v>-30000</v>
      </c>
      <c r="H19064" s="705" t="s">
        <v>12833</v>
      </c>
    </row>
    <row r="19065" spans="1:8" ht="15" x14ac:dyDescent="0.2">
      <c r="A19065" s="734">
        <v>45385</v>
      </c>
      <c r="B19065" s="63" t="s">
        <v>25</v>
      </c>
      <c r="C19065" s="63"/>
      <c r="D19065" s="183" t="s">
        <v>12859</v>
      </c>
      <c r="E19065" s="126">
        <v>15000</v>
      </c>
      <c r="F19065" s="126"/>
      <c r="G19065" s="126">
        <f t="shared" si="418"/>
        <v>-15000</v>
      </c>
      <c r="H19065" s="705" t="s">
        <v>12833</v>
      </c>
    </row>
    <row r="19066" spans="1:8" ht="15" x14ac:dyDescent="0.2">
      <c r="A19066" s="734">
        <v>45386</v>
      </c>
      <c r="B19066" s="63" t="s">
        <v>11738</v>
      </c>
      <c r="C19066" s="63" t="s">
        <v>5741</v>
      </c>
      <c r="D19066" s="183" t="s">
        <v>370</v>
      </c>
      <c r="E19066" s="126">
        <v>2000</v>
      </c>
      <c r="F19066" s="126"/>
      <c r="G19066" s="126">
        <f t="shared" ref="G19066:G19073" si="419">F19066-E19066</f>
        <v>-2000</v>
      </c>
      <c r="H19066" s="705" t="s">
        <v>12833</v>
      </c>
    </row>
    <row r="19067" spans="1:8" ht="15" x14ac:dyDescent="0.2">
      <c r="A19067" s="734">
        <v>45386</v>
      </c>
      <c r="B19067" s="63" t="s">
        <v>11897</v>
      </c>
      <c r="C19067" s="63" t="s">
        <v>5741</v>
      </c>
      <c r="D19067" s="183" t="s">
        <v>370</v>
      </c>
      <c r="E19067" s="126">
        <v>200</v>
      </c>
      <c r="F19067" s="126"/>
      <c r="G19067" s="126">
        <f t="shared" si="419"/>
        <v>-200</v>
      </c>
      <c r="H19067" s="705" t="s">
        <v>12833</v>
      </c>
    </row>
    <row r="19068" spans="1:8" ht="15" x14ac:dyDescent="0.2">
      <c r="A19068" s="734">
        <v>45386</v>
      </c>
      <c r="B19068" s="63" t="s">
        <v>12366</v>
      </c>
      <c r="C19068" s="63" t="s">
        <v>12853</v>
      </c>
      <c r="D19068" s="183" t="s">
        <v>12854</v>
      </c>
      <c r="E19068" s="126">
        <v>50000</v>
      </c>
      <c r="F19068" s="126"/>
      <c r="G19068" s="126">
        <f t="shared" si="419"/>
        <v>-50000</v>
      </c>
      <c r="H19068" s="705" t="s">
        <v>12833</v>
      </c>
    </row>
    <row r="19069" spans="1:8" ht="15" x14ac:dyDescent="0.2">
      <c r="A19069" s="734">
        <v>45386</v>
      </c>
      <c r="B19069" s="63" t="s">
        <v>11738</v>
      </c>
      <c r="C19069" s="63" t="s">
        <v>5741</v>
      </c>
      <c r="D19069" s="183" t="s">
        <v>370</v>
      </c>
      <c r="E19069" s="126">
        <v>1000</v>
      </c>
      <c r="F19069" s="126"/>
      <c r="G19069" s="126">
        <f t="shared" si="419"/>
        <v>-1000</v>
      </c>
      <c r="H19069" s="705" t="s">
        <v>12833</v>
      </c>
    </row>
    <row r="19070" spans="1:8" ht="15" x14ac:dyDescent="0.2">
      <c r="A19070" s="734">
        <v>45386</v>
      </c>
      <c r="B19070" s="63" t="s">
        <v>11089</v>
      </c>
      <c r="C19070" s="63" t="s">
        <v>392</v>
      </c>
      <c r="D19070" s="183" t="s">
        <v>12855</v>
      </c>
      <c r="E19070" s="126">
        <v>1500</v>
      </c>
      <c r="F19070" s="126"/>
      <c r="G19070" s="126">
        <f t="shared" si="419"/>
        <v>-1500</v>
      </c>
      <c r="H19070" s="705" t="s">
        <v>12833</v>
      </c>
    </row>
    <row r="19071" spans="1:8" ht="15" x14ac:dyDescent="0.2">
      <c r="A19071" s="734">
        <v>45386</v>
      </c>
      <c r="B19071" s="41" t="s">
        <v>11897</v>
      </c>
      <c r="C19071" s="63" t="s">
        <v>11386</v>
      </c>
      <c r="D19071" s="108" t="s">
        <v>6927</v>
      </c>
      <c r="E19071" s="58">
        <v>50000</v>
      </c>
      <c r="F19071" s="58"/>
      <c r="G19071" s="126">
        <f t="shared" si="419"/>
        <v>-50000</v>
      </c>
      <c r="H19071" s="705" t="s">
        <v>12833</v>
      </c>
    </row>
    <row r="19072" spans="1:8" ht="15" x14ac:dyDescent="0.2">
      <c r="A19072" s="734">
        <v>45386</v>
      </c>
      <c r="B19072" s="41" t="s">
        <v>11897</v>
      </c>
      <c r="C19072" s="63" t="s">
        <v>10993</v>
      </c>
      <c r="D19072" s="108" t="s">
        <v>12856</v>
      </c>
      <c r="E19072" s="58">
        <v>4900</v>
      </c>
      <c r="F19072" s="58"/>
      <c r="G19072" s="126">
        <f t="shared" si="419"/>
        <v>-4900</v>
      </c>
      <c r="H19072" s="705" t="s">
        <v>12833</v>
      </c>
    </row>
    <row r="19073" spans="1:8" ht="15" x14ac:dyDescent="0.2">
      <c r="A19073" s="734">
        <v>45386</v>
      </c>
      <c r="B19073" s="41" t="s">
        <v>25</v>
      </c>
      <c r="C19073" s="63" t="s">
        <v>392</v>
      </c>
      <c r="D19073" s="108" t="s">
        <v>2108</v>
      </c>
      <c r="E19073" s="58">
        <v>1500</v>
      </c>
      <c r="F19073" s="58"/>
      <c r="G19073" s="126">
        <f t="shared" si="419"/>
        <v>-1500</v>
      </c>
      <c r="H19073" s="705" t="s">
        <v>12833</v>
      </c>
    </row>
    <row r="19074" spans="1:8" ht="15" x14ac:dyDescent="0.2">
      <c r="A19074" s="734">
        <v>45386</v>
      </c>
      <c r="B19074" s="41" t="s">
        <v>11897</v>
      </c>
      <c r="C19074" s="63" t="s">
        <v>11029</v>
      </c>
      <c r="D19074" s="108" t="s">
        <v>12866</v>
      </c>
      <c r="E19074" s="58">
        <v>50000</v>
      </c>
      <c r="F19074" s="58"/>
      <c r="G19074" s="126">
        <f t="shared" ref="G19074:G19077" si="420">F19074-E19074</f>
        <v>-50000</v>
      </c>
      <c r="H19074" s="705" t="s">
        <v>12833</v>
      </c>
    </row>
    <row r="19075" spans="1:8" ht="15" x14ac:dyDescent="0.2">
      <c r="A19075" s="734">
        <v>45386</v>
      </c>
      <c r="B19075" s="41" t="s">
        <v>11089</v>
      </c>
      <c r="C19075" s="63" t="s">
        <v>6784</v>
      </c>
      <c r="D19075" s="108" t="s">
        <v>12867</v>
      </c>
      <c r="E19075" s="58">
        <v>200000</v>
      </c>
      <c r="F19075" s="58"/>
      <c r="G19075" s="126">
        <f t="shared" si="420"/>
        <v>-200000</v>
      </c>
      <c r="H19075" s="705" t="s">
        <v>12833</v>
      </c>
    </row>
    <row r="19076" spans="1:8" ht="15" x14ac:dyDescent="0.2">
      <c r="A19076" s="734">
        <v>45386</v>
      </c>
      <c r="B19076" s="41" t="s">
        <v>3946</v>
      </c>
      <c r="C19076" s="63" t="s">
        <v>12865</v>
      </c>
      <c r="D19076" s="108" t="s">
        <v>12868</v>
      </c>
      <c r="E19076" s="58">
        <v>100000</v>
      </c>
      <c r="F19076" s="58"/>
      <c r="G19076" s="126">
        <f t="shared" si="420"/>
        <v>-100000</v>
      </c>
      <c r="H19076" s="705" t="s">
        <v>12833</v>
      </c>
    </row>
    <row r="19077" spans="1:8" ht="15" x14ac:dyDescent="0.2">
      <c r="A19077" s="734">
        <v>45386</v>
      </c>
      <c r="B19077" s="41" t="s">
        <v>11897</v>
      </c>
      <c r="C19077" s="63" t="s">
        <v>12027</v>
      </c>
      <c r="D19077" s="108" t="s">
        <v>12767</v>
      </c>
      <c r="E19077" s="58">
        <v>700000</v>
      </c>
      <c r="F19077" s="58"/>
      <c r="G19077" s="126">
        <f t="shared" si="420"/>
        <v>-700000</v>
      </c>
      <c r="H19077" s="705" t="s">
        <v>12833</v>
      </c>
    </row>
    <row r="19078" spans="1:8" ht="15" x14ac:dyDescent="0.2">
      <c r="A19078" s="734">
        <v>45387</v>
      </c>
      <c r="B19078" s="41" t="s">
        <v>103</v>
      </c>
      <c r="C19078" s="63" t="s">
        <v>392</v>
      </c>
      <c r="D19078" s="108" t="s">
        <v>12871</v>
      </c>
      <c r="E19078" s="58">
        <v>1000</v>
      </c>
      <c r="F19078" s="58"/>
      <c r="G19078" s="126">
        <f t="shared" ref="G19078:G19086" si="421">F19078-E19078</f>
        <v>-1000</v>
      </c>
      <c r="H19078" s="705" t="s">
        <v>12833</v>
      </c>
    </row>
    <row r="19079" spans="1:8" ht="15" x14ac:dyDescent="0.2">
      <c r="A19079" s="734">
        <v>45387</v>
      </c>
      <c r="B19079" s="41" t="s">
        <v>8559</v>
      </c>
      <c r="C19079" s="63" t="s">
        <v>3104</v>
      </c>
      <c r="D19079" s="108" t="s">
        <v>6927</v>
      </c>
      <c r="E19079" s="58">
        <v>65250</v>
      </c>
      <c r="F19079" s="58"/>
      <c r="G19079" s="126">
        <f t="shared" si="421"/>
        <v>-65250</v>
      </c>
      <c r="H19079" s="705" t="s">
        <v>12833</v>
      </c>
    </row>
    <row r="19080" spans="1:8" ht="15" x14ac:dyDescent="0.2">
      <c r="A19080" s="734">
        <v>45387</v>
      </c>
      <c r="B19080" s="41" t="s">
        <v>9356</v>
      </c>
      <c r="C19080" s="63" t="s">
        <v>12442</v>
      </c>
      <c r="D19080" s="108" t="s">
        <v>6927</v>
      </c>
      <c r="E19080" s="58">
        <v>25000</v>
      </c>
      <c r="F19080" s="58"/>
      <c r="G19080" s="126">
        <f t="shared" si="421"/>
        <v>-25000</v>
      </c>
      <c r="H19080" s="705" t="s">
        <v>12833</v>
      </c>
    </row>
    <row r="19081" spans="1:8" ht="15" x14ac:dyDescent="0.2">
      <c r="A19081" s="734">
        <v>45387</v>
      </c>
      <c r="B19081" s="41" t="s">
        <v>11738</v>
      </c>
      <c r="C19081" s="63" t="s">
        <v>794</v>
      </c>
      <c r="D19081" s="108" t="s">
        <v>12872</v>
      </c>
      <c r="E19081" s="58">
        <v>24650</v>
      </c>
      <c r="F19081" s="58"/>
      <c r="G19081" s="126">
        <f t="shared" si="421"/>
        <v>-24650</v>
      </c>
      <c r="H19081" s="705" t="s">
        <v>12833</v>
      </c>
    </row>
    <row r="19082" spans="1:8" ht="15" x14ac:dyDescent="0.2">
      <c r="A19082" s="734">
        <v>45387</v>
      </c>
      <c r="B19082" s="41" t="s">
        <v>3946</v>
      </c>
      <c r="C19082" s="63" t="s">
        <v>794</v>
      </c>
      <c r="D19082" s="108" t="s">
        <v>12873</v>
      </c>
      <c r="E19082" s="58">
        <v>1200</v>
      </c>
      <c r="F19082" s="58"/>
      <c r="G19082" s="126">
        <f t="shared" si="421"/>
        <v>-1200</v>
      </c>
      <c r="H19082" s="705" t="s">
        <v>12833</v>
      </c>
    </row>
    <row r="19083" spans="1:8" ht="15" x14ac:dyDescent="0.2">
      <c r="A19083" s="734">
        <v>45387</v>
      </c>
      <c r="B19083" s="41" t="s">
        <v>12818</v>
      </c>
      <c r="C19083" s="63" t="s">
        <v>5410</v>
      </c>
      <c r="D19083" s="108" t="s">
        <v>12424</v>
      </c>
      <c r="E19083" s="58">
        <v>5000</v>
      </c>
      <c r="F19083" s="58"/>
      <c r="G19083" s="126">
        <f t="shared" si="421"/>
        <v>-5000</v>
      </c>
      <c r="H19083" s="705" t="s">
        <v>12833</v>
      </c>
    </row>
    <row r="19084" spans="1:8" ht="15" x14ac:dyDescent="0.2">
      <c r="A19084" s="734">
        <v>45388</v>
      </c>
      <c r="B19084" s="41" t="s">
        <v>11897</v>
      </c>
      <c r="C19084" s="63" t="s">
        <v>11291</v>
      </c>
      <c r="D19084" s="108" t="s">
        <v>10721</v>
      </c>
      <c r="E19084" s="58">
        <v>130000</v>
      </c>
      <c r="F19084" s="58"/>
      <c r="G19084" s="126">
        <f t="shared" si="421"/>
        <v>-130000</v>
      </c>
      <c r="H19084" s="705" t="s">
        <v>12833</v>
      </c>
    </row>
    <row r="19085" spans="1:8" ht="24" x14ac:dyDescent="0.2">
      <c r="A19085" s="734">
        <v>45388</v>
      </c>
      <c r="B19085" s="41" t="s">
        <v>9356</v>
      </c>
      <c r="C19085" s="63" t="s">
        <v>10993</v>
      </c>
      <c r="D19085" s="183" t="s">
        <v>12881</v>
      </c>
      <c r="E19085" s="126">
        <v>45000</v>
      </c>
      <c r="F19085" s="58"/>
      <c r="G19085" s="126">
        <f t="shared" si="421"/>
        <v>-45000</v>
      </c>
      <c r="H19085" s="705" t="s">
        <v>12833</v>
      </c>
    </row>
    <row r="19086" spans="1:8" ht="15" x14ac:dyDescent="0.2">
      <c r="A19086" s="734">
        <v>45388</v>
      </c>
      <c r="B19086" s="41" t="s">
        <v>11897</v>
      </c>
      <c r="C19086" s="63" t="s">
        <v>11898</v>
      </c>
      <c r="D19086" s="183" t="s">
        <v>12302</v>
      </c>
      <c r="E19086" s="126">
        <v>250000</v>
      </c>
      <c r="F19086" s="58"/>
      <c r="G19086" s="126">
        <f t="shared" si="421"/>
        <v>-250000</v>
      </c>
      <c r="H19086" s="705" t="s">
        <v>12833</v>
      </c>
    </row>
    <row r="19087" spans="1:8" ht="15" x14ac:dyDescent="0.2">
      <c r="A19087" s="734">
        <v>45388</v>
      </c>
      <c r="B19087" s="41" t="s">
        <v>11897</v>
      </c>
      <c r="C19087" s="63" t="s">
        <v>10993</v>
      </c>
      <c r="D19087" s="108" t="s">
        <v>10166</v>
      </c>
      <c r="E19087" s="58">
        <v>11650</v>
      </c>
      <c r="F19087" s="58"/>
      <c r="G19087" s="126">
        <f t="shared" ref="G19087:G19092" si="422">F19087-E19087</f>
        <v>-11650</v>
      </c>
      <c r="H19087" s="705" t="s">
        <v>12833</v>
      </c>
    </row>
    <row r="19088" spans="1:8" ht="15" x14ac:dyDescent="0.2">
      <c r="A19088" s="734">
        <v>45388</v>
      </c>
      <c r="B19088" s="41" t="s">
        <v>11089</v>
      </c>
      <c r="C19088" s="63" t="s">
        <v>11975</v>
      </c>
      <c r="D19088" s="108" t="s">
        <v>6927</v>
      </c>
      <c r="E19088" s="58">
        <v>30000</v>
      </c>
      <c r="F19088" s="58"/>
      <c r="G19088" s="126">
        <f t="shared" si="422"/>
        <v>-30000</v>
      </c>
      <c r="H19088" s="705" t="s">
        <v>12833</v>
      </c>
    </row>
    <row r="19089" spans="1:8" ht="15" x14ac:dyDescent="0.2">
      <c r="A19089" s="734">
        <v>45388</v>
      </c>
      <c r="B19089" s="41" t="s">
        <v>11897</v>
      </c>
      <c r="C19089" s="63" t="s">
        <v>286</v>
      </c>
      <c r="D19089" s="108" t="s">
        <v>8663</v>
      </c>
      <c r="E19089" s="58">
        <v>1000</v>
      </c>
      <c r="F19089" s="58"/>
      <c r="G19089" s="126">
        <f t="shared" si="422"/>
        <v>-1000</v>
      </c>
      <c r="H19089" s="705" t="s">
        <v>12833</v>
      </c>
    </row>
    <row r="19090" spans="1:8" ht="15" x14ac:dyDescent="0.2">
      <c r="A19090" s="734">
        <v>45388</v>
      </c>
      <c r="B19090" s="41" t="s">
        <v>11897</v>
      </c>
      <c r="C19090" s="63" t="s">
        <v>5741</v>
      </c>
      <c r="D19090" s="108" t="s">
        <v>370</v>
      </c>
      <c r="E19090" s="58">
        <v>2000</v>
      </c>
      <c r="F19090" s="58"/>
      <c r="G19090" s="126">
        <f t="shared" si="422"/>
        <v>-2000</v>
      </c>
      <c r="H19090" s="705" t="s">
        <v>12833</v>
      </c>
    </row>
    <row r="19091" spans="1:8" ht="15" x14ac:dyDescent="0.2">
      <c r="A19091" s="734">
        <v>45388</v>
      </c>
      <c r="B19091" s="41" t="s">
        <v>11897</v>
      </c>
      <c r="C19091" s="63" t="s">
        <v>12882</v>
      </c>
      <c r="D19091" s="108" t="s">
        <v>12883</v>
      </c>
      <c r="E19091" s="58">
        <v>3600</v>
      </c>
      <c r="F19091" s="58"/>
      <c r="G19091" s="126">
        <f t="shared" si="422"/>
        <v>-3600</v>
      </c>
      <c r="H19091" s="705" t="s">
        <v>12833</v>
      </c>
    </row>
    <row r="19092" spans="1:8" ht="15" x14ac:dyDescent="0.2">
      <c r="A19092" s="734">
        <v>45388</v>
      </c>
      <c r="B19092" s="41" t="s">
        <v>12634</v>
      </c>
      <c r="C19092" s="63" t="s">
        <v>6476</v>
      </c>
      <c r="D19092" s="108" t="s">
        <v>6927</v>
      </c>
      <c r="E19092" s="58">
        <v>100000</v>
      </c>
      <c r="F19092" s="58"/>
      <c r="G19092" s="126">
        <f t="shared" si="422"/>
        <v>-100000</v>
      </c>
      <c r="H19092" s="705" t="s">
        <v>12833</v>
      </c>
    </row>
    <row r="19093" spans="1:8" ht="15" x14ac:dyDescent="0.2">
      <c r="A19093" s="734">
        <v>45388</v>
      </c>
      <c r="B19093" s="41" t="s">
        <v>103</v>
      </c>
      <c r="C19093" s="63" t="s">
        <v>9731</v>
      </c>
      <c r="D19093" s="108" t="s">
        <v>12893</v>
      </c>
      <c r="E19093" s="58">
        <v>4000</v>
      </c>
      <c r="F19093" s="58"/>
      <c r="G19093" s="126">
        <f t="shared" ref="G19093" si="423">F19093-E19093</f>
        <v>-4000</v>
      </c>
      <c r="H19093" s="705" t="s">
        <v>12833</v>
      </c>
    </row>
    <row r="19094" spans="1:8" ht="15" x14ac:dyDescent="0.2">
      <c r="A19094" s="734">
        <v>45389</v>
      </c>
      <c r="B19094" s="41" t="s">
        <v>11897</v>
      </c>
      <c r="C19094" s="63" t="s">
        <v>11898</v>
      </c>
      <c r="D19094" s="183" t="s">
        <v>12302</v>
      </c>
      <c r="E19094" s="126">
        <v>250000</v>
      </c>
      <c r="F19094" s="58"/>
      <c r="G19094" s="126">
        <f t="shared" ref="G19094:G19095" si="424">F19094-E19094</f>
        <v>-250000</v>
      </c>
      <c r="H19094" s="705" t="s">
        <v>12833</v>
      </c>
    </row>
    <row r="19095" spans="1:8" ht="15" x14ac:dyDescent="0.2">
      <c r="A19095" s="734">
        <v>45389</v>
      </c>
      <c r="B19095" s="41" t="s">
        <v>103</v>
      </c>
      <c r="C19095" s="63" t="s">
        <v>12887</v>
      </c>
      <c r="D19095" s="108" t="s">
        <v>12888</v>
      </c>
      <c r="E19095" s="58">
        <v>50000</v>
      </c>
      <c r="F19095" s="58"/>
      <c r="G19095" s="126">
        <f t="shared" si="424"/>
        <v>-50000</v>
      </c>
      <c r="H19095" s="705" t="s">
        <v>12833</v>
      </c>
    </row>
    <row r="19096" spans="1:8" ht="15" x14ac:dyDescent="0.2">
      <c r="A19096" s="734">
        <v>45390</v>
      </c>
      <c r="B19096" s="41" t="s">
        <v>11897</v>
      </c>
      <c r="C19096" s="63" t="s">
        <v>12027</v>
      </c>
      <c r="D19096" s="108" t="s">
        <v>12889</v>
      </c>
      <c r="E19096" s="58">
        <v>200000</v>
      </c>
      <c r="F19096" s="58"/>
      <c r="G19096" s="126">
        <f t="shared" ref="G19096:G19099" si="425">F19096-E19096</f>
        <v>-200000</v>
      </c>
      <c r="H19096" s="705" t="s">
        <v>12833</v>
      </c>
    </row>
    <row r="19097" spans="1:8" ht="15" x14ac:dyDescent="0.2">
      <c r="A19097" s="734">
        <v>45390</v>
      </c>
      <c r="B19097" s="41" t="s">
        <v>11897</v>
      </c>
      <c r="C19097" s="63" t="s">
        <v>11291</v>
      </c>
      <c r="D19097" s="108" t="s">
        <v>12890</v>
      </c>
      <c r="E19097" s="58">
        <v>40000</v>
      </c>
      <c r="F19097" s="58"/>
      <c r="G19097" s="126">
        <f t="shared" si="425"/>
        <v>-40000</v>
      </c>
      <c r="H19097" s="705" t="s">
        <v>12833</v>
      </c>
    </row>
    <row r="19098" spans="1:8" ht="15" x14ac:dyDescent="0.2">
      <c r="A19098" s="734">
        <v>45390</v>
      </c>
      <c r="B19098" s="41" t="s">
        <v>11897</v>
      </c>
      <c r="C19098" s="63" t="s">
        <v>11536</v>
      </c>
      <c r="D19098" s="108" t="s">
        <v>12891</v>
      </c>
      <c r="E19098" s="58">
        <v>100000</v>
      </c>
      <c r="F19098" s="58"/>
      <c r="G19098" s="126">
        <f t="shared" si="425"/>
        <v>-100000</v>
      </c>
      <c r="H19098" s="705" t="s">
        <v>12833</v>
      </c>
    </row>
    <row r="19099" spans="1:8" ht="15" x14ac:dyDescent="0.2">
      <c r="A19099" s="734">
        <v>45390</v>
      </c>
      <c r="B19099" s="41" t="s">
        <v>12786</v>
      </c>
      <c r="C19099" s="63" t="s">
        <v>12104</v>
      </c>
      <c r="D19099" s="108" t="s">
        <v>12892</v>
      </c>
      <c r="E19099" s="58">
        <v>200000</v>
      </c>
      <c r="F19099" s="58"/>
      <c r="G19099" s="126">
        <f t="shared" si="425"/>
        <v>-200000</v>
      </c>
      <c r="H19099" s="705" t="s">
        <v>12833</v>
      </c>
    </row>
    <row r="19100" spans="1:8" ht="15" x14ac:dyDescent="0.2">
      <c r="A19100" s="734">
        <v>45388</v>
      </c>
      <c r="B19100" s="41" t="s">
        <v>11738</v>
      </c>
      <c r="C19100" s="63" t="s">
        <v>10993</v>
      </c>
      <c r="D19100" s="108" t="s">
        <v>12894</v>
      </c>
      <c r="E19100" s="58">
        <v>6350</v>
      </c>
      <c r="F19100" s="58"/>
      <c r="G19100" s="126">
        <f t="shared" ref="G19100:G19131" si="426">F19100-E19100</f>
        <v>-6350</v>
      </c>
      <c r="H19100" s="705" t="s">
        <v>12833</v>
      </c>
    </row>
    <row r="19101" spans="1:8" ht="15" x14ac:dyDescent="0.2">
      <c r="A19101" s="734">
        <v>45388</v>
      </c>
      <c r="B19101" s="41" t="s">
        <v>11738</v>
      </c>
      <c r="C19101" s="63" t="s">
        <v>10993</v>
      </c>
      <c r="D19101" s="108" t="s">
        <v>12895</v>
      </c>
      <c r="E19101" s="58">
        <v>4840</v>
      </c>
      <c r="F19101" s="58"/>
      <c r="G19101" s="126">
        <f t="shared" si="426"/>
        <v>-4840</v>
      </c>
      <c r="H19101" s="705" t="s">
        <v>12833</v>
      </c>
    </row>
    <row r="19102" spans="1:8" ht="15" x14ac:dyDescent="0.2">
      <c r="A19102" s="734">
        <v>45388</v>
      </c>
      <c r="B19102" s="41" t="s">
        <v>11738</v>
      </c>
      <c r="C19102" s="63" t="s">
        <v>10993</v>
      </c>
      <c r="D19102" s="108" t="s">
        <v>12896</v>
      </c>
      <c r="E19102" s="58">
        <v>1300</v>
      </c>
      <c r="F19102" s="58"/>
      <c r="G19102" s="126">
        <f t="shared" si="426"/>
        <v>-1300</v>
      </c>
      <c r="H19102" s="705" t="s">
        <v>12833</v>
      </c>
    </row>
    <row r="19103" spans="1:8" ht="15" x14ac:dyDescent="0.2">
      <c r="A19103" s="734">
        <v>45388</v>
      </c>
      <c r="B19103" s="41" t="s">
        <v>25</v>
      </c>
      <c r="C19103" s="63" t="s">
        <v>4065</v>
      </c>
      <c r="D19103" s="108" t="s">
        <v>12897</v>
      </c>
      <c r="E19103" s="58">
        <v>950</v>
      </c>
      <c r="F19103" s="58"/>
      <c r="G19103" s="126">
        <f t="shared" si="426"/>
        <v>-950</v>
      </c>
      <c r="H19103" s="705" t="s">
        <v>12833</v>
      </c>
    </row>
    <row r="19104" spans="1:8" ht="15" x14ac:dyDescent="0.2">
      <c r="A19104" s="734">
        <v>45388</v>
      </c>
      <c r="B19104" s="41" t="s">
        <v>25</v>
      </c>
      <c r="C19104" s="63" t="s">
        <v>4065</v>
      </c>
      <c r="D19104" s="108" t="s">
        <v>7938</v>
      </c>
      <c r="E19104" s="58">
        <v>1500</v>
      </c>
      <c r="F19104" s="58"/>
      <c r="G19104" s="126">
        <f t="shared" si="426"/>
        <v>-1500</v>
      </c>
      <c r="H19104" s="705" t="s">
        <v>12833</v>
      </c>
    </row>
    <row r="19105" spans="1:8" ht="15" x14ac:dyDescent="0.2">
      <c r="A19105" s="734">
        <v>45388</v>
      </c>
      <c r="B19105" s="41" t="s">
        <v>11897</v>
      </c>
      <c r="C19105" s="63" t="s">
        <v>5387</v>
      </c>
      <c r="D19105" s="108" t="s">
        <v>12898</v>
      </c>
      <c r="E19105" s="58">
        <v>3300</v>
      </c>
      <c r="F19105" s="58"/>
      <c r="G19105" s="126">
        <f t="shared" si="426"/>
        <v>-3300</v>
      </c>
      <c r="H19105" s="705" t="s">
        <v>12833</v>
      </c>
    </row>
    <row r="19106" spans="1:8" ht="15" x14ac:dyDescent="0.2">
      <c r="A19106" s="734">
        <v>45388</v>
      </c>
      <c r="B19106" s="41" t="s">
        <v>11897</v>
      </c>
      <c r="C19106" s="63" t="s">
        <v>5741</v>
      </c>
      <c r="D19106" s="108" t="s">
        <v>370</v>
      </c>
      <c r="E19106" s="58">
        <v>800</v>
      </c>
      <c r="F19106" s="58"/>
      <c r="G19106" s="126">
        <f t="shared" si="426"/>
        <v>-800</v>
      </c>
      <c r="H19106" s="705" t="s">
        <v>12833</v>
      </c>
    </row>
    <row r="19107" spans="1:8" ht="15" x14ac:dyDescent="0.2">
      <c r="A19107" s="734">
        <v>45388</v>
      </c>
      <c r="B19107" s="41" t="s">
        <v>11089</v>
      </c>
      <c r="C19107" s="63" t="s">
        <v>5741</v>
      </c>
      <c r="D19107" s="108" t="s">
        <v>11532</v>
      </c>
      <c r="E19107" s="58">
        <v>3500</v>
      </c>
      <c r="F19107" s="58"/>
      <c r="G19107" s="126">
        <f t="shared" si="426"/>
        <v>-3500</v>
      </c>
      <c r="H19107" s="705" t="s">
        <v>12833</v>
      </c>
    </row>
    <row r="19108" spans="1:8" ht="15" x14ac:dyDescent="0.2">
      <c r="A19108" s="734">
        <v>45388</v>
      </c>
      <c r="B19108" s="41" t="s">
        <v>10908</v>
      </c>
      <c r="C19108" s="63" t="s">
        <v>5741</v>
      </c>
      <c r="D19108" s="108" t="s">
        <v>370</v>
      </c>
      <c r="E19108" s="58">
        <v>900</v>
      </c>
      <c r="F19108" s="58"/>
      <c r="G19108" s="126">
        <f t="shared" si="426"/>
        <v>-900</v>
      </c>
      <c r="H19108" s="705" t="s">
        <v>12833</v>
      </c>
    </row>
    <row r="19109" spans="1:8" ht="15" x14ac:dyDescent="0.2">
      <c r="A19109" s="734">
        <v>45388</v>
      </c>
      <c r="B19109" s="41" t="s">
        <v>103</v>
      </c>
      <c r="C19109" s="63" t="s">
        <v>103</v>
      </c>
      <c r="D19109" s="108" t="s">
        <v>12557</v>
      </c>
      <c r="E19109" s="58">
        <v>2000</v>
      </c>
      <c r="F19109" s="58"/>
      <c r="G19109" s="126">
        <f t="shared" si="426"/>
        <v>-2000</v>
      </c>
      <c r="H19109" s="705" t="s">
        <v>12833</v>
      </c>
    </row>
    <row r="19110" spans="1:8" ht="15" x14ac:dyDescent="0.2">
      <c r="A19110" s="734">
        <v>45388</v>
      </c>
      <c r="B19110" s="41" t="s">
        <v>11897</v>
      </c>
      <c r="C19110" s="63" t="s">
        <v>5741</v>
      </c>
      <c r="D19110" s="108" t="s">
        <v>370</v>
      </c>
      <c r="E19110" s="58">
        <v>2300</v>
      </c>
      <c r="F19110" s="58"/>
      <c r="G19110" s="126">
        <f t="shared" si="426"/>
        <v>-2300</v>
      </c>
      <c r="H19110" s="705" t="s">
        <v>12833</v>
      </c>
    </row>
    <row r="19111" spans="1:8" ht="15" x14ac:dyDescent="0.2">
      <c r="A19111" s="734">
        <v>45388</v>
      </c>
      <c r="B19111" s="41" t="s">
        <v>12827</v>
      </c>
      <c r="C19111" s="63" t="s">
        <v>5741</v>
      </c>
      <c r="D19111" s="108" t="s">
        <v>370</v>
      </c>
      <c r="E19111" s="58">
        <v>600</v>
      </c>
      <c r="F19111" s="58"/>
      <c r="G19111" s="126">
        <f t="shared" si="426"/>
        <v>-600</v>
      </c>
      <c r="H19111" s="705" t="s">
        <v>12833</v>
      </c>
    </row>
    <row r="19112" spans="1:8" ht="15" x14ac:dyDescent="0.2">
      <c r="A19112" s="734">
        <v>45388</v>
      </c>
      <c r="B19112" s="41" t="s">
        <v>103</v>
      </c>
      <c r="C19112" s="63" t="s">
        <v>10993</v>
      </c>
      <c r="D19112" s="108" t="s">
        <v>12899</v>
      </c>
      <c r="E19112" s="58">
        <v>900</v>
      </c>
      <c r="F19112" s="58"/>
      <c r="G19112" s="126">
        <f t="shared" si="426"/>
        <v>-900</v>
      </c>
      <c r="H19112" s="705" t="s">
        <v>12833</v>
      </c>
    </row>
    <row r="19113" spans="1:8" ht="15" x14ac:dyDescent="0.2">
      <c r="A19113" s="734">
        <v>45388</v>
      </c>
      <c r="B19113" s="41" t="s">
        <v>11089</v>
      </c>
      <c r="C19113" s="63" t="s">
        <v>286</v>
      </c>
      <c r="D19113" s="108" t="s">
        <v>8663</v>
      </c>
      <c r="E19113" s="58">
        <v>1000</v>
      </c>
      <c r="F19113" s="58"/>
      <c r="G19113" s="126">
        <f t="shared" si="426"/>
        <v>-1000</v>
      </c>
      <c r="H19113" s="705" t="s">
        <v>12833</v>
      </c>
    </row>
    <row r="19114" spans="1:8" ht="15" x14ac:dyDescent="0.2">
      <c r="A19114" s="734">
        <v>45391</v>
      </c>
      <c r="B19114" s="41" t="s">
        <v>11738</v>
      </c>
      <c r="C19114" s="551" t="s">
        <v>12307</v>
      </c>
      <c r="D19114" s="893" t="s">
        <v>12900</v>
      </c>
      <c r="E19114" s="583">
        <v>8000</v>
      </c>
      <c r="F19114" s="58"/>
      <c r="G19114" s="126">
        <f t="shared" si="426"/>
        <v>-8000</v>
      </c>
      <c r="H19114" s="705" t="s">
        <v>12833</v>
      </c>
    </row>
    <row r="19115" spans="1:8" ht="15" x14ac:dyDescent="0.2">
      <c r="A19115" s="734">
        <v>45391</v>
      </c>
      <c r="B19115" s="41" t="s">
        <v>10471</v>
      </c>
      <c r="C19115" s="551" t="s">
        <v>12307</v>
      </c>
      <c r="D19115" s="893" t="s">
        <v>12900</v>
      </c>
      <c r="E19115" s="583">
        <v>8000</v>
      </c>
      <c r="F19115" s="58"/>
      <c r="G19115" s="126">
        <f t="shared" si="426"/>
        <v>-8000</v>
      </c>
      <c r="H19115" s="705" t="s">
        <v>12833</v>
      </c>
    </row>
    <row r="19116" spans="1:8" ht="15" x14ac:dyDescent="0.2">
      <c r="A19116" s="734">
        <v>45391</v>
      </c>
      <c r="B19116" s="41" t="s">
        <v>8043</v>
      </c>
      <c r="C19116" s="551" t="s">
        <v>12307</v>
      </c>
      <c r="D19116" s="893" t="s">
        <v>12900</v>
      </c>
      <c r="E19116" s="583">
        <v>8000</v>
      </c>
      <c r="F19116" s="58"/>
      <c r="G19116" s="126">
        <f t="shared" si="426"/>
        <v>-8000</v>
      </c>
      <c r="H19116" s="705" t="s">
        <v>12833</v>
      </c>
    </row>
    <row r="19117" spans="1:8" ht="15" x14ac:dyDescent="0.2">
      <c r="A19117" s="734">
        <v>45391</v>
      </c>
      <c r="B19117" s="41" t="s">
        <v>8876</v>
      </c>
      <c r="C19117" s="551" t="s">
        <v>12307</v>
      </c>
      <c r="D19117" s="893" t="s">
        <v>12900</v>
      </c>
      <c r="E19117" s="583">
        <v>4000</v>
      </c>
      <c r="F19117" s="58"/>
      <c r="G19117" s="126">
        <f t="shared" si="426"/>
        <v>-4000</v>
      </c>
      <c r="H19117" s="705" t="s">
        <v>12833</v>
      </c>
    </row>
    <row r="19118" spans="1:8" ht="15" x14ac:dyDescent="0.2">
      <c r="A19118" s="734">
        <v>45391</v>
      </c>
      <c r="B19118" s="41" t="s">
        <v>11026</v>
      </c>
      <c r="C19118" s="551" t="s">
        <v>12307</v>
      </c>
      <c r="D19118" s="893" t="s">
        <v>12900</v>
      </c>
      <c r="E19118" s="583">
        <v>12000</v>
      </c>
      <c r="F19118" s="58"/>
      <c r="G19118" s="126">
        <f t="shared" si="426"/>
        <v>-12000</v>
      </c>
      <c r="H19118" s="705" t="s">
        <v>12833</v>
      </c>
    </row>
    <row r="19119" spans="1:8" ht="15" x14ac:dyDescent="0.2">
      <c r="A19119" s="734">
        <v>45391</v>
      </c>
      <c r="B19119" s="41" t="s">
        <v>11093</v>
      </c>
      <c r="C19119" s="551" t="s">
        <v>12307</v>
      </c>
      <c r="D19119" s="893" t="s">
        <v>12900</v>
      </c>
      <c r="E19119" s="583">
        <v>20000</v>
      </c>
      <c r="F19119" s="58"/>
      <c r="G19119" s="126">
        <f t="shared" si="426"/>
        <v>-20000</v>
      </c>
      <c r="H19119" s="705" t="s">
        <v>12833</v>
      </c>
    </row>
    <row r="19120" spans="1:8" ht="15" x14ac:dyDescent="0.2">
      <c r="A19120" s="734">
        <v>45391</v>
      </c>
      <c r="B19120" s="41" t="s">
        <v>12532</v>
      </c>
      <c r="C19120" s="670" t="s">
        <v>3033</v>
      </c>
      <c r="D19120" s="913" t="s">
        <v>12904</v>
      </c>
      <c r="E19120" s="585">
        <v>18000</v>
      </c>
      <c r="F19120" s="58"/>
      <c r="G19120" s="126">
        <f t="shared" si="426"/>
        <v>-18000</v>
      </c>
      <c r="H19120" s="705" t="s">
        <v>12833</v>
      </c>
    </row>
    <row r="19121" spans="1:8" ht="15" x14ac:dyDescent="0.2">
      <c r="A19121" s="734">
        <v>45391</v>
      </c>
      <c r="B19121" s="41" t="s">
        <v>10776</v>
      </c>
      <c r="C19121" s="670" t="s">
        <v>3033</v>
      </c>
      <c r="D19121" s="913" t="s">
        <v>12904</v>
      </c>
      <c r="E19121" s="585">
        <v>7000</v>
      </c>
      <c r="F19121" s="58"/>
      <c r="G19121" s="126">
        <f t="shared" si="426"/>
        <v>-7000</v>
      </c>
      <c r="H19121" s="705" t="s">
        <v>12833</v>
      </c>
    </row>
    <row r="19122" spans="1:8" ht="15" x14ac:dyDescent="0.2">
      <c r="A19122" s="734">
        <v>45391</v>
      </c>
      <c r="B19122" s="41" t="s">
        <v>11089</v>
      </c>
      <c r="C19122" s="63" t="s">
        <v>12472</v>
      </c>
      <c r="D19122" s="108" t="s">
        <v>12824</v>
      </c>
      <c r="E19122" s="58">
        <v>15000</v>
      </c>
      <c r="F19122" s="58"/>
      <c r="G19122" s="126">
        <f t="shared" si="426"/>
        <v>-15000</v>
      </c>
      <c r="H19122" s="705" t="s">
        <v>12833</v>
      </c>
    </row>
    <row r="19123" spans="1:8" ht="15" x14ac:dyDescent="0.2">
      <c r="A19123" s="734">
        <v>45391</v>
      </c>
      <c r="B19123" s="41" t="s">
        <v>12372</v>
      </c>
      <c r="C19123" s="63" t="s">
        <v>12539</v>
      </c>
      <c r="D19123" s="108" t="s">
        <v>12824</v>
      </c>
      <c r="E19123" s="58">
        <v>25000</v>
      </c>
      <c r="F19123" s="58"/>
      <c r="G19123" s="126">
        <f t="shared" si="426"/>
        <v>-25000</v>
      </c>
      <c r="H19123" s="705" t="s">
        <v>12833</v>
      </c>
    </row>
    <row r="19124" spans="1:8" ht="15" x14ac:dyDescent="0.2">
      <c r="A19124" s="734">
        <v>45391</v>
      </c>
      <c r="B19124" s="41" t="s">
        <v>6505</v>
      </c>
      <c r="C19124" s="63" t="s">
        <v>10993</v>
      </c>
      <c r="D19124" s="108" t="s">
        <v>4694</v>
      </c>
      <c r="E19124" s="58">
        <v>22000</v>
      </c>
      <c r="F19124" s="58"/>
      <c r="G19124" s="126">
        <f t="shared" si="426"/>
        <v>-22000</v>
      </c>
      <c r="H19124" s="705" t="s">
        <v>12833</v>
      </c>
    </row>
    <row r="19125" spans="1:8" ht="15" x14ac:dyDescent="0.2">
      <c r="A19125" s="734">
        <v>45391</v>
      </c>
      <c r="B19125" s="41" t="s">
        <v>12827</v>
      </c>
      <c r="C19125" s="63" t="s">
        <v>12016</v>
      </c>
      <c r="D19125" s="108" t="s">
        <v>12901</v>
      </c>
      <c r="E19125" s="58">
        <v>20000</v>
      </c>
      <c r="F19125" s="58"/>
      <c r="G19125" s="126">
        <f t="shared" ref="G19125" si="427">F19125-E19125</f>
        <v>-20000</v>
      </c>
      <c r="H19125" s="705" t="s">
        <v>12833</v>
      </c>
    </row>
    <row r="19126" spans="1:8" ht="15" x14ac:dyDescent="0.2">
      <c r="A19126" s="734">
        <v>45391</v>
      </c>
      <c r="B19126" s="41" t="s">
        <v>10471</v>
      </c>
      <c r="C19126" s="670" t="s">
        <v>3033</v>
      </c>
      <c r="D19126" s="913" t="s">
        <v>12905</v>
      </c>
      <c r="E19126" s="585">
        <v>31000</v>
      </c>
      <c r="F19126" s="58"/>
      <c r="G19126" s="126">
        <f t="shared" ref="G19126:G19129" si="428">F19126-E19126</f>
        <v>-31000</v>
      </c>
      <c r="H19126" s="705" t="s">
        <v>12833</v>
      </c>
    </row>
    <row r="19127" spans="1:8" ht="15" x14ac:dyDescent="0.2">
      <c r="A19127" s="734">
        <v>45391</v>
      </c>
      <c r="B19127" s="41" t="s">
        <v>9356</v>
      </c>
      <c r="C19127" s="670" t="s">
        <v>3033</v>
      </c>
      <c r="D19127" s="913" t="s">
        <v>12905</v>
      </c>
      <c r="E19127" s="585">
        <v>19000</v>
      </c>
      <c r="F19127" s="58"/>
      <c r="G19127" s="126">
        <f t="shared" si="428"/>
        <v>-19000</v>
      </c>
      <c r="H19127" s="705" t="s">
        <v>12833</v>
      </c>
    </row>
    <row r="19128" spans="1:8" ht="15" x14ac:dyDescent="0.2">
      <c r="A19128" s="734">
        <v>45398</v>
      </c>
      <c r="B19128" s="41" t="s">
        <v>11738</v>
      </c>
      <c r="C19128" s="63" t="s">
        <v>12763</v>
      </c>
      <c r="D19128" s="108" t="s">
        <v>12902</v>
      </c>
      <c r="E19128" s="58">
        <v>400000</v>
      </c>
      <c r="F19128" s="58"/>
      <c r="G19128" s="126">
        <f t="shared" si="428"/>
        <v>-400000</v>
      </c>
      <c r="H19128" s="705" t="s">
        <v>12833</v>
      </c>
    </row>
    <row r="19129" spans="1:8" ht="15" x14ac:dyDescent="0.2">
      <c r="A19129" s="734">
        <v>45400</v>
      </c>
      <c r="B19129" s="41" t="s">
        <v>12532</v>
      </c>
      <c r="C19129" s="63" t="s">
        <v>6476</v>
      </c>
      <c r="D19129" s="108" t="s">
        <v>12903</v>
      </c>
      <c r="E19129" s="58">
        <v>40000</v>
      </c>
      <c r="F19129" s="58"/>
      <c r="G19129" s="126">
        <f t="shared" si="428"/>
        <v>-40000</v>
      </c>
      <c r="H19129" s="705" t="s">
        <v>12833</v>
      </c>
    </row>
    <row r="19130" spans="1:8" ht="15" x14ac:dyDescent="0.2">
      <c r="A19130" s="734">
        <v>45400</v>
      </c>
      <c r="B19130" s="41" t="s">
        <v>11897</v>
      </c>
      <c r="C19130" s="63" t="s">
        <v>12780</v>
      </c>
      <c r="D19130" s="108" t="s">
        <v>12906</v>
      </c>
      <c r="E19130" s="58">
        <v>3600</v>
      </c>
      <c r="F19130" s="58"/>
      <c r="G19130" s="126">
        <f t="shared" ref="G19130" si="429">F19130-E19130</f>
        <v>-3600</v>
      </c>
      <c r="H19130" s="705" t="s">
        <v>12833</v>
      </c>
    </row>
    <row r="19131" spans="1:8" ht="15" x14ac:dyDescent="0.2">
      <c r="A19131" s="734">
        <v>45400</v>
      </c>
      <c r="B19131" s="41" t="s">
        <v>11738</v>
      </c>
      <c r="C19131" s="63" t="s">
        <v>10993</v>
      </c>
      <c r="D19131" s="108" t="s">
        <v>6386</v>
      </c>
      <c r="E19131" s="58">
        <v>4000</v>
      </c>
      <c r="F19131" s="58"/>
      <c r="G19131" s="126">
        <f t="shared" si="426"/>
        <v>-4000</v>
      </c>
      <c r="H19131" s="705" t="s">
        <v>12833</v>
      </c>
    </row>
    <row r="19132" spans="1:8" ht="15" x14ac:dyDescent="0.2">
      <c r="A19132" s="734">
        <v>45401</v>
      </c>
      <c r="B19132" s="41" t="s">
        <v>11089</v>
      </c>
      <c r="C19132" s="63" t="s">
        <v>1198</v>
      </c>
      <c r="D19132" s="108" t="s">
        <v>12907</v>
      </c>
      <c r="E19132" s="58">
        <v>2098980</v>
      </c>
      <c r="F19132" s="58"/>
      <c r="G19132" s="126">
        <f t="shared" ref="G19132" si="430">F19132-E19132</f>
        <v>-2098980</v>
      </c>
      <c r="H19132" s="705" t="s">
        <v>12833</v>
      </c>
    </row>
    <row r="19133" spans="1:8" ht="15" x14ac:dyDescent="0.2">
      <c r="A19133" s="734">
        <v>45402</v>
      </c>
      <c r="B19133" s="41" t="s">
        <v>8559</v>
      </c>
      <c r="C19133" s="63" t="s">
        <v>11975</v>
      </c>
      <c r="D19133" s="108" t="s">
        <v>1157</v>
      </c>
      <c r="E19133" s="58">
        <v>5500</v>
      </c>
      <c r="F19133" s="58"/>
      <c r="G19133" s="126">
        <f t="shared" ref="G19133:G19150" si="431">F19133-E19133</f>
        <v>-5500</v>
      </c>
      <c r="H19133" s="705" t="s">
        <v>12833</v>
      </c>
    </row>
    <row r="19134" spans="1:8" ht="15" x14ac:dyDescent="0.2">
      <c r="A19134" s="734">
        <v>45402</v>
      </c>
      <c r="B19134" s="41" t="s">
        <v>11738</v>
      </c>
      <c r="C19134" s="63" t="s">
        <v>5741</v>
      </c>
      <c r="D19134" s="108" t="s">
        <v>12910</v>
      </c>
      <c r="E19134" s="58">
        <v>5000</v>
      </c>
      <c r="F19134" s="58"/>
      <c r="G19134" s="126">
        <f t="shared" si="431"/>
        <v>-5000</v>
      </c>
      <c r="H19134" s="705" t="s">
        <v>12833</v>
      </c>
    </row>
    <row r="19135" spans="1:8" ht="15" x14ac:dyDescent="0.2">
      <c r="A19135" s="734">
        <v>45402</v>
      </c>
      <c r="B19135" s="41" t="s">
        <v>103</v>
      </c>
      <c r="C19135" s="63" t="s">
        <v>12911</v>
      </c>
      <c r="D19135" s="108" t="s">
        <v>12912</v>
      </c>
      <c r="E19135" s="58">
        <v>5000</v>
      </c>
      <c r="F19135" s="58"/>
      <c r="G19135" s="126">
        <f t="shared" si="431"/>
        <v>-5000</v>
      </c>
      <c r="H19135" s="705" t="s">
        <v>12833</v>
      </c>
    </row>
    <row r="19136" spans="1:8" ht="15" x14ac:dyDescent="0.2">
      <c r="A19136" s="734">
        <v>45402</v>
      </c>
      <c r="B19136" s="41" t="s">
        <v>12723</v>
      </c>
      <c r="C19136" s="63" t="s">
        <v>10993</v>
      </c>
      <c r="D19136" s="108" t="s">
        <v>12913</v>
      </c>
      <c r="E19136" s="58">
        <v>7280</v>
      </c>
      <c r="F19136" s="58"/>
      <c r="G19136" s="126">
        <f t="shared" si="431"/>
        <v>-7280</v>
      </c>
      <c r="H19136" s="705" t="s">
        <v>12833</v>
      </c>
    </row>
    <row r="19137" spans="1:8" ht="15" x14ac:dyDescent="0.2">
      <c r="A19137" s="734">
        <v>45402</v>
      </c>
      <c r="B19137" s="41" t="s">
        <v>11897</v>
      </c>
      <c r="C19137" s="63" t="s">
        <v>5741</v>
      </c>
      <c r="D19137" s="108" t="s">
        <v>12541</v>
      </c>
      <c r="E19137" s="58">
        <v>4500</v>
      </c>
      <c r="F19137" s="58"/>
      <c r="G19137" s="126">
        <f t="shared" si="431"/>
        <v>-4500</v>
      </c>
      <c r="H19137" s="705" t="s">
        <v>12833</v>
      </c>
    </row>
    <row r="19138" spans="1:8" ht="15" x14ac:dyDescent="0.2">
      <c r="A19138" s="734">
        <v>45402</v>
      </c>
      <c r="B19138" s="41" t="s">
        <v>11089</v>
      </c>
      <c r="C19138" s="63" t="s">
        <v>5741</v>
      </c>
      <c r="D19138" s="108" t="s">
        <v>370</v>
      </c>
      <c r="E19138" s="58">
        <v>1000</v>
      </c>
      <c r="F19138" s="58"/>
      <c r="G19138" s="126">
        <f t="shared" si="431"/>
        <v>-1000</v>
      </c>
      <c r="H19138" s="705" t="s">
        <v>12833</v>
      </c>
    </row>
    <row r="19139" spans="1:8" ht="15" x14ac:dyDescent="0.2">
      <c r="A19139" s="734">
        <v>45402</v>
      </c>
      <c r="B19139" s="41" t="s">
        <v>10908</v>
      </c>
      <c r="C19139" s="63" t="s">
        <v>5741</v>
      </c>
      <c r="D19139" s="108" t="s">
        <v>370</v>
      </c>
      <c r="E19139" s="58">
        <v>1200</v>
      </c>
      <c r="F19139" s="58"/>
      <c r="G19139" s="126">
        <f t="shared" si="431"/>
        <v>-1200</v>
      </c>
      <c r="H19139" s="705" t="s">
        <v>12833</v>
      </c>
    </row>
    <row r="19140" spans="1:8" ht="15" x14ac:dyDescent="0.2">
      <c r="A19140" s="734">
        <v>45402</v>
      </c>
      <c r="B19140" s="41" t="s">
        <v>103</v>
      </c>
      <c r="C19140" s="63" t="s">
        <v>103</v>
      </c>
      <c r="D19140" s="108" t="s">
        <v>9425</v>
      </c>
      <c r="E19140" s="58">
        <v>3000</v>
      </c>
      <c r="F19140" s="58"/>
      <c r="G19140" s="126">
        <f t="shared" si="431"/>
        <v>-3000</v>
      </c>
      <c r="H19140" s="705" t="s">
        <v>12833</v>
      </c>
    </row>
    <row r="19141" spans="1:8" ht="15" x14ac:dyDescent="0.2">
      <c r="A19141" s="734">
        <v>45402</v>
      </c>
      <c r="B19141" s="41" t="s">
        <v>10908</v>
      </c>
      <c r="C19141" s="63" t="s">
        <v>10993</v>
      </c>
      <c r="D19141" s="108" t="s">
        <v>12914</v>
      </c>
      <c r="E19141" s="58">
        <v>1230</v>
      </c>
      <c r="F19141" s="58"/>
      <c r="G19141" s="126">
        <f t="shared" si="431"/>
        <v>-1230</v>
      </c>
      <c r="H19141" s="705" t="s">
        <v>12833</v>
      </c>
    </row>
    <row r="19142" spans="1:8" ht="15" x14ac:dyDescent="0.2">
      <c r="A19142" s="734">
        <v>45402</v>
      </c>
      <c r="B19142" s="41" t="s">
        <v>11089</v>
      </c>
      <c r="C19142" s="63" t="s">
        <v>5741</v>
      </c>
      <c r="D19142" s="108" t="s">
        <v>12915</v>
      </c>
      <c r="E19142" s="58">
        <v>3000</v>
      </c>
      <c r="F19142" s="58"/>
      <c r="G19142" s="126">
        <f t="shared" si="431"/>
        <v>-3000</v>
      </c>
      <c r="H19142" s="705" t="s">
        <v>12833</v>
      </c>
    </row>
    <row r="19143" spans="1:8" ht="15" x14ac:dyDescent="0.2">
      <c r="A19143" s="734">
        <v>45402</v>
      </c>
      <c r="B19143" s="41" t="s">
        <v>10471</v>
      </c>
      <c r="C19143" s="63" t="s">
        <v>10993</v>
      </c>
      <c r="D19143" s="108" t="s">
        <v>12916</v>
      </c>
      <c r="E19143" s="58">
        <v>15000</v>
      </c>
      <c r="F19143" s="58"/>
      <c r="G19143" s="126">
        <f t="shared" si="431"/>
        <v>-15000</v>
      </c>
      <c r="H19143" s="705" t="s">
        <v>12833</v>
      </c>
    </row>
    <row r="19144" spans="1:8" ht="15" x14ac:dyDescent="0.2">
      <c r="A19144" s="734">
        <v>45402</v>
      </c>
      <c r="B19144" s="41" t="s">
        <v>11897</v>
      </c>
      <c r="C19144" s="63" t="s">
        <v>12307</v>
      </c>
      <c r="D19144" s="108" t="s">
        <v>11308</v>
      </c>
      <c r="E19144" s="58">
        <v>10000</v>
      </c>
      <c r="F19144" s="58"/>
      <c r="G19144" s="126">
        <f t="shared" si="431"/>
        <v>-10000</v>
      </c>
      <c r="H19144" s="705" t="s">
        <v>12833</v>
      </c>
    </row>
    <row r="19145" spans="1:8" ht="15" x14ac:dyDescent="0.2">
      <c r="A19145" s="734">
        <v>45402</v>
      </c>
      <c r="B19145" s="41" t="s">
        <v>11897</v>
      </c>
      <c r="C19145" s="63" t="s">
        <v>12780</v>
      </c>
      <c r="D19145" s="108" t="s">
        <v>12917</v>
      </c>
      <c r="E19145" s="58">
        <v>1600</v>
      </c>
      <c r="F19145" s="58"/>
      <c r="G19145" s="126">
        <f t="shared" si="431"/>
        <v>-1600</v>
      </c>
      <c r="H19145" s="705" t="s">
        <v>12833</v>
      </c>
    </row>
    <row r="19146" spans="1:8" ht="15" x14ac:dyDescent="0.2">
      <c r="A19146" s="734">
        <v>45403</v>
      </c>
      <c r="B19146" s="41" t="s">
        <v>12723</v>
      </c>
      <c r="C19146" s="63" t="s">
        <v>10993</v>
      </c>
      <c r="D19146" s="108" t="s">
        <v>12918</v>
      </c>
      <c r="E19146" s="58">
        <v>789650</v>
      </c>
      <c r="F19146" s="58"/>
      <c r="G19146" s="126">
        <f t="shared" si="431"/>
        <v>-789650</v>
      </c>
      <c r="H19146" s="705" t="s">
        <v>12833</v>
      </c>
    </row>
    <row r="19147" spans="1:8" ht="15" x14ac:dyDescent="0.2">
      <c r="A19147" s="734">
        <v>45403</v>
      </c>
      <c r="B19147" s="41" t="s">
        <v>11738</v>
      </c>
      <c r="C19147" s="63" t="s">
        <v>12919</v>
      </c>
      <c r="D19147" s="108" t="s">
        <v>12920</v>
      </c>
      <c r="E19147" s="58">
        <v>55000</v>
      </c>
      <c r="F19147" s="58"/>
      <c r="G19147" s="126">
        <f t="shared" si="431"/>
        <v>-55000</v>
      </c>
      <c r="H19147" s="705" t="s">
        <v>12833</v>
      </c>
    </row>
    <row r="19148" spans="1:8" ht="15" x14ac:dyDescent="0.2">
      <c r="A19148" s="734">
        <v>45404</v>
      </c>
      <c r="B19148" s="41" t="s">
        <v>25</v>
      </c>
      <c r="C19148" s="63" t="s">
        <v>8150</v>
      </c>
      <c r="D19148" s="108" t="s">
        <v>6343</v>
      </c>
      <c r="E19148" s="58">
        <v>2915</v>
      </c>
      <c r="F19148" s="58"/>
      <c r="G19148" s="126">
        <f t="shared" si="431"/>
        <v>-2915</v>
      </c>
      <c r="H19148" s="705" t="s">
        <v>12833</v>
      </c>
    </row>
    <row r="19149" spans="1:8" ht="15" x14ac:dyDescent="0.2">
      <c r="A19149" s="734">
        <v>45404</v>
      </c>
      <c r="B19149" s="41" t="s">
        <v>103</v>
      </c>
      <c r="C19149" s="63" t="s">
        <v>8150</v>
      </c>
      <c r="D19149" s="108" t="s">
        <v>6343</v>
      </c>
      <c r="E19149" s="58">
        <v>9130</v>
      </c>
      <c r="F19149" s="58"/>
      <c r="G19149" s="126">
        <f t="shared" si="431"/>
        <v>-9130</v>
      </c>
      <c r="H19149" s="705" t="s">
        <v>12833</v>
      </c>
    </row>
    <row r="19150" spans="1:8" ht="15" x14ac:dyDescent="0.2">
      <c r="A19150" s="734">
        <v>45404</v>
      </c>
      <c r="B19150" s="41" t="s">
        <v>11738</v>
      </c>
      <c r="C19150" s="63" t="s">
        <v>10993</v>
      </c>
      <c r="D19150" s="108" t="s">
        <v>10824</v>
      </c>
      <c r="E19150" s="58">
        <v>1000</v>
      </c>
      <c r="F19150" s="58"/>
      <c r="G19150" s="126">
        <f t="shared" si="431"/>
        <v>-1000</v>
      </c>
      <c r="H19150" s="705" t="s">
        <v>12833</v>
      </c>
    </row>
    <row r="19151" spans="1:8" ht="15" x14ac:dyDescent="0.2">
      <c r="A19151" s="734">
        <v>45404</v>
      </c>
      <c r="B19151" s="41" t="s">
        <v>11897</v>
      </c>
      <c r="C19151" s="63" t="s">
        <v>4725</v>
      </c>
      <c r="D19151" s="108" t="s">
        <v>12461</v>
      </c>
      <c r="E19151" s="58">
        <v>300000</v>
      </c>
      <c r="F19151" s="58"/>
      <c r="G19151" s="126">
        <f>F19151-E19151</f>
        <v>-300000</v>
      </c>
      <c r="H19151" s="705" t="s">
        <v>12833</v>
      </c>
    </row>
    <row r="19152" spans="1:8" ht="15" x14ac:dyDescent="0.2">
      <c r="A19152" s="734">
        <v>45404</v>
      </c>
      <c r="B19152" s="41" t="s">
        <v>12532</v>
      </c>
      <c r="C19152" s="63" t="s">
        <v>7906</v>
      </c>
      <c r="D19152" s="108" t="s">
        <v>12922</v>
      </c>
      <c r="E19152" s="58">
        <v>48970</v>
      </c>
      <c r="F19152" s="58"/>
      <c r="G19152" s="126">
        <f>F19152-E19152</f>
        <v>-48970</v>
      </c>
      <c r="H19152" s="705" t="s">
        <v>12833</v>
      </c>
    </row>
    <row r="19153" spans="1:8" ht="15" x14ac:dyDescent="0.2">
      <c r="A19153" s="734">
        <v>45404</v>
      </c>
      <c r="B19153" s="41" t="s">
        <v>12366</v>
      </c>
      <c r="C19153" s="63" t="s">
        <v>12921</v>
      </c>
      <c r="D19153" s="108" t="s">
        <v>12923</v>
      </c>
      <c r="E19153" s="58">
        <v>222500</v>
      </c>
      <c r="F19153" s="58"/>
      <c r="G19153" s="126">
        <f>F19153-E19153</f>
        <v>-222500</v>
      </c>
      <c r="H19153" s="705" t="s">
        <v>12833</v>
      </c>
    </row>
    <row r="19154" spans="1:8" s="682" customFormat="1" ht="24" x14ac:dyDescent="0.25">
      <c r="A19154" s="734">
        <v>45404</v>
      </c>
      <c r="B19154" s="63" t="s">
        <v>11635</v>
      </c>
      <c r="C19154" s="63" t="s">
        <v>431</v>
      </c>
      <c r="D19154" s="183" t="s">
        <v>12928</v>
      </c>
      <c r="E19154" s="126">
        <v>300000</v>
      </c>
      <c r="F19154" s="126"/>
      <c r="G19154" s="126">
        <f>F19154-E19154</f>
        <v>-300000</v>
      </c>
      <c r="H19154" s="705" t="s">
        <v>12833</v>
      </c>
    </row>
    <row r="19155" spans="1:8" ht="15" x14ac:dyDescent="0.2">
      <c r="A19155" s="734">
        <v>45404</v>
      </c>
      <c r="B19155" s="41" t="s">
        <v>11089</v>
      </c>
      <c r="C19155" s="63" t="s">
        <v>5387</v>
      </c>
      <c r="D19155" s="108" t="s">
        <v>370</v>
      </c>
      <c r="E19155" s="58">
        <v>6000</v>
      </c>
      <c r="F19155" s="58"/>
      <c r="G19155" s="126">
        <f>F19155-E19155</f>
        <v>-6000</v>
      </c>
      <c r="H19155" s="705" t="s">
        <v>12833</v>
      </c>
    </row>
    <row r="19156" spans="1:8" ht="15" x14ac:dyDescent="0.2">
      <c r="A19156" s="734">
        <v>45404</v>
      </c>
      <c r="B19156" s="41" t="s">
        <v>11135</v>
      </c>
      <c r="C19156" s="63" t="s">
        <v>10993</v>
      </c>
      <c r="D19156" s="108" t="s">
        <v>12924</v>
      </c>
      <c r="E19156" s="58">
        <v>5000</v>
      </c>
      <c r="F19156" s="58"/>
      <c r="G19156" s="126">
        <f t="shared" ref="G19156:G19160" si="432">F19156-E19156</f>
        <v>-5000</v>
      </c>
      <c r="H19156" s="705" t="s">
        <v>12833</v>
      </c>
    </row>
    <row r="19157" spans="1:8" ht="15" x14ac:dyDescent="0.2">
      <c r="A19157" s="734">
        <v>45404</v>
      </c>
      <c r="B19157" s="41" t="s">
        <v>12532</v>
      </c>
      <c r="C19157" s="63" t="s">
        <v>10993</v>
      </c>
      <c r="D19157" s="108" t="s">
        <v>12925</v>
      </c>
      <c r="E19157" s="58">
        <v>5000</v>
      </c>
      <c r="F19157" s="58"/>
      <c r="G19157" s="126">
        <f t="shared" si="432"/>
        <v>-5000</v>
      </c>
      <c r="H19157" s="705" t="s">
        <v>12833</v>
      </c>
    </row>
    <row r="19158" spans="1:8" ht="15" x14ac:dyDescent="0.2">
      <c r="A19158" s="734">
        <v>45404</v>
      </c>
      <c r="B19158" s="41" t="s">
        <v>6505</v>
      </c>
      <c r="C19158" s="63" t="s">
        <v>10993</v>
      </c>
      <c r="D19158" s="108" t="s">
        <v>12926</v>
      </c>
      <c r="E19158" s="58">
        <v>6000</v>
      </c>
      <c r="F19158" s="58"/>
      <c r="G19158" s="126">
        <f t="shared" si="432"/>
        <v>-6000</v>
      </c>
      <c r="H19158" s="705" t="s">
        <v>12833</v>
      </c>
    </row>
    <row r="19159" spans="1:8" ht="15" x14ac:dyDescent="0.2">
      <c r="A19159" s="734">
        <v>45404</v>
      </c>
      <c r="B19159" s="41" t="s">
        <v>37</v>
      </c>
      <c r="C19159" s="63" t="s">
        <v>10993</v>
      </c>
      <c r="D19159" s="108" t="s">
        <v>12927</v>
      </c>
      <c r="E19159" s="58">
        <v>5300</v>
      </c>
      <c r="F19159" s="58"/>
      <c r="G19159" s="126">
        <f t="shared" si="432"/>
        <v>-5300</v>
      </c>
      <c r="H19159" s="705" t="s">
        <v>12833</v>
      </c>
    </row>
    <row r="19160" spans="1:8" ht="15" x14ac:dyDescent="0.2">
      <c r="A19160" s="734">
        <v>45404</v>
      </c>
      <c r="B19160" s="41" t="s">
        <v>37</v>
      </c>
      <c r="C19160" s="63" t="s">
        <v>10993</v>
      </c>
      <c r="D19160" s="108" t="s">
        <v>12927</v>
      </c>
      <c r="E19160" s="58">
        <v>5000</v>
      </c>
      <c r="F19160" s="58"/>
      <c r="G19160" s="126">
        <f t="shared" si="432"/>
        <v>-5000</v>
      </c>
      <c r="H19160" s="705" t="s">
        <v>12833</v>
      </c>
    </row>
    <row r="19161" spans="1:8" ht="15" x14ac:dyDescent="0.2">
      <c r="A19161" s="734">
        <v>45404</v>
      </c>
      <c r="B19161" s="41" t="s">
        <v>103</v>
      </c>
      <c r="C19161" s="63" t="s">
        <v>1495</v>
      </c>
      <c r="D19161" s="108" t="s">
        <v>12939</v>
      </c>
      <c r="E19161" s="58">
        <v>720</v>
      </c>
      <c r="F19161" s="58"/>
      <c r="G19161" s="126">
        <f t="shared" ref="G19161:G19162" si="433">F19161-E19161</f>
        <v>-720</v>
      </c>
      <c r="H19161" s="705" t="s">
        <v>12833</v>
      </c>
    </row>
    <row r="19162" spans="1:8" ht="15" x14ac:dyDescent="0.2">
      <c r="A19162" s="734">
        <v>45404</v>
      </c>
      <c r="B19162" s="41" t="s">
        <v>12723</v>
      </c>
      <c r="C19162" s="63" t="s">
        <v>10993</v>
      </c>
      <c r="D19162" s="108" t="s">
        <v>12940</v>
      </c>
      <c r="E19162" s="58">
        <v>40000</v>
      </c>
      <c r="F19162" s="58"/>
      <c r="G19162" s="126">
        <f t="shared" si="433"/>
        <v>-40000</v>
      </c>
      <c r="H19162" s="705" t="s">
        <v>12833</v>
      </c>
    </row>
    <row r="19163" spans="1:8" ht="15" x14ac:dyDescent="0.2">
      <c r="A19163" s="734">
        <v>45404</v>
      </c>
      <c r="B19163" s="41" t="s">
        <v>12634</v>
      </c>
      <c r="C19163" s="63" t="s">
        <v>10993</v>
      </c>
      <c r="D19163" s="108" t="s">
        <v>12941</v>
      </c>
      <c r="E19163" s="58">
        <v>13600</v>
      </c>
      <c r="F19163" s="58"/>
      <c r="G19163" s="126">
        <f t="shared" ref="G19163:G19164" si="434">F19163-E19163</f>
        <v>-13600</v>
      </c>
      <c r="H19163" s="705" t="s">
        <v>12833</v>
      </c>
    </row>
    <row r="19164" spans="1:8" ht="15" x14ac:dyDescent="0.2">
      <c r="A19164" s="734">
        <v>45404</v>
      </c>
      <c r="B19164" s="41" t="s">
        <v>12634</v>
      </c>
      <c r="C19164" s="63" t="s">
        <v>10993</v>
      </c>
      <c r="D19164" s="108" t="s">
        <v>12941</v>
      </c>
      <c r="E19164" s="58">
        <v>3600</v>
      </c>
      <c r="F19164" s="58"/>
      <c r="G19164" s="126">
        <f t="shared" si="434"/>
        <v>-3600</v>
      </c>
      <c r="H19164" s="705" t="s">
        <v>12833</v>
      </c>
    </row>
    <row r="19165" spans="1:8" ht="15" x14ac:dyDescent="0.2">
      <c r="A19165" s="734">
        <v>45406</v>
      </c>
      <c r="B19165" s="41" t="s">
        <v>11897</v>
      </c>
      <c r="C19165" s="63" t="s">
        <v>2796</v>
      </c>
      <c r="D19165" s="108" t="s">
        <v>10306</v>
      </c>
      <c r="E19165" s="58">
        <v>1200</v>
      </c>
      <c r="F19165" s="58"/>
      <c r="G19165" s="126">
        <f t="shared" ref="G19165:G19172" si="435">F19165-E19165</f>
        <v>-1200</v>
      </c>
      <c r="H19165" s="705" t="s">
        <v>12833</v>
      </c>
    </row>
    <row r="19166" spans="1:8" ht="15" x14ac:dyDescent="0.2">
      <c r="A19166" s="734">
        <v>45406</v>
      </c>
      <c r="B19166" s="41" t="s">
        <v>103</v>
      </c>
      <c r="C19166" s="63" t="s">
        <v>103</v>
      </c>
      <c r="D19166" s="108" t="s">
        <v>10211</v>
      </c>
      <c r="E19166" s="58">
        <v>3500</v>
      </c>
      <c r="F19166" s="58"/>
      <c r="G19166" s="126">
        <f t="shared" si="435"/>
        <v>-3500</v>
      </c>
      <c r="H19166" s="705" t="s">
        <v>12833</v>
      </c>
    </row>
    <row r="19167" spans="1:8" ht="15" x14ac:dyDescent="0.2">
      <c r="A19167" s="734">
        <v>45406</v>
      </c>
      <c r="B19167" s="41" t="s">
        <v>11738</v>
      </c>
      <c r="C19167" s="63" t="s">
        <v>392</v>
      </c>
      <c r="D19167" s="108" t="s">
        <v>12942</v>
      </c>
      <c r="E19167" s="58">
        <v>4400</v>
      </c>
      <c r="F19167" s="58"/>
      <c r="G19167" s="126">
        <f t="shared" si="435"/>
        <v>-4400</v>
      </c>
      <c r="H19167" s="705" t="s">
        <v>12833</v>
      </c>
    </row>
    <row r="19168" spans="1:8" ht="15" x14ac:dyDescent="0.2">
      <c r="A19168" s="734">
        <v>45407</v>
      </c>
      <c r="B19168" s="41" t="s">
        <v>12366</v>
      </c>
      <c r="C19168" s="63" t="s">
        <v>12104</v>
      </c>
      <c r="D19168" s="108" t="s">
        <v>12943</v>
      </c>
      <c r="E19168" s="58">
        <v>200000</v>
      </c>
      <c r="F19168" s="58"/>
      <c r="G19168" s="126">
        <f t="shared" si="435"/>
        <v>-200000</v>
      </c>
      <c r="H19168" s="705" t="s">
        <v>12833</v>
      </c>
    </row>
    <row r="19169" spans="1:8" ht="15" x14ac:dyDescent="0.2">
      <c r="A19169" s="734">
        <v>45407</v>
      </c>
      <c r="B19169" s="41" t="s">
        <v>8043</v>
      </c>
      <c r="C19169" s="63" t="s">
        <v>10979</v>
      </c>
      <c r="D19169" s="108" t="s">
        <v>12944</v>
      </c>
      <c r="E19169" s="58">
        <v>204000</v>
      </c>
      <c r="F19169" s="58"/>
      <c r="G19169" s="126">
        <f t="shared" si="435"/>
        <v>-204000</v>
      </c>
      <c r="H19169" s="705" t="s">
        <v>12833</v>
      </c>
    </row>
    <row r="19170" spans="1:8" ht="15" x14ac:dyDescent="0.2">
      <c r="A19170" s="734">
        <v>45407</v>
      </c>
      <c r="B19170" s="41" t="s">
        <v>37</v>
      </c>
      <c r="C19170" s="63" t="s">
        <v>5410</v>
      </c>
      <c r="D19170" s="108" t="s">
        <v>12945</v>
      </c>
      <c r="E19170" s="58">
        <v>15000</v>
      </c>
      <c r="F19170" s="58"/>
      <c r="G19170" s="126">
        <f t="shared" si="435"/>
        <v>-15000</v>
      </c>
      <c r="H19170" s="705" t="s">
        <v>12833</v>
      </c>
    </row>
    <row r="19171" spans="1:8" ht="15" x14ac:dyDescent="0.2">
      <c r="A19171" s="734">
        <v>45407</v>
      </c>
      <c r="B19171" s="41" t="s">
        <v>11897</v>
      </c>
      <c r="C19171" s="63" t="s">
        <v>6847</v>
      </c>
      <c r="D19171" s="108" t="s">
        <v>12946</v>
      </c>
      <c r="E19171" s="58">
        <v>156000</v>
      </c>
      <c r="F19171" s="58"/>
      <c r="G19171" s="126">
        <f t="shared" si="435"/>
        <v>-156000</v>
      </c>
      <c r="H19171" s="705" t="s">
        <v>12833</v>
      </c>
    </row>
    <row r="19172" spans="1:8" ht="15" x14ac:dyDescent="0.2">
      <c r="A19172" s="734">
        <v>45407</v>
      </c>
      <c r="B19172" s="41" t="s">
        <v>12634</v>
      </c>
      <c r="C19172" s="63" t="s">
        <v>11398</v>
      </c>
      <c r="D19172" s="108" t="s">
        <v>12947</v>
      </c>
      <c r="E19172" s="58">
        <v>200000</v>
      </c>
      <c r="F19172" s="58"/>
      <c r="G19172" s="126">
        <f t="shared" si="435"/>
        <v>-200000</v>
      </c>
      <c r="H19172" s="705" t="s">
        <v>12833</v>
      </c>
    </row>
    <row r="19173" spans="1:8" ht="15" x14ac:dyDescent="0.2">
      <c r="A19173" s="734">
        <v>45407</v>
      </c>
      <c r="B19173" s="41" t="s">
        <v>12723</v>
      </c>
      <c r="C19173" s="63" t="s">
        <v>10344</v>
      </c>
      <c r="D19173" s="108" t="s">
        <v>12948</v>
      </c>
      <c r="E19173" s="58">
        <v>15000</v>
      </c>
      <c r="F19173" s="58"/>
      <c r="G19173" s="126">
        <f t="shared" ref="G19173:G19182" si="436">F19173-E19173</f>
        <v>-15000</v>
      </c>
      <c r="H19173" s="705" t="s">
        <v>12833</v>
      </c>
    </row>
    <row r="19174" spans="1:8" ht="15" x14ac:dyDescent="0.2">
      <c r="A19174" s="734">
        <v>45407</v>
      </c>
      <c r="B19174" s="41" t="s">
        <v>11897</v>
      </c>
      <c r="C19174" s="63" t="s">
        <v>5741</v>
      </c>
      <c r="D19174" s="108" t="s">
        <v>370</v>
      </c>
      <c r="E19174" s="58">
        <v>3000</v>
      </c>
      <c r="F19174" s="58"/>
      <c r="G19174" s="126">
        <f t="shared" si="436"/>
        <v>-3000</v>
      </c>
      <c r="H19174" s="705" t="s">
        <v>12833</v>
      </c>
    </row>
    <row r="19175" spans="1:8" ht="15" x14ac:dyDescent="0.2">
      <c r="A19175" s="734">
        <v>45407</v>
      </c>
      <c r="B19175" s="41" t="s">
        <v>103</v>
      </c>
      <c r="C19175" s="63" t="s">
        <v>103</v>
      </c>
      <c r="D19175" s="108" t="s">
        <v>10211</v>
      </c>
      <c r="E19175" s="58">
        <v>3500</v>
      </c>
      <c r="F19175" s="58"/>
      <c r="G19175" s="126">
        <f t="shared" si="436"/>
        <v>-3500</v>
      </c>
      <c r="H19175" s="705" t="s">
        <v>12833</v>
      </c>
    </row>
    <row r="19176" spans="1:8" ht="15" x14ac:dyDescent="0.2">
      <c r="A19176" s="734">
        <v>45407</v>
      </c>
      <c r="B19176" s="41" t="s">
        <v>11897</v>
      </c>
      <c r="C19176" s="63" t="s">
        <v>5741</v>
      </c>
      <c r="D19176" s="108" t="s">
        <v>12949</v>
      </c>
      <c r="E19176" s="58">
        <v>1000</v>
      </c>
      <c r="F19176" s="58"/>
      <c r="G19176" s="126">
        <f t="shared" si="436"/>
        <v>-1000</v>
      </c>
      <c r="H19176" s="705" t="s">
        <v>12833</v>
      </c>
    </row>
    <row r="19177" spans="1:8" ht="15" x14ac:dyDescent="0.2">
      <c r="A19177" s="734">
        <v>45407</v>
      </c>
      <c r="B19177" s="41" t="s">
        <v>12723</v>
      </c>
      <c r="C19177" s="63" t="s">
        <v>5741</v>
      </c>
      <c r="D19177" s="108" t="s">
        <v>734</v>
      </c>
      <c r="E19177" s="58">
        <v>1800</v>
      </c>
      <c r="F19177" s="58"/>
      <c r="G19177" s="126">
        <f t="shared" si="436"/>
        <v>-1800</v>
      </c>
      <c r="H19177" s="705" t="s">
        <v>12833</v>
      </c>
    </row>
    <row r="19178" spans="1:8" ht="15" x14ac:dyDescent="0.2">
      <c r="A19178" s="734">
        <v>45407</v>
      </c>
      <c r="B19178" s="41" t="s">
        <v>103</v>
      </c>
      <c r="C19178" s="63" t="s">
        <v>5341</v>
      </c>
      <c r="D19178" s="108" t="s">
        <v>12950</v>
      </c>
      <c r="E19178" s="58">
        <v>15000</v>
      </c>
      <c r="F19178" s="58"/>
      <c r="G19178" s="126">
        <f t="shared" si="436"/>
        <v>-15000</v>
      </c>
      <c r="H19178" s="705" t="s">
        <v>12833</v>
      </c>
    </row>
    <row r="19179" spans="1:8" ht="15" x14ac:dyDescent="0.2">
      <c r="A19179" s="734">
        <v>45407</v>
      </c>
      <c r="B19179" s="41" t="s">
        <v>11738</v>
      </c>
      <c r="C19179" s="63" t="s">
        <v>5741</v>
      </c>
      <c r="D19179" s="108" t="s">
        <v>370</v>
      </c>
      <c r="E19179" s="58">
        <v>2500</v>
      </c>
      <c r="F19179" s="58"/>
      <c r="G19179" s="126">
        <f t="shared" si="436"/>
        <v>-2500</v>
      </c>
      <c r="H19179" s="705" t="s">
        <v>12833</v>
      </c>
    </row>
    <row r="19180" spans="1:8" ht="15" x14ac:dyDescent="0.2">
      <c r="A19180" s="734">
        <v>45407</v>
      </c>
      <c r="B19180" s="41" t="s">
        <v>12723</v>
      </c>
      <c r="C19180" s="63" t="s">
        <v>5741</v>
      </c>
      <c r="D19180" s="108" t="s">
        <v>370</v>
      </c>
      <c r="E19180" s="58">
        <v>1500</v>
      </c>
      <c r="F19180" s="58"/>
      <c r="G19180" s="126">
        <f t="shared" si="436"/>
        <v>-1500</v>
      </c>
      <c r="H19180" s="705" t="s">
        <v>12833</v>
      </c>
    </row>
    <row r="19181" spans="1:8" ht="15" x14ac:dyDescent="0.2">
      <c r="A19181" s="734">
        <v>45407</v>
      </c>
      <c r="B19181" s="41" t="s">
        <v>10179</v>
      </c>
      <c r="C19181" s="63" t="s">
        <v>10993</v>
      </c>
      <c r="D19181" s="108" t="s">
        <v>12951</v>
      </c>
      <c r="E19181" s="58">
        <v>3800</v>
      </c>
      <c r="F19181" s="58"/>
      <c r="G19181" s="126">
        <f t="shared" si="436"/>
        <v>-3800</v>
      </c>
      <c r="H19181" s="705" t="s">
        <v>12833</v>
      </c>
    </row>
    <row r="19182" spans="1:8" ht="15" x14ac:dyDescent="0.2">
      <c r="A19182" s="734">
        <v>45407</v>
      </c>
      <c r="B19182" s="41" t="s">
        <v>12634</v>
      </c>
      <c r="C19182" s="63" t="s">
        <v>10993</v>
      </c>
      <c r="D19182" s="108" t="s">
        <v>7476</v>
      </c>
      <c r="E19182" s="58">
        <v>48150</v>
      </c>
      <c r="F19182" s="58"/>
      <c r="G19182" s="126">
        <f t="shared" si="436"/>
        <v>-48150</v>
      </c>
      <c r="H19182" s="705" t="s">
        <v>12833</v>
      </c>
    </row>
    <row r="19183" spans="1:8" ht="15" x14ac:dyDescent="0.2">
      <c r="A19183" s="734">
        <v>45408</v>
      </c>
      <c r="B19183" s="41" t="s">
        <v>12624</v>
      </c>
      <c r="C19183" s="63" t="s">
        <v>10993</v>
      </c>
      <c r="D19183" s="108" t="s">
        <v>12952</v>
      </c>
      <c r="E19183" s="58">
        <v>80000</v>
      </c>
      <c r="F19183" s="58"/>
      <c r="G19183" s="126">
        <f t="shared" ref="G19183:G19184" si="437">F19183-E19183</f>
        <v>-80000</v>
      </c>
      <c r="H19183" s="705" t="s">
        <v>12833</v>
      </c>
    </row>
    <row r="19184" spans="1:8" ht="15" x14ac:dyDescent="0.2">
      <c r="A19184" s="734">
        <v>45408</v>
      </c>
      <c r="B19184" s="41" t="s">
        <v>6505</v>
      </c>
      <c r="C19184" s="63" t="s">
        <v>12954</v>
      </c>
      <c r="D19184" s="108" t="s">
        <v>12953</v>
      </c>
      <c r="E19184" s="58">
        <v>51000</v>
      </c>
      <c r="F19184" s="58"/>
      <c r="G19184" s="126">
        <f t="shared" si="437"/>
        <v>-51000</v>
      </c>
      <c r="H19184" s="705" t="s">
        <v>12833</v>
      </c>
    </row>
    <row r="19185" spans="1:8" ht="15" x14ac:dyDescent="0.2">
      <c r="A19185" s="734">
        <v>45408</v>
      </c>
      <c r="B19185" s="41" t="s">
        <v>11089</v>
      </c>
      <c r="C19185" s="63" t="s">
        <v>11552</v>
      </c>
      <c r="D19185" s="108" t="s">
        <v>12955</v>
      </c>
      <c r="E19185" s="58">
        <v>35600</v>
      </c>
      <c r="F19185" s="58"/>
      <c r="G19185" s="126">
        <f t="shared" ref="G19185:G19186" si="438">F19185-E19185</f>
        <v>-35600</v>
      </c>
      <c r="H19185" s="705" t="s">
        <v>12833</v>
      </c>
    </row>
    <row r="19186" spans="1:8" ht="15" x14ac:dyDescent="0.2">
      <c r="A19186" s="734">
        <v>45408</v>
      </c>
      <c r="B19186" s="41" t="s">
        <v>12624</v>
      </c>
      <c r="C19186" s="63" t="s">
        <v>8502</v>
      </c>
      <c r="D19186" s="108" t="s">
        <v>12956</v>
      </c>
      <c r="E19186" s="58">
        <v>40000</v>
      </c>
      <c r="F19186" s="58"/>
      <c r="G19186" s="126">
        <f t="shared" si="438"/>
        <v>-40000</v>
      </c>
      <c r="H19186" s="705" t="s">
        <v>12833</v>
      </c>
    </row>
    <row r="19187" spans="1:8" ht="15" x14ac:dyDescent="0.2">
      <c r="A19187" s="734">
        <v>45409</v>
      </c>
      <c r="B19187" s="41" t="s">
        <v>12957</v>
      </c>
      <c r="C19187" s="63" t="s">
        <v>10993</v>
      </c>
      <c r="D19187" s="108" t="s">
        <v>12958</v>
      </c>
      <c r="E19187" s="58">
        <v>1820</v>
      </c>
      <c r="F19187" s="58"/>
      <c r="G19187" s="126">
        <f t="shared" ref="G19187:G19196" si="439">F19187-E19187</f>
        <v>-1820</v>
      </c>
      <c r="H19187" s="705" t="s">
        <v>12833</v>
      </c>
    </row>
    <row r="19188" spans="1:8" ht="15" x14ac:dyDescent="0.2">
      <c r="A19188" s="734">
        <v>45409</v>
      </c>
      <c r="B19188" s="41" t="s">
        <v>12957</v>
      </c>
      <c r="C19188" s="63" t="s">
        <v>5741</v>
      </c>
      <c r="D19188" s="108" t="s">
        <v>370</v>
      </c>
      <c r="E19188" s="58">
        <v>1200</v>
      </c>
      <c r="F19188" s="58"/>
      <c r="G19188" s="126">
        <f t="shared" si="439"/>
        <v>-1200</v>
      </c>
      <c r="H19188" s="705" t="s">
        <v>12833</v>
      </c>
    </row>
    <row r="19189" spans="1:8" ht="15" x14ac:dyDescent="0.2">
      <c r="A19189" s="734">
        <v>45409</v>
      </c>
      <c r="B19189" s="41" t="s">
        <v>11897</v>
      </c>
      <c r="C19189" s="63" t="s">
        <v>10993</v>
      </c>
      <c r="D19189" s="108" t="s">
        <v>12959</v>
      </c>
      <c r="E19189" s="58">
        <v>7000</v>
      </c>
      <c r="F19189" s="58"/>
      <c r="G19189" s="126">
        <f t="shared" si="439"/>
        <v>-7000</v>
      </c>
      <c r="H19189" s="705" t="s">
        <v>12833</v>
      </c>
    </row>
    <row r="19190" spans="1:8" ht="15" x14ac:dyDescent="0.2">
      <c r="A19190" s="734">
        <v>45409</v>
      </c>
      <c r="B19190" s="41" t="s">
        <v>10908</v>
      </c>
      <c r="C19190" s="63" t="s">
        <v>5741</v>
      </c>
      <c r="D19190" s="108" t="s">
        <v>370</v>
      </c>
      <c r="E19190" s="58">
        <v>400</v>
      </c>
      <c r="F19190" s="58"/>
      <c r="G19190" s="126">
        <f t="shared" si="439"/>
        <v>-400</v>
      </c>
      <c r="H19190" s="705" t="s">
        <v>12833</v>
      </c>
    </row>
    <row r="19191" spans="1:8" ht="15" x14ac:dyDescent="0.2">
      <c r="A19191" s="734">
        <v>45409</v>
      </c>
      <c r="B19191" s="41" t="s">
        <v>12960</v>
      </c>
      <c r="C19191" s="63" t="s">
        <v>5741</v>
      </c>
      <c r="D19191" s="108" t="s">
        <v>370</v>
      </c>
      <c r="E19191" s="58">
        <v>2000</v>
      </c>
      <c r="F19191" s="58"/>
      <c r="G19191" s="126">
        <f t="shared" si="439"/>
        <v>-2000</v>
      </c>
      <c r="H19191" s="705" t="s">
        <v>12833</v>
      </c>
    </row>
    <row r="19192" spans="1:8" ht="15" x14ac:dyDescent="0.2">
      <c r="A19192" s="734">
        <v>45409</v>
      </c>
      <c r="B19192" s="41" t="s">
        <v>12960</v>
      </c>
      <c r="C19192" s="63" t="s">
        <v>5741</v>
      </c>
      <c r="D19192" s="108" t="s">
        <v>370</v>
      </c>
      <c r="E19192" s="58">
        <v>3000</v>
      </c>
      <c r="F19192" s="58"/>
      <c r="G19192" s="126">
        <f t="shared" si="439"/>
        <v>-3000</v>
      </c>
      <c r="H19192" s="705" t="s">
        <v>12833</v>
      </c>
    </row>
    <row r="19193" spans="1:8" ht="15" x14ac:dyDescent="0.2">
      <c r="A19193" s="734">
        <v>45409</v>
      </c>
      <c r="B19193" s="41" t="s">
        <v>103</v>
      </c>
      <c r="C19193" s="63" t="s">
        <v>103</v>
      </c>
      <c r="D19193" s="108" t="s">
        <v>10211</v>
      </c>
      <c r="E19193" s="58">
        <v>3000</v>
      </c>
      <c r="F19193" s="58"/>
      <c r="G19193" s="126">
        <f t="shared" si="439"/>
        <v>-3000</v>
      </c>
      <c r="H19193" s="705" t="s">
        <v>12833</v>
      </c>
    </row>
    <row r="19194" spans="1:8" ht="15" x14ac:dyDescent="0.2">
      <c r="A19194" s="734">
        <v>45409</v>
      </c>
      <c r="B19194" s="41" t="s">
        <v>11738</v>
      </c>
      <c r="C19194" s="63" t="s">
        <v>1495</v>
      </c>
      <c r="D19194" s="108" t="s">
        <v>12961</v>
      </c>
      <c r="E19194" s="58">
        <v>4320</v>
      </c>
      <c r="F19194" s="58"/>
      <c r="G19194" s="126">
        <f t="shared" si="439"/>
        <v>-4320</v>
      </c>
      <c r="H19194" s="705" t="s">
        <v>12833</v>
      </c>
    </row>
    <row r="19195" spans="1:8" ht="15" x14ac:dyDescent="0.2">
      <c r="A19195" s="734">
        <v>45409</v>
      </c>
      <c r="B19195" s="41" t="s">
        <v>12723</v>
      </c>
      <c r="C19195" s="63" t="s">
        <v>5741</v>
      </c>
      <c r="D19195" s="108" t="s">
        <v>370</v>
      </c>
      <c r="E19195" s="58">
        <v>1000</v>
      </c>
      <c r="F19195" s="58"/>
      <c r="G19195" s="126">
        <f t="shared" si="439"/>
        <v>-1000</v>
      </c>
      <c r="H19195" s="705" t="s">
        <v>12833</v>
      </c>
    </row>
    <row r="19196" spans="1:8" ht="15" x14ac:dyDescent="0.2">
      <c r="A19196" s="734">
        <v>45409</v>
      </c>
      <c r="B19196" s="41" t="s">
        <v>11897</v>
      </c>
      <c r="C19196" s="63" t="s">
        <v>10993</v>
      </c>
      <c r="D19196" s="108" t="s">
        <v>4309</v>
      </c>
      <c r="E19196" s="58">
        <v>3470</v>
      </c>
      <c r="F19196" s="58"/>
      <c r="G19196" s="126">
        <f t="shared" si="439"/>
        <v>-3470</v>
      </c>
      <c r="H19196" s="705" t="s">
        <v>12833</v>
      </c>
    </row>
    <row r="19197" spans="1:8" ht="15" x14ac:dyDescent="0.2">
      <c r="A19197" s="734">
        <v>45409</v>
      </c>
      <c r="B19197" s="41" t="s">
        <v>11897</v>
      </c>
      <c r="C19197" s="63" t="s">
        <v>392</v>
      </c>
      <c r="D19197" s="108" t="s">
        <v>12963</v>
      </c>
      <c r="E19197" s="58">
        <v>4500</v>
      </c>
      <c r="F19197" s="58"/>
      <c r="G19197" s="126">
        <f t="shared" ref="G19197" si="440">F19197-E19197</f>
        <v>-4500</v>
      </c>
      <c r="H19197" s="705" t="s">
        <v>12833</v>
      </c>
    </row>
    <row r="19198" spans="1:8" ht="15" x14ac:dyDescent="0.2">
      <c r="A19198" s="734">
        <v>45409</v>
      </c>
      <c r="B19198" s="41" t="s">
        <v>11738</v>
      </c>
      <c r="C19198" s="63" t="s">
        <v>12966</v>
      </c>
      <c r="D19198" s="108" t="s">
        <v>12964</v>
      </c>
      <c r="E19198" s="58"/>
      <c r="F19198" s="58">
        <v>-500000</v>
      </c>
      <c r="G19198" s="126">
        <f t="shared" ref="G19198:G19199" si="441">F19198-E19198</f>
        <v>-500000</v>
      </c>
      <c r="H19198" s="705" t="s">
        <v>12833</v>
      </c>
    </row>
    <row r="19199" spans="1:8" ht="15" x14ac:dyDescent="0.2">
      <c r="A19199" s="734">
        <v>45409</v>
      </c>
      <c r="B19199" s="41" t="s">
        <v>11738</v>
      </c>
      <c r="C19199" s="63" t="s">
        <v>12966</v>
      </c>
      <c r="D19199" s="108" t="s">
        <v>12965</v>
      </c>
      <c r="E19199" s="58"/>
      <c r="F19199" s="58">
        <v>-500000</v>
      </c>
      <c r="G19199" s="126">
        <f t="shared" si="441"/>
        <v>-500000</v>
      </c>
      <c r="H19199" s="705" t="s">
        <v>12833</v>
      </c>
    </row>
    <row r="19200" spans="1:8" ht="15" x14ac:dyDescent="0.2">
      <c r="A19200" s="734">
        <v>45411</v>
      </c>
      <c r="B19200" s="41" t="s">
        <v>11093</v>
      </c>
      <c r="C19200" s="63" t="s">
        <v>5741</v>
      </c>
      <c r="D19200" s="108" t="s">
        <v>370</v>
      </c>
      <c r="E19200" s="58">
        <v>250</v>
      </c>
      <c r="F19200" s="58"/>
      <c r="G19200" s="126">
        <f t="shared" ref="G19200:G19208" si="442">F19200-E19200</f>
        <v>-250</v>
      </c>
      <c r="H19200" s="705" t="s">
        <v>12833</v>
      </c>
    </row>
    <row r="19201" spans="1:8" ht="15" x14ac:dyDescent="0.2">
      <c r="A19201" s="734">
        <v>45411</v>
      </c>
      <c r="B19201" s="41" t="s">
        <v>103</v>
      </c>
      <c r="C19201" s="63" t="s">
        <v>103</v>
      </c>
      <c r="D19201" s="108" t="s">
        <v>10211</v>
      </c>
      <c r="E19201" s="58">
        <v>1500</v>
      </c>
      <c r="F19201" s="58"/>
      <c r="G19201" s="126">
        <f t="shared" si="442"/>
        <v>-1500</v>
      </c>
      <c r="H19201" s="705" t="s">
        <v>12833</v>
      </c>
    </row>
    <row r="19202" spans="1:8" ht="15" x14ac:dyDescent="0.2">
      <c r="A19202" s="734">
        <v>45411</v>
      </c>
      <c r="B19202" s="41" t="s">
        <v>11897</v>
      </c>
      <c r="C19202" s="63" t="s">
        <v>5741</v>
      </c>
      <c r="D19202" s="108" t="s">
        <v>370</v>
      </c>
      <c r="E19202" s="58">
        <v>700</v>
      </c>
      <c r="F19202" s="58"/>
      <c r="G19202" s="126">
        <f t="shared" si="442"/>
        <v>-700</v>
      </c>
      <c r="H19202" s="705" t="s">
        <v>12833</v>
      </c>
    </row>
    <row r="19203" spans="1:8" ht="15" x14ac:dyDescent="0.2">
      <c r="A19203" s="734">
        <v>45411</v>
      </c>
      <c r="B19203" s="41" t="s">
        <v>103</v>
      </c>
      <c r="C19203" s="63" t="s">
        <v>8150</v>
      </c>
      <c r="D19203" s="108" t="s">
        <v>6337</v>
      </c>
      <c r="E19203" s="58">
        <v>18585</v>
      </c>
      <c r="F19203" s="58"/>
      <c r="G19203" s="126">
        <f t="shared" si="442"/>
        <v>-18585</v>
      </c>
      <c r="H19203" s="705" t="s">
        <v>12833</v>
      </c>
    </row>
    <row r="19204" spans="1:8" ht="15" x14ac:dyDescent="0.2">
      <c r="A19204" s="734">
        <v>45411</v>
      </c>
      <c r="B19204" s="41" t="s">
        <v>25</v>
      </c>
      <c r="C19204" s="63" t="s">
        <v>8150</v>
      </c>
      <c r="D19204" s="108" t="s">
        <v>6337</v>
      </c>
      <c r="E19204" s="58">
        <v>49024</v>
      </c>
      <c r="F19204" s="58"/>
      <c r="G19204" s="126">
        <f t="shared" si="442"/>
        <v>-49024</v>
      </c>
      <c r="H19204" s="705" t="s">
        <v>12833</v>
      </c>
    </row>
    <row r="19205" spans="1:8" ht="15" x14ac:dyDescent="0.2">
      <c r="A19205" s="734">
        <v>45411</v>
      </c>
      <c r="B19205" s="41" t="s">
        <v>12960</v>
      </c>
      <c r="C19205" s="63" t="s">
        <v>5741</v>
      </c>
      <c r="D19205" s="108" t="s">
        <v>370</v>
      </c>
      <c r="E19205" s="58">
        <v>2000</v>
      </c>
      <c r="F19205" s="58"/>
      <c r="G19205" s="126">
        <f t="shared" si="442"/>
        <v>-2000</v>
      </c>
      <c r="H19205" s="705" t="s">
        <v>12833</v>
      </c>
    </row>
    <row r="19206" spans="1:8" ht="15" x14ac:dyDescent="0.2">
      <c r="A19206" s="734">
        <v>45411</v>
      </c>
      <c r="B19206" s="41" t="s">
        <v>103</v>
      </c>
      <c r="C19206" s="63" t="s">
        <v>103</v>
      </c>
      <c r="D19206" s="108" t="s">
        <v>12967</v>
      </c>
      <c r="E19206" s="58">
        <v>5000</v>
      </c>
      <c r="F19206" s="58"/>
      <c r="G19206" s="126">
        <f t="shared" si="442"/>
        <v>-5000</v>
      </c>
      <c r="H19206" s="705" t="s">
        <v>12833</v>
      </c>
    </row>
    <row r="19207" spans="1:8" ht="15" x14ac:dyDescent="0.2">
      <c r="A19207" s="734">
        <v>45411</v>
      </c>
      <c r="B19207" s="41" t="s">
        <v>103</v>
      </c>
      <c r="C19207" s="63" t="s">
        <v>103</v>
      </c>
      <c r="D19207" s="108" t="s">
        <v>12968</v>
      </c>
      <c r="E19207" s="58">
        <v>850</v>
      </c>
      <c r="F19207" s="58"/>
      <c r="G19207" s="126">
        <f t="shared" si="442"/>
        <v>-850</v>
      </c>
      <c r="H19207" s="705" t="s">
        <v>12833</v>
      </c>
    </row>
    <row r="19208" spans="1:8" ht="15" x14ac:dyDescent="0.2">
      <c r="A19208" s="734">
        <v>45411</v>
      </c>
      <c r="B19208" s="41" t="s">
        <v>11089</v>
      </c>
      <c r="C19208" s="63" t="s">
        <v>10993</v>
      </c>
      <c r="D19208" s="108" t="s">
        <v>9917</v>
      </c>
      <c r="E19208" s="58">
        <v>16200</v>
      </c>
      <c r="F19208" s="58"/>
      <c r="G19208" s="126">
        <f t="shared" si="442"/>
        <v>-16200</v>
      </c>
      <c r="H19208" s="705" t="s">
        <v>12833</v>
      </c>
    </row>
    <row r="19209" spans="1:8" ht="15" x14ac:dyDescent="0.2">
      <c r="A19209" s="734">
        <v>45412</v>
      </c>
      <c r="B19209" s="41" t="s">
        <v>103</v>
      </c>
      <c r="C19209" s="63" t="s">
        <v>392</v>
      </c>
      <c r="D19209" s="108" t="s">
        <v>1291</v>
      </c>
      <c r="E19209" s="58">
        <v>400</v>
      </c>
      <c r="F19209" s="58"/>
      <c r="G19209" s="126">
        <f t="shared" ref="G19209:G19213" si="443">F19209-E19209</f>
        <v>-400</v>
      </c>
      <c r="H19209" s="705" t="s">
        <v>12833</v>
      </c>
    </row>
    <row r="19210" spans="1:8" ht="15" x14ac:dyDescent="0.2">
      <c r="A19210" s="734">
        <v>45412</v>
      </c>
      <c r="B19210" s="41" t="s">
        <v>8559</v>
      </c>
      <c r="C19210" s="63" t="s">
        <v>11975</v>
      </c>
      <c r="D19210" s="108" t="s">
        <v>1157</v>
      </c>
      <c r="E19210" s="58">
        <v>5000</v>
      </c>
      <c r="F19210" s="58"/>
      <c r="G19210" s="126">
        <f t="shared" si="443"/>
        <v>-5000</v>
      </c>
      <c r="H19210" s="705" t="s">
        <v>12833</v>
      </c>
    </row>
    <row r="19211" spans="1:8" ht="15" x14ac:dyDescent="0.2">
      <c r="A19211" s="734">
        <v>45412</v>
      </c>
      <c r="B19211" s="41" t="s">
        <v>103</v>
      </c>
      <c r="C19211" s="63" t="s">
        <v>103</v>
      </c>
      <c r="D19211" s="108" t="s">
        <v>10211</v>
      </c>
      <c r="E19211" s="58">
        <v>4000</v>
      </c>
      <c r="F19211" s="58"/>
      <c r="G19211" s="126">
        <f t="shared" si="443"/>
        <v>-4000</v>
      </c>
      <c r="H19211" s="705" t="s">
        <v>12833</v>
      </c>
    </row>
    <row r="19212" spans="1:8" ht="15" x14ac:dyDescent="0.2">
      <c r="A19212" s="734">
        <v>45412</v>
      </c>
      <c r="B19212" s="41" t="s">
        <v>11738</v>
      </c>
      <c r="C19212" s="63" t="s">
        <v>5741</v>
      </c>
      <c r="D19212" s="108" t="s">
        <v>370</v>
      </c>
      <c r="E19212" s="58">
        <v>1600</v>
      </c>
      <c r="F19212" s="58"/>
      <c r="G19212" s="126">
        <f t="shared" si="443"/>
        <v>-1600</v>
      </c>
      <c r="H19212" s="705" t="s">
        <v>12833</v>
      </c>
    </row>
    <row r="19213" spans="1:8" ht="15" x14ac:dyDescent="0.2">
      <c r="A19213" s="734">
        <v>45412</v>
      </c>
      <c r="B19213" s="41" t="s">
        <v>12532</v>
      </c>
      <c r="C19213" s="63" t="s">
        <v>10993</v>
      </c>
      <c r="D19213" s="108" t="s">
        <v>5136</v>
      </c>
      <c r="E19213" s="58">
        <v>56283</v>
      </c>
      <c r="F19213" s="58"/>
      <c r="G19213" s="126">
        <f t="shared" si="443"/>
        <v>-56283</v>
      </c>
      <c r="H19213" s="705" t="s">
        <v>12833</v>
      </c>
    </row>
    <row r="19214" spans="1:8" ht="15" x14ac:dyDescent="0.2">
      <c r="A19214" s="734">
        <v>45412</v>
      </c>
      <c r="B19214" s="41" t="s">
        <v>6505</v>
      </c>
      <c r="C19214" s="670" t="s">
        <v>10993</v>
      </c>
      <c r="D19214" s="913" t="s">
        <v>12969</v>
      </c>
      <c r="E19214" s="585">
        <v>9075</v>
      </c>
      <c r="F19214" s="58"/>
      <c r="G19214" s="126">
        <f t="shared" ref="G19214:G19217" si="444">F19214-E19214</f>
        <v>-9075</v>
      </c>
      <c r="H19214" s="705" t="s">
        <v>12833</v>
      </c>
    </row>
    <row r="19215" spans="1:8" ht="15" x14ac:dyDescent="0.2">
      <c r="A19215" s="734">
        <v>45412</v>
      </c>
      <c r="B19215" s="41" t="s">
        <v>10179</v>
      </c>
      <c r="C19215" s="670" t="s">
        <v>10993</v>
      </c>
      <c r="D19215" s="913" t="s">
        <v>12969</v>
      </c>
      <c r="E19215" s="585">
        <v>3750</v>
      </c>
      <c r="F19215" s="58"/>
      <c r="G19215" s="126">
        <f t="shared" si="444"/>
        <v>-3750</v>
      </c>
      <c r="H19215" s="705" t="s">
        <v>12833</v>
      </c>
    </row>
    <row r="19216" spans="1:8" ht="15" x14ac:dyDescent="0.2">
      <c r="A19216" s="734">
        <v>45412</v>
      </c>
      <c r="B19216" s="41" t="s">
        <v>12532</v>
      </c>
      <c r="C19216" s="670" t="s">
        <v>10993</v>
      </c>
      <c r="D19216" s="913" t="s">
        <v>12969</v>
      </c>
      <c r="E19216" s="585">
        <v>56055</v>
      </c>
      <c r="F19216" s="58"/>
      <c r="G19216" s="126">
        <f t="shared" si="444"/>
        <v>-56055</v>
      </c>
      <c r="H19216" s="705" t="s">
        <v>12833</v>
      </c>
    </row>
    <row r="19217" spans="1:8" ht="15" x14ac:dyDescent="0.2">
      <c r="A19217" s="734">
        <v>45412</v>
      </c>
      <c r="B19217" s="41" t="s">
        <v>12372</v>
      </c>
      <c r="C19217" s="63" t="s">
        <v>10993</v>
      </c>
      <c r="D19217" s="108" t="s">
        <v>5136</v>
      </c>
      <c r="E19217" s="58">
        <v>31160</v>
      </c>
      <c r="F19217" s="58"/>
      <c r="G19217" s="126">
        <f t="shared" si="444"/>
        <v>-31160</v>
      </c>
      <c r="H19217" s="705" t="s">
        <v>12833</v>
      </c>
    </row>
    <row r="19218" spans="1:8" ht="15" x14ac:dyDescent="0.2">
      <c r="A19218" s="734">
        <v>45412</v>
      </c>
      <c r="B19218" s="41" t="s">
        <v>25</v>
      </c>
      <c r="C19218" s="63" t="s">
        <v>392</v>
      </c>
      <c r="D19218" s="108" t="s">
        <v>12970</v>
      </c>
      <c r="E19218" s="58">
        <v>59160</v>
      </c>
      <c r="F19218" s="58"/>
      <c r="G19218" s="126">
        <f t="shared" ref="G19218:G19221" si="445">F19218-E19218</f>
        <v>-59160</v>
      </c>
      <c r="H19218" s="705" t="s">
        <v>12833</v>
      </c>
    </row>
    <row r="19219" spans="1:8" ht="15" x14ac:dyDescent="0.2">
      <c r="A19219" s="734">
        <v>45412</v>
      </c>
      <c r="B19219" s="41" t="s">
        <v>12713</v>
      </c>
      <c r="C19219" s="63" t="s">
        <v>12971</v>
      </c>
      <c r="D19219" s="108" t="s">
        <v>12972</v>
      </c>
      <c r="E19219" s="58">
        <v>1000000</v>
      </c>
      <c r="F19219" s="58"/>
      <c r="G19219" s="126">
        <f t="shared" si="445"/>
        <v>-1000000</v>
      </c>
      <c r="H19219" s="705" t="s">
        <v>12833</v>
      </c>
    </row>
    <row r="19220" spans="1:8" ht="15" x14ac:dyDescent="0.2">
      <c r="A19220" s="734">
        <v>45412</v>
      </c>
      <c r="B19220" s="45"/>
      <c r="C19220" s="63" t="s">
        <v>379</v>
      </c>
      <c r="D19220" s="108" t="s">
        <v>12461</v>
      </c>
      <c r="E19220" s="58">
        <v>300000</v>
      </c>
      <c r="F19220" s="58"/>
      <c r="G19220" s="126">
        <f t="shared" si="445"/>
        <v>-300000</v>
      </c>
      <c r="H19220" s="705" t="s">
        <v>12833</v>
      </c>
    </row>
    <row r="19221" spans="1:8" ht="15" x14ac:dyDescent="0.2">
      <c r="A19221" s="734">
        <v>45412</v>
      </c>
      <c r="B19221" s="41" t="s">
        <v>12532</v>
      </c>
      <c r="C19221" s="63" t="s">
        <v>11725</v>
      </c>
      <c r="D19221" s="108" t="s">
        <v>12461</v>
      </c>
      <c r="E19221" s="58">
        <v>26000</v>
      </c>
      <c r="F19221" s="58"/>
      <c r="G19221" s="126">
        <f t="shared" si="445"/>
        <v>-26000</v>
      </c>
      <c r="H19221" s="705" t="s">
        <v>12833</v>
      </c>
    </row>
    <row r="19222" spans="1:8" ht="15" x14ac:dyDescent="0.2">
      <c r="A19222" s="734">
        <v>45412</v>
      </c>
      <c r="B19222" s="41" t="s">
        <v>3946</v>
      </c>
      <c r="C19222" s="63" t="s">
        <v>12974</v>
      </c>
      <c r="D19222" s="108" t="s">
        <v>12973</v>
      </c>
      <c r="E19222" s="58">
        <v>100000</v>
      </c>
      <c r="F19222" s="58"/>
      <c r="G19222" s="126">
        <f t="shared" ref="G19222" si="446">F19222-E19222</f>
        <v>-100000</v>
      </c>
      <c r="H19222" s="705" t="s">
        <v>12833</v>
      </c>
    </row>
    <row r="19223" spans="1:8" ht="15" x14ac:dyDescent="0.2">
      <c r="A19223" s="733">
        <v>45385</v>
      </c>
      <c r="B19223" s="174" t="s">
        <v>11089</v>
      </c>
      <c r="C19223" s="174" t="s">
        <v>12567</v>
      </c>
      <c r="D19223" s="228" t="s">
        <v>12857</v>
      </c>
      <c r="E19223" s="236">
        <v>1173000</v>
      </c>
      <c r="F19223" s="236"/>
      <c r="G19223" s="236">
        <f t="shared" ref="G19223" si="447">F19223-E19223</f>
        <v>-1173000</v>
      </c>
      <c r="H19223" s="709" t="s">
        <v>12833</v>
      </c>
    </row>
    <row r="19224" spans="1:8" ht="15" x14ac:dyDescent="0.2">
      <c r="A19224" s="733">
        <v>45407</v>
      </c>
      <c r="B19224" s="174" t="s">
        <v>37</v>
      </c>
      <c r="C19224" s="551" t="s">
        <v>3003</v>
      </c>
      <c r="D19224" s="740" t="s">
        <v>12936</v>
      </c>
      <c r="E19224" s="552">
        <v>20528</v>
      </c>
      <c r="F19224" s="236"/>
      <c r="G19224" s="236">
        <f t="shared" ref="G19224:G19228" si="448">F19224-E19224</f>
        <v>-20528</v>
      </c>
      <c r="H19224" s="709" t="s">
        <v>12833</v>
      </c>
    </row>
    <row r="19225" spans="1:8" ht="15" x14ac:dyDescent="0.2">
      <c r="A19225" s="733">
        <v>45407</v>
      </c>
      <c r="B19225" s="174" t="s">
        <v>3945</v>
      </c>
      <c r="C19225" s="551" t="s">
        <v>3003</v>
      </c>
      <c r="D19225" s="740" t="s">
        <v>12936</v>
      </c>
      <c r="E19225" s="552">
        <v>35367</v>
      </c>
      <c r="F19225" s="236"/>
      <c r="G19225" s="236">
        <f t="shared" si="448"/>
        <v>-35367</v>
      </c>
      <c r="H19225" s="709" t="s">
        <v>12833</v>
      </c>
    </row>
    <row r="19226" spans="1:8" ht="15" x14ac:dyDescent="0.2">
      <c r="A19226" s="733">
        <v>45407</v>
      </c>
      <c r="B19226" s="174" t="s">
        <v>3946</v>
      </c>
      <c r="C19226" s="551" t="s">
        <v>3003</v>
      </c>
      <c r="D19226" s="740" t="s">
        <v>12936</v>
      </c>
      <c r="E19226" s="552">
        <v>32760</v>
      </c>
      <c r="F19226" s="236"/>
      <c r="G19226" s="236">
        <f t="shared" si="448"/>
        <v>-32760</v>
      </c>
      <c r="H19226" s="709" t="s">
        <v>12833</v>
      </c>
    </row>
    <row r="19227" spans="1:8" ht="15" x14ac:dyDescent="0.2">
      <c r="A19227" s="733">
        <v>45407</v>
      </c>
      <c r="B19227" s="174" t="s">
        <v>12532</v>
      </c>
      <c r="C19227" s="551" t="s">
        <v>3003</v>
      </c>
      <c r="D19227" s="740" t="s">
        <v>12936</v>
      </c>
      <c r="E19227" s="552">
        <v>107920</v>
      </c>
      <c r="F19227" s="236"/>
      <c r="G19227" s="236">
        <f t="shared" si="448"/>
        <v>-107920</v>
      </c>
      <c r="H19227" s="709" t="s">
        <v>12833</v>
      </c>
    </row>
    <row r="19228" spans="1:8" ht="24" x14ac:dyDescent="0.2">
      <c r="A19228" s="733">
        <v>45407</v>
      </c>
      <c r="B19228" s="174" t="s">
        <v>11738</v>
      </c>
      <c r="C19228" s="551" t="s">
        <v>3003</v>
      </c>
      <c r="D19228" s="740" t="s">
        <v>12937</v>
      </c>
      <c r="E19228" s="552">
        <v>100356</v>
      </c>
      <c r="F19228" s="236"/>
      <c r="G19228" s="236">
        <f t="shared" si="448"/>
        <v>-100356</v>
      </c>
      <c r="H19228" s="709" t="s">
        <v>12833</v>
      </c>
    </row>
    <row r="19229" spans="1:8" ht="24" x14ac:dyDescent="0.2">
      <c r="A19229" s="733">
        <v>45408</v>
      </c>
      <c r="B19229" s="174" t="s">
        <v>12634</v>
      </c>
      <c r="C19229" s="174" t="s">
        <v>12933</v>
      </c>
      <c r="D19229" s="228" t="s">
        <v>12934</v>
      </c>
      <c r="E19229" s="236">
        <v>179360</v>
      </c>
      <c r="F19229" s="236"/>
      <c r="G19229" s="236">
        <f t="shared" ref="G19229:G19230" si="449">F19229-E19229</f>
        <v>-179360</v>
      </c>
      <c r="H19229" s="709" t="s">
        <v>12833</v>
      </c>
    </row>
    <row r="19230" spans="1:8" ht="24" x14ac:dyDescent="0.2">
      <c r="A19230" s="733">
        <v>45408</v>
      </c>
      <c r="B19230" s="174" t="s">
        <v>8043</v>
      </c>
      <c r="C19230" s="174" t="s">
        <v>10979</v>
      </c>
      <c r="D19230" s="228" t="s">
        <v>12935</v>
      </c>
      <c r="E19230" s="236">
        <v>215940</v>
      </c>
      <c r="F19230" s="236"/>
      <c r="G19230" s="236">
        <f t="shared" si="449"/>
        <v>-215940</v>
      </c>
      <c r="H19230" s="709" t="s">
        <v>12833</v>
      </c>
    </row>
    <row r="19231" spans="1:8" ht="15" x14ac:dyDescent="0.2">
      <c r="A19231" s="730">
        <v>45384</v>
      </c>
      <c r="B19231" s="91" t="s">
        <v>6505</v>
      </c>
      <c r="C19231" s="94" t="s">
        <v>559</v>
      </c>
      <c r="D19231" s="801" t="s">
        <v>12823</v>
      </c>
      <c r="E19231" s="92"/>
      <c r="F19231" s="92">
        <v>1000000</v>
      </c>
      <c r="G19231" s="92">
        <f t="shared" si="410"/>
        <v>1000000</v>
      </c>
      <c r="H19231" s="702" t="s">
        <v>12833</v>
      </c>
    </row>
    <row r="19232" spans="1:8" ht="15" x14ac:dyDescent="0.2">
      <c r="A19232" s="730">
        <v>45384</v>
      </c>
      <c r="B19232" s="91" t="s">
        <v>6505</v>
      </c>
      <c r="C19232" s="94" t="s">
        <v>559</v>
      </c>
      <c r="D19232" s="801" t="s">
        <v>12823</v>
      </c>
      <c r="E19232" s="92"/>
      <c r="F19232" s="92">
        <v>1000000</v>
      </c>
      <c r="G19232" s="92">
        <f>F19232-E19232</f>
        <v>1000000</v>
      </c>
      <c r="H19232" s="702" t="s">
        <v>12833</v>
      </c>
    </row>
    <row r="19233" spans="1:8" ht="15" x14ac:dyDescent="0.2">
      <c r="A19233" s="730">
        <v>45385</v>
      </c>
      <c r="B19233" s="91" t="s">
        <v>11897</v>
      </c>
      <c r="C19233" s="94" t="s">
        <v>559</v>
      </c>
      <c r="D19233" s="801" t="s">
        <v>12841</v>
      </c>
      <c r="E19233" s="92"/>
      <c r="F19233" s="92">
        <v>1310000</v>
      </c>
      <c r="G19233" s="92">
        <f t="shared" ref="G19233:G19240" si="450">F19233-E19233</f>
        <v>1310000</v>
      </c>
      <c r="H19233" s="702" t="s">
        <v>12833</v>
      </c>
    </row>
    <row r="19234" spans="1:8" ht="15" x14ac:dyDescent="0.2">
      <c r="A19234" s="730">
        <v>45385</v>
      </c>
      <c r="B19234" s="91" t="s">
        <v>11897</v>
      </c>
      <c r="C19234" s="94" t="s">
        <v>559</v>
      </c>
      <c r="D19234" s="801" t="s">
        <v>12842</v>
      </c>
      <c r="E19234" s="92"/>
      <c r="F19234" s="92">
        <v>1173000</v>
      </c>
      <c r="G19234" s="92">
        <f t="shared" si="450"/>
        <v>1173000</v>
      </c>
      <c r="H19234" s="702" t="s">
        <v>12833</v>
      </c>
    </row>
    <row r="19235" spans="1:8" ht="15" x14ac:dyDescent="0.2">
      <c r="A19235" s="730">
        <v>45385</v>
      </c>
      <c r="B19235" s="91" t="s">
        <v>8868</v>
      </c>
      <c r="C19235" s="94" t="s">
        <v>559</v>
      </c>
      <c r="D19235" s="801" t="s">
        <v>12841</v>
      </c>
      <c r="E19235" s="92"/>
      <c r="F19235" s="92">
        <v>500000</v>
      </c>
      <c r="G19235" s="92">
        <f t="shared" si="450"/>
        <v>500000</v>
      </c>
      <c r="H19235" s="702" t="s">
        <v>12833</v>
      </c>
    </row>
    <row r="19236" spans="1:8" ht="15" x14ac:dyDescent="0.2">
      <c r="A19236" s="730">
        <v>45385</v>
      </c>
      <c r="B19236" s="91" t="s">
        <v>9356</v>
      </c>
      <c r="C19236" s="94" t="s">
        <v>559</v>
      </c>
      <c r="D19236" s="801" t="s">
        <v>12864</v>
      </c>
      <c r="E19236" s="92"/>
      <c r="F19236" s="92">
        <v>999000</v>
      </c>
      <c r="G19236" s="92">
        <f t="shared" si="450"/>
        <v>999000</v>
      </c>
      <c r="H19236" s="702" t="s">
        <v>12833</v>
      </c>
    </row>
    <row r="19237" spans="1:8" ht="15" x14ac:dyDescent="0.2">
      <c r="A19237" s="730">
        <v>45385</v>
      </c>
      <c r="B19237" s="91" t="s">
        <v>9356</v>
      </c>
      <c r="C19237" s="94" t="s">
        <v>559</v>
      </c>
      <c r="D19237" s="801" t="s">
        <v>12864</v>
      </c>
      <c r="E19237" s="92"/>
      <c r="F19237" s="92">
        <v>999000</v>
      </c>
      <c r="G19237" s="92">
        <f t="shared" si="450"/>
        <v>999000</v>
      </c>
      <c r="H19237" s="702" t="s">
        <v>12833</v>
      </c>
    </row>
    <row r="19238" spans="1:8" ht="15" x14ac:dyDescent="0.2">
      <c r="A19238" s="730">
        <v>45385</v>
      </c>
      <c r="B19238" s="91" t="s">
        <v>9356</v>
      </c>
      <c r="C19238" s="94" t="s">
        <v>559</v>
      </c>
      <c r="D19238" s="801" t="s">
        <v>12864</v>
      </c>
      <c r="E19238" s="92"/>
      <c r="F19238" s="92">
        <v>999000</v>
      </c>
      <c r="G19238" s="92">
        <f t="shared" si="450"/>
        <v>999000</v>
      </c>
      <c r="H19238" s="702" t="s">
        <v>12833</v>
      </c>
    </row>
    <row r="19239" spans="1:8" ht="15" x14ac:dyDescent="0.2">
      <c r="A19239" s="730">
        <v>45385</v>
      </c>
      <c r="B19239" s="91" t="s">
        <v>9356</v>
      </c>
      <c r="C19239" s="94" t="s">
        <v>559</v>
      </c>
      <c r="D19239" s="801" t="s">
        <v>12864</v>
      </c>
      <c r="E19239" s="92"/>
      <c r="F19239" s="92">
        <v>999000</v>
      </c>
      <c r="G19239" s="92">
        <f t="shared" si="450"/>
        <v>999000</v>
      </c>
      <c r="H19239" s="702" t="s">
        <v>12833</v>
      </c>
    </row>
    <row r="19240" spans="1:8" ht="36" x14ac:dyDescent="0.2">
      <c r="A19240" s="730">
        <v>45386</v>
      </c>
      <c r="B19240" s="91" t="s">
        <v>11738</v>
      </c>
      <c r="C19240" s="94" t="s">
        <v>559</v>
      </c>
      <c r="D19240" s="898" t="s">
        <v>12909</v>
      </c>
      <c r="E19240" s="643">
        <v>28000</v>
      </c>
      <c r="F19240" s="92"/>
      <c r="G19240" s="176">
        <f t="shared" si="450"/>
        <v>-28000</v>
      </c>
      <c r="H19240" s="702" t="s">
        <v>12833</v>
      </c>
    </row>
    <row r="19241" spans="1:8" ht="15" x14ac:dyDescent="0.2">
      <c r="A19241" s="730">
        <v>45387</v>
      </c>
      <c r="B19241" s="91" t="s">
        <v>9356</v>
      </c>
      <c r="C19241" s="94" t="s">
        <v>559</v>
      </c>
      <c r="D19241" s="801" t="s">
        <v>12864</v>
      </c>
      <c r="E19241" s="92"/>
      <c r="F19241" s="92">
        <v>995000</v>
      </c>
      <c r="G19241" s="92">
        <f t="shared" ref="G19241:G19242" si="451">F19241-E19241</f>
        <v>995000</v>
      </c>
      <c r="H19241" s="702" t="s">
        <v>12833</v>
      </c>
    </row>
    <row r="19242" spans="1:8" ht="15" x14ac:dyDescent="0.2">
      <c r="A19242" s="730">
        <v>45387</v>
      </c>
      <c r="B19242" s="91" t="s">
        <v>9356</v>
      </c>
      <c r="C19242" s="94" t="s">
        <v>559</v>
      </c>
      <c r="D19242" s="801" t="s">
        <v>12864</v>
      </c>
      <c r="E19242" s="92"/>
      <c r="F19242" s="92">
        <v>995000</v>
      </c>
      <c r="G19242" s="92">
        <f t="shared" si="451"/>
        <v>995000</v>
      </c>
      <c r="H19242" s="702" t="s">
        <v>12833</v>
      </c>
    </row>
    <row r="19243" spans="1:8" ht="15" x14ac:dyDescent="0.2">
      <c r="A19243" s="730">
        <v>45387</v>
      </c>
      <c r="B19243" s="91" t="s">
        <v>9356</v>
      </c>
      <c r="C19243" s="94" t="s">
        <v>559</v>
      </c>
      <c r="D19243" s="801" t="s">
        <v>12869</v>
      </c>
      <c r="E19243" s="92"/>
      <c r="F19243" s="92">
        <v>510000</v>
      </c>
      <c r="G19243" s="92">
        <f t="shared" ref="G19243:G19244" si="452">F19243-E19243</f>
        <v>510000</v>
      </c>
      <c r="H19243" s="702" t="s">
        <v>12833</v>
      </c>
    </row>
    <row r="19244" spans="1:8" ht="15" x14ac:dyDescent="0.2">
      <c r="A19244" s="730">
        <v>45387</v>
      </c>
      <c r="B19244" s="94" t="s">
        <v>3946</v>
      </c>
      <c r="C19244" s="94" t="s">
        <v>559</v>
      </c>
      <c r="D19244" s="892" t="s">
        <v>12870</v>
      </c>
      <c r="E19244" s="176"/>
      <c r="F19244" s="176">
        <v>359992</v>
      </c>
      <c r="G19244" s="92">
        <f t="shared" si="452"/>
        <v>359992</v>
      </c>
      <c r="H19244" s="702" t="s">
        <v>12833</v>
      </c>
    </row>
    <row r="19245" spans="1:8" ht="24" x14ac:dyDescent="0.2">
      <c r="A19245" s="730">
        <v>45400</v>
      </c>
      <c r="B19245" s="94" t="s">
        <v>12723</v>
      </c>
      <c r="C19245" s="94" t="s">
        <v>559</v>
      </c>
      <c r="D19245" s="802" t="s">
        <v>12885</v>
      </c>
      <c r="E19245" s="176"/>
      <c r="F19245" s="176">
        <v>1200000</v>
      </c>
      <c r="G19245" s="176">
        <f t="shared" ref="G19245:G19248" si="453">F19245-E19245</f>
        <v>1200000</v>
      </c>
      <c r="H19245" s="702" t="s">
        <v>12833</v>
      </c>
    </row>
    <row r="19246" spans="1:8" ht="24" x14ac:dyDescent="0.2">
      <c r="A19246" s="730">
        <v>45400</v>
      </c>
      <c r="B19246" s="94" t="s">
        <v>11093</v>
      </c>
      <c r="C19246" s="94" t="s">
        <v>559</v>
      </c>
      <c r="D19246" s="802" t="s">
        <v>12885</v>
      </c>
      <c r="E19246" s="176"/>
      <c r="F19246" s="176">
        <v>1500000</v>
      </c>
      <c r="G19246" s="176">
        <f t="shared" si="453"/>
        <v>1500000</v>
      </c>
      <c r="H19246" s="702" t="s">
        <v>12833</v>
      </c>
    </row>
    <row r="19247" spans="1:8" ht="15" x14ac:dyDescent="0.2">
      <c r="A19247" s="730">
        <v>45400</v>
      </c>
      <c r="B19247" s="94" t="s">
        <v>11446</v>
      </c>
      <c r="C19247" s="94" t="s">
        <v>559</v>
      </c>
      <c r="D19247" s="802" t="s">
        <v>12884</v>
      </c>
      <c r="E19247" s="176"/>
      <c r="F19247" s="92">
        <v>2098980</v>
      </c>
      <c r="G19247" s="92">
        <f t="shared" si="453"/>
        <v>2098980</v>
      </c>
      <c r="H19247" s="702" t="s">
        <v>12833</v>
      </c>
    </row>
    <row r="19248" spans="1:8" s="682" customFormat="1" ht="24" x14ac:dyDescent="0.25">
      <c r="A19248" s="730">
        <v>45400</v>
      </c>
      <c r="B19248" s="94" t="s">
        <v>11897</v>
      </c>
      <c r="C19248" s="94" t="s">
        <v>559</v>
      </c>
      <c r="D19248" s="802" t="s">
        <v>12886</v>
      </c>
      <c r="E19248" s="176"/>
      <c r="F19248" s="176">
        <v>10000000</v>
      </c>
      <c r="G19248" s="176">
        <f t="shared" si="453"/>
        <v>10000000</v>
      </c>
      <c r="H19248" s="702" t="s">
        <v>12833</v>
      </c>
    </row>
    <row r="19249" spans="1:8" ht="24" x14ac:dyDescent="0.2">
      <c r="A19249" s="730">
        <v>45404</v>
      </c>
      <c r="B19249" s="94" t="s">
        <v>10232</v>
      </c>
      <c r="C19249" s="94" t="s">
        <v>559</v>
      </c>
      <c r="D19249" s="802" t="s">
        <v>12930</v>
      </c>
      <c r="E19249" s="176"/>
      <c r="F19249" s="176">
        <v>200000</v>
      </c>
      <c r="G19249" s="176">
        <f t="shared" ref="G19249" si="454">F19249-E19249</f>
        <v>200000</v>
      </c>
      <c r="H19249" s="702" t="s">
        <v>12833</v>
      </c>
    </row>
    <row r="19250" spans="1:8" ht="24" x14ac:dyDescent="0.2">
      <c r="A19250" s="730">
        <v>45406</v>
      </c>
      <c r="B19250" s="94" t="s">
        <v>10232</v>
      </c>
      <c r="C19250" s="94" t="s">
        <v>559</v>
      </c>
      <c r="D19250" s="802" t="s">
        <v>12930</v>
      </c>
      <c r="E19250" s="176"/>
      <c r="F19250" s="176">
        <v>400000</v>
      </c>
      <c r="G19250" s="176">
        <f t="shared" ref="G19250:G19289" si="455">F19250-E19250</f>
        <v>400000</v>
      </c>
      <c r="H19250" s="702" t="s">
        <v>12833</v>
      </c>
    </row>
    <row r="19251" spans="1:8" ht="24" x14ac:dyDescent="0.2">
      <c r="A19251" s="730">
        <v>45406</v>
      </c>
      <c r="B19251" s="94" t="s">
        <v>10232</v>
      </c>
      <c r="C19251" s="94" t="s">
        <v>559</v>
      </c>
      <c r="D19251" s="802" t="s">
        <v>12930</v>
      </c>
      <c r="E19251" s="176"/>
      <c r="F19251" s="176">
        <v>800000</v>
      </c>
      <c r="G19251" s="176">
        <f t="shared" si="455"/>
        <v>800000</v>
      </c>
      <c r="H19251" s="702" t="s">
        <v>12833</v>
      </c>
    </row>
    <row r="19252" spans="1:8" ht="24" x14ac:dyDescent="0.2">
      <c r="A19252" s="730">
        <v>45406</v>
      </c>
      <c r="B19252" s="94" t="s">
        <v>10232</v>
      </c>
      <c r="C19252" s="94" t="s">
        <v>559</v>
      </c>
      <c r="D19252" s="802" t="s">
        <v>12930</v>
      </c>
      <c r="E19252" s="176"/>
      <c r="F19252" s="176">
        <v>400000</v>
      </c>
      <c r="G19252" s="176">
        <f t="shared" si="455"/>
        <v>400000</v>
      </c>
      <c r="H19252" s="702" t="s">
        <v>12833</v>
      </c>
    </row>
    <row r="19253" spans="1:8" ht="24" x14ac:dyDescent="0.2">
      <c r="A19253" s="730">
        <v>45406</v>
      </c>
      <c r="B19253" s="94" t="s">
        <v>10232</v>
      </c>
      <c r="C19253" s="94" t="s">
        <v>559</v>
      </c>
      <c r="D19253" s="802" t="s">
        <v>12930</v>
      </c>
      <c r="E19253" s="176"/>
      <c r="F19253" s="176">
        <v>463000</v>
      </c>
      <c r="G19253" s="176">
        <f t="shared" si="455"/>
        <v>463000</v>
      </c>
      <c r="H19253" s="702" t="s">
        <v>12833</v>
      </c>
    </row>
    <row r="19254" spans="1:8" ht="24" x14ac:dyDescent="0.2">
      <c r="A19254" s="730">
        <v>45406</v>
      </c>
      <c r="B19254" s="94" t="s">
        <v>10232</v>
      </c>
      <c r="C19254" s="94" t="s">
        <v>559</v>
      </c>
      <c r="D19254" s="802" t="s">
        <v>12930</v>
      </c>
      <c r="E19254" s="176"/>
      <c r="F19254" s="176">
        <v>537000</v>
      </c>
      <c r="G19254" s="176">
        <f t="shared" si="455"/>
        <v>537000</v>
      </c>
      <c r="H19254" s="702" t="s">
        <v>12833</v>
      </c>
    </row>
    <row r="19255" spans="1:8" ht="24" x14ac:dyDescent="0.2">
      <c r="A19255" s="730">
        <v>45406</v>
      </c>
      <c r="B19255" s="94" t="s">
        <v>10232</v>
      </c>
      <c r="C19255" s="94" t="s">
        <v>559</v>
      </c>
      <c r="D19255" s="802" t="s">
        <v>12930</v>
      </c>
      <c r="E19255" s="176"/>
      <c r="F19255" s="176">
        <v>800000</v>
      </c>
      <c r="G19255" s="176">
        <f t="shared" si="455"/>
        <v>800000</v>
      </c>
      <c r="H19255" s="702" t="s">
        <v>12833</v>
      </c>
    </row>
    <row r="19256" spans="1:8" ht="24" x14ac:dyDescent="0.2">
      <c r="A19256" s="730">
        <v>45406</v>
      </c>
      <c r="B19256" s="94" t="s">
        <v>10232</v>
      </c>
      <c r="C19256" s="94" t="s">
        <v>559</v>
      </c>
      <c r="D19256" s="802" t="s">
        <v>12930</v>
      </c>
      <c r="E19256" s="176"/>
      <c r="F19256" s="176">
        <v>700000</v>
      </c>
      <c r="G19256" s="176">
        <f t="shared" si="455"/>
        <v>700000</v>
      </c>
      <c r="H19256" s="702" t="s">
        <v>12833</v>
      </c>
    </row>
    <row r="19257" spans="1:8" ht="24" x14ac:dyDescent="0.2">
      <c r="A19257" s="730">
        <v>45406</v>
      </c>
      <c r="B19257" s="94" t="s">
        <v>10232</v>
      </c>
      <c r="C19257" s="94" t="s">
        <v>559</v>
      </c>
      <c r="D19257" s="802" t="s">
        <v>12930</v>
      </c>
      <c r="E19257" s="176"/>
      <c r="F19257" s="176">
        <v>300000</v>
      </c>
      <c r="G19257" s="176">
        <f t="shared" si="455"/>
        <v>300000</v>
      </c>
      <c r="H19257" s="702" t="s">
        <v>12833</v>
      </c>
    </row>
    <row r="19258" spans="1:8" ht="24" x14ac:dyDescent="0.2">
      <c r="A19258" s="730">
        <v>45406</v>
      </c>
      <c r="B19258" s="94" t="s">
        <v>6505</v>
      </c>
      <c r="C19258" s="94" t="s">
        <v>559</v>
      </c>
      <c r="D19258" s="802" t="s">
        <v>12984</v>
      </c>
      <c r="E19258" s="176"/>
      <c r="F19258" s="176">
        <v>250000</v>
      </c>
      <c r="G19258" s="176">
        <f t="shared" ref="G19258:G19261" si="456">F19258-E19258</f>
        <v>250000</v>
      </c>
      <c r="H19258" s="702" t="s">
        <v>12833</v>
      </c>
    </row>
    <row r="19259" spans="1:8" ht="24" x14ac:dyDescent="0.2">
      <c r="A19259" s="730">
        <v>45406</v>
      </c>
      <c r="B19259" s="94" t="s">
        <v>6505</v>
      </c>
      <c r="C19259" s="94" t="s">
        <v>559</v>
      </c>
      <c r="D19259" s="802" t="s">
        <v>12984</v>
      </c>
      <c r="E19259" s="176"/>
      <c r="F19259" s="176">
        <v>355000</v>
      </c>
      <c r="G19259" s="176">
        <f t="shared" si="456"/>
        <v>355000</v>
      </c>
      <c r="H19259" s="702" t="s">
        <v>12833</v>
      </c>
    </row>
    <row r="19260" spans="1:8" ht="24" x14ac:dyDescent="0.2">
      <c r="A19260" s="730">
        <v>45406</v>
      </c>
      <c r="B19260" s="94" t="s">
        <v>6505</v>
      </c>
      <c r="C19260" s="94" t="s">
        <v>559</v>
      </c>
      <c r="D19260" s="802" t="s">
        <v>12984</v>
      </c>
      <c r="E19260" s="176"/>
      <c r="F19260" s="176">
        <v>100000</v>
      </c>
      <c r="G19260" s="176">
        <f t="shared" si="456"/>
        <v>100000</v>
      </c>
      <c r="H19260" s="702" t="s">
        <v>12833</v>
      </c>
    </row>
    <row r="19261" spans="1:8" ht="24" x14ac:dyDescent="0.2">
      <c r="A19261" s="730">
        <v>45406</v>
      </c>
      <c r="B19261" s="94" t="s">
        <v>6505</v>
      </c>
      <c r="C19261" s="94" t="s">
        <v>559</v>
      </c>
      <c r="D19261" s="802" t="s">
        <v>12984</v>
      </c>
      <c r="E19261" s="176"/>
      <c r="F19261" s="176">
        <v>200000</v>
      </c>
      <c r="G19261" s="176">
        <f t="shared" si="456"/>
        <v>200000</v>
      </c>
      <c r="H19261" s="702" t="s">
        <v>12833</v>
      </c>
    </row>
    <row r="19262" spans="1:8" ht="24" x14ac:dyDescent="0.2">
      <c r="A19262" s="730">
        <v>45406</v>
      </c>
      <c r="B19262" s="94" t="s">
        <v>11089</v>
      </c>
      <c r="C19262" s="94" t="s">
        <v>559</v>
      </c>
      <c r="D19262" s="802" t="s">
        <v>12985</v>
      </c>
      <c r="E19262" s="176"/>
      <c r="F19262" s="176">
        <v>250000</v>
      </c>
      <c r="G19262" s="176">
        <f t="shared" ref="G19262:G19264" si="457">F19262-E19262</f>
        <v>250000</v>
      </c>
      <c r="H19262" s="702" t="s">
        <v>12833</v>
      </c>
    </row>
    <row r="19263" spans="1:8" ht="24" x14ac:dyDescent="0.2">
      <c r="A19263" s="730">
        <v>45406</v>
      </c>
      <c r="B19263" s="94" t="s">
        <v>11089</v>
      </c>
      <c r="C19263" s="94" t="s">
        <v>559</v>
      </c>
      <c r="D19263" s="802" t="s">
        <v>12985</v>
      </c>
      <c r="E19263" s="176"/>
      <c r="F19263" s="176">
        <v>1000000</v>
      </c>
      <c r="G19263" s="176">
        <f t="shared" si="457"/>
        <v>1000000</v>
      </c>
      <c r="H19263" s="702" t="s">
        <v>12833</v>
      </c>
    </row>
    <row r="19264" spans="1:8" ht="24" x14ac:dyDescent="0.2">
      <c r="A19264" s="730">
        <v>45406</v>
      </c>
      <c r="B19264" s="94" t="s">
        <v>11089</v>
      </c>
      <c r="C19264" s="94" t="s">
        <v>559</v>
      </c>
      <c r="D19264" s="802" t="s">
        <v>12985</v>
      </c>
      <c r="E19264" s="176"/>
      <c r="F19264" s="176">
        <v>215000</v>
      </c>
      <c r="G19264" s="176">
        <f t="shared" si="457"/>
        <v>215000</v>
      </c>
      <c r="H19264" s="702" t="s">
        <v>12833</v>
      </c>
    </row>
    <row r="19265" spans="1:8" ht="15" x14ac:dyDescent="0.2">
      <c r="A19265" s="730">
        <v>45408</v>
      </c>
      <c r="B19265" s="91" t="s">
        <v>9356</v>
      </c>
      <c r="C19265" s="94" t="s">
        <v>559</v>
      </c>
      <c r="D19265" s="801" t="s">
        <v>12931</v>
      </c>
      <c r="E19265" s="92"/>
      <c r="F19265" s="92">
        <v>179360</v>
      </c>
      <c r="G19265" s="176">
        <f t="shared" si="455"/>
        <v>179360</v>
      </c>
      <c r="H19265" s="702" t="s">
        <v>12833</v>
      </c>
    </row>
    <row r="19266" spans="1:8" ht="15" x14ac:dyDescent="0.2">
      <c r="A19266" s="730">
        <v>45408</v>
      </c>
      <c r="B19266" s="91" t="s">
        <v>9356</v>
      </c>
      <c r="C19266" s="94" t="s">
        <v>559</v>
      </c>
      <c r="D19266" s="801" t="s">
        <v>12932</v>
      </c>
      <c r="E19266" s="92"/>
      <c r="F19266" s="92">
        <v>215940</v>
      </c>
      <c r="G19266" s="176">
        <f t="shared" si="455"/>
        <v>215940</v>
      </c>
      <c r="H19266" s="702" t="s">
        <v>12833</v>
      </c>
    </row>
    <row r="19267" spans="1:8" ht="15" x14ac:dyDescent="0.2">
      <c r="A19267" s="730">
        <v>45411</v>
      </c>
      <c r="B19267" s="91" t="s">
        <v>11617</v>
      </c>
      <c r="C19267" s="94" t="s">
        <v>559</v>
      </c>
      <c r="D19267" s="801" t="s">
        <v>12938</v>
      </c>
      <c r="E19267" s="92"/>
      <c r="F19267" s="92">
        <v>8254400</v>
      </c>
      <c r="G19267" s="92">
        <f t="shared" si="455"/>
        <v>8254400</v>
      </c>
      <c r="H19267" s="702" t="s">
        <v>12833</v>
      </c>
    </row>
    <row r="19268" spans="1:8" ht="15" x14ac:dyDescent="0.2">
      <c r="A19268" s="734">
        <v>45414</v>
      </c>
      <c r="B19268" s="41" t="s">
        <v>12624</v>
      </c>
      <c r="C19268" s="63" t="s">
        <v>6476</v>
      </c>
      <c r="D19268" s="108" t="s">
        <v>10721</v>
      </c>
      <c r="E19268" s="58">
        <v>70000</v>
      </c>
      <c r="F19268" s="58"/>
      <c r="G19268" s="126">
        <f>F19268-E19268</f>
        <v>-70000</v>
      </c>
      <c r="H19268" s="705" t="s">
        <v>12975</v>
      </c>
    </row>
    <row r="19269" spans="1:8" ht="15" x14ac:dyDescent="0.2">
      <c r="A19269" s="734">
        <v>45414</v>
      </c>
      <c r="B19269" s="41" t="s">
        <v>11738</v>
      </c>
      <c r="C19269" s="63" t="s">
        <v>10993</v>
      </c>
      <c r="D19269" s="108" t="s">
        <v>6486</v>
      </c>
      <c r="E19269" s="58">
        <v>2520</v>
      </c>
      <c r="F19269" s="58"/>
      <c r="G19269" s="126">
        <f>F19269-E19269</f>
        <v>-2520</v>
      </c>
      <c r="H19269" s="705" t="s">
        <v>12975</v>
      </c>
    </row>
    <row r="19270" spans="1:8" ht="15" x14ac:dyDescent="0.2">
      <c r="A19270" s="734">
        <v>45414</v>
      </c>
      <c r="B19270" s="41" t="s">
        <v>103</v>
      </c>
      <c r="C19270" s="63" t="s">
        <v>103</v>
      </c>
      <c r="D19270" s="108" t="s">
        <v>12976</v>
      </c>
      <c r="E19270" s="58">
        <v>1300</v>
      </c>
      <c r="F19270" s="58"/>
      <c r="G19270" s="126">
        <f t="shared" ref="G19270:G19274" si="458">F19270-E19270</f>
        <v>-1300</v>
      </c>
      <c r="H19270" s="705" t="s">
        <v>12975</v>
      </c>
    </row>
    <row r="19271" spans="1:8" ht="15" x14ac:dyDescent="0.2">
      <c r="A19271" s="734">
        <v>45414</v>
      </c>
      <c r="B19271" s="41" t="s">
        <v>11635</v>
      </c>
      <c r="C19271" s="63" t="s">
        <v>5741</v>
      </c>
      <c r="D19271" s="108" t="s">
        <v>5741</v>
      </c>
      <c r="E19271" s="58">
        <v>400</v>
      </c>
      <c r="F19271" s="58"/>
      <c r="G19271" s="126">
        <f t="shared" si="458"/>
        <v>-400</v>
      </c>
      <c r="H19271" s="705" t="s">
        <v>12975</v>
      </c>
    </row>
    <row r="19272" spans="1:8" ht="15" x14ac:dyDescent="0.2">
      <c r="A19272" s="734">
        <v>45414</v>
      </c>
      <c r="B19272" s="41" t="s">
        <v>103</v>
      </c>
      <c r="C19272" s="63" t="s">
        <v>103</v>
      </c>
      <c r="D19272" s="108" t="s">
        <v>12977</v>
      </c>
      <c r="E19272" s="58">
        <v>1500</v>
      </c>
      <c r="F19272" s="58"/>
      <c r="G19272" s="126">
        <f t="shared" si="458"/>
        <v>-1500</v>
      </c>
      <c r="H19272" s="705" t="s">
        <v>12975</v>
      </c>
    </row>
    <row r="19273" spans="1:8" ht="15" x14ac:dyDescent="0.2">
      <c r="A19273" s="734">
        <v>45414</v>
      </c>
      <c r="B19273" s="41" t="s">
        <v>11897</v>
      </c>
      <c r="C19273" s="63" t="s">
        <v>5741</v>
      </c>
      <c r="D19273" s="108" t="s">
        <v>12978</v>
      </c>
      <c r="E19273" s="58">
        <v>4000</v>
      </c>
      <c r="F19273" s="58"/>
      <c r="G19273" s="126">
        <f t="shared" si="458"/>
        <v>-4000</v>
      </c>
      <c r="H19273" s="705" t="s">
        <v>12975</v>
      </c>
    </row>
    <row r="19274" spans="1:8" ht="15" x14ac:dyDescent="0.2">
      <c r="A19274" s="734">
        <v>45414</v>
      </c>
      <c r="B19274" s="41" t="s">
        <v>11897</v>
      </c>
      <c r="C19274" s="63" t="s">
        <v>11898</v>
      </c>
      <c r="D19274" s="108" t="s">
        <v>12979</v>
      </c>
      <c r="E19274" s="58">
        <v>250000</v>
      </c>
      <c r="F19274" s="58"/>
      <c r="G19274" s="126">
        <f t="shared" si="458"/>
        <v>-250000</v>
      </c>
      <c r="H19274" s="705" t="s">
        <v>12975</v>
      </c>
    </row>
    <row r="19275" spans="1:8" ht="15" x14ac:dyDescent="0.2">
      <c r="A19275" s="734">
        <v>45414</v>
      </c>
      <c r="B19275" s="41" t="s">
        <v>11897</v>
      </c>
      <c r="C19275" s="63" t="s">
        <v>12806</v>
      </c>
      <c r="D19275" s="108" t="s">
        <v>12980</v>
      </c>
      <c r="E19275" s="58">
        <v>500000</v>
      </c>
      <c r="F19275" s="58"/>
      <c r="G19275" s="126">
        <f t="shared" ref="G19275:G19276" si="459">F19275-E19275</f>
        <v>-500000</v>
      </c>
      <c r="H19275" s="705" t="s">
        <v>12975</v>
      </c>
    </row>
    <row r="19276" spans="1:8" ht="15" x14ac:dyDescent="0.2">
      <c r="A19276" s="734">
        <v>45414</v>
      </c>
      <c r="B19276" s="41" t="s">
        <v>11089</v>
      </c>
      <c r="C19276" s="63" t="s">
        <v>10993</v>
      </c>
      <c r="D19276" s="108" t="s">
        <v>12981</v>
      </c>
      <c r="E19276" s="58">
        <v>76000</v>
      </c>
      <c r="F19276" s="58"/>
      <c r="G19276" s="126">
        <f t="shared" si="459"/>
        <v>-76000</v>
      </c>
      <c r="H19276" s="705" t="s">
        <v>12975</v>
      </c>
    </row>
    <row r="19277" spans="1:8" ht="15" x14ac:dyDescent="0.2">
      <c r="A19277" s="734">
        <v>45415</v>
      </c>
      <c r="B19277" s="41" t="s">
        <v>103</v>
      </c>
      <c r="C19277" s="63" t="s">
        <v>103</v>
      </c>
      <c r="D19277" s="108" t="s">
        <v>12982</v>
      </c>
      <c r="E19277" s="58">
        <v>800</v>
      </c>
      <c r="F19277" s="58"/>
      <c r="G19277" s="126">
        <f t="shared" ref="G19277:G19287" si="460">F19277-E19277</f>
        <v>-800</v>
      </c>
      <c r="H19277" s="705" t="s">
        <v>12975</v>
      </c>
    </row>
    <row r="19278" spans="1:8" ht="15" x14ac:dyDescent="0.2">
      <c r="A19278" s="734">
        <v>45415</v>
      </c>
      <c r="B19278" s="41" t="s">
        <v>11738</v>
      </c>
      <c r="C19278" s="63" t="s">
        <v>10993</v>
      </c>
      <c r="D19278" s="108" t="s">
        <v>12983</v>
      </c>
      <c r="E19278" s="58">
        <v>31000</v>
      </c>
      <c r="F19278" s="58"/>
      <c r="G19278" s="126">
        <f t="shared" si="460"/>
        <v>-31000</v>
      </c>
      <c r="H19278" s="705" t="s">
        <v>12975</v>
      </c>
    </row>
    <row r="19279" spans="1:8" ht="24" x14ac:dyDescent="0.2">
      <c r="A19279" s="733">
        <v>45418</v>
      </c>
      <c r="B19279" s="174" t="s">
        <v>10232</v>
      </c>
      <c r="C19279" s="174" t="s">
        <v>11748</v>
      </c>
      <c r="D19279" s="228" t="s">
        <v>12986</v>
      </c>
      <c r="E19279" s="236">
        <v>120000</v>
      </c>
      <c r="F19279" s="236"/>
      <c r="G19279" s="236">
        <f t="shared" si="460"/>
        <v>-120000</v>
      </c>
      <c r="H19279" s="709" t="s">
        <v>12975</v>
      </c>
    </row>
    <row r="19280" spans="1:8" ht="24" x14ac:dyDescent="0.2">
      <c r="A19280" s="733">
        <v>45418</v>
      </c>
      <c r="B19280" s="174" t="s">
        <v>9507</v>
      </c>
      <c r="C19280" s="174" t="s">
        <v>11748</v>
      </c>
      <c r="D19280" s="228" t="s">
        <v>12987</v>
      </c>
      <c r="E19280" s="236">
        <v>69932</v>
      </c>
      <c r="F19280" s="236"/>
      <c r="G19280" s="236">
        <f t="shared" si="460"/>
        <v>-69932</v>
      </c>
      <c r="H19280" s="709" t="s">
        <v>12975</v>
      </c>
    </row>
    <row r="19281" spans="1:8" ht="15" x14ac:dyDescent="0.2">
      <c r="A19281" s="733">
        <v>45418</v>
      </c>
      <c r="B19281" s="174" t="s">
        <v>11897</v>
      </c>
      <c r="C19281" s="174" t="s">
        <v>7467</v>
      </c>
      <c r="D19281" s="228" t="s">
        <v>12962</v>
      </c>
      <c r="E19281" s="236">
        <v>900000</v>
      </c>
      <c r="F19281" s="236"/>
      <c r="G19281" s="236">
        <f t="shared" ref="G19281:G19282" si="461">F19281-E19281</f>
        <v>-900000</v>
      </c>
      <c r="H19281" s="709" t="s">
        <v>12975</v>
      </c>
    </row>
    <row r="19282" spans="1:8" ht="15" x14ac:dyDescent="0.2">
      <c r="A19282" s="733">
        <v>45418</v>
      </c>
      <c r="B19282" s="174" t="s">
        <v>11897</v>
      </c>
      <c r="C19282" s="174" t="s">
        <v>7467</v>
      </c>
      <c r="D19282" s="228" t="s">
        <v>12962</v>
      </c>
      <c r="E19282" s="236">
        <v>924000</v>
      </c>
      <c r="F19282" s="236"/>
      <c r="G19282" s="236">
        <f t="shared" si="461"/>
        <v>-924000</v>
      </c>
      <c r="H19282" s="709" t="s">
        <v>12975</v>
      </c>
    </row>
    <row r="19283" spans="1:8" ht="15" x14ac:dyDescent="0.2">
      <c r="A19283" s="733">
        <v>45420</v>
      </c>
      <c r="B19283" s="174" t="s">
        <v>37</v>
      </c>
      <c r="C19283" s="551" t="s">
        <v>3003</v>
      </c>
      <c r="D19283" s="740" t="s">
        <v>12989</v>
      </c>
      <c r="E19283" s="552">
        <v>20525</v>
      </c>
      <c r="F19283" s="236"/>
      <c r="G19283" s="236">
        <f t="shared" ref="G19283:G19285" si="462">F19283-E19283</f>
        <v>-20525</v>
      </c>
      <c r="H19283" s="709" t="s">
        <v>12975</v>
      </c>
    </row>
    <row r="19284" spans="1:8" ht="15" x14ac:dyDescent="0.2">
      <c r="A19284" s="733">
        <v>45420</v>
      </c>
      <c r="B19284" s="174" t="s">
        <v>3945</v>
      </c>
      <c r="C19284" s="551" t="s">
        <v>3003</v>
      </c>
      <c r="D19284" s="740" t="s">
        <v>12989</v>
      </c>
      <c r="E19284" s="552">
        <v>35364</v>
      </c>
      <c r="F19284" s="236"/>
      <c r="G19284" s="236">
        <f t="shared" si="462"/>
        <v>-35364</v>
      </c>
      <c r="H19284" s="709" t="s">
        <v>12975</v>
      </c>
    </row>
    <row r="19285" spans="1:8" ht="15" x14ac:dyDescent="0.2">
      <c r="A19285" s="733">
        <v>45420</v>
      </c>
      <c r="B19285" s="174" t="s">
        <v>3946</v>
      </c>
      <c r="C19285" s="551" t="s">
        <v>3003</v>
      </c>
      <c r="D19285" s="740" t="s">
        <v>12989</v>
      </c>
      <c r="E19285" s="552">
        <v>32760</v>
      </c>
      <c r="F19285" s="236"/>
      <c r="G19285" s="236">
        <f t="shared" si="462"/>
        <v>-32760</v>
      </c>
      <c r="H19285" s="709" t="s">
        <v>12975</v>
      </c>
    </row>
    <row r="19286" spans="1:8" ht="24" x14ac:dyDescent="0.2">
      <c r="A19286" s="730">
        <v>45414</v>
      </c>
      <c r="B19286" s="94" t="s">
        <v>11089</v>
      </c>
      <c r="C19286" s="94" t="s">
        <v>559</v>
      </c>
      <c r="D19286" s="802" t="s">
        <v>12985</v>
      </c>
      <c r="E19286" s="176"/>
      <c r="F19286" s="176">
        <v>1000000</v>
      </c>
      <c r="G19286" s="176">
        <f t="shared" si="460"/>
        <v>1000000</v>
      </c>
      <c r="H19286" s="702" t="s">
        <v>12975</v>
      </c>
    </row>
    <row r="19287" spans="1:8" ht="24" x14ac:dyDescent="0.2">
      <c r="A19287" s="730">
        <v>45414</v>
      </c>
      <c r="B19287" s="94" t="s">
        <v>11089</v>
      </c>
      <c r="C19287" s="94" t="s">
        <v>559</v>
      </c>
      <c r="D19287" s="802" t="s">
        <v>12985</v>
      </c>
      <c r="E19287" s="176"/>
      <c r="F19287" s="176">
        <v>1000000</v>
      </c>
      <c r="G19287" s="176">
        <f t="shared" si="460"/>
        <v>1000000</v>
      </c>
      <c r="H19287" s="702" t="s">
        <v>12975</v>
      </c>
    </row>
    <row r="19288" spans="1:8" ht="15" x14ac:dyDescent="0.2">
      <c r="A19288" s="730">
        <v>45414</v>
      </c>
      <c r="B19288" s="91" t="s">
        <v>11135</v>
      </c>
      <c r="C19288" s="94" t="s">
        <v>559</v>
      </c>
      <c r="D19288" s="801" t="s">
        <v>12962</v>
      </c>
      <c r="E19288" s="92"/>
      <c r="F19288" s="92">
        <v>900000</v>
      </c>
      <c r="G19288" s="92">
        <f t="shared" si="455"/>
        <v>900000</v>
      </c>
      <c r="H19288" s="702" t="s">
        <v>12975</v>
      </c>
    </row>
    <row r="19289" spans="1:8" ht="15" x14ac:dyDescent="0.2">
      <c r="A19289" s="730">
        <v>45414</v>
      </c>
      <c r="B19289" s="91" t="s">
        <v>11135</v>
      </c>
      <c r="C19289" s="94" t="s">
        <v>559</v>
      </c>
      <c r="D19289" s="801" t="s">
        <v>12962</v>
      </c>
      <c r="E19289" s="92"/>
      <c r="F19289" s="92">
        <v>924000</v>
      </c>
      <c r="G19289" s="92">
        <f t="shared" si="455"/>
        <v>924000</v>
      </c>
      <c r="H19289" s="702" t="s">
        <v>12975</v>
      </c>
    </row>
  </sheetData>
  <autoFilter ref="A1:P19289"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17" sqref="C17"/>
    </sheetView>
  </sheetViews>
  <sheetFormatPr defaultColWidth="8.85546875" defaultRowHeight="18.75" x14ac:dyDescent="0.3"/>
  <cols>
    <col min="1" max="1" width="55.5703125" style="245" bestFit="1" customWidth="1"/>
    <col min="2" max="2" width="24.5703125" style="245" bestFit="1" customWidth="1"/>
    <col min="3" max="3" width="27.7109375" style="245" bestFit="1" customWidth="1"/>
    <col min="4" max="4" width="24.5703125" style="4" bestFit="1" customWidth="1"/>
    <col min="5" max="5" width="3.28515625" style="4" customWidth="1"/>
    <col min="6" max="6" width="31.7109375" style="4" hidden="1" customWidth="1"/>
    <col min="7" max="7" width="17.42578125" style="245" hidden="1" customWidth="1"/>
    <col min="8" max="8" width="14.140625" style="245"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34" t="s">
        <v>0</v>
      </c>
      <c r="B1" s="1134" t="s">
        <v>47</v>
      </c>
    </row>
    <row r="2" spans="1:11" hidden="1" x14ac:dyDescent="0.3">
      <c r="A2" s="1134" t="s">
        <v>2</v>
      </c>
      <c r="B2" s="1134" t="s">
        <v>47</v>
      </c>
    </row>
    <row r="3" spans="1:11" hidden="1" x14ac:dyDescent="0.3">
      <c r="A3" s="1134" t="s">
        <v>840</v>
      </c>
      <c r="B3" s="1134" t="s">
        <v>47</v>
      </c>
    </row>
    <row r="4" spans="1:11" ht="24" hidden="1" thickBot="1" x14ac:dyDescent="0.35">
      <c r="A4"/>
      <c r="B4"/>
      <c r="C4"/>
      <c r="D4"/>
      <c r="F4" s="98" t="s">
        <v>1767</v>
      </c>
      <c r="H4" s="1155" t="s">
        <v>1767</v>
      </c>
      <c r="I4" s="1155"/>
      <c r="J4" s="1155"/>
    </row>
    <row r="5" spans="1:11" ht="24" thickBot="1" x14ac:dyDescent="0.35">
      <c r="A5" s="1135" t="s">
        <v>4137</v>
      </c>
      <c r="B5" s="1136" t="s">
        <v>4134</v>
      </c>
      <c r="C5" s="1136" t="s">
        <v>4135</v>
      </c>
      <c r="D5" s="1136" t="s">
        <v>4136</v>
      </c>
      <c r="E5" s="347"/>
      <c r="H5" s="1155"/>
      <c r="I5" s="1155"/>
      <c r="J5" s="1155"/>
      <c r="K5" s="1014" t="s">
        <v>10860</v>
      </c>
    </row>
    <row r="6" spans="1:11" ht="26.25" x14ac:dyDescent="0.4">
      <c r="A6" s="738" t="s">
        <v>12723</v>
      </c>
      <c r="B6" s="739">
        <v>550</v>
      </c>
      <c r="C6" s="739">
        <v>1200000</v>
      </c>
      <c r="D6" s="739">
        <v>1199450</v>
      </c>
      <c r="F6" s="697" t="s">
        <v>155</v>
      </c>
      <c r="G6" s="698" t="s">
        <v>2613</v>
      </c>
      <c r="H6" s="698" t="s">
        <v>7682</v>
      </c>
      <c r="I6" s="697" t="s">
        <v>2615</v>
      </c>
    </row>
    <row r="7" spans="1:11" ht="26.25" x14ac:dyDescent="0.4">
      <c r="A7" s="738" t="s">
        <v>12713</v>
      </c>
      <c r="B7" s="739">
        <v>5000</v>
      </c>
      <c r="C7" s="739"/>
      <c r="D7" s="739">
        <v>-5000</v>
      </c>
      <c r="F7" s="695" t="s">
        <v>2933</v>
      </c>
      <c r="G7" s="696">
        <f t="shared" ref="G7:G24" si="0">VLOOKUP(F7,$A$6:$D$142,4,0)</f>
        <v>39998531.25637947</v>
      </c>
      <c r="H7" s="696">
        <f>VLOOKUP(F7,'Project wise Supplier balance'!$A$6:$D$91,4,0)</f>
        <v>0</v>
      </c>
      <c r="I7" s="693">
        <f t="shared" ref="I7:I24" si="1">G7-H7</f>
        <v>39998531.25637947</v>
      </c>
    </row>
    <row r="8" spans="1:11" ht="26.25" x14ac:dyDescent="0.4">
      <c r="A8" s="738" t="s">
        <v>12695</v>
      </c>
      <c r="B8" s="739">
        <v>195480</v>
      </c>
      <c r="C8" s="739"/>
      <c r="D8" s="739">
        <v>-195480</v>
      </c>
      <c r="F8" s="695" t="s">
        <v>4721</v>
      </c>
      <c r="G8" s="696">
        <f t="shared" si="0"/>
        <v>10957853.041129032</v>
      </c>
      <c r="H8" s="696">
        <f>VLOOKUP(F8,'Project wise Supplier balance'!$A$6:$D$91,4,0)</f>
        <v>162620</v>
      </c>
      <c r="I8" s="693">
        <f t="shared" si="1"/>
        <v>10795233.041129032</v>
      </c>
    </row>
    <row r="9" spans="1:11" ht="26.25" x14ac:dyDescent="0.4">
      <c r="A9" s="738" t="s">
        <v>12827</v>
      </c>
      <c r="B9" s="739">
        <v>57016</v>
      </c>
      <c r="C9" s="739"/>
      <c r="D9" s="739">
        <v>-57016</v>
      </c>
      <c r="F9" s="695" t="s">
        <v>2652</v>
      </c>
      <c r="G9" s="696">
        <f t="shared" si="0"/>
        <v>10068965.30031715</v>
      </c>
      <c r="H9" s="696">
        <f>VLOOKUP(F9,'Project wise Supplier balance'!$A$6:$D$91,4,0)</f>
        <v>0</v>
      </c>
      <c r="I9" s="693">
        <f t="shared" si="1"/>
        <v>10068965.30031715</v>
      </c>
    </row>
    <row r="10" spans="1:11" ht="26.25" x14ac:dyDescent="0.4">
      <c r="A10" s="738" t="s">
        <v>12818</v>
      </c>
      <c r="B10" s="739">
        <v>60860</v>
      </c>
      <c r="C10" s="739"/>
      <c r="D10" s="739">
        <v>-60860</v>
      </c>
      <c r="F10" s="695" t="s">
        <v>1400</v>
      </c>
      <c r="G10" s="696">
        <f t="shared" si="0"/>
        <v>16037003.15589213</v>
      </c>
      <c r="H10" s="696">
        <f>VLOOKUP(F10,'Project wise Supplier balance'!$A$6:$D$91,4,0)</f>
        <v>159545</v>
      </c>
      <c r="I10" s="693">
        <f t="shared" si="1"/>
        <v>15877458.15589213</v>
      </c>
    </row>
    <row r="11" spans="1:11" ht="26.25" x14ac:dyDescent="0.4">
      <c r="A11" s="738" t="s">
        <v>12372</v>
      </c>
      <c r="B11" s="739">
        <v>2700</v>
      </c>
      <c r="C11" s="739">
        <v>500000</v>
      </c>
      <c r="D11" s="739">
        <v>497300</v>
      </c>
      <c r="F11" s="695" t="s">
        <v>7126</v>
      </c>
      <c r="G11" s="696">
        <f t="shared" si="0"/>
        <v>27649</v>
      </c>
      <c r="H11" s="696">
        <f>VLOOKUP(F11,'Project wise Supplier balance'!$A$6:$D$91,4,0)</f>
        <v>0</v>
      </c>
      <c r="I11" s="693">
        <f t="shared" si="1"/>
        <v>27649</v>
      </c>
    </row>
    <row r="12" spans="1:11" ht="26.25" x14ac:dyDescent="0.4">
      <c r="A12" s="738" t="s">
        <v>12510</v>
      </c>
      <c r="B12" s="739">
        <v>109650</v>
      </c>
      <c r="C12" s="739"/>
      <c r="D12" s="739">
        <v>-109650</v>
      </c>
      <c r="F12" s="695" t="s">
        <v>7067</v>
      </c>
      <c r="G12" s="696">
        <f t="shared" si="0"/>
        <v>5665632</v>
      </c>
      <c r="H12" s="696" t="e">
        <f>VLOOKUP(F12,'Project wise Supplier balance'!$A$6:$D$91,4,0)</f>
        <v>#N/A</v>
      </c>
      <c r="I12" s="693" t="e">
        <f t="shared" si="1"/>
        <v>#N/A</v>
      </c>
    </row>
    <row r="13" spans="1:11" ht="26.25" x14ac:dyDescent="0.4">
      <c r="A13" s="738" t="s">
        <v>12426</v>
      </c>
      <c r="B13" s="739">
        <v>13100</v>
      </c>
      <c r="C13" s="739"/>
      <c r="D13" s="739">
        <v>-13100</v>
      </c>
      <c r="F13" s="695" t="s">
        <v>6511</v>
      </c>
      <c r="G13" s="696">
        <f t="shared" si="0"/>
        <v>2445161</v>
      </c>
      <c r="H13" s="696" t="e">
        <f>VLOOKUP(F13,'Project wise Supplier balance'!$A$6:$D$91,4,0)</f>
        <v>#N/A</v>
      </c>
      <c r="I13" s="693" t="e">
        <f t="shared" si="1"/>
        <v>#N/A</v>
      </c>
    </row>
    <row r="14" spans="1:11" ht="26.25" x14ac:dyDescent="0.4">
      <c r="A14" s="738" t="s">
        <v>12532</v>
      </c>
      <c r="B14" s="739">
        <v>5922474</v>
      </c>
      <c r="C14" s="739">
        <v>8053923</v>
      </c>
      <c r="D14" s="739">
        <v>2131449</v>
      </c>
      <c r="F14" s="695" t="s">
        <v>6518</v>
      </c>
      <c r="G14" s="696">
        <f t="shared" si="0"/>
        <v>1915801.3763440857</v>
      </c>
      <c r="H14" s="696">
        <f>VLOOKUP(F14,'Project wise Supplier balance'!$A$6:$D$91,4,0)</f>
        <v>0</v>
      </c>
      <c r="I14" s="693">
        <f t="shared" si="1"/>
        <v>1915801.3763440857</v>
      </c>
    </row>
    <row r="15" spans="1:11" ht="26.25" x14ac:dyDescent="0.4">
      <c r="A15" s="738" t="s">
        <v>12624</v>
      </c>
      <c r="B15" s="739">
        <v>571850</v>
      </c>
      <c r="C15" s="739"/>
      <c r="D15" s="739">
        <v>-571850</v>
      </c>
      <c r="F15" s="695" t="s">
        <v>6508</v>
      </c>
      <c r="G15" s="696">
        <f t="shared" si="0"/>
        <v>2118178</v>
      </c>
      <c r="H15" s="696">
        <f>VLOOKUP(F15,'Project wise Supplier balance'!$A$6:$D$91,4,0)</f>
        <v>4245</v>
      </c>
      <c r="I15" s="693">
        <f t="shared" si="1"/>
        <v>2113933</v>
      </c>
    </row>
    <row r="16" spans="1:11" ht="26.25" x14ac:dyDescent="0.4">
      <c r="A16" s="738" t="s">
        <v>12207</v>
      </c>
      <c r="B16" s="739">
        <v>3179446</v>
      </c>
      <c r="C16" s="739">
        <v>13975308</v>
      </c>
      <c r="D16" s="739">
        <v>10795862</v>
      </c>
      <c r="F16" s="695" t="s">
        <v>6505</v>
      </c>
      <c r="G16" s="696">
        <f t="shared" si="0"/>
        <v>6302191.3617511522</v>
      </c>
      <c r="H16" s="696" t="e">
        <f>VLOOKUP(F16,'Project wise Supplier balance'!$A$6:$D$91,4,0)</f>
        <v>#N/A</v>
      </c>
      <c r="I16" s="693" t="e">
        <f t="shared" si="1"/>
        <v>#N/A</v>
      </c>
    </row>
    <row r="17" spans="1:9" ht="26.25" x14ac:dyDescent="0.4">
      <c r="A17" s="738" t="s">
        <v>11897</v>
      </c>
      <c r="B17" s="739">
        <v>32417798</v>
      </c>
      <c r="C17" s="739">
        <v>45337381</v>
      </c>
      <c r="D17" s="739">
        <v>12919583</v>
      </c>
      <c r="F17" s="695" t="s">
        <v>7555</v>
      </c>
      <c r="G17" s="696">
        <f t="shared" si="0"/>
        <v>946445.53225806449</v>
      </c>
      <c r="H17" s="696">
        <f>VLOOKUP(F17,'Project wise Supplier balance'!$A$6:$D$91,4,0)</f>
        <v>0</v>
      </c>
      <c r="I17" s="693">
        <f t="shared" si="1"/>
        <v>946445.53225806449</v>
      </c>
    </row>
    <row r="18" spans="1:9" ht="26.25" x14ac:dyDescent="0.4">
      <c r="A18" s="738" t="s">
        <v>11617</v>
      </c>
      <c r="B18" s="739">
        <v>3811277</v>
      </c>
      <c r="C18" s="739">
        <v>2600000</v>
      </c>
      <c r="D18" s="739">
        <v>-1211277</v>
      </c>
      <c r="F18" s="695" t="s">
        <v>6953</v>
      </c>
      <c r="G18" s="696">
        <f t="shared" si="0"/>
        <v>1351664</v>
      </c>
      <c r="H18" s="696" t="e">
        <f>VLOOKUP(F18,'Project wise Supplier balance'!$A$6:$D$91,4,0)</f>
        <v>#N/A</v>
      </c>
      <c r="I18" s="693" t="e">
        <f t="shared" si="1"/>
        <v>#N/A</v>
      </c>
    </row>
    <row r="19" spans="1:9" ht="26.25" x14ac:dyDescent="0.4">
      <c r="A19" s="738" t="s">
        <v>11511</v>
      </c>
      <c r="B19" s="739">
        <v>4363215.5595105672</v>
      </c>
      <c r="C19" s="739">
        <v>8220424</v>
      </c>
      <c r="D19" s="739">
        <v>3857208.4404894328</v>
      </c>
      <c r="F19" s="695" t="s">
        <v>6647</v>
      </c>
      <c r="G19" s="696">
        <f t="shared" si="0"/>
        <v>67087</v>
      </c>
      <c r="H19" s="696">
        <f>VLOOKUP(F19,'Project wise Supplier balance'!$A$6:$D$91,4,0)</f>
        <v>0</v>
      </c>
      <c r="I19" s="693">
        <f t="shared" si="1"/>
        <v>67087</v>
      </c>
    </row>
    <row r="20" spans="1:9" ht="26.25" x14ac:dyDescent="0.4">
      <c r="A20" s="738" t="s">
        <v>11446</v>
      </c>
      <c r="B20" s="739">
        <v>7365237</v>
      </c>
      <c r="C20" s="739">
        <v>11253125</v>
      </c>
      <c r="D20" s="739">
        <v>3887888</v>
      </c>
      <c r="F20" s="695" t="s">
        <v>7112</v>
      </c>
      <c r="G20" s="696">
        <f t="shared" si="0"/>
        <v>641998.78494623653</v>
      </c>
      <c r="H20" s="696">
        <f>VLOOKUP(F20,'Project wise Supplier balance'!$A$6:$D$91,4,0)</f>
        <v>0</v>
      </c>
      <c r="I20" s="693">
        <f t="shared" si="1"/>
        <v>641998.78494623653</v>
      </c>
    </row>
    <row r="21" spans="1:9" ht="26.25" x14ac:dyDescent="0.4">
      <c r="A21" s="738" t="s">
        <v>7807</v>
      </c>
      <c r="B21" s="739">
        <v>3259240</v>
      </c>
      <c r="C21" s="739">
        <v>4334251</v>
      </c>
      <c r="D21" s="739">
        <v>1075011</v>
      </c>
      <c r="F21" s="695" t="s">
        <v>7657</v>
      </c>
      <c r="G21" s="696">
        <f t="shared" si="0"/>
        <v>702698.51</v>
      </c>
      <c r="H21" s="696" t="e">
        <f>VLOOKUP(F21,'Project wise Supplier balance'!$A$6:$D$91,4,0)</f>
        <v>#N/A</v>
      </c>
      <c r="I21" s="693" t="e">
        <f t="shared" si="1"/>
        <v>#N/A</v>
      </c>
    </row>
    <row r="22" spans="1:9" ht="26.25" x14ac:dyDescent="0.4">
      <c r="A22" s="738" t="s">
        <v>11340</v>
      </c>
      <c r="B22" s="739">
        <v>76862</v>
      </c>
      <c r="C22" s="739">
        <v>200000</v>
      </c>
      <c r="D22" s="739">
        <v>123138</v>
      </c>
      <c r="F22" s="695" t="s">
        <v>6408</v>
      </c>
      <c r="G22" s="696">
        <f t="shared" si="0"/>
        <v>-209739.22580645164</v>
      </c>
      <c r="H22" s="696">
        <f>VLOOKUP(F22,'Project wise Supplier balance'!$A$6:$D$91,4,0)</f>
        <v>80843</v>
      </c>
      <c r="I22" s="693">
        <f t="shared" si="1"/>
        <v>-290582.22580645164</v>
      </c>
    </row>
    <row r="23" spans="1:9" ht="26.25" x14ac:dyDescent="0.4">
      <c r="A23" s="738" t="s">
        <v>11075</v>
      </c>
      <c r="B23" s="739">
        <v>1155980</v>
      </c>
      <c r="C23" s="739">
        <v>1000000</v>
      </c>
      <c r="D23" s="739">
        <v>-155980</v>
      </c>
      <c r="F23" s="695" t="s">
        <v>7732</v>
      </c>
      <c r="G23" s="696">
        <f t="shared" si="0"/>
        <v>301911.87096774194</v>
      </c>
      <c r="H23" s="696">
        <f>VLOOKUP(F23,'Project wise Supplier balance'!$A$6:$D$91,4,0)</f>
        <v>0</v>
      </c>
      <c r="I23" s="693">
        <f t="shared" si="1"/>
        <v>301911.87096774194</v>
      </c>
    </row>
    <row r="24" spans="1:9" ht="26.25" x14ac:dyDescent="0.4">
      <c r="A24" s="738" t="s">
        <v>11271</v>
      </c>
      <c r="B24" s="739">
        <v>659316</v>
      </c>
      <c r="C24" s="739">
        <v>1300000</v>
      </c>
      <c r="D24" s="739">
        <v>640684</v>
      </c>
      <c r="F24" s="695" t="s">
        <v>7746</v>
      </c>
      <c r="G24" s="696" t="e">
        <f t="shared" si="0"/>
        <v>#N/A</v>
      </c>
      <c r="H24" s="696">
        <f>VLOOKUP(F24,'Project wise Supplier balance'!$A$6:$D$91,4,0)</f>
        <v>0</v>
      </c>
      <c r="I24" s="693" t="e">
        <f t="shared" si="1"/>
        <v>#N/A</v>
      </c>
    </row>
    <row r="25" spans="1:9" ht="26.25" x14ac:dyDescent="0.4">
      <c r="A25" s="738" t="s">
        <v>11007</v>
      </c>
      <c r="B25" s="739">
        <v>319470</v>
      </c>
      <c r="C25" s="739">
        <v>900000</v>
      </c>
      <c r="D25" s="739">
        <v>580530</v>
      </c>
    </row>
    <row r="26" spans="1:9" ht="26.25" x14ac:dyDescent="0.4">
      <c r="A26" s="738" t="s">
        <v>9719</v>
      </c>
      <c r="B26" s="739">
        <v>138515</v>
      </c>
      <c r="C26" s="739">
        <v>500000</v>
      </c>
      <c r="D26" s="739">
        <v>361485</v>
      </c>
    </row>
    <row r="27" spans="1:9" ht="26.25" x14ac:dyDescent="0.4">
      <c r="A27" s="738" t="s">
        <v>10909</v>
      </c>
      <c r="B27" s="739">
        <v>21147791.397849467</v>
      </c>
      <c r="C27" s="739">
        <v>27083716</v>
      </c>
      <c r="D27" s="739">
        <v>5935924.6021505389</v>
      </c>
    </row>
    <row r="28" spans="1:9" ht="26.25" x14ac:dyDescent="0.4">
      <c r="A28" s="738" t="s">
        <v>10576</v>
      </c>
      <c r="B28" s="739">
        <v>33647718.333333336</v>
      </c>
      <c r="C28" s="739">
        <v>42957843</v>
      </c>
      <c r="D28" s="739">
        <v>9310124.6666666679</v>
      </c>
    </row>
    <row r="29" spans="1:9" ht="26.25" x14ac:dyDescent="0.4">
      <c r="A29" s="738" t="s">
        <v>10379</v>
      </c>
      <c r="B29" s="739">
        <v>4030880</v>
      </c>
      <c r="C29" s="739">
        <v>3000000</v>
      </c>
      <c r="D29" s="739">
        <v>-1030880</v>
      </c>
    </row>
    <row r="30" spans="1:9" ht="26.25" x14ac:dyDescent="0.4">
      <c r="A30" s="738" t="s">
        <v>10338</v>
      </c>
      <c r="B30" s="739">
        <v>5611655</v>
      </c>
      <c r="C30" s="739">
        <v>7705250</v>
      </c>
      <c r="D30" s="739">
        <v>2093595</v>
      </c>
    </row>
    <row r="31" spans="1:9" ht="26.25" x14ac:dyDescent="0.4">
      <c r="A31" s="738" t="s">
        <v>10296</v>
      </c>
      <c r="B31" s="739">
        <v>3951168.4623655914</v>
      </c>
      <c r="C31" s="739">
        <v>2000000</v>
      </c>
      <c r="D31" s="739">
        <v>-1951168.4623655914</v>
      </c>
    </row>
    <row r="32" spans="1:9" ht="26.25" x14ac:dyDescent="0.4">
      <c r="A32" s="738" t="s">
        <v>10232</v>
      </c>
      <c r="B32" s="739">
        <v>20361108.333333336</v>
      </c>
      <c r="C32" s="739">
        <v>31092766</v>
      </c>
      <c r="D32" s="739">
        <v>10731657.666666666</v>
      </c>
    </row>
    <row r="33" spans="1:9" ht="26.25" x14ac:dyDescent="0.4">
      <c r="A33" s="738" t="s">
        <v>10144</v>
      </c>
      <c r="B33" s="739">
        <v>6835862</v>
      </c>
      <c r="C33" s="739">
        <v>7704349</v>
      </c>
      <c r="D33" s="739">
        <v>868487</v>
      </c>
    </row>
    <row r="34" spans="1:9" ht="26.25" x14ac:dyDescent="0.4">
      <c r="A34" s="738" t="s">
        <v>10122</v>
      </c>
      <c r="B34" s="739">
        <v>83200</v>
      </c>
      <c r="C34" s="739">
        <v>0</v>
      </c>
      <c r="D34" s="739">
        <v>-83200</v>
      </c>
    </row>
    <row r="35" spans="1:9" ht="26.25" x14ac:dyDescent="0.4">
      <c r="A35" s="738" t="s">
        <v>10023</v>
      </c>
      <c r="B35" s="739">
        <v>8366313.5</v>
      </c>
      <c r="C35" s="739">
        <v>7120000</v>
      </c>
      <c r="D35" s="739">
        <v>-1246313.5</v>
      </c>
    </row>
    <row r="36" spans="1:9" ht="26.25" x14ac:dyDescent="0.4">
      <c r="A36" s="738" t="s">
        <v>9832</v>
      </c>
      <c r="B36" s="739">
        <v>26733595</v>
      </c>
      <c r="C36" s="739">
        <v>19830000</v>
      </c>
      <c r="D36" s="739">
        <v>-6903595</v>
      </c>
    </row>
    <row r="37" spans="1:9" ht="26.25" x14ac:dyDescent="0.4">
      <c r="A37" s="738" t="s">
        <v>9769</v>
      </c>
      <c r="B37" s="739">
        <v>16161004</v>
      </c>
      <c r="C37" s="739">
        <v>19855650</v>
      </c>
      <c r="D37" s="739">
        <v>3694646</v>
      </c>
    </row>
    <row r="38" spans="1:9" ht="26.25" x14ac:dyDescent="0.4">
      <c r="A38" s="738" t="s">
        <v>9661</v>
      </c>
      <c r="B38" s="739">
        <v>4762390.9032258065</v>
      </c>
      <c r="C38" s="739">
        <v>10021233</v>
      </c>
      <c r="D38" s="739">
        <v>5258842.0967741944</v>
      </c>
    </row>
    <row r="39" spans="1:9" ht="26.25" x14ac:dyDescent="0.4">
      <c r="A39" s="738" t="s">
        <v>9464</v>
      </c>
      <c r="B39" s="739">
        <v>2249169</v>
      </c>
      <c r="C39" s="739">
        <v>2722000</v>
      </c>
      <c r="D39" s="739">
        <v>472831</v>
      </c>
    </row>
    <row r="40" spans="1:9" ht="26.25" x14ac:dyDescent="0.4">
      <c r="A40" s="738" t="s">
        <v>9507</v>
      </c>
      <c r="B40" s="739">
        <v>2583814</v>
      </c>
      <c r="C40" s="739">
        <v>3185630</v>
      </c>
      <c r="D40" s="739">
        <v>601816</v>
      </c>
    </row>
    <row r="41" spans="1:9" ht="26.25" x14ac:dyDescent="0.4">
      <c r="A41" s="738" t="s">
        <v>9409</v>
      </c>
      <c r="B41" s="739">
        <v>6184137.7741935486</v>
      </c>
      <c r="C41" s="739">
        <v>12225909</v>
      </c>
      <c r="D41" s="739">
        <v>6041771.2258064514</v>
      </c>
    </row>
    <row r="42" spans="1:9" ht="26.25" x14ac:dyDescent="0.4">
      <c r="A42" s="738" t="s">
        <v>9402</v>
      </c>
      <c r="B42" s="739">
        <v>5053225.5483870972</v>
      </c>
      <c r="C42" s="739">
        <v>6590400</v>
      </c>
      <c r="D42" s="739">
        <v>1537174.4516129033</v>
      </c>
    </row>
    <row r="43" spans="1:9" ht="26.25" x14ac:dyDescent="0.4">
      <c r="A43" s="738" t="s">
        <v>9356</v>
      </c>
      <c r="B43" s="739">
        <v>23459366.833333332</v>
      </c>
      <c r="C43" s="739">
        <v>26417406</v>
      </c>
      <c r="D43" s="739">
        <v>2958039.166666666</v>
      </c>
      <c r="F43" s="291"/>
      <c r="G43" s="694"/>
      <c r="H43" s="694"/>
      <c r="I43" s="291"/>
    </row>
    <row r="44" spans="1:9" ht="26.25" x14ac:dyDescent="0.4">
      <c r="A44" s="738" t="s">
        <v>8868</v>
      </c>
      <c r="B44" s="739">
        <v>3511728</v>
      </c>
      <c r="C44" s="739">
        <v>4000000</v>
      </c>
      <c r="D44" s="739">
        <v>488272</v>
      </c>
      <c r="F44" s="291"/>
      <c r="G44" s="694"/>
      <c r="H44" s="694"/>
      <c r="I44" s="291"/>
    </row>
    <row r="45" spans="1:9" ht="26.25" x14ac:dyDescent="0.4">
      <c r="A45" s="738" t="s">
        <v>8876</v>
      </c>
      <c r="B45" s="739">
        <v>7944571.3548387093</v>
      </c>
      <c r="C45" s="739">
        <v>14475224</v>
      </c>
      <c r="D45" s="739">
        <v>6530652.6451612907</v>
      </c>
      <c r="F45" s="291"/>
      <c r="G45" s="694"/>
      <c r="H45" s="694"/>
      <c r="I45" s="291"/>
    </row>
    <row r="46" spans="1:9" ht="26.25" x14ac:dyDescent="0.4">
      <c r="A46" s="738" t="s">
        <v>8559</v>
      </c>
      <c r="B46" s="739">
        <v>6137254</v>
      </c>
      <c r="C46" s="739">
        <v>5930062</v>
      </c>
      <c r="D46" s="739">
        <v>-235591</v>
      </c>
      <c r="F46" s="291"/>
      <c r="G46" s="694"/>
      <c r="H46" s="694"/>
      <c r="I46" s="291"/>
    </row>
    <row r="47" spans="1:9" s="291" customFormat="1" ht="26.25" x14ac:dyDescent="0.4">
      <c r="A47" s="738" t="s">
        <v>8657</v>
      </c>
      <c r="B47" s="739">
        <v>16339873</v>
      </c>
      <c r="C47" s="739">
        <v>24057411.419999998</v>
      </c>
      <c r="D47" s="739">
        <v>7717538.4199999999</v>
      </c>
      <c r="G47" s="694"/>
      <c r="H47" s="694"/>
    </row>
    <row r="48" spans="1:9" s="291" customFormat="1" ht="26.25" x14ac:dyDescent="0.4">
      <c r="A48" s="738" t="s">
        <v>8532</v>
      </c>
      <c r="B48" s="739">
        <v>543932</v>
      </c>
      <c r="C48" s="739">
        <v>600000</v>
      </c>
      <c r="D48" s="739">
        <v>56068</v>
      </c>
      <c r="G48" s="694"/>
      <c r="H48" s="694"/>
    </row>
    <row r="49" spans="1:8" s="291" customFormat="1" ht="26.25" x14ac:dyDescent="0.4">
      <c r="A49" s="738" t="s">
        <v>8077</v>
      </c>
      <c r="B49" s="739">
        <v>1657197</v>
      </c>
      <c r="C49" s="739">
        <v>2614743</v>
      </c>
      <c r="D49" s="739">
        <v>957546</v>
      </c>
      <c r="G49" s="694"/>
      <c r="H49" s="694"/>
    </row>
    <row r="50" spans="1:8" s="291" customFormat="1" ht="26.25" x14ac:dyDescent="0.4">
      <c r="A50" s="738" t="s">
        <v>8339</v>
      </c>
      <c r="B50" s="739">
        <v>9756255</v>
      </c>
      <c r="C50" s="739">
        <v>14204081</v>
      </c>
      <c r="D50" s="739">
        <v>4489919</v>
      </c>
      <c r="G50" s="694"/>
      <c r="H50" s="694"/>
    </row>
    <row r="51" spans="1:8" s="291" customFormat="1" ht="26.25" x14ac:dyDescent="0.4">
      <c r="A51" s="738" t="s">
        <v>7921</v>
      </c>
      <c r="B51" s="739">
        <v>19551392</v>
      </c>
      <c r="C51" s="739">
        <v>26037593</v>
      </c>
      <c r="D51" s="739">
        <v>6468201</v>
      </c>
      <c r="G51" s="694"/>
      <c r="H51" s="694"/>
    </row>
    <row r="52" spans="1:8" s="291" customFormat="1" ht="26.25" x14ac:dyDescent="0.4">
      <c r="A52" s="738" t="s">
        <v>8043</v>
      </c>
      <c r="B52" s="739">
        <v>20150378</v>
      </c>
      <c r="C52" s="739">
        <v>27909998</v>
      </c>
      <c r="D52" s="739">
        <v>7741620</v>
      </c>
      <c r="G52" s="694"/>
      <c r="H52" s="694"/>
    </row>
    <row r="53" spans="1:8" s="291" customFormat="1" ht="26.25" x14ac:dyDescent="0.4">
      <c r="A53" s="1140" t="s">
        <v>6508</v>
      </c>
      <c r="B53" s="1139">
        <v>2808804</v>
      </c>
      <c r="C53" s="1139">
        <v>4926982</v>
      </c>
      <c r="D53" s="1139">
        <v>2118178</v>
      </c>
      <c r="G53" s="694"/>
      <c r="H53" s="694"/>
    </row>
    <row r="54" spans="1:8" s="291" customFormat="1" ht="26.25" x14ac:dyDescent="0.4">
      <c r="A54" s="1140" t="s">
        <v>6511</v>
      </c>
      <c r="B54" s="1139">
        <v>7639492</v>
      </c>
      <c r="C54" s="1139">
        <v>10084653</v>
      </c>
      <c r="D54" s="1139">
        <v>2445161</v>
      </c>
      <c r="G54" s="694"/>
      <c r="H54" s="694"/>
    </row>
    <row r="55" spans="1:8" s="291" customFormat="1" ht="26.25" x14ac:dyDescent="0.4">
      <c r="A55" s="1140" t="s">
        <v>7126</v>
      </c>
      <c r="B55" s="1139">
        <v>2367767</v>
      </c>
      <c r="C55" s="1139">
        <v>2395416</v>
      </c>
      <c r="D55" s="1139">
        <v>27649</v>
      </c>
      <c r="G55" s="694"/>
      <c r="H55" s="694"/>
    </row>
    <row r="56" spans="1:8" s="291" customFormat="1" ht="26.25" x14ac:dyDescent="0.4">
      <c r="A56" s="1140" t="s">
        <v>6408</v>
      </c>
      <c r="B56" s="1139">
        <v>4913171.2258064514</v>
      </c>
      <c r="C56" s="1139">
        <v>4645812</v>
      </c>
      <c r="D56" s="1139">
        <v>-209739.22580645164</v>
      </c>
      <c r="G56" s="694"/>
      <c r="H56" s="694"/>
    </row>
    <row r="57" spans="1:8" s="291" customFormat="1" ht="26.25" x14ac:dyDescent="0.4">
      <c r="A57" s="1140" t="s">
        <v>18</v>
      </c>
      <c r="B57" s="1139">
        <v>2386065.1605222733</v>
      </c>
      <c r="C57" s="1139">
        <v>3796750</v>
      </c>
      <c r="D57" s="1139">
        <v>1420684.8394777267</v>
      </c>
      <c r="G57" s="694"/>
      <c r="H57" s="694"/>
    </row>
    <row r="58" spans="1:8" s="291" customFormat="1" ht="26.25" x14ac:dyDescent="0.4">
      <c r="A58" s="1140" t="s">
        <v>7953</v>
      </c>
      <c r="B58" s="1139">
        <v>4397458</v>
      </c>
      <c r="C58" s="1139">
        <v>6566988</v>
      </c>
      <c r="D58" s="1139">
        <v>2169530</v>
      </c>
      <c r="G58" s="694"/>
      <c r="H58" s="694"/>
    </row>
    <row r="59" spans="1:8" s="291" customFormat="1" ht="26.25" x14ac:dyDescent="0.4">
      <c r="A59" s="1140" t="s">
        <v>7817</v>
      </c>
      <c r="B59" s="1139">
        <v>781154</v>
      </c>
      <c r="C59" s="1139">
        <v>1300000</v>
      </c>
      <c r="D59" s="1139">
        <v>518846</v>
      </c>
      <c r="G59" s="694"/>
      <c r="H59" s="694"/>
    </row>
    <row r="60" spans="1:8" s="291" customFormat="1" ht="26.25" x14ac:dyDescent="0.4">
      <c r="A60" s="1140" t="s">
        <v>7732</v>
      </c>
      <c r="B60" s="1139">
        <v>428088.12903225806</v>
      </c>
      <c r="C60" s="1139">
        <v>730000</v>
      </c>
      <c r="D60" s="1139">
        <v>301911.87096774194</v>
      </c>
      <c r="G60" s="694"/>
      <c r="H60" s="694"/>
    </row>
    <row r="61" spans="1:8" s="291" customFormat="1" ht="26.25" x14ac:dyDescent="0.4">
      <c r="A61" s="1140" t="s">
        <v>4721</v>
      </c>
      <c r="B61" s="1139">
        <v>4198143.8588709673</v>
      </c>
      <c r="C61" s="1139">
        <v>15155996.9</v>
      </c>
      <c r="D61" s="1139">
        <v>10957853.041129032</v>
      </c>
      <c r="G61" s="694"/>
      <c r="H61" s="694"/>
    </row>
    <row r="62" spans="1:8" s="291" customFormat="1" ht="26.25" x14ac:dyDescent="0.4">
      <c r="A62" s="1140" t="s">
        <v>5811</v>
      </c>
      <c r="B62" s="1139">
        <v>3130611.7334869434</v>
      </c>
      <c r="C62" s="1139">
        <v>3500000</v>
      </c>
      <c r="D62" s="1139">
        <v>369388.26651305659</v>
      </c>
      <c r="G62" s="694"/>
      <c r="H62" s="694"/>
    </row>
    <row r="63" spans="1:8" s="291" customFormat="1" ht="26.25" x14ac:dyDescent="0.4">
      <c r="A63" s="1140" t="s">
        <v>3946</v>
      </c>
      <c r="B63" s="1139">
        <v>15184751.153301951</v>
      </c>
      <c r="C63" s="1139">
        <v>20085226</v>
      </c>
      <c r="D63" s="1139">
        <v>4918305.8466980495</v>
      </c>
      <c r="G63" s="694"/>
      <c r="H63" s="694"/>
    </row>
    <row r="64" spans="1:8" s="291" customFormat="1" ht="26.25" x14ac:dyDescent="0.4">
      <c r="A64" s="1140" t="s">
        <v>3945</v>
      </c>
      <c r="B64" s="1139">
        <v>9690924.3492405564</v>
      </c>
      <c r="C64" s="1139">
        <v>15445913</v>
      </c>
      <c r="D64" s="1139">
        <v>5758367.6830175081</v>
      </c>
      <c r="G64" s="694"/>
      <c r="H64" s="694"/>
    </row>
    <row r="65" spans="1:8" s="291" customFormat="1" ht="26.25" x14ac:dyDescent="0.4">
      <c r="A65" s="1140" t="s">
        <v>6103</v>
      </c>
      <c r="B65" s="1139">
        <v>289848</v>
      </c>
      <c r="C65" s="1139">
        <v>1337000</v>
      </c>
      <c r="D65" s="1139">
        <v>1047152</v>
      </c>
      <c r="G65" s="694"/>
      <c r="H65" s="694"/>
    </row>
    <row r="66" spans="1:8" s="291" customFormat="1" ht="26.25" x14ac:dyDescent="0.4">
      <c r="A66" s="1140" t="s">
        <v>1400</v>
      </c>
      <c r="B66" s="1139">
        <v>114510981.94410785</v>
      </c>
      <c r="C66" s="1139">
        <v>130502260.09999999</v>
      </c>
      <c r="D66" s="1139">
        <v>16037003.15589213</v>
      </c>
      <c r="G66" s="694"/>
      <c r="H66" s="694"/>
    </row>
    <row r="67" spans="1:8" s="291" customFormat="1" ht="26.25" x14ac:dyDescent="0.4">
      <c r="A67" s="1140" t="s">
        <v>2933</v>
      </c>
      <c r="B67" s="1139">
        <v>97556794.74362056</v>
      </c>
      <c r="C67" s="1139">
        <v>137552234</v>
      </c>
      <c r="D67" s="1139">
        <v>39998531.25637947</v>
      </c>
      <c r="G67" s="694"/>
      <c r="H67" s="694"/>
    </row>
    <row r="68" spans="1:8" s="291" customFormat="1" ht="26.25" x14ac:dyDescent="0.4">
      <c r="A68" s="1140" t="s">
        <v>7657</v>
      </c>
      <c r="B68" s="1139">
        <v>2210566</v>
      </c>
      <c r="C68" s="1139">
        <v>2913264.51</v>
      </c>
      <c r="D68" s="1139">
        <v>702698.51</v>
      </c>
      <c r="G68" s="694"/>
      <c r="H68" s="694"/>
    </row>
    <row r="69" spans="1:8" s="291" customFormat="1" ht="26.25" x14ac:dyDescent="0.4">
      <c r="A69" s="1140" t="s">
        <v>7112</v>
      </c>
      <c r="B69" s="1139">
        <v>3206398.2150537632</v>
      </c>
      <c r="C69" s="1139">
        <v>3848397</v>
      </c>
      <c r="D69" s="1139">
        <v>641998.78494623653</v>
      </c>
      <c r="G69" s="694"/>
      <c r="H69" s="694"/>
    </row>
    <row r="70" spans="1:8" s="291" customFormat="1" ht="26.25" x14ac:dyDescent="0.4">
      <c r="A70" s="1140" t="s">
        <v>7067</v>
      </c>
      <c r="B70" s="1139">
        <v>18681972</v>
      </c>
      <c r="C70" s="1139">
        <v>24347604</v>
      </c>
      <c r="D70" s="1139">
        <v>5665632</v>
      </c>
      <c r="G70" s="694"/>
      <c r="H70" s="694"/>
    </row>
    <row r="71" spans="1:8" s="291" customFormat="1" ht="26.25" x14ac:dyDescent="0.4">
      <c r="A71" s="1140" t="s">
        <v>6505</v>
      </c>
      <c r="B71" s="1139">
        <v>5291119.9715821808</v>
      </c>
      <c r="C71" s="1139">
        <v>11568884</v>
      </c>
      <c r="D71" s="1139">
        <v>6302191.3617511522</v>
      </c>
      <c r="G71" s="694"/>
      <c r="H71" s="694"/>
    </row>
    <row r="72" spans="1:8" s="291" customFormat="1" ht="26.25" x14ac:dyDescent="0.4">
      <c r="A72" s="1140" t="s">
        <v>7555</v>
      </c>
      <c r="B72" s="1139">
        <v>2463913.4677419355</v>
      </c>
      <c r="C72" s="1139">
        <v>3410359</v>
      </c>
      <c r="D72" s="1139">
        <v>946445.53225806449</v>
      </c>
      <c r="G72" s="694"/>
      <c r="H72" s="694"/>
    </row>
    <row r="73" spans="1:8" s="291" customFormat="1" ht="26.25" x14ac:dyDescent="0.4">
      <c r="A73" s="1140" t="s">
        <v>6953</v>
      </c>
      <c r="B73" s="1139">
        <v>3524112</v>
      </c>
      <c r="C73" s="1139">
        <v>4875776</v>
      </c>
      <c r="D73" s="1139">
        <v>1351664</v>
      </c>
      <c r="G73" s="694"/>
      <c r="H73" s="694"/>
    </row>
    <row r="74" spans="1:8" s="291" customFormat="1" ht="26.25" x14ac:dyDescent="0.4">
      <c r="A74" s="1140" t="s">
        <v>6647</v>
      </c>
      <c r="B74" s="1139">
        <v>381763</v>
      </c>
      <c r="C74" s="1139">
        <v>448850</v>
      </c>
      <c r="D74" s="1139">
        <v>67087</v>
      </c>
      <c r="G74" s="694"/>
      <c r="H74" s="694"/>
    </row>
    <row r="75" spans="1:8" s="291" customFormat="1" ht="26.25" x14ac:dyDescent="0.4">
      <c r="A75" s="1140" t="s">
        <v>6518</v>
      </c>
      <c r="B75" s="1139">
        <v>11348698.623655912</v>
      </c>
      <c r="C75" s="1139">
        <v>13264500</v>
      </c>
      <c r="D75" s="1139">
        <v>1915801.3763440857</v>
      </c>
      <c r="G75" s="694"/>
      <c r="H75" s="694"/>
    </row>
    <row r="76" spans="1:8" s="291" customFormat="1" ht="26.25" x14ac:dyDescent="0.4">
      <c r="A76" s="1140" t="s">
        <v>2652</v>
      </c>
      <c r="B76" s="1139">
        <v>26687909.699682843</v>
      </c>
      <c r="C76" s="1139">
        <v>36731542</v>
      </c>
      <c r="D76" s="1139">
        <v>10068965.30031715</v>
      </c>
      <c r="G76" s="694"/>
      <c r="H76" s="694"/>
    </row>
    <row r="77" spans="1:8" s="291" customFormat="1" ht="26.25" x14ac:dyDescent="0.4">
      <c r="A77" s="1140" t="s">
        <v>5544</v>
      </c>
      <c r="B77" s="1139">
        <v>678790.36290322582</v>
      </c>
      <c r="C77" s="1139">
        <v>872151</v>
      </c>
      <c r="D77" s="1139">
        <v>193360.63709677418</v>
      </c>
      <c r="G77" s="694"/>
      <c r="H77" s="694"/>
    </row>
    <row r="78" spans="1:8" s="291" customFormat="1" ht="26.25" x14ac:dyDescent="0.4">
      <c r="A78" s="1140" t="s">
        <v>5641</v>
      </c>
      <c r="B78" s="1139">
        <v>2512284.75</v>
      </c>
      <c r="C78" s="1139">
        <v>3685007</v>
      </c>
      <c r="D78" s="1139">
        <v>1236944.25</v>
      </c>
      <c r="G78" s="694"/>
      <c r="H78" s="694"/>
    </row>
    <row r="79" spans="1:8" s="291" customFormat="1" ht="26.25" x14ac:dyDescent="0.4">
      <c r="A79" s="1140" t="s">
        <v>5052</v>
      </c>
      <c r="B79" s="1139">
        <v>4445446.3494623657</v>
      </c>
      <c r="C79" s="1139">
        <v>6341262</v>
      </c>
      <c r="D79" s="1139">
        <v>1895815.6505376345</v>
      </c>
      <c r="G79" s="694"/>
      <c r="H79" s="694"/>
    </row>
    <row r="80" spans="1:8" s="291" customFormat="1" ht="26.25" x14ac:dyDescent="0.4">
      <c r="A80" s="1140" t="s">
        <v>5617</v>
      </c>
      <c r="B80" s="1139">
        <v>1142182.75</v>
      </c>
      <c r="C80" s="1139">
        <v>2131308</v>
      </c>
      <c r="D80" s="1139">
        <v>989125.25</v>
      </c>
      <c r="G80" s="694"/>
      <c r="H80" s="694"/>
    </row>
    <row r="81" spans="1:8" s="291" customFormat="1" ht="26.25" x14ac:dyDescent="0.4">
      <c r="A81" s="1140" t="s">
        <v>82</v>
      </c>
      <c r="B81" s="1139">
        <v>4379244</v>
      </c>
      <c r="C81" s="1139">
        <v>10411961</v>
      </c>
      <c r="D81" s="1139">
        <v>6032717</v>
      </c>
      <c r="G81" s="694"/>
      <c r="H81" s="694"/>
    </row>
    <row r="82" spans="1:8" s="291" customFormat="1" ht="26.25" x14ac:dyDescent="0.4">
      <c r="A82" s="1140" t="s">
        <v>154</v>
      </c>
      <c r="B82" s="1139">
        <v>6704728</v>
      </c>
      <c r="C82" s="1139">
        <v>10075309</v>
      </c>
      <c r="D82" s="1139">
        <v>3380173</v>
      </c>
      <c r="G82" s="694"/>
      <c r="H82" s="694"/>
    </row>
    <row r="83" spans="1:8" s="291" customFormat="1" ht="26.25" x14ac:dyDescent="0.4">
      <c r="A83" s="1140" t="s">
        <v>2094</v>
      </c>
      <c r="B83" s="1139">
        <v>5185502.0489631332</v>
      </c>
      <c r="C83" s="1139">
        <v>6644055</v>
      </c>
      <c r="D83" s="1139">
        <v>1458552.9510368668</v>
      </c>
      <c r="G83" s="694"/>
      <c r="H83" s="694"/>
    </row>
    <row r="84" spans="1:8" s="291" customFormat="1" ht="26.25" x14ac:dyDescent="0.4">
      <c r="A84" s="1140" t="s">
        <v>2787</v>
      </c>
      <c r="B84" s="1139">
        <v>45546316.695372485</v>
      </c>
      <c r="C84" s="1139">
        <v>60651110</v>
      </c>
      <c r="D84" s="1139">
        <v>15104793.304627493</v>
      </c>
      <c r="G84" s="694"/>
      <c r="H84" s="694"/>
    </row>
    <row r="85" spans="1:8" s="291" customFormat="1" ht="26.25" x14ac:dyDescent="0.4">
      <c r="A85" s="1140" t="s">
        <v>2548</v>
      </c>
      <c r="B85" s="1139">
        <v>1543068.4838709678</v>
      </c>
      <c r="C85" s="1139">
        <v>2378225</v>
      </c>
      <c r="D85" s="1139">
        <v>835156.51612903224</v>
      </c>
      <c r="G85" s="694"/>
      <c r="H85" s="694"/>
    </row>
    <row r="86" spans="1:8" s="291" customFormat="1" ht="26.25" x14ac:dyDescent="0.4">
      <c r="A86" s="1140" t="s">
        <v>75</v>
      </c>
      <c r="B86" s="1139">
        <v>3731282</v>
      </c>
      <c r="C86" s="1139"/>
      <c r="D86" s="1139">
        <v>-3731282</v>
      </c>
      <c r="G86" s="694"/>
      <c r="H86" s="694"/>
    </row>
    <row r="87" spans="1:8" s="291" customFormat="1" ht="26.25" x14ac:dyDescent="0.4">
      <c r="A87" s="1140" t="s">
        <v>1493</v>
      </c>
      <c r="B87" s="1139">
        <v>1943741.4677419357</v>
      </c>
      <c r="C87" s="1139">
        <v>3015886</v>
      </c>
      <c r="D87" s="1139">
        <v>1072144.5322580645</v>
      </c>
      <c r="G87" s="694"/>
      <c r="H87" s="694"/>
    </row>
    <row r="88" spans="1:8" s="291" customFormat="1" ht="26.25" x14ac:dyDescent="0.4">
      <c r="A88" s="1140" t="s">
        <v>37</v>
      </c>
      <c r="B88" s="1139">
        <v>16092781.490161026</v>
      </c>
      <c r="C88" s="1139">
        <v>23729314</v>
      </c>
      <c r="D88" s="1139">
        <v>7627185.0636024121</v>
      </c>
      <c r="G88" s="694"/>
      <c r="H88" s="694"/>
    </row>
    <row r="89" spans="1:8" s="291" customFormat="1" ht="26.25" x14ac:dyDescent="0.4">
      <c r="A89" s="1140" t="s">
        <v>11</v>
      </c>
      <c r="B89" s="1139">
        <v>1897653.2044930877</v>
      </c>
      <c r="C89" s="1139">
        <v>1656000</v>
      </c>
      <c r="D89" s="1139">
        <v>-246653.20449308754</v>
      </c>
      <c r="G89" s="694"/>
      <c r="H89" s="694"/>
    </row>
    <row r="90" spans="1:8" s="291" customFormat="1" ht="26.25" x14ac:dyDescent="0.4">
      <c r="A90" s="1140" t="s">
        <v>25</v>
      </c>
      <c r="B90" s="1139">
        <v>18851759.887096774</v>
      </c>
      <c r="C90" s="1139"/>
      <c r="D90" s="1139">
        <v>-18841759.887096774</v>
      </c>
      <c r="G90" s="694"/>
      <c r="H90" s="694"/>
    </row>
    <row r="91" spans="1:8" s="291" customFormat="1" ht="26.25" x14ac:dyDescent="0.4">
      <c r="A91" s="1140" t="s">
        <v>14</v>
      </c>
      <c r="B91" s="1139">
        <v>1143402</v>
      </c>
      <c r="C91" s="1139">
        <v>1572705</v>
      </c>
      <c r="D91" s="1139">
        <v>429303</v>
      </c>
      <c r="G91" s="694"/>
      <c r="H91" s="694"/>
    </row>
    <row r="92" spans="1:8" s="291" customFormat="1" ht="26.25" x14ac:dyDescent="0.4">
      <c r="A92" s="1140" t="s">
        <v>1691</v>
      </c>
      <c r="B92" s="1139">
        <v>1698566</v>
      </c>
      <c r="C92" s="1139"/>
      <c r="D92" s="1139">
        <v>-1698566</v>
      </c>
      <c r="G92" s="694"/>
      <c r="H92" s="694"/>
    </row>
    <row r="93" spans="1:8" s="291" customFormat="1" ht="26.25" x14ac:dyDescent="0.4">
      <c r="A93" s="1140" t="s">
        <v>16</v>
      </c>
      <c r="B93" s="1139">
        <v>24421469.691530842</v>
      </c>
      <c r="C93" s="1139">
        <v>50000</v>
      </c>
      <c r="D93" s="1139">
        <v>-24371510.885079227</v>
      </c>
      <c r="G93" s="694"/>
      <c r="H93" s="694"/>
    </row>
    <row r="94" spans="1:8" s="291" customFormat="1" ht="26.25" x14ac:dyDescent="0.4">
      <c r="A94" s="1140" t="s">
        <v>22</v>
      </c>
      <c r="B94" s="1139">
        <v>721543</v>
      </c>
      <c r="C94" s="1139">
        <v>1000426</v>
      </c>
      <c r="D94" s="1139">
        <v>278883</v>
      </c>
      <c r="G94" s="694"/>
      <c r="H94" s="694"/>
    </row>
    <row r="95" spans="1:8" s="291" customFormat="1" ht="26.25" x14ac:dyDescent="0.4">
      <c r="A95" s="1140" t="s">
        <v>2657</v>
      </c>
      <c r="B95" s="1139">
        <v>1632291.6774193549</v>
      </c>
      <c r="C95" s="1139">
        <v>3056239</v>
      </c>
      <c r="D95" s="1139">
        <v>1423947.3225806453</v>
      </c>
      <c r="G95" s="694"/>
      <c r="H95" s="694"/>
    </row>
    <row r="96" spans="1:8" s="291" customFormat="1" ht="26.25" x14ac:dyDescent="0.4">
      <c r="A96" s="1140" t="s">
        <v>5165</v>
      </c>
      <c r="B96" s="1139"/>
      <c r="C96" s="1139">
        <v>485141</v>
      </c>
      <c r="D96" s="1139">
        <v>485141</v>
      </c>
      <c r="G96" s="694"/>
      <c r="H96" s="694"/>
    </row>
    <row r="97" spans="1:9" s="291" customFormat="1" ht="26.25" x14ac:dyDescent="0.4">
      <c r="A97" s="1140" t="s">
        <v>6635</v>
      </c>
      <c r="B97" s="1139">
        <v>631720</v>
      </c>
      <c r="C97" s="1139">
        <v>1000000</v>
      </c>
      <c r="D97" s="1139">
        <v>368280</v>
      </c>
      <c r="G97" s="694"/>
      <c r="H97" s="694"/>
    </row>
    <row r="98" spans="1:9" s="291" customFormat="1" ht="26.25" x14ac:dyDescent="0.4">
      <c r="A98" s="1140" t="s">
        <v>6516</v>
      </c>
      <c r="B98" s="1139">
        <v>4971444.0025458178</v>
      </c>
      <c r="C98" s="1139">
        <v>7995733</v>
      </c>
      <c r="D98" s="1139">
        <v>3024288.9974541827</v>
      </c>
      <c r="F98" s="4"/>
      <c r="G98" s="245"/>
      <c r="H98" s="245"/>
      <c r="I98" s="4"/>
    </row>
    <row r="99" spans="1:9" s="291" customFormat="1" ht="26.25" x14ac:dyDescent="0.4">
      <c r="A99" s="1140" t="s">
        <v>6447</v>
      </c>
      <c r="B99" s="1139">
        <v>550023</v>
      </c>
      <c r="C99" s="1139">
        <v>1100470</v>
      </c>
      <c r="D99" s="1139">
        <v>550447</v>
      </c>
      <c r="F99" s="4"/>
      <c r="G99" s="245"/>
      <c r="H99" s="245"/>
      <c r="I99" s="4"/>
    </row>
    <row r="100" spans="1:9" s="291" customFormat="1" ht="26.25" x14ac:dyDescent="0.4">
      <c r="A100" s="1140" t="s">
        <v>5746</v>
      </c>
      <c r="B100" s="1139">
        <v>735045</v>
      </c>
      <c r="C100" s="1139">
        <v>1058484</v>
      </c>
      <c r="D100" s="1139">
        <v>323439</v>
      </c>
      <c r="F100" s="4"/>
      <c r="G100" s="245"/>
      <c r="H100" s="245"/>
      <c r="I100" s="4"/>
    </row>
    <row r="101" spans="1:9" s="291" customFormat="1" ht="26.25" x14ac:dyDescent="0.4">
      <c r="A101" s="1140" t="s">
        <v>5671</v>
      </c>
      <c r="B101" s="1139">
        <v>271826</v>
      </c>
      <c r="C101" s="1139">
        <v>563000</v>
      </c>
      <c r="D101" s="1139">
        <v>291174</v>
      </c>
      <c r="F101" s="4"/>
      <c r="G101" s="245"/>
      <c r="H101" s="245"/>
      <c r="I101" s="4"/>
    </row>
    <row r="102" spans="1:9" ht="26.25" x14ac:dyDescent="0.4">
      <c r="A102" s="1140" t="s">
        <v>7764</v>
      </c>
      <c r="B102" s="1139"/>
      <c r="C102" s="1139">
        <v>64507</v>
      </c>
      <c r="D102" s="1139">
        <v>64507</v>
      </c>
    </row>
    <row r="103" spans="1:9" ht="26.25" x14ac:dyDescent="0.4">
      <c r="A103" s="1140" t="s">
        <v>40</v>
      </c>
      <c r="B103" s="1139">
        <v>51386165.801987335</v>
      </c>
      <c r="C103" s="1139">
        <v>69560627</v>
      </c>
      <c r="D103" s="1139">
        <v>18225961.198012669</v>
      </c>
    </row>
    <row r="104" spans="1:9" ht="26.25" x14ac:dyDescent="0.4">
      <c r="A104" s="1140" t="s">
        <v>5227</v>
      </c>
      <c r="B104" s="1139">
        <v>1808575</v>
      </c>
      <c r="C104" s="1139">
        <v>2875708</v>
      </c>
      <c r="D104" s="1139">
        <v>1067133</v>
      </c>
    </row>
    <row r="105" spans="1:9" ht="26.25" x14ac:dyDescent="0.4">
      <c r="A105" s="1140" t="s">
        <v>3622</v>
      </c>
      <c r="B105" s="1139">
        <v>7385548</v>
      </c>
      <c r="C105" s="1139">
        <v>12071334</v>
      </c>
      <c r="D105" s="1139">
        <v>4685786</v>
      </c>
    </row>
    <row r="106" spans="1:9" ht="26.25" x14ac:dyDescent="0.4">
      <c r="A106" s="1140" t="s">
        <v>3733</v>
      </c>
      <c r="B106" s="1139">
        <v>5642256.6693548393</v>
      </c>
      <c r="C106" s="1139">
        <v>6215763</v>
      </c>
      <c r="D106" s="1139">
        <v>573506.33064516122</v>
      </c>
    </row>
    <row r="107" spans="1:9" ht="26.25" x14ac:dyDescent="0.4">
      <c r="A107" s="1140" t="s">
        <v>8828</v>
      </c>
      <c r="B107" s="1139">
        <v>785021</v>
      </c>
      <c r="C107" s="1139">
        <v>690021</v>
      </c>
      <c r="D107" s="1139">
        <v>-95000</v>
      </c>
    </row>
    <row r="108" spans="1:9" ht="26.25" x14ac:dyDescent="0.4">
      <c r="A108" s="1140" t="s">
        <v>8891</v>
      </c>
      <c r="B108" s="1139">
        <v>84014</v>
      </c>
      <c r="C108" s="1139">
        <v>88818</v>
      </c>
      <c r="D108" s="1139">
        <v>4804</v>
      </c>
    </row>
    <row r="109" spans="1:9" ht="26.25" x14ac:dyDescent="0.4">
      <c r="A109" s="1140" t="s">
        <v>9515</v>
      </c>
      <c r="B109" s="1139">
        <v>332250</v>
      </c>
      <c r="C109" s="1139"/>
      <c r="D109" s="1139">
        <v>-332250</v>
      </c>
    </row>
    <row r="110" spans="1:9" ht="26.25" x14ac:dyDescent="0.4">
      <c r="A110" s="1140" t="s">
        <v>10373</v>
      </c>
      <c r="B110" s="1139">
        <v>25000</v>
      </c>
      <c r="C110" s="1139"/>
      <c r="D110" s="1139">
        <v>-25000</v>
      </c>
    </row>
    <row r="111" spans="1:9" ht="26.25" x14ac:dyDescent="0.4">
      <c r="A111" s="1137" t="s">
        <v>10363</v>
      </c>
      <c r="B111" s="1139">
        <v>112800</v>
      </c>
      <c r="C111" s="1139"/>
      <c r="D111" s="1139">
        <v>-112800</v>
      </c>
    </row>
    <row r="112" spans="1:9" ht="26.25" x14ac:dyDescent="0.4">
      <c r="A112" s="1140" t="s">
        <v>11625</v>
      </c>
      <c r="B112" s="1139">
        <v>92210</v>
      </c>
      <c r="C112" s="1139">
        <v>112665</v>
      </c>
      <c r="D112" s="1139">
        <v>20455</v>
      </c>
    </row>
    <row r="113" spans="1:4" ht="26.25" x14ac:dyDescent="0.4">
      <c r="A113" s="1137" t="s">
        <v>11716</v>
      </c>
      <c r="B113" s="1139">
        <v>56173</v>
      </c>
      <c r="C113" s="1139"/>
      <c r="D113" s="1139">
        <v>-56173</v>
      </c>
    </row>
    <row r="114" spans="1:4" ht="26.25" x14ac:dyDescent="0.4">
      <c r="A114" s="1137" t="s">
        <v>12455</v>
      </c>
      <c r="B114" s="1139">
        <v>20900</v>
      </c>
      <c r="C114" s="1139"/>
      <c r="D114" s="1139">
        <v>-20900</v>
      </c>
    </row>
    <row r="115" spans="1:4" ht="26.25" x14ac:dyDescent="0.4">
      <c r="A115" s="1137" t="s">
        <v>12710</v>
      </c>
      <c r="B115" s="1139">
        <v>1071000</v>
      </c>
      <c r="C115" s="1139"/>
      <c r="D115" s="1139">
        <v>-1071000</v>
      </c>
    </row>
    <row r="116" spans="1:4" ht="26.25" x14ac:dyDescent="0.4">
      <c r="A116" s="1138" t="s">
        <v>12711</v>
      </c>
      <c r="B116" s="1139">
        <v>1071000</v>
      </c>
      <c r="C116" s="1139"/>
      <c r="D116" s="1139">
        <v>-1071000</v>
      </c>
    </row>
    <row r="117" spans="1:4" ht="26.25" x14ac:dyDescent="0.4">
      <c r="A117" s="1137" t="s">
        <v>12786</v>
      </c>
      <c r="B117" s="1139">
        <v>75000</v>
      </c>
      <c r="C117" s="1139"/>
      <c r="D117" s="1139">
        <v>-75000</v>
      </c>
    </row>
    <row r="118" spans="1:4" ht="26.25" x14ac:dyDescent="0.4">
      <c r="A118" s="1138" t="s">
        <v>12787</v>
      </c>
      <c r="B118" s="1139">
        <v>75000</v>
      </c>
      <c r="C118" s="1139"/>
      <c r="D118" s="1139">
        <v>-75000</v>
      </c>
    </row>
    <row r="119" spans="1:4" ht="26.25" x14ac:dyDescent="0.4">
      <c r="A119" s="1140" t="s">
        <v>45</v>
      </c>
      <c r="B119" s="1139">
        <v>904889550.60898054</v>
      </c>
      <c r="C119" s="1139">
        <v>1149303312.9299998</v>
      </c>
      <c r="D119" s="1139">
        <v>244699789.04682606</v>
      </c>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54"/>
  <sheetViews>
    <sheetView workbookViewId="0">
      <pane ySplit="1" topLeftCell="A29" activePane="bottomLeft" state="frozen"/>
      <selection pane="bottomLeft" activeCell="B36" sqref="B36:B52"/>
    </sheetView>
  </sheetViews>
  <sheetFormatPr defaultRowHeight="18.75" x14ac:dyDescent="0.3"/>
  <cols>
    <col min="1" max="1" width="36.7109375" style="4" customWidth="1"/>
    <col min="2" max="2" width="19.140625" style="245" customWidth="1"/>
    <col min="3" max="3" width="19.7109375" style="245" customWidth="1"/>
    <col min="4" max="4" width="16.140625" style="245" customWidth="1"/>
    <col min="5" max="5" width="17.28515625" style="245" customWidth="1"/>
    <col min="6" max="6" width="1.5703125" style="245" customWidth="1"/>
    <col min="7" max="8" width="17.42578125" style="245" customWidth="1"/>
    <col min="9" max="9" width="17.5703125" style="245" customWidth="1"/>
    <col min="10" max="10" width="22.5703125" style="245" customWidth="1"/>
    <col min="11" max="12" width="17.7109375" style="245" customWidth="1"/>
    <col min="13" max="13" width="26.140625" style="245" customWidth="1"/>
    <col min="14" max="14" width="18.28515625" bestFit="1" customWidth="1"/>
    <col min="16" max="16" width="18.28515625" bestFit="1" customWidth="1"/>
  </cols>
  <sheetData>
    <row r="1" spans="1:16" ht="49.5" customHeight="1" thickBot="1" x14ac:dyDescent="0.3">
      <c r="A1" s="1069" t="s">
        <v>10896</v>
      </c>
      <c r="B1" s="1070" t="s">
        <v>10897</v>
      </c>
      <c r="C1" s="1070" t="s">
        <v>10898</v>
      </c>
      <c r="D1" s="1070" t="s">
        <v>955</v>
      </c>
      <c r="E1" s="1070" t="s">
        <v>10899</v>
      </c>
      <c r="F1" s="1071"/>
      <c r="G1" s="1070" t="s">
        <v>3</v>
      </c>
      <c r="H1" s="1070" t="s">
        <v>10900</v>
      </c>
      <c r="I1" s="1070" t="s">
        <v>10910</v>
      </c>
      <c r="J1" s="1072" t="s">
        <v>10952</v>
      </c>
      <c r="K1" s="1072" t="s">
        <v>11020</v>
      </c>
      <c r="L1" s="1072" t="s">
        <v>11543</v>
      </c>
      <c r="M1" s="1073" t="s">
        <v>11021</v>
      </c>
    </row>
    <row r="2" spans="1:16" x14ac:dyDescent="0.25">
      <c r="A2" s="1068" t="s">
        <v>10232</v>
      </c>
      <c r="B2" s="1156" t="s">
        <v>10901</v>
      </c>
      <c r="C2" s="1028">
        <v>47002950</v>
      </c>
      <c r="D2" s="1028">
        <f>C2*5%</f>
        <v>2350147.5</v>
      </c>
      <c r="E2" s="1028">
        <f>C2-D2</f>
        <v>44652802.5</v>
      </c>
      <c r="F2" s="1044"/>
      <c r="G2" s="1064">
        <f ca="1">SUMIF(Posting!$B:$E,A2,Posting!$E:$E)</f>
        <v>20627108.333333336</v>
      </c>
      <c r="H2" s="1065">
        <f ca="1">SUMIF(Posting!$B:$F,A2,Posting!$F:$F)</f>
        <v>35692766</v>
      </c>
      <c r="I2" s="1064">
        <f ca="1">SUMIF(Supplier!$B:$F,A2,Supplier!$E:$E)-SUMIF(Supplier!$B:$F,A2,Supplier!$F:$F)</f>
        <v>296686</v>
      </c>
      <c r="J2" s="1064">
        <v>30787947.325000003</v>
      </c>
      <c r="K2" s="1064"/>
      <c r="L2" s="1064"/>
      <c r="M2" s="1065">
        <f ca="1">J2+K2-H2-L2</f>
        <v>-4904818.674999997</v>
      </c>
    </row>
    <row r="3" spans="1:16" x14ac:dyDescent="0.25">
      <c r="A3" s="940" t="s">
        <v>10144</v>
      </c>
      <c r="B3" s="1156"/>
      <c r="C3" s="1021">
        <v>9767572.5</v>
      </c>
      <c r="D3" s="1021">
        <v>0</v>
      </c>
      <c r="E3" s="1021">
        <f t="shared" ref="E3:E52" si="0">C3-D3</f>
        <v>9767572.5</v>
      </c>
      <c r="F3" s="1040"/>
      <c r="G3" s="1022">
        <f ca="1">SUMIF(Posting!$B:$E,A3,Posting!$E:$E)</f>
        <v>6835862</v>
      </c>
      <c r="H3" s="1034">
        <f ca="1">SUMIF(Posting!$B:$F,A3,Posting!$F:$F)</f>
        <v>7704349</v>
      </c>
      <c r="I3" s="1022">
        <f ca="1">SUMIF(Supplier!$B:$F,A3,Supplier!$E:$E)-SUMIF(Supplier!$B:$F,A3,Supplier!$F:$F)</f>
        <v>0</v>
      </c>
      <c r="J3" s="1091">
        <v>9117573</v>
      </c>
      <c r="K3" s="1022"/>
      <c r="L3" s="1022">
        <v>455879</v>
      </c>
      <c r="M3" s="1022">
        <f>L3</f>
        <v>455879</v>
      </c>
      <c r="N3" s="3"/>
    </row>
    <row r="4" spans="1:16" x14ac:dyDescent="0.25">
      <c r="A4" s="938" t="s">
        <v>10023</v>
      </c>
      <c r="B4" s="1156"/>
      <c r="C4" s="1021">
        <v>8741941</v>
      </c>
      <c r="D4" s="1021"/>
      <c r="E4" s="1021">
        <f t="shared" si="0"/>
        <v>8741941</v>
      </c>
      <c r="F4" s="1041"/>
      <c r="G4" s="1022">
        <f ca="1">SUMIF(Posting!$B:$E,A4,Posting!$E:$E)</f>
        <v>8366313.5</v>
      </c>
      <c r="H4" s="1022">
        <f ca="1">SUMIF(Posting!$B:$F,A4,Posting!$F:$F)</f>
        <v>7120000</v>
      </c>
      <c r="I4" s="1022">
        <f ca="1">SUMIF(Supplier!$B:$F,A4,Supplier!$E:$E)-SUMIF(Supplier!$B:$F,A4,Supplier!$F:$F)</f>
        <v>105773</v>
      </c>
      <c r="J4" s="1022">
        <v>9700603.1750000007</v>
      </c>
      <c r="K4" s="1022">
        <v>5557700</v>
      </c>
      <c r="L4" s="1022"/>
      <c r="M4" s="1022">
        <f ca="1">J4+K4-H4</f>
        <v>8138303.1750000007</v>
      </c>
    </row>
    <row r="5" spans="1:16" x14ac:dyDescent="0.25">
      <c r="A5" s="1023" t="s">
        <v>10953</v>
      </c>
      <c r="B5" s="1156"/>
      <c r="C5" s="1024">
        <v>6335567.4188222345</v>
      </c>
      <c r="D5" s="1024">
        <f>C5*9.15%</f>
        <v>579704.4188222345</v>
      </c>
      <c r="E5" s="1021">
        <f t="shared" si="0"/>
        <v>5755863</v>
      </c>
      <c r="F5" s="1042"/>
      <c r="G5" s="1022">
        <f ca="1">SUMIF(Posting!$B:$E,A5,Posting!$E:$E)</f>
        <v>3963168.4623655914</v>
      </c>
      <c r="H5" s="1022">
        <f ca="1">SUMIF(Posting!$B:$F,A5,Posting!$F:$F)</f>
        <v>2000000</v>
      </c>
      <c r="I5" s="1022">
        <f ca="1">SUMIF(Supplier!$B:$F,A5,Supplier!$E:$E)-SUMIF(Supplier!$B:$F,A5,Supplier!$F:$F)</f>
        <v>446348</v>
      </c>
      <c r="J5" s="1066"/>
      <c r="K5" s="1022">
        <v>1365810.9350000001</v>
      </c>
      <c r="L5" s="1022"/>
      <c r="M5" s="1022"/>
      <c r="N5" s="1"/>
    </row>
    <row r="6" spans="1:16" x14ac:dyDescent="0.25">
      <c r="A6" s="1023" t="s">
        <v>4721</v>
      </c>
      <c r="B6" s="1156"/>
      <c r="C6" s="1024"/>
      <c r="D6" s="1024"/>
      <c r="E6" s="1024"/>
      <c r="F6" s="1042"/>
      <c r="G6" s="1022">
        <f ca="1">SUMIF(Posting!$B:$E,A6,Posting!$E:$E)</f>
        <v>4198143.8588709673</v>
      </c>
      <c r="H6" s="1022">
        <f ca="1">SUMIF(Posting!$B:$F,A6,Posting!$F:$F)</f>
        <v>15155996.9</v>
      </c>
      <c r="I6" s="1022">
        <f ca="1">SUMIF(Supplier!$B:$F,A6,Supplier!$E:$E)-SUMIF(Supplier!$B:$F,A6,Supplier!$F:$F)</f>
        <v>162620</v>
      </c>
      <c r="J6" s="1022"/>
      <c r="K6" s="1022"/>
      <c r="L6" s="1022">
        <v>244000.57500000007</v>
      </c>
      <c r="M6" s="1022">
        <f>L6</f>
        <v>244000.57500000007</v>
      </c>
      <c r="N6" s="1"/>
    </row>
    <row r="7" spans="1:16" x14ac:dyDescent="0.25">
      <c r="A7" s="1023" t="s">
        <v>6505</v>
      </c>
      <c r="B7" s="1156"/>
      <c r="C7" s="1024"/>
      <c r="D7" s="1024"/>
      <c r="E7" s="1024"/>
      <c r="F7" s="1042"/>
      <c r="G7" s="1022">
        <f ca="1">SUMIF(Posting!$B:$E,A7,Posting!$E:$E)</f>
        <v>5379194.9715821808</v>
      </c>
      <c r="H7" s="1022">
        <f ca="1">SUMIF(Posting!$B:$F,A7,Posting!$F:$F)</f>
        <v>12473884</v>
      </c>
      <c r="I7" s="1022">
        <f ca="1">SUMIF(Supplier!$B:$F,A7,Supplier!$E:$E)-SUMIF(Supplier!$B:$F,A7,Supplier!$F:$F)</f>
        <v>0</v>
      </c>
      <c r="J7" s="1022"/>
      <c r="K7" s="1022"/>
      <c r="L7" s="1022">
        <v>1290769.4662500001</v>
      </c>
      <c r="M7" s="1022">
        <f>L7</f>
        <v>1290769.4662500001</v>
      </c>
      <c r="N7" s="1"/>
    </row>
    <row r="8" spans="1:16" s="4" customFormat="1" ht="19.5" thickBot="1" x14ac:dyDescent="0.35">
      <c r="A8" s="939" t="s">
        <v>9832</v>
      </c>
      <c r="B8" s="1157"/>
      <c r="C8" s="1025">
        <v>78840000</v>
      </c>
      <c r="D8" s="1025">
        <v>11384496</v>
      </c>
      <c r="E8" s="1025">
        <f t="shared" si="0"/>
        <v>67455504</v>
      </c>
      <c r="F8" s="1043"/>
      <c r="G8" s="1022">
        <f ca="1">SUMIF(Posting!$B:$E,A8,Posting!$E:$E)</f>
        <v>28989875</v>
      </c>
      <c r="H8" s="1026">
        <f ca="1">SUMIF(Posting!$B:$F,A8,Posting!$F:$F)</f>
        <v>23295000</v>
      </c>
      <c r="I8" s="1022">
        <f ca="1">SUMIF(Supplier!$B:$F,A8,Supplier!$E:$E)-SUMIF(Supplier!$B:$F,A8,Supplier!$F:$F)</f>
        <v>780143</v>
      </c>
      <c r="J8" s="1066"/>
      <c r="K8" s="1022"/>
      <c r="L8" s="1022"/>
      <c r="M8" s="1022"/>
      <c r="N8" s="1097"/>
    </row>
    <row r="9" spans="1:16" s="4" customFormat="1" ht="7.5" customHeight="1" thickBot="1" x14ac:dyDescent="0.35">
      <c r="A9" s="1036"/>
      <c r="B9" s="1037"/>
      <c r="C9" s="1037"/>
      <c r="D9" s="1037"/>
      <c r="E9" s="1037"/>
      <c r="F9" s="1037"/>
      <c r="G9" s="1038"/>
      <c r="H9" s="1038"/>
      <c r="I9" s="1037"/>
      <c r="J9" s="1037"/>
      <c r="K9" s="1037"/>
      <c r="L9" s="1037"/>
      <c r="M9" s="1037"/>
    </row>
    <row r="10" spans="1:16" s="4" customFormat="1" ht="19.5" thickBot="1" x14ac:dyDescent="0.35">
      <c r="A10" s="1027" t="s">
        <v>12532</v>
      </c>
      <c r="B10" s="1156" t="s">
        <v>10902</v>
      </c>
      <c r="C10" s="1019">
        <v>13262828</v>
      </c>
      <c r="D10" s="1019"/>
      <c r="E10" s="1019">
        <f t="shared" ref="E10" si="1">C10-D10</f>
        <v>13262828</v>
      </c>
      <c r="F10" s="1039"/>
      <c r="G10" s="1022">
        <f ca="1">SUMIF(Posting!$B:$E,A10,Posting!$E:$E)</f>
        <v>6725412</v>
      </c>
      <c r="H10" s="1020">
        <f ca="1">SUMIF(Posting!$B:$F,A10,Posting!$F:$F)</f>
        <v>8053923</v>
      </c>
      <c r="I10" s="1022">
        <f ca="1">SUMIF(Supplier!$B:$F,A10,Supplier!$E:$E)-SUMIF(Supplier!$B:$F,A10,Supplier!$F:$F)</f>
        <v>45459</v>
      </c>
      <c r="J10" s="1022">
        <v>1128677.0199999996</v>
      </c>
      <c r="K10" s="1022"/>
      <c r="L10" s="1064"/>
      <c r="M10" s="1035">
        <f>J10</f>
        <v>1128677.0199999996</v>
      </c>
      <c r="N10" s="1097"/>
    </row>
    <row r="11" spans="1:16" s="4" customFormat="1" ht="19.5" thickBot="1" x14ac:dyDescent="0.35">
      <c r="A11" s="1027" t="s">
        <v>12713</v>
      </c>
      <c r="B11" s="1156"/>
      <c r="C11" s="1019"/>
      <c r="D11" s="1019"/>
      <c r="E11" s="1019"/>
      <c r="F11" s="1039"/>
      <c r="G11" s="1022">
        <f ca="1">SUMIF(Posting!$B:$E,A11,Posting!$E:$E)</f>
        <v>1005000</v>
      </c>
      <c r="H11" s="1020">
        <f ca="1">SUMIF(Posting!$B:$F,A11,Posting!$F:$F)</f>
        <v>0</v>
      </c>
      <c r="I11" s="1022">
        <f ca="1">SUMIF(Supplier!$B:$F,A11,Supplier!$E:$E)-SUMIF(Supplier!$B:$F,A11,Supplier!$F:$F)</f>
        <v>0</v>
      </c>
      <c r="J11" s="1022"/>
      <c r="K11" s="1022"/>
      <c r="L11" s="1064"/>
      <c r="M11" s="1035"/>
      <c r="N11" s="1097"/>
    </row>
    <row r="12" spans="1:16" s="4" customFormat="1" ht="19.5" thickBot="1" x14ac:dyDescent="0.35">
      <c r="A12" s="1027" t="s">
        <v>9409</v>
      </c>
      <c r="B12" s="1156"/>
      <c r="C12" s="1019">
        <v>13262828</v>
      </c>
      <c r="D12" s="1019"/>
      <c r="E12" s="1019">
        <f t="shared" si="0"/>
        <v>13262828</v>
      </c>
      <c r="F12" s="1039"/>
      <c r="G12" s="1022">
        <f ca="1">SUMIF(Posting!$B:$E,A12,Posting!$E:$E)</f>
        <v>6184137.7741935486</v>
      </c>
      <c r="H12" s="1020">
        <f ca="1">SUMIF(Posting!$B:$F,A12,Posting!$F:$F)</f>
        <v>12225909</v>
      </c>
      <c r="I12" s="1022">
        <f ca="1">SUMIF(Supplier!$B:$F,A12,Supplier!$E:$E)-SUMIF(Supplier!$B:$F,A12,Supplier!$F:$F)</f>
        <v>0</v>
      </c>
      <c r="J12" s="1022">
        <v>1128677.0199999996</v>
      </c>
      <c r="K12" s="1022"/>
      <c r="L12" s="1064"/>
      <c r="M12" s="1035">
        <f>J12</f>
        <v>1128677.0199999996</v>
      </c>
      <c r="N12" s="1097"/>
    </row>
    <row r="13" spans="1:16" s="4" customFormat="1" ht="19.5" thickBot="1" x14ac:dyDescent="0.35">
      <c r="A13" s="940" t="s">
        <v>9464</v>
      </c>
      <c r="B13" s="1156"/>
      <c r="C13" s="1021">
        <v>2954733</v>
      </c>
      <c r="D13" s="1021"/>
      <c r="E13" s="1021">
        <f t="shared" si="0"/>
        <v>2954733</v>
      </c>
      <c r="F13" s="1041"/>
      <c r="G13" s="1022">
        <f ca="1">SUMIF(Posting!$B:$E,A13,Posting!$E:$E)</f>
        <v>2249169</v>
      </c>
      <c r="H13" s="1022">
        <f ca="1">SUMIF(Posting!$B:$F,A13,Posting!$F:$F)</f>
        <v>2722000</v>
      </c>
      <c r="I13" s="1022">
        <f ca="1">SUMIF(Supplier!$B:$F,A13,Supplier!$E:$E)-SUMIF(Supplier!$B:$F,A13,Supplier!$F:$F)</f>
        <v>15350</v>
      </c>
      <c r="J13" s="1066"/>
      <c r="K13" s="1022"/>
      <c r="L13" s="1064"/>
      <c r="M13" s="1035"/>
      <c r="N13" s="1097"/>
      <c r="P13" s="1097"/>
    </row>
    <row r="14" spans="1:16" s="4" customFormat="1" x14ac:dyDescent="0.3">
      <c r="A14" s="940" t="s">
        <v>8559</v>
      </c>
      <c r="B14" s="1156"/>
      <c r="C14" s="1021"/>
      <c r="D14" s="1021"/>
      <c r="E14" s="1021"/>
      <c r="F14" s="1041"/>
      <c r="G14" s="1022">
        <f ca="1">SUMIF(Posting!$B:$E,A14,Posting!$E:$E)</f>
        <v>6147754</v>
      </c>
      <c r="H14" s="1022">
        <f ca="1">SUMIF(Posting!$B:$F,A14,Posting!$F:$F)</f>
        <v>5930062</v>
      </c>
      <c r="I14" s="1022">
        <f ca="1">SUMIF(Supplier!$B:$F,A14,Supplier!$E:$E)-SUMIF(Supplier!$B:$F,A14,Supplier!$F:$F)</f>
        <v>491326</v>
      </c>
      <c r="J14" s="1022">
        <v>5746832</v>
      </c>
      <c r="K14" s="1022"/>
      <c r="L14" s="1064"/>
      <c r="M14" s="1035">
        <f ca="1">J14-H14</f>
        <v>-183230</v>
      </c>
      <c r="N14" s="1045"/>
    </row>
    <row r="15" spans="1:16" s="4" customFormat="1" x14ac:dyDescent="0.3">
      <c r="A15" s="940" t="s">
        <v>12207</v>
      </c>
      <c r="B15" s="1156"/>
      <c r="C15" s="1021"/>
      <c r="D15" s="1021"/>
      <c r="E15" s="1021"/>
      <c r="F15" s="1041"/>
      <c r="G15" s="1022">
        <f ca="1">SUMIF(Posting!$B:$E,A15,Posting!$E:$E)</f>
        <v>3601946</v>
      </c>
      <c r="H15" s="1022">
        <f ca="1">SUMIF(Posting!$B:$F,A15,Posting!$F:$F)</f>
        <v>13975308</v>
      </c>
      <c r="I15" s="1022">
        <f ca="1">SUMIF(Supplier!$B:$F,A15,Supplier!$E:$E)-SUMIF(Supplier!$B:$F,A15,Supplier!$F:$F)</f>
        <v>1374564</v>
      </c>
      <c r="J15" s="1022"/>
      <c r="K15" s="1022"/>
      <c r="L15" s="1064"/>
      <c r="M15" s="1064"/>
      <c r="N15" s="1045"/>
    </row>
    <row r="16" spans="1:16" s="4" customFormat="1" x14ac:dyDescent="0.3">
      <c r="A16" s="940" t="s">
        <v>12247</v>
      </c>
      <c r="B16" s="1156"/>
      <c r="C16" s="1021"/>
      <c r="D16" s="1021"/>
      <c r="E16" s="1021"/>
      <c r="F16" s="1041"/>
      <c r="G16" s="1022">
        <f ca="1">SUMIF(Posting!$B:$E,A16,Posting!$E:$E)</f>
        <v>0</v>
      </c>
      <c r="H16" s="1022">
        <f ca="1">SUMIF(Posting!$B:$F,A16,Posting!$F:$F)</f>
        <v>0</v>
      </c>
      <c r="I16" s="1022">
        <f ca="1">SUMIF(Supplier!$B:$F,A16,Supplier!$E:$E)-SUMIF(Supplier!$B:$F,A16,Supplier!$F:$F)</f>
        <v>27500</v>
      </c>
      <c r="J16" s="1022"/>
      <c r="K16" s="1022"/>
      <c r="L16" s="1064"/>
      <c r="M16" s="1064"/>
      <c r="N16" s="1045"/>
    </row>
    <row r="17" spans="1:13" s="4" customFormat="1" x14ac:dyDescent="0.3">
      <c r="A17" s="940" t="s">
        <v>10379</v>
      </c>
      <c r="B17" s="1156"/>
      <c r="C17" s="1021"/>
      <c r="D17" s="1021"/>
      <c r="E17" s="1021"/>
      <c r="F17" s="1041"/>
      <c r="G17" s="1022">
        <f ca="1">SUMIF(Posting!$B:$E,A17,Posting!$E:$E)</f>
        <v>4030880</v>
      </c>
      <c r="H17" s="1022">
        <f ca="1">SUMIF(Posting!$B:$F,A17,Posting!$F:$F)</f>
        <v>3000000</v>
      </c>
      <c r="I17" s="1022">
        <f ca="1">SUMIF(Supplier!$B:$F,A17,Supplier!$E:$E)-SUMIF(Supplier!$B:$F,A17,Supplier!$F:$F)</f>
        <v>0</v>
      </c>
      <c r="J17" s="1022">
        <f>'[1]Table 2'!$J$182</f>
        <v>8104725</v>
      </c>
      <c r="K17" s="1022"/>
      <c r="L17" s="1064"/>
      <c r="M17" s="1065">
        <f ca="1">J17+K17-H17-L17</f>
        <v>5104725</v>
      </c>
    </row>
    <row r="18" spans="1:13" s="4" customFormat="1" ht="19.5" thickBot="1" x14ac:dyDescent="0.35">
      <c r="A18" s="940" t="s">
        <v>11617</v>
      </c>
      <c r="B18" s="1156"/>
      <c r="C18" s="1021"/>
      <c r="D18" s="1021"/>
      <c r="E18" s="1021"/>
      <c r="F18" s="1041"/>
      <c r="G18" s="1022">
        <f ca="1">SUMIF(Posting!$B:$E,A18,Posting!$E:$E)</f>
        <v>3811277</v>
      </c>
      <c r="H18" s="1022">
        <f ca="1">SUMIF(Posting!$B:$F,A18,Posting!$F:$F)</f>
        <v>10854400</v>
      </c>
      <c r="I18" s="1022">
        <f ca="1">SUMIF(Supplier!$B:$F,A18,Supplier!$E:$E)-SUMIF(Supplier!$B:$F,A18,Supplier!$F:$F)</f>
        <v>136039</v>
      </c>
      <c r="J18" s="1022"/>
      <c r="K18" s="1022"/>
      <c r="L18" s="1064"/>
      <c r="M18" s="1064"/>
    </row>
    <row r="19" spans="1:13" s="4" customFormat="1" ht="19.5" thickBot="1" x14ac:dyDescent="0.35">
      <c r="A19" s="940" t="s">
        <v>11075</v>
      </c>
      <c r="B19" s="1156"/>
      <c r="C19" s="1021"/>
      <c r="D19" s="1021"/>
      <c r="E19" s="1021"/>
      <c r="F19" s="1041"/>
      <c r="G19" s="1022">
        <f ca="1">SUMIF(Posting!$B:$E,A19,Posting!$E:$E)</f>
        <v>1155980</v>
      </c>
      <c r="H19" s="1022">
        <f ca="1">SUMIF(Posting!$B:$F,A19,Posting!$F:$F)</f>
        <v>1000000</v>
      </c>
      <c r="I19" s="1022">
        <f ca="1">SUMIF(Supplier!$B:$F,A19,Supplier!$E:$E)-SUMIF(Supplier!$B:$F,A19,Supplier!$F:$F)</f>
        <v>0</v>
      </c>
      <c r="J19" s="1066"/>
      <c r="K19" s="1022"/>
      <c r="L19" s="1064"/>
      <c r="M19" s="1035"/>
    </row>
    <row r="20" spans="1:13" s="4" customFormat="1" ht="19.5" thickBot="1" x14ac:dyDescent="0.35">
      <c r="A20" s="940" t="s">
        <v>2933</v>
      </c>
      <c r="B20" s="1156"/>
      <c r="C20" s="1021"/>
      <c r="D20" s="1021"/>
      <c r="E20" s="1021"/>
      <c r="F20" s="1041"/>
      <c r="G20" s="1022">
        <f ca="1">SUMIF(Posting!$B:$E,A20,Posting!$E:$E)</f>
        <v>97556794.74362056</v>
      </c>
      <c r="H20" s="1022">
        <f ca="1">SUMIF(Posting!$B:$F,A20,Posting!$F:$F)</f>
        <v>137552234</v>
      </c>
      <c r="I20" s="1022">
        <f ca="1">SUMIF(Supplier!$B:$F,A20,Supplier!$E:$E)-SUMIF(Supplier!$B:$F,A20,Supplier!$F:$F)</f>
        <v>0</v>
      </c>
      <c r="J20" s="1022"/>
      <c r="K20" s="1022"/>
      <c r="L20" s="1064">
        <v>7500000</v>
      </c>
      <c r="M20" s="1035">
        <f>L20</f>
        <v>7500000</v>
      </c>
    </row>
    <row r="21" spans="1:13" s="4" customFormat="1" ht="19.5" thickBot="1" x14ac:dyDescent="0.35">
      <c r="A21" s="940" t="s">
        <v>11503</v>
      </c>
      <c r="B21" s="1156"/>
      <c r="C21" s="1021"/>
      <c r="D21" s="1021"/>
      <c r="E21" s="1021"/>
      <c r="F21" s="1041"/>
      <c r="G21" s="1022">
        <f ca="1">SUMIF(Posting!$B:$E,A21,Posting!$E:$E)</f>
        <v>76862</v>
      </c>
      <c r="H21" s="1022">
        <f ca="1">SUMIF(Posting!$B:$F,A21,Posting!$F:$F)</f>
        <v>200000</v>
      </c>
      <c r="I21" s="1022">
        <f ca="1">SUMIF(Supplier!$B:$F,A21,Supplier!$E:$E)-SUMIF(Supplier!$B:$F,A21,Supplier!$F:$F)</f>
        <v>0</v>
      </c>
      <c r="J21" s="1022">
        <f>[2]HVAC!$H$29</f>
        <v>604761.59999999998</v>
      </c>
      <c r="K21" s="1022"/>
      <c r="L21" s="1064"/>
      <c r="M21" s="1035">
        <f ca="1">IF(J21&gt;H21,J21+K21-H21,"Bill will be submitted")</f>
        <v>404761.59999999998</v>
      </c>
    </row>
    <row r="22" spans="1:13" s="4" customFormat="1" ht="19.5" thickBot="1" x14ac:dyDescent="0.35">
      <c r="A22" s="940" t="s">
        <v>11007</v>
      </c>
      <c r="B22" s="1156"/>
      <c r="C22" s="1021"/>
      <c r="D22" s="1021"/>
      <c r="E22" s="1021"/>
      <c r="F22" s="1041"/>
      <c r="G22" s="1022">
        <f ca="1">SUMIF(Posting!$B:$E,A22,Posting!$E:$E)</f>
        <v>319470</v>
      </c>
      <c r="H22" s="1022">
        <f ca="1">SUMIF(Posting!$B:$F,A22,Posting!$F:$F)</f>
        <v>900000</v>
      </c>
      <c r="I22" s="1022">
        <f ca="1">SUMIF(Supplier!$B:$F,A22,Supplier!$E:$E)-SUMIF(Supplier!$B:$F,A22,Supplier!$F:$F)</f>
        <v>0</v>
      </c>
      <c r="J22" s="1022">
        <f>[3]HVAC!$H$29</f>
        <v>366662.40000000002</v>
      </c>
      <c r="K22" s="1022"/>
      <c r="L22" s="1064"/>
      <c r="M22" s="1035" t="str">
        <f ca="1">IF(J22&gt;H22,J22+K22-H22,"Bill will be submitted")</f>
        <v>Bill will be submitted</v>
      </c>
    </row>
    <row r="23" spans="1:13" s="4" customFormat="1" ht="19.5" thickBot="1" x14ac:dyDescent="0.35">
      <c r="A23" s="940" t="s">
        <v>10911</v>
      </c>
      <c r="B23" s="1156"/>
      <c r="C23" s="1021"/>
      <c r="D23" s="1021"/>
      <c r="E23" s="1021"/>
      <c r="F23" s="1041"/>
      <c r="G23" s="1022">
        <f ca="1">SUMIF(Posting!$B:$E,A23,Posting!$E:$E)</f>
        <v>138515</v>
      </c>
      <c r="H23" s="1022">
        <f ca="1">SUMIF(Posting!$B:$F,A23,Posting!$F:$F)</f>
        <v>500000</v>
      </c>
      <c r="I23" s="1022">
        <f ca="1">SUMIF(Supplier!$B:$F,A23,Supplier!$E:$E)-SUMIF(Supplier!$B:$F,A23,Supplier!$F:$F)</f>
        <v>15000</v>
      </c>
      <c r="J23" s="1022"/>
      <c r="K23" s="1022"/>
      <c r="L23" s="1064"/>
      <c r="M23" s="1067" t="s">
        <v>11544</v>
      </c>
    </row>
    <row r="24" spans="1:13" s="4" customFormat="1" ht="19.5" thickBot="1" x14ac:dyDescent="0.35">
      <c r="A24" s="939" t="s">
        <v>9769</v>
      </c>
      <c r="B24" s="1157"/>
      <c r="C24" s="1025">
        <f>15000000+4435160</f>
        <v>19435160</v>
      </c>
      <c r="D24" s="1025"/>
      <c r="E24" s="1025">
        <f t="shared" si="0"/>
        <v>19435160</v>
      </c>
      <c r="F24" s="1043"/>
      <c r="G24" s="1022">
        <f ca="1">SUMIF(Posting!$B:$E,A24,Posting!$E:$E)</f>
        <v>16161004</v>
      </c>
      <c r="H24" s="1026">
        <f ca="1">SUMIF(Posting!$B:$F,A24,Posting!$F:$F)</f>
        <v>19855650</v>
      </c>
      <c r="I24" s="1022">
        <f ca="1">SUMIF(Supplier!$B:$F,A24,Supplier!$E:$E)-SUMIF(Supplier!$B:$F,A24,Supplier!$F:$F)</f>
        <v>113647</v>
      </c>
      <c r="J24" s="1022"/>
      <c r="K24" s="1022"/>
      <c r="L24" s="1064"/>
      <c r="M24" s="1067" t="s">
        <v>11544</v>
      </c>
    </row>
    <row r="25" spans="1:13" s="4" customFormat="1" ht="7.5" customHeight="1" thickBot="1" x14ac:dyDescent="0.35">
      <c r="A25" s="1036"/>
      <c r="B25" s="1037"/>
      <c r="C25" s="1037"/>
      <c r="D25" s="1037"/>
      <c r="E25" s="1037"/>
      <c r="F25" s="1037"/>
      <c r="G25" s="1038"/>
      <c r="H25" s="1038"/>
      <c r="I25" s="1037"/>
      <c r="J25" s="1037"/>
      <c r="K25" s="1037"/>
      <c r="L25" s="1037"/>
      <c r="M25" s="1037"/>
    </row>
    <row r="26" spans="1:13" s="4" customFormat="1" ht="19.5" thickBot="1" x14ac:dyDescent="0.35">
      <c r="A26" s="1027" t="s">
        <v>9356</v>
      </c>
      <c r="B26" s="1158" t="s">
        <v>10903</v>
      </c>
      <c r="C26" s="1019">
        <v>28340413.5</v>
      </c>
      <c r="D26" s="1019"/>
      <c r="E26" s="1019">
        <f t="shared" si="0"/>
        <v>28340413.5</v>
      </c>
      <c r="F26" s="1039"/>
      <c r="G26" s="1022">
        <f ca="1">SUMIF(Posting!$B:$E,A26,Posting!$E:$E)</f>
        <v>23478366.833333332</v>
      </c>
      <c r="H26" s="1020">
        <f ca="1">SUMIF(Posting!$B:$F,A26,Posting!$F:$F)</f>
        <v>26812706</v>
      </c>
      <c r="I26" s="1022">
        <f ca="1">SUMIF(Supplier!$B:$F,A26,Supplier!$E:$E)-SUMIF(Supplier!$B:$F,A26,Supplier!$F:$F)</f>
        <v>167559</v>
      </c>
      <c r="J26" s="1022">
        <v>25423994.165999997</v>
      </c>
      <c r="K26" s="1022">
        <v>5940507.6512000002</v>
      </c>
      <c r="L26" s="1064"/>
      <c r="M26" s="1022">
        <f ca="1">J26+K26-H26-L26</f>
        <v>4551795.8171999976</v>
      </c>
    </row>
    <row r="27" spans="1:13" s="4" customFormat="1" ht="19.5" thickBot="1" x14ac:dyDescent="0.35">
      <c r="A27" s="1095" t="s">
        <v>11716</v>
      </c>
      <c r="B27" s="1156"/>
      <c r="C27" s="1094"/>
      <c r="D27" s="1094"/>
      <c r="E27" s="1094"/>
      <c r="F27" s="1096"/>
      <c r="G27" s="1022">
        <f ca="1">SUMIF(Posting!$B:$E,A27,Posting!$E:$E)</f>
        <v>56173</v>
      </c>
      <c r="H27" s="1020">
        <f ca="1">SUMIF(Posting!$B:$F,A27,Posting!$F:$F)</f>
        <v>0</v>
      </c>
      <c r="I27" s="1022">
        <f ca="1">SUMIF(Supplier!$B:$F,A27,Supplier!$E:$E)-SUMIF(Supplier!$B:$F,A27,Supplier!$F:$F)</f>
        <v>6768</v>
      </c>
      <c r="J27" s="1022"/>
      <c r="K27" s="1022"/>
      <c r="L27" s="1064"/>
      <c r="M27" s="1064"/>
    </row>
    <row r="28" spans="1:13" s="4" customFormat="1" ht="19.5" thickBot="1" x14ac:dyDescent="0.35">
      <c r="A28" s="1030" t="s">
        <v>10908</v>
      </c>
      <c r="B28" s="1159"/>
      <c r="C28" s="1025">
        <v>33854640.027999997</v>
      </c>
      <c r="D28" s="1025"/>
      <c r="E28" s="1025">
        <f t="shared" si="0"/>
        <v>33854640.027999997</v>
      </c>
      <c r="F28" s="1043"/>
      <c r="G28" s="1022">
        <f ca="1">SUMIF(Posting!$B:$E,A28,Posting!$E:$E)</f>
        <v>21151521.397849467</v>
      </c>
      <c r="H28" s="1026">
        <f ca="1">SUMIF(Posting!$B:$F,A28,Posting!$F:$F)</f>
        <v>27083716</v>
      </c>
      <c r="I28" s="1022">
        <f ca="1">SUMIF(Supplier!$B:$F,A28,Supplier!$E:$E)-SUMIF(Supplier!$B:$F,A28,Supplier!$F:$F)</f>
        <v>866930.5</v>
      </c>
      <c r="J28" s="1022"/>
      <c r="K28" s="1022"/>
      <c r="L28" s="1064"/>
      <c r="M28" s="1035" t="str">
        <f ca="1">IF(J28&gt;H28,J28+K28-H28,"Bill will be submitted")</f>
        <v>Bill will be submitted</v>
      </c>
    </row>
    <row r="29" spans="1:13" s="4" customFormat="1" ht="7.5" customHeight="1" thickBot="1" x14ac:dyDescent="0.35">
      <c r="A29" s="1036"/>
      <c r="B29" s="1037"/>
      <c r="C29" s="1037"/>
      <c r="D29" s="1037"/>
      <c r="E29" s="1037"/>
      <c r="F29" s="1037"/>
      <c r="G29" s="1038"/>
      <c r="H29" s="1038"/>
      <c r="I29" s="1037"/>
      <c r="J29" s="1037"/>
      <c r="K29" s="1037"/>
      <c r="L29" s="1037"/>
      <c r="M29" s="1037"/>
    </row>
    <row r="30" spans="1:13" s="4" customFormat="1" x14ac:dyDescent="0.3">
      <c r="A30" s="1027" t="s">
        <v>7807</v>
      </c>
      <c r="B30" s="1056" t="s">
        <v>890</v>
      </c>
      <c r="C30" s="1019"/>
      <c r="D30" s="1019"/>
      <c r="E30" s="1019">
        <f t="shared" ref="E30" si="2">C30-D30</f>
        <v>0</v>
      </c>
      <c r="F30" s="1039"/>
      <c r="G30" s="1022">
        <f ca="1">SUMIF(Posting!$B:$E,A30,Posting!$E:$E)</f>
        <v>3264240</v>
      </c>
      <c r="H30" s="1020">
        <f ca="1">SUMIF(Posting!$B:$F,A30,Posting!$F:$F)</f>
        <v>6158251</v>
      </c>
      <c r="I30" s="1022">
        <f ca="1">SUMIF(Supplier!$B:$F,A30,Supplier!$E:$E)-SUMIF(Supplier!$B:$F,A30,Supplier!$F:$F)</f>
        <v>0</v>
      </c>
      <c r="J30" s="1066"/>
      <c r="K30" s="1066"/>
      <c r="L30" s="1064"/>
      <c r="M30" s="1035" t="str">
        <f ca="1">IF(J30&gt;H30,J30+K30-H30,"Bill will be submitted")</f>
        <v>Bill will be submitted</v>
      </c>
    </row>
    <row r="31" spans="1:13" s="4" customFormat="1" ht="7.5" customHeight="1" thickBot="1" x14ac:dyDescent="0.35">
      <c r="A31" s="1036"/>
      <c r="B31" s="1037"/>
      <c r="C31" s="1037"/>
      <c r="D31" s="1037"/>
      <c r="E31" s="1037"/>
      <c r="F31" s="1037"/>
      <c r="G31" s="1038"/>
      <c r="H31" s="1038"/>
      <c r="I31" s="1037"/>
      <c r="J31" s="1037"/>
      <c r="K31" s="1037"/>
      <c r="L31" s="1037"/>
      <c r="M31" s="1037"/>
    </row>
    <row r="32" spans="1:13" s="4" customFormat="1" x14ac:dyDescent="0.3">
      <c r="A32" s="1018" t="s">
        <v>8657</v>
      </c>
      <c r="B32" s="1019" t="s">
        <v>10904</v>
      </c>
      <c r="C32" s="1019">
        <v>22659065.100000001</v>
      </c>
      <c r="D32" s="1019"/>
      <c r="E32" s="1019">
        <f t="shared" si="0"/>
        <v>22659065.100000001</v>
      </c>
      <c r="F32" s="1039"/>
      <c r="G32" s="1022">
        <f ca="1">SUMIF(Posting!$B:$E,A32,Posting!$E:$E)</f>
        <v>16339873</v>
      </c>
      <c r="H32" s="1020">
        <f ca="1">SUMIF(Posting!$B:$F,A32,Posting!$F:$F)</f>
        <v>24057411.419999998</v>
      </c>
      <c r="I32" s="1022">
        <f ca="1">SUMIF(Supplier!$B:$F,A32,Supplier!$E:$E)-SUMIF(Supplier!$B:$F,A32,Supplier!$F:$F)</f>
        <v>257548</v>
      </c>
      <c r="J32" s="1022">
        <v>1648706.1057600002</v>
      </c>
      <c r="K32" s="1022">
        <v>5217593.07</v>
      </c>
      <c r="L32" s="1022"/>
      <c r="M32" s="1022">
        <f>K32+J32</f>
        <v>6866299.1757600009</v>
      </c>
    </row>
    <row r="33" spans="1:201" s="4" customFormat="1" x14ac:dyDescent="0.3">
      <c r="A33" s="938" t="s">
        <v>10576</v>
      </c>
      <c r="B33" s="1021" t="s">
        <v>10905</v>
      </c>
      <c r="C33" s="1021">
        <v>55163506</v>
      </c>
      <c r="D33" s="1021"/>
      <c r="E33" s="1021">
        <f t="shared" si="0"/>
        <v>55163506</v>
      </c>
      <c r="F33" s="1041"/>
      <c r="G33" s="1022">
        <f ca="1">SUMIF(Posting!$B:$E,A33,Posting!$E:$E)</f>
        <v>33948118.333333336</v>
      </c>
      <c r="H33" s="1022">
        <f ca="1">SUMIF(Posting!$B:$F,A33,Posting!$F:$F)</f>
        <v>42957843</v>
      </c>
      <c r="I33" s="1022">
        <f ca="1">SUMIF(Supplier!$B:$F,A33,Supplier!$E:$E)-SUMIF(Supplier!$B:$F,A33,Supplier!$F:$F)</f>
        <v>340255</v>
      </c>
      <c r="J33" s="1022"/>
      <c r="K33" s="1022"/>
      <c r="L33" s="1022"/>
      <c r="M33" s="1022"/>
    </row>
    <row r="34" spans="1:201" s="4" customFormat="1" ht="19.5" thickBot="1" x14ac:dyDescent="0.35">
      <c r="A34" s="1030" t="s">
        <v>7953</v>
      </c>
      <c r="B34" s="1025" t="s">
        <v>10906</v>
      </c>
      <c r="C34" s="1025">
        <v>7400000</v>
      </c>
      <c r="D34" s="1025"/>
      <c r="E34" s="1025">
        <f t="shared" si="0"/>
        <v>7400000</v>
      </c>
      <c r="F34" s="1043"/>
      <c r="G34" s="1022">
        <f ca="1">SUMIF(Posting!$B:$E,A34,Posting!$E:$E)</f>
        <v>4397458</v>
      </c>
      <c r="H34" s="1026">
        <f ca="1">SUMIF(Posting!$B:$F,A34,Posting!$F:$F)</f>
        <v>6566988</v>
      </c>
      <c r="I34" s="1022">
        <f ca="1">SUMIF(Supplier!$B:$F,A34,Supplier!$E:$E)-SUMIF(Supplier!$B:$F,A34,Supplier!$F:$F)</f>
        <v>0</v>
      </c>
      <c r="J34" s="1022">
        <v>8215412</v>
      </c>
      <c r="K34" s="1022"/>
      <c r="L34" s="1022"/>
      <c r="M34" s="1065">
        <f ca="1">J34+K34-H34-L34</f>
        <v>1648424</v>
      </c>
    </row>
    <row r="35" spans="1:201" s="4" customFormat="1" ht="7.5" customHeight="1" x14ac:dyDescent="0.3">
      <c r="A35" s="1036"/>
      <c r="B35" s="1037"/>
      <c r="C35" s="1037"/>
      <c r="D35" s="1037"/>
      <c r="E35" s="1037"/>
      <c r="F35" s="1037"/>
      <c r="G35" s="1038"/>
      <c r="H35" s="1038"/>
      <c r="I35" s="1037"/>
      <c r="J35" s="1037"/>
      <c r="K35" s="1037"/>
      <c r="L35" s="1037"/>
      <c r="M35" s="1037"/>
    </row>
    <row r="36" spans="1:201" s="4" customFormat="1" ht="19.5" thickBot="1" x14ac:dyDescent="0.35">
      <c r="A36" s="1103" t="s">
        <v>12625</v>
      </c>
      <c r="B36" s="1156" t="s">
        <v>10907</v>
      </c>
      <c r="C36" s="1021"/>
      <c r="D36" s="1021"/>
      <c r="E36" s="1021"/>
      <c r="F36" s="1041"/>
      <c r="G36" s="1022">
        <f ca="1">SUMIF(Posting!$B:$E,A36,Posting!$E:$E)</f>
        <v>0</v>
      </c>
      <c r="H36" s="1026">
        <f ca="1">SUMIF(Posting!$B:$F,A36,Posting!$F:$F)</f>
        <v>0</v>
      </c>
      <c r="I36" s="1022">
        <f ca="1">SUMIF(Supplier!$B:$F,A36,Supplier!$E:$E)-SUMIF(Supplier!$B:$F,A36,Supplier!$F:$F)</f>
        <v>0</v>
      </c>
      <c r="J36" s="1022"/>
      <c r="K36" s="1022"/>
      <c r="L36" s="1022"/>
      <c r="M36" s="1022"/>
    </row>
    <row r="37" spans="1:201" s="4" customFormat="1" ht="19.5" thickBot="1" x14ac:dyDescent="0.35">
      <c r="A37" s="1103" t="s">
        <v>12786</v>
      </c>
      <c r="B37" s="1156"/>
      <c r="C37" s="1021"/>
      <c r="D37" s="1021"/>
      <c r="E37" s="1021"/>
      <c r="F37" s="1041"/>
      <c r="G37" s="1022">
        <f ca="1">SUMIF(Posting!$B:$E,A37,Posting!$E:$E)</f>
        <v>275000</v>
      </c>
      <c r="H37" s="1026">
        <f ca="1">SUMIF(Posting!$B:$F,A37,Posting!$F:$F)</f>
        <v>0</v>
      </c>
      <c r="I37" s="1022">
        <f ca="1">SUMIF(Supplier!$B:$F,A37,Supplier!$E:$E)-SUMIF(Supplier!$B:$F,A37,Supplier!$F:$F)</f>
        <v>0</v>
      </c>
      <c r="J37" s="1022"/>
      <c r="K37" s="1022"/>
      <c r="L37" s="1022"/>
      <c r="M37" s="1022"/>
    </row>
    <row r="38" spans="1:201" s="4" customFormat="1" ht="19.5" thickBot="1" x14ac:dyDescent="0.35">
      <c r="A38" s="1103" t="s">
        <v>12426</v>
      </c>
      <c r="B38" s="1156"/>
      <c r="C38" s="1021"/>
      <c r="D38" s="1021"/>
      <c r="E38" s="1021"/>
      <c r="F38" s="1041"/>
      <c r="G38" s="1022">
        <f ca="1">SUMIF(Posting!$B:$E,A38,Posting!$E:$E)</f>
        <v>13100</v>
      </c>
      <c r="H38" s="1026">
        <f ca="1">SUMIF(Posting!$B:$F,A38,Posting!$F:$F)</f>
        <v>0</v>
      </c>
      <c r="I38" s="1022">
        <f ca="1">SUMIF(Supplier!$B:$F,A38,Supplier!$E:$E)-SUMIF(Supplier!$B:$F,A38,Supplier!$F:$F)</f>
        <v>0</v>
      </c>
      <c r="J38" s="1022"/>
      <c r="K38" s="1022"/>
      <c r="L38" s="1022"/>
      <c r="M38" s="1022"/>
    </row>
    <row r="39" spans="1:201" s="4" customFormat="1" ht="19.5" thickBot="1" x14ac:dyDescent="0.35">
      <c r="A39" s="1103" t="s">
        <v>11897</v>
      </c>
      <c r="B39" s="1156"/>
      <c r="C39" s="1021"/>
      <c r="D39" s="1021"/>
      <c r="E39" s="1021"/>
      <c r="F39" s="1041"/>
      <c r="G39" s="1022">
        <f ca="1">SUMIF(Posting!$B:$E,A39,Posting!$E:$E)</f>
        <v>36314418</v>
      </c>
      <c r="H39" s="1026">
        <f ca="1">SUMIF(Posting!$B:$F,A39,Posting!$F:$F)</f>
        <v>45337381</v>
      </c>
      <c r="I39" s="1022">
        <f ca="1">SUMIF(Supplier!$B:$F,A39,Supplier!$E:$E)-SUMIF(Supplier!$B:$F,A39,Supplier!$F:$F)</f>
        <v>3131877</v>
      </c>
      <c r="J39" s="1022"/>
      <c r="K39" s="1022"/>
      <c r="L39" s="1022"/>
      <c r="M39" s="1022"/>
    </row>
    <row r="40" spans="1:201" s="4" customFormat="1" ht="19.5" thickBot="1" x14ac:dyDescent="0.35">
      <c r="A40" s="1103" t="s">
        <v>12623</v>
      </c>
      <c r="B40" s="1156"/>
      <c r="C40" s="1021"/>
      <c r="D40" s="1021"/>
      <c r="E40" s="1021"/>
      <c r="F40" s="1041"/>
      <c r="G40" s="1022">
        <f ca="1">SUMIF(Posting!$B:$E,A40,Posting!$E:$E)</f>
        <v>109650</v>
      </c>
      <c r="H40" s="1026">
        <f ca="1">SUMIF(Posting!$B:$F,A40,Posting!$F:$F)</f>
        <v>0</v>
      </c>
      <c r="I40" s="1022">
        <f ca="1">SUMIF(Supplier!$B:$F,A40,Supplier!$E:$E)-SUMIF(Supplier!$B:$F,A40,Supplier!$F:$F)</f>
        <v>0</v>
      </c>
      <c r="J40" s="1022"/>
      <c r="K40" s="1022"/>
      <c r="L40" s="1022"/>
      <c r="M40" s="1022"/>
    </row>
    <row r="41" spans="1:201" s="4" customFormat="1" ht="19.5" thickBot="1" x14ac:dyDescent="0.35">
      <c r="A41" s="1103" t="s">
        <v>11617</v>
      </c>
      <c r="B41" s="1156"/>
      <c r="C41" s="1021"/>
      <c r="D41" s="1021"/>
      <c r="E41" s="1021"/>
      <c r="F41" s="1041"/>
      <c r="G41" s="1022">
        <f ca="1">SUMIF(Posting!$B:$E,A41,Posting!$E:$E)</f>
        <v>3811277</v>
      </c>
      <c r="H41" s="1026">
        <f ca="1">SUMIF(Posting!$B:$F,A41,Posting!$F:$F)</f>
        <v>10854400</v>
      </c>
      <c r="I41" s="1022">
        <f ca="1">SUMIF(Supplier!$B:$F,A41,Supplier!$E:$E)-SUMIF(Supplier!$B:$F,A41,Supplier!$F:$F)</f>
        <v>136039</v>
      </c>
      <c r="J41" s="1022"/>
      <c r="K41" s="1022"/>
      <c r="L41" s="1022"/>
      <c r="M41" s="1022"/>
    </row>
    <row r="42" spans="1:201" s="4" customFormat="1" x14ac:dyDescent="0.3">
      <c r="A42" s="1103" t="s">
        <v>9661</v>
      </c>
      <c r="B42" s="1156"/>
      <c r="C42" s="1021">
        <v>19265070</v>
      </c>
      <c r="D42" s="1021"/>
      <c r="E42" s="1021">
        <f t="shared" si="0"/>
        <v>19265070</v>
      </c>
      <c r="F42" s="1041"/>
      <c r="G42" s="1022">
        <f ca="1">SUMIF(Posting!$B:$E,A42,Posting!$E:$E)</f>
        <v>4762390.9032258065</v>
      </c>
      <c r="H42" s="1022">
        <f ca="1">SUMIF(Posting!$B:$F,A42,Posting!$F:$F)</f>
        <v>10021233</v>
      </c>
      <c r="I42" s="1022">
        <f ca="1">SUMIF(Supplier!$B:$F,A42,Supplier!$E:$E)-SUMIF(Supplier!$B:$F,A42,Supplier!$F:$F)</f>
        <v>180880</v>
      </c>
      <c r="J42" s="1022">
        <v>12816794.375</v>
      </c>
      <c r="K42" s="1022">
        <v>594057.625</v>
      </c>
      <c r="L42" s="1022"/>
      <c r="M42" s="1022">
        <f t="shared" ref="M42:M49" ca="1" si="3">J42+K42-H42-L42</f>
        <v>3389619</v>
      </c>
    </row>
    <row r="43" spans="1:201" s="1029" customFormat="1" x14ac:dyDescent="0.3">
      <c r="A43" s="1103" t="s">
        <v>10338</v>
      </c>
      <c r="B43" s="1156"/>
      <c r="C43" s="1021"/>
      <c r="D43" s="1021"/>
      <c r="E43" s="1021">
        <f t="shared" si="0"/>
        <v>0</v>
      </c>
      <c r="F43" s="1041"/>
      <c r="G43" s="1022">
        <f ca="1">SUMIF(Posting!$B:$E,A43,Posting!$E:$E)</f>
        <v>5665655</v>
      </c>
      <c r="H43" s="1022">
        <f ca="1">SUMIF(Posting!$B:$F,A43,Posting!$F:$F)</f>
        <v>7705250</v>
      </c>
      <c r="I43" s="1022">
        <f ca="1">SUMIF(Supplier!$B:$F,A43,Supplier!$E:$E)-SUMIF(Supplier!$B:$F,A43,Supplier!$F:$F)</f>
        <v>4500</v>
      </c>
      <c r="J43" s="1022"/>
      <c r="K43" s="1022"/>
      <c r="L43" s="1022"/>
      <c r="M43" s="1022">
        <f t="shared" ca="1" si="3"/>
        <v>-7705250</v>
      </c>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29" customFormat="1" x14ac:dyDescent="0.3">
      <c r="A44" s="1103" t="s">
        <v>11446</v>
      </c>
      <c r="B44" s="1156"/>
      <c r="C44" s="1021"/>
      <c r="D44" s="1021"/>
      <c r="E44" s="1021"/>
      <c r="F44" s="1041"/>
      <c r="G44" s="1022">
        <f ca="1">SUMIF(Posting!$B:$E,A44,Posting!$E:$E)</f>
        <v>7365237</v>
      </c>
      <c r="H44" s="1022">
        <f ca="1">SUMIF(Posting!$B:$F,A44,Posting!$F:$F)</f>
        <v>11253125</v>
      </c>
      <c r="I44" s="1022">
        <f ca="1">SUMIF(Supplier!$B:$F,A44,Supplier!$E:$E)-SUMIF(Supplier!$B:$F,A44,Supplier!$F:$F)</f>
        <v>188300</v>
      </c>
      <c r="J44" s="1022"/>
      <c r="K44" s="1022"/>
      <c r="L44" s="1022"/>
      <c r="M44" s="1022">
        <f t="shared" ca="1" si="3"/>
        <v>-11253125</v>
      </c>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29" customFormat="1" x14ac:dyDescent="0.3">
      <c r="A45" s="1103" t="s">
        <v>9402</v>
      </c>
      <c r="B45" s="1156"/>
      <c r="C45" s="1021">
        <v>9435400</v>
      </c>
      <c r="D45" s="1021"/>
      <c r="E45" s="1021">
        <f t="shared" si="0"/>
        <v>9435400</v>
      </c>
      <c r="F45" s="1041"/>
      <c r="G45" s="1022">
        <f ca="1">SUMIF(Posting!$B:$E,A45,Posting!$E:$E)</f>
        <v>5073475.5483870972</v>
      </c>
      <c r="H45" s="1022">
        <f ca="1">SUMIF(Posting!$B:$F,A45,Posting!$F:$F)</f>
        <v>6590400</v>
      </c>
      <c r="I45" s="1022">
        <f ca="1">SUMIF(Supplier!$B:$F,A45,Supplier!$E:$E)-SUMIF(Supplier!$B:$F,A45,Supplier!$F:$F)</f>
        <v>299985</v>
      </c>
      <c r="J45" s="1022">
        <v>7544179.9950000001</v>
      </c>
      <c r="K45" s="1022">
        <v>1774042.2881999998</v>
      </c>
      <c r="L45" s="1022"/>
      <c r="M45" s="1022">
        <f t="shared" ca="1" si="3"/>
        <v>2727822.2831999995</v>
      </c>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row r="46" spans="1:201" s="1029" customFormat="1" x14ac:dyDescent="0.3">
      <c r="A46" s="1103" t="s">
        <v>8876</v>
      </c>
      <c r="B46" s="1156"/>
      <c r="C46" s="1021">
        <v>14110484</v>
      </c>
      <c r="D46" s="1021">
        <v>987733.88000000012</v>
      </c>
      <c r="E46" s="1021">
        <f t="shared" si="0"/>
        <v>13122750.119999999</v>
      </c>
      <c r="F46" s="1041"/>
      <c r="G46" s="1022">
        <f ca="1">SUMIF(Posting!$B:$E,A46,Posting!$E:$E)</f>
        <v>7948571.3548387093</v>
      </c>
      <c r="H46" s="1022">
        <f ca="1">SUMIF(Posting!$B:$F,A46,Posting!$F:$F)</f>
        <v>14475224</v>
      </c>
      <c r="I46" s="1022">
        <f ca="1">SUMIF(Supplier!$B:$F,A46,Supplier!$E:$E)-SUMIF(Supplier!$B:$F,A46,Supplier!$F:$F)</f>
        <v>91114</v>
      </c>
      <c r="J46" s="1022">
        <v>14003000</v>
      </c>
      <c r="K46" s="1022">
        <v>3154108</v>
      </c>
      <c r="L46" s="1022"/>
      <c r="M46" s="1022">
        <f t="shared" ca="1" si="3"/>
        <v>2681884</v>
      </c>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row>
    <row r="47" spans="1:201" s="1029" customFormat="1" x14ac:dyDescent="0.3">
      <c r="A47" s="1103" t="s">
        <v>9507</v>
      </c>
      <c r="B47" s="1156"/>
      <c r="C47" s="1021">
        <f>[4]Summary!$C$14</f>
        <v>7767350</v>
      </c>
      <c r="D47" s="1021"/>
      <c r="E47" s="1021">
        <f>C47-D47</f>
        <v>7767350</v>
      </c>
      <c r="F47" s="1041"/>
      <c r="G47" s="1022">
        <f ca="1">SUMIF(Posting!$B:$E,A47,Posting!$E:$E)</f>
        <v>2653746</v>
      </c>
      <c r="H47" s="1022">
        <f ca="1">SUMIF(Posting!$B:$F,A47,Posting!$F:$F)</f>
        <v>3185630</v>
      </c>
      <c r="I47" s="1022">
        <f ca="1">SUMIF(Supplier!$B:$F,A47,Supplier!$E:$E)-SUMIF(Supplier!$B:$F,A47,Supplier!$F:$F)</f>
        <v>0</v>
      </c>
      <c r="J47" s="1022">
        <v>4180000</v>
      </c>
      <c r="K47" s="1022">
        <v>657480</v>
      </c>
      <c r="L47" s="1022"/>
      <c r="M47" s="1022">
        <f t="shared" ca="1" si="3"/>
        <v>1651850</v>
      </c>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row>
    <row r="48" spans="1:201" s="1029" customFormat="1" x14ac:dyDescent="0.3">
      <c r="A48" s="1103" t="s">
        <v>7921</v>
      </c>
      <c r="B48" s="1156"/>
      <c r="C48" s="1021">
        <v>22948040</v>
      </c>
      <c r="D48" s="1021">
        <v>1445726.52</v>
      </c>
      <c r="E48" s="1021">
        <f t="shared" si="0"/>
        <v>21502313.48</v>
      </c>
      <c r="F48" s="1041"/>
      <c r="G48" s="1022">
        <f ca="1">SUMIF(Posting!$B:$E,A48,Posting!$E:$E)</f>
        <v>19551392</v>
      </c>
      <c r="H48" s="1022">
        <f ca="1">SUMIF(Posting!$B:$F,A48,Posting!$F:$F)</f>
        <v>26037593</v>
      </c>
      <c r="I48" s="1022">
        <f ca="1">SUMIF(Supplier!$B:$F,A48,Supplier!$E:$E)-SUMIF(Supplier!$B:$F,A48,Supplier!$F:$F)</f>
        <v>0</v>
      </c>
      <c r="J48" s="1022">
        <v>23740232.403525002</v>
      </c>
      <c r="K48" s="1022">
        <v>1010566</v>
      </c>
      <c r="L48" s="1022"/>
      <c r="M48" s="1022">
        <f t="shared" ca="1" si="3"/>
        <v>-1286794.5964749977</v>
      </c>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row>
    <row r="49" spans="1:201" s="1029" customFormat="1" x14ac:dyDescent="0.3">
      <c r="A49" s="1103" t="s">
        <v>8339</v>
      </c>
      <c r="B49" s="1156"/>
      <c r="C49" s="1021">
        <v>12161762</v>
      </c>
      <c r="D49" s="1021"/>
      <c r="E49" s="1021">
        <f t="shared" si="0"/>
        <v>12161762</v>
      </c>
      <c r="F49" s="1041"/>
      <c r="G49" s="1022">
        <f ca="1">SUMIF(Posting!$B:$E,A49,Posting!$E:$E)</f>
        <v>9756255</v>
      </c>
      <c r="H49" s="1022">
        <f ca="1">SUMIF(Posting!$B:$F,A49,Posting!$F:$F)</f>
        <v>14204081</v>
      </c>
      <c r="I49" s="1022">
        <f ca="1">SUMIF(Supplier!$B:$F,A49,Supplier!$E:$E)-SUMIF(Supplier!$B:$F,A49,Supplier!$F:$F)</f>
        <v>16040</v>
      </c>
      <c r="J49" s="1022">
        <v>13071783.779999999</v>
      </c>
      <c r="K49" s="1022">
        <v>1879882</v>
      </c>
      <c r="L49" s="1022"/>
      <c r="M49" s="1022">
        <f t="shared" ca="1" si="3"/>
        <v>747584.77999999933</v>
      </c>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row>
    <row r="50" spans="1:201" s="1029" customFormat="1" x14ac:dyDescent="0.3">
      <c r="A50" s="1103" t="s">
        <v>8043</v>
      </c>
      <c r="B50" s="1156"/>
      <c r="C50" s="1021">
        <v>24512695</v>
      </c>
      <c r="D50" s="1021"/>
      <c r="E50" s="1021">
        <f t="shared" si="0"/>
        <v>24512695</v>
      </c>
      <c r="F50" s="1041"/>
      <c r="G50" s="1022">
        <f ca="1">SUMIF(Posting!$B:$E,A50,Posting!$E:$E)</f>
        <v>20578318</v>
      </c>
      <c r="H50" s="1022">
        <f ca="1">SUMIF(Posting!$B:$F,A50,Posting!$F:$F)</f>
        <v>27909998</v>
      </c>
      <c r="I50" s="1022">
        <f ca="1">SUMIF(Supplier!$B:$F,A50,Supplier!$E:$E)-SUMIF(Supplier!$B:$F,A50,Supplier!$F:$F)</f>
        <v>0</v>
      </c>
      <c r="J50" s="1022">
        <v>27296624.739999998</v>
      </c>
      <c r="K50" s="1022">
        <v>3581218.75</v>
      </c>
      <c r="L50" s="1022"/>
      <c r="M50" s="1022" t="str">
        <f ca="1">IF(J50&gt;H50,J50+K50-H50,"Bill will be submitted")</f>
        <v>Bill will be submitted</v>
      </c>
      <c r="N50" s="1045"/>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row>
    <row r="51" spans="1:201" s="1029" customFormat="1" x14ac:dyDescent="0.3">
      <c r="A51" s="1103" t="s">
        <v>11271</v>
      </c>
      <c r="B51" s="1156"/>
      <c r="C51" s="1021">
        <v>2273000</v>
      </c>
      <c r="D51" s="1021"/>
      <c r="E51" s="1021">
        <f t="shared" si="0"/>
        <v>2273000</v>
      </c>
      <c r="F51" s="1041"/>
      <c r="G51" s="1022">
        <f ca="1">SUMIF(Posting!$B:$E,A51,Posting!$E:$E)</f>
        <v>659316</v>
      </c>
      <c r="H51" s="1022">
        <f ca="1">SUMIF(Posting!$B:$F,A51,Posting!$F:$F)</f>
        <v>1300000</v>
      </c>
      <c r="I51" s="1022">
        <f ca="1">SUMIF(Supplier!$B:$F,A51,Supplier!$E:$E)-SUMIF(Supplier!$B:$F,A51,Supplier!$F:$F)</f>
        <v>0</v>
      </c>
      <c r="J51" s="1091">
        <v>2083000</v>
      </c>
      <c r="K51" s="1091"/>
      <c r="L51" s="1022"/>
      <c r="M51" s="1022">
        <f ca="1">IF(J51&gt;H51,J51+K51-H51,"Bill will be submitted")</f>
        <v>783000</v>
      </c>
      <c r="N51" s="1045"/>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row>
    <row r="52" spans="1:201" s="1029" customFormat="1" x14ac:dyDescent="0.3">
      <c r="A52" s="1103" t="s">
        <v>8868</v>
      </c>
      <c r="B52" s="1160"/>
      <c r="C52" s="1021">
        <v>3838450</v>
      </c>
      <c r="D52" s="1021">
        <v>188450</v>
      </c>
      <c r="E52" s="1021">
        <f t="shared" si="0"/>
        <v>3650000</v>
      </c>
      <c r="F52" s="1041"/>
      <c r="G52" s="1022">
        <f ca="1">SUMIF(Posting!$B:$E,A52,Posting!$E:$E)</f>
        <v>3511728</v>
      </c>
      <c r="H52" s="1022">
        <f ca="1">SUMIF(Posting!$B:$F,A52,Posting!$F:$F)</f>
        <v>4000000</v>
      </c>
      <c r="I52" s="1022">
        <f ca="1">SUMIF(Supplier!$B:$F,A52,Supplier!$E:$E)-SUMIF(Supplier!$B:$F,A52,Supplier!$F:$F)</f>
        <v>229776</v>
      </c>
      <c r="J52" s="1022">
        <v>3729145.2</v>
      </c>
      <c r="K52" s="1022">
        <v>1030055</v>
      </c>
      <c r="L52" s="1022"/>
      <c r="M52" s="1022">
        <f t="shared" ref="M52" ca="1" si="4">J52+K52-H52-L52</f>
        <v>759200.20000000019</v>
      </c>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row>
    <row r="53" spans="1:201" s="1029" customFormat="1" x14ac:dyDescent="0.3">
      <c r="A53" s="1031"/>
      <c r="B53" s="1032"/>
      <c r="C53" s="1032"/>
      <c r="D53" s="1032"/>
      <c r="E53" s="1032"/>
      <c r="F53" s="1032"/>
      <c r="G53" s="1032"/>
      <c r="H53" s="1032"/>
      <c r="I53" s="314">
        <f ca="1">SUM(I2:I52)</f>
        <v>9928026.5</v>
      </c>
      <c r="J53" s="314">
        <f>SUM(J2:J52)</f>
        <v>210439331.30528498</v>
      </c>
      <c r="K53" s="314"/>
      <c r="L53" s="314"/>
      <c r="M53" s="314">
        <f ca="1">SUM(M2:M52)</f>
        <v>25870053.840935003</v>
      </c>
      <c r="N53" s="1045"/>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row>
    <row r="54" spans="1:201" s="1029" customFormat="1" x14ac:dyDescent="0.3">
      <c r="A54" s="4"/>
      <c r="B54" s="245"/>
      <c r="C54" s="1033"/>
      <c r="D54" s="1033"/>
      <c r="E54" s="1033"/>
      <c r="F54" s="1033"/>
      <c r="G54" s="1033"/>
      <c r="H54" s="1033"/>
      <c r="I54" s="1033"/>
      <c r="J54" s="1033"/>
      <c r="K54" s="1033"/>
      <c r="L54" s="1033"/>
      <c r="M54" s="1033"/>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row>
  </sheetData>
  <mergeCells count="4">
    <mergeCell ref="B2:B8"/>
    <mergeCell ref="B26:B28"/>
    <mergeCell ref="B36:B52"/>
    <mergeCell ref="B10:B24"/>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19"/>
  <sheetViews>
    <sheetView workbookViewId="0">
      <pane ySplit="1" topLeftCell="A2" activePane="bottomLeft" state="frozen"/>
      <selection activeCell="D26" sqref="D26"/>
      <selection pane="bottomLeft" activeCell="I23" sqref="I23"/>
    </sheetView>
  </sheetViews>
  <sheetFormatPr defaultRowHeight="18.75" x14ac:dyDescent="0.3"/>
  <cols>
    <col min="1" max="1" width="30.28515625" style="4" customWidth="1"/>
    <col min="2" max="2" width="16.28515625" style="245" customWidth="1"/>
    <col min="3" max="3" width="12.85546875" style="245" customWidth="1"/>
    <col min="4" max="4" width="15.140625" style="245" customWidth="1"/>
    <col min="5" max="5" width="16" style="245" customWidth="1"/>
    <col min="6" max="6" width="17.5703125" style="245" customWidth="1"/>
    <col min="7" max="7" width="16.140625" style="245" customWidth="1"/>
    <col min="8" max="8" width="16.85546875" style="245" customWidth="1"/>
    <col min="9" max="9" width="16" style="245" customWidth="1"/>
    <col min="10" max="10" width="17.28515625" style="245" customWidth="1"/>
    <col min="11" max="11" width="17.42578125" style="245" customWidth="1"/>
    <col min="12" max="12" width="22.140625" style="245" customWidth="1"/>
    <col min="13" max="13" width="18.28515625" bestFit="1" customWidth="1"/>
    <col min="15" max="15" width="18.28515625" bestFit="1" customWidth="1"/>
  </cols>
  <sheetData>
    <row r="1" spans="1:200" ht="49.5" customHeight="1" x14ac:dyDescent="0.25">
      <c r="A1" s="1115" t="s">
        <v>10896</v>
      </c>
      <c r="B1" s="1117" t="s">
        <v>12677</v>
      </c>
      <c r="C1" s="1123" t="s">
        <v>12679</v>
      </c>
      <c r="D1" s="1123" t="s">
        <v>12682</v>
      </c>
      <c r="E1" s="1117" t="s">
        <v>12678</v>
      </c>
      <c r="F1" s="1117" t="s">
        <v>12674</v>
      </c>
      <c r="G1" s="1122" t="s">
        <v>11020</v>
      </c>
      <c r="H1" s="1122" t="s">
        <v>12681</v>
      </c>
      <c r="I1" s="1116" t="s">
        <v>12675</v>
      </c>
      <c r="J1" s="1116" t="s">
        <v>12676</v>
      </c>
      <c r="K1" s="1116" t="s">
        <v>10900</v>
      </c>
      <c r="L1" s="1118" t="s">
        <v>11021</v>
      </c>
    </row>
    <row r="2" spans="1:200" s="4" customFormat="1" x14ac:dyDescent="0.3">
      <c r="A2" s="1103" t="s">
        <v>12625</v>
      </c>
      <c r="B2" s="1021">
        <v>5138700</v>
      </c>
      <c r="C2" s="1121" t="s">
        <v>12680</v>
      </c>
      <c r="D2" s="1021">
        <v>138700</v>
      </c>
      <c r="E2" s="1021">
        <f>B2-D2</f>
        <v>5000000</v>
      </c>
      <c r="F2" s="1022"/>
      <c r="G2" s="1022"/>
      <c r="H2" s="1022">
        <f>G2+F2</f>
        <v>0</v>
      </c>
      <c r="I2" s="1021">
        <f>H2*4.5%</f>
        <v>0</v>
      </c>
      <c r="J2" s="1021">
        <f>I2+H2</f>
        <v>0</v>
      </c>
      <c r="K2" s="1022">
        <f ca="1">SUMIF(Posting!$B:$F,A2,Posting!$F:$F)</f>
        <v>0</v>
      </c>
      <c r="L2" s="1022">
        <f ca="1">J2-K2</f>
        <v>0</v>
      </c>
    </row>
    <row r="3" spans="1:200" s="4" customFormat="1" x14ac:dyDescent="0.3">
      <c r="A3" s="1103" t="s">
        <v>12426</v>
      </c>
      <c r="B3" s="1021"/>
      <c r="C3" s="1121" t="s">
        <v>12680</v>
      </c>
      <c r="D3" s="1021"/>
      <c r="E3" s="1021">
        <f t="shared" ref="E3:E17" si="0">B3-D3</f>
        <v>0</v>
      </c>
      <c r="F3" s="1022"/>
      <c r="G3" s="1022"/>
      <c r="H3" s="1022">
        <f t="shared" ref="H3:H17" si="1">G3+F3</f>
        <v>0</v>
      </c>
      <c r="I3" s="1021">
        <f t="shared" ref="I3:I17" si="2">H3*4.5%</f>
        <v>0</v>
      </c>
      <c r="J3" s="1021">
        <f t="shared" ref="J3:J17" si="3">I3+H3</f>
        <v>0</v>
      </c>
      <c r="K3" s="1022">
        <f ca="1">SUMIF(Posting!$B:$F,A3,Posting!$F:$F)</f>
        <v>0</v>
      </c>
      <c r="L3" s="1022">
        <f t="shared" ref="L3:L17" ca="1" si="4">J3-K3</f>
        <v>0</v>
      </c>
    </row>
    <row r="4" spans="1:200" s="4" customFormat="1" x14ac:dyDescent="0.3">
      <c r="A4" s="1103" t="s">
        <v>11897</v>
      </c>
      <c r="B4" s="1021">
        <v>76247089.599999994</v>
      </c>
      <c r="C4" s="1119">
        <v>0.12</v>
      </c>
      <c r="D4" s="1021">
        <f>C4*B4</f>
        <v>9149650.7519999985</v>
      </c>
      <c r="E4" s="1021">
        <f t="shared" si="0"/>
        <v>67097438.847999997</v>
      </c>
      <c r="F4" s="1022"/>
      <c r="G4" s="1022"/>
      <c r="H4" s="1022">
        <f t="shared" si="1"/>
        <v>0</v>
      </c>
      <c r="I4" s="1021">
        <f t="shared" si="2"/>
        <v>0</v>
      </c>
      <c r="J4" s="1021">
        <f t="shared" si="3"/>
        <v>0</v>
      </c>
      <c r="K4" s="1022">
        <f ca="1">SUMIF(Posting!$B:$F,A4,Posting!$F:$F)</f>
        <v>45337381</v>
      </c>
      <c r="L4" s="1022">
        <v>0</v>
      </c>
    </row>
    <row r="5" spans="1:200" s="4" customFormat="1" x14ac:dyDescent="0.3">
      <c r="A5" s="1103" t="s">
        <v>12623</v>
      </c>
      <c r="B5" s="1021"/>
      <c r="C5" s="1119"/>
      <c r="D5" s="1021"/>
      <c r="E5" s="1021">
        <f t="shared" si="0"/>
        <v>0</v>
      </c>
      <c r="F5" s="1022"/>
      <c r="G5" s="1022"/>
      <c r="H5" s="1022">
        <f t="shared" si="1"/>
        <v>0</v>
      </c>
      <c r="I5" s="1021">
        <f t="shared" si="2"/>
        <v>0</v>
      </c>
      <c r="J5" s="1021">
        <f t="shared" si="3"/>
        <v>0</v>
      </c>
      <c r="K5" s="1022">
        <f ca="1">SUMIF(Posting!$B:$F,A5,Posting!$F:$F)</f>
        <v>0</v>
      </c>
      <c r="L5" s="1022">
        <f t="shared" ca="1" si="4"/>
        <v>0</v>
      </c>
    </row>
    <row r="6" spans="1:200" s="4" customFormat="1" x14ac:dyDescent="0.3">
      <c r="A6" s="1103" t="s">
        <v>11617</v>
      </c>
      <c r="B6" s="1021">
        <v>6152550</v>
      </c>
      <c r="C6" s="1119">
        <v>7.0000000000000007E-2</v>
      </c>
      <c r="D6" s="1021">
        <f>C6*B6</f>
        <v>430678.50000000006</v>
      </c>
      <c r="E6" s="1021">
        <f t="shared" si="0"/>
        <v>5721871.5</v>
      </c>
      <c r="F6" s="1022"/>
      <c r="G6" s="1022"/>
      <c r="H6" s="1022">
        <f t="shared" si="1"/>
        <v>0</v>
      </c>
      <c r="I6" s="1021">
        <f t="shared" si="2"/>
        <v>0</v>
      </c>
      <c r="J6" s="1021">
        <f t="shared" si="3"/>
        <v>0</v>
      </c>
      <c r="K6" s="1022">
        <f ca="1">SUMIF(Posting!$B:$F,A6,Posting!$F:$F)</f>
        <v>10854400</v>
      </c>
      <c r="L6" s="1022">
        <v>0</v>
      </c>
    </row>
    <row r="7" spans="1:200" s="4" customFormat="1" x14ac:dyDescent="0.3">
      <c r="A7" s="1103" t="s">
        <v>9661</v>
      </c>
      <c r="B7" s="1021">
        <v>19265070</v>
      </c>
      <c r="C7" s="1119"/>
      <c r="D7" s="1021"/>
      <c r="E7" s="1021">
        <f t="shared" si="0"/>
        <v>19265070</v>
      </c>
      <c r="F7" s="1022">
        <v>12264875</v>
      </c>
      <c r="G7" s="1022">
        <f>[5]Sheet1!$C$20</f>
        <v>553023</v>
      </c>
      <c r="H7" s="1022">
        <f t="shared" si="1"/>
        <v>12817898</v>
      </c>
      <c r="I7" s="1021">
        <f t="shared" si="2"/>
        <v>576805.41</v>
      </c>
      <c r="J7" s="1021">
        <f t="shared" si="3"/>
        <v>13394703.41</v>
      </c>
      <c r="K7" s="1022">
        <f ca="1">SUMIF(Posting!$B:$F,A7,Posting!$F:$F)</f>
        <v>10021233</v>
      </c>
      <c r="L7" s="1022">
        <f t="shared" ca="1" si="4"/>
        <v>3373470.41</v>
      </c>
    </row>
    <row r="8" spans="1:200" s="1029" customFormat="1" x14ac:dyDescent="0.3">
      <c r="A8" s="1103" t="s">
        <v>10338</v>
      </c>
      <c r="B8" s="1021"/>
      <c r="C8" s="1119"/>
      <c r="D8" s="1021"/>
      <c r="E8" s="1021">
        <f t="shared" si="0"/>
        <v>0</v>
      </c>
      <c r="F8" s="1022"/>
      <c r="G8" s="1022"/>
      <c r="H8" s="1022">
        <f t="shared" si="1"/>
        <v>0</v>
      </c>
      <c r="I8" s="1021">
        <f t="shared" si="2"/>
        <v>0</v>
      </c>
      <c r="J8" s="1021">
        <f t="shared" si="3"/>
        <v>0</v>
      </c>
      <c r="K8" s="1022">
        <f ca="1">SUMIF(Posting!$B:$F,A8,Posting!$F:$F)</f>
        <v>7705250</v>
      </c>
      <c r="L8" s="1022">
        <v>0</v>
      </c>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c r="GD8" s="4"/>
      <c r="GE8" s="4"/>
      <c r="GF8" s="4"/>
      <c r="GG8" s="4"/>
      <c r="GH8" s="4"/>
      <c r="GI8" s="4"/>
      <c r="GJ8" s="4"/>
      <c r="GK8" s="4"/>
      <c r="GL8" s="4"/>
      <c r="GM8" s="4"/>
      <c r="GN8" s="4"/>
      <c r="GO8" s="4"/>
      <c r="GP8" s="4"/>
      <c r="GQ8" s="4"/>
      <c r="GR8" s="4"/>
    </row>
    <row r="9" spans="1:200" s="1029" customFormat="1" x14ac:dyDescent="0.3">
      <c r="A9" s="1103" t="s">
        <v>11446</v>
      </c>
      <c r="B9" s="1021"/>
      <c r="C9" s="1119"/>
      <c r="D9" s="1021"/>
      <c r="E9" s="1021">
        <f t="shared" si="0"/>
        <v>0</v>
      </c>
      <c r="F9" s="1022"/>
      <c r="G9" s="1022"/>
      <c r="H9" s="1022">
        <f t="shared" si="1"/>
        <v>0</v>
      </c>
      <c r="I9" s="1021">
        <f t="shared" si="2"/>
        <v>0</v>
      </c>
      <c r="J9" s="1021">
        <f t="shared" si="3"/>
        <v>0</v>
      </c>
      <c r="K9" s="1022">
        <f ca="1">SUMIF(Posting!$B:$F,A9,Posting!$F:$F)</f>
        <v>11253125</v>
      </c>
      <c r="L9" s="1022"/>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row>
    <row r="10" spans="1:200" s="1029" customFormat="1" x14ac:dyDescent="0.3">
      <c r="A10" s="1103" t="s">
        <v>9402</v>
      </c>
      <c r="B10" s="1021">
        <v>9435400</v>
      </c>
      <c r="C10" s="1119"/>
      <c r="D10" s="1021"/>
      <c r="E10" s="1021">
        <f t="shared" si="0"/>
        <v>9435400</v>
      </c>
      <c r="F10" s="1022">
        <v>7634180.5</v>
      </c>
      <c r="G10" s="1022">
        <f>[6]Sheet1!$C$23</f>
        <v>1335898.3032</v>
      </c>
      <c r="H10" s="1022">
        <f t="shared" si="1"/>
        <v>8970078.803199999</v>
      </c>
      <c r="I10" s="1021">
        <f t="shared" si="2"/>
        <v>403653.54614399996</v>
      </c>
      <c r="J10" s="1021">
        <f t="shared" si="3"/>
        <v>9373732.3493439984</v>
      </c>
      <c r="K10" s="1022">
        <f ca="1">SUMIF(Posting!$B:$F,A10,Posting!$F:$F)</f>
        <v>6590400</v>
      </c>
      <c r="L10" s="1022">
        <f t="shared" ca="1" si="4"/>
        <v>2783332.3493439984</v>
      </c>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row>
    <row r="11" spans="1:200" s="1029" customFormat="1" x14ac:dyDescent="0.3">
      <c r="A11" s="1103" t="s">
        <v>8876</v>
      </c>
      <c r="B11" s="1021">
        <v>14110484</v>
      </c>
      <c r="C11" s="1119">
        <v>7.0000000000000007E-2</v>
      </c>
      <c r="D11" s="1021">
        <f>C11*B11</f>
        <v>987733.88000000012</v>
      </c>
      <c r="E11" s="1021">
        <f t="shared" ref="E11" si="5">B11-D11</f>
        <v>13122750.119999999</v>
      </c>
      <c r="F11" s="1022">
        <v>13470818.6</v>
      </c>
      <c r="G11" s="1022">
        <f>[7]Sheet1!$D$26</f>
        <v>3091025.3200000003</v>
      </c>
      <c r="H11" s="1022">
        <f t="shared" si="1"/>
        <v>16561843.92</v>
      </c>
      <c r="I11" s="1021">
        <f t="shared" si="2"/>
        <v>745282.97639999993</v>
      </c>
      <c r="J11" s="1021">
        <f t="shared" si="3"/>
        <v>17307126.896400001</v>
      </c>
      <c r="K11" s="1022">
        <f ca="1">SUMIF(Posting!$B:$F,A11,Posting!$F:$F)</f>
        <v>14475224</v>
      </c>
      <c r="L11" s="1022">
        <f t="shared" ca="1" si="4"/>
        <v>2831902.8964000009</v>
      </c>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row>
    <row r="12" spans="1:200" s="1029" customFormat="1" x14ac:dyDescent="0.3">
      <c r="A12" s="1103" t="s">
        <v>9507</v>
      </c>
      <c r="B12" s="1021">
        <f>[4]Summary!$C$14</f>
        <v>7767350</v>
      </c>
      <c r="C12" s="1119"/>
      <c r="D12" s="1021"/>
      <c r="E12" s="1021">
        <f t="shared" si="0"/>
        <v>7767350</v>
      </c>
      <c r="F12" s="1022">
        <v>4180000</v>
      </c>
      <c r="G12" s="1022">
        <v>657480</v>
      </c>
      <c r="H12" s="1022">
        <f t="shared" si="1"/>
        <v>4837480</v>
      </c>
      <c r="I12" s="1021">
        <f t="shared" si="2"/>
        <v>217686.6</v>
      </c>
      <c r="J12" s="1021">
        <f t="shared" si="3"/>
        <v>5055166.5999999996</v>
      </c>
      <c r="K12" s="1022">
        <f ca="1">SUMIF(Posting!$B:$F,A12,Posting!$F:$F)</f>
        <v>3185630</v>
      </c>
      <c r="L12" s="1022">
        <f t="shared" ca="1" si="4"/>
        <v>1869536.5999999996</v>
      </c>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row>
    <row r="13" spans="1:200" s="1029" customFormat="1" x14ac:dyDescent="0.3">
      <c r="A13" s="1103" t="s">
        <v>7921</v>
      </c>
      <c r="B13" s="1021">
        <v>22948040</v>
      </c>
      <c r="C13" s="1119"/>
      <c r="D13" s="1021">
        <v>1445726.52</v>
      </c>
      <c r="E13" s="1021">
        <f t="shared" si="0"/>
        <v>21502313.48</v>
      </c>
      <c r="F13" s="1022">
        <v>22717925.745000001</v>
      </c>
      <c r="G13" s="1022">
        <v>1010566</v>
      </c>
      <c r="H13" s="1022">
        <f t="shared" si="1"/>
        <v>23728491.745000001</v>
      </c>
      <c r="I13" s="1021">
        <f t="shared" si="2"/>
        <v>1067782.1285250001</v>
      </c>
      <c r="J13" s="1021">
        <f t="shared" si="3"/>
        <v>24796273.873525001</v>
      </c>
      <c r="K13" s="1022">
        <f ca="1">SUMIF(Posting!$B:$F,A13,Posting!$F:$F)</f>
        <v>26037593</v>
      </c>
      <c r="L13" s="1022">
        <f t="shared" ca="1" si="4"/>
        <v>-1241319.1264749989</v>
      </c>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row>
    <row r="14" spans="1:200" s="1029" customFormat="1" x14ac:dyDescent="0.3">
      <c r="A14" s="1103" t="s">
        <v>8339</v>
      </c>
      <c r="B14" s="1021">
        <v>12161762</v>
      </c>
      <c r="C14" s="1119"/>
      <c r="D14" s="1021"/>
      <c r="E14" s="1021">
        <f t="shared" si="0"/>
        <v>12161762</v>
      </c>
      <c r="F14" s="1022">
        <v>12508883.5</v>
      </c>
      <c r="G14" s="1022">
        <f>[8]Sheet1!$C$26</f>
        <v>1879892</v>
      </c>
      <c r="H14" s="1022">
        <f t="shared" si="1"/>
        <v>14388775.5</v>
      </c>
      <c r="I14" s="1021">
        <f t="shared" si="2"/>
        <v>647494.89749999996</v>
      </c>
      <c r="J14" s="1021">
        <f t="shared" si="3"/>
        <v>15036270.397500001</v>
      </c>
      <c r="K14" s="1022">
        <f ca="1">SUMIF(Posting!$B:$F,A14,Posting!$F:$F)</f>
        <v>14204081</v>
      </c>
      <c r="L14" s="1022">
        <f t="shared" ca="1" si="4"/>
        <v>832189.39750000089</v>
      </c>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row>
    <row r="15" spans="1:200" s="1029" customFormat="1" x14ac:dyDescent="0.3">
      <c r="A15" s="1103" t="s">
        <v>8043</v>
      </c>
      <c r="B15" s="1021">
        <v>24512695</v>
      </c>
      <c r="C15" s="1119"/>
      <c r="D15" s="1021"/>
      <c r="E15" s="1021">
        <f t="shared" si="0"/>
        <v>24512695</v>
      </c>
      <c r="F15" s="1022">
        <v>26121171.999999996</v>
      </c>
      <c r="G15" s="1022">
        <f>[9]Sheet1!$E$24</f>
        <v>3571369.0625</v>
      </c>
      <c r="H15" s="1022">
        <f t="shared" si="1"/>
        <v>29692541.062499996</v>
      </c>
      <c r="I15" s="1021">
        <f t="shared" si="2"/>
        <v>1336164.3478124999</v>
      </c>
      <c r="J15" s="1021">
        <f t="shared" si="3"/>
        <v>31028705.410312496</v>
      </c>
      <c r="K15" s="1124">
        <f ca="1">SUMIF(Posting!$B:$F,A15,Posting!$F:$F)-835500</f>
        <v>27074498</v>
      </c>
      <c r="L15" s="1022">
        <f t="shared" ca="1" si="4"/>
        <v>3954207.4103124961</v>
      </c>
      <c r="M15" s="1045"/>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1029" customFormat="1" x14ac:dyDescent="0.3">
      <c r="A16" s="1103" t="s">
        <v>11271</v>
      </c>
      <c r="B16" s="1021">
        <v>2273000</v>
      </c>
      <c r="C16" s="1119"/>
      <c r="D16" s="1021"/>
      <c r="E16" s="1021">
        <f t="shared" si="0"/>
        <v>2273000</v>
      </c>
      <c r="F16" s="1091">
        <v>2083000</v>
      </c>
      <c r="G16" s="1091"/>
      <c r="H16" s="1022">
        <f t="shared" si="1"/>
        <v>2083000</v>
      </c>
      <c r="I16" s="1021">
        <f t="shared" si="2"/>
        <v>93735</v>
      </c>
      <c r="J16" s="1021">
        <f t="shared" si="3"/>
        <v>2176735</v>
      </c>
      <c r="K16" s="1022">
        <f ca="1">SUMIF(Posting!$B:$F,A16,Posting!$F:$F)</f>
        <v>1300000</v>
      </c>
      <c r="L16" s="1022">
        <f t="shared" ca="1" si="4"/>
        <v>876735</v>
      </c>
      <c r="M16" s="1045"/>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row>
    <row r="17" spans="1:200" s="1029" customFormat="1" x14ac:dyDescent="0.3">
      <c r="A17" s="1103" t="s">
        <v>8868</v>
      </c>
      <c r="B17" s="1021">
        <v>5842450</v>
      </c>
      <c r="C17" s="1021"/>
      <c r="D17" s="1021">
        <v>188450</v>
      </c>
      <c r="E17" s="1021">
        <f t="shared" si="0"/>
        <v>5654000</v>
      </c>
      <c r="F17" s="1022">
        <v>5866320</v>
      </c>
      <c r="G17" s="1022">
        <f>[10]Sheet1!$C$23</f>
        <v>1099464.3999999999</v>
      </c>
      <c r="H17" s="1022">
        <f t="shared" si="1"/>
        <v>6965784.4000000004</v>
      </c>
      <c r="I17" s="1021">
        <f t="shared" si="2"/>
        <v>313460.29800000001</v>
      </c>
      <c r="J17" s="1021">
        <f t="shared" si="3"/>
        <v>7279244.6980000008</v>
      </c>
      <c r="K17" s="1022">
        <f ca="1">SUMIF(Posting!$B:$F,A17,Posting!$F:$F)</f>
        <v>4000000</v>
      </c>
      <c r="L17" s="1022">
        <f t="shared" ca="1" si="4"/>
        <v>3279244.6980000008</v>
      </c>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row>
    <row r="18" spans="1:200" s="1029" customFormat="1" ht="35.25" customHeight="1" x14ac:dyDescent="0.3">
      <c r="A18" s="695"/>
      <c r="B18" s="696"/>
      <c r="C18" s="1120"/>
      <c r="D18" s="696"/>
      <c r="E18" s="696"/>
      <c r="F18" s="205"/>
      <c r="G18" s="205"/>
      <c r="H18" s="205"/>
      <c r="I18" s="696"/>
      <c r="J18" s="696"/>
      <c r="K18" s="696"/>
      <c r="L18" s="1125">
        <f ca="1">SUM(L2:L17)</f>
        <v>18559299.6350815</v>
      </c>
      <c r="M18" s="1045"/>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row>
    <row r="19" spans="1:200" s="1029" customFormat="1" x14ac:dyDescent="0.3">
      <c r="A19" s="4"/>
      <c r="B19" s="1033"/>
      <c r="C19" s="1033"/>
      <c r="D19" s="1033"/>
      <c r="E19" s="1033"/>
      <c r="F19" s="1033"/>
      <c r="G19" s="1033"/>
      <c r="H19" s="1033"/>
      <c r="I19" s="1033"/>
      <c r="J19" s="1033"/>
      <c r="K19" s="1033"/>
      <c r="L19" s="1033"/>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sheetData>
  <pageMargins left="0.7" right="0.7" top="0.75" bottom="0.75" header="0.3" footer="0.3"/>
  <pageSetup paperSize="9" orientation="landscape" horizontalDpi="4294967295" verticalDpi="4294967295" r:id="rId1"/>
  <ignoredErrors>
    <ignoredError sqref="I2:I3"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147"/>
  <sheetViews>
    <sheetView zoomScale="120" zoomScaleNormal="120" workbookViewId="0">
      <pane ySplit="1" topLeftCell="A3688" activePane="bottomLeft" state="frozen"/>
      <selection activeCell="D26" sqref="D26"/>
      <selection pane="bottomLeft" activeCell="H3703" sqref="H3703"/>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8"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9" t="s">
        <v>0</v>
      </c>
      <c r="B1" s="760" t="s">
        <v>155</v>
      </c>
      <c r="C1" s="759" t="s">
        <v>156</v>
      </c>
      <c r="D1" s="781" t="s">
        <v>179</v>
      </c>
      <c r="E1" s="761" t="s">
        <v>157</v>
      </c>
      <c r="F1" s="762" t="s">
        <v>158</v>
      </c>
      <c r="G1" s="763" t="s">
        <v>5</v>
      </c>
      <c r="H1" s="764" t="s">
        <v>2</v>
      </c>
      <c r="I1" s="1014" t="s">
        <v>10860</v>
      </c>
    </row>
    <row r="2" spans="1:9" x14ac:dyDescent="0.25">
      <c r="A2" s="17">
        <v>42332</v>
      </c>
      <c r="B2" s="21" t="s">
        <v>40</v>
      </c>
      <c r="C2" s="13" t="s">
        <v>180</v>
      </c>
      <c r="D2" s="765">
        <v>3572</v>
      </c>
      <c r="E2" s="18">
        <v>19280</v>
      </c>
      <c r="F2" s="19"/>
      <c r="G2" s="20">
        <f t="shared" ref="G2:G21" si="0">E2-F2</f>
        <v>19280</v>
      </c>
      <c r="H2" s="13"/>
    </row>
    <row r="3" spans="1:9" x14ac:dyDescent="0.25">
      <c r="A3" s="17">
        <v>42339</v>
      </c>
      <c r="B3" s="21" t="s">
        <v>129</v>
      </c>
      <c r="C3" s="13" t="s">
        <v>180</v>
      </c>
      <c r="D3" s="765">
        <v>33885</v>
      </c>
      <c r="E3" s="18">
        <v>25860</v>
      </c>
      <c r="F3" s="19"/>
      <c r="G3" s="20">
        <f t="shared" si="0"/>
        <v>25860</v>
      </c>
      <c r="H3" s="13"/>
    </row>
    <row r="4" spans="1:9" x14ac:dyDescent="0.25">
      <c r="A4" s="17">
        <v>42352</v>
      </c>
      <c r="B4" s="21" t="s">
        <v>38</v>
      </c>
      <c r="C4" s="13" t="s">
        <v>180</v>
      </c>
      <c r="D4" s="765">
        <v>33977</v>
      </c>
      <c r="E4" s="18">
        <v>37412</v>
      </c>
      <c r="F4" s="19"/>
      <c r="G4" s="20">
        <f t="shared" si="0"/>
        <v>37412</v>
      </c>
      <c r="H4" s="13"/>
    </row>
    <row r="5" spans="1:9" x14ac:dyDescent="0.25">
      <c r="A5" s="17">
        <v>42355</v>
      </c>
      <c r="B5" s="21" t="s">
        <v>38</v>
      </c>
      <c r="C5" s="13" t="s">
        <v>169</v>
      </c>
      <c r="D5" s="766">
        <v>149</v>
      </c>
      <c r="E5" s="22">
        <v>2699</v>
      </c>
      <c r="F5" s="19"/>
      <c r="G5" s="14">
        <f t="shared" si="0"/>
        <v>2699</v>
      </c>
      <c r="H5" s="13"/>
    </row>
    <row r="6" spans="1:9" x14ac:dyDescent="0.25">
      <c r="A6" s="17">
        <v>42359</v>
      </c>
      <c r="B6" s="21" t="s">
        <v>40</v>
      </c>
      <c r="C6" s="13" t="s">
        <v>180</v>
      </c>
      <c r="D6" s="765">
        <v>12454</v>
      </c>
      <c r="E6" s="18">
        <v>436000</v>
      </c>
      <c r="F6" s="19"/>
      <c r="G6" s="20">
        <f t="shared" si="0"/>
        <v>436000</v>
      </c>
      <c r="H6" s="13"/>
    </row>
    <row r="7" spans="1:9" x14ac:dyDescent="0.25">
      <c r="A7" s="17">
        <v>42366</v>
      </c>
      <c r="B7" s="21" t="s">
        <v>40</v>
      </c>
      <c r="C7" s="13" t="s">
        <v>180</v>
      </c>
      <c r="D7" s="765">
        <v>34024</v>
      </c>
      <c r="E7" s="18">
        <v>18500</v>
      </c>
      <c r="F7" s="19"/>
      <c r="G7" s="20">
        <f t="shared" si="0"/>
        <v>18500</v>
      </c>
      <c r="H7" s="13"/>
    </row>
    <row r="8" spans="1:9" x14ac:dyDescent="0.25">
      <c r="A8" s="17">
        <v>42366</v>
      </c>
      <c r="B8" s="21" t="s">
        <v>129</v>
      </c>
      <c r="C8" s="13" t="s">
        <v>180</v>
      </c>
      <c r="D8" s="765">
        <v>34025</v>
      </c>
      <c r="E8" s="18">
        <v>39900</v>
      </c>
      <c r="F8" s="19"/>
      <c r="G8" s="20">
        <f t="shared" si="0"/>
        <v>39900</v>
      </c>
      <c r="H8" s="13"/>
    </row>
    <row r="9" spans="1:9" x14ac:dyDescent="0.25">
      <c r="A9" s="17">
        <v>42369</v>
      </c>
      <c r="B9" s="23" t="s">
        <v>129</v>
      </c>
      <c r="C9" s="13" t="s">
        <v>169</v>
      </c>
      <c r="D9" s="767">
        <v>154</v>
      </c>
      <c r="E9" s="22">
        <v>1884</v>
      </c>
      <c r="F9" s="19"/>
      <c r="G9" s="14">
        <f t="shared" si="0"/>
        <v>1884</v>
      </c>
      <c r="H9" s="13"/>
    </row>
    <row r="10" spans="1:9" x14ac:dyDescent="0.25">
      <c r="A10" s="17">
        <v>42371</v>
      </c>
      <c r="B10" s="21" t="s">
        <v>40</v>
      </c>
      <c r="C10" s="13" t="s">
        <v>180</v>
      </c>
      <c r="D10" s="765">
        <v>12533</v>
      </c>
      <c r="E10" s="18">
        <v>59000</v>
      </c>
      <c r="F10" s="19"/>
      <c r="G10" s="20">
        <f t="shared" si="0"/>
        <v>59000</v>
      </c>
      <c r="H10" s="13"/>
    </row>
    <row r="11" spans="1:9" x14ac:dyDescent="0.25">
      <c r="A11" s="17">
        <v>42385</v>
      </c>
      <c r="B11" s="21" t="s">
        <v>130</v>
      </c>
      <c r="C11" s="13" t="s">
        <v>161</v>
      </c>
      <c r="D11" s="765">
        <v>672</v>
      </c>
      <c r="E11" s="24">
        <v>21602</v>
      </c>
      <c r="F11" s="19"/>
      <c r="G11" s="20">
        <f t="shared" si="0"/>
        <v>21602</v>
      </c>
      <c r="H11" s="13"/>
    </row>
    <row r="12" spans="1:9" x14ac:dyDescent="0.25">
      <c r="A12" s="17">
        <v>42387</v>
      </c>
      <c r="B12" s="21" t="s">
        <v>40</v>
      </c>
      <c r="C12" s="13" t="s">
        <v>164</v>
      </c>
      <c r="D12" s="765">
        <v>6761</v>
      </c>
      <c r="E12" s="24">
        <v>41971</v>
      </c>
      <c r="F12" s="19"/>
      <c r="G12" s="20">
        <f t="shared" si="0"/>
        <v>41971</v>
      </c>
      <c r="H12" s="13"/>
    </row>
    <row r="13" spans="1:9" x14ac:dyDescent="0.25">
      <c r="A13" s="17">
        <v>42387</v>
      </c>
      <c r="B13" s="21" t="s">
        <v>40</v>
      </c>
      <c r="C13" s="13" t="s">
        <v>164</v>
      </c>
      <c r="D13" s="765">
        <v>6927</v>
      </c>
      <c r="E13" s="24">
        <v>11578</v>
      </c>
      <c r="F13" s="19"/>
      <c r="G13" s="20">
        <f t="shared" si="0"/>
        <v>11578</v>
      </c>
      <c r="H13" s="13"/>
    </row>
    <row r="14" spans="1:9" x14ac:dyDescent="0.25">
      <c r="A14" s="17">
        <v>42387</v>
      </c>
      <c r="B14" s="21" t="s">
        <v>11</v>
      </c>
      <c r="C14" s="13" t="s">
        <v>164</v>
      </c>
      <c r="D14" s="766">
        <v>170</v>
      </c>
      <c r="E14" s="25">
        <v>414</v>
      </c>
      <c r="F14" s="19"/>
      <c r="G14" s="20">
        <f t="shared" si="0"/>
        <v>414</v>
      </c>
      <c r="H14" s="13"/>
    </row>
    <row r="15" spans="1:9" x14ac:dyDescent="0.25">
      <c r="A15" s="17">
        <v>42387</v>
      </c>
      <c r="B15" s="21" t="s">
        <v>11</v>
      </c>
      <c r="C15" s="13" t="s">
        <v>164</v>
      </c>
      <c r="D15" s="766">
        <v>144</v>
      </c>
      <c r="E15" s="25">
        <v>3853</v>
      </c>
      <c r="F15" s="19"/>
      <c r="G15" s="20">
        <f t="shared" si="0"/>
        <v>3853</v>
      </c>
      <c r="H15" s="13"/>
    </row>
    <row r="16" spans="1:9" x14ac:dyDescent="0.25">
      <c r="A16" s="17">
        <v>42387</v>
      </c>
      <c r="B16" s="21" t="s">
        <v>11</v>
      </c>
      <c r="C16" s="13" t="s">
        <v>164</v>
      </c>
      <c r="D16" s="766">
        <v>159</v>
      </c>
      <c r="E16" s="25">
        <v>6782</v>
      </c>
      <c r="F16" s="19"/>
      <c r="G16" s="20">
        <f t="shared" si="0"/>
        <v>6782</v>
      </c>
      <c r="H16" s="13"/>
    </row>
    <row r="17" spans="1:8" x14ac:dyDescent="0.25">
      <c r="A17" s="17">
        <v>42388</v>
      </c>
      <c r="B17" s="21"/>
      <c r="C17" s="13"/>
      <c r="D17" s="765">
        <v>685</v>
      </c>
      <c r="E17" s="24">
        <v>17519</v>
      </c>
      <c r="F17" s="19"/>
      <c r="G17" s="20">
        <f t="shared" si="0"/>
        <v>17519</v>
      </c>
      <c r="H17" s="13" t="s">
        <v>186</v>
      </c>
    </row>
    <row r="18" spans="1:8" x14ac:dyDescent="0.25">
      <c r="A18" s="17">
        <v>42393</v>
      </c>
      <c r="B18" s="21" t="s">
        <v>11</v>
      </c>
      <c r="C18" s="13" t="s">
        <v>164</v>
      </c>
      <c r="D18" s="766">
        <v>265</v>
      </c>
      <c r="E18" s="25">
        <v>9000</v>
      </c>
      <c r="F18" s="19"/>
      <c r="G18" s="20">
        <f t="shared" si="0"/>
        <v>9000</v>
      </c>
      <c r="H18" s="13"/>
    </row>
    <row r="19" spans="1:8" x14ac:dyDescent="0.25">
      <c r="A19" s="17">
        <v>42394</v>
      </c>
      <c r="B19" s="21" t="s">
        <v>40</v>
      </c>
      <c r="C19" s="13" t="s">
        <v>161</v>
      </c>
      <c r="D19" s="766"/>
      <c r="E19" s="26">
        <v>214133</v>
      </c>
      <c r="F19" s="19"/>
      <c r="G19" s="20">
        <f t="shared" si="0"/>
        <v>214133</v>
      </c>
      <c r="H19" s="13"/>
    </row>
    <row r="20" spans="1:8" x14ac:dyDescent="0.25">
      <c r="A20" s="17">
        <v>42394</v>
      </c>
      <c r="B20" s="21" t="s">
        <v>130</v>
      </c>
      <c r="C20" s="13" t="s">
        <v>161</v>
      </c>
      <c r="D20" s="766">
        <v>535</v>
      </c>
      <c r="E20" s="22">
        <v>194720</v>
      </c>
      <c r="F20" s="19"/>
      <c r="G20" s="20">
        <f t="shared" si="0"/>
        <v>194720</v>
      </c>
      <c r="H20" s="13"/>
    </row>
    <row r="21" spans="1:8" x14ac:dyDescent="0.25">
      <c r="A21" s="17">
        <v>42394</v>
      </c>
      <c r="B21" s="21" t="s">
        <v>129</v>
      </c>
      <c r="C21" s="13" t="s">
        <v>161</v>
      </c>
      <c r="D21" s="766">
        <v>631</v>
      </c>
      <c r="E21" s="22">
        <v>65996</v>
      </c>
      <c r="F21" s="19"/>
      <c r="G21" s="20">
        <f t="shared" si="0"/>
        <v>65996</v>
      </c>
      <c r="H21" s="13"/>
    </row>
    <row r="22" spans="1:8" x14ac:dyDescent="0.25">
      <c r="A22" s="17">
        <v>42394</v>
      </c>
      <c r="B22" s="21" t="s">
        <v>14</v>
      </c>
      <c r="C22" s="13" t="s">
        <v>164</v>
      </c>
      <c r="D22" s="766"/>
      <c r="E22" s="22">
        <v>30677</v>
      </c>
      <c r="F22" s="19"/>
      <c r="G22" s="20">
        <f t="shared" ref="G22:G28" si="1">E22-F22</f>
        <v>30677</v>
      </c>
      <c r="H22" s="13"/>
    </row>
    <row r="23" spans="1:8" x14ac:dyDescent="0.25">
      <c r="A23" s="17">
        <v>42394</v>
      </c>
      <c r="B23" s="21" t="s">
        <v>40</v>
      </c>
      <c r="C23" s="13" t="s">
        <v>164</v>
      </c>
      <c r="D23" s="766"/>
      <c r="E23" s="22">
        <v>49576</v>
      </c>
      <c r="F23" s="19"/>
      <c r="G23" s="20">
        <f t="shared" si="1"/>
        <v>49576</v>
      </c>
      <c r="H23" s="13"/>
    </row>
    <row r="24" spans="1:8" x14ac:dyDescent="0.25">
      <c r="A24" s="17">
        <v>42394</v>
      </c>
      <c r="B24" s="21" t="s">
        <v>160</v>
      </c>
      <c r="C24" s="13" t="s">
        <v>164</v>
      </c>
      <c r="D24" s="766"/>
      <c r="E24" s="22">
        <v>7375</v>
      </c>
      <c r="F24" s="19"/>
      <c r="G24" s="20">
        <f t="shared" si="1"/>
        <v>7375</v>
      </c>
      <c r="H24" s="13"/>
    </row>
    <row r="25" spans="1:8" x14ac:dyDescent="0.25">
      <c r="A25" s="17">
        <v>42394</v>
      </c>
      <c r="B25" s="21" t="s">
        <v>38</v>
      </c>
      <c r="C25" s="13" t="s">
        <v>164</v>
      </c>
      <c r="D25" s="766"/>
      <c r="E25" s="22">
        <v>17754</v>
      </c>
      <c r="F25" s="19"/>
      <c r="G25" s="20">
        <f t="shared" si="1"/>
        <v>17754</v>
      </c>
      <c r="H25" s="13"/>
    </row>
    <row r="26" spans="1:8" x14ac:dyDescent="0.25">
      <c r="A26" s="17">
        <v>42394</v>
      </c>
      <c r="B26" s="21" t="s">
        <v>36</v>
      </c>
      <c r="C26" s="13" t="s">
        <v>164</v>
      </c>
      <c r="D26" s="766"/>
      <c r="E26" s="22">
        <v>1921</v>
      </c>
      <c r="F26" s="19"/>
      <c r="G26" s="20">
        <f t="shared" si="1"/>
        <v>1921</v>
      </c>
      <c r="H26" s="13"/>
    </row>
    <row r="27" spans="1:8" x14ac:dyDescent="0.25">
      <c r="A27" s="17">
        <v>42394</v>
      </c>
      <c r="B27" s="21" t="s">
        <v>40</v>
      </c>
      <c r="C27" s="13" t="s">
        <v>166</v>
      </c>
      <c r="D27" s="766"/>
      <c r="E27" s="22">
        <v>235632</v>
      </c>
      <c r="F27" s="19"/>
      <c r="G27" s="20">
        <f t="shared" si="1"/>
        <v>235632</v>
      </c>
      <c r="H27" s="13"/>
    </row>
    <row r="28" spans="1:8" x14ac:dyDescent="0.25">
      <c r="A28" s="17">
        <v>42394</v>
      </c>
      <c r="B28" s="21" t="s">
        <v>129</v>
      </c>
      <c r="C28" s="13" t="s">
        <v>166</v>
      </c>
      <c r="D28" s="766"/>
      <c r="E28" s="22">
        <v>1900</v>
      </c>
      <c r="F28" s="19"/>
      <c r="G28" s="20">
        <f t="shared" si="1"/>
        <v>1900</v>
      </c>
      <c r="H28" s="13"/>
    </row>
    <row r="29" spans="1:8" x14ac:dyDescent="0.25">
      <c r="A29" s="17">
        <v>42394</v>
      </c>
      <c r="B29" s="21" t="s">
        <v>38</v>
      </c>
      <c r="C29" s="13" t="s">
        <v>169</v>
      </c>
      <c r="D29" s="766"/>
      <c r="E29" s="22">
        <v>14010</v>
      </c>
      <c r="F29" s="19"/>
      <c r="G29" s="20">
        <f t="shared" ref="G29:G40" si="2">E29-F29</f>
        <v>14010</v>
      </c>
      <c r="H29" s="13"/>
    </row>
    <row r="30" spans="1:8" x14ac:dyDescent="0.25">
      <c r="A30" s="17">
        <v>42394</v>
      </c>
      <c r="B30" s="21" t="s">
        <v>129</v>
      </c>
      <c r="C30" s="13" t="s">
        <v>169</v>
      </c>
      <c r="D30" s="766"/>
      <c r="E30" s="22">
        <v>10045</v>
      </c>
      <c r="F30" s="19"/>
      <c r="G30" s="20">
        <f t="shared" si="2"/>
        <v>10045</v>
      </c>
      <c r="H30" s="13"/>
    </row>
    <row r="31" spans="1:8" x14ac:dyDescent="0.25">
      <c r="A31" s="17">
        <v>42394</v>
      </c>
      <c r="B31" s="21" t="s">
        <v>39</v>
      </c>
      <c r="C31" s="13" t="s">
        <v>169</v>
      </c>
      <c r="D31" s="766"/>
      <c r="E31" s="22">
        <v>65000</v>
      </c>
      <c r="F31" s="19"/>
      <c r="G31" s="20">
        <f t="shared" si="2"/>
        <v>65000</v>
      </c>
      <c r="H31" s="13"/>
    </row>
    <row r="32" spans="1:8" x14ac:dyDescent="0.25">
      <c r="A32" s="17">
        <v>42394</v>
      </c>
      <c r="B32" s="21" t="s">
        <v>40</v>
      </c>
      <c r="C32" s="13" t="s">
        <v>180</v>
      </c>
      <c r="D32" s="765"/>
      <c r="E32" s="18"/>
      <c r="F32" s="28">
        <v>1500</v>
      </c>
      <c r="G32" s="20">
        <f t="shared" si="2"/>
        <v>-1500</v>
      </c>
      <c r="H32" s="13"/>
    </row>
    <row r="33" spans="1:8" x14ac:dyDescent="0.25">
      <c r="A33" s="17">
        <v>42394</v>
      </c>
      <c r="B33" s="21" t="s">
        <v>40</v>
      </c>
      <c r="C33" s="13" t="s">
        <v>164</v>
      </c>
      <c r="D33" s="766">
        <v>271</v>
      </c>
      <c r="E33" s="25">
        <v>3302</v>
      </c>
      <c r="F33" s="19"/>
      <c r="G33" s="20">
        <f t="shared" si="2"/>
        <v>3302</v>
      </c>
      <c r="H33" s="13"/>
    </row>
    <row r="34" spans="1:8" x14ac:dyDescent="0.25">
      <c r="A34" s="17">
        <v>42396</v>
      </c>
      <c r="B34" s="21" t="s">
        <v>11</v>
      </c>
      <c r="C34" s="13" t="s">
        <v>164</v>
      </c>
      <c r="D34" s="766">
        <v>319</v>
      </c>
      <c r="E34" s="25">
        <v>1980</v>
      </c>
      <c r="F34" s="19"/>
      <c r="G34" s="20">
        <f t="shared" si="2"/>
        <v>1980</v>
      </c>
      <c r="H34" s="13"/>
    </row>
    <row r="35" spans="1:8" x14ac:dyDescent="0.25">
      <c r="A35" s="17">
        <v>42398</v>
      </c>
      <c r="B35" s="21" t="s">
        <v>40</v>
      </c>
      <c r="C35" s="13" t="s">
        <v>166</v>
      </c>
      <c r="D35" s="765">
        <v>6642</v>
      </c>
      <c r="E35" s="25">
        <v>39200</v>
      </c>
      <c r="F35" s="19"/>
      <c r="G35" s="20">
        <f t="shared" si="2"/>
        <v>39200</v>
      </c>
      <c r="H35" s="13"/>
    </row>
    <row r="36" spans="1:8" x14ac:dyDescent="0.25">
      <c r="A36" s="17">
        <v>42399</v>
      </c>
      <c r="B36" s="21" t="s">
        <v>40</v>
      </c>
      <c r="C36" s="13" t="s">
        <v>166</v>
      </c>
      <c r="D36" s="765">
        <v>6643</v>
      </c>
      <c r="E36" s="25">
        <v>39200</v>
      </c>
      <c r="F36" s="19"/>
      <c r="G36" s="20">
        <f t="shared" si="2"/>
        <v>39200</v>
      </c>
      <c r="H36" s="13"/>
    </row>
    <row r="37" spans="1:8" x14ac:dyDescent="0.25">
      <c r="A37" s="17">
        <v>42403</v>
      </c>
      <c r="B37" s="23" t="s">
        <v>129</v>
      </c>
      <c r="C37" s="13" t="s">
        <v>169</v>
      </c>
      <c r="D37" s="767">
        <v>177</v>
      </c>
      <c r="E37" s="22">
        <v>42350</v>
      </c>
      <c r="F37" s="19"/>
      <c r="G37" s="14">
        <f t="shared" si="2"/>
        <v>42350</v>
      </c>
      <c r="H37" s="13" t="s">
        <v>181</v>
      </c>
    </row>
    <row r="38" spans="1:8" x14ac:dyDescent="0.25">
      <c r="A38" s="17">
        <v>42404</v>
      </c>
      <c r="B38" s="21" t="s">
        <v>40</v>
      </c>
      <c r="C38" s="13" t="s">
        <v>180</v>
      </c>
      <c r="D38" s="766"/>
      <c r="E38" s="22"/>
      <c r="F38" s="27">
        <v>1000047</v>
      </c>
      <c r="G38" s="20">
        <f t="shared" si="2"/>
        <v>-1000047</v>
      </c>
      <c r="H38" s="13"/>
    </row>
    <row r="39" spans="1:8" x14ac:dyDescent="0.25">
      <c r="A39" s="17">
        <v>42404</v>
      </c>
      <c r="B39" s="21" t="s">
        <v>40</v>
      </c>
      <c r="C39" s="13" t="s">
        <v>166</v>
      </c>
      <c r="D39" s="766"/>
      <c r="E39" s="22"/>
      <c r="F39" s="27">
        <v>300000</v>
      </c>
      <c r="G39" s="20">
        <f t="shared" si="2"/>
        <v>-300000</v>
      </c>
      <c r="H39" s="13"/>
    </row>
    <row r="40" spans="1:8" x14ac:dyDescent="0.25">
      <c r="A40" s="17">
        <v>42406</v>
      </c>
      <c r="B40" s="23" t="s">
        <v>129</v>
      </c>
      <c r="C40" s="13" t="s">
        <v>169</v>
      </c>
      <c r="D40" s="767">
        <v>184</v>
      </c>
      <c r="E40" s="22">
        <v>18371</v>
      </c>
      <c r="F40" s="19"/>
      <c r="G40" s="14">
        <f t="shared" si="2"/>
        <v>18371</v>
      </c>
      <c r="H40" s="13"/>
    </row>
    <row r="41" spans="1:8" x14ac:dyDescent="0.25">
      <c r="A41" s="17">
        <v>42415</v>
      </c>
      <c r="B41" s="23" t="s">
        <v>40</v>
      </c>
      <c r="C41" s="13" t="s">
        <v>169</v>
      </c>
      <c r="D41" s="767"/>
      <c r="E41" s="22">
        <v>7547</v>
      </c>
      <c r="F41" s="19"/>
      <c r="G41" s="14">
        <f t="shared" ref="G41:G50" si="3">E41-F41</f>
        <v>7547</v>
      </c>
      <c r="H41" s="13"/>
    </row>
    <row r="42" spans="1:8" x14ac:dyDescent="0.25">
      <c r="A42" s="17">
        <v>42418</v>
      </c>
      <c r="B42" s="21" t="s">
        <v>40</v>
      </c>
      <c r="C42" s="13" t="s">
        <v>166</v>
      </c>
      <c r="D42" s="766">
        <v>6733</v>
      </c>
      <c r="E42" s="22">
        <v>39200</v>
      </c>
      <c r="F42" s="19"/>
      <c r="G42" s="14">
        <f t="shared" si="3"/>
        <v>39200</v>
      </c>
      <c r="H42" s="13"/>
    </row>
    <row r="43" spans="1:8" x14ac:dyDescent="0.25">
      <c r="A43" s="17">
        <v>42422</v>
      </c>
      <c r="B43" s="21" t="s">
        <v>40</v>
      </c>
      <c r="C43" s="13" t="s">
        <v>161</v>
      </c>
      <c r="D43" s="766">
        <v>821</v>
      </c>
      <c r="E43" s="22">
        <v>34229</v>
      </c>
      <c r="F43" s="19"/>
      <c r="G43" s="14">
        <f t="shared" si="3"/>
        <v>34229</v>
      </c>
      <c r="H43" s="13"/>
    </row>
    <row r="44" spans="1:8" x14ac:dyDescent="0.25">
      <c r="A44" s="17">
        <v>42423</v>
      </c>
      <c r="B44" s="21" t="s">
        <v>39</v>
      </c>
      <c r="C44" s="13" t="s">
        <v>169</v>
      </c>
      <c r="D44" s="766"/>
      <c r="E44" s="22"/>
      <c r="F44" s="19">
        <v>65000</v>
      </c>
      <c r="G44" s="14">
        <f t="shared" si="3"/>
        <v>-65000</v>
      </c>
      <c r="H44" s="13"/>
    </row>
    <row r="45" spans="1:8" x14ac:dyDescent="0.25">
      <c r="A45" s="16">
        <v>42424</v>
      </c>
      <c r="B45" s="21" t="s">
        <v>40</v>
      </c>
      <c r="C45" s="13" t="s">
        <v>164</v>
      </c>
      <c r="D45" s="766"/>
      <c r="E45" s="22"/>
      <c r="F45" s="19">
        <v>52000</v>
      </c>
      <c r="G45" s="14">
        <f t="shared" si="3"/>
        <v>-52000</v>
      </c>
      <c r="H45" s="13"/>
    </row>
    <row r="46" spans="1:8" x14ac:dyDescent="0.25">
      <c r="A46" s="16">
        <v>42424</v>
      </c>
      <c r="B46" s="21" t="s">
        <v>38</v>
      </c>
      <c r="C46" s="13" t="s">
        <v>164</v>
      </c>
      <c r="D46" s="766"/>
      <c r="E46" s="22"/>
      <c r="F46" s="19">
        <v>17500</v>
      </c>
      <c r="G46" s="14">
        <f t="shared" si="3"/>
        <v>-17500</v>
      </c>
      <c r="H46" s="13"/>
    </row>
    <row r="47" spans="1:8" x14ac:dyDescent="0.25">
      <c r="A47" s="16">
        <v>42424</v>
      </c>
      <c r="B47" s="21" t="s">
        <v>160</v>
      </c>
      <c r="C47" s="13" t="s">
        <v>164</v>
      </c>
      <c r="D47" s="766"/>
      <c r="E47" s="22"/>
      <c r="F47" s="19">
        <v>7000</v>
      </c>
      <c r="G47" s="14">
        <f t="shared" si="3"/>
        <v>-7000</v>
      </c>
      <c r="H47" s="13"/>
    </row>
    <row r="48" spans="1:8" x14ac:dyDescent="0.25">
      <c r="A48" s="16">
        <v>42424</v>
      </c>
      <c r="B48" s="21" t="s">
        <v>11</v>
      </c>
      <c r="C48" s="13" t="s">
        <v>164</v>
      </c>
      <c r="D48" s="766"/>
      <c r="E48" s="22"/>
      <c r="F48" s="19">
        <v>22029</v>
      </c>
      <c r="G48" s="14">
        <f t="shared" si="3"/>
        <v>-22029</v>
      </c>
      <c r="H48" s="2" t="s">
        <v>347</v>
      </c>
    </row>
    <row r="49" spans="1:8" x14ac:dyDescent="0.25">
      <c r="A49" s="16">
        <v>42424</v>
      </c>
      <c r="B49" s="21" t="s">
        <v>36</v>
      </c>
      <c r="C49" s="13" t="s">
        <v>164</v>
      </c>
      <c r="D49" s="766"/>
      <c r="E49" s="22"/>
      <c r="F49" s="19">
        <v>1471</v>
      </c>
      <c r="G49" s="14">
        <f t="shared" si="3"/>
        <v>-1471</v>
      </c>
      <c r="H49" s="13"/>
    </row>
    <row r="50" spans="1:8" x14ac:dyDescent="0.25">
      <c r="A50" s="17">
        <v>42426</v>
      </c>
      <c r="B50" s="21" t="s">
        <v>40</v>
      </c>
      <c r="C50" s="13" t="s">
        <v>166</v>
      </c>
      <c r="D50" s="766"/>
      <c r="E50" s="22"/>
      <c r="F50" s="19">
        <v>200000</v>
      </c>
      <c r="G50" s="14">
        <f t="shared" si="3"/>
        <v>-200000</v>
      </c>
      <c r="H50" s="13"/>
    </row>
    <row r="51" spans="1:8" x14ac:dyDescent="0.25">
      <c r="A51" s="17">
        <v>42426</v>
      </c>
      <c r="B51" s="21" t="s">
        <v>40</v>
      </c>
      <c r="C51" s="13" t="s">
        <v>161</v>
      </c>
      <c r="D51" s="766"/>
      <c r="E51" s="22"/>
      <c r="F51" s="19">
        <v>230000</v>
      </c>
      <c r="G51" s="14">
        <f t="shared" ref="G51:G53" si="4">E51-F51</f>
        <v>-230000</v>
      </c>
      <c r="H51" s="13"/>
    </row>
    <row r="52" spans="1:8" x14ac:dyDescent="0.25">
      <c r="A52" s="17">
        <v>42426</v>
      </c>
      <c r="B52" s="21" t="s">
        <v>130</v>
      </c>
      <c r="C52" s="13" t="s">
        <v>161</v>
      </c>
      <c r="D52" s="766"/>
      <c r="E52" s="22"/>
      <c r="F52" s="19">
        <v>210000</v>
      </c>
      <c r="G52" s="14">
        <f t="shared" si="4"/>
        <v>-210000</v>
      </c>
      <c r="H52" s="1175" t="s">
        <v>519</v>
      </c>
    </row>
    <row r="53" spans="1:8" x14ac:dyDescent="0.25">
      <c r="A53" s="17">
        <v>42426</v>
      </c>
      <c r="B53" s="21" t="s">
        <v>129</v>
      </c>
      <c r="C53" s="13" t="s">
        <v>161</v>
      </c>
      <c r="D53" s="766"/>
      <c r="E53" s="22"/>
      <c r="F53" s="19">
        <v>60000</v>
      </c>
      <c r="G53" s="14">
        <f t="shared" si="4"/>
        <v>-60000</v>
      </c>
      <c r="H53" s="1175"/>
    </row>
    <row r="54" spans="1:8" x14ac:dyDescent="0.25">
      <c r="A54" s="17">
        <v>42429</v>
      </c>
      <c r="B54" s="21" t="s">
        <v>130</v>
      </c>
      <c r="C54" s="13" t="s">
        <v>169</v>
      </c>
      <c r="D54" s="766">
        <v>191</v>
      </c>
      <c r="E54" s="22">
        <v>15860</v>
      </c>
      <c r="F54" s="19"/>
      <c r="G54" s="14">
        <f t="shared" ref="G54:G55" si="5">E54-F54</f>
        <v>15860</v>
      </c>
      <c r="H54" s="2" t="s">
        <v>448</v>
      </c>
    </row>
    <row r="55" spans="1:8" x14ac:dyDescent="0.25">
      <c r="A55" s="17">
        <v>42429</v>
      </c>
      <c r="B55" s="21" t="s">
        <v>40</v>
      </c>
      <c r="C55" s="13" t="s">
        <v>166</v>
      </c>
      <c r="D55" s="766">
        <v>6802</v>
      </c>
      <c r="E55" s="22">
        <v>39200</v>
      </c>
      <c r="F55" s="19"/>
      <c r="G55" s="14">
        <f t="shared" si="5"/>
        <v>39200</v>
      </c>
      <c r="H55" s="13"/>
    </row>
    <row r="56" spans="1:8" x14ac:dyDescent="0.25">
      <c r="A56" s="17">
        <v>42431</v>
      </c>
      <c r="B56" s="21" t="s">
        <v>130</v>
      </c>
      <c r="C56" s="13" t="s">
        <v>161</v>
      </c>
      <c r="D56" s="766">
        <v>867</v>
      </c>
      <c r="E56" s="22">
        <v>6827</v>
      </c>
      <c r="F56" s="19"/>
      <c r="G56" s="14">
        <f t="shared" ref="G56:G94" si="6">E56-F56</f>
        <v>6827</v>
      </c>
      <c r="H56" s="13"/>
    </row>
    <row r="57" spans="1:8" x14ac:dyDescent="0.25">
      <c r="A57" s="17">
        <v>42445</v>
      </c>
      <c r="B57" s="21" t="s">
        <v>40</v>
      </c>
      <c r="C57" s="13" t="s">
        <v>180</v>
      </c>
      <c r="D57" s="766">
        <v>13063</v>
      </c>
      <c r="E57" s="22">
        <v>276000</v>
      </c>
      <c r="F57" s="19"/>
      <c r="G57" s="14">
        <f t="shared" si="6"/>
        <v>276000</v>
      </c>
      <c r="H57" s="13"/>
    </row>
    <row r="58" spans="1:8" x14ac:dyDescent="0.25">
      <c r="A58" s="17">
        <v>42445</v>
      </c>
      <c r="B58" s="2" t="s">
        <v>82</v>
      </c>
      <c r="C58" s="13" t="s">
        <v>180</v>
      </c>
      <c r="D58" s="766">
        <v>34392</v>
      </c>
      <c r="E58" s="22">
        <v>184000</v>
      </c>
      <c r="F58" s="19"/>
      <c r="G58" s="14">
        <f t="shared" si="6"/>
        <v>184000</v>
      </c>
      <c r="H58" s="13"/>
    </row>
    <row r="59" spans="1:8" x14ac:dyDescent="0.25">
      <c r="A59" s="17">
        <v>42445</v>
      </c>
      <c r="B59" s="2" t="s">
        <v>82</v>
      </c>
      <c r="C59" s="13" t="s">
        <v>180</v>
      </c>
      <c r="D59" s="766">
        <v>34432</v>
      </c>
      <c r="E59" s="22">
        <v>9364</v>
      </c>
      <c r="F59" s="19"/>
      <c r="G59" s="14">
        <f t="shared" si="6"/>
        <v>9364</v>
      </c>
      <c r="H59" s="13"/>
    </row>
    <row r="60" spans="1:8" x14ac:dyDescent="0.25">
      <c r="A60" s="17">
        <v>42445</v>
      </c>
      <c r="B60" s="2" t="s">
        <v>82</v>
      </c>
      <c r="C60" s="13" t="s">
        <v>180</v>
      </c>
      <c r="D60" s="766">
        <v>34375</v>
      </c>
      <c r="E60" s="22">
        <v>61640</v>
      </c>
      <c r="F60" s="19"/>
      <c r="G60" s="14">
        <f t="shared" si="6"/>
        <v>61640</v>
      </c>
      <c r="H60" s="13"/>
    </row>
    <row r="61" spans="1:8" x14ac:dyDescent="0.25">
      <c r="A61" s="17">
        <v>42445</v>
      </c>
      <c r="B61" s="21" t="s">
        <v>40</v>
      </c>
      <c r="C61" s="13" t="s">
        <v>180</v>
      </c>
      <c r="D61" s="766">
        <v>4371</v>
      </c>
      <c r="E61" s="22">
        <v>56100</v>
      </c>
      <c r="F61" s="19"/>
      <c r="G61" s="14">
        <f t="shared" si="6"/>
        <v>56100</v>
      </c>
      <c r="H61" s="13"/>
    </row>
    <row r="62" spans="1:8" x14ac:dyDescent="0.25">
      <c r="A62" s="17">
        <v>42445</v>
      </c>
      <c r="B62" s="21" t="s">
        <v>40</v>
      </c>
      <c r="C62" s="13" t="s">
        <v>180</v>
      </c>
      <c r="D62" s="766">
        <v>12928</v>
      </c>
      <c r="E62" s="22">
        <v>381610</v>
      </c>
      <c r="F62" s="19"/>
      <c r="G62" s="14">
        <f t="shared" si="6"/>
        <v>381610</v>
      </c>
      <c r="H62" s="13"/>
    </row>
    <row r="63" spans="1:8" x14ac:dyDescent="0.25">
      <c r="A63" s="17">
        <v>42448</v>
      </c>
      <c r="B63" s="21" t="s">
        <v>40</v>
      </c>
      <c r="C63" s="13" t="s">
        <v>169</v>
      </c>
      <c r="D63" s="766">
        <v>219</v>
      </c>
      <c r="E63" s="22">
        <v>15578</v>
      </c>
      <c r="F63" s="19"/>
      <c r="G63" s="14">
        <f t="shared" si="6"/>
        <v>15578</v>
      </c>
      <c r="H63" s="13" t="s">
        <v>493</v>
      </c>
    </row>
    <row r="64" spans="1:8" x14ac:dyDescent="0.25">
      <c r="A64" s="17">
        <v>42424</v>
      </c>
      <c r="B64" s="21" t="s">
        <v>130</v>
      </c>
      <c r="C64" s="13" t="s">
        <v>164</v>
      </c>
      <c r="D64" s="766">
        <v>8502</v>
      </c>
      <c r="E64" s="22">
        <v>22381</v>
      </c>
      <c r="F64" s="19"/>
      <c r="G64" s="14">
        <f t="shared" si="6"/>
        <v>22381</v>
      </c>
      <c r="H64" s="1173" t="s">
        <v>518</v>
      </c>
    </row>
    <row r="65" spans="1:8" x14ac:dyDescent="0.25">
      <c r="A65" s="17">
        <v>42430</v>
      </c>
      <c r="B65" s="21" t="s">
        <v>40</v>
      </c>
      <c r="C65" s="13" t="s">
        <v>164</v>
      </c>
      <c r="D65" s="766">
        <v>8707</v>
      </c>
      <c r="E65" s="22">
        <v>9826</v>
      </c>
      <c r="F65" s="19"/>
      <c r="G65" s="14">
        <f t="shared" si="6"/>
        <v>9826</v>
      </c>
      <c r="H65" s="1163"/>
    </row>
    <row r="66" spans="1:8" x14ac:dyDescent="0.25">
      <c r="A66" s="17">
        <v>42432</v>
      </c>
      <c r="B66" s="21" t="s">
        <v>130</v>
      </c>
      <c r="C66" s="13" t="s">
        <v>164</v>
      </c>
      <c r="D66" s="766">
        <v>8822</v>
      </c>
      <c r="E66" s="22">
        <v>10294</v>
      </c>
      <c r="F66" s="19"/>
      <c r="G66" s="14">
        <f t="shared" si="6"/>
        <v>10294</v>
      </c>
      <c r="H66" s="1163"/>
    </row>
    <row r="67" spans="1:8" x14ac:dyDescent="0.25">
      <c r="A67" s="17">
        <v>42437</v>
      </c>
      <c r="B67" s="21" t="s">
        <v>130</v>
      </c>
      <c r="C67" s="13" t="s">
        <v>164</v>
      </c>
      <c r="D67" s="766">
        <v>8939</v>
      </c>
      <c r="E67" s="22">
        <v>1219</v>
      </c>
      <c r="F67" s="19"/>
      <c r="G67" s="14">
        <f t="shared" si="6"/>
        <v>1219</v>
      </c>
      <c r="H67" s="13"/>
    </row>
    <row r="68" spans="1:8" x14ac:dyDescent="0.25">
      <c r="A68" s="17">
        <v>42441</v>
      </c>
      <c r="B68" s="21" t="s">
        <v>130</v>
      </c>
      <c r="C68" s="13" t="s">
        <v>161</v>
      </c>
      <c r="D68" s="766">
        <v>894</v>
      </c>
      <c r="E68" s="22">
        <v>3515</v>
      </c>
      <c r="F68" s="29"/>
      <c r="G68" s="14">
        <f t="shared" si="6"/>
        <v>3515</v>
      </c>
      <c r="H68" s="13"/>
    </row>
    <row r="69" spans="1:8" x14ac:dyDescent="0.25">
      <c r="A69" s="17">
        <v>42444</v>
      </c>
      <c r="B69" s="21" t="s">
        <v>40</v>
      </c>
      <c r="C69" s="13" t="s">
        <v>161</v>
      </c>
      <c r="D69" s="766">
        <v>905</v>
      </c>
      <c r="E69" s="22">
        <v>137391</v>
      </c>
      <c r="F69" s="29"/>
      <c r="G69" s="14">
        <f t="shared" si="6"/>
        <v>137391</v>
      </c>
      <c r="H69" s="13"/>
    </row>
    <row r="70" spans="1:8" x14ac:dyDescent="0.25">
      <c r="A70" s="17">
        <v>42472</v>
      </c>
      <c r="B70" s="21" t="s">
        <v>130</v>
      </c>
      <c r="C70" s="13" t="s">
        <v>164</v>
      </c>
      <c r="D70" s="766">
        <v>9772</v>
      </c>
      <c r="E70" s="22">
        <v>252</v>
      </c>
      <c r="F70" s="19"/>
      <c r="G70" s="14">
        <f t="shared" si="6"/>
        <v>252</v>
      </c>
      <c r="H70" s="13"/>
    </row>
    <row r="71" spans="1:8" x14ac:dyDescent="0.25">
      <c r="A71" s="17">
        <v>42467</v>
      </c>
      <c r="B71" s="21" t="s">
        <v>40</v>
      </c>
      <c r="C71" s="13" t="s">
        <v>169</v>
      </c>
      <c r="D71" s="766">
        <v>229</v>
      </c>
      <c r="E71" s="22">
        <v>3975</v>
      </c>
      <c r="F71" s="19"/>
      <c r="G71" s="14">
        <f t="shared" si="6"/>
        <v>3975</v>
      </c>
      <c r="H71" s="13"/>
    </row>
    <row r="72" spans="1:8" x14ac:dyDescent="0.25">
      <c r="A72" s="17">
        <v>42430</v>
      </c>
      <c r="B72" s="21" t="s">
        <v>130</v>
      </c>
      <c r="C72" s="13" t="s">
        <v>164</v>
      </c>
      <c r="D72" s="766">
        <v>8745</v>
      </c>
      <c r="E72" s="22"/>
      <c r="F72" s="19">
        <v>689</v>
      </c>
      <c r="G72" s="14">
        <f t="shared" si="6"/>
        <v>-689</v>
      </c>
      <c r="H72" s="13" t="s">
        <v>598</v>
      </c>
    </row>
    <row r="73" spans="1:8" x14ac:dyDescent="0.25">
      <c r="A73" s="17">
        <v>42436</v>
      </c>
      <c r="B73" s="21" t="s">
        <v>130</v>
      </c>
      <c r="C73" s="13" t="s">
        <v>164</v>
      </c>
      <c r="D73" s="766">
        <v>8916</v>
      </c>
      <c r="E73" s="22">
        <v>707</v>
      </c>
      <c r="F73" s="19"/>
      <c r="G73" s="14">
        <f t="shared" si="6"/>
        <v>707</v>
      </c>
      <c r="H73" s="13"/>
    </row>
    <row r="74" spans="1:8" x14ac:dyDescent="0.25">
      <c r="A74" s="17">
        <v>42445</v>
      </c>
      <c r="B74" s="21" t="s">
        <v>40</v>
      </c>
      <c r="C74" s="13" t="s">
        <v>164</v>
      </c>
      <c r="D74" s="766">
        <v>9132</v>
      </c>
      <c r="E74" s="22">
        <v>1591</v>
      </c>
      <c r="F74" s="19"/>
      <c r="G74" s="14">
        <f t="shared" si="6"/>
        <v>1591</v>
      </c>
      <c r="H74" s="13"/>
    </row>
    <row r="75" spans="1:8" x14ac:dyDescent="0.25">
      <c r="A75" s="17">
        <v>42445</v>
      </c>
      <c r="B75" s="21" t="s">
        <v>40</v>
      </c>
      <c r="C75" s="13" t="s">
        <v>164</v>
      </c>
      <c r="D75" s="766">
        <v>9274</v>
      </c>
      <c r="E75" s="22">
        <v>983</v>
      </c>
      <c r="F75" s="19"/>
      <c r="G75" s="14">
        <f t="shared" si="6"/>
        <v>983</v>
      </c>
      <c r="H75" s="13"/>
    </row>
    <row r="76" spans="1:8" x14ac:dyDescent="0.25">
      <c r="A76" s="17">
        <v>42451</v>
      </c>
      <c r="B76" s="21" t="s">
        <v>40</v>
      </c>
      <c r="C76" s="13" t="s">
        <v>164</v>
      </c>
      <c r="D76" s="766">
        <v>9190</v>
      </c>
      <c r="E76" s="22">
        <v>5719</v>
      </c>
      <c r="F76" s="19"/>
      <c r="G76" s="14">
        <f t="shared" si="6"/>
        <v>5719</v>
      </c>
      <c r="H76" s="13"/>
    </row>
    <row r="77" spans="1:8" x14ac:dyDescent="0.25">
      <c r="A77" s="17">
        <v>42455</v>
      </c>
      <c r="B77" s="21" t="s">
        <v>40</v>
      </c>
      <c r="C77" s="13" t="s">
        <v>164</v>
      </c>
      <c r="D77" s="766">
        <v>9379</v>
      </c>
      <c r="E77" s="22">
        <v>775</v>
      </c>
      <c r="F77" s="19"/>
      <c r="G77" s="14">
        <f t="shared" si="6"/>
        <v>775</v>
      </c>
      <c r="H77" s="13"/>
    </row>
    <row r="78" spans="1:8" x14ac:dyDescent="0.25">
      <c r="A78" s="17">
        <v>42450</v>
      </c>
      <c r="B78" s="21" t="s">
        <v>130</v>
      </c>
      <c r="C78" s="13" t="s">
        <v>161</v>
      </c>
      <c r="D78" s="766">
        <v>929</v>
      </c>
      <c r="E78" s="22">
        <v>56430</v>
      </c>
      <c r="F78" s="19"/>
      <c r="G78" s="14">
        <f t="shared" si="6"/>
        <v>56430</v>
      </c>
      <c r="H78" s="13"/>
    </row>
    <row r="79" spans="1:8" x14ac:dyDescent="0.25">
      <c r="A79" s="17">
        <v>42455</v>
      </c>
      <c r="B79" s="21" t="s">
        <v>40</v>
      </c>
      <c r="C79" s="13" t="s">
        <v>161</v>
      </c>
      <c r="D79" s="766">
        <v>932</v>
      </c>
      <c r="E79" s="22">
        <v>8359</v>
      </c>
      <c r="F79" s="19"/>
      <c r="G79" s="14">
        <f t="shared" si="6"/>
        <v>8359</v>
      </c>
      <c r="H79" s="13"/>
    </row>
    <row r="80" spans="1:8" x14ac:dyDescent="0.25">
      <c r="A80" s="17">
        <v>42455</v>
      </c>
      <c r="B80" s="21" t="s">
        <v>40</v>
      </c>
      <c r="C80" s="13" t="s">
        <v>161</v>
      </c>
      <c r="D80" s="766">
        <v>962</v>
      </c>
      <c r="E80" s="22">
        <v>3135</v>
      </c>
      <c r="F80" s="19"/>
      <c r="G80" s="14">
        <f t="shared" si="6"/>
        <v>3135</v>
      </c>
      <c r="H80" s="13"/>
    </row>
    <row r="81" spans="1:8" x14ac:dyDescent="0.25">
      <c r="A81" s="17">
        <v>42448</v>
      </c>
      <c r="B81" s="21" t="s">
        <v>40</v>
      </c>
      <c r="C81" s="13" t="s">
        <v>166</v>
      </c>
      <c r="D81" s="766">
        <v>6911</v>
      </c>
      <c r="E81" s="22">
        <v>39200</v>
      </c>
      <c r="F81" s="19"/>
      <c r="G81" s="14">
        <f t="shared" si="6"/>
        <v>39200</v>
      </c>
      <c r="H81" s="13"/>
    </row>
    <row r="82" spans="1:8" x14ac:dyDescent="0.25">
      <c r="A82" s="17">
        <v>42443</v>
      </c>
      <c r="B82" s="21" t="s">
        <v>40</v>
      </c>
      <c r="C82" s="13" t="s">
        <v>166</v>
      </c>
      <c r="D82" s="766">
        <v>6880</v>
      </c>
      <c r="E82" s="22">
        <v>39200</v>
      </c>
      <c r="F82" s="19"/>
      <c r="G82" s="14">
        <f t="shared" si="6"/>
        <v>39200</v>
      </c>
      <c r="H82" s="13"/>
    </row>
    <row r="83" spans="1:8" x14ac:dyDescent="0.25">
      <c r="A83" s="17">
        <v>42462</v>
      </c>
      <c r="B83" s="21" t="s">
        <v>129</v>
      </c>
      <c r="C83" s="13" t="s">
        <v>166</v>
      </c>
      <c r="D83" s="766">
        <v>7001</v>
      </c>
      <c r="E83" s="22">
        <v>18300</v>
      </c>
      <c r="F83" s="19"/>
      <c r="G83" s="14">
        <f t="shared" si="6"/>
        <v>18300</v>
      </c>
      <c r="H83" s="13"/>
    </row>
    <row r="84" spans="1:8" x14ac:dyDescent="0.25">
      <c r="A84" s="17">
        <v>42468</v>
      </c>
      <c r="B84" s="21" t="s">
        <v>154</v>
      </c>
      <c r="C84" s="13" t="s">
        <v>166</v>
      </c>
      <c r="D84" s="766">
        <v>7022</v>
      </c>
      <c r="E84" s="22">
        <v>42800</v>
      </c>
      <c r="F84" s="19"/>
      <c r="G84" s="14">
        <f t="shared" si="6"/>
        <v>42800</v>
      </c>
      <c r="H84" s="13"/>
    </row>
    <row r="85" spans="1:8" x14ac:dyDescent="0.25">
      <c r="A85" s="17">
        <v>42472</v>
      </c>
      <c r="B85" s="21" t="s">
        <v>40</v>
      </c>
      <c r="C85" s="13" t="s">
        <v>166</v>
      </c>
      <c r="D85" s="766">
        <v>7047</v>
      </c>
      <c r="E85" s="22">
        <v>16000</v>
      </c>
      <c r="F85" s="19"/>
      <c r="G85" s="14">
        <f t="shared" si="6"/>
        <v>16000</v>
      </c>
      <c r="H85" s="13"/>
    </row>
    <row r="86" spans="1:8" x14ac:dyDescent="0.25">
      <c r="A86" s="17">
        <v>42457</v>
      </c>
      <c r="B86" s="21" t="s">
        <v>40</v>
      </c>
      <c r="C86" s="13" t="s">
        <v>166</v>
      </c>
      <c r="D86" s="766">
        <v>11563</v>
      </c>
      <c r="E86" s="22">
        <v>1710</v>
      </c>
      <c r="F86" s="19"/>
      <c r="G86" s="14">
        <f t="shared" si="6"/>
        <v>1710</v>
      </c>
      <c r="H86" s="13"/>
    </row>
    <row r="87" spans="1:8" x14ac:dyDescent="0.25">
      <c r="A87" s="17">
        <v>42444</v>
      </c>
      <c r="B87" s="21" t="s">
        <v>40</v>
      </c>
      <c r="C87" s="13" t="s">
        <v>166</v>
      </c>
      <c r="D87" s="766">
        <v>11500</v>
      </c>
      <c r="E87" s="22">
        <v>1200</v>
      </c>
      <c r="F87" s="19"/>
      <c r="G87" s="14">
        <f t="shared" si="6"/>
        <v>1200</v>
      </c>
      <c r="H87" s="13"/>
    </row>
    <row r="88" spans="1:8" x14ac:dyDescent="0.25">
      <c r="A88" s="17">
        <v>42478</v>
      </c>
      <c r="B88" s="21" t="s">
        <v>130</v>
      </c>
      <c r="C88" s="13" t="s">
        <v>169</v>
      </c>
      <c r="D88" s="766">
        <v>242</v>
      </c>
      <c r="E88" s="22">
        <v>7200</v>
      </c>
      <c r="F88" s="19"/>
      <c r="G88" s="14">
        <f t="shared" si="6"/>
        <v>7200</v>
      </c>
      <c r="H88" s="13"/>
    </row>
    <row r="89" spans="1:8" x14ac:dyDescent="0.25">
      <c r="A89" s="17">
        <v>42450</v>
      </c>
      <c r="B89" s="21" t="s">
        <v>40</v>
      </c>
      <c r="C89" s="13" t="s">
        <v>164</v>
      </c>
      <c r="D89" s="766">
        <v>9254</v>
      </c>
      <c r="E89" s="22">
        <v>12164</v>
      </c>
      <c r="F89" s="19"/>
      <c r="G89" s="14">
        <f t="shared" si="6"/>
        <v>12164</v>
      </c>
      <c r="H89" s="13"/>
    </row>
    <row r="90" spans="1:8" x14ac:dyDescent="0.25">
      <c r="A90" s="17">
        <v>42478</v>
      </c>
      <c r="B90" s="21" t="s">
        <v>40</v>
      </c>
      <c r="C90" s="13" t="s">
        <v>164</v>
      </c>
      <c r="D90" s="766">
        <v>9644</v>
      </c>
      <c r="E90" s="22">
        <v>13906</v>
      </c>
      <c r="F90" s="19"/>
      <c r="G90" s="14">
        <f t="shared" si="6"/>
        <v>13906</v>
      </c>
      <c r="H90" s="13"/>
    </row>
    <row r="91" spans="1:8" x14ac:dyDescent="0.25">
      <c r="A91" s="17">
        <v>42469</v>
      </c>
      <c r="B91" s="21" t="s">
        <v>40</v>
      </c>
      <c r="C91" s="13" t="s">
        <v>161</v>
      </c>
      <c r="D91" s="766">
        <v>990</v>
      </c>
      <c r="E91" s="22">
        <v>9594</v>
      </c>
      <c r="F91" s="19"/>
      <c r="G91" s="14">
        <f t="shared" si="6"/>
        <v>9594</v>
      </c>
      <c r="H91" s="13"/>
    </row>
    <row r="92" spans="1:8" x14ac:dyDescent="0.25">
      <c r="A92" s="17">
        <v>42486</v>
      </c>
      <c r="B92" s="21" t="s">
        <v>154</v>
      </c>
      <c r="C92" s="13" t="s">
        <v>169</v>
      </c>
      <c r="D92" s="766">
        <v>246</v>
      </c>
      <c r="E92" s="22">
        <v>12500</v>
      </c>
      <c r="F92" s="19"/>
      <c r="G92" s="14">
        <f t="shared" si="6"/>
        <v>12500</v>
      </c>
      <c r="H92" s="13"/>
    </row>
    <row r="93" spans="1:8" x14ac:dyDescent="0.25">
      <c r="A93" s="17">
        <v>42473</v>
      </c>
      <c r="B93" s="21" t="s">
        <v>40</v>
      </c>
      <c r="C93" s="13" t="s">
        <v>161</v>
      </c>
      <c r="D93" s="766">
        <v>1004</v>
      </c>
      <c r="E93" s="22">
        <v>9543</v>
      </c>
      <c r="F93" s="19"/>
      <c r="G93" s="14">
        <f t="shared" si="6"/>
        <v>9543</v>
      </c>
      <c r="H93" s="13"/>
    </row>
    <row r="94" spans="1:8" x14ac:dyDescent="0.25">
      <c r="A94" s="17">
        <v>42478</v>
      </c>
      <c r="B94" s="21" t="s">
        <v>130</v>
      </c>
      <c r="C94" s="13" t="s">
        <v>161</v>
      </c>
      <c r="D94" s="766">
        <v>1018</v>
      </c>
      <c r="E94" s="22">
        <v>5928</v>
      </c>
      <c r="F94" s="19"/>
      <c r="G94" s="14">
        <f t="shared" si="6"/>
        <v>5928</v>
      </c>
      <c r="H94" s="13"/>
    </row>
    <row r="95" spans="1:8" x14ac:dyDescent="0.25">
      <c r="A95" s="17">
        <v>42481</v>
      </c>
      <c r="B95" s="21" t="s">
        <v>129</v>
      </c>
      <c r="C95" s="13" t="s">
        <v>169</v>
      </c>
      <c r="D95" s="766"/>
      <c r="E95" s="22"/>
      <c r="F95" s="19">
        <v>72650</v>
      </c>
      <c r="G95" s="14">
        <f t="shared" ref="G95:G101" si="7">E95-F95</f>
        <v>-72650</v>
      </c>
      <c r="H95" s="13"/>
    </row>
    <row r="96" spans="1:8" x14ac:dyDescent="0.25">
      <c r="A96" s="17">
        <v>42481</v>
      </c>
      <c r="B96" s="21" t="s">
        <v>38</v>
      </c>
      <c r="C96" s="13" t="s">
        <v>169</v>
      </c>
      <c r="D96" s="766"/>
      <c r="E96" s="22"/>
      <c r="F96" s="19">
        <v>16709</v>
      </c>
      <c r="G96" s="14">
        <f t="shared" si="7"/>
        <v>-16709</v>
      </c>
      <c r="H96" s="13"/>
    </row>
    <row r="97" spans="1:8" x14ac:dyDescent="0.25">
      <c r="A97" s="17">
        <v>42481</v>
      </c>
      <c r="B97" s="21" t="s">
        <v>40</v>
      </c>
      <c r="C97" s="13" t="s">
        <v>169</v>
      </c>
      <c r="D97" s="766"/>
      <c r="E97" s="22"/>
      <c r="F97" s="19">
        <v>10641</v>
      </c>
      <c r="G97" s="14">
        <f t="shared" si="7"/>
        <v>-10641</v>
      </c>
      <c r="H97" s="13"/>
    </row>
    <row r="98" spans="1:8" x14ac:dyDescent="0.25">
      <c r="A98" s="17">
        <v>42495</v>
      </c>
      <c r="B98" s="21" t="s">
        <v>14</v>
      </c>
      <c r="C98" s="13" t="s">
        <v>164</v>
      </c>
      <c r="D98" s="766"/>
      <c r="E98" s="22"/>
      <c r="F98" s="19">
        <v>30677</v>
      </c>
      <c r="G98" s="14">
        <f t="shared" si="7"/>
        <v>-30677</v>
      </c>
      <c r="H98" s="13"/>
    </row>
    <row r="99" spans="1:8" x14ac:dyDescent="0.25">
      <c r="A99" s="17">
        <v>42495</v>
      </c>
      <c r="B99" s="21" t="s">
        <v>130</v>
      </c>
      <c r="C99" s="13" t="s">
        <v>164</v>
      </c>
      <c r="D99" s="766"/>
      <c r="E99" s="22"/>
      <c r="F99" s="19">
        <v>30000</v>
      </c>
      <c r="G99" s="14">
        <f t="shared" si="7"/>
        <v>-30000</v>
      </c>
      <c r="H99" s="13"/>
    </row>
    <row r="100" spans="1:8" x14ac:dyDescent="0.25">
      <c r="A100" s="17">
        <v>42495</v>
      </c>
      <c r="B100" s="21" t="s">
        <v>40</v>
      </c>
      <c r="C100" s="13" t="s">
        <v>164</v>
      </c>
      <c r="D100" s="766"/>
      <c r="E100" s="22"/>
      <c r="F100" s="19">
        <v>39323</v>
      </c>
      <c r="G100" s="14">
        <f t="shared" si="7"/>
        <v>-39323</v>
      </c>
      <c r="H100" s="13"/>
    </row>
    <row r="101" spans="1:8" x14ac:dyDescent="0.25">
      <c r="A101" s="17">
        <v>42494</v>
      </c>
      <c r="B101" s="21" t="s">
        <v>154</v>
      </c>
      <c r="C101" s="13" t="s">
        <v>166</v>
      </c>
      <c r="D101" s="766">
        <v>44729</v>
      </c>
      <c r="E101" s="22">
        <v>2200</v>
      </c>
      <c r="F101" s="19"/>
      <c r="G101" s="14">
        <f t="shared" si="7"/>
        <v>2200</v>
      </c>
      <c r="H101" s="13"/>
    </row>
    <row r="102" spans="1:8" x14ac:dyDescent="0.25">
      <c r="A102" s="17">
        <v>42487</v>
      </c>
      <c r="B102" s="21" t="s">
        <v>40</v>
      </c>
      <c r="C102" s="13" t="s">
        <v>161</v>
      </c>
      <c r="D102" s="766">
        <v>1049</v>
      </c>
      <c r="E102" s="22">
        <v>17671</v>
      </c>
      <c r="F102" s="19"/>
      <c r="G102" s="14">
        <f t="shared" ref="G102:G133" si="8">E102-F102</f>
        <v>17671</v>
      </c>
      <c r="H102" s="13"/>
    </row>
    <row r="103" spans="1:8" x14ac:dyDescent="0.25">
      <c r="A103" s="17">
        <v>42483</v>
      </c>
      <c r="B103" s="21" t="s">
        <v>130</v>
      </c>
      <c r="C103" s="13" t="s">
        <v>161</v>
      </c>
      <c r="D103" s="766">
        <v>1033</v>
      </c>
      <c r="E103" s="22">
        <v>17512</v>
      </c>
      <c r="F103" s="19"/>
      <c r="G103" s="14">
        <f t="shared" si="8"/>
        <v>17512</v>
      </c>
      <c r="H103" s="13"/>
    </row>
    <row r="104" spans="1:8" x14ac:dyDescent="0.25">
      <c r="A104" s="17">
        <v>42483</v>
      </c>
      <c r="B104" s="21" t="s">
        <v>40</v>
      </c>
      <c r="C104" s="13" t="s">
        <v>166</v>
      </c>
      <c r="D104" s="766">
        <v>7110</v>
      </c>
      <c r="E104" s="22">
        <v>75800</v>
      </c>
      <c r="F104" s="19"/>
      <c r="G104" s="14">
        <f t="shared" si="8"/>
        <v>75800</v>
      </c>
      <c r="H104" s="13"/>
    </row>
    <row r="105" spans="1:8" x14ac:dyDescent="0.25">
      <c r="A105" s="17">
        <v>42483</v>
      </c>
      <c r="B105" s="21" t="s">
        <v>154</v>
      </c>
      <c r="C105" s="13" t="s">
        <v>166</v>
      </c>
      <c r="D105" s="766">
        <v>7116</v>
      </c>
      <c r="E105" s="22">
        <v>56300</v>
      </c>
      <c r="F105" s="19"/>
      <c r="G105" s="14">
        <f t="shared" si="8"/>
        <v>56300</v>
      </c>
      <c r="H105" s="13"/>
    </row>
    <row r="106" spans="1:8" x14ac:dyDescent="0.25">
      <c r="A106" s="17">
        <v>42489</v>
      </c>
      <c r="B106" s="21" t="s">
        <v>36</v>
      </c>
      <c r="C106" s="13" t="s">
        <v>166</v>
      </c>
      <c r="D106" s="766">
        <v>7156</v>
      </c>
      <c r="E106" s="22">
        <v>9360</v>
      </c>
      <c r="F106" s="19"/>
      <c r="G106" s="14">
        <f t="shared" si="8"/>
        <v>9360</v>
      </c>
      <c r="H106" s="13"/>
    </row>
    <row r="107" spans="1:8" x14ac:dyDescent="0.25">
      <c r="A107" s="17">
        <v>42490</v>
      </c>
      <c r="B107" s="21" t="s">
        <v>154</v>
      </c>
      <c r="C107" s="13" t="s">
        <v>166</v>
      </c>
      <c r="D107" s="766">
        <v>7166</v>
      </c>
      <c r="E107" s="22">
        <v>42000</v>
      </c>
      <c r="F107" s="19"/>
      <c r="G107" s="14">
        <f t="shared" si="8"/>
        <v>42000</v>
      </c>
      <c r="H107" s="54"/>
    </row>
    <row r="108" spans="1:8" x14ac:dyDescent="0.25">
      <c r="A108" s="17">
        <v>42502</v>
      </c>
      <c r="B108" s="21" t="s">
        <v>673</v>
      </c>
      <c r="C108" s="13" t="s">
        <v>180</v>
      </c>
      <c r="D108" s="766">
        <v>13346</v>
      </c>
      <c r="E108" s="22">
        <v>35250</v>
      </c>
      <c r="F108" s="19"/>
      <c r="G108" s="14">
        <f t="shared" si="8"/>
        <v>35250</v>
      </c>
      <c r="H108" s="11" t="s">
        <v>1211</v>
      </c>
    </row>
    <row r="109" spans="1:8" x14ac:dyDescent="0.25">
      <c r="A109" s="17">
        <v>42502</v>
      </c>
      <c r="B109" s="21" t="s">
        <v>673</v>
      </c>
      <c r="C109" s="13" t="s">
        <v>180</v>
      </c>
      <c r="D109" s="766">
        <v>13311</v>
      </c>
      <c r="E109" s="22">
        <v>169650</v>
      </c>
      <c r="F109" s="19"/>
      <c r="G109" s="14">
        <f t="shared" si="8"/>
        <v>169650</v>
      </c>
      <c r="H109" s="11"/>
    </row>
    <row r="110" spans="1:8" x14ac:dyDescent="0.25">
      <c r="A110" s="17">
        <v>42502</v>
      </c>
      <c r="B110" s="10" t="s">
        <v>1087</v>
      </c>
      <c r="C110" s="13" t="s">
        <v>180</v>
      </c>
      <c r="D110" s="766">
        <v>13406</v>
      </c>
      <c r="E110" s="22">
        <v>49500</v>
      </c>
      <c r="F110" s="19"/>
      <c r="G110" s="14">
        <f t="shared" si="8"/>
        <v>49500</v>
      </c>
      <c r="H110" s="11"/>
    </row>
    <row r="111" spans="1:8" ht="16.5" thickBot="1" x14ac:dyDescent="0.3">
      <c r="A111" s="17">
        <v>42502</v>
      </c>
      <c r="B111" s="21" t="s">
        <v>465</v>
      </c>
      <c r="C111" s="13" t="s">
        <v>180</v>
      </c>
      <c r="D111" s="766" t="s">
        <v>887</v>
      </c>
      <c r="E111" s="22">
        <v>1183000</v>
      </c>
      <c r="F111" s="19"/>
      <c r="G111" s="14">
        <f t="shared" si="8"/>
        <v>1183000</v>
      </c>
      <c r="H111" s="53"/>
    </row>
    <row r="112" spans="1:8" x14ac:dyDescent="0.25">
      <c r="A112" s="17">
        <v>42502</v>
      </c>
      <c r="B112" s="21" t="s">
        <v>465</v>
      </c>
      <c r="C112" s="13" t="s">
        <v>180</v>
      </c>
      <c r="D112" s="766" t="s">
        <v>888</v>
      </c>
      <c r="E112" s="22">
        <v>1342080</v>
      </c>
      <c r="F112" s="19"/>
      <c r="G112" s="14">
        <f t="shared" si="8"/>
        <v>1342080</v>
      </c>
      <c r="H112" s="55"/>
    </row>
    <row r="113" spans="1:8" x14ac:dyDescent="0.25">
      <c r="A113" s="17">
        <v>42502</v>
      </c>
      <c r="B113" s="21" t="s">
        <v>40</v>
      </c>
      <c r="C113" s="13" t="s">
        <v>180</v>
      </c>
      <c r="D113" s="766" t="s">
        <v>889</v>
      </c>
      <c r="E113" s="22">
        <v>217691</v>
      </c>
      <c r="F113" s="19"/>
      <c r="G113" s="14">
        <f t="shared" si="8"/>
        <v>217691</v>
      </c>
      <c r="H113" s="13"/>
    </row>
    <row r="114" spans="1:8" x14ac:dyDescent="0.25">
      <c r="A114" s="17">
        <v>42502</v>
      </c>
      <c r="B114" s="21" t="s">
        <v>40</v>
      </c>
      <c r="C114" s="13" t="s">
        <v>180</v>
      </c>
      <c r="D114" s="766">
        <v>13133</v>
      </c>
      <c r="E114" s="22">
        <v>769500</v>
      </c>
      <c r="F114" s="19"/>
      <c r="G114" s="14">
        <f t="shared" si="8"/>
        <v>769500</v>
      </c>
      <c r="H114" s="13"/>
    </row>
    <row r="115" spans="1:8" x14ac:dyDescent="0.25">
      <c r="A115" s="17">
        <v>42506</v>
      </c>
      <c r="B115" s="21" t="s">
        <v>40</v>
      </c>
      <c r="C115" s="13" t="s">
        <v>180</v>
      </c>
      <c r="D115" s="766"/>
      <c r="E115" s="22"/>
      <c r="F115" s="12">
        <v>285529</v>
      </c>
      <c r="G115" s="14">
        <f t="shared" si="8"/>
        <v>-285529</v>
      </c>
      <c r="H115" s="13"/>
    </row>
    <row r="116" spans="1:8" x14ac:dyDescent="0.25">
      <c r="A116" s="17">
        <v>42506</v>
      </c>
      <c r="B116" s="21" t="s">
        <v>673</v>
      </c>
      <c r="C116" s="13" t="s">
        <v>180</v>
      </c>
      <c r="D116" s="766"/>
      <c r="E116" s="22"/>
      <c r="F116" s="50">
        <v>359790</v>
      </c>
      <c r="G116" s="14">
        <f t="shared" si="8"/>
        <v>-359790</v>
      </c>
      <c r="H116" s="13"/>
    </row>
    <row r="117" spans="1:8" x14ac:dyDescent="0.25">
      <c r="A117" s="17">
        <v>42506</v>
      </c>
      <c r="B117" s="21" t="s">
        <v>129</v>
      </c>
      <c r="C117" s="13" t="s">
        <v>180</v>
      </c>
      <c r="D117" s="766"/>
      <c r="E117" s="22"/>
      <c r="F117" s="50">
        <v>31500</v>
      </c>
      <c r="G117" s="14">
        <f t="shared" si="8"/>
        <v>-31500</v>
      </c>
      <c r="H117" s="13"/>
    </row>
    <row r="118" spans="1:8" x14ac:dyDescent="0.25">
      <c r="A118" s="17">
        <v>42506</v>
      </c>
      <c r="B118" s="10" t="s">
        <v>1087</v>
      </c>
      <c r="C118" s="13" t="s">
        <v>180</v>
      </c>
      <c r="D118" s="766"/>
      <c r="E118" s="22"/>
      <c r="F118" s="50">
        <v>27990</v>
      </c>
      <c r="G118" s="14">
        <f t="shared" si="8"/>
        <v>-27990</v>
      </c>
      <c r="H118" s="13"/>
    </row>
    <row r="119" spans="1:8" x14ac:dyDescent="0.25">
      <c r="A119" s="17">
        <v>42506</v>
      </c>
      <c r="B119" s="21" t="s">
        <v>130</v>
      </c>
      <c r="C119" s="13" t="s">
        <v>180</v>
      </c>
      <c r="D119" s="766"/>
      <c r="E119" s="22"/>
      <c r="F119" s="50">
        <v>260500</v>
      </c>
      <c r="G119" s="14">
        <f t="shared" si="8"/>
        <v>-260500</v>
      </c>
      <c r="H119" s="13" t="s">
        <v>893</v>
      </c>
    </row>
    <row r="120" spans="1:8" x14ac:dyDescent="0.25">
      <c r="A120" s="17">
        <v>42506</v>
      </c>
      <c r="B120" s="21" t="s">
        <v>769</v>
      </c>
      <c r="C120" s="13" t="s">
        <v>180</v>
      </c>
      <c r="D120" s="766"/>
      <c r="E120" s="22"/>
      <c r="F120" s="50">
        <v>79460</v>
      </c>
      <c r="G120" s="14">
        <f t="shared" si="8"/>
        <v>-79460</v>
      </c>
      <c r="H120" s="13" t="s">
        <v>893</v>
      </c>
    </row>
    <row r="121" spans="1:8" x14ac:dyDescent="0.25">
      <c r="A121" s="17">
        <v>42492</v>
      </c>
      <c r="B121" s="21" t="s">
        <v>465</v>
      </c>
      <c r="C121" s="13" t="s">
        <v>161</v>
      </c>
      <c r="D121" s="766">
        <v>1062</v>
      </c>
      <c r="E121" s="22">
        <v>215595</v>
      </c>
      <c r="F121" s="19"/>
      <c r="G121" s="14">
        <f t="shared" si="8"/>
        <v>215595</v>
      </c>
      <c r="H121" s="13" t="s">
        <v>893</v>
      </c>
    </row>
    <row r="122" spans="1:8" x14ac:dyDescent="0.25">
      <c r="A122" s="17">
        <v>42504</v>
      </c>
      <c r="B122" s="21" t="s">
        <v>40</v>
      </c>
      <c r="C122" s="13" t="s">
        <v>161</v>
      </c>
      <c r="D122" s="766">
        <v>1113</v>
      </c>
      <c r="E122" s="22">
        <v>150603</v>
      </c>
      <c r="F122" s="19"/>
      <c r="G122" s="14">
        <f t="shared" si="8"/>
        <v>150603</v>
      </c>
      <c r="H122" s="13"/>
    </row>
    <row r="123" spans="1:8" x14ac:dyDescent="0.25">
      <c r="A123" s="17">
        <v>42500</v>
      </c>
      <c r="B123" s="21" t="s">
        <v>154</v>
      </c>
      <c r="C123" s="13" t="s">
        <v>166</v>
      </c>
      <c r="D123" s="766">
        <v>7233</v>
      </c>
      <c r="E123" s="22">
        <v>28800</v>
      </c>
      <c r="F123" s="19"/>
      <c r="G123" s="14">
        <f t="shared" si="8"/>
        <v>28800</v>
      </c>
      <c r="H123" s="13"/>
    </row>
    <row r="124" spans="1:8" x14ac:dyDescent="0.25">
      <c r="A124" s="17">
        <v>42492</v>
      </c>
      <c r="B124" s="21" t="s">
        <v>129</v>
      </c>
      <c r="C124" s="13" t="s">
        <v>166</v>
      </c>
      <c r="D124" s="766">
        <v>7178</v>
      </c>
      <c r="E124" s="22">
        <v>20850</v>
      </c>
      <c r="F124" s="19"/>
      <c r="G124" s="14">
        <f t="shared" si="8"/>
        <v>20850</v>
      </c>
      <c r="H124" s="13"/>
    </row>
    <row r="125" spans="1:8" x14ac:dyDescent="0.25">
      <c r="A125" s="17">
        <v>42503</v>
      </c>
      <c r="B125" s="21" t="s">
        <v>154</v>
      </c>
      <c r="C125" s="13" t="s">
        <v>166</v>
      </c>
      <c r="D125" s="766">
        <v>7258</v>
      </c>
      <c r="E125" s="22">
        <v>32800</v>
      </c>
      <c r="F125" s="19"/>
      <c r="G125" s="14">
        <f t="shared" si="8"/>
        <v>32800</v>
      </c>
      <c r="H125" s="13"/>
    </row>
    <row r="126" spans="1:8" x14ac:dyDescent="0.25">
      <c r="A126" s="17">
        <v>42503</v>
      </c>
      <c r="B126" s="21" t="s">
        <v>154</v>
      </c>
      <c r="C126" s="13" t="s">
        <v>166</v>
      </c>
      <c r="D126" s="766">
        <v>11729</v>
      </c>
      <c r="E126" s="22">
        <v>2200</v>
      </c>
      <c r="F126" s="19"/>
      <c r="G126" s="14">
        <f t="shared" si="8"/>
        <v>2200</v>
      </c>
      <c r="H126" s="13"/>
    </row>
    <row r="127" spans="1:8" x14ac:dyDescent="0.25">
      <c r="A127" s="17">
        <v>42474</v>
      </c>
      <c r="B127" s="21" t="s">
        <v>40</v>
      </c>
      <c r="C127" s="13" t="s">
        <v>164</v>
      </c>
      <c r="D127" s="766">
        <v>9830</v>
      </c>
      <c r="E127" s="22">
        <v>456</v>
      </c>
      <c r="F127" s="19"/>
      <c r="G127" s="14">
        <f t="shared" si="8"/>
        <v>456</v>
      </c>
      <c r="H127" s="13"/>
    </row>
    <row r="128" spans="1:8" x14ac:dyDescent="0.25">
      <c r="A128" s="17">
        <v>42476</v>
      </c>
      <c r="B128" s="21" t="s">
        <v>40</v>
      </c>
      <c r="C128" s="13" t="s">
        <v>164</v>
      </c>
      <c r="D128" s="766">
        <v>10514</v>
      </c>
      <c r="E128" s="22">
        <v>18825</v>
      </c>
      <c r="F128" s="19"/>
      <c r="G128" s="14">
        <f t="shared" si="8"/>
        <v>18825</v>
      </c>
      <c r="H128" s="13"/>
    </row>
    <row r="129" spans="1:8" x14ac:dyDescent="0.25">
      <c r="A129" s="17">
        <v>42499</v>
      </c>
      <c r="B129" s="21" t="s">
        <v>40</v>
      </c>
      <c r="C129" s="13" t="s">
        <v>164</v>
      </c>
      <c r="D129" s="766">
        <v>10376</v>
      </c>
      <c r="E129" s="22">
        <v>6578</v>
      </c>
      <c r="F129" s="19"/>
      <c r="G129" s="14">
        <f t="shared" si="8"/>
        <v>6578</v>
      </c>
      <c r="H129" s="13"/>
    </row>
    <row r="130" spans="1:8" x14ac:dyDescent="0.25">
      <c r="A130" s="17">
        <v>42520</v>
      </c>
      <c r="B130" s="21" t="s">
        <v>36</v>
      </c>
      <c r="C130" s="13" t="s">
        <v>166</v>
      </c>
      <c r="D130" s="766"/>
      <c r="E130" s="22"/>
      <c r="F130" s="19">
        <v>9360</v>
      </c>
      <c r="G130" s="14">
        <f t="shared" si="8"/>
        <v>-9360</v>
      </c>
      <c r="H130" s="13"/>
    </row>
    <row r="131" spans="1:8" x14ac:dyDescent="0.25">
      <c r="A131" s="17">
        <v>42520</v>
      </c>
      <c r="B131" s="21" t="s">
        <v>129</v>
      </c>
      <c r="C131" s="13" t="s">
        <v>166</v>
      </c>
      <c r="D131" s="766"/>
      <c r="E131" s="22"/>
      <c r="F131" s="19">
        <v>41050</v>
      </c>
      <c r="G131" s="14">
        <f t="shared" si="8"/>
        <v>-41050</v>
      </c>
      <c r="H131" s="13"/>
    </row>
    <row r="132" spans="1:8" x14ac:dyDescent="0.25">
      <c r="A132" s="17">
        <v>42520</v>
      </c>
      <c r="B132" s="21" t="s">
        <v>1206</v>
      </c>
      <c r="C132" s="13" t="s">
        <v>166</v>
      </c>
      <c r="D132" s="766"/>
      <c r="E132" s="22"/>
      <c r="F132" s="19">
        <v>149590</v>
      </c>
      <c r="G132" s="14">
        <f t="shared" si="8"/>
        <v>-149590</v>
      </c>
      <c r="H132" s="13"/>
    </row>
    <row r="133" spans="1:8" x14ac:dyDescent="0.25">
      <c r="A133" s="17">
        <v>42515</v>
      </c>
      <c r="B133" s="21" t="s">
        <v>40</v>
      </c>
      <c r="C133" s="13" t="s">
        <v>166</v>
      </c>
      <c r="D133" s="766">
        <v>7322</v>
      </c>
      <c r="E133" s="22">
        <v>33900</v>
      </c>
      <c r="F133" s="19"/>
      <c r="G133" s="14">
        <f t="shared" si="8"/>
        <v>33900</v>
      </c>
      <c r="H133" s="13"/>
    </row>
    <row r="134" spans="1:8" x14ac:dyDescent="0.25">
      <c r="A134" s="17">
        <v>42521</v>
      </c>
      <c r="B134" s="21" t="s">
        <v>40</v>
      </c>
      <c r="C134" s="13" t="s">
        <v>169</v>
      </c>
      <c r="D134" s="766">
        <v>285</v>
      </c>
      <c r="E134" s="22">
        <v>12848</v>
      </c>
      <c r="F134" s="19"/>
      <c r="G134" s="14">
        <f t="shared" ref="G134:G179" si="9">E134-F134</f>
        <v>12848</v>
      </c>
      <c r="H134" s="13"/>
    </row>
    <row r="135" spans="1:8" x14ac:dyDescent="0.25">
      <c r="A135" s="17">
        <v>42530</v>
      </c>
      <c r="B135" s="21" t="s">
        <v>40</v>
      </c>
      <c r="C135" s="13" t="s">
        <v>166</v>
      </c>
      <c r="D135" s="766" t="s">
        <v>954</v>
      </c>
      <c r="E135" s="22"/>
      <c r="F135" s="19">
        <v>45600</v>
      </c>
      <c r="G135" s="14">
        <f t="shared" si="9"/>
        <v>-45600</v>
      </c>
      <c r="H135" s="35"/>
    </row>
    <row r="136" spans="1:8" x14ac:dyDescent="0.25">
      <c r="A136" s="17">
        <v>42530</v>
      </c>
      <c r="B136" s="21" t="s">
        <v>1206</v>
      </c>
      <c r="C136" s="13" t="s">
        <v>166</v>
      </c>
      <c r="D136" s="766" t="s">
        <v>954</v>
      </c>
      <c r="E136" s="22"/>
      <c r="F136" s="19">
        <v>24400</v>
      </c>
      <c r="G136" s="14">
        <f t="shared" si="9"/>
        <v>-24400</v>
      </c>
      <c r="H136" s="7" t="s">
        <v>955</v>
      </c>
    </row>
    <row r="137" spans="1:8" x14ac:dyDescent="0.25">
      <c r="A137" s="17">
        <v>42530</v>
      </c>
      <c r="B137" s="21" t="s">
        <v>1206</v>
      </c>
      <c r="C137" s="13" t="s">
        <v>166</v>
      </c>
      <c r="D137" s="766" t="s">
        <v>954</v>
      </c>
      <c r="E137" s="22"/>
      <c r="F137" s="19">
        <v>30000</v>
      </c>
      <c r="G137" s="14">
        <f t="shared" si="9"/>
        <v>-30000</v>
      </c>
    </row>
    <row r="138" spans="1:8" x14ac:dyDescent="0.25">
      <c r="A138" s="17">
        <v>42513</v>
      </c>
      <c r="B138" s="21" t="s">
        <v>769</v>
      </c>
      <c r="C138" s="13" t="s">
        <v>166</v>
      </c>
      <c r="D138" s="766">
        <v>7302</v>
      </c>
      <c r="E138" s="22">
        <v>34550</v>
      </c>
      <c r="F138" s="19"/>
      <c r="G138" s="14">
        <f t="shared" si="9"/>
        <v>34550</v>
      </c>
    </row>
    <row r="139" spans="1:8" x14ac:dyDescent="0.25">
      <c r="A139" s="17">
        <v>42513</v>
      </c>
      <c r="B139" s="21" t="s">
        <v>154</v>
      </c>
      <c r="C139" s="13" t="s">
        <v>166</v>
      </c>
      <c r="D139" s="766">
        <v>7306</v>
      </c>
      <c r="E139" s="22">
        <v>32800</v>
      </c>
      <c r="F139" s="19"/>
      <c r="G139" s="14">
        <f t="shared" si="9"/>
        <v>32800</v>
      </c>
    </row>
    <row r="140" spans="1:8" x14ac:dyDescent="0.25">
      <c r="A140" s="17">
        <v>42521</v>
      </c>
      <c r="B140" s="21" t="s">
        <v>769</v>
      </c>
      <c r="C140" s="13" t="s">
        <v>166</v>
      </c>
      <c r="D140" s="766">
        <v>7360</v>
      </c>
      <c r="E140" s="22">
        <v>22650</v>
      </c>
      <c r="F140" s="19"/>
      <c r="G140" s="14">
        <f t="shared" si="9"/>
        <v>22650</v>
      </c>
    </row>
    <row r="141" spans="1:8" x14ac:dyDescent="0.25">
      <c r="A141" s="17">
        <v>42520</v>
      </c>
      <c r="B141" s="21" t="s">
        <v>40</v>
      </c>
      <c r="C141" s="13" t="s">
        <v>166</v>
      </c>
      <c r="D141" s="766">
        <v>11882</v>
      </c>
      <c r="E141" s="22">
        <v>3300</v>
      </c>
      <c r="F141" s="19"/>
      <c r="G141" s="14">
        <f t="shared" si="9"/>
        <v>3300</v>
      </c>
    </row>
    <row r="142" spans="1:8" x14ac:dyDescent="0.25">
      <c r="A142" s="17">
        <v>42514</v>
      </c>
      <c r="B142" s="21" t="s">
        <v>40</v>
      </c>
      <c r="C142" s="13" t="s">
        <v>161</v>
      </c>
      <c r="D142" s="766">
        <v>1143</v>
      </c>
      <c r="E142" s="22">
        <v>32204</v>
      </c>
      <c r="F142" s="19"/>
      <c r="G142" s="14">
        <f t="shared" si="9"/>
        <v>32204</v>
      </c>
    </row>
    <row r="143" spans="1:8" x14ac:dyDescent="0.25">
      <c r="A143" s="17">
        <v>42527</v>
      </c>
      <c r="B143" s="21" t="s">
        <v>769</v>
      </c>
      <c r="C143" s="13" t="s">
        <v>166</v>
      </c>
      <c r="D143" s="766">
        <v>7393</v>
      </c>
      <c r="E143" s="22">
        <v>7100</v>
      </c>
      <c r="F143" s="19"/>
      <c r="G143" s="14">
        <f t="shared" si="9"/>
        <v>7100</v>
      </c>
    </row>
    <row r="144" spans="1:8" x14ac:dyDescent="0.25">
      <c r="A144" s="17">
        <v>42527</v>
      </c>
      <c r="B144" s="21" t="s">
        <v>769</v>
      </c>
      <c r="C144" s="13" t="s">
        <v>166</v>
      </c>
      <c r="D144" s="766">
        <v>11923</v>
      </c>
      <c r="E144" s="22">
        <v>3300</v>
      </c>
      <c r="F144" s="19"/>
      <c r="G144" s="14">
        <f t="shared" si="9"/>
        <v>3300</v>
      </c>
    </row>
    <row r="145" spans="1:7" x14ac:dyDescent="0.25">
      <c r="A145" s="17">
        <v>42529</v>
      </c>
      <c r="B145" s="21" t="s">
        <v>769</v>
      </c>
      <c r="C145" s="13" t="s">
        <v>166</v>
      </c>
      <c r="D145" s="766">
        <v>11932</v>
      </c>
      <c r="E145" s="22">
        <v>9000</v>
      </c>
      <c r="F145" s="19"/>
      <c r="G145" s="14">
        <f t="shared" si="9"/>
        <v>9000</v>
      </c>
    </row>
    <row r="146" spans="1:7" x14ac:dyDescent="0.25">
      <c r="A146" s="17">
        <v>42532</v>
      </c>
      <c r="B146" s="10" t="s">
        <v>40</v>
      </c>
      <c r="C146" s="11" t="s">
        <v>166</v>
      </c>
      <c r="D146" s="768">
        <v>11949</v>
      </c>
      <c r="E146" s="8">
        <v>18000</v>
      </c>
      <c r="G146" s="6">
        <f t="shared" si="9"/>
        <v>18000</v>
      </c>
    </row>
    <row r="147" spans="1:7" x14ac:dyDescent="0.25">
      <c r="A147" s="17">
        <v>42537</v>
      </c>
      <c r="B147" s="10" t="s">
        <v>40</v>
      </c>
      <c r="C147" s="11" t="s">
        <v>166</v>
      </c>
      <c r="D147" s="768">
        <v>7479</v>
      </c>
      <c r="E147" s="8">
        <v>21800</v>
      </c>
      <c r="G147" s="6">
        <f t="shared" si="9"/>
        <v>21800</v>
      </c>
    </row>
    <row r="148" spans="1:7" x14ac:dyDescent="0.25">
      <c r="A148" s="17">
        <v>42548</v>
      </c>
      <c r="B148" s="10" t="s">
        <v>40</v>
      </c>
      <c r="C148" s="11" t="s">
        <v>166</v>
      </c>
      <c r="D148" s="768">
        <v>7558</v>
      </c>
      <c r="E148" s="8">
        <v>16800</v>
      </c>
      <c r="G148" s="6">
        <f t="shared" si="9"/>
        <v>16800</v>
      </c>
    </row>
    <row r="149" spans="1:7" x14ac:dyDescent="0.25">
      <c r="A149" s="17">
        <v>42551</v>
      </c>
      <c r="B149" s="21" t="s">
        <v>130</v>
      </c>
      <c r="C149" s="11" t="s">
        <v>169</v>
      </c>
      <c r="F149" s="9">
        <v>23060</v>
      </c>
      <c r="G149" s="6">
        <f t="shared" si="9"/>
        <v>-23060</v>
      </c>
    </row>
    <row r="150" spans="1:7" x14ac:dyDescent="0.25">
      <c r="A150" s="17">
        <v>42551</v>
      </c>
      <c r="B150" s="10" t="s">
        <v>40</v>
      </c>
      <c r="C150" s="11" t="s">
        <v>169</v>
      </c>
      <c r="F150" s="9">
        <v>26940</v>
      </c>
      <c r="G150" s="6">
        <f t="shared" si="9"/>
        <v>-26940</v>
      </c>
    </row>
    <row r="151" spans="1:7" x14ac:dyDescent="0.25">
      <c r="A151" s="17">
        <v>42550</v>
      </c>
      <c r="B151" s="10" t="s">
        <v>963</v>
      </c>
      <c r="C151" s="11" t="s">
        <v>166</v>
      </c>
      <c r="D151" s="768">
        <v>7565</v>
      </c>
      <c r="E151" s="8">
        <v>60850</v>
      </c>
      <c r="G151" s="6">
        <f t="shared" si="9"/>
        <v>60850</v>
      </c>
    </row>
    <row r="152" spans="1:7" x14ac:dyDescent="0.25">
      <c r="A152" s="17">
        <v>42541</v>
      </c>
      <c r="B152" s="10" t="s">
        <v>40</v>
      </c>
      <c r="C152" s="11" t="s">
        <v>161</v>
      </c>
      <c r="D152" s="768">
        <v>1211</v>
      </c>
      <c r="E152" s="8">
        <v>40717</v>
      </c>
      <c r="G152" s="6">
        <f t="shared" si="9"/>
        <v>40717</v>
      </c>
    </row>
    <row r="153" spans="1:7" x14ac:dyDescent="0.25">
      <c r="A153" s="17">
        <v>42553</v>
      </c>
      <c r="B153" s="10" t="s">
        <v>1087</v>
      </c>
      <c r="C153" s="11" t="s">
        <v>161</v>
      </c>
      <c r="D153" s="768">
        <v>6</v>
      </c>
      <c r="E153" s="8">
        <v>11240</v>
      </c>
      <c r="G153" s="6">
        <f t="shared" si="9"/>
        <v>11240</v>
      </c>
    </row>
    <row r="154" spans="1:7" x14ac:dyDescent="0.25">
      <c r="A154" s="17">
        <v>42564</v>
      </c>
      <c r="B154" s="10" t="s">
        <v>40</v>
      </c>
      <c r="C154" s="11" t="s">
        <v>166</v>
      </c>
      <c r="D154" s="768">
        <v>7586</v>
      </c>
      <c r="E154" s="8">
        <v>13550</v>
      </c>
      <c r="G154" s="6">
        <f t="shared" si="9"/>
        <v>13550</v>
      </c>
    </row>
    <row r="155" spans="1:7" x14ac:dyDescent="0.25">
      <c r="A155" s="17">
        <v>42569</v>
      </c>
      <c r="B155" s="10" t="s">
        <v>40</v>
      </c>
      <c r="C155" s="11" t="s">
        <v>161</v>
      </c>
      <c r="D155" s="768">
        <v>23</v>
      </c>
      <c r="E155" s="8">
        <v>124609</v>
      </c>
      <c r="G155" s="6">
        <f t="shared" si="9"/>
        <v>124609</v>
      </c>
    </row>
    <row r="156" spans="1:7" x14ac:dyDescent="0.25">
      <c r="A156" s="17">
        <v>42519</v>
      </c>
      <c r="B156" s="21" t="s">
        <v>465</v>
      </c>
      <c r="C156" s="11" t="s">
        <v>180</v>
      </c>
      <c r="D156" s="768">
        <v>7182</v>
      </c>
      <c r="E156" s="8">
        <v>375580</v>
      </c>
      <c r="G156" s="6">
        <f t="shared" si="9"/>
        <v>375580</v>
      </c>
    </row>
    <row r="157" spans="1:7" x14ac:dyDescent="0.25">
      <c r="A157" s="17">
        <v>42527</v>
      </c>
      <c r="B157" s="21" t="s">
        <v>465</v>
      </c>
      <c r="C157" s="11" t="s">
        <v>180</v>
      </c>
      <c r="D157" s="768">
        <v>7197</v>
      </c>
      <c r="E157" s="8">
        <v>10236</v>
      </c>
      <c r="G157" s="6">
        <f t="shared" si="9"/>
        <v>10236</v>
      </c>
    </row>
    <row r="158" spans="1:7" x14ac:dyDescent="0.25">
      <c r="A158" s="17">
        <v>42502</v>
      </c>
      <c r="B158" s="10" t="s">
        <v>673</v>
      </c>
      <c r="C158" s="11" t="s">
        <v>180</v>
      </c>
      <c r="D158" s="768">
        <v>7150</v>
      </c>
      <c r="E158" s="8">
        <v>15000</v>
      </c>
      <c r="G158" s="6">
        <f t="shared" si="9"/>
        <v>15000</v>
      </c>
    </row>
    <row r="159" spans="1:7" x14ac:dyDescent="0.25">
      <c r="A159" s="17">
        <v>42502</v>
      </c>
      <c r="B159" s="10" t="s">
        <v>673</v>
      </c>
      <c r="C159" s="11" t="s">
        <v>180</v>
      </c>
      <c r="D159" s="768">
        <v>7148</v>
      </c>
      <c r="E159" s="8">
        <v>344790</v>
      </c>
      <c r="G159" s="6">
        <f t="shared" si="9"/>
        <v>344790</v>
      </c>
    </row>
    <row r="160" spans="1:7" x14ac:dyDescent="0.25">
      <c r="A160" s="17">
        <v>42502</v>
      </c>
      <c r="B160" s="10" t="s">
        <v>129</v>
      </c>
      <c r="C160" s="11" t="s">
        <v>180</v>
      </c>
      <c r="D160" s="768">
        <v>7146</v>
      </c>
      <c r="E160" s="8">
        <v>31500</v>
      </c>
      <c r="G160" s="6">
        <f t="shared" si="9"/>
        <v>31500</v>
      </c>
    </row>
    <row r="161" spans="1:8" x14ac:dyDescent="0.25">
      <c r="A161" s="17">
        <v>42502</v>
      </c>
      <c r="B161" s="10" t="s">
        <v>1087</v>
      </c>
      <c r="C161" s="11" t="s">
        <v>180</v>
      </c>
      <c r="D161" s="768">
        <v>7145</v>
      </c>
      <c r="E161" s="8">
        <v>27990</v>
      </c>
      <c r="G161" s="6">
        <f t="shared" si="9"/>
        <v>27990</v>
      </c>
    </row>
    <row r="162" spans="1:8" x14ac:dyDescent="0.25">
      <c r="A162" s="17">
        <v>42502</v>
      </c>
      <c r="B162" s="10" t="s">
        <v>40</v>
      </c>
      <c r="C162" s="11" t="s">
        <v>180</v>
      </c>
      <c r="D162" s="768">
        <v>7144</v>
      </c>
      <c r="E162" s="8">
        <v>56100</v>
      </c>
      <c r="G162" s="6">
        <f t="shared" si="9"/>
        <v>56100</v>
      </c>
    </row>
    <row r="163" spans="1:8" x14ac:dyDescent="0.25">
      <c r="A163" s="17">
        <v>42502</v>
      </c>
      <c r="B163" s="10" t="s">
        <v>40</v>
      </c>
      <c r="C163" s="11" t="s">
        <v>180</v>
      </c>
      <c r="D163" s="768">
        <v>7143</v>
      </c>
      <c r="E163" s="8">
        <v>23018</v>
      </c>
      <c r="G163" s="6">
        <f t="shared" si="9"/>
        <v>23018</v>
      </c>
    </row>
    <row r="164" spans="1:8" x14ac:dyDescent="0.25">
      <c r="A164" s="17">
        <v>42502</v>
      </c>
      <c r="B164" s="10" t="s">
        <v>40</v>
      </c>
      <c r="C164" s="11" t="s">
        <v>180</v>
      </c>
      <c r="D164" s="768">
        <v>7142</v>
      </c>
      <c r="E164" s="8">
        <v>120000</v>
      </c>
      <c r="G164" s="6">
        <f t="shared" si="9"/>
        <v>120000</v>
      </c>
    </row>
    <row r="165" spans="1:8" ht="15.75" customHeight="1" x14ac:dyDescent="0.25">
      <c r="A165" s="17">
        <v>42502</v>
      </c>
      <c r="B165" s="10" t="s">
        <v>40</v>
      </c>
      <c r="C165" s="11" t="s">
        <v>180</v>
      </c>
      <c r="D165" s="768">
        <v>7141</v>
      </c>
      <c r="E165" s="8">
        <v>80475</v>
      </c>
      <c r="G165" s="6">
        <f t="shared" si="9"/>
        <v>80475</v>
      </c>
    </row>
    <row r="166" spans="1:8" ht="15.75" customHeight="1" x14ac:dyDescent="0.25">
      <c r="A166" s="17">
        <v>42502</v>
      </c>
      <c r="B166" s="10" t="s">
        <v>769</v>
      </c>
      <c r="C166" s="11" t="s">
        <v>180</v>
      </c>
      <c r="D166" s="768">
        <v>7140</v>
      </c>
      <c r="E166" s="8">
        <v>79460</v>
      </c>
      <c r="G166" s="6">
        <f t="shared" si="9"/>
        <v>79460</v>
      </c>
    </row>
    <row r="167" spans="1:8" ht="15.75" customHeight="1" x14ac:dyDescent="0.25">
      <c r="A167" s="17">
        <v>42502</v>
      </c>
      <c r="B167" s="21" t="s">
        <v>130</v>
      </c>
      <c r="C167" s="11" t="s">
        <v>180</v>
      </c>
      <c r="D167" s="768">
        <v>7139</v>
      </c>
      <c r="E167" s="8">
        <v>260500</v>
      </c>
      <c r="G167" s="6">
        <f t="shared" si="9"/>
        <v>260500</v>
      </c>
    </row>
    <row r="168" spans="1:8" ht="15.75" customHeight="1" x14ac:dyDescent="0.25">
      <c r="A168" s="17">
        <v>42502</v>
      </c>
      <c r="B168" s="10" t="s">
        <v>40</v>
      </c>
      <c r="C168" s="11" t="s">
        <v>180</v>
      </c>
      <c r="D168" s="768">
        <v>7137</v>
      </c>
      <c r="E168" s="8">
        <v>5936</v>
      </c>
      <c r="G168" s="6">
        <f t="shared" si="9"/>
        <v>5936</v>
      </c>
    </row>
    <row r="169" spans="1:8" ht="16.5" thickBot="1" x14ac:dyDescent="0.3">
      <c r="A169" s="17">
        <v>42592</v>
      </c>
      <c r="B169" s="21" t="s">
        <v>465</v>
      </c>
      <c r="C169" s="11" t="s">
        <v>180</v>
      </c>
      <c r="F169" s="9">
        <v>2200000</v>
      </c>
      <c r="G169" s="6">
        <f t="shared" si="9"/>
        <v>-2200000</v>
      </c>
      <c r="H169" s="7" t="s">
        <v>1214</v>
      </c>
    </row>
    <row r="170" spans="1:8" ht="16.5" thickBot="1" x14ac:dyDescent="0.3">
      <c r="A170" s="17">
        <v>42594</v>
      </c>
      <c r="B170" s="21" t="s">
        <v>465</v>
      </c>
      <c r="C170" s="11" t="s">
        <v>180</v>
      </c>
      <c r="F170" s="9">
        <v>500000</v>
      </c>
      <c r="G170" s="6">
        <f t="shared" si="9"/>
        <v>-500000</v>
      </c>
      <c r="H170" s="87" t="s">
        <v>1212</v>
      </c>
    </row>
    <row r="171" spans="1:8" ht="16.5" thickBot="1" x14ac:dyDescent="0.3">
      <c r="A171" s="17">
        <v>42594</v>
      </c>
      <c r="B171" s="10" t="s">
        <v>40</v>
      </c>
      <c r="C171" s="11" t="s">
        <v>180</v>
      </c>
      <c r="F171" s="9">
        <v>1022522</v>
      </c>
      <c r="G171" s="6">
        <f t="shared" si="9"/>
        <v>-1022522</v>
      </c>
      <c r="H171" s="87" t="s">
        <v>1213</v>
      </c>
    </row>
    <row r="172" spans="1:8" ht="16.5" customHeight="1" x14ac:dyDescent="0.25">
      <c r="A172" s="17">
        <v>42594</v>
      </c>
      <c r="B172" s="10" t="s">
        <v>673</v>
      </c>
      <c r="C172" s="11" t="s">
        <v>169</v>
      </c>
      <c r="D172" s="768">
        <v>48</v>
      </c>
      <c r="E172" s="8">
        <v>65244</v>
      </c>
      <c r="G172" s="6">
        <f t="shared" si="9"/>
        <v>65244</v>
      </c>
    </row>
    <row r="173" spans="1:8" x14ac:dyDescent="0.25">
      <c r="A173" s="17">
        <v>42595</v>
      </c>
      <c r="B173" s="10" t="s">
        <v>1203</v>
      </c>
      <c r="C173" s="11" t="s">
        <v>166</v>
      </c>
      <c r="D173" s="768">
        <v>7698</v>
      </c>
      <c r="E173" s="8">
        <v>39400</v>
      </c>
      <c r="G173" s="6">
        <f t="shared" si="9"/>
        <v>39400</v>
      </c>
    </row>
    <row r="174" spans="1:8" ht="23.25" x14ac:dyDescent="0.25">
      <c r="A174" s="17">
        <v>42595</v>
      </c>
      <c r="B174" s="10" t="s">
        <v>130</v>
      </c>
      <c r="C174" s="11" t="s">
        <v>161</v>
      </c>
      <c r="F174" s="9">
        <v>96534</v>
      </c>
      <c r="G174" s="6">
        <f t="shared" si="9"/>
        <v>-96534</v>
      </c>
      <c r="H174" s="84" t="s">
        <v>1205</v>
      </c>
    </row>
    <row r="175" spans="1:8" ht="23.25" x14ac:dyDescent="0.25">
      <c r="A175" s="17">
        <v>42595</v>
      </c>
      <c r="B175" s="51" t="s">
        <v>129</v>
      </c>
      <c r="C175" s="11" t="s">
        <v>161</v>
      </c>
      <c r="F175" s="9">
        <v>5996</v>
      </c>
      <c r="G175" s="6">
        <f t="shared" si="9"/>
        <v>-5996</v>
      </c>
      <c r="H175" s="85"/>
    </row>
    <row r="176" spans="1:8" ht="23.25" x14ac:dyDescent="0.25">
      <c r="A176" s="17">
        <v>42595</v>
      </c>
      <c r="B176" s="21" t="s">
        <v>465</v>
      </c>
      <c r="C176" s="11" t="s">
        <v>161</v>
      </c>
      <c r="F176" s="9">
        <f>97470+157187</f>
        <v>254657</v>
      </c>
      <c r="G176" s="6">
        <f t="shared" si="9"/>
        <v>-254657</v>
      </c>
      <c r="H176" s="85"/>
    </row>
    <row r="177" spans="1:8" ht="23.25" x14ac:dyDescent="0.25">
      <c r="A177" s="17">
        <v>42595</v>
      </c>
      <c r="B177" s="10" t="s">
        <v>40</v>
      </c>
      <c r="C177" s="11" t="s">
        <v>161</v>
      </c>
      <c r="F177" s="9">
        <f>200000-157187</f>
        <v>42813</v>
      </c>
      <c r="G177" s="6">
        <f t="shared" si="9"/>
        <v>-42813</v>
      </c>
      <c r="H177" s="86"/>
    </row>
    <row r="178" spans="1:8" x14ac:dyDescent="0.25">
      <c r="A178" s="17">
        <v>42551</v>
      </c>
      <c r="B178" s="10" t="s">
        <v>769</v>
      </c>
      <c r="C178" s="11" t="s">
        <v>166</v>
      </c>
      <c r="E178" s="8">
        <v>5040</v>
      </c>
      <c r="G178" s="6">
        <f t="shared" si="9"/>
        <v>5040</v>
      </c>
    </row>
    <row r="179" spans="1:8" x14ac:dyDescent="0.25">
      <c r="A179" s="17">
        <v>42553</v>
      </c>
      <c r="B179" s="10" t="s">
        <v>395</v>
      </c>
      <c r="C179" s="11" t="s">
        <v>164</v>
      </c>
      <c r="E179" s="8">
        <v>50141</v>
      </c>
      <c r="G179" s="6">
        <f t="shared" si="9"/>
        <v>50141</v>
      </c>
    </row>
    <row r="180" spans="1:8" x14ac:dyDescent="0.25">
      <c r="A180" s="17">
        <v>42562</v>
      </c>
      <c r="B180" s="10" t="s">
        <v>395</v>
      </c>
      <c r="C180" s="11" t="s">
        <v>164</v>
      </c>
      <c r="E180" s="8">
        <v>1000</v>
      </c>
      <c r="G180" s="6">
        <f t="shared" ref="G180:G312" si="10">E180-F180</f>
        <v>1000</v>
      </c>
    </row>
    <row r="181" spans="1:8" x14ac:dyDescent="0.25">
      <c r="A181" s="17">
        <v>42566</v>
      </c>
      <c r="B181" s="10" t="s">
        <v>769</v>
      </c>
      <c r="C181" s="11" t="s">
        <v>164</v>
      </c>
      <c r="E181" s="8">
        <v>2373</v>
      </c>
      <c r="G181" s="6">
        <f t="shared" si="10"/>
        <v>2373</v>
      </c>
    </row>
    <row r="182" spans="1:8" x14ac:dyDescent="0.25">
      <c r="A182" s="17">
        <v>42567</v>
      </c>
      <c r="B182" s="10" t="s">
        <v>769</v>
      </c>
      <c r="C182" s="11" t="s">
        <v>164</v>
      </c>
      <c r="E182" s="8">
        <v>2705</v>
      </c>
      <c r="G182" s="6">
        <f t="shared" si="10"/>
        <v>2705</v>
      </c>
    </row>
    <row r="183" spans="1:8" x14ac:dyDescent="0.25">
      <c r="A183" s="17">
        <v>42584</v>
      </c>
      <c r="B183" s="10" t="s">
        <v>769</v>
      </c>
      <c r="C183" s="11" t="s">
        <v>164</v>
      </c>
      <c r="E183" s="8">
        <v>1482</v>
      </c>
      <c r="G183" s="6">
        <f t="shared" si="10"/>
        <v>1482</v>
      </c>
    </row>
    <row r="184" spans="1:8" x14ac:dyDescent="0.25">
      <c r="A184" s="17">
        <v>42584</v>
      </c>
      <c r="B184" s="10" t="s">
        <v>769</v>
      </c>
      <c r="C184" s="11" t="s">
        <v>164</v>
      </c>
      <c r="E184" s="8">
        <v>8205</v>
      </c>
      <c r="G184" s="6">
        <f t="shared" si="10"/>
        <v>8205</v>
      </c>
    </row>
    <row r="185" spans="1:8" x14ac:dyDescent="0.25">
      <c r="A185" s="17">
        <v>42601</v>
      </c>
      <c r="B185" s="10" t="s">
        <v>1203</v>
      </c>
      <c r="C185" s="11" t="s">
        <v>166</v>
      </c>
      <c r="D185" s="768">
        <v>7767</v>
      </c>
      <c r="E185" s="8">
        <v>19950</v>
      </c>
      <c r="G185" s="6">
        <f t="shared" si="10"/>
        <v>19950</v>
      </c>
    </row>
    <row r="186" spans="1:8" x14ac:dyDescent="0.25">
      <c r="A186" s="17">
        <v>42590</v>
      </c>
      <c r="B186" s="10" t="s">
        <v>769</v>
      </c>
      <c r="C186" s="11" t="s">
        <v>164</v>
      </c>
      <c r="D186" s="768">
        <v>1617</v>
      </c>
      <c r="E186" s="8">
        <v>2460</v>
      </c>
      <c r="G186" s="6">
        <f t="shared" si="10"/>
        <v>2460</v>
      </c>
    </row>
    <row r="187" spans="1:8" x14ac:dyDescent="0.25">
      <c r="A187" s="17">
        <v>42597</v>
      </c>
      <c r="B187" s="10" t="s">
        <v>40</v>
      </c>
      <c r="C187" s="11" t="s">
        <v>164</v>
      </c>
      <c r="D187" s="768">
        <v>1617</v>
      </c>
      <c r="E187" s="8">
        <v>6636</v>
      </c>
      <c r="G187" s="6">
        <f t="shared" si="10"/>
        <v>6636</v>
      </c>
    </row>
    <row r="188" spans="1:8" ht="16.5" thickBot="1" x14ac:dyDescent="0.3">
      <c r="A188" s="17">
        <v>42594</v>
      </c>
      <c r="B188" s="10" t="s">
        <v>40</v>
      </c>
      <c r="C188" s="11" t="s">
        <v>161</v>
      </c>
      <c r="D188" s="768">
        <v>105</v>
      </c>
      <c r="E188" s="8">
        <v>54246</v>
      </c>
      <c r="G188" s="6">
        <f t="shared" si="10"/>
        <v>54246</v>
      </c>
    </row>
    <row r="189" spans="1:8" x14ac:dyDescent="0.25">
      <c r="A189" s="17">
        <v>42584</v>
      </c>
      <c r="B189" s="10" t="s">
        <v>40</v>
      </c>
      <c r="C189" s="11" t="s">
        <v>161</v>
      </c>
      <c r="D189" s="768">
        <v>79</v>
      </c>
      <c r="E189" s="8">
        <v>2607</v>
      </c>
      <c r="G189" s="6">
        <f t="shared" si="10"/>
        <v>2607</v>
      </c>
      <c r="H189" s="81"/>
    </row>
    <row r="190" spans="1:8" x14ac:dyDescent="0.25">
      <c r="A190" s="17">
        <v>42601</v>
      </c>
      <c r="B190" s="10" t="s">
        <v>44</v>
      </c>
      <c r="C190" s="11" t="s">
        <v>169</v>
      </c>
      <c r="D190" s="768">
        <v>55</v>
      </c>
      <c r="E190" s="8">
        <v>3600</v>
      </c>
      <c r="G190" s="6">
        <f t="shared" si="10"/>
        <v>3600</v>
      </c>
      <c r="H190" s="82"/>
    </row>
    <row r="191" spans="1:8" x14ac:dyDescent="0.25">
      <c r="A191" s="17">
        <v>42584</v>
      </c>
      <c r="B191" s="10" t="s">
        <v>465</v>
      </c>
      <c r="C191" s="11" t="s">
        <v>169</v>
      </c>
      <c r="D191" s="768">
        <v>53</v>
      </c>
      <c r="E191" s="8">
        <v>3800</v>
      </c>
      <c r="G191" s="6">
        <f t="shared" si="10"/>
        <v>3800</v>
      </c>
      <c r="H191" s="82" t="s">
        <v>1210</v>
      </c>
    </row>
    <row r="192" spans="1:8" x14ac:dyDescent="0.25">
      <c r="A192" s="17">
        <v>42584</v>
      </c>
      <c r="B192" s="10" t="s">
        <v>44</v>
      </c>
      <c r="C192" s="11" t="s">
        <v>169</v>
      </c>
      <c r="D192" s="768">
        <v>2</v>
      </c>
      <c r="E192" s="8">
        <v>6400</v>
      </c>
      <c r="G192" s="6">
        <f t="shared" si="10"/>
        <v>6400</v>
      </c>
      <c r="H192" s="82"/>
    </row>
    <row r="193" spans="1:8" ht="16.5" thickBot="1" x14ac:dyDescent="0.3">
      <c r="A193" s="17">
        <v>42584</v>
      </c>
      <c r="B193" s="10" t="s">
        <v>40</v>
      </c>
      <c r="C193" s="11" t="s">
        <v>169</v>
      </c>
      <c r="D193" s="768">
        <v>285</v>
      </c>
      <c r="E193" s="8">
        <v>44844</v>
      </c>
      <c r="G193" s="6">
        <f t="shared" si="10"/>
        <v>44844</v>
      </c>
      <c r="H193" s="83"/>
    </row>
    <row r="194" spans="1:8" x14ac:dyDescent="0.25">
      <c r="A194" s="17">
        <v>42584</v>
      </c>
      <c r="B194" s="10" t="s">
        <v>465</v>
      </c>
      <c r="C194" s="11" t="s">
        <v>169</v>
      </c>
      <c r="D194" s="768">
        <v>196</v>
      </c>
      <c r="E194" s="8">
        <v>11097</v>
      </c>
      <c r="G194" s="6">
        <f t="shared" si="10"/>
        <v>11097</v>
      </c>
      <c r="H194" s="81"/>
    </row>
    <row r="195" spans="1:8" x14ac:dyDescent="0.25">
      <c r="A195" s="17">
        <v>42584</v>
      </c>
      <c r="B195" s="10" t="s">
        <v>40</v>
      </c>
      <c r="C195" s="11" t="s">
        <v>169</v>
      </c>
      <c r="E195" s="8">
        <v>14402</v>
      </c>
      <c r="G195" s="6">
        <f t="shared" si="10"/>
        <v>14402</v>
      </c>
      <c r="H195" s="82"/>
    </row>
    <row r="196" spans="1:8" x14ac:dyDescent="0.25">
      <c r="A196" s="17">
        <v>42584</v>
      </c>
      <c r="B196" s="10" t="s">
        <v>40</v>
      </c>
      <c r="C196" s="11" t="s">
        <v>169</v>
      </c>
      <c r="E196" s="8">
        <v>2194</v>
      </c>
      <c r="G196" s="6">
        <f t="shared" si="10"/>
        <v>2194</v>
      </c>
      <c r="H196" s="82"/>
    </row>
    <row r="197" spans="1:8" x14ac:dyDescent="0.25">
      <c r="A197" s="17">
        <v>42606</v>
      </c>
      <c r="B197" s="10" t="s">
        <v>465</v>
      </c>
      <c r="C197" s="11" t="s">
        <v>169</v>
      </c>
      <c r="D197" s="768">
        <v>61</v>
      </c>
      <c r="E197" s="8">
        <v>8060</v>
      </c>
      <c r="F197" s="9">
        <v>4962</v>
      </c>
      <c r="G197" s="6">
        <f t="shared" si="10"/>
        <v>3098</v>
      </c>
      <c r="H197" s="82" t="s">
        <v>1210</v>
      </c>
    </row>
    <row r="198" spans="1:8" x14ac:dyDescent="0.25">
      <c r="A198" s="17">
        <v>42606</v>
      </c>
      <c r="B198" s="10" t="s">
        <v>44</v>
      </c>
      <c r="C198" s="11" t="s">
        <v>169</v>
      </c>
      <c r="F198" s="9">
        <v>10000</v>
      </c>
      <c r="G198" s="6">
        <f t="shared" si="10"/>
        <v>-10000</v>
      </c>
      <c r="H198" s="82"/>
    </row>
    <row r="199" spans="1:8" x14ac:dyDescent="0.25">
      <c r="A199" s="17">
        <v>42606</v>
      </c>
      <c r="B199" s="10" t="s">
        <v>40</v>
      </c>
      <c r="C199" s="11" t="s">
        <v>169</v>
      </c>
      <c r="F199" s="9">
        <v>50000</v>
      </c>
      <c r="G199" s="6">
        <f t="shared" si="10"/>
        <v>-50000</v>
      </c>
      <c r="H199" s="82"/>
    </row>
    <row r="200" spans="1:8" ht="16.5" thickBot="1" x14ac:dyDescent="0.3">
      <c r="A200" s="17">
        <v>42606</v>
      </c>
      <c r="B200" s="21" t="s">
        <v>154</v>
      </c>
      <c r="C200" s="11" t="s">
        <v>169</v>
      </c>
      <c r="F200" s="9">
        <v>12500</v>
      </c>
      <c r="G200" s="6">
        <f t="shared" si="10"/>
        <v>-12500</v>
      </c>
      <c r="H200" s="83"/>
    </row>
    <row r="201" spans="1:8" x14ac:dyDescent="0.25">
      <c r="A201" s="17">
        <v>42606</v>
      </c>
      <c r="B201" s="10" t="s">
        <v>465</v>
      </c>
      <c r="C201" s="11" t="s">
        <v>169</v>
      </c>
      <c r="F201" s="9">
        <v>12500</v>
      </c>
      <c r="G201" s="6">
        <f t="shared" si="10"/>
        <v>-12500</v>
      </c>
    </row>
    <row r="202" spans="1:8" x14ac:dyDescent="0.25">
      <c r="A202" s="17">
        <v>42606</v>
      </c>
      <c r="B202" s="10" t="s">
        <v>673</v>
      </c>
      <c r="C202" s="11" t="s">
        <v>169</v>
      </c>
      <c r="F202" s="9">
        <v>15000</v>
      </c>
      <c r="G202" s="6">
        <f t="shared" si="10"/>
        <v>-15000</v>
      </c>
    </row>
    <row r="203" spans="1:8" x14ac:dyDescent="0.25">
      <c r="A203" s="17">
        <v>42606</v>
      </c>
      <c r="B203" s="10" t="s">
        <v>38</v>
      </c>
      <c r="C203" s="11" t="s">
        <v>164</v>
      </c>
      <c r="F203" s="9">
        <v>254</v>
      </c>
      <c r="G203" s="6">
        <f t="shared" si="10"/>
        <v>-254</v>
      </c>
    </row>
    <row r="204" spans="1:8" x14ac:dyDescent="0.25">
      <c r="A204" s="17">
        <v>42606</v>
      </c>
      <c r="B204" s="10" t="s">
        <v>160</v>
      </c>
      <c r="C204" s="11" t="s">
        <v>164</v>
      </c>
      <c r="F204" s="9">
        <v>375</v>
      </c>
      <c r="G204" s="6">
        <f t="shared" si="10"/>
        <v>-375</v>
      </c>
    </row>
    <row r="205" spans="1:8" x14ac:dyDescent="0.25">
      <c r="A205" s="17">
        <v>42606</v>
      </c>
      <c r="B205" s="10" t="s">
        <v>36</v>
      </c>
      <c r="C205" s="11" t="s">
        <v>164</v>
      </c>
      <c r="F205" s="9">
        <v>450</v>
      </c>
      <c r="G205" s="6">
        <f t="shared" si="10"/>
        <v>-450</v>
      </c>
    </row>
    <row r="206" spans="1:8" x14ac:dyDescent="0.25">
      <c r="A206" s="17">
        <v>42606</v>
      </c>
      <c r="B206" s="10" t="s">
        <v>130</v>
      </c>
      <c r="C206" s="11" t="s">
        <v>164</v>
      </c>
      <c r="F206" s="9">
        <v>4164</v>
      </c>
      <c r="G206" s="6">
        <f t="shared" si="10"/>
        <v>-4164</v>
      </c>
    </row>
    <row r="207" spans="1:8" x14ac:dyDescent="0.25">
      <c r="A207" s="17">
        <v>42606</v>
      </c>
      <c r="B207" s="10" t="s">
        <v>395</v>
      </c>
      <c r="C207" s="11" t="s">
        <v>164</v>
      </c>
      <c r="F207" s="9">
        <v>51141</v>
      </c>
      <c r="G207" s="6">
        <f t="shared" si="10"/>
        <v>-51141</v>
      </c>
    </row>
    <row r="208" spans="1:8" x14ac:dyDescent="0.25">
      <c r="A208" s="17">
        <v>42606</v>
      </c>
      <c r="B208" s="10" t="s">
        <v>769</v>
      </c>
      <c r="C208" s="11" t="s">
        <v>164</v>
      </c>
      <c r="F208" s="9">
        <v>14765</v>
      </c>
      <c r="G208" s="6">
        <f t="shared" si="10"/>
        <v>-14765</v>
      </c>
    </row>
    <row r="209" spans="1:8" x14ac:dyDescent="0.25">
      <c r="A209" s="17">
        <v>42606</v>
      </c>
      <c r="B209" s="10" t="s">
        <v>40</v>
      </c>
      <c r="C209" s="11" t="s">
        <v>164</v>
      </c>
      <c r="F209" s="9">
        <v>28851</v>
      </c>
      <c r="G209" s="6">
        <f t="shared" si="10"/>
        <v>-28851</v>
      </c>
    </row>
    <row r="210" spans="1:8" x14ac:dyDescent="0.25">
      <c r="A210" s="17">
        <v>42599</v>
      </c>
      <c r="B210" s="10" t="s">
        <v>40</v>
      </c>
      <c r="C210" s="11" t="s">
        <v>161</v>
      </c>
      <c r="D210" s="768">
        <v>118</v>
      </c>
      <c r="E210" s="8">
        <v>25517</v>
      </c>
      <c r="G210" s="6">
        <f t="shared" si="10"/>
        <v>25517</v>
      </c>
      <c r="H210" s="79" t="s">
        <v>1396</v>
      </c>
    </row>
    <row r="211" spans="1:8" x14ac:dyDescent="0.25">
      <c r="A211" s="17">
        <v>42598</v>
      </c>
      <c r="B211" s="10" t="s">
        <v>40</v>
      </c>
      <c r="C211" s="11" t="s">
        <v>169</v>
      </c>
      <c r="D211" s="768">
        <v>51</v>
      </c>
      <c r="E211" s="8">
        <v>4802</v>
      </c>
      <c r="G211" s="6">
        <f t="shared" si="10"/>
        <v>4802</v>
      </c>
      <c r="H211" s="80"/>
    </row>
    <row r="212" spans="1:8" x14ac:dyDescent="0.25">
      <c r="A212" s="17">
        <v>42571</v>
      </c>
      <c r="B212" s="10" t="s">
        <v>769</v>
      </c>
      <c r="C212" s="11" t="s">
        <v>166</v>
      </c>
      <c r="D212" s="768">
        <v>12114</v>
      </c>
      <c r="E212" s="8">
        <v>1368</v>
      </c>
      <c r="G212" s="6">
        <f t="shared" si="10"/>
        <v>1368</v>
      </c>
      <c r="H212" s="78"/>
    </row>
    <row r="213" spans="1:8" x14ac:dyDescent="0.25">
      <c r="A213" s="17">
        <v>42613</v>
      </c>
      <c r="B213" s="10" t="s">
        <v>40</v>
      </c>
      <c r="C213" s="11" t="s">
        <v>161</v>
      </c>
      <c r="F213" s="9">
        <v>200000</v>
      </c>
      <c r="G213" s="6">
        <f t="shared" si="10"/>
        <v>-200000</v>
      </c>
      <c r="H213" s="79" t="s">
        <v>1395</v>
      </c>
    </row>
    <row r="214" spans="1:8" x14ac:dyDescent="0.25">
      <c r="A214" s="17">
        <v>42608</v>
      </c>
      <c r="B214" s="10" t="s">
        <v>465</v>
      </c>
      <c r="C214" s="11" t="s">
        <v>161</v>
      </c>
      <c r="D214" s="768">
        <v>160</v>
      </c>
      <c r="E214" s="8">
        <v>8359</v>
      </c>
      <c r="G214" s="6">
        <f t="shared" si="10"/>
        <v>8359</v>
      </c>
      <c r="H214" s="80"/>
    </row>
    <row r="215" spans="1:8" x14ac:dyDescent="0.25">
      <c r="A215" s="17">
        <v>42618</v>
      </c>
      <c r="B215" s="10" t="s">
        <v>40</v>
      </c>
      <c r="C215" s="11" t="s">
        <v>166</v>
      </c>
      <c r="D215" s="768">
        <v>13379</v>
      </c>
      <c r="E215" s="8">
        <v>10384</v>
      </c>
      <c r="G215" s="6">
        <f t="shared" si="10"/>
        <v>10384</v>
      </c>
    </row>
    <row r="216" spans="1:8" x14ac:dyDescent="0.25">
      <c r="A216" s="17">
        <v>42636</v>
      </c>
      <c r="B216" s="10" t="s">
        <v>1206</v>
      </c>
      <c r="C216" s="11" t="s">
        <v>166</v>
      </c>
      <c r="F216" s="9">
        <v>59350</v>
      </c>
      <c r="G216" s="6">
        <f t="shared" si="10"/>
        <v>-59350</v>
      </c>
    </row>
    <row r="217" spans="1:8" x14ac:dyDescent="0.25">
      <c r="A217" s="17">
        <v>42636</v>
      </c>
      <c r="B217" s="10" t="s">
        <v>963</v>
      </c>
      <c r="C217" s="11" t="s">
        <v>166</v>
      </c>
      <c r="F217" s="9">
        <v>60850</v>
      </c>
      <c r="G217" s="6">
        <f t="shared" si="10"/>
        <v>-60850</v>
      </c>
    </row>
    <row r="218" spans="1:8" x14ac:dyDescent="0.25">
      <c r="A218" s="17">
        <v>42636</v>
      </c>
      <c r="B218" s="21" t="s">
        <v>154</v>
      </c>
      <c r="C218" s="11" t="s">
        <v>166</v>
      </c>
      <c r="F218" s="9">
        <v>55310</v>
      </c>
      <c r="G218" s="6">
        <f t="shared" si="10"/>
        <v>-55310</v>
      </c>
    </row>
    <row r="219" spans="1:8" x14ac:dyDescent="0.25">
      <c r="A219" s="17">
        <v>42636</v>
      </c>
      <c r="B219" s="10" t="s">
        <v>769</v>
      </c>
      <c r="C219" s="11" t="s">
        <v>166</v>
      </c>
      <c r="F219" s="9">
        <v>24490</v>
      </c>
      <c r="G219" s="6">
        <f t="shared" si="10"/>
        <v>-24490</v>
      </c>
    </row>
    <row r="220" spans="1:8" x14ac:dyDescent="0.25">
      <c r="A220" s="17">
        <v>42615</v>
      </c>
      <c r="B220" s="10" t="s">
        <v>40</v>
      </c>
      <c r="C220" s="11" t="s">
        <v>161</v>
      </c>
      <c r="D220" s="768">
        <v>184</v>
      </c>
      <c r="E220" s="8">
        <v>61636</v>
      </c>
      <c r="G220" s="6">
        <f t="shared" si="10"/>
        <v>61636</v>
      </c>
    </row>
    <row r="221" spans="1:8" x14ac:dyDescent="0.25">
      <c r="A221" s="17">
        <v>42607</v>
      </c>
      <c r="B221" s="10" t="s">
        <v>40</v>
      </c>
      <c r="C221" s="11" t="s">
        <v>164</v>
      </c>
      <c r="D221" s="768">
        <v>1617</v>
      </c>
      <c r="E221" s="8">
        <v>40803</v>
      </c>
      <c r="G221" s="6">
        <f t="shared" si="10"/>
        <v>40803</v>
      </c>
    </row>
    <row r="222" spans="1:8" x14ac:dyDescent="0.25">
      <c r="A222" s="17">
        <v>42618</v>
      </c>
      <c r="B222" s="10" t="s">
        <v>40</v>
      </c>
      <c r="C222" s="11" t="s">
        <v>164</v>
      </c>
      <c r="D222" s="768">
        <v>1617</v>
      </c>
      <c r="E222" s="8">
        <v>1750</v>
      </c>
      <c r="G222" s="6">
        <f t="shared" si="10"/>
        <v>1750</v>
      </c>
    </row>
    <row r="223" spans="1:8" x14ac:dyDescent="0.25">
      <c r="A223" s="17">
        <v>42619</v>
      </c>
      <c r="B223" s="10" t="s">
        <v>769</v>
      </c>
      <c r="C223" s="11" t="s">
        <v>164</v>
      </c>
      <c r="D223" s="768">
        <v>1617</v>
      </c>
      <c r="E223" s="8">
        <v>1800</v>
      </c>
      <c r="G223" s="6">
        <f t="shared" si="10"/>
        <v>1800</v>
      </c>
    </row>
    <row r="224" spans="1:8" x14ac:dyDescent="0.25">
      <c r="A224" s="17">
        <v>42621</v>
      </c>
      <c r="B224" s="10" t="s">
        <v>40</v>
      </c>
      <c r="C224" s="11" t="s">
        <v>164</v>
      </c>
      <c r="D224" s="768">
        <v>1014</v>
      </c>
      <c r="E224" s="8">
        <v>3693</v>
      </c>
      <c r="G224" s="6">
        <f t="shared" si="10"/>
        <v>3693</v>
      </c>
    </row>
    <row r="225" spans="1:8" x14ac:dyDescent="0.25">
      <c r="A225" s="17">
        <v>42629</v>
      </c>
      <c r="B225" s="10" t="s">
        <v>1397</v>
      </c>
      <c r="C225" s="11" t="s">
        <v>164</v>
      </c>
      <c r="D225" s="768">
        <v>1053</v>
      </c>
      <c r="E225" s="8">
        <v>110050</v>
      </c>
      <c r="G225" s="6">
        <f t="shared" si="10"/>
        <v>110050</v>
      </c>
    </row>
    <row r="226" spans="1:8" x14ac:dyDescent="0.25">
      <c r="A226" s="17">
        <v>42622</v>
      </c>
      <c r="B226" s="10" t="s">
        <v>1397</v>
      </c>
      <c r="C226" s="11" t="s">
        <v>164</v>
      </c>
      <c r="D226" s="768">
        <v>1022</v>
      </c>
      <c r="E226" s="8">
        <v>26461</v>
      </c>
      <c r="G226" s="6">
        <f t="shared" si="10"/>
        <v>26461</v>
      </c>
    </row>
    <row r="227" spans="1:8" x14ac:dyDescent="0.25">
      <c r="A227" s="17">
        <v>42629</v>
      </c>
      <c r="B227" s="10" t="s">
        <v>1397</v>
      </c>
      <c r="C227" s="11" t="s">
        <v>164</v>
      </c>
      <c r="D227" s="768">
        <v>1054</v>
      </c>
      <c r="E227" s="8">
        <v>1154</v>
      </c>
      <c r="G227" s="6">
        <f t="shared" si="10"/>
        <v>1154</v>
      </c>
    </row>
    <row r="228" spans="1:8" x14ac:dyDescent="0.25">
      <c r="A228" s="17">
        <v>42629</v>
      </c>
      <c r="B228" s="10" t="s">
        <v>1397</v>
      </c>
      <c r="C228" s="11" t="s">
        <v>164</v>
      </c>
      <c r="D228" s="768">
        <v>1056</v>
      </c>
      <c r="E228" s="8">
        <v>4224</v>
      </c>
      <c r="G228" s="6">
        <f t="shared" si="10"/>
        <v>4224</v>
      </c>
    </row>
    <row r="229" spans="1:8" x14ac:dyDescent="0.25">
      <c r="A229" s="17">
        <v>42629</v>
      </c>
      <c r="B229" s="10" t="s">
        <v>1397</v>
      </c>
      <c r="C229" s="11" t="s">
        <v>164</v>
      </c>
      <c r="D229" s="768">
        <v>1050</v>
      </c>
      <c r="E229" s="8">
        <v>264</v>
      </c>
      <c r="G229" s="6">
        <f t="shared" si="10"/>
        <v>264</v>
      </c>
    </row>
    <row r="230" spans="1:8" x14ac:dyDescent="0.25">
      <c r="A230" s="17">
        <v>42630</v>
      </c>
      <c r="B230" s="10" t="s">
        <v>1397</v>
      </c>
      <c r="C230" s="11" t="s">
        <v>164</v>
      </c>
      <c r="D230" s="768">
        <v>1060</v>
      </c>
      <c r="E230" s="8">
        <v>5023</v>
      </c>
      <c r="G230" s="6">
        <f t="shared" si="10"/>
        <v>5023</v>
      </c>
    </row>
    <row r="231" spans="1:8" x14ac:dyDescent="0.25">
      <c r="A231" s="17">
        <v>42633</v>
      </c>
      <c r="B231" s="10" t="s">
        <v>40</v>
      </c>
      <c r="C231" s="11" t="s">
        <v>164</v>
      </c>
      <c r="D231" s="768">
        <v>1096</v>
      </c>
      <c r="E231" s="8">
        <v>254</v>
      </c>
      <c r="G231" s="6">
        <f t="shared" si="10"/>
        <v>254</v>
      </c>
    </row>
    <row r="232" spans="1:8" x14ac:dyDescent="0.25">
      <c r="A232" s="17">
        <v>42634</v>
      </c>
      <c r="B232" s="10" t="s">
        <v>40</v>
      </c>
      <c r="C232" s="11" t="s">
        <v>164</v>
      </c>
      <c r="D232" s="768">
        <v>1107</v>
      </c>
      <c r="E232" s="8">
        <v>2824</v>
      </c>
      <c r="G232" s="6">
        <f t="shared" si="10"/>
        <v>2824</v>
      </c>
    </row>
    <row r="233" spans="1:8" x14ac:dyDescent="0.25">
      <c r="A233" s="17">
        <v>42633</v>
      </c>
      <c r="B233" s="10" t="s">
        <v>40</v>
      </c>
      <c r="C233" s="11" t="s">
        <v>164</v>
      </c>
      <c r="D233" s="768">
        <v>1094</v>
      </c>
      <c r="E233" s="8">
        <v>2086</v>
      </c>
      <c r="G233" s="6">
        <f t="shared" si="10"/>
        <v>2086</v>
      </c>
    </row>
    <row r="234" spans="1:8" x14ac:dyDescent="0.25">
      <c r="A234" s="17">
        <v>42635</v>
      </c>
      <c r="B234" s="10" t="s">
        <v>1397</v>
      </c>
      <c r="C234" s="11" t="s">
        <v>164</v>
      </c>
      <c r="D234" s="768">
        <v>1140</v>
      </c>
      <c r="E234" s="8">
        <v>1109</v>
      </c>
      <c r="G234" s="6">
        <f t="shared" si="10"/>
        <v>1109</v>
      </c>
    </row>
    <row r="235" spans="1:8" x14ac:dyDescent="0.25">
      <c r="A235" s="17">
        <v>42636</v>
      </c>
      <c r="B235" s="10" t="s">
        <v>40</v>
      </c>
      <c r="C235" s="11" t="s">
        <v>164</v>
      </c>
      <c r="D235" s="768">
        <v>1146</v>
      </c>
      <c r="E235" s="8">
        <v>2807</v>
      </c>
      <c r="G235" s="6">
        <f t="shared" si="10"/>
        <v>2807</v>
      </c>
    </row>
    <row r="236" spans="1:8" x14ac:dyDescent="0.25">
      <c r="A236" s="17">
        <v>42636</v>
      </c>
      <c r="B236" s="10" t="s">
        <v>1397</v>
      </c>
      <c r="C236" s="11" t="s">
        <v>164</v>
      </c>
      <c r="D236" s="768">
        <v>1171</v>
      </c>
      <c r="E236" s="8">
        <v>220252</v>
      </c>
      <c r="G236" s="6">
        <f t="shared" si="10"/>
        <v>220252</v>
      </c>
    </row>
    <row r="237" spans="1:8" x14ac:dyDescent="0.25">
      <c r="A237" s="17">
        <v>42639</v>
      </c>
      <c r="B237" s="10" t="s">
        <v>1397</v>
      </c>
      <c r="C237" s="11" t="s">
        <v>164</v>
      </c>
      <c r="D237" s="768">
        <v>1188</v>
      </c>
      <c r="E237" s="8">
        <v>98222</v>
      </c>
      <c r="G237" s="6">
        <f t="shared" si="10"/>
        <v>98222</v>
      </c>
    </row>
    <row r="238" spans="1:8" x14ac:dyDescent="0.25">
      <c r="A238" s="17">
        <v>42639</v>
      </c>
      <c r="B238" s="10" t="s">
        <v>1399</v>
      </c>
      <c r="C238" s="11" t="s">
        <v>166</v>
      </c>
      <c r="D238" s="768">
        <v>7999</v>
      </c>
      <c r="E238" s="8">
        <v>10350</v>
      </c>
      <c r="G238" s="6">
        <f t="shared" si="10"/>
        <v>10350</v>
      </c>
      <c r="H238" s="31" t="s">
        <v>1406</v>
      </c>
    </row>
    <row r="239" spans="1:8" x14ac:dyDescent="0.25">
      <c r="A239" s="17">
        <v>42643</v>
      </c>
      <c r="B239" s="10" t="s">
        <v>40</v>
      </c>
      <c r="C239" s="11" t="s">
        <v>166</v>
      </c>
      <c r="D239" s="768">
        <v>8027</v>
      </c>
      <c r="E239" s="8">
        <v>7150</v>
      </c>
      <c r="G239" s="6">
        <f t="shared" si="10"/>
        <v>7150</v>
      </c>
    </row>
    <row r="240" spans="1:8" x14ac:dyDescent="0.25">
      <c r="A240" s="17">
        <v>42640</v>
      </c>
      <c r="B240" s="10" t="s">
        <v>769</v>
      </c>
      <c r="C240" s="11" t="s">
        <v>169</v>
      </c>
      <c r="D240" s="769" t="s">
        <v>1398</v>
      </c>
      <c r="E240" s="8">
        <v>8652</v>
      </c>
      <c r="G240" s="6">
        <f t="shared" si="10"/>
        <v>8652</v>
      </c>
    </row>
    <row r="241" spans="1:8" x14ac:dyDescent="0.25">
      <c r="A241" s="17">
        <v>42640</v>
      </c>
      <c r="B241" s="10" t="s">
        <v>40</v>
      </c>
      <c r="C241" s="11" t="s">
        <v>161</v>
      </c>
      <c r="D241" s="768">
        <v>248</v>
      </c>
      <c r="E241" s="8">
        <v>46313</v>
      </c>
      <c r="G241" s="6">
        <f t="shared" si="10"/>
        <v>46313</v>
      </c>
    </row>
    <row r="242" spans="1:8" x14ac:dyDescent="0.25">
      <c r="A242" s="17">
        <v>42650</v>
      </c>
      <c r="B242" s="10" t="s">
        <v>1397</v>
      </c>
      <c r="C242" s="11" t="s">
        <v>164</v>
      </c>
      <c r="F242" s="9">
        <v>200000</v>
      </c>
      <c r="G242" s="6">
        <f t="shared" si="10"/>
        <v>-200000</v>
      </c>
    </row>
    <row r="243" spans="1:8" x14ac:dyDescent="0.25">
      <c r="A243" s="17">
        <v>42643</v>
      </c>
      <c r="B243" s="10" t="s">
        <v>1397</v>
      </c>
      <c r="C243" s="11" t="s">
        <v>164</v>
      </c>
      <c r="D243" s="768">
        <v>1617</v>
      </c>
      <c r="E243" s="8">
        <v>37347</v>
      </c>
      <c r="G243" s="6">
        <f t="shared" si="10"/>
        <v>37347</v>
      </c>
      <c r="H243" s="79"/>
    </row>
    <row r="244" spans="1:8" x14ac:dyDescent="0.25">
      <c r="A244" s="17">
        <v>42647</v>
      </c>
      <c r="B244" s="10" t="s">
        <v>1397</v>
      </c>
      <c r="C244" s="11" t="s">
        <v>164</v>
      </c>
      <c r="D244" s="768">
        <v>1351</v>
      </c>
      <c r="E244" s="8">
        <v>1419</v>
      </c>
      <c r="G244" s="6">
        <f t="shared" si="10"/>
        <v>1419</v>
      </c>
      <c r="H244" s="80"/>
    </row>
    <row r="245" spans="1:8" x14ac:dyDescent="0.25">
      <c r="A245" s="17">
        <v>42647</v>
      </c>
      <c r="B245" s="10" t="s">
        <v>1397</v>
      </c>
      <c r="C245" s="11" t="s">
        <v>164</v>
      </c>
      <c r="D245" s="768">
        <v>1331</v>
      </c>
      <c r="E245" s="8">
        <v>4047</v>
      </c>
      <c r="G245" s="6">
        <f t="shared" si="10"/>
        <v>4047</v>
      </c>
    </row>
    <row r="246" spans="1:8" x14ac:dyDescent="0.25">
      <c r="A246" s="17">
        <v>42650</v>
      </c>
      <c r="B246" s="10" t="s">
        <v>1399</v>
      </c>
      <c r="C246" s="11" t="s">
        <v>164</v>
      </c>
      <c r="D246" s="768">
        <v>1414</v>
      </c>
      <c r="E246" s="8">
        <v>17501</v>
      </c>
      <c r="G246" s="6">
        <f t="shared" si="10"/>
        <v>17501</v>
      </c>
    </row>
    <row r="247" spans="1:8" x14ac:dyDescent="0.25">
      <c r="A247" s="17">
        <v>42650</v>
      </c>
      <c r="B247" s="10" t="s">
        <v>1397</v>
      </c>
      <c r="C247" s="11" t="s">
        <v>164</v>
      </c>
      <c r="D247" s="768">
        <v>1367</v>
      </c>
      <c r="E247" s="8">
        <v>3313</v>
      </c>
      <c r="G247" s="6">
        <f t="shared" si="10"/>
        <v>3313</v>
      </c>
    </row>
    <row r="248" spans="1:8" x14ac:dyDescent="0.25">
      <c r="A248" s="17">
        <v>42653</v>
      </c>
      <c r="B248" s="10" t="s">
        <v>1397</v>
      </c>
      <c r="C248" s="11" t="s">
        <v>164</v>
      </c>
      <c r="D248" s="768">
        <v>1453</v>
      </c>
      <c r="E248" s="8">
        <v>2718</v>
      </c>
      <c r="G248" s="6">
        <f t="shared" si="10"/>
        <v>2718</v>
      </c>
    </row>
    <row r="249" spans="1:8" x14ac:dyDescent="0.25">
      <c r="A249" s="17">
        <v>42647</v>
      </c>
      <c r="B249" s="10" t="s">
        <v>1206</v>
      </c>
      <c r="C249" s="11" t="s">
        <v>166</v>
      </c>
      <c r="D249" s="768">
        <v>8070</v>
      </c>
      <c r="E249" s="8">
        <v>263340</v>
      </c>
      <c r="G249" s="6">
        <f t="shared" si="10"/>
        <v>263340</v>
      </c>
    </row>
    <row r="250" spans="1:8" x14ac:dyDescent="0.25">
      <c r="A250" s="17">
        <v>42648</v>
      </c>
      <c r="B250" s="10" t="s">
        <v>1397</v>
      </c>
      <c r="C250" s="11" t="s">
        <v>166</v>
      </c>
      <c r="D250" s="768">
        <v>8112</v>
      </c>
      <c r="E250" s="8">
        <v>42350</v>
      </c>
      <c r="G250" s="6">
        <f t="shared" si="10"/>
        <v>42350</v>
      </c>
    </row>
    <row r="251" spans="1:8" x14ac:dyDescent="0.25">
      <c r="A251" s="17">
        <v>42648</v>
      </c>
      <c r="B251" s="10" t="s">
        <v>1493</v>
      </c>
      <c r="C251" s="11" t="s">
        <v>166</v>
      </c>
      <c r="D251" s="768">
        <v>8089</v>
      </c>
      <c r="E251" s="8">
        <v>39150</v>
      </c>
      <c r="G251" s="6">
        <f t="shared" si="10"/>
        <v>39150</v>
      </c>
    </row>
    <row r="252" spans="1:8" x14ac:dyDescent="0.25">
      <c r="A252" s="17">
        <v>42665</v>
      </c>
      <c r="B252" s="10" t="s">
        <v>40</v>
      </c>
      <c r="C252" s="11" t="s">
        <v>166</v>
      </c>
      <c r="F252" s="9">
        <v>100000</v>
      </c>
      <c r="G252" s="6">
        <f t="shared" si="10"/>
        <v>-100000</v>
      </c>
    </row>
    <row r="253" spans="1:8" x14ac:dyDescent="0.25">
      <c r="A253" s="17">
        <v>42665</v>
      </c>
      <c r="B253" s="10" t="s">
        <v>154</v>
      </c>
      <c r="C253" s="11" t="s">
        <v>166</v>
      </c>
      <c r="F253" s="9">
        <v>75000</v>
      </c>
      <c r="G253" s="6">
        <f t="shared" si="10"/>
        <v>-75000</v>
      </c>
    </row>
    <row r="254" spans="1:8" x14ac:dyDescent="0.25">
      <c r="A254" s="17">
        <v>42665</v>
      </c>
      <c r="B254" s="10" t="s">
        <v>1203</v>
      </c>
      <c r="C254" s="11" t="s">
        <v>166</v>
      </c>
      <c r="F254" s="9">
        <v>25000</v>
      </c>
      <c r="G254" s="6">
        <f t="shared" si="10"/>
        <v>-25000</v>
      </c>
    </row>
    <row r="255" spans="1:8" x14ac:dyDescent="0.25">
      <c r="A255" s="17">
        <v>42665</v>
      </c>
      <c r="B255" s="10" t="s">
        <v>1397</v>
      </c>
      <c r="C255" s="11" t="s">
        <v>166</v>
      </c>
      <c r="F255" s="9">
        <v>25000</v>
      </c>
      <c r="G255" s="6">
        <f t="shared" si="10"/>
        <v>-25000</v>
      </c>
      <c r="H255" s="78" t="s">
        <v>1521</v>
      </c>
    </row>
    <row r="256" spans="1:8" x14ac:dyDescent="0.25">
      <c r="A256" s="17">
        <v>42649</v>
      </c>
      <c r="B256" s="10" t="s">
        <v>40</v>
      </c>
      <c r="C256" s="11" t="s">
        <v>161</v>
      </c>
      <c r="D256" s="768">
        <v>286</v>
      </c>
      <c r="E256" s="8">
        <v>3467</v>
      </c>
      <c r="G256" s="6">
        <f t="shared" si="10"/>
        <v>3467</v>
      </c>
      <c r="H256" s="80"/>
    </row>
    <row r="257" spans="1:8" x14ac:dyDescent="0.25">
      <c r="A257" s="17">
        <v>42665</v>
      </c>
      <c r="B257" s="10" t="s">
        <v>40</v>
      </c>
      <c r="C257" s="11" t="s">
        <v>161</v>
      </c>
      <c r="D257" s="768">
        <v>294</v>
      </c>
      <c r="E257" s="8">
        <v>49380</v>
      </c>
      <c r="G257" s="6">
        <f t="shared" si="10"/>
        <v>49380</v>
      </c>
    </row>
    <row r="258" spans="1:8" x14ac:dyDescent="0.25">
      <c r="A258" s="17">
        <v>42665</v>
      </c>
      <c r="B258" s="10" t="s">
        <v>465</v>
      </c>
      <c r="C258" s="11" t="s">
        <v>161</v>
      </c>
      <c r="D258" s="768">
        <v>277</v>
      </c>
      <c r="E258" s="8">
        <v>15675</v>
      </c>
      <c r="G258" s="6">
        <f t="shared" si="10"/>
        <v>15675</v>
      </c>
    </row>
    <row r="259" spans="1:8" x14ac:dyDescent="0.25">
      <c r="A259" s="17">
        <v>42665</v>
      </c>
      <c r="B259" s="10" t="s">
        <v>465</v>
      </c>
      <c r="C259" s="11" t="s">
        <v>161</v>
      </c>
      <c r="D259" s="768">
        <v>295</v>
      </c>
      <c r="E259" s="8">
        <v>15028</v>
      </c>
      <c r="G259" s="6">
        <f t="shared" si="10"/>
        <v>15028</v>
      </c>
    </row>
    <row r="260" spans="1:8" x14ac:dyDescent="0.25">
      <c r="A260" s="17">
        <v>42658</v>
      </c>
      <c r="B260" s="10" t="s">
        <v>38</v>
      </c>
      <c r="C260" s="11" t="s">
        <v>161</v>
      </c>
      <c r="D260" s="768">
        <v>308</v>
      </c>
      <c r="E260" s="8">
        <v>9551</v>
      </c>
      <c r="G260" s="6">
        <f t="shared" si="10"/>
        <v>9551</v>
      </c>
    </row>
    <row r="261" spans="1:8" x14ac:dyDescent="0.25">
      <c r="A261" s="17">
        <v>42665</v>
      </c>
      <c r="B261" s="10" t="s">
        <v>40</v>
      </c>
      <c r="C261" s="11" t="s">
        <v>166</v>
      </c>
      <c r="D261" s="768">
        <v>8106</v>
      </c>
      <c r="E261" s="8">
        <v>3950</v>
      </c>
      <c r="G261" s="6">
        <f t="shared" si="10"/>
        <v>3950</v>
      </c>
    </row>
    <row r="262" spans="1:8" x14ac:dyDescent="0.25">
      <c r="A262" s="17">
        <v>42665</v>
      </c>
      <c r="B262" s="10" t="s">
        <v>963</v>
      </c>
      <c r="C262" s="11" t="s">
        <v>166</v>
      </c>
      <c r="D262" s="768">
        <v>8081</v>
      </c>
      <c r="E262" s="8">
        <v>12750</v>
      </c>
      <c r="G262" s="6">
        <f t="shared" si="10"/>
        <v>12750</v>
      </c>
    </row>
    <row r="263" spans="1:8" x14ac:dyDescent="0.25">
      <c r="A263" s="17">
        <v>42657</v>
      </c>
      <c r="B263" s="10" t="s">
        <v>1493</v>
      </c>
      <c r="C263" s="11" t="s">
        <v>166</v>
      </c>
      <c r="D263" s="768">
        <v>8092</v>
      </c>
      <c r="E263" s="8">
        <v>42350</v>
      </c>
      <c r="G263" s="6">
        <f t="shared" si="10"/>
        <v>42350</v>
      </c>
    </row>
    <row r="264" spans="1:8" x14ac:dyDescent="0.25">
      <c r="A264" s="17">
        <v>42669</v>
      </c>
      <c r="B264" s="10" t="s">
        <v>673</v>
      </c>
      <c r="C264" s="11" t="s">
        <v>169</v>
      </c>
      <c r="F264" s="9">
        <v>50244</v>
      </c>
      <c r="G264" s="6">
        <f t="shared" si="10"/>
        <v>-50244</v>
      </c>
      <c r="H264" s="78"/>
    </row>
    <row r="265" spans="1:8" x14ac:dyDescent="0.25">
      <c r="A265" s="17">
        <v>42669</v>
      </c>
      <c r="B265" s="10" t="s">
        <v>465</v>
      </c>
      <c r="C265" s="11" t="s">
        <v>169</v>
      </c>
      <c r="F265" s="9">
        <v>5495</v>
      </c>
      <c r="G265" s="6">
        <f t="shared" si="10"/>
        <v>-5495</v>
      </c>
      <c r="H265" s="79" t="s">
        <v>1522</v>
      </c>
    </row>
    <row r="266" spans="1:8" x14ac:dyDescent="0.25">
      <c r="A266" s="17">
        <v>42669</v>
      </c>
      <c r="B266" s="10" t="s">
        <v>40</v>
      </c>
      <c r="C266" s="11" t="s">
        <v>169</v>
      </c>
      <c r="F266" s="9">
        <v>27261</v>
      </c>
      <c r="G266" s="6">
        <f t="shared" si="10"/>
        <v>-27261</v>
      </c>
      <c r="H266" s="80"/>
    </row>
    <row r="267" spans="1:8" x14ac:dyDescent="0.25">
      <c r="A267" s="17">
        <v>42662</v>
      </c>
      <c r="B267" s="10" t="s">
        <v>1397</v>
      </c>
      <c r="C267" s="11" t="s">
        <v>164</v>
      </c>
      <c r="D267" s="768">
        <v>1564</v>
      </c>
      <c r="E267" s="8">
        <v>63654</v>
      </c>
      <c r="G267" s="6">
        <f t="shared" si="10"/>
        <v>63654</v>
      </c>
    </row>
    <row r="268" spans="1:8" x14ac:dyDescent="0.25">
      <c r="A268" s="17">
        <v>42664</v>
      </c>
      <c r="B268" s="10" t="s">
        <v>1397</v>
      </c>
      <c r="C268" s="11" t="s">
        <v>164</v>
      </c>
      <c r="D268" s="768">
        <v>1625</v>
      </c>
      <c r="E268" s="8">
        <v>510973</v>
      </c>
      <c r="G268" s="6">
        <f t="shared" si="10"/>
        <v>510973</v>
      </c>
    </row>
    <row r="269" spans="1:8" x14ac:dyDescent="0.25">
      <c r="A269" s="17">
        <v>42667</v>
      </c>
      <c r="B269" s="10" t="s">
        <v>1397</v>
      </c>
      <c r="C269" s="11" t="s">
        <v>164</v>
      </c>
      <c r="D269" s="768">
        <v>1658</v>
      </c>
      <c r="E269" s="8">
        <v>1250</v>
      </c>
      <c r="G269" s="6">
        <f t="shared" si="10"/>
        <v>1250</v>
      </c>
    </row>
    <row r="270" spans="1:8" x14ac:dyDescent="0.25">
      <c r="A270" s="17">
        <v>42667</v>
      </c>
      <c r="B270" s="10" t="s">
        <v>1397</v>
      </c>
      <c r="C270" s="11" t="s">
        <v>164</v>
      </c>
      <c r="D270" s="768">
        <v>1638</v>
      </c>
      <c r="E270" s="8">
        <v>12414</v>
      </c>
      <c r="G270" s="6">
        <f t="shared" si="10"/>
        <v>12414</v>
      </c>
    </row>
    <row r="271" spans="1:8" x14ac:dyDescent="0.25">
      <c r="A271" s="17">
        <v>42664</v>
      </c>
      <c r="B271" s="10" t="s">
        <v>1397</v>
      </c>
      <c r="C271" s="11" t="s">
        <v>164</v>
      </c>
      <c r="D271" s="768">
        <v>1601</v>
      </c>
      <c r="E271" s="8">
        <v>22919</v>
      </c>
      <c r="G271" s="6">
        <f t="shared" si="10"/>
        <v>22919</v>
      </c>
    </row>
    <row r="272" spans="1:8" x14ac:dyDescent="0.25">
      <c r="A272" s="17">
        <v>42662</v>
      </c>
      <c r="B272" s="10" t="s">
        <v>1397</v>
      </c>
      <c r="C272" s="11" t="s">
        <v>166</v>
      </c>
      <c r="D272" s="768">
        <v>8122</v>
      </c>
      <c r="E272" s="8">
        <v>39150</v>
      </c>
      <c r="G272" s="6">
        <f t="shared" si="10"/>
        <v>39150</v>
      </c>
    </row>
    <row r="273" spans="1:8" x14ac:dyDescent="0.25">
      <c r="A273" s="17">
        <v>42662</v>
      </c>
      <c r="B273" s="10" t="s">
        <v>1493</v>
      </c>
      <c r="C273" s="11" t="s">
        <v>166</v>
      </c>
      <c r="D273" s="768">
        <v>8126</v>
      </c>
      <c r="E273" s="8">
        <v>14750</v>
      </c>
      <c r="G273" s="6">
        <f t="shared" si="10"/>
        <v>14750</v>
      </c>
    </row>
    <row r="274" spans="1:8" x14ac:dyDescent="0.25">
      <c r="A274" s="17">
        <v>42663</v>
      </c>
      <c r="B274" s="10" t="s">
        <v>1397</v>
      </c>
      <c r="C274" s="11" t="s">
        <v>166</v>
      </c>
      <c r="D274" s="768">
        <v>8139</v>
      </c>
      <c r="E274" s="8">
        <v>16700</v>
      </c>
      <c r="G274" s="6">
        <f t="shared" si="10"/>
        <v>16700</v>
      </c>
    </row>
    <row r="275" spans="1:8" x14ac:dyDescent="0.25">
      <c r="A275" s="17">
        <v>42665</v>
      </c>
      <c r="B275" s="10" t="s">
        <v>1215</v>
      </c>
      <c r="C275" s="11" t="s">
        <v>166</v>
      </c>
      <c r="D275" s="768">
        <v>8160</v>
      </c>
      <c r="E275" s="8">
        <v>165296</v>
      </c>
      <c r="G275" s="6">
        <f t="shared" si="10"/>
        <v>165296</v>
      </c>
    </row>
    <row r="276" spans="1:8" x14ac:dyDescent="0.25">
      <c r="A276" s="17">
        <v>42676</v>
      </c>
      <c r="B276" s="10" t="s">
        <v>40</v>
      </c>
      <c r="C276" s="11" t="s">
        <v>180</v>
      </c>
      <c r="F276" s="9">
        <v>146519</v>
      </c>
      <c r="G276" s="6">
        <f t="shared" si="10"/>
        <v>-146519</v>
      </c>
      <c r="H276" s="78"/>
    </row>
    <row r="277" spans="1:8" x14ac:dyDescent="0.25">
      <c r="A277" s="17">
        <v>42676</v>
      </c>
      <c r="B277" s="10" t="s">
        <v>1087</v>
      </c>
      <c r="C277" s="11" t="s">
        <v>180</v>
      </c>
      <c r="F277" s="9">
        <v>49500</v>
      </c>
      <c r="G277" s="6">
        <f t="shared" si="10"/>
        <v>-49500</v>
      </c>
      <c r="H277" s="79"/>
    </row>
    <row r="278" spans="1:8" x14ac:dyDescent="0.25">
      <c r="A278" s="17">
        <v>42676</v>
      </c>
      <c r="B278" s="10" t="s">
        <v>82</v>
      </c>
      <c r="C278" s="11" t="s">
        <v>180</v>
      </c>
      <c r="F278" s="9">
        <v>255004</v>
      </c>
      <c r="G278" s="6">
        <f t="shared" si="10"/>
        <v>-255004</v>
      </c>
      <c r="H278" s="79"/>
    </row>
    <row r="279" spans="1:8" x14ac:dyDescent="0.25">
      <c r="A279" s="17">
        <v>42676</v>
      </c>
      <c r="B279" s="10" t="s">
        <v>465</v>
      </c>
      <c r="C279" s="11" t="s">
        <v>180</v>
      </c>
      <c r="F279" s="9">
        <v>210896</v>
      </c>
      <c r="G279" s="6">
        <f t="shared" si="10"/>
        <v>-210896</v>
      </c>
      <c r="H279" s="79" t="s">
        <v>1539</v>
      </c>
    </row>
    <row r="280" spans="1:8" x14ac:dyDescent="0.25">
      <c r="A280" s="17">
        <v>42676</v>
      </c>
      <c r="B280" s="10" t="s">
        <v>129</v>
      </c>
      <c r="C280" s="11" t="s">
        <v>180</v>
      </c>
      <c r="F280" s="9">
        <v>65760</v>
      </c>
      <c r="G280" s="6">
        <f t="shared" si="10"/>
        <v>-65760</v>
      </c>
      <c r="H280" s="79"/>
    </row>
    <row r="281" spans="1:8" x14ac:dyDescent="0.25">
      <c r="A281" s="17">
        <v>42676</v>
      </c>
      <c r="B281" s="10" t="s">
        <v>673</v>
      </c>
      <c r="C281" s="11" t="s">
        <v>180</v>
      </c>
      <c r="F281" s="9">
        <v>204900</v>
      </c>
      <c r="G281" s="6">
        <f t="shared" si="10"/>
        <v>-204900</v>
      </c>
      <c r="H281" s="79" t="s">
        <v>1935</v>
      </c>
    </row>
    <row r="282" spans="1:8" x14ac:dyDescent="0.25">
      <c r="A282" s="17">
        <v>42676</v>
      </c>
      <c r="B282" s="10" t="s">
        <v>38</v>
      </c>
      <c r="C282" s="11" t="s">
        <v>180</v>
      </c>
      <c r="F282" s="9">
        <v>37412</v>
      </c>
      <c r="G282" s="6">
        <f t="shared" si="10"/>
        <v>-37412</v>
      </c>
      <c r="H282" s="80"/>
    </row>
    <row r="283" spans="1:8" x14ac:dyDescent="0.25">
      <c r="A283" s="17">
        <v>42665</v>
      </c>
      <c r="B283" s="10" t="s">
        <v>1399</v>
      </c>
      <c r="C283" s="11" t="s">
        <v>164</v>
      </c>
      <c r="E283" s="8">
        <v>255</v>
      </c>
      <c r="G283" s="6">
        <f t="shared" si="10"/>
        <v>255</v>
      </c>
    </row>
    <row r="284" spans="1:8" x14ac:dyDescent="0.25">
      <c r="A284" s="17">
        <v>42665</v>
      </c>
      <c r="B284" s="10" t="s">
        <v>1399</v>
      </c>
      <c r="C284" s="11" t="s">
        <v>164</v>
      </c>
      <c r="E284" s="8">
        <v>6362</v>
      </c>
      <c r="G284" s="6">
        <f t="shared" si="10"/>
        <v>6362</v>
      </c>
    </row>
    <row r="285" spans="1:8" x14ac:dyDescent="0.25">
      <c r="A285" s="17">
        <v>42669</v>
      </c>
      <c r="B285" s="10" t="s">
        <v>1399</v>
      </c>
      <c r="C285" s="11" t="s">
        <v>169</v>
      </c>
      <c r="E285" s="8">
        <v>5000</v>
      </c>
      <c r="G285" s="6">
        <f t="shared" si="10"/>
        <v>5000</v>
      </c>
    </row>
    <row r="286" spans="1:8" x14ac:dyDescent="0.25">
      <c r="A286" s="17">
        <v>42672</v>
      </c>
      <c r="B286" s="10" t="s">
        <v>1397</v>
      </c>
      <c r="C286" s="11" t="s">
        <v>164</v>
      </c>
      <c r="E286" s="8">
        <v>21498</v>
      </c>
      <c r="G286" s="6">
        <f t="shared" si="10"/>
        <v>21498</v>
      </c>
    </row>
    <row r="287" spans="1:8" x14ac:dyDescent="0.25">
      <c r="A287" s="17">
        <v>42670</v>
      </c>
      <c r="B287" s="10" t="s">
        <v>1397</v>
      </c>
      <c r="C287" s="11" t="s">
        <v>164</v>
      </c>
      <c r="E287" s="8">
        <v>3425</v>
      </c>
      <c r="G287" s="6">
        <f t="shared" si="10"/>
        <v>3425</v>
      </c>
    </row>
    <row r="288" spans="1:8" x14ac:dyDescent="0.25">
      <c r="A288" s="17">
        <v>42671</v>
      </c>
      <c r="B288" s="10" t="s">
        <v>1397</v>
      </c>
      <c r="C288" s="11" t="s">
        <v>164</v>
      </c>
      <c r="E288" s="8">
        <v>2772</v>
      </c>
      <c r="G288" s="6">
        <f t="shared" si="10"/>
        <v>2772</v>
      </c>
    </row>
    <row r="289" spans="1:8" x14ac:dyDescent="0.25">
      <c r="A289" s="17">
        <v>42677</v>
      </c>
      <c r="B289" s="10" t="s">
        <v>1397</v>
      </c>
      <c r="C289" s="11" t="s">
        <v>164</v>
      </c>
      <c r="F289" s="9">
        <v>300000</v>
      </c>
      <c r="G289" s="6">
        <f t="shared" si="10"/>
        <v>-300000</v>
      </c>
      <c r="H289" s="31" t="s">
        <v>1661</v>
      </c>
    </row>
    <row r="290" spans="1:8" x14ac:dyDescent="0.25">
      <c r="A290" s="17">
        <v>42685</v>
      </c>
      <c r="B290" s="10" t="s">
        <v>40</v>
      </c>
      <c r="C290" s="11" t="s">
        <v>169</v>
      </c>
      <c r="D290" s="768">
        <v>143</v>
      </c>
      <c r="E290" s="8">
        <v>4139</v>
      </c>
      <c r="G290" s="6">
        <f t="shared" si="10"/>
        <v>4139</v>
      </c>
    </row>
    <row r="291" spans="1:8" x14ac:dyDescent="0.25">
      <c r="A291" s="17">
        <v>42688</v>
      </c>
      <c r="B291" s="10" t="s">
        <v>1493</v>
      </c>
      <c r="C291" s="11" t="s">
        <v>169</v>
      </c>
      <c r="D291" s="768">
        <v>146</v>
      </c>
      <c r="E291" s="8">
        <v>13000</v>
      </c>
      <c r="G291" s="6">
        <f t="shared" si="10"/>
        <v>13000</v>
      </c>
    </row>
    <row r="292" spans="1:8" x14ac:dyDescent="0.25">
      <c r="A292" s="17">
        <v>42671</v>
      </c>
      <c r="B292" s="10" t="s">
        <v>1397</v>
      </c>
      <c r="C292" s="11" t="s">
        <v>161</v>
      </c>
      <c r="D292" s="768">
        <v>341</v>
      </c>
      <c r="E292" s="8">
        <v>127293</v>
      </c>
      <c r="G292" s="6">
        <f t="shared" si="10"/>
        <v>127293</v>
      </c>
    </row>
    <row r="293" spans="1:8" x14ac:dyDescent="0.25">
      <c r="A293" s="17">
        <v>42671</v>
      </c>
      <c r="B293" s="10" t="s">
        <v>40</v>
      </c>
      <c r="C293" s="11" t="s">
        <v>164</v>
      </c>
      <c r="D293" s="768">
        <v>1617</v>
      </c>
      <c r="E293" s="8">
        <v>2066</v>
      </c>
      <c r="G293" s="6">
        <f t="shared" si="10"/>
        <v>2066</v>
      </c>
    </row>
    <row r="294" spans="1:8" x14ac:dyDescent="0.25">
      <c r="A294" s="17">
        <v>42671</v>
      </c>
      <c r="B294" s="10" t="s">
        <v>1397</v>
      </c>
      <c r="C294" s="11" t="s">
        <v>164</v>
      </c>
      <c r="D294" s="768">
        <v>1617</v>
      </c>
      <c r="E294" s="8">
        <v>2673</v>
      </c>
      <c r="G294" s="6">
        <f t="shared" si="10"/>
        <v>2673</v>
      </c>
    </row>
    <row r="295" spans="1:8" x14ac:dyDescent="0.25">
      <c r="A295" s="17">
        <v>42678</v>
      </c>
      <c r="B295" s="10" t="s">
        <v>40</v>
      </c>
      <c r="C295" s="11" t="s">
        <v>161</v>
      </c>
      <c r="D295" s="768">
        <v>371</v>
      </c>
      <c r="E295" s="8">
        <v>27403</v>
      </c>
      <c r="G295" s="6">
        <f t="shared" si="10"/>
        <v>27403</v>
      </c>
    </row>
    <row r="296" spans="1:8" x14ac:dyDescent="0.25">
      <c r="A296" s="17">
        <v>42683</v>
      </c>
      <c r="B296" s="10" t="s">
        <v>1397</v>
      </c>
      <c r="C296" s="11" t="s">
        <v>161</v>
      </c>
      <c r="D296" s="768">
        <v>385</v>
      </c>
      <c r="E296" s="8">
        <v>2912</v>
      </c>
      <c r="G296" s="6">
        <f t="shared" si="10"/>
        <v>2912</v>
      </c>
    </row>
    <row r="297" spans="1:8" x14ac:dyDescent="0.25">
      <c r="A297" s="17">
        <v>42684</v>
      </c>
      <c r="B297" s="10" t="s">
        <v>963</v>
      </c>
      <c r="C297" s="11" t="s">
        <v>161</v>
      </c>
      <c r="D297" s="768">
        <v>393</v>
      </c>
      <c r="E297" s="8">
        <v>36992</v>
      </c>
      <c r="G297" s="6">
        <f t="shared" si="10"/>
        <v>36992</v>
      </c>
    </row>
    <row r="298" spans="1:8" x14ac:dyDescent="0.25">
      <c r="A298" s="17">
        <v>42690</v>
      </c>
      <c r="B298" s="10" t="s">
        <v>1397</v>
      </c>
      <c r="C298" s="11" t="s">
        <v>164</v>
      </c>
      <c r="E298" s="8">
        <v>188041</v>
      </c>
      <c r="G298" s="6">
        <f>E298-F298</f>
        <v>188041</v>
      </c>
    </row>
    <row r="299" spans="1:8" x14ac:dyDescent="0.25">
      <c r="A299" s="17">
        <v>42678</v>
      </c>
      <c r="B299" s="10" t="s">
        <v>1493</v>
      </c>
      <c r="C299" s="11" t="s">
        <v>166</v>
      </c>
      <c r="D299" s="768">
        <v>8227</v>
      </c>
      <c r="E299" s="8">
        <v>37550</v>
      </c>
      <c r="F299" s="9">
        <v>70</v>
      </c>
      <c r="G299" s="6">
        <f t="shared" si="10"/>
        <v>37480</v>
      </c>
    </row>
    <row r="300" spans="1:8" x14ac:dyDescent="0.25">
      <c r="A300" s="17">
        <v>42679</v>
      </c>
      <c r="B300" s="10" t="s">
        <v>963</v>
      </c>
      <c r="C300" s="11" t="s">
        <v>166</v>
      </c>
      <c r="D300" s="768">
        <v>8232</v>
      </c>
      <c r="E300" s="8">
        <v>18750</v>
      </c>
      <c r="G300" s="6">
        <f t="shared" si="10"/>
        <v>18750</v>
      </c>
    </row>
    <row r="301" spans="1:8" x14ac:dyDescent="0.25">
      <c r="A301" s="17">
        <v>42691</v>
      </c>
      <c r="B301" s="10" t="s">
        <v>1397</v>
      </c>
      <c r="C301" s="11" t="s">
        <v>166</v>
      </c>
      <c r="D301" s="768">
        <v>8294</v>
      </c>
      <c r="E301" s="8">
        <v>29550</v>
      </c>
      <c r="G301" s="6">
        <f t="shared" si="10"/>
        <v>29550</v>
      </c>
    </row>
    <row r="302" spans="1:8" x14ac:dyDescent="0.25">
      <c r="A302" s="17">
        <v>42691</v>
      </c>
      <c r="B302" s="10" t="s">
        <v>1399</v>
      </c>
      <c r="C302" s="11" t="s">
        <v>166</v>
      </c>
      <c r="D302" s="768">
        <v>8295</v>
      </c>
      <c r="E302" s="8">
        <v>10150</v>
      </c>
      <c r="G302" s="6">
        <f t="shared" si="10"/>
        <v>10150</v>
      </c>
    </row>
    <row r="303" spans="1:8" x14ac:dyDescent="0.25">
      <c r="A303" s="17">
        <v>42697</v>
      </c>
      <c r="B303" s="10" t="s">
        <v>1493</v>
      </c>
      <c r="C303" s="11" t="s">
        <v>166</v>
      </c>
      <c r="D303" s="768">
        <v>8337</v>
      </c>
      <c r="E303" s="8">
        <v>16650</v>
      </c>
      <c r="G303" s="6">
        <f t="shared" si="10"/>
        <v>16650</v>
      </c>
    </row>
    <row r="304" spans="1:8" x14ac:dyDescent="0.25">
      <c r="A304" s="17">
        <v>42697</v>
      </c>
      <c r="B304" s="10" t="s">
        <v>40</v>
      </c>
      <c r="C304" s="11" t="s">
        <v>166</v>
      </c>
      <c r="D304" s="768">
        <v>8333</v>
      </c>
      <c r="E304" s="8">
        <v>3950</v>
      </c>
      <c r="G304" s="6">
        <f t="shared" si="10"/>
        <v>3950</v>
      </c>
    </row>
    <row r="305" spans="1:8" x14ac:dyDescent="0.25">
      <c r="A305" s="17">
        <v>42697</v>
      </c>
      <c r="B305" s="10" t="s">
        <v>1399</v>
      </c>
      <c r="C305" s="11" t="s">
        <v>166</v>
      </c>
      <c r="D305" s="768">
        <v>8343</v>
      </c>
      <c r="E305" s="8">
        <v>3950</v>
      </c>
      <c r="G305" s="6">
        <f t="shared" si="10"/>
        <v>3950</v>
      </c>
    </row>
    <row r="306" spans="1:8" x14ac:dyDescent="0.25">
      <c r="A306" s="17">
        <v>42697</v>
      </c>
      <c r="B306" s="10" t="s">
        <v>1400</v>
      </c>
      <c r="C306" s="11" t="s">
        <v>1815</v>
      </c>
      <c r="D306" s="768">
        <v>282</v>
      </c>
      <c r="E306" s="8">
        <v>625598</v>
      </c>
      <c r="G306" s="6">
        <f t="shared" si="10"/>
        <v>625598</v>
      </c>
    </row>
    <row r="307" spans="1:8" x14ac:dyDescent="0.25">
      <c r="A307" s="17">
        <v>42697</v>
      </c>
      <c r="B307" s="10" t="s">
        <v>1397</v>
      </c>
      <c r="C307" s="11" t="s">
        <v>166</v>
      </c>
      <c r="D307" s="768">
        <v>8349</v>
      </c>
      <c r="E307" s="8">
        <v>13550</v>
      </c>
      <c r="G307" s="6">
        <f t="shared" si="10"/>
        <v>13550</v>
      </c>
    </row>
    <row r="308" spans="1:8" x14ac:dyDescent="0.25">
      <c r="A308" s="17">
        <v>42703</v>
      </c>
      <c r="B308" s="10" t="s">
        <v>154</v>
      </c>
      <c r="C308" s="11" t="s">
        <v>166</v>
      </c>
      <c r="F308" s="9">
        <v>109590</v>
      </c>
      <c r="G308" s="6">
        <f t="shared" si="10"/>
        <v>-109590</v>
      </c>
    </row>
    <row r="309" spans="1:8" x14ac:dyDescent="0.25">
      <c r="A309" s="17">
        <v>42703</v>
      </c>
      <c r="B309" s="10" t="s">
        <v>1203</v>
      </c>
      <c r="C309" s="11" t="s">
        <v>166</v>
      </c>
      <c r="F309" s="9">
        <v>34350</v>
      </c>
      <c r="G309" s="6">
        <f t="shared" si="10"/>
        <v>-34350</v>
      </c>
    </row>
    <row r="310" spans="1:8" x14ac:dyDescent="0.25">
      <c r="A310" s="17">
        <v>42703</v>
      </c>
      <c r="B310" s="10" t="s">
        <v>963</v>
      </c>
      <c r="C310" s="11" t="s">
        <v>166</v>
      </c>
      <c r="F310" s="9">
        <v>31500</v>
      </c>
      <c r="G310" s="6">
        <f t="shared" si="10"/>
        <v>-31500</v>
      </c>
    </row>
    <row r="311" spans="1:8" x14ac:dyDescent="0.25">
      <c r="A311" s="17">
        <v>42703</v>
      </c>
      <c r="B311" s="10" t="s">
        <v>1399</v>
      </c>
      <c r="C311" s="11" t="s">
        <v>166</v>
      </c>
      <c r="F311" s="9">
        <v>24450</v>
      </c>
      <c r="G311" s="6">
        <f t="shared" si="10"/>
        <v>-24450</v>
      </c>
    </row>
    <row r="312" spans="1:8" x14ac:dyDescent="0.25">
      <c r="A312" s="17">
        <v>42703</v>
      </c>
      <c r="B312" s="10" t="s">
        <v>40</v>
      </c>
      <c r="C312" s="11" t="s">
        <v>166</v>
      </c>
      <c r="F312" s="9">
        <v>110</v>
      </c>
      <c r="G312" s="6">
        <f t="shared" si="10"/>
        <v>-110</v>
      </c>
    </row>
    <row r="313" spans="1:8" x14ac:dyDescent="0.25">
      <c r="A313" s="17">
        <v>42711</v>
      </c>
      <c r="B313" s="10" t="s">
        <v>1805</v>
      </c>
      <c r="C313" s="11" t="s">
        <v>166</v>
      </c>
      <c r="D313" s="768">
        <v>8394</v>
      </c>
      <c r="E313" s="8">
        <v>22400</v>
      </c>
      <c r="G313" s="6">
        <f t="shared" ref="G313:G488" si="11">E313-F313</f>
        <v>22400</v>
      </c>
    </row>
    <row r="314" spans="1:8" x14ac:dyDescent="0.25">
      <c r="A314" s="17">
        <v>42711</v>
      </c>
      <c r="B314" s="10" t="s">
        <v>1493</v>
      </c>
      <c r="C314" s="11" t="s">
        <v>166</v>
      </c>
      <c r="D314" s="768">
        <v>8397</v>
      </c>
      <c r="E314" s="8">
        <v>8550</v>
      </c>
      <c r="G314" s="6">
        <f t="shared" si="11"/>
        <v>8550</v>
      </c>
    </row>
    <row r="315" spans="1:8" x14ac:dyDescent="0.25">
      <c r="A315" s="17">
        <v>42712</v>
      </c>
      <c r="B315" s="10" t="s">
        <v>1400</v>
      </c>
      <c r="C315" s="11" t="s">
        <v>1815</v>
      </c>
      <c r="F315" s="9">
        <v>500000</v>
      </c>
      <c r="G315" s="6">
        <f t="shared" si="11"/>
        <v>-500000</v>
      </c>
      <c r="H315" s="31" t="s">
        <v>2134</v>
      </c>
    </row>
    <row r="316" spans="1:8" x14ac:dyDescent="0.25">
      <c r="A316" s="17">
        <v>42625</v>
      </c>
      <c r="B316" s="10" t="s">
        <v>1807</v>
      </c>
      <c r="C316" s="11" t="s">
        <v>169</v>
      </c>
      <c r="D316" s="768">
        <v>166</v>
      </c>
      <c r="E316" s="8">
        <v>4800</v>
      </c>
      <c r="G316" s="6">
        <f t="shared" si="11"/>
        <v>4800</v>
      </c>
    </row>
    <row r="317" spans="1:8" x14ac:dyDescent="0.25">
      <c r="A317" s="17">
        <v>42625</v>
      </c>
      <c r="B317" s="10" t="s">
        <v>82</v>
      </c>
      <c r="C317" s="11" t="s">
        <v>169</v>
      </c>
      <c r="D317" s="768">
        <v>167</v>
      </c>
      <c r="E317" s="8">
        <v>62500</v>
      </c>
      <c r="G317" s="6">
        <f t="shared" si="11"/>
        <v>62500</v>
      </c>
    </row>
    <row r="318" spans="1:8" x14ac:dyDescent="0.25">
      <c r="A318" s="17">
        <v>42718</v>
      </c>
      <c r="B318" s="10" t="s">
        <v>40</v>
      </c>
      <c r="C318" s="11" t="s">
        <v>166</v>
      </c>
      <c r="F318" s="106">
        <v>52616</v>
      </c>
      <c r="G318" s="6">
        <f t="shared" si="11"/>
        <v>-52616</v>
      </c>
      <c r="H318" s="78"/>
    </row>
    <row r="319" spans="1:8" x14ac:dyDescent="0.25">
      <c r="A319" s="17">
        <v>42718</v>
      </c>
      <c r="B319" s="10" t="s">
        <v>769</v>
      </c>
      <c r="C319" s="11" t="s">
        <v>166</v>
      </c>
      <c r="F319" s="106">
        <v>58518</v>
      </c>
      <c r="G319" s="6">
        <f t="shared" si="11"/>
        <v>-58518</v>
      </c>
      <c r="H319" s="79" t="s">
        <v>1824</v>
      </c>
    </row>
    <row r="320" spans="1:8" x14ac:dyDescent="0.25">
      <c r="A320" s="17">
        <v>42718</v>
      </c>
      <c r="B320" s="10" t="s">
        <v>1805</v>
      </c>
      <c r="C320" s="11" t="s">
        <v>166</v>
      </c>
      <c r="F320" s="106">
        <v>22400</v>
      </c>
      <c r="G320" s="6">
        <f t="shared" si="11"/>
        <v>-22400</v>
      </c>
      <c r="H320" s="79" t="s">
        <v>1822</v>
      </c>
    </row>
    <row r="321" spans="1:8" x14ac:dyDescent="0.25">
      <c r="A321" s="17">
        <v>42718</v>
      </c>
      <c r="B321" s="10" t="s">
        <v>1493</v>
      </c>
      <c r="C321" s="11" t="s">
        <v>166</v>
      </c>
      <c r="F321" s="106">
        <v>30000</v>
      </c>
      <c r="G321" s="6">
        <f t="shared" si="11"/>
        <v>-30000</v>
      </c>
      <c r="H321" s="79" t="s">
        <v>1823</v>
      </c>
    </row>
    <row r="322" spans="1:8" x14ac:dyDescent="0.25">
      <c r="A322" s="17">
        <v>42718</v>
      </c>
      <c r="B322" s="10" t="s">
        <v>1397</v>
      </c>
      <c r="C322" s="11" t="s">
        <v>166</v>
      </c>
      <c r="F322" s="106">
        <v>20000</v>
      </c>
      <c r="G322" s="6">
        <f t="shared" si="11"/>
        <v>-20000</v>
      </c>
      <c r="H322" s="79"/>
    </row>
    <row r="323" spans="1:8" x14ac:dyDescent="0.25">
      <c r="A323" s="17">
        <v>42718</v>
      </c>
      <c r="B323" s="10" t="s">
        <v>1215</v>
      </c>
      <c r="C323" s="11" t="s">
        <v>166</v>
      </c>
      <c r="F323" s="106">
        <v>16466</v>
      </c>
      <c r="G323" s="6">
        <f t="shared" si="11"/>
        <v>-16466</v>
      </c>
      <c r="H323" s="80"/>
    </row>
    <row r="324" spans="1:8" x14ac:dyDescent="0.25">
      <c r="A324" s="17">
        <v>42721</v>
      </c>
      <c r="B324" s="10" t="s">
        <v>82</v>
      </c>
      <c r="C324" s="11" t="s">
        <v>169</v>
      </c>
      <c r="F324" s="9">
        <v>62500</v>
      </c>
      <c r="G324" s="6">
        <f t="shared" si="11"/>
        <v>-62500</v>
      </c>
      <c r="H324" s="31" t="s">
        <v>1835</v>
      </c>
    </row>
    <row r="325" spans="1:8" x14ac:dyDescent="0.25">
      <c r="A325" s="17">
        <v>42709</v>
      </c>
      <c r="B325" s="10" t="s">
        <v>1397</v>
      </c>
      <c r="C325" s="11" t="s">
        <v>164</v>
      </c>
      <c r="D325" s="768">
        <v>2497</v>
      </c>
      <c r="E325" s="8">
        <v>15015</v>
      </c>
      <c r="G325" s="6">
        <f t="shared" si="11"/>
        <v>15015</v>
      </c>
    </row>
    <row r="326" spans="1:8" x14ac:dyDescent="0.25">
      <c r="A326" s="17">
        <v>42713</v>
      </c>
      <c r="B326" s="10" t="s">
        <v>1397</v>
      </c>
      <c r="C326" s="11" t="s">
        <v>164</v>
      </c>
      <c r="D326" s="768">
        <v>2594</v>
      </c>
      <c r="E326" s="8">
        <v>1646</v>
      </c>
      <c r="G326" s="6">
        <f t="shared" si="11"/>
        <v>1646</v>
      </c>
    </row>
    <row r="327" spans="1:8" x14ac:dyDescent="0.25">
      <c r="A327" s="17">
        <v>42713</v>
      </c>
      <c r="B327" s="10" t="s">
        <v>1397</v>
      </c>
      <c r="C327" s="11" t="s">
        <v>164</v>
      </c>
      <c r="F327" s="9">
        <v>500000</v>
      </c>
      <c r="G327" s="6">
        <f t="shared" si="11"/>
        <v>-500000</v>
      </c>
      <c r="H327" s="31" t="s">
        <v>1677</v>
      </c>
    </row>
    <row r="328" spans="1:8" x14ac:dyDescent="0.25">
      <c r="A328" s="17">
        <v>42723</v>
      </c>
      <c r="B328" s="10" t="s">
        <v>1397</v>
      </c>
      <c r="C328" s="11" t="s">
        <v>164</v>
      </c>
      <c r="D328" s="768">
        <v>2770</v>
      </c>
      <c r="E328" s="8">
        <v>121</v>
      </c>
      <c r="G328" s="6">
        <f t="shared" si="11"/>
        <v>121</v>
      </c>
    </row>
    <row r="329" spans="1:8" x14ac:dyDescent="0.25">
      <c r="A329" s="17">
        <v>42721</v>
      </c>
      <c r="B329" s="10" t="s">
        <v>1397</v>
      </c>
      <c r="C329" s="11" t="s">
        <v>164</v>
      </c>
      <c r="D329" s="768">
        <v>2746</v>
      </c>
      <c r="E329" s="8">
        <v>281</v>
      </c>
      <c r="G329" s="6">
        <f t="shared" si="11"/>
        <v>281</v>
      </c>
    </row>
    <row r="330" spans="1:8" x14ac:dyDescent="0.25">
      <c r="A330" s="17">
        <v>42724</v>
      </c>
      <c r="B330" s="10" t="s">
        <v>1397</v>
      </c>
      <c r="C330" s="11" t="s">
        <v>164</v>
      </c>
      <c r="D330" s="768">
        <v>2803</v>
      </c>
      <c r="E330" s="8">
        <v>13067</v>
      </c>
      <c r="G330" s="6">
        <f t="shared" si="11"/>
        <v>13067</v>
      </c>
    </row>
    <row r="331" spans="1:8" x14ac:dyDescent="0.25">
      <c r="A331" s="17">
        <v>42731</v>
      </c>
      <c r="B331" s="10" t="s">
        <v>1397</v>
      </c>
      <c r="C331" s="11" t="s">
        <v>164</v>
      </c>
      <c r="D331" s="768">
        <v>2730</v>
      </c>
      <c r="E331" s="8">
        <v>281</v>
      </c>
      <c r="G331" s="6">
        <f t="shared" si="11"/>
        <v>281</v>
      </c>
    </row>
    <row r="332" spans="1:8" x14ac:dyDescent="0.25">
      <c r="A332" s="17">
        <v>42728</v>
      </c>
      <c r="B332" s="10" t="s">
        <v>40</v>
      </c>
      <c r="C332" s="11" t="s">
        <v>161</v>
      </c>
      <c r="D332" s="768">
        <v>430</v>
      </c>
      <c r="E332" s="8">
        <v>15578</v>
      </c>
      <c r="G332" s="6">
        <f t="shared" si="11"/>
        <v>15578</v>
      </c>
    </row>
    <row r="333" spans="1:8" x14ac:dyDescent="0.25">
      <c r="A333" s="17">
        <v>42707</v>
      </c>
      <c r="B333" s="10" t="s">
        <v>1493</v>
      </c>
      <c r="C333" s="11" t="s">
        <v>166</v>
      </c>
      <c r="D333" s="768">
        <v>8378</v>
      </c>
      <c r="E333" s="8">
        <v>16750</v>
      </c>
      <c r="G333" s="6">
        <f t="shared" si="11"/>
        <v>16750</v>
      </c>
    </row>
    <row r="334" spans="1:8" x14ac:dyDescent="0.25">
      <c r="A334" s="17">
        <v>42728</v>
      </c>
      <c r="B334" s="10" t="s">
        <v>1805</v>
      </c>
      <c r="C334" s="11" t="s">
        <v>166</v>
      </c>
      <c r="D334" s="768">
        <v>8435</v>
      </c>
      <c r="E334" s="8">
        <v>31050</v>
      </c>
      <c r="G334" s="6">
        <f t="shared" si="11"/>
        <v>31050</v>
      </c>
    </row>
    <row r="335" spans="1:8" x14ac:dyDescent="0.25">
      <c r="A335" s="17">
        <v>42728</v>
      </c>
      <c r="B335" s="10" t="s">
        <v>1215</v>
      </c>
      <c r="C335" s="11" t="s">
        <v>166</v>
      </c>
      <c r="D335" s="768">
        <v>8519</v>
      </c>
      <c r="E335" s="8">
        <v>65200</v>
      </c>
      <c r="G335" s="6">
        <f t="shared" si="11"/>
        <v>65200</v>
      </c>
    </row>
    <row r="336" spans="1:8" x14ac:dyDescent="0.25">
      <c r="A336" s="17">
        <v>42738</v>
      </c>
      <c r="B336" s="10" t="s">
        <v>1400</v>
      </c>
      <c r="C336" s="11" t="s">
        <v>1815</v>
      </c>
      <c r="D336" s="768">
        <v>310</v>
      </c>
      <c r="E336" s="8">
        <v>64607</v>
      </c>
      <c r="G336" s="6">
        <f t="shared" si="11"/>
        <v>64607</v>
      </c>
    </row>
    <row r="337" spans="1:8" x14ac:dyDescent="0.25">
      <c r="A337" s="17">
        <v>42741</v>
      </c>
      <c r="B337" s="10" t="s">
        <v>40</v>
      </c>
      <c r="C337" s="11" t="s">
        <v>161</v>
      </c>
      <c r="D337" s="768">
        <v>527</v>
      </c>
      <c r="E337" s="8">
        <v>6960</v>
      </c>
      <c r="G337" s="6">
        <f t="shared" si="11"/>
        <v>6960</v>
      </c>
    </row>
    <row r="338" spans="1:8" x14ac:dyDescent="0.25">
      <c r="A338" s="17">
        <v>42741</v>
      </c>
      <c r="B338" s="10" t="s">
        <v>963</v>
      </c>
      <c r="C338" s="11" t="s">
        <v>166</v>
      </c>
      <c r="D338" s="768">
        <v>527</v>
      </c>
      <c r="E338" s="8">
        <v>2000</v>
      </c>
      <c r="G338" s="6">
        <f t="shared" si="11"/>
        <v>2000</v>
      </c>
    </row>
    <row r="339" spans="1:8" x14ac:dyDescent="0.25">
      <c r="A339" s="17">
        <v>42741</v>
      </c>
      <c r="B339" s="10" t="s">
        <v>1400</v>
      </c>
      <c r="C339" s="11" t="s">
        <v>1815</v>
      </c>
      <c r="D339" s="768">
        <v>313</v>
      </c>
      <c r="E339" s="8">
        <v>41277</v>
      </c>
      <c r="G339" s="6">
        <f t="shared" si="11"/>
        <v>41277</v>
      </c>
    </row>
    <row r="340" spans="1:8" x14ac:dyDescent="0.25">
      <c r="A340" s="17">
        <v>42745</v>
      </c>
      <c r="B340" s="10" t="s">
        <v>1400</v>
      </c>
      <c r="C340" s="11" t="s">
        <v>1815</v>
      </c>
      <c r="D340" s="768">
        <v>317</v>
      </c>
      <c r="E340" s="8">
        <v>16023</v>
      </c>
      <c r="G340" s="6">
        <f t="shared" si="11"/>
        <v>16023</v>
      </c>
    </row>
    <row r="341" spans="1:8" x14ac:dyDescent="0.25">
      <c r="A341" s="17">
        <v>42747</v>
      </c>
      <c r="B341" s="10" t="s">
        <v>1400</v>
      </c>
      <c r="C341" s="11" t="s">
        <v>1815</v>
      </c>
      <c r="D341" s="768">
        <v>320</v>
      </c>
      <c r="E341" s="8">
        <v>4400</v>
      </c>
      <c r="G341" s="6">
        <f t="shared" si="11"/>
        <v>4400</v>
      </c>
    </row>
    <row r="342" spans="1:8" x14ac:dyDescent="0.25">
      <c r="A342" s="17">
        <v>42718</v>
      </c>
      <c r="B342" s="10" t="s">
        <v>1397</v>
      </c>
      <c r="C342" s="11" t="s">
        <v>169</v>
      </c>
      <c r="D342" s="768">
        <v>173</v>
      </c>
      <c r="E342" s="8">
        <v>6820</v>
      </c>
      <c r="G342" s="6">
        <f t="shared" si="11"/>
        <v>6820</v>
      </c>
    </row>
    <row r="343" spans="1:8" x14ac:dyDescent="0.25">
      <c r="A343" s="17">
        <v>42723</v>
      </c>
      <c r="B343" s="10" t="s">
        <v>40</v>
      </c>
      <c r="C343" s="11" t="s">
        <v>169</v>
      </c>
      <c r="D343" s="768">
        <v>184</v>
      </c>
      <c r="E343" s="8">
        <v>8338</v>
      </c>
      <c r="G343" s="6">
        <f t="shared" si="11"/>
        <v>8338</v>
      </c>
    </row>
    <row r="344" spans="1:8" x14ac:dyDescent="0.25">
      <c r="A344" s="17">
        <v>42739</v>
      </c>
      <c r="B344" s="10" t="s">
        <v>1215</v>
      </c>
      <c r="C344" s="11" t="s">
        <v>169</v>
      </c>
      <c r="D344" s="768">
        <v>198</v>
      </c>
      <c r="E344" s="8">
        <v>9600</v>
      </c>
      <c r="G344" s="6">
        <f t="shared" si="11"/>
        <v>9600</v>
      </c>
    </row>
    <row r="345" spans="1:8" x14ac:dyDescent="0.25">
      <c r="A345" s="17">
        <v>42746</v>
      </c>
      <c r="B345" s="10" t="s">
        <v>40</v>
      </c>
      <c r="C345" s="11" t="s">
        <v>169</v>
      </c>
      <c r="D345" s="768">
        <v>208</v>
      </c>
      <c r="E345" s="8">
        <v>18880</v>
      </c>
      <c r="G345" s="6">
        <f t="shared" si="11"/>
        <v>18880</v>
      </c>
    </row>
    <row r="346" spans="1:8" x14ac:dyDescent="0.25">
      <c r="A346" s="17">
        <v>42739</v>
      </c>
      <c r="B346" s="10" t="s">
        <v>40</v>
      </c>
      <c r="C346" s="11" t="s">
        <v>161</v>
      </c>
      <c r="D346" s="768">
        <v>545</v>
      </c>
      <c r="E346" s="8">
        <v>4156</v>
      </c>
      <c r="G346" s="6">
        <f t="shared" si="11"/>
        <v>4156</v>
      </c>
    </row>
    <row r="347" spans="1:8" x14ac:dyDescent="0.25">
      <c r="A347" s="17">
        <v>42739</v>
      </c>
      <c r="B347" s="10" t="s">
        <v>963</v>
      </c>
      <c r="C347" s="11" t="s">
        <v>161</v>
      </c>
      <c r="D347" s="768">
        <v>545</v>
      </c>
      <c r="E347" s="8">
        <v>13000</v>
      </c>
      <c r="G347" s="6">
        <f t="shared" si="11"/>
        <v>13000</v>
      </c>
    </row>
    <row r="348" spans="1:8" x14ac:dyDescent="0.25">
      <c r="A348" s="17">
        <v>42726</v>
      </c>
      <c r="B348" s="10" t="s">
        <v>40</v>
      </c>
      <c r="C348" s="11" t="s">
        <v>164</v>
      </c>
      <c r="D348" s="768">
        <v>2854</v>
      </c>
      <c r="E348" s="8">
        <v>5460</v>
      </c>
      <c r="G348" s="6">
        <f t="shared" si="11"/>
        <v>5460</v>
      </c>
    </row>
    <row r="349" spans="1:8" x14ac:dyDescent="0.25">
      <c r="A349" s="17">
        <v>42731</v>
      </c>
      <c r="B349" s="10" t="s">
        <v>1397</v>
      </c>
      <c r="C349" s="11" t="s">
        <v>164</v>
      </c>
      <c r="D349" s="768">
        <v>2957</v>
      </c>
      <c r="E349" s="8">
        <v>7480</v>
      </c>
      <c r="G349" s="6">
        <f t="shared" si="11"/>
        <v>7480</v>
      </c>
    </row>
    <row r="350" spans="1:8" x14ac:dyDescent="0.25">
      <c r="A350" s="17">
        <v>42738</v>
      </c>
      <c r="B350" s="10" t="s">
        <v>1399</v>
      </c>
      <c r="C350" s="11" t="s">
        <v>164</v>
      </c>
      <c r="D350" s="768">
        <v>3086</v>
      </c>
      <c r="E350" s="8">
        <v>1067</v>
      </c>
      <c r="G350" s="6">
        <f t="shared" si="11"/>
        <v>1067</v>
      </c>
    </row>
    <row r="351" spans="1:8" x14ac:dyDescent="0.25">
      <c r="A351" s="17">
        <v>42738</v>
      </c>
      <c r="B351" s="10" t="s">
        <v>40</v>
      </c>
      <c r="C351" s="11" t="s">
        <v>164</v>
      </c>
      <c r="D351" s="768">
        <v>3087</v>
      </c>
      <c r="E351" s="109">
        <v>3797</v>
      </c>
      <c r="F351" s="214"/>
      <c r="G351" s="6">
        <f t="shared" ref="G351" si="12">E351-F351</f>
        <v>3797</v>
      </c>
    </row>
    <row r="352" spans="1:8" x14ac:dyDescent="0.25">
      <c r="A352" s="17">
        <v>42759</v>
      </c>
      <c r="B352" s="10" t="s">
        <v>1087</v>
      </c>
      <c r="C352" s="11" t="s">
        <v>161</v>
      </c>
      <c r="E352" s="109"/>
      <c r="F352" s="110">
        <v>11240</v>
      </c>
      <c r="G352" s="6">
        <f t="shared" si="11"/>
        <v>-11240</v>
      </c>
      <c r="H352" s="78"/>
    </row>
    <row r="353" spans="1:8" x14ac:dyDescent="0.25">
      <c r="A353" s="17">
        <v>42759</v>
      </c>
      <c r="B353" s="10" t="s">
        <v>38</v>
      </c>
      <c r="C353" s="11" t="s">
        <v>161</v>
      </c>
      <c r="E353" s="109"/>
      <c r="F353" s="111">
        <v>9551</v>
      </c>
      <c r="G353" s="6">
        <f t="shared" si="11"/>
        <v>-9551</v>
      </c>
      <c r="H353" s="79" t="s">
        <v>2038</v>
      </c>
    </row>
    <row r="354" spans="1:8" x14ac:dyDescent="0.25">
      <c r="A354" s="17">
        <v>42759</v>
      </c>
      <c r="B354" s="10" t="s">
        <v>963</v>
      </c>
      <c r="C354" s="11" t="s">
        <v>161</v>
      </c>
      <c r="E354" s="109"/>
      <c r="F354" s="111">
        <v>49992</v>
      </c>
      <c r="G354" s="6">
        <f t="shared" si="11"/>
        <v>-49992</v>
      </c>
      <c r="H354" s="79" t="s">
        <v>2039</v>
      </c>
    </row>
    <row r="355" spans="1:8" x14ac:dyDescent="0.25">
      <c r="A355" s="17">
        <v>42759</v>
      </c>
      <c r="B355" s="10" t="s">
        <v>1397</v>
      </c>
      <c r="C355" s="11" t="s">
        <v>161</v>
      </c>
      <c r="E355" s="109"/>
      <c r="F355" s="111">
        <v>130205</v>
      </c>
      <c r="G355" s="6">
        <f t="shared" si="11"/>
        <v>-130205</v>
      </c>
      <c r="H355" s="79"/>
    </row>
    <row r="356" spans="1:8" x14ac:dyDescent="0.25">
      <c r="A356" s="17">
        <v>42759</v>
      </c>
      <c r="B356" s="10" t="s">
        <v>40</v>
      </c>
      <c r="C356" s="11" t="s">
        <v>161</v>
      </c>
      <c r="E356" s="109"/>
      <c r="F356" s="112">
        <v>99012</v>
      </c>
      <c r="G356" s="6">
        <f t="shared" si="11"/>
        <v>-99012</v>
      </c>
      <c r="H356" s="80"/>
    </row>
    <row r="357" spans="1:8" x14ac:dyDescent="0.25">
      <c r="A357" s="17">
        <v>42759</v>
      </c>
      <c r="B357" s="10" t="s">
        <v>1493</v>
      </c>
      <c r="C357" s="11" t="s">
        <v>166</v>
      </c>
      <c r="E357" s="109"/>
      <c r="F357" s="110">
        <v>70650</v>
      </c>
      <c r="G357" s="6">
        <f t="shared" si="11"/>
        <v>-70650</v>
      </c>
      <c r="H357" s="78"/>
    </row>
    <row r="358" spans="1:8" x14ac:dyDescent="0.25">
      <c r="A358" s="17">
        <v>42759</v>
      </c>
      <c r="B358" s="10" t="s">
        <v>963</v>
      </c>
      <c r="C358" s="11" t="s">
        <v>166</v>
      </c>
      <c r="E358" s="109"/>
      <c r="F358" s="111">
        <v>2000</v>
      </c>
      <c r="G358" s="6">
        <f t="shared" si="11"/>
        <v>-2000</v>
      </c>
      <c r="H358" s="79" t="s">
        <v>2040</v>
      </c>
    </row>
    <row r="359" spans="1:8" x14ac:dyDescent="0.25">
      <c r="A359" s="17">
        <v>42759</v>
      </c>
      <c r="B359" s="10" t="s">
        <v>1805</v>
      </c>
      <c r="C359" s="11" t="s">
        <v>166</v>
      </c>
      <c r="E359" s="109"/>
      <c r="F359" s="111">
        <v>31050</v>
      </c>
      <c r="G359" s="6">
        <f t="shared" si="11"/>
        <v>-31050</v>
      </c>
      <c r="H359" s="79" t="s">
        <v>2039</v>
      </c>
    </row>
    <row r="360" spans="1:8" x14ac:dyDescent="0.25">
      <c r="A360" s="17">
        <v>42759</v>
      </c>
      <c r="B360" s="10" t="s">
        <v>1397</v>
      </c>
      <c r="C360" s="11" t="s">
        <v>166</v>
      </c>
      <c r="E360" s="109"/>
      <c r="F360" s="111">
        <v>96300</v>
      </c>
      <c r="G360" s="6">
        <f t="shared" si="11"/>
        <v>-96300</v>
      </c>
      <c r="H360" s="79"/>
    </row>
    <row r="361" spans="1:8" x14ac:dyDescent="0.25">
      <c r="A361" s="17">
        <v>42759</v>
      </c>
      <c r="B361" s="10" t="s">
        <v>1215</v>
      </c>
      <c r="C361" s="11" t="s">
        <v>166</v>
      </c>
      <c r="E361" s="109"/>
      <c r="F361" s="112">
        <v>100000</v>
      </c>
      <c r="G361" s="6">
        <f t="shared" si="11"/>
        <v>-100000</v>
      </c>
      <c r="H361" s="80"/>
    </row>
    <row r="362" spans="1:8" x14ac:dyDescent="0.25">
      <c r="A362" s="17">
        <v>42738</v>
      </c>
      <c r="B362" s="10" t="s">
        <v>1805</v>
      </c>
      <c r="C362" s="11" t="s">
        <v>166</v>
      </c>
      <c r="D362" s="768">
        <v>8534</v>
      </c>
      <c r="E362" s="8">
        <v>4575</v>
      </c>
      <c r="G362" s="6">
        <f t="shared" si="11"/>
        <v>4575</v>
      </c>
    </row>
    <row r="363" spans="1:8" x14ac:dyDescent="0.25">
      <c r="A363" s="17">
        <v>42739</v>
      </c>
      <c r="B363" s="10" t="s">
        <v>1805</v>
      </c>
      <c r="C363" s="11" t="s">
        <v>166</v>
      </c>
      <c r="D363" s="768">
        <v>8552</v>
      </c>
      <c r="E363" s="8">
        <v>9000</v>
      </c>
      <c r="G363" s="6">
        <f t="shared" si="11"/>
        <v>9000</v>
      </c>
    </row>
    <row r="364" spans="1:8" x14ac:dyDescent="0.25">
      <c r="A364" s="17">
        <v>42756</v>
      </c>
      <c r="B364" s="10" t="s">
        <v>1215</v>
      </c>
      <c r="C364" s="11" t="s">
        <v>166</v>
      </c>
      <c r="D364" s="768">
        <v>8662</v>
      </c>
      <c r="E364" s="8">
        <v>18860</v>
      </c>
      <c r="G364" s="6">
        <f t="shared" si="11"/>
        <v>18860</v>
      </c>
    </row>
    <row r="365" spans="1:8" x14ac:dyDescent="0.25">
      <c r="A365" s="17">
        <v>42758</v>
      </c>
      <c r="B365" s="10" t="s">
        <v>1805</v>
      </c>
      <c r="C365" s="11" t="s">
        <v>166</v>
      </c>
      <c r="D365" s="768">
        <v>8627</v>
      </c>
      <c r="E365" s="8">
        <v>5598</v>
      </c>
      <c r="G365" s="6">
        <f t="shared" si="11"/>
        <v>5598</v>
      </c>
    </row>
    <row r="366" spans="1:8" x14ac:dyDescent="0.25">
      <c r="A366" s="17">
        <v>42763</v>
      </c>
      <c r="B366" s="10" t="s">
        <v>1805</v>
      </c>
      <c r="C366" s="11" t="s">
        <v>166</v>
      </c>
      <c r="D366" s="768">
        <v>8671</v>
      </c>
      <c r="E366" s="8">
        <v>6000</v>
      </c>
      <c r="G366" s="6">
        <f t="shared" si="11"/>
        <v>6000</v>
      </c>
    </row>
    <row r="367" spans="1:8" x14ac:dyDescent="0.25">
      <c r="A367" s="17">
        <v>42765</v>
      </c>
      <c r="B367" s="10" t="s">
        <v>1805</v>
      </c>
      <c r="C367" s="11" t="s">
        <v>166</v>
      </c>
      <c r="D367" s="768">
        <v>8674</v>
      </c>
      <c r="E367" s="8">
        <v>6300</v>
      </c>
      <c r="G367" s="6">
        <f t="shared" si="11"/>
        <v>6300</v>
      </c>
    </row>
    <row r="368" spans="1:8" x14ac:dyDescent="0.25">
      <c r="A368" s="17">
        <v>42597</v>
      </c>
      <c r="B368" s="10" t="s">
        <v>40</v>
      </c>
      <c r="C368" s="11" t="s">
        <v>180</v>
      </c>
      <c r="D368" s="768">
        <v>7302</v>
      </c>
      <c r="E368" s="8">
        <v>48000</v>
      </c>
      <c r="G368" s="6">
        <f t="shared" si="11"/>
        <v>48000</v>
      </c>
    </row>
    <row r="369" spans="1:7" x14ac:dyDescent="0.25">
      <c r="A369" s="17">
        <v>42600</v>
      </c>
      <c r="B369" s="10" t="s">
        <v>40</v>
      </c>
      <c r="C369" s="11" t="s">
        <v>180</v>
      </c>
      <c r="D369" s="768">
        <v>7322</v>
      </c>
      <c r="E369" s="8">
        <v>24000</v>
      </c>
      <c r="G369" s="6">
        <f t="shared" si="11"/>
        <v>24000</v>
      </c>
    </row>
    <row r="370" spans="1:7" x14ac:dyDescent="0.25">
      <c r="A370" s="17">
        <v>42601</v>
      </c>
      <c r="B370" s="10" t="s">
        <v>40</v>
      </c>
      <c r="C370" s="11" t="s">
        <v>180</v>
      </c>
      <c r="D370" s="768">
        <v>7325</v>
      </c>
      <c r="E370" s="8">
        <v>16276</v>
      </c>
      <c r="G370" s="6">
        <f t="shared" si="11"/>
        <v>16276</v>
      </c>
    </row>
    <row r="371" spans="1:7" x14ac:dyDescent="0.25">
      <c r="A371" s="17">
        <v>42601</v>
      </c>
      <c r="B371" s="10" t="s">
        <v>40</v>
      </c>
      <c r="C371" s="11" t="s">
        <v>180</v>
      </c>
      <c r="D371" s="768">
        <v>7326</v>
      </c>
      <c r="E371" s="8">
        <v>37100</v>
      </c>
      <c r="G371" s="6">
        <f t="shared" si="11"/>
        <v>37100</v>
      </c>
    </row>
    <row r="372" spans="1:7" x14ac:dyDescent="0.25">
      <c r="A372" s="17">
        <v>42641</v>
      </c>
      <c r="B372" s="10" t="s">
        <v>1397</v>
      </c>
      <c r="C372" s="11" t="s">
        <v>180</v>
      </c>
      <c r="D372" s="768">
        <v>7397</v>
      </c>
      <c r="E372" s="8">
        <v>47720</v>
      </c>
      <c r="G372" s="6">
        <f t="shared" si="11"/>
        <v>47720</v>
      </c>
    </row>
    <row r="373" spans="1:7" x14ac:dyDescent="0.25">
      <c r="A373" s="17">
        <v>42641</v>
      </c>
      <c r="B373" s="10" t="s">
        <v>1397</v>
      </c>
      <c r="C373" s="11" t="s">
        <v>180</v>
      </c>
      <c r="D373" s="768">
        <v>7395</v>
      </c>
      <c r="E373" s="8">
        <v>75900</v>
      </c>
      <c r="G373" s="6">
        <f t="shared" si="11"/>
        <v>75900</v>
      </c>
    </row>
    <row r="374" spans="1:7" x14ac:dyDescent="0.25">
      <c r="A374" s="17">
        <v>42641</v>
      </c>
      <c r="B374" s="10" t="s">
        <v>40</v>
      </c>
      <c r="C374" s="11" t="s">
        <v>180</v>
      </c>
      <c r="D374" s="768">
        <v>7396</v>
      </c>
      <c r="E374" s="8">
        <v>11200</v>
      </c>
      <c r="G374" s="6">
        <f t="shared" si="11"/>
        <v>11200</v>
      </c>
    </row>
    <row r="375" spans="1:7" x14ac:dyDescent="0.25">
      <c r="A375" s="17">
        <v>42683</v>
      </c>
      <c r="B375" s="10" t="s">
        <v>1676</v>
      </c>
      <c r="C375" s="11" t="s">
        <v>180</v>
      </c>
      <c r="D375" s="768">
        <v>7484</v>
      </c>
      <c r="E375" s="8">
        <v>20020</v>
      </c>
      <c r="G375" s="6">
        <f t="shared" si="11"/>
        <v>20020</v>
      </c>
    </row>
    <row r="376" spans="1:7" x14ac:dyDescent="0.25">
      <c r="A376" s="17">
        <v>42704</v>
      </c>
      <c r="B376" s="10" t="s">
        <v>1397</v>
      </c>
      <c r="C376" s="11" t="s">
        <v>180</v>
      </c>
      <c r="D376" s="768">
        <v>7528</v>
      </c>
      <c r="E376" s="8">
        <v>16800</v>
      </c>
      <c r="G376" s="6">
        <f t="shared" si="11"/>
        <v>16800</v>
      </c>
    </row>
    <row r="377" spans="1:7" x14ac:dyDescent="0.25">
      <c r="A377" s="17">
        <v>42741</v>
      </c>
      <c r="B377" s="10" t="s">
        <v>1676</v>
      </c>
      <c r="C377" s="11" t="s">
        <v>180</v>
      </c>
      <c r="D377" s="768">
        <v>7628</v>
      </c>
      <c r="E377" s="8">
        <v>11980</v>
      </c>
      <c r="G377" s="6">
        <f t="shared" si="11"/>
        <v>11980</v>
      </c>
    </row>
    <row r="378" spans="1:7" x14ac:dyDescent="0.25">
      <c r="A378" s="17">
        <v>42741</v>
      </c>
      <c r="B378" s="10" t="s">
        <v>1676</v>
      </c>
      <c r="C378" s="11" t="s">
        <v>180</v>
      </c>
      <c r="D378" s="768">
        <v>7629</v>
      </c>
      <c r="E378" s="8">
        <v>17550</v>
      </c>
      <c r="G378" s="6">
        <f t="shared" si="11"/>
        <v>17550</v>
      </c>
    </row>
    <row r="379" spans="1:7" x14ac:dyDescent="0.25">
      <c r="A379" s="17">
        <v>42758</v>
      </c>
      <c r="B379" s="10" t="s">
        <v>1397</v>
      </c>
      <c r="C379" s="11" t="s">
        <v>180</v>
      </c>
      <c r="D379" s="768">
        <v>7660</v>
      </c>
      <c r="E379" s="8">
        <v>30872</v>
      </c>
      <c r="G379" s="6">
        <f t="shared" si="11"/>
        <v>30872</v>
      </c>
    </row>
    <row r="380" spans="1:7" x14ac:dyDescent="0.25">
      <c r="A380" s="17">
        <v>42774</v>
      </c>
      <c r="B380" s="10" t="s">
        <v>1397</v>
      </c>
      <c r="C380" s="11" t="s">
        <v>180</v>
      </c>
      <c r="D380" s="768">
        <v>7693</v>
      </c>
      <c r="E380" s="8">
        <v>272620</v>
      </c>
      <c r="G380" s="6">
        <f t="shared" si="11"/>
        <v>272620</v>
      </c>
    </row>
    <row r="381" spans="1:7" x14ac:dyDescent="0.25">
      <c r="A381" s="17">
        <v>42775</v>
      </c>
      <c r="B381" s="10" t="s">
        <v>1400</v>
      </c>
      <c r="C381" s="11" t="s">
        <v>1815</v>
      </c>
      <c r="D381" s="768">
        <v>331</v>
      </c>
      <c r="E381" s="8">
        <v>122171</v>
      </c>
      <c r="G381" s="6">
        <f t="shared" si="11"/>
        <v>122171</v>
      </c>
    </row>
    <row r="382" spans="1:7" x14ac:dyDescent="0.25">
      <c r="A382" s="17">
        <v>42775</v>
      </c>
      <c r="B382" s="10" t="s">
        <v>1400</v>
      </c>
      <c r="C382" s="11" t="s">
        <v>1815</v>
      </c>
      <c r="D382" s="768">
        <v>334</v>
      </c>
      <c r="E382" s="8">
        <v>24483</v>
      </c>
      <c r="G382" s="6">
        <f t="shared" si="11"/>
        <v>24483</v>
      </c>
    </row>
    <row r="383" spans="1:7" x14ac:dyDescent="0.25">
      <c r="A383" s="17">
        <v>42775</v>
      </c>
      <c r="B383" s="10" t="s">
        <v>1400</v>
      </c>
      <c r="C383" s="11" t="s">
        <v>1815</v>
      </c>
      <c r="D383" s="768">
        <v>336</v>
      </c>
      <c r="E383" s="8">
        <v>5304</v>
      </c>
      <c r="G383" s="6">
        <f t="shared" si="11"/>
        <v>5304</v>
      </c>
    </row>
    <row r="384" spans="1:7" x14ac:dyDescent="0.25">
      <c r="A384" s="17">
        <v>42775</v>
      </c>
      <c r="B384" s="10" t="s">
        <v>1805</v>
      </c>
      <c r="C384" s="11" t="s">
        <v>1815</v>
      </c>
      <c r="D384" s="768">
        <v>340</v>
      </c>
      <c r="E384" s="225">
        <v>69000</v>
      </c>
      <c r="G384" s="6">
        <f t="shared" si="11"/>
        <v>69000</v>
      </c>
    </row>
    <row r="385" spans="1:8" x14ac:dyDescent="0.25">
      <c r="A385" s="17">
        <v>42767</v>
      </c>
      <c r="B385" s="10" t="s">
        <v>40</v>
      </c>
      <c r="C385" s="11" t="s">
        <v>164</v>
      </c>
      <c r="D385" s="768">
        <v>3619</v>
      </c>
      <c r="E385" s="8">
        <v>4682</v>
      </c>
      <c r="G385" s="6">
        <f t="shared" si="11"/>
        <v>4682</v>
      </c>
    </row>
    <row r="386" spans="1:8" x14ac:dyDescent="0.25">
      <c r="A386" s="17">
        <v>42767</v>
      </c>
      <c r="B386" s="10" t="s">
        <v>1691</v>
      </c>
      <c r="C386" s="11" t="s">
        <v>164</v>
      </c>
      <c r="D386" s="768">
        <v>3579</v>
      </c>
      <c r="E386" s="8">
        <v>6925</v>
      </c>
      <c r="G386" s="6">
        <f t="shared" si="11"/>
        <v>6925</v>
      </c>
    </row>
    <row r="387" spans="1:8" x14ac:dyDescent="0.25">
      <c r="A387" s="17">
        <v>42760</v>
      </c>
      <c r="B387" s="10" t="s">
        <v>1805</v>
      </c>
      <c r="C387" s="11" t="s">
        <v>161</v>
      </c>
      <c r="D387" s="768">
        <v>596</v>
      </c>
      <c r="E387" s="8">
        <v>1500</v>
      </c>
      <c r="G387" s="6">
        <f t="shared" si="11"/>
        <v>1500</v>
      </c>
    </row>
    <row r="388" spans="1:8" x14ac:dyDescent="0.25">
      <c r="A388" s="17">
        <v>42760</v>
      </c>
      <c r="B388" s="10" t="s">
        <v>40</v>
      </c>
      <c r="C388" s="11" t="s">
        <v>161</v>
      </c>
      <c r="D388" s="768">
        <v>596</v>
      </c>
      <c r="E388" s="8">
        <v>22924</v>
      </c>
      <c r="G388" s="6">
        <f t="shared" si="11"/>
        <v>22924</v>
      </c>
    </row>
    <row r="389" spans="1:8" x14ac:dyDescent="0.25">
      <c r="A389" s="17">
        <v>42770</v>
      </c>
      <c r="B389" s="10" t="s">
        <v>1397</v>
      </c>
      <c r="C389" s="11" t="s">
        <v>164</v>
      </c>
      <c r="D389" s="768">
        <v>3688</v>
      </c>
      <c r="E389" s="8">
        <v>29229</v>
      </c>
      <c r="G389" s="6">
        <f t="shared" si="11"/>
        <v>29229</v>
      </c>
    </row>
    <row r="390" spans="1:8" x14ac:dyDescent="0.25">
      <c r="A390" s="17">
        <v>42774</v>
      </c>
      <c r="B390" s="10" t="s">
        <v>1691</v>
      </c>
      <c r="C390" s="11" t="s">
        <v>164</v>
      </c>
      <c r="D390" s="768">
        <v>3769</v>
      </c>
      <c r="E390" s="8">
        <v>3091</v>
      </c>
      <c r="G390" s="6">
        <f t="shared" si="11"/>
        <v>3091</v>
      </c>
    </row>
    <row r="391" spans="1:8" x14ac:dyDescent="0.25">
      <c r="A391" s="17">
        <v>42780</v>
      </c>
      <c r="B391" s="10" t="s">
        <v>2089</v>
      </c>
      <c r="C391" s="11" t="s">
        <v>169</v>
      </c>
      <c r="D391" s="768">
        <v>240</v>
      </c>
      <c r="E391" s="8">
        <v>22000</v>
      </c>
      <c r="G391" s="6">
        <f t="shared" si="11"/>
        <v>22000</v>
      </c>
    </row>
    <row r="392" spans="1:8" x14ac:dyDescent="0.25">
      <c r="A392" s="17">
        <v>42776</v>
      </c>
      <c r="B392" s="10" t="s">
        <v>1676</v>
      </c>
      <c r="C392" s="11" t="s">
        <v>166</v>
      </c>
      <c r="D392" s="768">
        <v>8740</v>
      </c>
      <c r="E392" s="8">
        <v>24250</v>
      </c>
      <c r="G392" s="6">
        <f t="shared" si="11"/>
        <v>24250</v>
      </c>
    </row>
    <row r="393" spans="1:8" x14ac:dyDescent="0.25">
      <c r="A393" s="17">
        <v>42783</v>
      </c>
      <c r="B393" s="10" t="s">
        <v>1493</v>
      </c>
      <c r="C393" s="11" t="s">
        <v>166</v>
      </c>
      <c r="F393" s="9">
        <v>75030</v>
      </c>
      <c r="G393" s="6">
        <f t="shared" si="11"/>
        <v>-75030</v>
      </c>
      <c r="H393" s="78"/>
    </row>
    <row r="394" spans="1:8" x14ac:dyDescent="0.25">
      <c r="A394" s="17">
        <v>42783</v>
      </c>
      <c r="B394" s="10" t="s">
        <v>1805</v>
      </c>
      <c r="C394" s="11" t="s">
        <v>166</v>
      </c>
      <c r="F394" s="9">
        <v>31473</v>
      </c>
      <c r="G394" s="6">
        <f t="shared" si="11"/>
        <v>-31473</v>
      </c>
      <c r="H394" s="79" t="s">
        <v>2092</v>
      </c>
    </row>
    <row r="395" spans="1:8" x14ac:dyDescent="0.25">
      <c r="A395" s="17">
        <v>42783</v>
      </c>
      <c r="B395" s="10" t="s">
        <v>1676</v>
      </c>
      <c r="C395" s="11" t="s">
        <v>166</v>
      </c>
      <c r="F395" s="9">
        <v>24250</v>
      </c>
      <c r="G395" s="6">
        <f t="shared" si="11"/>
        <v>-24250</v>
      </c>
      <c r="H395" s="79"/>
    </row>
    <row r="396" spans="1:8" x14ac:dyDescent="0.25">
      <c r="A396" s="17">
        <v>42783</v>
      </c>
      <c r="B396" s="10" t="s">
        <v>1215</v>
      </c>
      <c r="C396" s="11" t="s">
        <v>166</v>
      </c>
      <c r="F396" s="9">
        <v>69247</v>
      </c>
      <c r="G396" s="6">
        <f t="shared" si="11"/>
        <v>-69247</v>
      </c>
      <c r="H396" s="80"/>
    </row>
    <row r="397" spans="1:8" x14ac:dyDescent="0.25">
      <c r="A397" s="17">
        <v>42783</v>
      </c>
      <c r="B397" s="10" t="s">
        <v>40</v>
      </c>
      <c r="C397" s="11" t="s">
        <v>161</v>
      </c>
      <c r="F397" s="9">
        <v>200000</v>
      </c>
      <c r="G397" s="6">
        <f t="shared" si="11"/>
        <v>-200000</v>
      </c>
      <c r="H397" s="78" t="s">
        <v>2093</v>
      </c>
    </row>
    <row r="398" spans="1:8" x14ac:dyDescent="0.25">
      <c r="A398" s="17">
        <v>42783</v>
      </c>
      <c r="B398" s="10" t="s">
        <v>1691</v>
      </c>
      <c r="C398" s="11" t="s">
        <v>164</v>
      </c>
      <c r="F398" s="9">
        <v>10016</v>
      </c>
      <c r="G398" s="6">
        <f t="shared" si="11"/>
        <v>-10016</v>
      </c>
      <c r="H398" s="78"/>
    </row>
    <row r="399" spans="1:8" x14ac:dyDescent="0.25">
      <c r="A399" s="17">
        <v>42783</v>
      </c>
      <c r="B399" s="10" t="s">
        <v>769</v>
      </c>
      <c r="C399" s="11" t="s">
        <v>164</v>
      </c>
      <c r="F399" s="9">
        <v>4260</v>
      </c>
      <c r="G399" s="6">
        <f t="shared" si="11"/>
        <v>-4260</v>
      </c>
      <c r="H399" s="79" t="s">
        <v>2096</v>
      </c>
    </row>
    <row r="400" spans="1:8" x14ac:dyDescent="0.25">
      <c r="A400" s="17">
        <v>42783</v>
      </c>
      <c r="B400" s="10" t="s">
        <v>1399</v>
      </c>
      <c r="C400" s="11" t="s">
        <v>164</v>
      </c>
      <c r="F400" s="9">
        <v>25185</v>
      </c>
      <c r="G400" s="6">
        <f t="shared" si="11"/>
        <v>-25185</v>
      </c>
      <c r="H400" s="79"/>
    </row>
    <row r="401" spans="1:8" x14ac:dyDescent="0.25">
      <c r="A401" s="17">
        <v>42783</v>
      </c>
      <c r="B401" s="10" t="s">
        <v>40</v>
      </c>
      <c r="C401" s="11" t="s">
        <v>164</v>
      </c>
      <c r="F401" s="9">
        <v>110539</v>
      </c>
      <c r="G401" s="6">
        <f t="shared" si="11"/>
        <v>-110539</v>
      </c>
      <c r="H401" s="80"/>
    </row>
    <row r="402" spans="1:8" x14ac:dyDescent="0.25">
      <c r="A402" s="17">
        <v>42783</v>
      </c>
      <c r="B402" s="10" t="s">
        <v>2089</v>
      </c>
      <c r="C402" s="11" t="s">
        <v>166</v>
      </c>
      <c r="E402" s="8">
        <v>24072</v>
      </c>
      <c r="G402" s="6">
        <f t="shared" si="11"/>
        <v>24072</v>
      </c>
    </row>
    <row r="403" spans="1:8" x14ac:dyDescent="0.25">
      <c r="A403" s="17">
        <v>42783</v>
      </c>
      <c r="B403" s="10" t="s">
        <v>1400</v>
      </c>
      <c r="C403" s="11" t="s">
        <v>1815</v>
      </c>
      <c r="D403" s="768">
        <v>347</v>
      </c>
      <c r="E403" s="8">
        <v>806368</v>
      </c>
      <c r="G403" s="6">
        <f t="shared" si="11"/>
        <v>806368</v>
      </c>
    </row>
    <row r="404" spans="1:8" x14ac:dyDescent="0.25">
      <c r="A404" s="17">
        <v>42787</v>
      </c>
      <c r="B404" s="10" t="s">
        <v>2023</v>
      </c>
      <c r="C404" s="11" t="s">
        <v>166</v>
      </c>
      <c r="D404" s="768">
        <v>8808</v>
      </c>
      <c r="E404" s="8">
        <v>78330</v>
      </c>
      <c r="G404" s="6">
        <f t="shared" si="11"/>
        <v>78330</v>
      </c>
    </row>
    <row r="405" spans="1:8" x14ac:dyDescent="0.25">
      <c r="A405" s="17">
        <v>42787</v>
      </c>
      <c r="B405" s="10" t="s">
        <v>2023</v>
      </c>
      <c r="C405" s="11" t="s">
        <v>166</v>
      </c>
      <c r="D405" s="768">
        <v>8809</v>
      </c>
      <c r="E405" s="8">
        <v>33600</v>
      </c>
      <c r="G405" s="6">
        <f t="shared" si="11"/>
        <v>33600</v>
      </c>
    </row>
    <row r="406" spans="1:8" x14ac:dyDescent="0.25">
      <c r="A406" s="17">
        <v>42788</v>
      </c>
      <c r="B406" s="10" t="s">
        <v>2023</v>
      </c>
      <c r="C406" s="11" t="s">
        <v>166</v>
      </c>
      <c r="D406" s="768">
        <v>8816</v>
      </c>
      <c r="E406" s="8">
        <v>7128</v>
      </c>
      <c r="G406" s="6">
        <f t="shared" si="11"/>
        <v>7128</v>
      </c>
    </row>
    <row r="407" spans="1:8" x14ac:dyDescent="0.25">
      <c r="A407" s="17">
        <v>42784</v>
      </c>
      <c r="B407" s="10" t="s">
        <v>2089</v>
      </c>
      <c r="C407" s="11" t="s">
        <v>164</v>
      </c>
      <c r="D407" s="768">
        <v>3985</v>
      </c>
      <c r="E407" s="8">
        <v>3305</v>
      </c>
      <c r="G407" s="6">
        <f t="shared" si="11"/>
        <v>3305</v>
      </c>
    </row>
    <row r="408" spans="1:8" x14ac:dyDescent="0.25">
      <c r="A408" s="17">
        <v>42784</v>
      </c>
      <c r="B408" s="10" t="s">
        <v>1397</v>
      </c>
      <c r="C408" s="11" t="s">
        <v>164</v>
      </c>
      <c r="D408" s="768">
        <v>3918</v>
      </c>
      <c r="E408" s="8">
        <v>1690</v>
      </c>
      <c r="G408" s="6">
        <f t="shared" ref="G408:G409" si="13">E408-F408</f>
        <v>1690</v>
      </c>
    </row>
    <row r="409" spans="1:8" x14ac:dyDescent="0.25">
      <c r="A409" s="17">
        <v>42784</v>
      </c>
      <c r="B409" s="10" t="s">
        <v>1397</v>
      </c>
      <c r="C409" s="11" t="s">
        <v>164</v>
      </c>
      <c r="D409" s="768">
        <v>3958</v>
      </c>
      <c r="E409" s="8">
        <v>7297</v>
      </c>
      <c r="G409" s="6">
        <f t="shared" si="13"/>
        <v>7297</v>
      </c>
    </row>
    <row r="410" spans="1:8" x14ac:dyDescent="0.25">
      <c r="A410" s="17">
        <v>42773</v>
      </c>
      <c r="B410" s="10" t="s">
        <v>1397</v>
      </c>
      <c r="C410" s="11" t="s">
        <v>161</v>
      </c>
      <c r="D410" s="768">
        <v>629</v>
      </c>
      <c r="E410" s="8">
        <v>26618</v>
      </c>
      <c r="G410" s="6">
        <f t="shared" si="11"/>
        <v>26618</v>
      </c>
    </row>
    <row r="411" spans="1:8" x14ac:dyDescent="0.25">
      <c r="A411" s="17">
        <v>42776</v>
      </c>
      <c r="B411" s="10" t="s">
        <v>1397</v>
      </c>
      <c r="C411" s="11" t="s">
        <v>161</v>
      </c>
      <c r="D411" s="768">
        <v>638</v>
      </c>
      <c r="E411" s="8">
        <v>105186</v>
      </c>
      <c r="G411" s="6">
        <f t="shared" si="11"/>
        <v>105186</v>
      </c>
    </row>
    <row r="412" spans="1:8" x14ac:dyDescent="0.25">
      <c r="A412" s="17">
        <v>42789</v>
      </c>
      <c r="B412" s="10" t="s">
        <v>1397</v>
      </c>
      <c r="C412" s="11" t="s">
        <v>161</v>
      </c>
      <c r="D412" s="768">
        <v>675</v>
      </c>
      <c r="E412" s="8">
        <v>69661</v>
      </c>
      <c r="G412" s="6">
        <f t="shared" si="11"/>
        <v>69661</v>
      </c>
    </row>
    <row r="413" spans="1:8" x14ac:dyDescent="0.25">
      <c r="A413" s="17">
        <v>42791</v>
      </c>
      <c r="B413" s="10" t="s">
        <v>1397</v>
      </c>
      <c r="C413" s="11" t="s">
        <v>166</v>
      </c>
      <c r="D413" s="768">
        <v>8832</v>
      </c>
      <c r="E413" s="8">
        <v>13500</v>
      </c>
      <c r="G413" s="6">
        <f t="shared" si="11"/>
        <v>13500</v>
      </c>
    </row>
    <row r="414" spans="1:8" x14ac:dyDescent="0.25">
      <c r="A414" s="17">
        <v>42796</v>
      </c>
      <c r="B414" s="10" t="s">
        <v>1397</v>
      </c>
      <c r="C414" s="11" t="s">
        <v>166</v>
      </c>
      <c r="D414" s="768">
        <v>8863</v>
      </c>
      <c r="E414" s="8">
        <v>9600</v>
      </c>
      <c r="G414" s="6">
        <f t="shared" si="11"/>
        <v>9600</v>
      </c>
    </row>
    <row r="415" spans="1:8" x14ac:dyDescent="0.25">
      <c r="A415" s="17">
        <v>42796</v>
      </c>
      <c r="B415" s="10" t="s">
        <v>1400</v>
      </c>
      <c r="C415" s="11" t="s">
        <v>1815</v>
      </c>
      <c r="F415" s="9">
        <v>400000</v>
      </c>
      <c r="G415" s="6">
        <f t="shared" si="11"/>
        <v>-400000</v>
      </c>
      <c r="H415" s="31" t="s">
        <v>2135</v>
      </c>
    </row>
    <row r="416" spans="1:8" x14ac:dyDescent="0.25">
      <c r="A416" s="17">
        <v>42780</v>
      </c>
      <c r="B416" s="10" t="s">
        <v>1805</v>
      </c>
      <c r="C416" s="11" t="s">
        <v>164</v>
      </c>
      <c r="D416" s="768">
        <v>3884</v>
      </c>
      <c r="E416" s="8">
        <v>68397</v>
      </c>
      <c r="G416" s="6">
        <f t="shared" si="11"/>
        <v>68397</v>
      </c>
    </row>
    <row r="417" spans="1:8" x14ac:dyDescent="0.25">
      <c r="A417" s="17">
        <v>42791</v>
      </c>
      <c r="B417" s="10" t="s">
        <v>1397</v>
      </c>
      <c r="C417" s="11" t="s">
        <v>164</v>
      </c>
      <c r="D417" s="768">
        <v>4124</v>
      </c>
      <c r="E417" s="8">
        <v>18913</v>
      </c>
      <c r="G417" s="6">
        <f t="shared" si="11"/>
        <v>18913</v>
      </c>
    </row>
    <row r="418" spans="1:8" x14ac:dyDescent="0.25">
      <c r="A418" s="17">
        <v>42793</v>
      </c>
      <c r="B418" s="10" t="s">
        <v>1397</v>
      </c>
      <c r="C418" s="11" t="s">
        <v>164</v>
      </c>
      <c r="D418" s="768">
        <v>4155</v>
      </c>
      <c r="E418" s="8">
        <v>882</v>
      </c>
      <c r="G418" s="6">
        <f t="shared" si="11"/>
        <v>882</v>
      </c>
    </row>
    <row r="419" spans="1:8" x14ac:dyDescent="0.25">
      <c r="A419" s="17">
        <v>42793</v>
      </c>
      <c r="B419" s="10" t="s">
        <v>1397</v>
      </c>
      <c r="C419" s="11" t="s">
        <v>164</v>
      </c>
      <c r="D419" s="768">
        <v>4132</v>
      </c>
      <c r="E419" s="8">
        <v>4392</v>
      </c>
      <c r="G419" s="6">
        <f t="shared" si="11"/>
        <v>4392</v>
      </c>
    </row>
    <row r="420" spans="1:8" x14ac:dyDescent="0.25">
      <c r="A420" s="17">
        <v>42811</v>
      </c>
      <c r="B420" s="10" t="s">
        <v>1397</v>
      </c>
      <c r="C420" s="11" t="s">
        <v>164</v>
      </c>
      <c r="D420" s="768">
        <v>4548</v>
      </c>
      <c r="E420" s="8">
        <v>2430</v>
      </c>
      <c r="G420" s="6">
        <f t="shared" ref="G420" si="14">E420-F420</f>
        <v>2430</v>
      </c>
    </row>
    <row r="421" spans="1:8" x14ac:dyDescent="0.25">
      <c r="A421" s="17">
        <v>42808</v>
      </c>
      <c r="B421" s="10" t="s">
        <v>1215</v>
      </c>
      <c r="C421" s="11" t="s">
        <v>166</v>
      </c>
      <c r="F421" s="9">
        <v>63643</v>
      </c>
      <c r="G421" s="6">
        <f t="shared" si="11"/>
        <v>-63643</v>
      </c>
      <c r="H421" s="31" t="s">
        <v>2417</v>
      </c>
    </row>
    <row r="422" spans="1:8" x14ac:dyDescent="0.25">
      <c r="A422" s="17">
        <v>42808</v>
      </c>
      <c r="B422" s="10" t="s">
        <v>2089</v>
      </c>
      <c r="C422" s="11" t="s">
        <v>166</v>
      </c>
      <c r="F422" s="9">
        <v>24072</v>
      </c>
      <c r="G422" s="6">
        <f t="shared" si="11"/>
        <v>-24072</v>
      </c>
      <c r="H422" s="124"/>
    </row>
    <row r="423" spans="1:8" x14ac:dyDescent="0.25">
      <c r="A423" s="17">
        <v>42808</v>
      </c>
      <c r="B423" s="10" t="s">
        <v>2023</v>
      </c>
      <c r="C423" s="11" t="s">
        <v>166</v>
      </c>
      <c r="F423" s="9">
        <v>119058</v>
      </c>
      <c r="G423" s="6">
        <f t="shared" si="11"/>
        <v>-119058</v>
      </c>
      <c r="H423" s="124"/>
    </row>
    <row r="424" spans="1:8" x14ac:dyDescent="0.25">
      <c r="A424" s="17">
        <v>42808</v>
      </c>
      <c r="B424" s="10" t="s">
        <v>1397</v>
      </c>
      <c r="C424" s="11" t="s">
        <v>166</v>
      </c>
      <c r="F424" s="9">
        <v>23100</v>
      </c>
      <c r="G424" s="6">
        <f t="shared" si="11"/>
        <v>-23100</v>
      </c>
      <c r="H424" s="124"/>
    </row>
    <row r="425" spans="1:8" x14ac:dyDescent="0.25">
      <c r="A425" s="17">
        <v>42808</v>
      </c>
      <c r="B425" s="10" t="s">
        <v>2094</v>
      </c>
      <c r="C425" s="11" t="s">
        <v>166</v>
      </c>
      <c r="F425" s="9">
        <v>70127</v>
      </c>
      <c r="G425" s="6">
        <f t="shared" ref="G425" si="15">E425-F425</f>
        <v>-70127</v>
      </c>
      <c r="H425" s="124"/>
    </row>
    <row r="426" spans="1:8" x14ac:dyDescent="0.25">
      <c r="A426" s="17">
        <v>42809</v>
      </c>
      <c r="B426" s="10" t="s">
        <v>1397</v>
      </c>
      <c r="C426" s="11" t="s">
        <v>161</v>
      </c>
      <c r="E426" s="8">
        <v>7903</v>
      </c>
      <c r="G426" s="6">
        <f t="shared" si="11"/>
        <v>7903</v>
      </c>
    </row>
    <row r="427" spans="1:8" x14ac:dyDescent="0.25">
      <c r="A427" s="17">
        <v>42814</v>
      </c>
      <c r="B427" s="10" t="s">
        <v>1397</v>
      </c>
      <c r="C427" s="11" t="s">
        <v>164</v>
      </c>
      <c r="E427" s="8">
        <v>18646</v>
      </c>
      <c r="G427" s="6">
        <f t="shared" si="11"/>
        <v>18646</v>
      </c>
    </row>
    <row r="428" spans="1:8" x14ac:dyDescent="0.25">
      <c r="A428" s="17">
        <v>42693</v>
      </c>
      <c r="B428" s="10" t="s">
        <v>33</v>
      </c>
      <c r="C428" s="11" t="s">
        <v>1803</v>
      </c>
      <c r="E428" s="8">
        <v>106847</v>
      </c>
      <c r="G428" s="6">
        <f t="shared" si="11"/>
        <v>106847</v>
      </c>
    </row>
    <row r="429" spans="1:8" x14ac:dyDescent="0.25">
      <c r="A429" s="17">
        <v>42693</v>
      </c>
      <c r="B429" s="10" t="s">
        <v>32</v>
      </c>
      <c r="C429" s="11" t="s">
        <v>1803</v>
      </c>
      <c r="E429" s="8">
        <v>106847</v>
      </c>
      <c r="G429" s="6">
        <f t="shared" si="11"/>
        <v>106847</v>
      </c>
    </row>
    <row r="430" spans="1:8" x14ac:dyDescent="0.25">
      <c r="A430" s="17">
        <v>42693</v>
      </c>
      <c r="B430" s="10" t="s">
        <v>1397</v>
      </c>
      <c r="C430" s="11" t="s">
        <v>1803</v>
      </c>
      <c r="E430" s="8">
        <v>51879</v>
      </c>
      <c r="G430" s="6">
        <f t="shared" si="11"/>
        <v>51879</v>
      </c>
    </row>
    <row r="431" spans="1:8" x14ac:dyDescent="0.25">
      <c r="A431" s="17">
        <v>42686</v>
      </c>
      <c r="B431" s="10" t="s">
        <v>1397</v>
      </c>
      <c r="C431" s="11" t="s">
        <v>1803</v>
      </c>
      <c r="E431" s="8">
        <v>42108</v>
      </c>
      <c r="G431" s="6">
        <f t="shared" si="11"/>
        <v>42108</v>
      </c>
    </row>
    <row r="432" spans="1:8" x14ac:dyDescent="0.25">
      <c r="A432" s="17">
        <v>42677</v>
      </c>
      <c r="B432" s="10" t="s">
        <v>33</v>
      </c>
      <c r="C432" s="11" t="s">
        <v>1803</v>
      </c>
      <c r="E432" s="8">
        <v>11550</v>
      </c>
      <c r="G432" s="6">
        <f t="shared" si="11"/>
        <v>11550</v>
      </c>
    </row>
    <row r="433" spans="1:8" x14ac:dyDescent="0.25">
      <c r="A433" s="17">
        <v>42682</v>
      </c>
      <c r="B433" s="10" t="s">
        <v>33</v>
      </c>
      <c r="C433" s="11" t="s">
        <v>1803</v>
      </c>
      <c r="E433" s="8">
        <v>19233</v>
      </c>
      <c r="G433" s="6">
        <f t="shared" si="11"/>
        <v>19233</v>
      </c>
    </row>
    <row r="434" spans="1:8" x14ac:dyDescent="0.25">
      <c r="A434" s="17">
        <v>42698</v>
      </c>
      <c r="B434" s="10" t="s">
        <v>1397</v>
      </c>
      <c r="C434" s="11" t="s">
        <v>1803</v>
      </c>
      <c r="E434" s="8">
        <v>3000</v>
      </c>
      <c r="G434" s="6">
        <f t="shared" si="11"/>
        <v>3000</v>
      </c>
    </row>
    <row r="435" spans="1:8" x14ac:dyDescent="0.25">
      <c r="A435" s="17">
        <v>42732</v>
      </c>
      <c r="B435" s="10" t="s">
        <v>1400</v>
      </c>
      <c r="C435" s="11" t="s">
        <v>1803</v>
      </c>
      <c r="E435" s="8">
        <v>433624</v>
      </c>
      <c r="G435" s="6">
        <f t="shared" si="11"/>
        <v>433624</v>
      </c>
    </row>
    <row r="436" spans="1:8" x14ac:dyDescent="0.25">
      <c r="A436" s="17">
        <v>42721</v>
      </c>
      <c r="B436" s="10" t="s">
        <v>33</v>
      </c>
      <c r="C436" s="11" t="s">
        <v>1803</v>
      </c>
      <c r="F436" s="9">
        <v>44879</v>
      </c>
      <c r="G436" s="6">
        <f t="shared" si="11"/>
        <v>-44879</v>
      </c>
      <c r="H436" s="7" t="s">
        <v>2192</v>
      </c>
    </row>
    <row r="437" spans="1:8" x14ac:dyDescent="0.25">
      <c r="A437" s="17">
        <v>42730</v>
      </c>
      <c r="B437" s="10" t="s">
        <v>1676</v>
      </c>
      <c r="C437" s="11" t="s">
        <v>1803</v>
      </c>
      <c r="E437" s="8">
        <v>32908</v>
      </c>
      <c r="G437" s="6">
        <f t="shared" si="11"/>
        <v>32908</v>
      </c>
    </row>
    <row r="438" spans="1:8" x14ac:dyDescent="0.25">
      <c r="A438" s="17">
        <v>42711</v>
      </c>
      <c r="B438" s="10" t="s">
        <v>32</v>
      </c>
      <c r="C438" s="11" t="s">
        <v>1803</v>
      </c>
      <c r="E438" s="8">
        <v>3445</v>
      </c>
      <c r="G438" s="6">
        <f t="shared" si="11"/>
        <v>3445</v>
      </c>
    </row>
    <row r="439" spans="1:8" x14ac:dyDescent="0.25">
      <c r="A439" s="17">
        <v>42727</v>
      </c>
      <c r="B439" s="10" t="s">
        <v>32</v>
      </c>
      <c r="C439" s="11" t="s">
        <v>1803</v>
      </c>
      <c r="E439" s="8">
        <v>36929</v>
      </c>
      <c r="G439" s="6">
        <f t="shared" si="11"/>
        <v>36929</v>
      </c>
    </row>
    <row r="440" spans="1:8" x14ac:dyDescent="0.25">
      <c r="A440" s="17">
        <v>42720</v>
      </c>
      <c r="B440" s="10" t="s">
        <v>33</v>
      </c>
      <c r="C440" s="11" t="s">
        <v>1803</v>
      </c>
      <c r="E440" s="8">
        <v>55873</v>
      </c>
      <c r="G440" s="6">
        <f t="shared" si="11"/>
        <v>55873</v>
      </c>
    </row>
    <row r="441" spans="1:8" x14ac:dyDescent="0.25">
      <c r="A441" s="17">
        <v>42740</v>
      </c>
      <c r="B441" s="10" t="s">
        <v>1397</v>
      </c>
      <c r="C441" s="11" t="s">
        <v>1803</v>
      </c>
      <c r="F441" s="9">
        <v>3000</v>
      </c>
      <c r="G441" s="6">
        <f t="shared" si="11"/>
        <v>-3000</v>
      </c>
      <c r="H441" s="1198" t="s">
        <v>2193</v>
      </c>
    </row>
    <row r="442" spans="1:8" x14ac:dyDescent="0.25">
      <c r="A442" s="17">
        <v>42740</v>
      </c>
      <c r="B442" s="10" t="s">
        <v>1400</v>
      </c>
      <c r="C442" s="11" t="s">
        <v>1803</v>
      </c>
      <c r="F442" s="9">
        <v>433634</v>
      </c>
      <c r="G442" s="6">
        <f t="shared" si="11"/>
        <v>-433634</v>
      </c>
      <c r="H442" s="1199"/>
    </row>
    <row r="443" spans="1:8" x14ac:dyDescent="0.25">
      <c r="A443" s="17">
        <v>42740</v>
      </c>
      <c r="B443" s="10" t="s">
        <v>1676</v>
      </c>
      <c r="C443" s="11" t="s">
        <v>1803</v>
      </c>
      <c r="F443" s="9">
        <v>32908</v>
      </c>
      <c r="G443" s="6">
        <f t="shared" si="11"/>
        <v>-32908</v>
      </c>
      <c r="H443" s="1199"/>
    </row>
    <row r="444" spans="1:8" x14ac:dyDescent="0.25">
      <c r="A444" s="17">
        <v>42740</v>
      </c>
      <c r="B444" s="10" t="s">
        <v>32</v>
      </c>
      <c r="C444" s="11" t="s">
        <v>1803</v>
      </c>
      <c r="F444" s="9">
        <v>30468</v>
      </c>
      <c r="G444" s="6">
        <f t="shared" si="11"/>
        <v>-30468</v>
      </c>
      <c r="H444" s="1200"/>
    </row>
    <row r="445" spans="1:8" x14ac:dyDescent="0.25">
      <c r="A445" s="17">
        <v>42775</v>
      </c>
      <c r="B445" s="10" t="s">
        <v>32</v>
      </c>
      <c r="C445" s="11" t="s">
        <v>1803</v>
      </c>
      <c r="E445" s="8">
        <v>10916</v>
      </c>
      <c r="G445" s="6">
        <f t="shared" si="11"/>
        <v>10916</v>
      </c>
    </row>
    <row r="446" spans="1:8" x14ac:dyDescent="0.25">
      <c r="A446" s="17">
        <v>42770</v>
      </c>
      <c r="B446" s="10" t="s">
        <v>1397</v>
      </c>
      <c r="C446" s="11" t="s">
        <v>1803</v>
      </c>
      <c r="E446" s="8">
        <v>9717</v>
      </c>
      <c r="G446" s="6">
        <f t="shared" si="11"/>
        <v>9717</v>
      </c>
    </row>
    <row r="447" spans="1:8" x14ac:dyDescent="0.25">
      <c r="A447" s="17">
        <v>42768</v>
      </c>
      <c r="B447" s="10" t="s">
        <v>33</v>
      </c>
      <c r="C447" s="11" t="s">
        <v>1803</v>
      </c>
      <c r="E447" s="8">
        <v>13612</v>
      </c>
      <c r="G447" s="6">
        <f t="shared" si="11"/>
        <v>13612</v>
      </c>
    </row>
    <row r="448" spans="1:8" x14ac:dyDescent="0.25">
      <c r="A448" s="17">
        <v>42747</v>
      </c>
      <c r="B448" s="10" t="s">
        <v>32</v>
      </c>
      <c r="C448" s="11" t="s">
        <v>1803</v>
      </c>
      <c r="E448" s="8">
        <v>43165</v>
      </c>
      <c r="G448" s="6">
        <f t="shared" si="11"/>
        <v>43165</v>
      </c>
    </row>
    <row r="449" spans="1:8" x14ac:dyDescent="0.25">
      <c r="A449" s="17">
        <v>42755</v>
      </c>
      <c r="B449" s="10" t="s">
        <v>32</v>
      </c>
      <c r="C449" s="11" t="s">
        <v>1803</v>
      </c>
      <c r="E449" s="8">
        <v>6306</v>
      </c>
      <c r="G449" s="6">
        <f t="shared" si="11"/>
        <v>6306</v>
      </c>
    </row>
    <row r="450" spans="1:8" x14ac:dyDescent="0.25">
      <c r="A450" s="17">
        <v>42755</v>
      </c>
      <c r="B450" s="10" t="s">
        <v>1397</v>
      </c>
      <c r="C450" s="11" t="s">
        <v>1803</v>
      </c>
      <c r="E450" s="8">
        <v>33200</v>
      </c>
      <c r="G450" s="6">
        <f t="shared" si="11"/>
        <v>33200</v>
      </c>
    </row>
    <row r="451" spans="1:8" x14ac:dyDescent="0.25">
      <c r="A451" s="17">
        <v>42755</v>
      </c>
      <c r="B451" s="10" t="s">
        <v>1397</v>
      </c>
      <c r="C451" s="11" t="s">
        <v>1803</v>
      </c>
      <c r="F451" s="9">
        <v>44665</v>
      </c>
      <c r="G451" s="6">
        <f t="shared" si="11"/>
        <v>-44665</v>
      </c>
    </row>
    <row r="452" spans="1:8" x14ac:dyDescent="0.25">
      <c r="A452" s="17">
        <v>42742</v>
      </c>
      <c r="B452" s="10" t="s">
        <v>33</v>
      </c>
      <c r="C452" s="11" t="s">
        <v>1803</v>
      </c>
      <c r="E452" s="8">
        <v>10413</v>
      </c>
      <c r="G452" s="6">
        <f t="shared" si="11"/>
        <v>10413</v>
      </c>
    </row>
    <row r="453" spans="1:8" x14ac:dyDescent="0.25">
      <c r="A453" s="17">
        <v>42744</v>
      </c>
      <c r="B453" s="10" t="s">
        <v>33</v>
      </c>
      <c r="C453" s="11" t="s">
        <v>1803</v>
      </c>
      <c r="E453" s="8">
        <v>89052</v>
      </c>
      <c r="G453" s="6">
        <f t="shared" si="11"/>
        <v>89052</v>
      </c>
    </row>
    <row r="454" spans="1:8" x14ac:dyDescent="0.25">
      <c r="A454" s="17">
        <v>42746</v>
      </c>
      <c r="B454" s="10" t="s">
        <v>33</v>
      </c>
      <c r="C454" s="11" t="s">
        <v>1803</v>
      </c>
      <c r="E454" s="8">
        <v>3348</v>
      </c>
      <c r="G454" s="6">
        <f t="shared" si="11"/>
        <v>3348</v>
      </c>
    </row>
    <row r="455" spans="1:8" x14ac:dyDescent="0.25">
      <c r="A455" s="17">
        <v>42740</v>
      </c>
      <c r="B455" s="10" t="s">
        <v>32</v>
      </c>
      <c r="C455" s="11" t="s">
        <v>1803</v>
      </c>
      <c r="E455" s="8">
        <v>95472</v>
      </c>
      <c r="G455" s="6">
        <f t="shared" si="11"/>
        <v>95472</v>
      </c>
    </row>
    <row r="456" spans="1:8" x14ac:dyDescent="0.25">
      <c r="A456" s="17">
        <v>42786</v>
      </c>
      <c r="B456" s="10" t="s">
        <v>1400</v>
      </c>
      <c r="C456" s="11" t="s">
        <v>1803</v>
      </c>
      <c r="E456" s="8">
        <v>1567</v>
      </c>
      <c r="G456" s="6">
        <f t="shared" si="11"/>
        <v>1567</v>
      </c>
    </row>
    <row r="457" spans="1:8" x14ac:dyDescent="0.25">
      <c r="A457" s="17">
        <v>42793</v>
      </c>
      <c r="B457" s="10" t="s">
        <v>1400</v>
      </c>
      <c r="C457" s="11" t="s">
        <v>1803</v>
      </c>
      <c r="E457" s="8">
        <v>27850</v>
      </c>
      <c r="G457" s="6">
        <f t="shared" si="11"/>
        <v>27850</v>
      </c>
    </row>
    <row r="458" spans="1:8" x14ac:dyDescent="0.25">
      <c r="A458" s="17">
        <v>42784</v>
      </c>
      <c r="B458" s="10" t="s">
        <v>33</v>
      </c>
      <c r="C458" s="11" t="s">
        <v>1803</v>
      </c>
      <c r="E458" s="8">
        <v>46586</v>
      </c>
      <c r="G458" s="6">
        <f t="shared" si="11"/>
        <v>46586</v>
      </c>
    </row>
    <row r="459" spans="1:8" x14ac:dyDescent="0.25">
      <c r="A459" s="17">
        <v>42804</v>
      </c>
      <c r="B459" s="10" t="s">
        <v>33</v>
      </c>
      <c r="C459" s="11" t="s">
        <v>1803</v>
      </c>
      <c r="F459" s="9">
        <v>100000</v>
      </c>
      <c r="G459" s="6">
        <f t="shared" si="11"/>
        <v>-100000</v>
      </c>
      <c r="H459" s="1198" t="s">
        <v>2194</v>
      </c>
    </row>
    <row r="460" spans="1:8" x14ac:dyDescent="0.25">
      <c r="A460" s="17">
        <v>42804</v>
      </c>
      <c r="B460" s="10" t="s">
        <v>1397</v>
      </c>
      <c r="C460" s="11" t="s">
        <v>1803</v>
      </c>
      <c r="F460" s="9">
        <v>100000</v>
      </c>
      <c r="G460" s="6">
        <f t="shared" si="11"/>
        <v>-100000</v>
      </c>
      <c r="H460" s="1199"/>
    </row>
    <row r="461" spans="1:8" x14ac:dyDescent="0.25">
      <c r="A461" s="17">
        <v>42804</v>
      </c>
      <c r="B461" s="10" t="s">
        <v>32</v>
      </c>
      <c r="C461" s="11" t="s">
        <v>1803</v>
      </c>
      <c r="F461" s="9">
        <v>100000</v>
      </c>
      <c r="G461" s="6">
        <f t="shared" si="11"/>
        <v>-100000</v>
      </c>
      <c r="H461" s="1200"/>
    </row>
    <row r="462" spans="1:8" x14ac:dyDescent="0.25">
      <c r="A462" s="17">
        <v>42819</v>
      </c>
      <c r="B462" s="10" t="s">
        <v>2089</v>
      </c>
      <c r="C462" s="11" t="s">
        <v>169</v>
      </c>
      <c r="E462" s="8">
        <v>1600</v>
      </c>
      <c r="G462" s="6">
        <f t="shared" si="11"/>
        <v>1600</v>
      </c>
    </row>
    <row r="463" spans="1:8" x14ac:dyDescent="0.25">
      <c r="A463" s="17">
        <v>42809</v>
      </c>
      <c r="B463" s="10" t="s">
        <v>32</v>
      </c>
      <c r="C463" s="11" t="s">
        <v>1803</v>
      </c>
      <c r="E463" s="8">
        <v>15593</v>
      </c>
      <c r="G463" s="6">
        <f t="shared" si="11"/>
        <v>15593</v>
      </c>
    </row>
    <row r="464" spans="1:8" x14ac:dyDescent="0.25">
      <c r="A464" s="17">
        <v>42787</v>
      </c>
      <c r="B464" s="10" t="s">
        <v>32</v>
      </c>
      <c r="C464" s="11" t="s">
        <v>1803</v>
      </c>
      <c r="E464" s="8">
        <v>5693</v>
      </c>
      <c r="G464" s="6">
        <f t="shared" si="11"/>
        <v>5693</v>
      </c>
    </row>
    <row r="465" spans="1:8" x14ac:dyDescent="0.25">
      <c r="A465" s="17">
        <v>42812</v>
      </c>
      <c r="B465" s="10" t="s">
        <v>1400</v>
      </c>
      <c r="C465" s="11" t="s">
        <v>1803</v>
      </c>
      <c r="E465" s="8">
        <v>83845</v>
      </c>
      <c r="G465" s="6">
        <f t="shared" si="11"/>
        <v>83845</v>
      </c>
    </row>
    <row r="466" spans="1:8" x14ac:dyDescent="0.25">
      <c r="A466" s="17">
        <v>42793</v>
      </c>
      <c r="B466" s="10" t="s">
        <v>32</v>
      </c>
      <c r="C466" s="11" t="s">
        <v>1803</v>
      </c>
      <c r="E466" s="8">
        <v>1367</v>
      </c>
      <c r="G466" s="6">
        <f t="shared" si="11"/>
        <v>1367</v>
      </c>
    </row>
    <row r="467" spans="1:8" x14ac:dyDescent="0.25">
      <c r="A467" s="17">
        <v>42798</v>
      </c>
      <c r="B467" s="10" t="s">
        <v>32</v>
      </c>
      <c r="C467" s="11" t="s">
        <v>1803</v>
      </c>
      <c r="E467" s="8">
        <v>1700</v>
      </c>
      <c r="G467" s="6">
        <f t="shared" si="11"/>
        <v>1700</v>
      </c>
    </row>
    <row r="468" spans="1:8" x14ac:dyDescent="0.25">
      <c r="A468" s="17">
        <v>42819</v>
      </c>
      <c r="B468" s="10" t="s">
        <v>1397</v>
      </c>
      <c r="C468" s="11" t="s">
        <v>1803</v>
      </c>
      <c r="E468" s="8">
        <v>67418</v>
      </c>
      <c r="G468" s="6">
        <f t="shared" si="11"/>
        <v>67418</v>
      </c>
    </row>
    <row r="469" spans="1:8" x14ac:dyDescent="0.25">
      <c r="A469" s="17">
        <v>42821</v>
      </c>
      <c r="B469" s="10" t="s">
        <v>1397</v>
      </c>
      <c r="C469" s="11" t="s">
        <v>1803</v>
      </c>
      <c r="E469" s="8">
        <v>39396</v>
      </c>
      <c r="G469" s="6">
        <f t="shared" si="11"/>
        <v>39396</v>
      </c>
    </row>
    <row r="470" spans="1:8" x14ac:dyDescent="0.25">
      <c r="A470" s="17">
        <v>42807</v>
      </c>
      <c r="B470" s="10" t="s">
        <v>1805</v>
      </c>
      <c r="C470" s="11" t="s">
        <v>166</v>
      </c>
      <c r="E470" s="8">
        <v>9600</v>
      </c>
      <c r="G470" s="6">
        <f t="shared" si="11"/>
        <v>9600</v>
      </c>
    </row>
    <row r="471" spans="1:8" x14ac:dyDescent="0.25">
      <c r="A471" s="17">
        <v>42811</v>
      </c>
      <c r="B471" s="10" t="s">
        <v>1676</v>
      </c>
      <c r="C471" s="11" t="s">
        <v>166</v>
      </c>
      <c r="E471" s="8">
        <v>3276</v>
      </c>
      <c r="G471" s="6">
        <f t="shared" si="11"/>
        <v>3276</v>
      </c>
    </row>
    <row r="472" spans="1:8" x14ac:dyDescent="0.25">
      <c r="A472" s="17">
        <v>42818</v>
      </c>
      <c r="B472" s="10" t="s">
        <v>2089</v>
      </c>
      <c r="C472" s="11" t="s">
        <v>166</v>
      </c>
      <c r="E472" s="8">
        <v>5434</v>
      </c>
      <c r="G472" s="6">
        <f t="shared" si="11"/>
        <v>5434</v>
      </c>
    </row>
    <row r="473" spans="1:8" x14ac:dyDescent="0.25">
      <c r="A473" s="17">
        <v>42828</v>
      </c>
      <c r="B473" s="10" t="s">
        <v>2094</v>
      </c>
      <c r="C473" s="11" t="s">
        <v>166</v>
      </c>
      <c r="E473" s="8">
        <v>14700</v>
      </c>
      <c r="G473" s="6">
        <f t="shared" si="11"/>
        <v>14700</v>
      </c>
    </row>
    <row r="474" spans="1:8" x14ac:dyDescent="0.25">
      <c r="A474" s="17">
        <v>42829</v>
      </c>
      <c r="B474" s="10" t="s">
        <v>1400</v>
      </c>
      <c r="C474" s="11" t="s">
        <v>1815</v>
      </c>
      <c r="D474" s="768">
        <v>358</v>
      </c>
      <c r="E474" s="8">
        <v>13194</v>
      </c>
      <c r="G474" s="6">
        <f t="shared" si="11"/>
        <v>13194</v>
      </c>
    </row>
    <row r="475" spans="1:8" x14ac:dyDescent="0.25">
      <c r="A475" s="17">
        <v>42829</v>
      </c>
      <c r="B475" s="10" t="s">
        <v>1400</v>
      </c>
      <c r="C475" s="11" t="s">
        <v>1815</v>
      </c>
      <c r="D475" s="768">
        <v>363</v>
      </c>
      <c r="E475" s="8">
        <v>5580</v>
      </c>
      <c r="G475" s="6">
        <f t="shared" si="11"/>
        <v>5580</v>
      </c>
    </row>
    <row r="476" spans="1:8" x14ac:dyDescent="0.25">
      <c r="A476" s="17">
        <v>42823</v>
      </c>
      <c r="B476" s="10" t="s">
        <v>1400</v>
      </c>
      <c r="C476" s="11" t="s">
        <v>1815</v>
      </c>
      <c r="D476" s="768">
        <v>375</v>
      </c>
      <c r="E476" s="8">
        <v>5313</v>
      </c>
      <c r="G476" s="6">
        <f t="shared" si="11"/>
        <v>5313</v>
      </c>
    </row>
    <row r="477" spans="1:8" x14ac:dyDescent="0.25">
      <c r="A477" s="17">
        <v>42829</v>
      </c>
      <c r="B477" s="10" t="s">
        <v>2089</v>
      </c>
      <c r="C477" s="11" t="s">
        <v>169</v>
      </c>
      <c r="E477" s="8">
        <v>4844</v>
      </c>
      <c r="G477" s="6">
        <f t="shared" si="11"/>
        <v>4844</v>
      </c>
    </row>
    <row r="478" spans="1:8" x14ac:dyDescent="0.25">
      <c r="A478" s="17">
        <v>42833</v>
      </c>
      <c r="B478" s="10" t="s">
        <v>1807</v>
      </c>
      <c r="C478" s="11" t="s">
        <v>169</v>
      </c>
      <c r="F478" s="9">
        <v>4800</v>
      </c>
      <c r="G478" s="6">
        <f t="shared" si="11"/>
        <v>-4800</v>
      </c>
      <c r="H478" s="78"/>
    </row>
    <row r="479" spans="1:8" x14ac:dyDescent="0.25">
      <c r="A479" s="17">
        <v>42833</v>
      </c>
      <c r="B479" s="10" t="s">
        <v>1493</v>
      </c>
      <c r="C479" s="11" t="s">
        <v>169</v>
      </c>
      <c r="F479" s="9">
        <v>13000</v>
      </c>
      <c r="G479" s="6">
        <f t="shared" si="11"/>
        <v>-13000</v>
      </c>
      <c r="H479" s="79"/>
    </row>
    <row r="480" spans="1:8" x14ac:dyDescent="0.25">
      <c r="A480" s="17">
        <v>42833</v>
      </c>
      <c r="B480" s="10" t="s">
        <v>769</v>
      </c>
      <c r="C480" s="11" t="s">
        <v>169</v>
      </c>
      <c r="F480" s="9">
        <v>8652</v>
      </c>
      <c r="G480" s="6">
        <f t="shared" si="11"/>
        <v>-8652</v>
      </c>
      <c r="H480" s="79"/>
    </row>
    <row r="481" spans="1:8" x14ac:dyDescent="0.25">
      <c r="A481" s="17">
        <v>42833</v>
      </c>
      <c r="B481" s="10" t="s">
        <v>1215</v>
      </c>
      <c r="C481" s="11" t="s">
        <v>169</v>
      </c>
      <c r="F481" s="9">
        <v>9600</v>
      </c>
      <c r="G481" s="6">
        <f t="shared" si="11"/>
        <v>-9600</v>
      </c>
      <c r="H481" s="79" t="s">
        <v>2266</v>
      </c>
    </row>
    <row r="482" spans="1:8" x14ac:dyDescent="0.25">
      <c r="A482" s="17">
        <v>42833</v>
      </c>
      <c r="B482" s="10" t="s">
        <v>1399</v>
      </c>
      <c r="C482" s="11" t="s">
        <v>169</v>
      </c>
      <c r="F482" s="9">
        <v>5000</v>
      </c>
      <c r="G482" s="6">
        <f t="shared" si="11"/>
        <v>-5000</v>
      </c>
      <c r="H482" s="79"/>
    </row>
    <row r="483" spans="1:8" x14ac:dyDescent="0.25">
      <c r="A483" s="17">
        <v>42833</v>
      </c>
      <c r="B483" s="10" t="s">
        <v>1397</v>
      </c>
      <c r="C483" s="11" t="s">
        <v>169</v>
      </c>
      <c r="F483" s="9">
        <v>6820</v>
      </c>
      <c r="G483" s="6">
        <f t="shared" si="11"/>
        <v>-6820</v>
      </c>
      <c r="H483" s="79"/>
    </row>
    <row r="484" spans="1:8" x14ac:dyDescent="0.25">
      <c r="A484" s="17">
        <v>42833</v>
      </c>
      <c r="B484" s="10" t="s">
        <v>40</v>
      </c>
      <c r="C484" s="11" t="s">
        <v>169</v>
      </c>
      <c r="F484" s="9">
        <v>2128</v>
      </c>
      <c r="G484" s="6">
        <f t="shared" si="11"/>
        <v>-2128</v>
      </c>
      <c r="H484" s="80"/>
    </row>
    <row r="485" spans="1:8" x14ac:dyDescent="0.25">
      <c r="A485" s="17">
        <v>42835</v>
      </c>
      <c r="B485" s="10" t="s">
        <v>2094</v>
      </c>
      <c r="C485" s="11" t="s">
        <v>166</v>
      </c>
      <c r="E485" s="8">
        <v>4012</v>
      </c>
      <c r="G485" s="6">
        <f t="shared" si="11"/>
        <v>4012</v>
      </c>
    </row>
    <row r="486" spans="1:8" x14ac:dyDescent="0.25">
      <c r="A486" s="17">
        <v>42838</v>
      </c>
      <c r="B486" s="10" t="s">
        <v>40</v>
      </c>
      <c r="C486" s="11" t="s">
        <v>164</v>
      </c>
      <c r="F486" s="9">
        <v>19598</v>
      </c>
      <c r="G486" s="6">
        <f t="shared" si="11"/>
        <v>-19598</v>
      </c>
      <c r="H486" s="78"/>
    </row>
    <row r="487" spans="1:8" x14ac:dyDescent="0.25">
      <c r="A487" s="17">
        <v>42838</v>
      </c>
      <c r="B487" s="10" t="s">
        <v>2089</v>
      </c>
      <c r="C487" s="11" t="s">
        <v>164</v>
      </c>
      <c r="F487" s="9">
        <v>3305</v>
      </c>
      <c r="G487" s="6">
        <f t="shared" si="11"/>
        <v>-3305</v>
      </c>
      <c r="H487" s="79"/>
    </row>
    <row r="488" spans="1:8" x14ac:dyDescent="0.25">
      <c r="A488" s="17">
        <v>42838</v>
      </c>
      <c r="B488" s="10" t="s">
        <v>1805</v>
      </c>
      <c r="C488" s="11" t="s">
        <v>164</v>
      </c>
      <c r="F488" s="9">
        <v>68397</v>
      </c>
      <c r="G488" s="6">
        <f t="shared" si="11"/>
        <v>-68397</v>
      </c>
      <c r="H488" s="79" t="s">
        <v>2277</v>
      </c>
    </row>
    <row r="489" spans="1:8" x14ac:dyDescent="0.25">
      <c r="A489" s="17">
        <v>42838</v>
      </c>
      <c r="B489" s="10" t="s">
        <v>1397</v>
      </c>
      <c r="C489" s="11" t="s">
        <v>164</v>
      </c>
      <c r="F489" s="9">
        <v>8700</v>
      </c>
      <c r="G489" s="6">
        <f t="shared" ref="G489:G670" si="16">E489-F489</f>
        <v>-8700</v>
      </c>
      <c r="H489" s="80"/>
    </row>
    <row r="490" spans="1:8" x14ac:dyDescent="0.25">
      <c r="A490" s="17">
        <v>42801</v>
      </c>
      <c r="B490" s="10" t="s">
        <v>1397</v>
      </c>
      <c r="C490" s="11" t="s">
        <v>180</v>
      </c>
      <c r="E490" s="8">
        <v>29600</v>
      </c>
      <c r="G490" s="6">
        <f t="shared" si="16"/>
        <v>29600</v>
      </c>
    </row>
    <row r="491" spans="1:8" x14ac:dyDescent="0.25">
      <c r="A491" s="17">
        <v>42801</v>
      </c>
      <c r="B491" s="10" t="s">
        <v>1397</v>
      </c>
      <c r="C491" s="11" t="s">
        <v>180</v>
      </c>
      <c r="E491" s="8">
        <v>25560</v>
      </c>
      <c r="G491" s="6">
        <f t="shared" si="16"/>
        <v>25560</v>
      </c>
    </row>
    <row r="492" spans="1:8" x14ac:dyDescent="0.25">
      <c r="A492" s="17">
        <v>42789</v>
      </c>
      <c r="B492" s="10" t="s">
        <v>1397</v>
      </c>
      <c r="C492" s="11" t="s">
        <v>180</v>
      </c>
      <c r="E492" s="8">
        <v>74880</v>
      </c>
      <c r="G492" s="6">
        <f t="shared" si="16"/>
        <v>74880</v>
      </c>
    </row>
    <row r="493" spans="1:8" x14ac:dyDescent="0.25">
      <c r="A493" s="17">
        <v>42801</v>
      </c>
      <c r="B493" s="10" t="s">
        <v>2023</v>
      </c>
      <c r="C493" s="11" t="s">
        <v>180</v>
      </c>
      <c r="E493" s="8">
        <v>52480</v>
      </c>
      <c r="G493" s="6">
        <f t="shared" si="16"/>
        <v>52480</v>
      </c>
    </row>
    <row r="494" spans="1:8" x14ac:dyDescent="0.25">
      <c r="A494" s="17">
        <v>42814</v>
      </c>
      <c r="B494" s="10" t="s">
        <v>1397</v>
      </c>
      <c r="C494" s="11" t="s">
        <v>180</v>
      </c>
      <c r="E494" s="8">
        <v>16000</v>
      </c>
      <c r="G494" s="6">
        <f t="shared" si="16"/>
        <v>16000</v>
      </c>
    </row>
    <row r="495" spans="1:8" x14ac:dyDescent="0.25">
      <c r="A495" s="17">
        <v>42836</v>
      </c>
      <c r="B495" s="10" t="s">
        <v>2023</v>
      </c>
      <c r="C495" s="11" t="s">
        <v>180</v>
      </c>
      <c r="E495" s="8">
        <v>41400</v>
      </c>
      <c r="G495" s="6">
        <f t="shared" si="16"/>
        <v>41400</v>
      </c>
    </row>
    <row r="496" spans="1:8" x14ac:dyDescent="0.25">
      <c r="A496" s="17">
        <v>42836</v>
      </c>
      <c r="B496" s="10" t="s">
        <v>2023</v>
      </c>
      <c r="C496" s="11" t="s">
        <v>180</v>
      </c>
      <c r="E496" s="8">
        <v>19260</v>
      </c>
      <c r="G496" s="6">
        <f t="shared" si="16"/>
        <v>19260</v>
      </c>
    </row>
    <row r="497" spans="1:8" x14ac:dyDescent="0.25">
      <c r="A497" s="17">
        <v>42810</v>
      </c>
      <c r="B497" s="10" t="s">
        <v>2094</v>
      </c>
      <c r="C497" s="11" t="s">
        <v>180</v>
      </c>
      <c r="E497" s="8">
        <v>54420</v>
      </c>
      <c r="G497" s="6">
        <f t="shared" si="16"/>
        <v>54420</v>
      </c>
    </row>
    <row r="498" spans="1:8" x14ac:dyDescent="0.25">
      <c r="A498" s="17">
        <v>42810</v>
      </c>
      <c r="B498" s="10" t="s">
        <v>1397</v>
      </c>
      <c r="C498" s="11" t="s">
        <v>180</v>
      </c>
      <c r="E498" s="8">
        <v>99320</v>
      </c>
      <c r="G498" s="6">
        <f t="shared" si="16"/>
        <v>99320</v>
      </c>
    </row>
    <row r="499" spans="1:8" x14ac:dyDescent="0.25">
      <c r="A499" s="17">
        <v>42786</v>
      </c>
      <c r="B499" s="10" t="s">
        <v>1676</v>
      </c>
      <c r="C499" s="11" t="s">
        <v>180</v>
      </c>
      <c r="E499" s="8">
        <v>11640</v>
      </c>
      <c r="G499" s="6">
        <f t="shared" si="16"/>
        <v>11640</v>
      </c>
    </row>
    <row r="500" spans="1:8" x14ac:dyDescent="0.25">
      <c r="A500" s="17">
        <v>42786</v>
      </c>
      <c r="B500" s="10" t="s">
        <v>1397</v>
      </c>
      <c r="C500" s="11" t="s">
        <v>180</v>
      </c>
      <c r="E500" s="8">
        <v>22300</v>
      </c>
      <c r="G500" s="6">
        <f t="shared" si="16"/>
        <v>22300</v>
      </c>
    </row>
    <row r="501" spans="1:8" x14ac:dyDescent="0.25">
      <c r="A501" s="17">
        <v>42786</v>
      </c>
      <c r="B501" s="10" t="s">
        <v>2023</v>
      </c>
      <c r="C501" s="11" t="s">
        <v>180</v>
      </c>
      <c r="F501" s="9">
        <v>72800</v>
      </c>
      <c r="G501" s="6">
        <f t="shared" si="16"/>
        <v>-72800</v>
      </c>
      <c r="H501" s="31" t="s">
        <v>2279</v>
      </c>
    </row>
    <row r="502" spans="1:8" x14ac:dyDescent="0.25">
      <c r="A502" s="17">
        <v>42836</v>
      </c>
      <c r="B502" s="41" t="s">
        <v>2227</v>
      </c>
      <c r="C502" s="11" t="s">
        <v>166</v>
      </c>
      <c r="D502" s="768">
        <v>9111</v>
      </c>
      <c r="E502" s="8">
        <v>240000</v>
      </c>
      <c r="G502" s="6">
        <f t="shared" si="16"/>
        <v>240000</v>
      </c>
      <c r="H502" s="7" t="s">
        <v>2288</v>
      </c>
    </row>
    <row r="503" spans="1:8" x14ac:dyDescent="0.25">
      <c r="A503" s="17">
        <v>42830</v>
      </c>
      <c r="B503" s="10" t="s">
        <v>1397</v>
      </c>
      <c r="C503" s="11" t="s">
        <v>164</v>
      </c>
      <c r="E503" s="8">
        <v>28566</v>
      </c>
      <c r="G503" s="6">
        <f t="shared" si="16"/>
        <v>28566</v>
      </c>
    </row>
    <row r="504" spans="1:8" x14ac:dyDescent="0.25">
      <c r="A504" s="17">
        <v>42831</v>
      </c>
      <c r="B504" s="10" t="s">
        <v>2263</v>
      </c>
      <c r="C504" s="11" t="s">
        <v>166</v>
      </c>
      <c r="E504" s="8">
        <v>24700</v>
      </c>
      <c r="G504" s="6">
        <f t="shared" si="16"/>
        <v>24700</v>
      </c>
    </row>
    <row r="505" spans="1:8" x14ac:dyDescent="0.25">
      <c r="A505" s="17">
        <v>42838</v>
      </c>
      <c r="B505" s="10" t="s">
        <v>2263</v>
      </c>
      <c r="C505" s="11" t="s">
        <v>166</v>
      </c>
      <c r="E505" s="8">
        <v>26100</v>
      </c>
      <c r="G505" s="6">
        <f t="shared" si="16"/>
        <v>26100</v>
      </c>
    </row>
    <row r="506" spans="1:8" x14ac:dyDescent="0.25">
      <c r="A506" s="17">
        <v>42843</v>
      </c>
      <c r="B506" s="10" t="s">
        <v>2263</v>
      </c>
      <c r="C506" s="11" t="s">
        <v>166</v>
      </c>
      <c r="E506" s="8">
        <v>5600</v>
      </c>
      <c r="G506" s="6">
        <f t="shared" si="16"/>
        <v>5600</v>
      </c>
    </row>
    <row r="507" spans="1:8" x14ac:dyDescent="0.25">
      <c r="A507" s="17">
        <v>42835</v>
      </c>
      <c r="B507" s="10" t="s">
        <v>1805</v>
      </c>
      <c r="C507" s="11" t="s">
        <v>166</v>
      </c>
      <c r="E507" s="8">
        <v>3300</v>
      </c>
      <c r="G507" s="6">
        <f t="shared" si="16"/>
        <v>3300</v>
      </c>
    </row>
    <row r="508" spans="1:8" x14ac:dyDescent="0.25">
      <c r="A508" s="17">
        <v>42839</v>
      </c>
      <c r="B508" s="10" t="s">
        <v>2089</v>
      </c>
      <c r="C508" s="11" t="s">
        <v>166</v>
      </c>
      <c r="E508" s="8">
        <v>3186</v>
      </c>
      <c r="G508" s="6">
        <f t="shared" si="16"/>
        <v>3186</v>
      </c>
    </row>
    <row r="509" spans="1:8" x14ac:dyDescent="0.25">
      <c r="A509" s="17">
        <v>42847</v>
      </c>
      <c r="B509" s="10" t="s">
        <v>2094</v>
      </c>
      <c r="C509" s="11" t="s">
        <v>169</v>
      </c>
      <c r="E509" s="8">
        <v>4300</v>
      </c>
      <c r="G509" s="6">
        <f t="shared" si="16"/>
        <v>4300</v>
      </c>
    </row>
    <row r="510" spans="1:8" x14ac:dyDescent="0.25">
      <c r="A510" s="17">
        <v>42830</v>
      </c>
      <c r="B510" s="10" t="s">
        <v>1397</v>
      </c>
      <c r="C510" s="11" t="s">
        <v>1803</v>
      </c>
      <c r="E510" s="8">
        <v>26755</v>
      </c>
      <c r="G510" s="6">
        <f t="shared" si="16"/>
        <v>26755</v>
      </c>
    </row>
    <row r="511" spans="1:8" x14ac:dyDescent="0.25">
      <c r="A511" s="17">
        <v>42838</v>
      </c>
      <c r="B511" s="10" t="s">
        <v>1400</v>
      </c>
      <c r="C511" s="11" t="s">
        <v>1803</v>
      </c>
      <c r="E511" s="8">
        <v>103641</v>
      </c>
      <c r="G511" s="6">
        <f t="shared" si="16"/>
        <v>103641</v>
      </c>
    </row>
    <row r="512" spans="1:8" x14ac:dyDescent="0.25">
      <c r="A512" s="17">
        <v>42829</v>
      </c>
      <c r="B512" s="10" t="s">
        <v>1397</v>
      </c>
      <c r="C512" s="11" t="s">
        <v>1803</v>
      </c>
      <c r="E512" s="8">
        <v>1442</v>
      </c>
      <c r="G512" s="6">
        <f t="shared" si="16"/>
        <v>1442</v>
      </c>
    </row>
    <row r="513" spans="1:8" x14ac:dyDescent="0.25">
      <c r="A513" s="17">
        <v>42832</v>
      </c>
      <c r="B513" s="10" t="s">
        <v>1397</v>
      </c>
      <c r="C513" s="11" t="s">
        <v>1803</v>
      </c>
      <c r="F513" s="9">
        <v>28035</v>
      </c>
      <c r="G513" s="6">
        <f t="shared" si="16"/>
        <v>-28035</v>
      </c>
      <c r="H513" s="7" t="s">
        <v>2320</v>
      </c>
    </row>
    <row r="514" spans="1:8" x14ac:dyDescent="0.25">
      <c r="A514" s="17">
        <v>42838</v>
      </c>
      <c r="B514" s="10" t="s">
        <v>1397</v>
      </c>
      <c r="C514" s="11" t="s">
        <v>1803</v>
      </c>
      <c r="E514" s="8">
        <v>33150</v>
      </c>
      <c r="G514" s="6">
        <f t="shared" si="16"/>
        <v>33150</v>
      </c>
    </row>
    <row r="515" spans="1:8" x14ac:dyDescent="0.25">
      <c r="A515" s="17">
        <v>42851</v>
      </c>
      <c r="B515" s="10" t="s">
        <v>1805</v>
      </c>
      <c r="C515" s="11" t="s">
        <v>161</v>
      </c>
      <c r="F515" s="9">
        <v>1500</v>
      </c>
      <c r="G515" s="6">
        <f t="shared" si="16"/>
        <v>-1500</v>
      </c>
      <c r="H515" s="31" t="s">
        <v>2321</v>
      </c>
    </row>
    <row r="516" spans="1:8" x14ac:dyDescent="0.25">
      <c r="A516" s="17">
        <v>42851</v>
      </c>
      <c r="B516" s="10" t="s">
        <v>40</v>
      </c>
      <c r="C516" s="11" t="s">
        <v>161</v>
      </c>
      <c r="F516" s="9">
        <v>245069</v>
      </c>
      <c r="G516" s="6">
        <f t="shared" si="16"/>
        <v>-245069</v>
      </c>
      <c r="H516" s="31" t="s">
        <v>2323</v>
      </c>
    </row>
    <row r="517" spans="1:8" x14ac:dyDescent="0.25">
      <c r="A517" s="17">
        <v>42851</v>
      </c>
      <c r="B517" s="10" t="s">
        <v>1397</v>
      </c>
      <c r="C517" s="11" t="s">
        <v>161</v>
      </c>
      <c r="F517" s="9">
        <v>38431</v>
      </c>
      <c r="G517" s="6">
        <f t="shared" si="16"/>
        <v>-38431</v>
      </c>
      <c r="H517" s="31" t="s">
        <v>2322</v>
      </c>
    </row>
    <row r="518" spans="1:8" x14ac:dyDescent="0.25">
      <c r="A518" s="17">
        <v>42851</v>
      </c>
      <c r="B518" s="10" t="s">
        <v>2094</v>
      </c>
      <c r="C518" s="11" t="s">
        <v>166</v>
      </c>
      <c r="E518" s="8">
        <v>15400</v>
      </c>
      <c r="G518" s="6">
        <f t="shared" si="16"/>
        <v>15400</v>
      </c>
    </row>
    <row r="519" spans="1:8" x14ac:dyDescent="0.25">
      <c r="A519" s="17">
        <v>42850</v>
      </c>
      <c r="B519" s="10" t="s">
        <v>1400</v>
      </c>
      <c r="C519" s="11" t="s">
        <v>1815</v>
      </c>
      <c r="E519" s="8">
        <v>67883</v>
      </c>
      <c r="G519" s="6">
        <f t="shared" si="16"/>
        <v>67883</v>
      </c>
    </row>
    <row r="520" spans="1:8" x14ac:dyDescent="0.25">
      <c r="A520" s="17">
        <v>42843</v>
      </c>
      <c r="B520" s="10" t="s">
        <v>2263</v>
      </c>
      <c r="C520" s="11" t="s">
        <v>180</v>
      </c>
      <c r="E520" s="8">
        <v>20360</v>
      </c>
      <c r="G520" s="6">
        <f t="shared" si="16"/>
        <v>20360</v>
      </c>
    </row>
    <row r="521" spans="1:8" x14ac:dyDescent="0.25">
      <c r="A521" s="17">
        <v>42892</v>
      </c>
      <c r="B521" s="10" t="s">
        <v>1397</v>
      </c>
      <c r="C521" s="11" t="s">
        <v>180</v>
      </c>
      <c r="E521" s="8">
        <v>16800</v>
      </c>
      <c r="G521" s="6">
        <f t="shared" si="16"/>
        <v>16800</v>
      </c>
    </row>
    <row r="522" spans="1:8" x14ac:dyDescent="0.25">
      <c r="A522" s="17">
        <v>42971</v>
      </c>
      <c r="B522" s="10" t="s">
        <v>2227</v>
      </c>
      <c r="C522" s="11" t="s">
        <v>180</v>
      </c>
      <c r="E522" s="8">
        <v>22000</v>
      </c>
      <c r="G522" s="6">
        <f t="shared" ref="G522:G523" si="17">E522-F522</f>
        <v>22000</v>
      </c>
    </row>
    <row r="523" spans="1:8" x14ac:dyDescent="0.25">
      <c r="A523" s="17">
        <v>43011</v>
      </c>
      <c r="B523" s="10" t="s">
        <v>1400</v>
      </c>
      <c r="C523" s="11" t="s">
        <v>180</v>
      </c>
      <c r="E523" s="8">
        <v>20050</v>
      </c>
      <c r="G523" s="6">
        <f t="shared" si="17"/>
        <v>20050</v>
      </c>
    </row>
    <row r="524" spans="1:8" x14ac:dyDescent="0.25">
      <c r="A524" s="17">
        <v>42853</v>
      </c>
      <c r="B524" s="10" t="s">
        <v>40</v>
      </c>
      <c r="C524" s="11" t="s">
        <v>180</v>
      </c>
      <c r="F524" s="9">
        <v>135393</v>
      </c>
      <c r="G524" s="6">
        <f t="shared" si="16"/>
        <v>-135393</v>
      </c>
      <c r="H524" s="78"/>
    </row>
    <row r="525" spans="1:8" x14ac:dyDescent="0.25">
      <c r="A525" s="17">
        <v>42853</v>
      </c>
      <c r="B525" s="10" t="s">
        <v>1676</v>
      </c>
      <c r="C525" s="11" t="s">
        <v>180</v>
      </c>
      <c r="F525" s="9">
        <v>41170</v>
      </c>
      <c r="G525" s="6">
        <f t="shared" si="16"/>
        <v>-41170</v>
      </c>
      <c r="H525" s="79"/>
    </row>
    <row r="526" spans="1:8" x14ac:dyDescent="0.25">
      <c r="A526" s="17">
        <v>42853</v>
      </c>
      <c r="B526" s="10" t="s">
        <v>1397</v>
      </c>
      <c r="C526" s="11" t="s">
        <v>180</v>
      </c>
      <c r="F526" s="9">
        <v>62737</v>
      </c>
      <c r="G526" s="6">
        <f t="shared" si="16"/>
        <v>-62737</v>
      </c>
      <c r="H526" s="79" t="s">
        <v>2332</v>
      </c>
    </row>
    <row r="527" spans="1:8" x14ac:dyDescent="0.25">
      <c r="A527" s="17">
        <v>42853</v>
      </c>
      <c r="B527" s="10" t="s">
        <v>2023</v>
      </c>
      <c r="C527" s="11" t="s">
        <v>180</v>
      </c>
      <c r="F527" s="9">
        <v>40340</v>
      </c>
      <c r="G527" s="6">
        <f t="shared" si="16"/>
        <v>-40340</v>
      </c>
      <c r="H527" s="79"/>
    </row>
    <row r="528" spans="1:8" x14ac:dyDescent="0.25">
      <c r="A528" s="17">
        <v>42853</v>
      </c>
      <c r="B528" s="10" t="s">
        <v>2263</v>
      </c>
      <c r="C528" s="11" t="s">
        <v>180</v>
      </c>
      <c r="F528" s="9">
        <v>20360</v>
      </c>
      <c r="G528" s="6">
        <f t="shared" si="16"/>
        <v>-20360</v>
      </c>
      <c r="H528" s="80"/>
    </row>
    <row r="529" spans="1:8" x14ac:dyDescent="0.25">
      <c r="A529" s="17">
        <v>42854</v>
      </c>
      <c r="B529" s="10" t="s">
        <v>1397</v>
      </c>
      <c r="C529" s="11" t="s">
        <v>169</v>
      </c>
      <c r="E529" s="8">
        <v>10000</v>
      </c>
      <c r="G529" s="6">
        <f t="shared" si="16"/>
        <v>10000</v>
      </c>
    </row>
    <row r="530" spans="1:8" x14ac:dyDescent="0.25">
      <c r="A530" s="17">
        <v>42838</v>
      </c>
      <c r="B530" s="10" t="s">
        <v>1397</v>
      </c>
      <c r="C530" s="11" t="s">
        <v>164</v>
      </c>
      <c r="E530" s="8">
        <v>1407</v>
      </c>
      <c r="G530" s="6">
        <f t="shared" si="16"/>
        <v>1407</v>
      </c>
    </row>
    <row r="531" spans="1:8" x14ac:dyDescent="0.25">
      <c r="A531" s="17">
        <v>42838</v>
      </c>
      <c r="B531" s="10" t="s">
        <v>1400</v>
      </c>
      <c r="C531" s="11" t="s">
        <v>164</v>
      </c>
      <c r="E531" s="8">
        <v>2155</v>
      </c>
      <c r="G531" s="6">
        <f t="shared" si="16"/>
        <v>2155</v>
      </c>
    </row>
    <row r="532" spans="1:8" x14ac:dyDescent="0.25">
      <c r="A532" s="17">
        <v>42846</v>
      </c>
      <c r="B532" s="10" t="s">
        <v>2094</v>
      </c>
      <c r="C532" s="11" t="s">
        <v>164</v>
      </c>
      <c r="E532" s="8">
        <v>4304</v>
      </c>
      <c r="G532" s="6">
        <f t="shared" si="16"/>
        <v>4304</v>
      </c>
    </row>
    <row r="533" spans="1:8" x14ac:dyDescent="0.25">
      <c r="A533" s="17">
        <v>42852</v>
      </c>
      <c r="B533" s="10" t="s">
        <v>1400</v>
      </c>
      <c r="C533" s="11" t="s">
        <v>1815</v>
      </c>
      <c r="D533" s="768">
        <v>396</v>
      </c>
      <c r="E533" s="8">
        <v>124666</v>
      </c>
      <c r="G533" s="6">
        <f t="shared" si="16"/>
        <v>124666</v>
      </c>
    </row>
    <row r="534" spans="1:8" x14ac:dyDescent="0.25">
      <c r="A534" s="17">
        <v>42858</v>
      </c>
      <c r="B534" s="10" t="s">
        <v>2094</v>
      </c>
      <c r="C534" s="11" t="s">
        <v>164</v>
      </c>
      <c r="E534" s="8">
        <v>14633</v>
      </c>
      <c r="G534" s="6">
        <f t="shared" si="16"/>
        <v>14633</v>
      </c>
    </row>
    <row r="535" spans="1:8" x14ac:dyDescent="0.25">
      <c r="A535" s="17">
        <v>42854</v>
      </c>
      <c r="B535" s="10" t="s">
        <v>1397</v>
      </c>
      <c r="C535" s="11" t="s">
        <v>161</v>
      </c>
      <c r="E535" s="8">
        <v>12083</v>
      </c>
      <c r="G535" s="6">
        <f t="shared" si="16"/>
        <v>12083</v>
      </c>
    </row>
    <row r="536" spans="1:8" x14ac:dyDescent="0.25">
      <c r="A536" s="17">
        <v>42873</v>
      </c>
      <c r="B536" s="10" t="s">
        <v>1400</v>
      </c>
      <c r="C536" s="11" t="s">
        <v>1815</v>
      </c>
      <c r="E536" s="8">
        <v>152671</v>
      </c>
      <c r="G536" s="6">
        <f t="shared" si="16"/>
        <v>152671</v>
      </c>
    </row>
    <row r="537" spans="1:8" x14ac:dyDescent="0.25">
      <c r="A537" s="17">
        <v>42861</v>
      </c>
      <c r="B537" s="10" t="s">
        <v>2404</v>
      </c>
      <c r="C537" s="11" t="s">
        <v>161</v>
      </c>
      <c r="E537" s="8">
        <v>907</v>
      </c>
      <c r="G537" s="6">
        <f t="shared" si="16"/>
        <v>907</v>
      </c>
    </row>
    <row r="538" spans="1:8" x14ac:dyDescent="0.25">
      <c r="A538" s="17">
        <v>42875</v>
      </c>
      <c r="B538" s="10" t="s">
        <v>1400</v>
      </c>
      <c r="C538" s="11" t="s">
        <v>164</v>
      </c>
      <c r="F538" s="9">
        <v>2155</v>
      </c>
      <c r="G538" s="6">
        <f t="shared" si="16"/>
        <v>-2155</v>
      </c>
      <c r="H538" s="78"/>
    </row>
    <row r="539" spans="1:8" x14ac:dyDescent="0.25">
      <c r="A539" s="17">
        <v>42875</v>
      </c>
      <c r="B539" s="10" t="s">
        <v>2094</v>
      </c>
      <c r="C539" s="11" t="s">
        <v>164</v>
      </c>
      <c r="F539" s="9">
        <v>18937</v>
      </c>
      <c r="G539" s="6">
        <f t="shared" si="16"/>
        <v>-18937</v>
      </c>
      <c r="H539" s="79" t="s">
        <v>2410</v>
      </c>
    </row>
    <row r="540" spans="1:8" x14ac:dyDescent="0.25">
      <c r="A540" s="17">
        <v>42875</v>
      </c>
      <c r="B540" s="10" t="s">
        <v>1397</v>
      </c>
      <c r="C540" s="11" t="s">
        <v>164</v>
      </c>
      <c r="F540" s="9">
        <v>78908</v>
      </c>
      <c r="G540" s="6">
        <f t="shared" si="16"/>
        <v>-78908</v>
      </c>
      <c r="H540" s="80"/>
    </row>
    <row r="541" spans="1:8" x14ac:dyDescent="0.25">
      <c r="A541" s="17">
        <v>42875</v>
      </c>
      <c r="B541" s="10" t="s">
        <v>2404</v>
      </c>
      <c r="C541" s="11" t="s">
        <v>161</v>
      </c>
      <c r="F541" s="9">
        <v>907</v>
      </c>
      <c r="G541" s="6">
        <f t="shared" si="16"/>
        <v>-907</v>
      </c>
      <c r="H541" s="1198" t="s">
        <v>2412</v>
      </c>
    </row>
    <row r="542" spans="1:8" x14ac:dyDescent="0.25">
      <c r="A542" s="17">
        <v>42875</v>
      </c>
      <c r="B542" s="10" t="s">
        <v>1397</v>
      </c>
      <c r="C542" s="11" t="s">
        <v>161</v>
      </c>
      <c r="F542" s="9">
        <v>99093</v>
      </c>
      <c r="G542" s="6">
        <f t="shared" si="16"/>
        <v>-99093</v>
      </c>
      <c r="H542" s="1200"/>
    </row>
    <row r="543" spans="1:8" x14ac:dyDescent="0.25">
      <c r="A543" s="17">
        <v>42875</v>
      </c>
      <c r="B543" s="10" t="s">
        <v>2094</v>
      </c>
      <c r="C543" s="11" t="s">
        <v>169</v>
      </c>
      <c r="F543" s="9">
        <v>4300</v>
      </c>
      <c r="G543" s="6">
        <f t="shared" si="16"/>
        <v>-4300</v>
      </c>
      <c r="H543" s="78"/>
    </row>
    <row r="544" spans="1:8" x14ac:dyDescent="0.25">
      <c r="A544" s="17">
        <v>42875</v>
      </c>
      <c r="B544" s="10" t="s">
        <v>1397</v>
      </c>
      <c r="C544" s="11" t="s">
        <v>169</v>
      </c>
      <c r="F544" s="9">
        <v>10000</v>
      </c>
      <c r="G544" s="6">
        <f t="shared" si="16"/>
        <v>-10000</v>
      </c>
      <c r="H544" s="79" t="s">
        <v>2411</v>
      </c>
    </row>
    <row r="545" spans="1:8" x14ac:dyDescent="0.25">
      <c r="A545" s="17">
        <v>42875</v>
      </c>
      <c r="B545" s="10" t="s">
        <v>2089</v>
      </c>
      <c r="C545" s="11" t="s">
        <v>169</v>
      </c>
      <c r="F545" s="9">
        <v>28444</v>
      </c>
      <c r="G545" s="6">
        <f t="shared" si="16"/>
        <v>-28444</v>
      </c>
      <c r="H545" s="79"/>
    </row>
    <row r="546" spans="1:8" x14ac:dyDescent="0.25">
      <c r="A546" s="17">
        <v>42875</v>
      </c>
      <c r="B546" s="10" t="s">
        <v>40</v>
      </c>
      <c r="C546" s="11" t="s">
        <v>169</v>
      </c>
      <c r="F546" s="9">
        <v>7256</v>
      </c>
      <c r="G546" s="6">
        <f t="shared" si="16"/>
        <v>-7256</v>
      </c>
      <c r="H546" s="80"/>
    </row>
    <row r="547" spans="1:8" x14ac:dyDescent="0.25">
      <c r="A547" s="17">
        <v>42875</v>
      </c>
      <c r="B547" s="10" t="s">
        <v>1400</v>
      </c>
      <c r="C547" s="11" t="s">
        <v>1803</v>
      </c>
      <c r="F547" s="9">
        <v>100000</v>
      </c>
      <c r="G547" s="6">
        <f t="shared" si="16"/>
        <v>-100000</v>
      </c>
      <c r="H547" s="132"/>
    </row>
    <row r="548" spans="1:8" x14ac:dyDescent="0.25">
      <c r="A548" s="17">
        <v>42875</v>
      </c>
      <c r="B548" s="10" t="s">
        <v>1397</v>
      </c>
      <c r="C548" s="11" t="s">
        <v>1803</v>
      </c>
      <c r="F548" s="9">
        <v>100000</v>
      </c>
      <c r="G548" s="6">
        <f t="shared" si="16"/>
        <v>-100000</v>
      </c>
      <c r="H548" s="124"/>
    </row>
    <row r="549" spans="1:8" x14ac:dyDescent="0.25">
      <c r="A549" s="17">
        <v>42875</v>
      </c>
      <c r="B549" s="10" t="s">
        <v>33</v>
      </c>
      <c r="C549" s="11" t="s">
        <v>1803</v>
      </c>
      <c r="F549" s="9">
        <v>50000</v>
      </c>
      <c r="G549" s="6">
        <f t="shared" si="16"/>
        <v>-50000</v>
      </c>
      <c r="H549" s="79" t="s">
        <v>2414</v>
      </c>
    </row>
    <row r="550" spans="1:8" x14ac:dyDescent="0.25">
      <c r="A550" s="17">
        <v>42875</v>
      </c>
      <c r="B550" s="10" t="s">
        <v>32</v>
      </c>
      <c r="C550" s="11" t="s">
        <v>1803</v>
      </c>
      <c r="F550" s="9">
        <v>50000</v>
      </c>
      <c r="G550" s="6">
        <f t="shared" si="16"/>
        <v>-50000</v>
      </c>
      <c r="H550" s="133"/>
    </row>
    <row r="551" spans="1:8" x14ac:dyDescent="0.25">
      <c r="A551" s="17">
        <v>42863</v>
      </c>
      <c r="B551" s="10" t="s">
        <v>1400</v>
      </c>
      <c r="C551" s="11" t="s">
        <v>1803</v>
      </c>
      <c r="E551" s="134">
        <v>32711</v>
      </c>
      <c r="G551" s="6">
        <f t="shared" si="16"/>
        <v>32711</v>
      </c>
    </row>
    <row r="552" spans="1:8" x14ac:dyDescent="0.25">
      <c r="A552" s="17">
        <v>42864</v>
      </c>
      <c r="B552" s="10" t="s">
        <v>1400</v>
      </c>
      <c r="C552" s="11" t="s">
        <v>1803</v>
      </c>
      <c r="E552" s="134">
        <v>2806</v>
      </c>
      <c r="G552" s="6">
        <f t="shared" si="16"/>
        <v>2806</v>
      </c>
    </row>
    <row r="553" spans="1:8" x14ac:dyDescent="0.25">
      <c r="A553" s="17">
        <v>42870</v>
      </c>
      <c r="B553" s="10" t="s">
        <v>38</v>
      </c>
      <c r="C553" s="11" t="s">
        <v>161</v>
      </c>
      <c r="E553" s="8">
        <v>2318</v>
      </c>
      <c r="G553" s="6">
        <f t="shared" si="16"/>
        <v>2318</v>
      </c>
    </row>
    <row r="554" spans="1:8" x14ac:dyDescent="0.25">
      <c r="A554" s="17">
        <v>42875</v>
      </c>
      <c r="B554" s="10" t="s">
        <v>2271</v>
      </c>
      <c r="C554" s="11" t="s">
        <v>164</v>
      </c>
      <c r="E554" s="8">
        <v>6104</v>
      </c>
      <c r="G554" s="6">
        <f t="shared" si="16"/>
        <v>6104</v>
      </c>
    </row>
    <row r="555" spans="1:8" x14ac:dyDescent="0.25">
      <c r="A555" s="17">
        <v>42858</v>
      </c>
      <c r="B555" s="10" t="s">
        <v>2271</v>
      </c>
      <c r="C555" s="11" t="s">
        <v>164</v>
      </c>
      <c r="G555" s="6">
        <f t="shared" si="16"/>
        <v>0</v>
      </c>
    </row>
    <row r="556" spans="1:8" x14ac:dyDescent="0.25">
      <c r="A556" s="17">
        <v>42863</v>
      </c>
      <c r="B556" s="10" t="s">
        <v>2094</v>
      </c>
      <c r="C556" s="11" t="s">
        <v>166</v>
      </c>
      <c r="E556" s="8">
        <v>37100</v>
      </c>
      <c r="G556" s="6">
        <f t="shared" si="16"/>
        <v>37100</v>
      </c>
    </row>
    <row r="557" spans="1:8" x14ac:dyDescent="0.25">
      <c r="A557" s="138">
        <v>42866</v>
      </c>
      <c r="B557" s="10" t="s">
        <v>2263</v>
      </c>
      <c r="C557" s="11" t="s">
        <v>166</v>
      </c>
      <c r="E557" s="8">
        <v>3264</v>
      </c>
      <c r="G557" s="6">
        <f t="shared" si="16"/>
        <v>3264</v>
      </c>
    </row>
    <row r="558" spans="1:8" x14ac:dyDescent="0.25">
      <c r="A558" s="17">
        <v>42880</v>
      </c>
      <c r="B558" s="139" t="s">
        <v>1397</v>
      </c>
      <c r="C558" s="140" t="s">
        <v>164</v>
      </c>
      <c r="D558" s="770"/>
      <c r="E558" s="141"/>
      <c r="F558" s="142">
        <v>100000</v>
      </c>
      <c r="G558" s="143">
        <f t="shared" si="16"/>
        <v>-100000</v>
      </c>
      <c r="H558" s="31" t="s">
        <v>2416</v>
      </c>
    </row>
    <row r="559" spans="1:8" x14ac:dyDescent="0.25">
      <c r="A559" s="17">
        <v>42880</v>
      </c>
      <c r="B559" s="144" t="s">
        <v>33</v>
      </c>
      <c r="C559" s="145" t="s">
        <v>1803</v>
      </c>
      <c r="D559" s="771"/>
      <c r="E559" s="146"/>
      <c r="F559" s="147">
        <v>100000</v>
      </c>
      <c r="G559" s="148">
        <f t="shared" si="16"/>
        <v>-100000</v>
      </c>
      <c r="H559" s="1198" t="s">
        <v>2420</v>
      </c>
    </row>
    <row r="560" spans="1:8" x14ac:dyDescent="0.25">
      <c r="A560" s="17">
        <v>42880</v>
      </c>
      <c r="B560" s="149" t="s">
        <v>32</v>
      </c>
      <c r="C560" s="150" t="s">
        <v>1803</v>
      </c>
      <c r="D560" s="772"/>
      <c r="E560" s="151"/>
      <c r="F560" s="152">
        <v>100000</v>
      </c>
      <c r="G560" s="153">
        <f t="shared" si="16"/>
        <v>-100000</v>
      </c>
      <c r="H560" s="1200"/>
    </row>
    <row r="561" spans="1:8" x14ac:dyDescent="0.25">
      <c r="A561" s="17">
        <v>42880</v>
      </c>
      <c r="B561" s="144" t="s">
        <v>2227</v>
      </c>
      <c r="C561" s="145" t="s">
        <v>166</v>
      </c>
      <c r="D561" s="771"/>
      <c r="E561" s="146"/>
      <c r="F561" s="147">
        <v>14455</v>
      </c>
      <c r="G561" s="148">
        <f t="shared" si="16"/>
        <v>-14455</v>
      </c>
      <c r="H561" s="78"/>
    </row>
    <row r="562" spans="1:8" x14ac:dyDescent="0.25">
      <c r="A562" s="17">
        <v>42880</v>
      </c>
      <c r="B562" s="10" t="s">
        <v>2094</v>
      </c>
      <c r="C562" s="11" t="s">
        <v>166</v>
      </c>
      <c r="F562" s="9">
        <v>1085</v>
      </c>
      <c r="G562" s="6">
        <f t="shared" si="16"/>
        <v>-1085</v>
      </c>
      <c r="H562" s="79"/>
    </row>
    <row r="563" spans="1:8" x14ac:dyDescent="0.25">
      <c r="A563" s="17">
        <v>42880</v>
      </c>
      <c r="B563" s="10" t="s">
        <v>1676</v>
      </c>
      <c r="C563" s="11" t="s">
        <v>166</v>
      </c>
      <c r="F563" s="9">
        <v>3276</v>
      </c>
      <c r="G563" s="6">
        <f t="shared" si="16"/>
        <v>-3276</v>
      </c>
      <c r="H563" s="31" t="s">
        <v>2419</v>
      </c>
    </row>
    <row r="564" spans="1:8" x14ac:dyDescent="0.25">
      <c r="A564" s="17">
        <v>42880</v>
      </c>
      <c r="B564" s="10" t="s">
        <v>1805</v>
      </c>
      <c r="C564" s="11" t="s">
        <v>166</v>
      </c>
      <c r="F564" s="9">
        <v>12900</v>
      </c>
      <c r="G564" s="6">
        <f t="shared" si="16"/>
        <v>-12900</v>
      </c>
      <c r="H564" s="79"/>
    </row>
    <row r="565" spans="1:8" x14ac:dyDescent="0.25">
      <c r="A565" s="17">
        <v>42880</v>
      </c>
      <c r="B565" s="10" t="s">
        <v>2089</v>
      </c>
      <c r="C565" s="11" t="s">
        <v>166</v>
      </c>
      <c r="F565" s="9">
        <v>8620</v>
      </c>
      <c r="G565" s="6">
        <f t="shared" si="16"/>
        <v>-8620</v>
      </c>
      <c r="H565" s="79"/>
    </row>
    <row r="566" spans="1:8" x14ac:dyDescent="0.25">
      <c r="A566" s="17">
        <v>42880</v>
      </c>
      <c r="B566" s="149" t="s">
        <v>2263</v>
      </c>
      <c r="C566" s="150" t="s">
        <v>166</v>
      </c>
      <c r="D566" s="772"/>
      <c r="E566" s="151"/>
      <c r="F566" s="152">
        <v>59664</v>
      </c>
      <c r="G566" s="153">
        <f t="shared" si="16"/>
        <v>-59664</v>
      </c>
      <c r="H566" s="80"/>
    </row>
    <row r="567" spans="1:8" x14ac:dyDescent="0.25">
      <c r="A567" s="17">
        <v>42877</v>
      </c>
      <c r="B567" s="10" t="s">
        <v>2271</v>
      </c>
      <c r="C567" s="11" t="s">
        <v>166</v>
      </c>
      <c r="E567" s="8">
        <v>22700</v>
      </c>
      <c r="G567" s="143">
        <f t="shared" si="16"/>
        <v>22700</v>
      </c>
    </row>
    <row r="568" spans="1:8" x14ac:dyDescent="0.25">
      <c r="A568" s="17">
        <v>42880</v>
      </c>
      <c r="B568" s="10" t="s">
        <v>2023</v>
      </c>
      <c r="C568" s="11" t="s">
        <v>166</v>
      </c>
      <c r="E568" s="8">
        <v>5600</v>
      </c>
      <c r="G568" s="143">
        <f t="shared" si="16"/>
        <v>5600</v>
      </c>
    </row>
    <row r="569" spans="1:8" x14ac:dyDescent="0.25">
      <c r="A569" s="17">
        <v>42879</v>
      </c>
      <c r="B569" s="10" t="s">
        <v>2023</v>
      </c>
      <c r="C569" s="11" t="s">
        <v>166</v>
      </c>
      <c r="E569" s="8">
        <v>40996</v>
      </c>
      <c r="G569" s="143">
        <f t="shared" si="16"/>
        <v>40996</v>
      </c>
    </row>
    <row r="570" spans="1:8" x14ac:dyDescent="0.25">
      <c r="A570" s="17">
        <v>42884</v>
      </c>
      <c r="B570" s="10" t="s">
        <v>1400</v>
      </c>
      <c r="C570" s="11" t="s">
        <v>1815</v>
      </c>
      <c r="E570" s="225">
        <v>15210</v>
      </c>
      <c r="G570" s="6">
        <f t="shared" si="16"/>
        <v>15210</v>
      </c>
    </row>
    <row r="571" spans="1:8" x14ac:dyDescent="0.25">
      <c r="A571" s="17">
        <v>42884</v>
      </c>
      <c r="B571" s="10" t="s">
        <v>1400</v>
      </c>
      <c r="C571" s="11" t="s">
        <v>1815</v>
      </c>
      <c r="E571" s="225">
        <v>276784</v>
      </c>
      <c r="G571" s="6">
        <f t="shared" si="16"/>
        <v>276784</v>
      </c>
    </row>
    <row r="572" spans="1:8" x14ac:dyDescent="0.25">
      <c r="A572" s="17">
        <v>42882</v>
      </c>
      <c r="B572" s="10" t="s">
        <v>2023</v>
      </c>
      <c r="C572" s="11" t="s">
        <v>166</v>
      </c>
      <c r="E572" s="8">
        <v>9900</v>
      </c>
      <c r="G572" s="6">
        <f t="shared" si="16"/>
        <v>9900</v>
      </c>
    </row>
    <row r="573" spans="1:8" x14ac:dyDescent="0.25">
      <c r="A573" s="17">
        <v>42881</v>
      </c>
      <c r="B573" s="10" t="s">
        <v>1676</v>
      </c>
      <c r="C573" s="11" t="s">
        <v>166</v>
      </c>
      <c r="E573" s="8">
        <v>1400</v>
      </c>
      <c r="G573" s="6">
        <f t="shared" si="16"/>
        <v>1400</v>
      </c>
    </row>
    <row r="574" spans="1:8" x14ac:dyDescent="0.25">
      <c r="A574" s="17">
        <v>42875</v>
      </c>
      <c r="B574" s="10" t="s">
        <v>2043</v>
      </c>
      <c r="C574" s="11" t="s">
        <v>161</v>
      </c>
      <c r="E574" s="8">
        <v>58092</v>
      </c>
      <c r="G574" s="6">
        <f t="shared" si="16"/>
        <v>58092</v>
      </c>
    </row>
    <row r="575" spans="1:8" x14ac:dyDescent="0.25">
      <c r="A575" s="17">
        <v>42899</v>
      </c>
      <c r="B575" s="10" t="s">
        <v>2271</v>
      </c>
      <c r="C575" s="11" t="s">
        <v>164</v>
      </c>
      <c r="E575" s="8">
        <v>585</v>
      </c>
      <c r="G575" s="6">
        <f t="shared" si="16"/>
        <v>585</v>
      </c>
    </row>
    <row r="576" spans="1:8" x14ac:dyDescent="0.25">
      <c r="A576" s="17">
        <v>42889</v>
      </c>
      <c r="B576" s="10" t="s">
        <v>1400</v>
      </c>
      <c r="C576" s="11" t="s">
        <v>1815</v>
      </c>
      <c r="D576" s="768">
        <v>453</v>
      </c>
      <c r="E576" s="8">
        <v>177080</v>
      </c>
      <c r="G576" s="6">
        <f t="shared" si="16"/>
        <v>177080</v>
      </c>
    </row>
    <row r="577" spans="1:7" x14ac:dyDescent="0.25">
      <c r="A577" s="17">
        <v>42892</v>
      </c>
      <c r="B577" s="10" t="s">
        <v>1400</v>
      </c>
      <c r="C577" s="11" t="s">
        <v>1815</v>
      </c>
      <c r="D577" s="768">
        <v>390</v>
      </c>
      <c r="E577" s="8">
        <v>85844</v>
      </c>
      <c r="G577" s="6">
        <f t="shared" si="16"/>
        <v>85844</v>
      </c>
    </row>
    <row r="578" spans="1:7" x14ac:dyDescent="0.25">
      <c r="A578" s="17">
        <v>42908</v>
      </c>
      <c r="B578" s="10" t="s">
        <v>1400</v>
      </c>
      <c r="C578" s="11" t="s">
        <v>1815</v>
      </c>
      <c r="F578" s="9">
        <v>1000000</v>
      </c>
      <c r="G578" s="6">
        <f t="shared" si="16"/>
        <v>-1000000</v>
      </c>
    </row>
    <row r="579" spans="1:7" x14ac:dyDescent="0.25">
      <c r="A579" s="17">
        <v>42902</v>
      </c>
      <c r="B579" s="10" t="s">
        <v>2271</v>
      </c>
      <c r="C579" s="11" t="s">
        <v>166</v>
      </c>
      <c r="E579" s="8">
        <v>27600</v>
      </c>
      <c r="G579" s="6">
        <f t="shared" si="16"/>
        <v>27600</v>
      </c>
    </row>
    <row r="580" spans="1:7" x14ac:dyDescent="0.25">
      <c r="A580" s="17">
        <v>42906</v>
      </c>
      <c r="B580" s="10" t="s">
        <v>2271</v>
      </c>
      <c r="C580" s="11" t="s">
        <v>166</v>
      </c>
      <c r="E580" s="8">
        <v>3300</v>
      </c>
      <c r="G580" s="6">
        <f t="shared" si="16"/>
        <v>3300</v>
      </c>
    </row>
    <row r="581" spans="1:7" x14ac:dyDescent="0.25">
      <c r="A581" s="17">
        <v>42908</v>
      </c>
      <c r="B581" s="10" t="s">
        <v>2023</v>
      </c>
      <c r="C581" s="11" t="s">
        <v>166</v>
      </c>
      <c r="E581" s="8">
        <v>2268</v>
      </c>
      <c r="G581" s="6">
        <f t="shared" si="16"/>
        <v>2268</v>
      </c>
    </row>
    <row r="582" spans="1:7" x14ac:dyDescent="0.25">
      <c r="A582" s="17">
        <v>42919</v>
      </c>
      <c r="B582" s="10" t="s">
        <v>2271</v>
      </c>
      <c r="C582" s="11" t="s">
        <v>166</v>
      </c>
      <c r="E582" s="8">
        <v>10368</v>
      </c>
      <c r="G582" s="6">
        <f t="shared" si="16"/>
        <v>10368</v>
      </c>
    </row>
    <row r="583" spans="1:7" x14ac:dyDescent="0.25">
      <c r="A583" s="17">
        <v>42916</v>
      </c>
      <c r="B583" s="10" t="s">
        <v>2271</v>
      </c>
      <c r="C583" s="11" t="s">
        <v>166</v>
      </c>
      <c r="E583" s="8">
        <v>12700</v>
      </c>
      <c r="G583" s="6">
        <f t="shared" si="16"/>
        <v>12700</v>
      </c>
    </row>
    <row r="584" spans="1:7" x14ac:dyDescent="0.25">
      <c r="A584" s="17">
        <v>42922</v>
      </c>
      <c r="B584" s="10" t="s">
        <v>2271</v>
      </c>
      <c r="C584" s="11" t="s">
        <v>166</v>
      </c>
      <c r="E584" s="8">
        <v>35300</v>
      </c>
      <c r="G584" s="6">
        <f t="shared" si="16"/>
        <v>35300</v>
      </c>
    </row>
    <row r="585" spans="1:7" x14ac:dyDescent="0.25">
      <c r="A585" s="17">
        <v>42923</v>
      </c>
      <c r="B585" s="10" t="s">
        <v>2271</v>
      </c>
      <c r="C585" s="11" t="s">
        <v>164</v>
      </c>
      <c r="E585" s="8">
        <v>2283</v>
      </c>
      <c r="G585" s="6">
        <f t="shared" si="16"/>
        <v>2283</v>
      </c>
    </row>
    <row r="586" spans="1:7" x14ac:dyDescent="0.25">
      <c r="A586" s="17">
        <v>42901</v>
      </c>
      <c r="B586" s="10" t="s">
        <v>2043</v>
      </c>
      <c r="C586" s="11" t="s">
        <v>161</v>
      </c>
      <c r="E586" s="8">
        <v>8943</v>
      </c>
      <c r="G586" s="6">
        <f t="shared" si="16"/>
        <v>8943</v>
      </c>
    </row>
    <row r="587" spans="1:7" x14ac:dyDescent="0.25">
      <c r="A587" s="17">
        <v>42928</v>
      </c>
      <c r="B587" s="10" t="s">
        <v>1397</v>
      </c>
      <c r="C587" s="11" t="s">
        <v>164</v>
      </c>
      <c r="E587" s="8">
        <v>2565</v>
      </c>
      <c r="G587" s="6">
        <f t="shared" si="16"/>
        <v>2565</v>
      </c>
    </row>
    <row r="588" spans="1:7" x14ac:dyDescent="0.25">
      <c r="A588" s="17">
        <v>42903</v>
      </c>
      <c r="B588" s="10" t="s">
        <v>1400</v>
      </c>
      <c r="C588" s="11" t="s">
        <v>1803</v>
      </c>
      <c r="E588" s="8">
        <v>42497</v>
      </c>
      <c r="G588" s="6">
        <f t="shared" si="16"/>
        <v>42497</v>
      </c>
    </row>
    <row r="589" spans="1:7" x14ac:dyDescent="0.25">
      <c r="A589" s="17">
        <v>42920</v>
      </c>
      <c r="B589" s="10" t="s">
        <v>33</v>
      </c>
      <c r="C589" s="11" t="s">
        <v>1803</v>
      </c>
      <c r="E589" s="8">
        <v>16079</v>
      </c>
      <c r="G589" s="6">
        <f t="shared" si="16"/>
        <v>16079</v>
      </c>
    </row>
    <row r="590" spans="1:7" x14ac:dyDescent="0.25">
      <c r="A590" s="17">
        <v>42920</v>
      </c>
      <c r="B590" s="10" t="s">
        <v>1397</v>
      </c>
      <c r="C590" s="11" t="s">
        <v>1803</v>
      </c>
      <c r="E590" s="8">
        <v>31198</v>
      </c>
      <c r="G590" s="6">
        <f t="shared" si="16"/>
        <v>31198</v>
      </c>
    </row>
    <row r="591" spans="1:7" x14ac:dyDescent="0.25">
      <c r="A591" s="17">
        <v>42920</v>
      </c>
      <c r="B591" s="10" t="s">
        <v>1397</v>
      </c>
      <c r="C591" s="11" t="s">
        <v>1803</v>
      </c>
      <c r="E591" s="8">
        <v>1264</v>
      </c>
      <c r="G591" s="6">
        <f t="shared" si="16"/>
        <v>1264</v>
      </c>
    </row>
    <row r="592" spans="1:7" x14ac:dyDescent="0.25">
      <c r="A592" s="17">
        <v>42919</v>
      </c>
      <c r="B592" s="10" t="s">
        <v>33</v>
      </c>
      <c r="C592" s="11" t="s">
        <v>1803</v>
      </c>
      <c r="E592" s="8">
        <v>1500</v>
      </c>
      <c r="G592" s="6">
        <f t="shared" si="16"/>
        <v>1500</v>
      </c>
    </row>
    <row r="593" spans="1:7" x14ac:dyDescent="0.25">
      <c r="A593" s="17">
        <v>42908</v>
      </c>
      <c r="B593" s="10" t="s">
        <v>1400</v>
      </c>
      <c r="C593" s="11" t="s">
        <v>1803</v>
      </c>
      <c r="E593" s="8">
        <v>6565</v>
      </c>
      <c r="G593" s="6">
        <f t="shared" si="16"/>
        <v>6565</v>
      </c>
    </row>
    <row r="594" spans="1:7" x14ac:dyDescent="0.25">
      <c r="A594" s="17">
        <v>42878</v>
      </c>
      <c r="B594" s="10" t="s">
        <v>1400</v>
      </c>
      <c r="C594" s="11" t="s">
        <v>1803</v>
      </c>
      <c r="E594" s="8">
        <v>4005</v>
      </c>
      <c r="G594" s="6">
        <f t="shared" si="16"/>
        <v>4005</v>
      </c>
    </row>
    <row r="595" spans="1:7" x14ac:dyDescent="0.25">
      <c r="A595" s="17">
        <v>42898</v>
      </c>
      <c r="B595" s="10" t="s">
        <v>1400</v>
      </c>
      <c r="C595" s="11" t="s">
        <v>1803</v>
      </c>
      <c r="E595" s="8">
        <v>1832</v>
      </c>
      <c r="G595" s="6">
        <f t="shared" si="16"/>
        <v>1832</v>
      </c>
    </row>
    <row r="596" spans="1:7" x14ac:dyDescent="0.25">
      <c r="A596" s="17">
        <v>42889</v>
      </c>
      <c r="B596" s="10" t="s">
        <v>1400</v>
      </c>
      <c r="C596" s="11" t="s">
        <v>1803</v>
      </c>
      <c r="E596" s="8">
        <v>31167</v>
      </c>
      <c r="G596" s="6">
        <f t="shared" si="16"/>
        <v>31167</v>
      </c>
    </row>
    <row r="597" spans="1:7" x14ac:dyDescent="0.25">
      <c r="A597" s="17">
        <v>42878</v>
      </c>
      <c r="B597" s="10" t="s">
        <v>2271</v>
      </c>
      <c r="C597" s="11" t="s">
        <v>1803</v>
      </c>
      <c r="E597" s="8">
        <v>818</v>
      </c>
      <c r="G597" s="6">
        <f t="shared" si="16"/>
        <v>818</v>
      </c>
    </row>
    <row r="598" spans="1:7" x14ac:dyDescent="0.25">
      <c r="A598" s="17">
        <v>42923</v>
      </c>
      <c r="B598" s="10" t="s">
        <v>1400</v>
      </c>
      <c r="C598" s="11" t="s">
        <v>1815</v>
      </c>
      <c r="D598" s="768">
        <v>487</v>
      </c>
      <c r="E598" s="8">
        <v>7780</v>
      </c>
      <c r="G598" s="6">
        <f t="shared" si="16"/>
        <v>7780</v>
      </c>
    </row>
    <row r="599" spans="1:7" x14ac:dyDescent="0.25">
      <c r="A599" s="17">
        <v>42924</v>
      </c>
      <c r="B599" s="10" t="s">
        <v>1400</v>
      </c>
      <c r="C599" s="11" t="s">
        <v>1815</v>
      </c>
      <c r="D599" s="768">
        <v>500</v>
      </c>
      <c r="E599" s="8">
        <v>678856</v>
      </c>
      <c r="G599" s="6">
        <f t="shared" si="16"/>
        <v>678856</v>
      </c>
    </row>
    <row r="600" spans="1:7" x14ac:dyDescent="0.25">
      <c r="A600" s="17">
        <v>42929</v>
      </c>
      <c r="B600" s="10" t="s">
        <v>2271</v>
      </c>
      <c r="C600" s="11" t="s">
        <v>164</v>
      </c>
      <c r="D600" s="768">
        <v>163</v>
      </c>
      <c r="E600" s="8">
        <v>151</v>
      </c>
      <c r="G600" s="6">
        <f t="shared" si="16"/>
        <v>151</v>
      </c>
    </row>
    <row r="601" spans="1:7" x14ac:dyDescent="0.25">
      <c r="A601" s="17">
        <v>42927</v>
      </c>
      <c r="B601" s="10" t="s">
        <v>2271</v>
      </c>
      <c r="C601" s="11" t="s">
        <v>164</v>
      </c>
      <c r="D601" s="768">
        <v>119</v>
      </c>
      <c r="E601" s="8">
        <v>538</v>
      </c>
      <c r="G601" s="6">
        <f t="shared" si="16"/>
        <v>538</v>
      </c>
    </row>
    <row r="602" spans="1:7" x14ac:dyDescent="0.25">
      <c r="A602" s="17">
        <v>42931</v>
      </c>
      <c r="B602" s="10" t="s">
        <v>2043</v>
      </c>
      <c r="C602" s="11" t="s">
        <v>169</v>
      </c>
      <c r="D602" s="768">
        <v>22</v>
      </c>
      <c r="E602" s="8">
        <v>1155</v>
      </c>
      <c r="G602" s="6">
        <f t="shared" si="16"/>
        <v>1155</v>
      </c>
    </row>
    <row r="603" spans="1:7" x14ac:dyDescent="0.25">
      <c r="A603" s="17">
        <v>42931</v>
      </c>
      <c r="B603" s="10" t="s">
        <v>1397</v>
      </c>
      <c r="C603" s="11" t="s">
        <v>164</v>
      </c>
      <c r="E603" s="8">
        <v>9369</v>
      </c>
      <c r="G603" s="6">
        <f t="shared" si="16"/>
        <v>9369</v>
      </c>
    </row>
    <row r="604" spans="1:7" x14ac:dyDescent="0.25">
      <c r="A604" s="17">
        <v>42929</v>
      </c>
      <c r="B604" s="10" t="s">
        <v>1397</v>
      </c>
      <c r="C604" s="11" t="s">
        <v>1803</v>
      </c>
      <c r="E604" s="8">
        <v>21446</v>
      </c>
      <c r="G604" s="6">
        <f t="shared" si="16"/>
        <v>21446</v>
      </c>
    </row>
    <row r="605" spans="1:7" x14ac:dyDescent="0.25">
      <c r="A605" s="17">
        <v>42926</v>
      </c>
      <c r="B605" s="10" t="s">
        <v>33</v>
      </c>
      <c r="C605" s="11" t="s">
        <v>1803</v>
      </c>
      <c r="E605" s="8">
        <v>1248</v>
      </c>
      <c r="G605" s="6">
        <f t="shared" si="16"/>
        <v>1248</v>
      </c>
    </row>
    <row r="606" spans="1:7" x14ac:dyDescent="0.25">
      <c r="A606" s="17">
        <v>42923</v>
      </c>
      <c r="B606" s="10" t="s">
        <v>2271</v>
      </c>
      <c r="C606" s="11" t="s">
        <v>1803</v>
      </c>
      <c r="E606" s="8">
        <v>633</v>
      </c>
      <c r="G606" s="6">
        <f t="shared" si="16"/>
        <v>633</v>
      </c>
    </row>
    <row r="607" spans="1:7" x14ac:dyDescent="0.25">
      <c r="A607" s="17">
        <v>42931</v>
      </c>
      <c r="B607" s="10" t="s">
        <v>1400</v>
      </c>
      <c r="C607" s="11" t="s">
        <v>1803</v>
      </c>
      <c r="E607" s="8">
        <v>2268</v>
      </c>
      <c r="G607" s="6">
        <f t="shared" si="16"/>
        <v>2268</v>
      </c>
    </row>
    <row r="608" spans="1:7" x14ac:dyDescent="0.25">
      <c r="A608" s="17">
        <v>42930</v>
      </c>
      <c r="B608" s="10" t="s">
        <v>2271</v>
      </c>
      <c r="C608" s="11" t="s">
        <v>166</v>
      </c>
      <c r="E608" s="8">
        <v>1800</v>
      </c>
      <c r="G608" s="6">
        <f t="shared" si="16"/>
        <v>1800</v>
      </c>
    </row>
    <row r="609" spans="1:8" x14ac:dyDescent="0.25">
      <c r="A609" s="17">
        <v>42932</v>
      </c>
      <c r="B609" s="10" t="s">
        <v>1397</v>
      </c>
      <c r="C609" s="11" t="s">
        <v>166</v>
      </c>
      <c r="E609" s="8">
        <v>22800</v>
      </c>
      <c r="G609" s="6">
        <f t="shared" si="16"/>
        <v>22800</v>
      </c>
    </row>
    <row r="610" spans="1:8" x14ac:dyDescent="0.25">
      <c r="A610" s="17">
        <v>42933</v>
      </c>
      <c r="B610" s="10" t="s">
        <v>1397</v>
      </c>
      <c r="C610" s="11" t="s">
        <v>166</v>
      </c>
      <c r="E610" s="8">
        <v>6000</v>
      </c>
      <c r="G610" s="6">
        <f t="shared" si="16"/>
        <v>6000</v>
      </c>
    </row>
    <row r="611" spans="1:8" x14ac:dyDescent="0.25">
      <c r="A611" s="17">
        <v>42935</v>
      </c>
      <c r="B611" s="10" t="s">
        <v>1397</v>
      </c>
      <c r="C611" s="11" t="s">
        <v>166</v>
      </c>
      <c r="E611" s="8">
        <v>12000</v>
      </c>
      <c r="G611" s="6">
        <f t="shared" si="16"/>
        <v>12000</v>
      </c>
    </row>
    <row r="612" spans="1:8" x14ac:dyDescent="0.25">
      <c r="A612" s="17">
        <v>42935</v>
      </c>
      <c r="B612" s="10" t="s">
        <v>1397</v>
      </c>
      <c r="C612" s="11" t="s">
        <v>166</v>
      </c>
      <c r="E612" s="8">
        <v>19500</v>
      </c>
      <c r="G612" s="6">
        <f t="shared" si="16"/>
        <v>19500</v>
      </c>
    </row>
    <row r="613" spans="1:8" x14ac:dyDescent="0.25">
      <c r="A613" s="17">
        <v>42935</v>
      </c>
      <c r="B613" s="10" t="s">
        <v>1397</v>
      </c>
      <c r="C613" s="11" t="s">
        <v>164</v>
      </c>
      <c r="F613" s="9">
        <v>133589</v>
      </c>
      <c r="G613" s="6">
        <f t="shared" si="16"/>
        <v>-133589</v>
      </c>
      <c r="H613" s="744"/>
    </row>
    <row r="614" spans="1:8" x14ac:dyDescent="0.25">
      <c r="A614" s="17">
        <v>42935</v>
      </c>
      <c r="B614" s="10" t="s">
        <v>2271</v>
      </c>
      <c r="C614" s="11" t="s">
        <v>164</v>
      </c>
      <c r="F614" s="9">
        <v>16411</v>
      </c>
      <c r="G614" s="6">
        <f t="shared" si="16"/>
        <v>-16411</v>
      </c>
      <c r="H614" s="124"/>
    </row>
    <row r="615" spans="1:8" x14ac:dyDescent="0.25">
      <c r="A615" s="17">
        <v>42947</v>
      </c>
      <c r="B615" s="10" t="s">
        <v>1400</v>
      </c>
      <c r="C615" s="11" t="s">
        <v>1815</v>
      </c>
      <c r="E615" s="8">
        <v>800</v>
      </c>
      <c r="G615" s="6">
        <f t="shared" si="16"/>
        <v>800</v>
      </c>
    </row>
    <row r="616" spans="1:8" x14ac:dyDescent="0.25">
      <c r="A616" s="17">
        <v>42948</v>
      </c>
      <c r="B616" s="10" t="s">
        <v>40</v>
      </c>
      <c r="C616" s="11" t="s">
        <v>180</v>
      </c>
      <c r="F616" s="9">
        <v>64276</v>
      </c>
      <c r="G616" s="6">
        <f t="shared" si="16"/>
        <v>-64276</v>
      </c>
      <c r="H616" s="124"/>
    </row>
    <row r="617" spans="1:8" x14ac:dyDescent="0.25">
      <c r="A617" s="17">
        <v>42948</v>
      </c>
      <c r="B617" s="10" t="s">
        <v>2094</v>
      </c>
      <c r="C617" s="11" t="s">
        <v>180</v>
      </c>
      <c r="F617" s="9">
        <v>54420</v>
      </c>
      <c r="G617" s="6">
        <f t="shared" si="16"/>
        <v>-54420</v>
      </c>
      <c r="H617" s="744"/>
    </row>
    <row r="618" spans="1:8" x14ac:dyDescent="0.25">
      <c r="A618" s="17">
        <v>42948</v>
      </c>
      <c r="B618" s="10" t="s">
        <v>1676</v>
      </c>
      <c r="C618" s="11" t="s">
        <v>180</v>
      </c>
      <c r="F618" s="9">
        <v>20020</v>
      </c>
      <c r="G618" s="6">
        <f t="shared" si="16"/>
        <v>-20020</v>
      </c>
      <c r="H618" s="124"/>
    </row>
    <row r="619" spans="1:8" x14ac:dyDescent="0.25">
      <c r="A619" s="17">
        <v>42948</v>
      </c>
      <c r="B619" s="10" t="s">
        <v>1397</v>
      </c>
      <c r="C619" s="11" t="s">
        <v>180</v>
      </c>
      <c r="F619" s="9">
        <v>361284</v>
      </c>
      <c r="G619" s="6">
        <f t="shared" si="16"/>
        <v>-361284</v>
      </c>
      <c r="H619" s="124"/>
    </row>
    <row r="620" spans="1:8" x14ac:dyDescent="0.25">
      <c r="A620" s="17">
        <v>42922</v>
      </c>
      <c r="B620" s="10" t="s">
        <v>1397</v>
      </c>
      <c r="C620" s="11" t="s">
        <v>161</v>
      </c>
      <c r="E620" s="8">
        <v>19094</v>
      </c>
      <c r="G620" s="6">
        <f t="shared" si="16"/>
        <v>19094</v>
      </c>
    </row>
    <row r="621" spans="1:8" x14ac:dyDescent="0.25">
      <c r="A621" s="17">
        <v>42923</v>
      </c>
      <c r="B621" s="10" t="s">
        <v>2043</v>
      </c>
      <c r="C621" s="11" t="s">
        <v>161</v>
      </c>
      <c r="E621" s="8">
        <v>3708</v>
      </c>
      <c r="G621" s="6">
        <f t="shared" si="16"/>
        <v>3708</v>
      </c>
    </row>
    <row r="622" spans="1:8" x14ac:dyDescent="0.25">
      <c r="A622" s="17">
        <v>42934</v>
      </c>
      <c r="B622" s="10" t="s">
        <v>2263</v>
      </c>
      <c r="C622" s="11" t="s">
        <v>161</v>
      </c>
      <c r="E622" s="8">
        <v>1299</v>
      </c>
      <c r="G622" s="6">
        <f t="shared" si="16"/>
        <v>1299</v>
      </c>
    </row>
    <row r="623" spans="1:8" x14ac:dyDescent="0.25">
      <c r="A623" s="17">
        <v>42935</v>
      </c>
      <c r="B623" s="10" t="s">
        <v>2043</v>
      </c>
      <c r="C623" s="11" t="s">
        <v>161</v>
      </c>
      <c r="E623" s="8">
        <v>19361</v>
      </c>
      <c r="G623" s="6">
        <f t="shared" si="16"/>
        <v>19361</v>
      </c>
    </row>
    <row r="624" spans="1:8" x14ac:dyDescent="0.25">
      <c r="A624" s="17">
        <v>42949</v>
      </c>
      <c r="B624" s="10" t="s">
        <v>1400</v>
      </c>
      <c r="C624" s="11" t="s">
        <v>1815</v>
      </c>
      <c r="E624" s="8">
        <v>7560</v>
      </c>
      <c r="G624" s="6">
        <f t="shared" si="16"/>
        <v>7560</v>
      </c>
    </row>
    <row r="625" spans="1:8" x14ac:dyDescent="0.25">
      <c r="A625" s="17">
        <v>42954</v>
      </c>
      <c r="B625" s="10" t="s">
        <v>2271</v>
      </c>
      <c r="C625" s="11" t="s">
        <v>166</v>
      </c>
      <c r="E625" s="8">
        <v>4600</v>
      </c>
      <c r="G625" s="6">
        <f t="shared" si="16"/>
        <v>4600</v>
      </c>
    </row>
    <row r="626" spans="1:8" x14ac:dyDescent="0.25">
      <c r="A626" s="17">
        <v>42956</v>
      </c>
      <c r="B626" s="10" t="s">
        <v>2271</v>
      </c>
      <c r="C626" s="11" t="s">
        <v>166</v>
      </c>
      <c r="E626" s="8">
        <v>4600</v>
      </c>
      <c r="G626" s="6">
        <f t="shared" si="16"/>
        <v>4600</v>
      </c>
    </row>
    <row r="627" spans="1:8" x14ac:dyDescent="0.25">
      <c r="A627" s="17">
        <v>42956</v>
      </c>
      <c r="B627" s="10" t="s">
        <v>2271</v>
      </c>
      <c r="C627" s="11" t="s">
        <v>164</v>
      </c>
      <c r="E627" s="8">
        <v>6493</v>
      </c>
      <c r="G627" s="6">
        <f t="shared" si="16"/>
        <v>6493</v>
      </c>
    </row>
    <row r="628" spans="1:8" x14ac:dyDescent="0.25">
      <c r="A628" s="17">
        <v>42950</v>
      </c>
      <c r="B628" s="10" t="s">
        <v>2271</v>
      </c>
      <c r="C628" s="11" t="s">
        <v>164</v>
      </c>
      <c r="E628" s="8">
        <v>257</v>
      </c>
      <c r="G628" s="6">
        <f t="shared" si="16"/>
        <v>257</v>
      </c>
    </row>
    <row r="629" spans="1:8" x14ac:dyDescent="0.25">
      <c r="A629" s="17">
        <v>42936</v>
      </c>
      <c r="B629" s="10" t="s">
        <v>2227</v>
      </c>
      <c r="C629" s="11" t="s">
        <v>1815</v>
      </c>
      <c r="E629" s="8">
        <v>92500</v>
      </c>
      <c r="G629" s="6">
        <f t="shared" si="16"/>
        <v>92500</v>
      </c>
    </row>
    <row r="630" spans="1:8" x14ac:dyDescent="0.25">
      <c r="A630" s="17">
        <v>42937</v>
      </c>
      <c r="B630" s="10" t="s">
        <v>2271</v>
      </c>
      <c r="C630" s="11" t="s">
        <v>169</v>
      </c>
      <c r="E630" s="8">
        <v>5740</v>
      </c>
      <c r="G630" s="6">
        <f t="shared" si="16"/>
        <v>5740</v>
      </c>
    </row>
    <row r="631" spans="1:8" x14ac:dyDescent="0.25">
      <c r="A631" s="17">
        <v>42969</v>
      </c>
      <c r="B631" s="10" t="s">
        <v>1400</v>
      </c>
      <c r="C631" s="11" t="s">
        <v>1803</v>
      </c>
      <c r="E631" s="8">
        <v>3500</v>
      </c>
      <c r="G631" s="6">
        <f t="shared" si="16"/>
        <v>3500</v>
      </c>
    </row>
    <row r="632" spans="1:8" x14ac:dyDescent="0.25">
      <c r="A632" s="17">
        <v>42969</v>
      </c>
      <c r="B632" s="10" t="s">
        <v>33</v>
      </c>
      <c r="C632" s="11" t="s">
        <v>1803</v>
      </c>
      <c r="E632" s="8">
        <v>3667</v>
      </c>
      <c r="G632" s="6">
        <f t="shared" si="16"/>
        <v>3667</v>
      </c>
    </row>
    <row r="633" spans="1:8" x14ac:dyDescent="0.25">
      <c r="A633" s="17">
        <v>42969</v>
      </c>
      <c r="B633" s="10" t="s">
        <v>2271</v>
      </c>
      <c r="C633" s="11" t="s">
        <v>1803</v>
      </c>
      <c r="F633" s="9">
        <v>1451</v>
      </c>
      <c r="G633" s="6">
        <f t="shared" si="16"/>
        <v>-1451</v>
      </c>
      <c r="H633" s="78"/>
    </row>
    <row r="634" spans="1:8" x14ac:dyDescent="0.25">
      <c r="A634" s="17">
        <v>42969</v>
      </c>
      <c r="B634" s="10" t="s">
        <v>32</v>
      </c>
      <c r="C634" s="11" t="s">
        <v>1803</v>
      </c>
      <c r="F634" s="9">
        <v>46965</v>
      </c>
      <c r="G634" s="6">
        <f t="shared" si="16"/>
        <v>-46965</v>
      </c>
      <c r="H634" s="79"/>
    </row>
    <row r="635" spans="1:8" x14ac:dyDescent="0.25">
      <c r="A635" s="17">
        <v>42969</v>
      </c>
      <c r="B635" s="10" t="s">
        <v>33</v>
      </c>
      <c r="C635" s="11" t="s">
        <v>1803</v>
      </c>
      <c r="F635" s="9">
        <v>84129</v>
      </c>
      <c r="G635" s="6">
        <f t="shared" si="16"/>
        <v>-84129</v>
      </c>
      <c r="H635" s="79" t="s">
        <v>2644</v>
      </c>
    </row>
    <row r="636" spans="1:8" x14ac:dyDescent="0.25">
      <c r="A636" s="17">
        <v>42969</v>
      </c>
      <c r="B636" s="10" t="s">
        <v>1397</v>
      </c>
      <c r="C636" s="11" t="s">
        <v>1803</v>
      </c>
      <c r="F636" s="9">
        <v>86273</v>
      </c>
      <c r="G636" s="6">
        <f t="shared" si="16"/>
        <v>-86273</v>
      </c>
      <c r="H636" s="79"/>
    </row>
    <row r="637" spans="1:8" x14ac:dyDescent="0.25">
      <c r="A637" s="17">
        <v>42969</v>
      </c>
      <c r="B637" s="10" t="s">
        <v>1400</v>
      </c>
      <c r="C637" s="11" t="s">
        <v>1803</v>
      </c>
      <c r="F637" s="9">
        <v>31182</v>
      </c>
      <c r="G637" s="6">
        <f t="shared" si="16"/>
        <v>-31182</v>
      </c>
      <c r="H637" s="80"/>
    </row>
    <row r="638" spans="1:8" x14ac:dyDescent="0.25">
      <c r="A638" s="17">
        <v>42948</v>
      </c>
      <c r="B638" s="10" t="s">
        <v>2227</v>
      </c>
      <c r="C638" s="11" t="s">
        <v>161</v>
      </c>
      <c r="E638" s="8">
        <v>26880</v>
      </c>
      <c r="G638" s="6">
        <f t="shared" si="16"/>
        <v>26880</v>
      </c>
    </row>
    <row r="639" spans="1:8" x14ac:dyDescent="0.25">
      <c r="A639" s="17">
        <v>42952</v>
      </c>
      <c r="B639" s="10" t="s">
        <v>2271</v>
      </c>
      <c r="C639" s="11" t="s">
        <v>161</v>
      </c>
      <c r="E639" s="8">
        <v>5468</v>
      </c>
      <c r="G639" s="6">
        <f t="shared" si="16"/>
        <v>5468</v>
      </c>
    </row>
    <row r="640" spans="1:8" x14ac:dyDescent="0.25">
      <c r="A640" s="17">
        <v>42971</v>
      </c>
      <c r="B640" s="10" t="s">
        <v>2023</v>
      </c>
      <c r="C640" s="11" t="s">
        <v>166</v>
      </c>
      <c r="F640" s="9">
        <v>58764</v>
      </c>
      <c r="G640" s="6">
        <f t="shared" si="16"/>
        <v>-58764</v>
      </c>
      <c r="H640" s="78"/>
    </row>
    <row r="641" spans="1:8" x14ac:dyDescent="0.25">
      <c r="A641" s="17">
        <v>42971</v>
      </c>
      <c r="B641" s="10" t="s">
        <v>2227</v>
      </c>
      <c r="C641" s="11" t="s">
        <v>166</v>
      </c>
      <c r="F641" s="9">
        <v>189836</v>
      </c>
      <c r="G641" s="6">
        <f t="shared" si="16"/>
        <v>-189836</v>
      </c>
      <c r="H641" s="79" t="s">
        <v>2648</v>
      </c>
    </row>
    <row r="642" spans="1:8" x14ac:dyDescent="0.25">
      <c r="A642" s="17">
        <v>42971</v>
      </c>
      <c r="B642" s="10" t="s">
        <v>1676</v>
      </c>
      <c r="C642" s="11" t="s">
        <v>166</v>
      </c>
      <c r="F642" s="9">
        <v>1400</v>
      </c>
      <c r="G642" s="6">
        <f t="shared" si="16"/>
        <v>-1400</v>
      </c>
      <c r="H642" s="215"/>
    </row>
    <row r="643" spans="1:8" x14ac:dyDescent="0.25">
      <c r="A643" s="17">
        <v>42976</v>
      </c>
      <c r="B643" s="10" t="s">
        <v>2649</v>
      </c>
      <c r="C643" s="11" t="s">
        <v>164</v>
      </c>
      <c r="E643" s="8">
        <v>76962</v>
      </c>
      <c r="G643" s="6">
        <f t="shared" si="16"/>
        <v>76962</v>
      </c>
    </row>
    <row r="644" spans="1:8" x14ac:dyDescent="0.25">
      <c r="A644" s="17">
        <v>42977</v>
      </c>
      <c r="B644" s="10" t="s">
        <v>1397</v>
      </c>
      <c r="C644" s="11" t="s">
        <v>161</v>
      </c>
      <c r="E644" s="8">
        <v>15900</v>
      </c>
      <c r="G644" s="6">
        <f t="shared" si="16"/>
        <v>15900</v>
      </c>
    </row>
    <row r="645" spans="1:8" x14ac:dyDescent="0.25">
      <c r="A645" s="17">
        <v>42977</v>
      </c>
      <c r="B645" s="10" t="s">
        <v>1400</v>
      </c>
      <c r="C645" s="11" t="s">
        <v>1815</v>
      </c>
      <c r="E645" s="8">
        <v>228899</v>
      </c>
      <c r="G645" s="6">
        <f t="shared" si="16"/>
        <v>228899</v>
      </c>
    </row>
    <row r="646" spans="1:8" x14ac:dyDescent="0.25">
      <c r="A646" s="17">
        <v>42977</v>
      </c>
      <c r="B646" s="10" t="s">
        <v>1400</v>
      </c>
      <c r="C646" s="11" t="s">
        <v>1815</v>
      </c>
      <c r="E646" s="8">
        <v>93900</v>
      </c>
      <c r="G646" s="6">
        <f t="shared" si="16"/>
        <v>93900</v>
      </c>
    </row>
    <row r="647" spans="1:8" x14ac:dyDescent="0.25">
      <c r="A647" s="17">
        <v>42977</v>
      </c>
      <c r="B647" s="10" t="s">
        <v>1400</v>
      </c>
      <c r="C647" s="11" t="s">
        <v>1815</v>
      </c>
      <c r="E647" s="8">
        <v>102712</v>
      </c>
      <c r="G647" s="6">
        <f t="shared" si="16"/>
        <v>102712</v>
      </c>
    </row>
    <row r="648" spans="1:8" x14ac:dyDescent="0.25">
      <c r="A648" s="17">
        <v>42977</v>
      </c>
      <c r="B648" s="10" t="s">
        <v>1400</v>
      </c>
      <c r="C648" s="11" t="s">
        <v>1815</v>
      </c>
      <c r="E648" s="8">
        <v>139328</v>
      </c>
      <c r="G648" s="6">
        <f t="shared" si="16"/>
        <v>139328</v>
      </c>
    </row>
    <row r="649" spans="1:8" x14ac:dyDescent="0.25">
      <c r="A649" s="17">
        <v>42977</v>
      </c>
      <c r="B649" s="10" t="s">
        <v>1400</v>
      </c>
      <c r="C649" s="11" t="s">
        <v>1815</v>
      </c>
      <c r="E649" s="8">
        <v>166330</v>
      </c>
      <c r="G649" s="6">
        <f t="shared" si="16"/>
        <v>166330</v>
      </c>
    </row>
    <row r="650" spans="1:8" x14ac:dyDescent="0.25">
      <c r="A650" s="17">
        <v>42991</v>
      </c>
      <c r="B650" s="10" t="s">
        <v>2649</v>
      </c>
      <c r="C650" s="11" t="s">
        <v>164</v>
      </c>
      <c r="E650" s="8">
        <v>1585</v>
      </c>
      <c r="G650" s="6">
        <f t="shared" si="16"/>
        <v>1585</v>
      </c>
    </row>
    <row r="651" spans="1:8" x14ac:dyDescent="0.25">
      <c r="A651" s="17">
        <v>42992</v>
      </c>
      <c r="B651" s="10" t="s">
        <v>2649</v>
      </c>
      <c r="C651" s="11" t="s">
        <v>164</v>
      </c>
      <c r="E651" s="8">
        <v>16532</v>
      </c>
      <c r="G651" s="6">
        <f t="shared" si="16"/>
        <v>16532</v>
      </c>
    </row>
    <row r="652" spans="1:8" x14ac:dyDescent="0.25">
      <c r="A652" s="17">
        <v>42991</v>
      </c>
      <c r="B652" s="10" t="s">
        <v>2649</v>
      </c>
      <c r="C652" s="11" t="s">
        <v>164</v>
      </c>
      <c r="E652" s="8">
        <v>1716</v>
      </c>
      <c r="G652" s="6">
        <f t="shared" si="16"/>
        <v>1716</v>
      </c>
    </row>
    <row r="653" spans="1:8" x14ac:dyDescent="0.25">
      <c r="A653" s="17">
        <v>42990</v>
      </c>
      <c r="B653" s="10" t="s">
        <v>2649</v>
      </c>
      <c r="C653" s="11" t="s">
        <v>164</v>
      </c>
      <c r="E653" s="8">
        <v>1027</v>
      </c>
      <c r="G653" s="6">
        <f t="shared" si="16"/>
        <v>1027</v>
      </c>
    </row>
    <row r="654" spans="1:8" x14ac:dyDescent="0.25">
      <c r="A654" s="17">
        <v>42987</v>
      </c>
      <c r="B654" s="10" t="s">
        <v>2649</v>
      </c>
      <c r="C654" s="11" t="s">
        <v>164</v>
      </c>
      <c r="E654" s="8">
        <v>2045</v>
      </c>
      <c r="G654" s="6">
        <f t="shared" si="16"/>
        <v>2045</v>
      </c>
    </row>
    <row r="655" spans="1:8" x14ac:dyDescent="0.25">
      <c r="A655" s="17">
        <v>42985</v>
      </c>
      <c r="B655" s="10" t="s">
        <v>2649</v>
      </c>
      <c r="C655" s="11" t="s">
        <v>164</v>
      </c>
      <c r="E655" s="8">
        <v>2162</v>
      </c>
      <c r="G655" s="6">
        <f t="shared" si="16"/>
        <v>2162</v>
      </c>
    </row>
    <row r="656" spans="1:8" x14ac:dyDescent="0.25">
      <c r="A656" s="17">
        <v>42984</v>
      </c>
      <c r="B656" s="10" t="s">
        <v>2649</v>
      </c>
      <c r="C656" s="11" t="s">
        <v>164</v>
      </c>
      <c r="E656" s="8">
        <v>16883</v>
      </c>
      <c r="G656" s="6">
        <f t="shared" si="16"/>
        <v>16883</v>
      </c>
    </row>
    <row r="657" spans="1:8" x14ac:dyDescent="0.25">
      <c r="A657" s="17">
        <v>42984</v>
      </c>
      <c r="B657" s="10" t="s">
        <v>2649</v>
      </c>
      <c r="C657" s="11" t="s">
        <v>164</v>
      </c>
      <c r="E657" s="8">
        <v>62676</v>
      </c>
      <c r="G657" s="6">
        <f t="shared" si="16"/>
        <v>62676</v>
      </c>
    </row>
    <row r="658" spans="1:8" x14ac:dyDescent="0.25">
      <c r="A658" s="17">
        <v>42993</v>
      </c>
      <c r="B658" s="10" t="s">
        <v>1397</v>
      </c>
      <c r="C658" s="11" t="s">
        <v>164</v>
      </c>
      <c r="F658" s="9">
        <v>150000</v>
      </c>
      <c r="G658" s="6">
        <f t="shared" si="16"/>
        <v>-150000</v>
      </c>
      <c r="H658" s="31" t="s">
        <v>2660</v>
      </c>
    </row>
    <row r="659" spans="1:8" x14ac:dyDescent="0.25">
      <c r="A659" s="17">
        <v>42991</v>
      </c>
      <c r="B659" s="10" t="s">
        <v>2649</v>
      </c>
      <c r="C659" s="11" t="s">
        <v>1803</v>
      </c>
      <c r="E659" s="8">
        <v>11328</v>
      </c>
      <c r="G659" s="6">
        <f t="shared" si="16"/>
        <v>11328</v>
      </c>
    </row>
    <row r="660" spans="1:8" x14ac:dyDescent="0.25">
      <c r="A660" s="17">
        <v>42991</v>
      </c>
      <c r="B660" s="10" t="s">
        <v>33</v>
      </c>
      <c r="C660" s="11" t="s">
        <v>1803</v>
      </c>
      <c r="E660" s="8">
        <v>941</v>
      </c>
      <c r="G660" s="6">
        <f t="shared" si="16"/>
        <v>941</v>
      </c>
    </row>
    <row r="661" spans="1:8" x14ac:dyDescent="0.25">
      <c r="A661" s="17">
        <v>42989</v>
      </c>
      <c r="B661" s="10" t="s">
        <v>33</v>
      </c>
      <c r="C661" s="11" t="s">
        <v>1803</v>
      </c>
      <c r="E661" s="8">
        <v>21812</v>
      </c>
      <c r="G661" s="6">
        <f t="shared" si="16"/>
        <v>21812</v>
      </c>
    </row>
    <row r="662" spans="1:8" x14ac:dyDescent="0.25">
      <c r="A662" s="17">
        <v>42987</v>
      </c>
      <c r="B662" s="10" t="s">
        <v>33</v>
      </c>
      <c r="C662" s="11" t="s">
        <v>1803</v>
      </c>
      <c r="E662" s="8">
        <v>9202</v>
      </c>
      <c r="G662" s="6">
        <f t="shared" si="16"/>
        <v>9202</v>
      </c>
    </row>
    <row r="663" spans="1:8" x14ac:dyDescent="0.25">
      <c r="A663" s="17">
        <v>42987</v>
      </c>
      <c r="B663" s="10" t="s">
        <v>33</v>
      </c>
      <c r="C663" s="11" t="s">
        <v>1803</v>
      </c>
      <c r="E663" s="8">
        <v>94299</v>
      </c>
      <c r="G663" s="6">
        <f t="shared" si="16"/>
        <v>94299</v>
      </c>
    </row>
    <row r="664" spans="1:8" x14ac:dyDescent="0.25">
      <c r="A664" s="17">
        <v>42994</v>
      </c>
      <c r="B664" s="10" t="s">
        <v>14</v>
      </c>
      <c r="C664" s="11" t="s">
        <v>164</v>
      </c>
      <c r="D664" s="768" t="s">
        <v>2685</v>
      </c>
      <c r="E664" s="8">
        <v>3009</v>
      </c>
      <c r="G664" s="6">
        <f t="shared" si="16"/>
        <v>3009</v>
      </c>
    </row>
    <row r="665" spans="1:8" x14ac:dyDescent="0.25">
      <c r="A665" s="17">
        <v>42985</v>
      </c>
      <c r="B665" s="10" t="s">
        <v>1400</v>
      </c>
      <c r="C665" s="11" t="s">
        <v>1815</v>
      </c>
      <c r="E665" s="8">
        <v>155864</v>
      </c>
      <c r="G665" s="6">
        <f t="shared" si="16"/>
        <v>155864</v>
      </c>
    </row>
    <row r="666" spans="1:8" x14ac:dyDescent="0.25">
      <c r="A666" s="17">
        <v>42987</v>
      </c>
      <c r="B666" s="10" t="s">
        <v>40</v>
      </c>
      <c r="C666" s="11" t="s">
        <v>166</v>
      </c>
      <c r="E666" s="8">
        <v>35900</v>
      </c>
      <c r="G666" s="6">
        <f t="shared" si="16"/>
        <v>35900</v>
      </c>
    </row>
    <row r="667" spans="1:8" x14ac:dyDescent="0.25">
      <c r="A667" s="17">
        <v>43000</v>
      </c>
      <c r="B667" s="10" t="s">
        <v>38</v>
      </c>
      <c r="C667" s="11" t="s">
        <v>161</v>
      </c>
      <c r="E667" s="8">
        <v>13318</v>
      </c>
      <c r="G667" s="6">
        <f t="shared" si="16"/>
        <v>13318</v>
      </c>
    </row>
    <row r="668" spans="1:8" x14ac:dyDescent="0.25">
      <c r="A668" s="17">
        <v>43018</v>
      </c>
      <c r="B668" s="10" t="s">
        <v>40</v>
      </c>
      <c r="C668" s="11" t="s">
        <v>166</v>
      </c>
      <c r="E668" s="8">
        <v>20000</v>
      </c>
      <c r="G668" s="6">
        <f t="shared" si="16"/>
        <v>20000</v>
      </c>
    </row>
    <row r="669" spans="1:8" x14ac:dyDescent="0.25">
      <c r="A669" s="17">
        <v>43011</v>
      </c>
      <c r="B669" s="10" t="s">
        <v>1400</v>
      </c>
      <c r="C669" s="11" t="s">
        <v>164</v>
      </c>
      <c r="E669" s="8">
        <v>23830</v>
      </c>
      <c r="G669" s="6">
        <f t="shared" ref="G669" si="18">E669-F669</f>
        <v>23830</v>
      </c>
    </row>
    <row r="670" spans="1:8" x14ac:dyDescent="0.25">
      <c r="A670" s="17">
        <v>43012</v>
      </c>
      <c r="B670" s="10" t="s">
        <v>1400</v>
      </c>
      <c r="C670" s="11" t="s">
        <v>1815</v>
      </c>
      <c r="D670" s="768">
        <v>610</v>
      </c>
      <c r="E670" s="8">
        <v>115400</v>
      </c>
      <c r="G670" s="6">
        <f t="shared" si="16"/>
        <v>115400</v>
      </c>
    </row>
    <row r="671" spans="1:8" x14ac:dyDescent="0.25">
      <c r="A671" s="17">
        <v>43014</v>
      </c>
      <c r="B671" s="10" t="s">
        <v>1400</v>
      </c>
      <c r="C671" s="11" t="s">
        <v>1815</v>
      </c>
      <c r="D671" s="768">
        <v>614</v>
      </c>
      <c r="E671" s="8">
        <v>290940</v>
      </c>
      <c r="G671" s="6">
        <f t="shared" ref="G671:G704" si="19">E671-F671</f>
        <v>290940</v>
      </c>
    </row>
    <row r="672" spans="1:8" x14ac:dyDescent="0.25">
      <c r="A672" s="17">
        <v>43024</v>
      </c>
      <c r="B672" s="10" t="s">
        <v>1691</v>
      </c>
      <c r="C672" s="11" t="s">
        <v>164</v>
      </c>
      <c r="D672" s="768">
        <v>1663</v>
      </c>
      <c r="E672" s="8">
        <v>3492</v>
      </c>
      <c r="G672" s="6">
        <f t="shared" si="19"/>
        <v>3492</v>
      </c>
    </row>
    <row r="673" spans="1:8" x14ac:dyDescent="0.25">
      <c r="A673" s="17">
        <v>43019</v>
      </c>
      <c r="B673" s="10" t="s">
        <v>1400</v>
      </c>
      <c r="C673" s="11" t="s">
        <v>1815</v>
      </c>
      <c r="F673" s="9">
        <v>818500</v>
      </c>
      <c r="G673" s="6">
        <f t="shared" si="19"/>
        <v>-818500</v>
      </c>
      <c r="H673" s="78"/>
    </row>
    <row r="674" spans="1:8" x14ac:dyDescent="0.25">
      <c r="A674" s="17">
        <v>43019</v>
      </c>
      <c r="B674" s="10" t="s">
        <v>1805</v>
      </c>
      <c r="C674" s="11" t="s">
        <v>1815</v>
      </c>
      <c r="F674" s="9">
        <v>69000</v>
      </c>
      <c r="G674" s="6">
        <f t="shared" si="19"/>
        <v>-69000</v>
      </c>
      <c r="H674" s="79" t="s">
        <v>2757</v>
      </c>
    </row>
    <row r="675" spans="1:8" x14ac:dyDescent="0.25">
      <c r="A675" s="17">
        <v>43019</v>
      </c>
      <c r="B675" s="10" t="s">
        <v>2227</v>
      </c>
      <c r="C675" s="11" t="s">
        <v>1815</v>
      </c>
      <c r="F675" s="9">
        <v>92500</v>
      </c>
      <c r="G675" s="6">
        <f t="shared" si="19"/>
        <v>-92500</v>
      </c>
      <c r="H675" s="80"/>
    </row>
    <row r="676" spans="1:8" x14ac:dyDescent="0.25">
      <c r="A676" s="17">
        <v>43026</v>
      </c>
      <c r="B676" s="10" t="s">
        <v>2227</v>
      </c>
      <c r="C676" s="11" t="s">
        <v>161</v>
      </c>
      <c r="F676" s="9">
        <v>26880</v>
      </c>
      <c r="G676" s="6">
        <f t="shared" si="19"/>
        <v>-26880</v>
      </c>
      <c r="H676" s="78"/>
    </row>
    <row r="677" spans="1:8" x14ac:dyDescent="0.25">
      <c r="A677" s="17">
        <v>43026</v>
      </c>
      <c r="B677" s="10" t="s">
        <v>38</v>
      </c>
      <c r="C677" s="11" t="s">
        <v>161</v>
      </c>
      <c r="F677" s="9">
        <v>15636</v>
      </c>
      <c r="G677" s="6">
        <f t="shared" si="19"/>
        <v>-15636</v>
      </c>
      <c r="H677" s="79"/>
    </row>
    <row r="678" spans="1:8" x14ac:dyDescent="0.25">
      <c r="A678" s="17">
        <v>43026</v>
      </c>
      <c r="B678" s="10" t="s">
        <v>2043</v>
      </c>
      <c r="C678" s="11" t="s">
        <v>161</v>
      </c>
      <c r="F678" s="9">
        <v>90104</v>
      </c>
      <c r="G678" s="6">
        <f t="shared" si="19"/>
        <v>-90104</v>
      </c>
      <c r="H678" s="79" t="s">
        <v>2779</v>
      </c>
    </row>
    <row r="679" spans="1:8" x14ac:dyDescent="0.25">
      <c r="A679" s="17">
        <v>43026</v>
      </c>
      <c r="B679" s="10" t="s">
        <v>2263</v>
      </c>
      <c r="C679" s="11" t="s">
        <v>161</v>
      </c>
      <c r="F679" s="9">
        <v>1299</v>
      </c>
      <c r="G679" s="6">
        <f t="shared" si="19"/>
        <v>-1299</v>
      </c>
      <c r="H679" s="79"/>
    </row>
    <row r="680" spans="1:8" x14ac:dyDescent="0.25">
      <c r="A680" s="17">
        <v>43026</v>
      </c>
      <c r="B680" s="10" t="s">
        <v>2271</v>
      </c>
      <c r="C680" s="11" t="s">
        <v>161</v>
      </c>
      <c r="F680" s="9">
        <v>5468</v>
      </c>
      <c r="G680" s="6">
        <f t="shared" si="19"/>
        <v>-5468</v>
      </c>
      <c r="H680" s="79"/>
    </row>
    <row r="681" spans="1:8" x14ac:dyDescent="0.25">
      <c r="A681" s="17">
        <v>43026</v>
      </c>
      <c r="B681" s="10" t="s">
        <v>1397</v>
      </c>
      <c r="C681" s="11" t="s">
        <v>161</v>
      </c>
      <c r="F681" s="9">
        <v>60613</v>
      </c>
      <c r="G681" s="6">
        <f t="shared" si="19"/>
        <v>-60613</v>
      </c>
      <c r="H681" s="80"/>
    </row>
    <row r="682" spans="1:8" x14ac:dyDescent="0.25">
      <c r="A682" s="17">
        <v>43028</v>
      </c>
      <c r="B682" s="10" t="s">
        <v>40</v>
      </c>
      <c r="C682" s="11" t="s">
        <v>166</v>
      </c>
      <c r="E682" s="8">
        <v>8900</v>
      </c>
      <c r="G682" s="6">
        <f t="shared" si="19"/>
        <v>8900</v>
      </c>
    </row>
    <row r="683" spans="1:8" x14ac:dyDescent="0.25">
      <c r="A683" s="17">
        <v>43025</v>
      </c>
      <c r="B683" s="10" t="s">
        <v>40</v>
      </c>
      <c r="C683" s="11" t="s">
        <v>166</v>
      </c>
      <c r="E683" s="8">
        <v>5100</v>
      </c>
      <c r="G683" s="6">
        <f t="shared" si="19"/>
        <v>5100</v>
      </c>
    </row>
    <row r="684" spans="1:8" x14ac:dyDescent="0.25">
      <c r="A684" s="17">
        <v>43027</v>
      </c>
      <c r="B684" s="10" t="s">
        <v>1400</v>
      </c>
      <c r="C684" s="11" t="s">
        <v>166</v>
      </c>
      <c r="E684" s="8">
        <v>42000</v>
      </c>
      <c r="G684" s="6">
        <f t="shared" si="19"/>
        <v>42000</v>
      </c>
      <c r="H684" s="128"/>
    </row>
    <row r="685" spans="1:8" x14ac:dyDescent="0.25">
      <c r="A685" s="17">
        <v>43027</v>
      </c>
      <c r="B685" s="10" t="s">
        <v>1400</v>
      </c>
      <c r="C685" s="11" t="s">
        <v>1815</v>
      </c>
      <c r="D685" s="768">
        <v>647</v>
      </c>
      <c r="E685" s="8">
        <v>33100</v>
      </c>
      <c r="G685" s="6">
        <f t="shared" si="19"/>
        <v>33100</v>
      </c>
    </row>
    <row r="686" spans="1:8" x14ac:dyDescent="0.25">
      <c r="A686" s="17">
        <v>43032</v>
      </c>
      <c r="B686" s="10" t="s">
        <v>1400</v>
      </c>
      <c r="C686" s="11" t="s">
        <v>1815</v>
      </c>
      <c r="D686" s="768">
        <v>661</v>
      </c>
      <c r="E686" s="8">
        <v>26300</v>
      </c>
      <c r="G686" s="6">
        <f t="shared" si="19"/>
        <v>26300</v>
      </c>
    </row>
    <row r="687" spans="1:8" x14ac:dyDescent="0.25">
      <c r="A687" s="17">
        <v>43038</v>
      </c>
      <c r="B687" s="10" t="s">
        <v>1400</v>
      </c>
      <c r="C687" s="11" t="s">
        <v>1815</v>
      </c>
      <c r="D687" s="768">
        <v>674</v>
      </c>
      <c r="E687" s="8">
        <v>336272</v>
      </c>
      <c r="G687" s="6">
        <f t="shared" si="19"/>
        <v>336272</v>
      </c>
    </row>
    <row r="688" spans="1:8" x14ac:dyDescent="0.25">
      <c r="A688" s="17">
        <v>43039</v>
      </c>
      <c r="B688" s="10" t="s">
        <v>1400</v>
      </c>
      <c r="C688" s="11" t="s">
        <v>166</v>
      </c>
      <c r="D688" s="768">
        <v>10271</v>
      </c>
      <c r="E688" s="8">
        <v>42000</v>
      </c>
      <c r="G688" s="6">
        <f t="shared" si="19"/>
        <v>42000</v>
      </c>
    </row>
    <row r="689" spans="1:8" x14ac:dyDescent="0.25">
      <c r="A689" s="17">
        <v>43038</v>
      </c>
      <c r="B689" s="10" t="s">
        <v>2271</v>
      </c>
      <c r="C689" s="11" t="s">
        <v>161</v>
      </c>
      <c r="D689" s="768">
        <v>323</v>
      </c>
      <c r="E689" s="8">
        <v>6270</v>
      </c>
      <c r="G689" s="6">
        <f t="shared" si="19"/>
        <v>6270</v>
      </c>
    </row>
    <row r="690" spans="1:8" x14ac:dyDescent="0.25">
      <c r="A690" s="17">
        <v>43056</v>
      </c>
      <c r="B690" s="10" t="s">
        <v>1400</v>
      </c>
      <c r="C690" s="11" t="s">
        <v>1815</v>
      </c>
      <c r="D690" s="768">
        <v>719</v>
      </c>
      <c r="E690" s="8">
        <v>52515</v>
      </c>
      <c r="G690" s="6">
        <f t="shared" si="19"/>
        <v>52515</v>
      </c>
    </row>
    <row r="691" spans="1:8" x14ac:dyDescent="0.25">
      <c r="A691" s="17">
        <v>43015</v>
      </c>
      <c r="B691" s="10" t="s">
        <v>40</v>
      </c>
      <c r="C691" s="11" t="s">
        <v>161</v>
      </c>
      <c r="E691" s="8">
        <v>12236</v>
      </c>
      <c r="G691" s="6">
        <f t="shared" si="19"/>
        <v>12236</v>
      </c>
    </row>
    <row r="692" spans="1:8" x14ac:dyDescent="0.25">
      <c r="A692" s="17">
        <v>43022</v>
      </c>
      <c r="B692" s="10" t="s">
        <v>38</v>
      </c>
      <c r="C692" s="11" t="s">
        <v>161</v>
      </c>
      <c r="E692" s="8">
        <v>13642</v>
      </c>
      <c r="G692" s="6">
        <f t="shared" si="19"/>
        <v>13642</v>
      </c>
      <c r="H692" s="128"/>
    </row>
    <row r="693" spans="1:8" x14ac:dyDescent="0.25">
      <c r="A693" s="17">
        <v>43052</v>
      </c>
      <c r="B693" s="10" t="s">
        <v>1400</v>
      </c>
      <c r="C693" s="11" t="s">
        <v>164</v>
      </c>
      <c r="D693" s="768">
        <v>2159</v>
      </c>
      <c r="E693" s="8">
        <v>407306</v>
      </c>
      <c r="G693" s="6">
        <f t="shared" si="19"/>
        <v>407306</v>
      </c>
    </row>
    <row r="694" spans="1:8" x14ac:dyDescent="0.25">
      <c r="A694" s="17">
        <v>43055</v>
      </c>
      <c r="B694" s="10" t="s">
        <v>1400</v>
      </c>
      <c r="C694" s="11" t="s">
        <v>164</v>
      </c>
      <c r="D694" s="768">
        <v>2233</v>
      </c>
      <c r="E694" s="8">
        <v>11932</v>
      </c>
      <c r="G694" s="6">
        <f t="shared" si="19"/>
        <v>11932</v>
      </c>
    </row>
    <row r="695" spans="1:8" x14ac:dyDescent="0.25">
      <c r="A695" s="17">
        <v>43062</v>
      </c>
      <c r="B695" s="10" t="s">
        <v>1400</v>
      </c>
      <c r="C695" s="11" t="s">
        <v>164</v>
      </c>
      <c r="F695" s="9">
        <v>300000</v>
      </c>
      <c r="G695" s="6">
        <f t="shared" si="19"/>
        <v>-300000</v>
      </c>
      <c r="H695" s="31" t="s">
        <v>2859</v>
      </c>
    </row>
    <row r="696" spans="1:8" x14ac:dyDescent="0.25">
      <c r="A696" s="17">
        <v>43056</v>
      </c>
      <c r="B696" s="10" t="s">
        <v>2787</v>
      </c>
      <c r="C696" s="11" t="s">
        <v>166</v>
      </c>
      <c r="D696" s="768">
        <v>10379</v>
      </c>
      <c r="E696" s="8">
        <v>61200</v>
      </c>
      <c r="G696" s="6">
        <f t="shared" si="19"/>
        <v>61200</v>
      </c>
    </row>
    <row r="697" spans="1:8" x14ac:dyDescent="0.25">
      <c r="A697" s="17">
        <v>43059</v>
      </c>
      <c r="B697" s="10" t="s">
        <v>2787</v>
      </c>
      <c r="C697" s="11" t="s">
        <v>166</v>
      </c>
      <c r="D697" s="768">
        <v>10391</v>
      </c>
      <c r="E697" s="8">
        <v>61200</v>
      </c>
      <c r="G697" s="6">
        <f t="shared" si="19"/>
        <v>61200</v>
      </c>
    </row>
    <row r="698" spans="1:8" x14ac:dyDescent="0.25">
      <c r="A698" s="17">
        <v>43046</v>
      </c>
      <c r="B698" s="10" t="s">
        <v>1400</v>
      </c>
      <c r="C698" s="11" t="s">
        <v>1803</v>
      </c>
      <c r="E698" s="8">
        <v>5121</v>
      </c>
      <c r="G698" s="6">
        <f t="shared" si="19"/>
        <v>5121</v>
      </c>
    </row>
    <row r="699" spans="1:8" x14ac:dyDescent="0.25">
      <c r="A699" s="17">
        <v>43047</v>
      </c>
      <c r="B699" s="10" t="s">
        <v>171</v>
      </c>
      <c r="C699" s="11" t="s">
        <v>1803</v>
      </c>
      <c r="E699" s="8">
        <v>34567</v>
      </c>
      <c r="G699" s="6">
        <f t="shared" si="19"/>
        <v>34567</v>
      </c>
    </row>
    <row r="700" spans="1:8" x14ac:dyDescent="0.25">
      <c r="A700" s="17">
        <v>43053</v>
      </c>
      <c r="B700" s="10" t="s">
        <v>33</v>
      </c>
      <c r="C700" s="11" t="s">
        <v>1803</v>
      </c>
      <c r="E700" s="8">
        <v>380</v>
      </c>
      <c r="G700" s="6">
        <f t="shared" si="19"/>
        <v>380</v>
      </c>
    </row>
    <row r="701" spans="1:8" x14ac:dyDescent="0.25">
      <c r="A701" s="17">
        <v>43054</v>
      </c>
      <c r="B701" s="10" t="s">
        <v>171</v>
      </c>
      <c r="C701" s="11" t="s">
        <v>1803</v>
      </c>
      <c r="E701" s="8">
        <v>5374</v>
      </c>
      <c r="G701" s="6">
        <f t="shared" si="19"/>
        <v>5374</v>
      </c>
    </row>
    <row r="702" spans="1:8" x14ac:dyDescent="0.25">
      <c r="A702" s="17">
        <v>43057</v>
      </c>
      <c r="B702" s="10" t="s">
        <v>2319</v>
      </c>
      <c r="C702" s="11" t="s">
        <v>1803</v>
      </c>
      <c r="E702" s="8">
        <v>26797</v>
      </c>
      <c r="G702" s="6">
        <f t="shared" si="19"/>
        <v>26797</v>
      </c>
    </row>
    <row r="703" spans="1:8" x14ac:dyDescent="0.25">
      <c r="A703" s="17">
        <v>43059</v>
      </c>
      <c r="B703" s="10" t="s">
        <v>2319</v>
      </c>
      <c r="C703" s="11" t="s">
        <v>1803</v>
      </c>
      <c r="E703" s="8">
        <v>12976</v>
      </c>
      <c r="G703" s="6">
        <f t="shared" si="19"/>
        <v>12976</v>
      </c>
    </row>
    <row r="704" spans="1:8" x14ac:dyDescent="0.25">
      <c r="A704" s="17">
        <v>43075</v>
      </c>
      <c r="B704" s="10" t="s">
        <v>1400</v>
      </c>
      <c r="C704" s="11" t="s">
        <v>1815</v>
      </c>
      <c r="F704" s="9">
        <v>700000</v>
      </c>
      <c r="G704" s="6">
        <f t="shared" si="19"/>
        <v>-700000</v>
      </c>
      <c r="H704" s="31" t="s">
        <v>2886</v>
      </c>
    </row>
    <row r="705" spans="1:8" x14ac:dyDescent="0.25">
      <c r="A705" s="17">
        <v>43075</v>
      </c>
      <c r="B705" s="10" t="s">
        <v>2787</v>
      </c>
      <c r="C705" s="11" t="s">
        <v>3011</v>
      </c>
      <c r="E705" s="8">
        <f>236815+41617-150000-90000</f>
        <v>38432</v>
      </c>
      <c r="G705" s="6">
        <f t="shared" ref="G705:G830" si="20">E705-F705</f>
        <v>38432</v>
      </c>
    </row>
    <row r="706" spans="1:8" x14ac:dyDescent="0.25">
      <c r="A706" s="17">
        <v>43067</v>
      </c>
      <c r="B706" s="10" t="s">
        <v>14</v>
      </c>
      <c r="C706" s="11" t="s">
        <v>164</v>
      </c>
      <c r="E706" s="8">
        <v>845</v>
      </c>
      <c r="G706" s="6">
        <f t="shared" si="20"/>
        <v>845</v>
      </c>
    </row>
    <row r="707" spans="1:8" x14ac:dyDescent="0.25">
      <c r="A707" s="17">
        <v>43067</v>
      </c>
      <c r="B707" s="10" t="s">
        <v>14</v>
      </c>
      <c r="C707" s="11" t="s">
        <v>164</v>
      </c>
      <c r="E707" s="8">
        <v>586</v>
      </c>
      <c r="G707" s="6">
        <f t="shared" si="20"/>
        <v>586</v>
      </c>
    </row>
    <row r="708" spans="1:8" x14ac:dyDescent="0.25">
      <c r="A708" s="17">
        <v>43071</v>
      </c>
      <c r="B708" s="10" t="s">
        <v>1400</v>
      </c>
      <c r="C708" s="11" t="s">
        <v>1803</v>
      </c>
      <c r="F708" s="9">
        <v>82324</v>
      </c>
      <c r="G708" s="6">
        <f t="shared" si="20"/>
        <v>-82324</v>
      </c>
      <c r="H708" s="78"/>
    </row>
    <row r="709" spans="1:8" x14ac:dyDescent="0.25">
      <c r="A709" s="17">
        <v>43071</v>
      </c>
      <c r="B709" s="10" t="s">
        <v>33</v>
      </c>
      <c r="C709" s="11" t="s">
        <v>1803</v>
      </c>
      <c r="F709" s="9">
        <v>126634</v>
      </c>
      <c r="G709" s="6">
        <f t="shared" si="20"/>
        <v>-126634</v>
      </c>
      <c r="H709" s="79"/>
    </row>
    <row r="710" spans="1:8" x14ac:dyDescent="0.25">
      <c r="A710" s="17">
        <v>43071</v>
      </c>
      <c r="B710" s="10" t="s">
        <v>171</v>
      </c>
      <c r="C710" s="11" t="s">
        <v>1803</v>
      </c>
      <c r="F710" s="9">
        <v>39941</v>
      </c>
      <c r="G710" s="6">
        <f t="shared" si="20"/>
        <v>-39941</v>
      </c>
      <c r="H710" s="31" t="s">
        <v>2894</v>
      </c>
    </row>
    <row r="711" spans="1:8" x14ac:dyDescent="0.25">
      <c r="A711" s="17">
        <v>43071</v>
      </c>
      <c r="B711" s="10" t="s">
        <v>2649</v>
      </c>
      <c r="C711" s="11" t="s">
        <v>1803</v>
      </c>
      <c r="F711" s="9">
        <v>11328</v>
      </c>
      <c r="G711" s="6">
        <f t="shared" si="20"/>
        <v>-11328</v>
      </c>
      <c r="H711" s="79"/>
    </row>
    <row r="712" spans="1:8" x14ac:dyDescent="0.25">
      <c r="A712" s="17">
        <v>43071</v>
      </c>
      <c r="B712" s="10" t="s">
        <v>2319</v>
      </c>
      <c r="C712" s="11" t="s">
        <v>1803</v>
      </c>
      <c r="F712" s="9">
        <v>39773</v>
      </c>
      <c r="G712" s="6">
        <f t="shared" si="20"/>
        <v>-39773</v>
      </c>
      <c r="H712" s="80"/>
    </row>
    <row r="713" spans="1:8" x14ac:dyDescent="0.25">
      <c r="A713" s="17">
        <v>43069</v>
      </c>
      <c r="B713" s="10" t="s">
        <v>1400</v>
      </c>
      <c r="C713" s="11" t="s">
        <v>164</v>
      </c>
      <c r="E713" s="8">
        <v>28217</v>
      </c>
      <c r="G713" s="6">
        <f t="shared" si="20"/>
        <v>28217</v>
      </c>
    </row>
    <row r="714" spans="1:8" x14ac:dyDescent="0.25">
      <c r="A714" s="17">
        <v>43069</v>
      </c>
      <c r="B714" s="10" t="s">
        <v>11</v>
      </c>
      <c r="C714" s="11" t="s">
        <v>164</v>
      </c>
      <c r="E714" s="8">
        <v>81293</v>
      </c>
      <c r="G714" s="6">
        <f t="shared" si="20"/>
        <v>81293</v>
      </c>
    </row>
    <row r="715" spans="1:8" x14ac:dyDescent="0.25">
      <c r="A715" s="17">
        <v>43071</v>
      </c>
      <c r="B715" s="10" t="s">
        <v>11</v>
      </c>
      <c r="C715" s="11" t="s">
        <v>164</v>
      </c>
      <c r="E715" s="8">
        <v>6318</v>
      </c>
      <c r="G715" s="6">
        <f t="shared" si="20"/>
        <v>6318</v>
      </c>
    </row>
    <row r="716" spans="1:8" x14ac:dyDescent="0.25">
      <c r="A716" s="17">
        <v>43074</v>
      </c>
      <c r="B716" s="10" t="s">
        <v>11</v>
      </c>
      <c r="C716" s="11" t="s">
        <v>164</v>
      </c>
      <c r="E716" s="8">
        <v>3749</v>
      </c>
      <c r="G716" s="6">
        <f t="shared" si="20"/>
        <v>3749</v>
      </c>
    </row>
    <row r="717" spans="1:8" x14ac:dyDescent="0.25">
      <c r="A717" s="17">
        <v>43074</v>
      </c>
      <c r="B717" s="10" t="s">
        <v>14</v>
      </c>
      <c r="C717" s="11" t="s">
        <v>164</v>
      </c>
      <c r="E717" s="8">
        <f>1574+7320+1840+914+1085</f>
        <v>12733</v>
      </c>
      <c r="G717" s="6">
        <f t="shared" si="20"/>
        <v>12733</v>
      </c>
    </row>
    <row r="718" spans="1:8" x14ac:dyDescent="0.25">
      <c r="A718" s="17">
        <v>43075</v>
      </c>
      <c r="B718" s="10" t="s">
        <v>11</v>
      </c>
      <c r="C718" s="11" t="s">
        <v>164</v>
      </c>
      <c r="E718" s="8">
        <v>6783</v>
      </c>
      <c r="G718" s="6">
        <f t="shared" si="20"/>
        <v>6783</v>
      </c>
    </row>
    <row r="719" spans="1:8" x14ac:dyDescent="0.25">
      <c r="A719" s="17">
        <v>43083</v>
      </c>
      <c r="B719" s="10" t="s">
        <v>2548</v>
      </c>
      <c r="C719" s="11" t="s">
        <v>164</v>
      </c>
      <c r="E719" s="8">
        <v>15415</v>
      </c>
      <c r="G719" s="6">
        <f t="shared" si="20"/>
        <v>15415</v>
      </c>
    </row>
    <row r="720" spans="1:8" x14ac:dyDescent="0.25">
      <c r="A720" s="17">
        <v>43082</v>
      </c>
      <c r="B720" s="10" t="s">
        <v>1400</v>
      </c>
      <c r="C720" s="11" t="s">
        <v>164</v>
      </c>
      <c r="E720" s="8">
        <v>6160</v>
      </c>
      <c r="G720" s="6">
        <f t="shared" si="20"/>
        <v>6160</v>
      </c>
    </row>
    <row r="721" spans="1:7" x14ac:dyDescent="0.25">
      <c r="A721" s="17">
        <v>43089</v>
      </c>
      <c r="B721" s="10" t="s">
        <v>1400</v>
      </c>
      <c r="C721" s="11" t="s">
        <v>164</v>
      </c>
      <c r="E721" s="8">
        <v>12457</v>
      </c>
      <c r="G721" s="6">
        <f t="shared" si="20"/>
        <v>12457</v>
      </c>
    </row>
    <row r="722" spans="1:7" x14ac:dyDescent="0.25">
      <c r="A722" s="17">
        <v>43073</v>
      </c>
      <c r="B722" s="10" t="s">
        <v>1400</v>
      </c>
      <c r="C722" s="11" t="s">
        <v>1815</v>
      </c>
      <c r="E722" s="8">
        <v>7505</v>
      </c>
      <c r="G722" s="6">
        <f t="shared" si="20"/>
        <v>7505</v>
      </c>
    </row>
    <row r="723" spans="1:7" x14ac:dyDescent="0.25">
      <c r="A723" s="17">
        <v>43091</v>
      </c>
      <c r="B723" s="10" t="s">
        <v>1400</v>
      </c>
      <c r="C723" s="11" t="s">
        <v>1815</v>
      </c>
      <c r="E723" s="8">
        <v>444837</v>
      </c>
      <c r="G723" s="6">
        <f t="shared" si="20"/>
        <v>444837</v>
      </c>
    </row>
    <row r="724" spans="1:7" x14ac:dyDescent="0.25">
      <c r="A724" s="17">
        <v>43071</v>
      </c>
      <c r="B724" s="10" t="s">
        <v>1400</v>
      </c>
      <c r="C724" s="11" t="s">
        <v>169</v>
      </c>
      <c r="E724" s="8">
        <v>115900</v>
      </c>
      <c r="G724" s="6">
        <f t="shared" si="20"/>
        <v>115900</v>
      </c>
    </row>
    <row r="725" spans="1:7" x14ac:dyDescent="0.25">
      <c r="A725" s="17">
        <v>43081</v>
      </c>
      <c r="B725" s="10" t="s">
        <v>1400</v>
      </c>
      <c r="C725" s="11" t="s">
        <v>169</v>
      </c>
      <c r="E725" s="8">
        <v>16427</v>
      </c>
      <c r="G725" s="6">
        <f t="shared" si="20"/>
        <v>16427</v>
      </c>
    </row>
    <row r="726" spans="1:7" x14ac:dyDescent="0.25">
      <c r="A726" s="17">
        <v>43081</v>
      </c>
      <c r="B726" s="10" t="s">
        <v>14</v>
      </c>
      <c r="C726" s="11" t="s">
        <v>169</v>
      </c>
      <c r="E726" s="8">
        <v>3080</v>
      </c>
      <c r="G726" s="6">
        <f t="shared" si="20"/>
        <v>3080</v>
      </c>
    </row>
    <row r="727" spans="1:7" x14ac:dyDescent="0.25">
      <c r="A727" s="17">
        <v>43081</v>
      </c>
      <c r="B727" s="10" t="s">
        <v>14</v>
      </c>
      <c r="C727" s="11" t="s">
        <v>169</v>
      </c>
      <c r="E727" s="8">
        <v>2328</v>
      </c>
      <c r="G727" s="6">
        <f t="shared" si="20"/>
        <v>2328</v>
      </c>
    </row>
    <row r="728" spans="1:7" x14ac:dyDescent="0.25">
      <c r="A728" s="17">
        <v>43090</v>
      </c>
      <c r="B728" s="10" t="s">
        <v>1400</v>
      </c>
      <c r="C728" s="11" t="s">
        <v>169</v>
      </c>
      <c r="E728" s="8">
        <v>337127</v>
      </c>
      <c r="G728" s="6">
        <f t="shared" si="20"/>
        <v>337127</v>
      </c>
    </row>
    <row r="729" spans="1:7" x14ac:dyDescent="0.25">
      <c r="A729" s="17">
        <v>43085</v>
      </c>
      <c r="B729" s="10" t="s">
        <v>2548</v>
      </c>
      <c r="C729" s="11" t="s">
        <v>164</v>
      </c>
      <c r="E729" s="8">
        <v>1841</v>
      </c>
      <c r="G729" s="6">
        <f t="shared" si="20"/>
        <v>1841</v>
      </c>
    </row>
    <row r="730" spans="1:7" x14ac:dyDescent="0.25">
      <c r="A730" s="17">
        <v>43088</v>
      </c>
      <c r="B730" s="10" t="s">
        <v>11</v>
      </c>
      <c r="C730" s="11" t="s">
        <v>164</v>
      </c>
      <c r="E730" s="8">
        <v>7321</v>
      </c>
      <c r="G730" s="6">
        <f t="shared" si="20"/>
        <v>7321</v>
      </c>
    </row>
    <row r="731" spans="1:7" x14ac:dyDescent="0.25">
      <c r="A731" s="17">
        <v>43089</v>
      </c>
      <c r="B731" s="10" t="s">
        <v>11</v>
      </c>
      <c r="C731" s="11" t="s">
        <v>164</v>
      </c>
      <c r="E731" s="8">
        <v>1575</v>
      </c>
      <c r="G731" s="6">
        <f t="shared" si="20"/>
        <v>1575</v>
      </c>
    </row>
    <row r="732" spans="1:7" x14ac:dyDescent="0.25">
      <c r="A732" s="17">
        <v>43092</v>
      </c>
      <c r="B732" s="10" t="s">
        <v>11</v>
      </c>
      <c r="C732" s="11" t="s">
        <v>164</v>
      </c>
      <c r="E732" s="8">
        <v>5411</v>
      </c>
      <c r="G732" s="6">
        <f t="shared" si="20"/>
        <v>5411</v>
      </c>
    </row>
    <row r="733" spans="1:7" x14ac:dyDescent="0.25">
      <c r="A733" s="17">
        <v>43073</v>
      </c>
      <c r="B733" s="10" t="s">
        <v>33</v>
      </c>
      <c r="C733" s="11" t="s">
        <v>1803</v>
      </c>
      <c r="E733" s="8">
        <v>1208</v>
      </c>
      <c r="G733" s="6">
        <f t="shared" si="20"/>
        <v>1208</v>
      </c>
    </row>
    <row r="734" spans="1:7" x14ac:dyDescent="0.25">
      <c r="A734" s="17">
        <v>43075</v>
      </c>
      <c r="B734" s="10" t="s">
        <v>33</v>
      </c>
      <c r="C734" s="11" t="s">
        <v>1803</v>
      </c>
      <c r="E734" s="8">
        <v>423</v>
      </c>
      <c r="G734" s="6">
        <f t="shared" si="20"/>
        <v>423</v>
      </c>
    </row>
    <row r="735" spans="1:7" x14ac:dyDescent="0.25">
      <c r="A735" s="17">
        <v>43080</v>
      </c>
      <c r="B735" s="10" t="s">
        <v>1400</v>
      </c>
      <c r="C735" s="11" t="s">
        <v>1803</v>
      </c>
      <c r="E735" s="8">
        <v>1064</v>
      </c>
      <c r="G735" s="6">
        <f t="shared" si="20"/>
        <v>1064</v>
      </c>
    </row>
    <row r="736" spans="1:7" x14ac:dyDescent="0.25">
      <c r="A736" s="17">
        <v>43081</v>
      </c>
      <c r="B736" s="10" t="s">
        <v>33</v>
      </c>
      <c r="C736" s="11" t="s">
        <v>1803</v>
      </c>
      <c r="E736" s="8">
        <v>1689</v>
      </c>
      <c r="G736" s="6">
        <f t="shared" si="20"/>
        <v>1689</v>
      </c>
    </row>
    <row r="737" spans="1:8" x14ac:dyDescent="0.25">
      <c r="A737" s="17">
        <v>43083</v>
      </c>
      <c r="B737" s="10" t="s">
        <v>1400</v>
      </c>
      <c r="C737" s="11" t="s">
        <v>1803</v>
      </c>
      <c r="E737" s="8">
        <v>4800</v>
      </c>
      <c r="G737" s="6">
        <f t="shared" si="20"/>
        <v>4800</v>
      </c>
    </row>
    <row r="738" spans="1:8" x14ac:dyDescent="0.25">
      <c r="A738" s="17">
        <v>43103</v>
      </c>
      <c r="B738" s="10" t="s">
        <v>40</v>
      </c>
      <c r="C738" s="11" t="s">
        <v>164</v>
      </c>
      <c r="F738" s="9">
        <v>3797</v>
      </c>
      <c r="G738" s="6">
        <f t="shared" si="20"/>
        <v>-3797</v>
      </c>
      <c r="H738" s="78"/>
    </row>
    <row r="739" spans="1:8" x14ac:dyDescent="0.25">
      <c r="A739" s="17">
        <v>43103</v>
      </c>
      <c r="B739" s="10" t="s">
        <v>14</v>
      </c>
      <c r="C739" s="11" t="s">
        <v>164</v>
      </c>
      <c r="F739" s="9">
        <v>17173</v>
      </c>
      <c r="G739" s="6">
        <f t="shared" si="20"/>
        <v>-17173</v>
      </c>
      <c r="H739" s="79"/>
    </row>
    <row r="740" spans="1:8" x14ac:dyDescent="0.25">
      <c r="A740" s="17">
        <v>43103</v>
      </c>
      <c r="B740" s="10" t="s">
        <v>1691</v>
      </c>
      <c r="C740" s="11" t="s">
        <v>164</v>
      </c>
      <c r="F740" s="9">
        <v>3492</v>
      </c>
      <c r="G740" s="6">
        <f t="shared" si="20"/>
        <v>-3492</v>
      </c>
      <c r="H740" s="79"/>
    </row>
    <row r="741" spans="1:8" x14ac:dyDescent="0.25">
      <c r="A741" s="17">
        <v>43103</v>
      </c>
      <c r="B741" s="10" t="s">
        <v>2548</v>
      </c>
      <c r="C741" s="11" t="s">
        <v>164</v>
      </c>
      <c r="F741" s="9">
        <v>17256</v>
      </c>
      <c r="G741" s="6">
        <f t="shared" si="20"/>
        <v>-17256</v>
      </c>
      <c r="H741" s="79" t="s">
        <v>2969</v>
      </c>
    </row>
    <row r="742" spans="1:8" x14ac:dyDescent="0.25">
      <c r="A742" s="17">
        <v>43103</v>
      </c>
      <c r="B742" s="10" t="s">
        <v>1397</v>
      </c>
      <c r="C742" s="11" t="s">
        <v>164</v>
      </c>
      <c r="F742" s="9">
        <v>37302</v>
      </c>
      <c r="G742" s="6">
        <f t="shared" si="20"/>
        <v>-37302</v>
      </c>
      <c r="H742" s="79"/>
    </row>
    <row r="743" spans="1:8" x14ac:dyDescent="0.25">
      <c r="A743" s="17">
        <v>43103</v>
      </c>
      <c r="B743" s="10" t="s">
        <v>11</v>
      </c>
      <c r="C743" s="11" t="s">
        <v>164</v>
      </c>
      <c r="F743" s="9">
        <v>112450</v>
      </c>
      <c r="G743" s="6">
        <f t="shared" si="20"/>
        <v>-112450</v>
      </c>
      <c r="H743" s="79"/>
    </row>
    <row r="744" spans="1:8" x14ac:dyDescent="0.25">
      <c r="A744" s="17">
        <v>43103</v>
      </c>
      <c r="B744" s="10" t="s">
        <v>2649</v>
      </c>
      <c r="C744" s="11" t="s">
        <v>164</v>
      </c>
      <c r="F744" s="9">
        <v>8530</v>
      </c>
      <c r="G744" s="6">
        <f t="shared" si="20"/>
        <v>-8530</v>
      </c>
      <c r="H744" s="80"/>
    </row>
    <row r="745" spans="1:8" x14ac:dyDescent="0.25">
      <c r="A745" s="17">
        <v>43104</v>
      </c>
      <c r="B745" s="10" t="s">
        <v>2787</v>
      </c>
      <c r="C745" s="11" t="s">
        <v>166</v>
      </c>
      <c r="E745" s="8">
        <v>61200</v>
      </c>
      <c r="G745" s="6">
        <f t="shared" si="20"/>
        <v>61200</v>
      </c>
    </row>
    <row r="746" spans="1:8" x14ac:dyDescent="0.25">
      <c r="A746" s="17">
        <v>43108</v>
      </c>
      <c r="B746" s="10" t="s">
        <v>1397</v>
      </c>
      <c r="C746" s="11" t="s">
        <v>180</v>
      </c>
      <c r="F746" s="9">
        <v>200000</v>
      </c>
      <c r="G746" s="6">
        <f t="shared" si="20"/>
        <v>-200000</v>
      </c>
      <c r="H746" s="31" t="s">
        <v>2974</v>
      </c>
    </row>
    <row r="747" spans="1:8" x14ac:dyDescent="0.25">
      <c r="A747" s="17">
        <v>43101</v>
      </c>
      <c r="B747" s="10" t="s">
        <v>1400</v>
      </c>
      <c r="C747" s="11" t="s">
        <v>164</v>
      </c>
      <c r="E747" s="8">
        <v>2902</v>
      </c>
      <c r="G747" s="6">
        <f t="shared" si="20"/>
        <v>2902</v>
      </c>
    </row>
    <row r="748" spans="1:8" x14ac:dyDescent="0.25">
      <c r="A748" s="17">
        <v>43104</v>
      </c>
      <c r="B748" s="10" t="s">
        <v>1400</v>
      </c>
      <c r="C748" s="11" t="s">
        <v>164</v>
      </c>
      <c r="E748" s="8">
        <v>977</v>
      </c>
      <c r="G748" s="6">
        <f t="shared" si="20"/>
        <v>977</v>
      </c>
    </row>
    <row r="749" spans="1:8" ht="31.5" x14ac:dyDescent="0.25">
      <c r="A749" s="17">
        <v>43081</v>
      </c>
      <c r="B749" s="10" t="s">
        <v>1400</v>
      </c>
      <c r="C749" s="11" t="s">
        <v>1815</v>
      </c>
      <c r="F749" s="9">
        <v>1000000</v>
      </c>
      <c r="G749" s="6">
        <f t="shared" si="20"/>
        <v>-1000000</v>
      </c>
      <c r="H749" s="248" t="s">
        <v>2980</v>
      </c>
    </row>
    <row r="750" spans="1:8" x14ac:dyDescent="0.25">
      <c r="A750" s="17">
        <v>43081</v>
      </c>
      <c r="B750" s="10" t="s">
        <v>2271</v>
      </c>
      <c r="C750" s="11" t="s">
        <v>166</v>
      </c>
      <c r="F750" s="9">
        <v>122968</v>
      </c>
      <c r="G750" s="6">
        <f t="shared" si="20"/>
        <v>-122968</v>
      </c>
      <c r="H750" s="1201" t="s">
        <v>2981</v>
      </c>
    </row>
    <row r="751" spans="1:8" x14ac:dyDescent="0.25">
      <c r="A751" s="17">
        <v>43081</v>
      </c>
      <c r="B751" s="10" t="s">
        <v>2787</v>
      </c>
      <c r="C751" s="11" t="s">
        <v>166</v>
      </c>
      <c r="F751" s="9">
        <v>183600</v>
      </c>
      <c r="G751" s="6">
        <f t="shared" si="20"/>
        <v>-183600</v>
      </c>
      <c r="H751" s="1202"/>
    </row>
    <row r="752" spans="1:8" x14ac:dyDescent="0.25">
      <c r="A752" s="17">
        <v>43081</v>
      </c>
      <c r="B752" s="10" t="s">
        <v>40</v>
      </c>
      <c r="C752" s="11" t="s">
        <v>166</v>
      </c>
      <c r="F752" s="9">
        <v>69900</v>
      </c>
      <c r="G752" s="6">
        <f t="shared" si="20"/>
        <v>-69900</v>
      </c>
      <c r="H752" s="1202"/>
    </row>
    <row r="753" spans="1:8" x14ac:dyDescent="0.25">
      <c r="A753" s="17">
        <v>43081</v>
      </c>
      <c r="B753" s="10" t="s">
        <v>1400</v>
      </c>
      <c r="C753" s="11" t="s">
        <v>166</v>
      </c>
      <c r="F753" s="9">
        <v>84000</v>
      </c>
      <c r="G753" s="6">
        <f t="shared" si="20"/>
        <v>-84000</v>
      </c>
      <c r="H753" s="1202"/>
    </row>
    <row r="754" spans="1:8" x14ac:dyDescent="0.25">
      <c r="A754" s="17">
        <v>43081</v>
      </c>
      <c r="B754" s="10" t="s">
        <v>2227</v>
      </c>
      <c r="C754" s="11" t="s">
        <v>166</v>
      </c>
      <c r="F754" s="9">
        <v>35709</v>
      </c>
      <c r="G754" s="6">
        <f t="shared" si="20"/>
        <v>-35709</v>
      </c>
      <c r="H754" s="1202"/>
    </row>
    <row r="755" spans="1:8" x14ac:dyDescent="0.25">
      <c r="A755" s="17">
        <v>43081</v>
      </c>
      <c r="B755" s="10" t="s">
        <v>1397</v>
      </c>
      <c r="C755" s="11" t="s">
        <v>166</v>
      </c>
      <c r="F755" s="9">
        <v>3823</v>
      </c>
      <c r="G755" s="6">
        <f t="shared" si="20"/>
        <v>-3823</v>
      </c>
      <c r="H755" s="1203"/>
    </row>
    <row r="756" spans="1:8" ht="26.25" x14ac:dyDescent="0.25">
      <c r="A756" s="17">
        <v>43084</v>
      </c>
      <c r="B756" s="10" t="s">
        <v>40</v>
      </c>
      <c r="C756" s="11" t="s">
        <v>161</v>
      </c>
      <c r="F756" s="9">
        <v>100000</v>
      </c>
      <c r="G756" s="6">
        <f t="shared" si="20"/>
        <v>-100000</v>
      </c>
      <c r="H756" s="135" t="s">
        <v>2982</v>
      </c>
    </row>
    <row r="757" spans="1:8" x14ac:dyDescent="0.25">
      <c r="A757" s="17">
        <v>43084</v>
      </c>
      <c r="B757" s="10" t="s">
        <v>1400</v>
      </c>
      <c r="C757" s="11" t="s">
        <v>1815</v>
      </c>
      <c r="E757" s="8">
        <v>250690</v>
      </c>
      <c r="G757" s="6">
        <f t="shared" si="20"/>
        <v>250690</v>
      </c>
    </row>
    <row r="758" spans="1:8" x14ac:dyDescent="0.25">
      <c r="A758" s="17">
        <v>43087</v>
      </c>
      <c r="B758" s="10" t="s">
        <v>1400</v>
      </c>
      <c r="C758" s="11" t="s">
        <v>164</v>
      </c>
      <c r="E758" s="8">
        <v>6207</v>
      </c>
      <c r="G758" s="6">
        <f t="shared" si="20"/>
        <v>6207</v>
      </c>
    </row>
    <row r="759" spans="1:8" x14ac:dyDescent="0.25">
      <c r="A759" s="17">
        <v>43117</v>
      </c>
      <c r="B759" s="10" t="s">
        <v>1400</v>
      </c>
      <c r="C759" s="11" t="s">
        <v>1815</v>
      </c>
      <c r="E759" s="8">
        <v>141187</v>
      </c>
      <c r="G759" s="6">
        <f t="shared" si="20"/>
        <v>141187</v>
      </c>
    </row>
    <row r="760" spans="1:8" x14ac:dyDescent="0.25">
      <c r="A760" s="17">
        <v>43117</v>
      </c>
      <c r="B760" s="10" t="s">
        <v>2271</v>
      </c>
      <c r="C760" s="11" t="s">
        <v>161</v>
      </c>
      <c r="F760" s="9">
        <v>6270</v>
      </c>
      <c r="G760" s="6">
        <f t="shared" si="20"/>
        <v>-6270</v>
      </c>
      <c r="H760" s="78"/>
    </row>
    <row r="761" spans="1:8" x14ac:dyDescent="0.25">
      <c r="A761" s="17">
        <v>43117</v>
      </c>
      <c r="B761" s="10" t="s">
        <v>1397</v>
      </c>
      <c r="C761" s="11" t="s">
        <v>161</v>
      </c>
      <c r="F761" s="9">
        <v>58308</v>
      </c>
      <c r="G761" s="6">
        <f t="shared" si="20"/>
        <v>-58308</v>
      </c>
      <c r="H761" s="79"/>
    </row>
    <row r="762" spans="1:8" x14ac:dyDescent="0.25">
      <c r="A762" s="17">
        <v>43117</v>
      </c>
      <c r="B762" s="10" t="s">
        <v>38</v>
      </c>
      <c r="C762" s="11" t="s">
        <v>161</v>
      </c>
      <c r="F762" s="9">
        <v>13642</v>
      </c>
      <c r="G762" s="6">
        <f t="shared" si="20"/>
        <v>-13642</v>
      </c>
      <c r="H762" s="79" t="s">
        <v>3014</v>
      </c>
    </row>
    <row r="763" spans="1:8" x14ac:dyDescent="0.25">
      <c r="A763" s="17">
        <v>43117</v>
      </c>
      <c r="B763" s="10" t="s">
        <v>40</v>
      </c>
      <c r="C763" s="11" t="s">
        <v>161</v>
      </c>
      <c r="F763" s="9">
        <v>14780</v>
      </c>
      <c r="G763" s="6">
        <f t="shared" si="20"/>
        <v>-14780</v>
      </c>
      <c r="H763" s="80"/>
    </row>
    <row r="764" spans="1:8" x14ac:dyDescent="0.25">
      <c r="A764" s="17">
        <v>43122</v>
      </c>
      <c r="B764" s="10" t="s">
        <v>1400</v>
      </c>
      <c r="C764" s="11" t="s">
        <v>169</v>
      </c>
      <c r="F764" s="9">
        <v>300000</v>
      </c>
      <c r="G764" s="6">
        <f t="shared" si="20"/>
        <v>-300000</v>
      </c>
      <c r="H764" s="31" t="s">
        <v>3046</v>
      </c>
    </row>
    <row r="765" spans="1:8" x14ac:dyDescent="0.25">
      <c r="A765" s="17">
        <v>43122</v>
      </c>
      <c r="B765" s="10" t="s">
        <v>1400</v>
      </c>
      <c r="C765" s="11" t="s">
        <v>164</v>
      </c>
      <c r="E765" s="8">
        <v>6084</v>
      </c>
      <c r="G765" s="6">
        <f t="shared" si="20"/>
        <v>6084</v>
      </c>
    </row>
    <row r="766" spans="1:8" x14ac:dyDescent="0.25">
      <c r="A766" s="17">
        <v>43122</v>
      </c>
      <c r="B766" s="10" t="s">
        <v>1400</v>
      </c>
      <c r="C766" s="11" t="s">
        <v>1815</v>
      </c>
      <c r="F766" s="9">
        <v>500000</v>
      </c>
      <c r="G766" s="6">
        <f t="shared" si="20"/>
        <v>-500000</v>
      </c>
      <c r="H766" s="45" t="s">
        <v>3047</v>
      </c>
    </row>
    <row r="767" spans="1:8" x14ac:dyDescent="0.25">
      <c r="A767" s="17">
        <v>43122</v>
      </c>
      <c r="B767" s="10" t="s">
        <v>1397</v>
      </c>
      <c r="C767" s="11" t="s">
        <v>166</v>
      </c>
      <c r="F767" s="9">
        <v>56477</v>
      </c>
      <c r="G767" s="6">
        <f t="shared" si="20"/>
        <v>-56477</v>
      </c>
      <c r="H767" s="1204" t="s">
        <v>3052</v>
      </c>
    </row>
    <row r="768" spans="1:8" x14ac:dyDescent="0.25">
      <c r="A768" s="17">
        <v>43122</v>
      </c>
      <c r="B768" s="10" t="s">
        <v>2787</v>
      </c>
      <c r="C768" s="11" t="s">
        <v>166</v>
      </c>
      <c r="F768" s="9">
        <f>500000-F767</f>
        <v>443523</v>
      </c>
      <c r="G768" s="6">
        <f t="shared" si="20"/>
        <v>-443523</v>
      </c>
      <c r="H768" s="1205"/>
    </row>
    <row r="769" spans="1:8" x14ac:dyDescent="0.25">
      <c r="A769" s="17">
        <v>43122</v>
      </c>
      <c r="B769" s="10" t="s">
        <v>1400</v>
      </c>
      <c r="C769" s="11" t="s">
        <v>1803</v>
      </c>
      <c r="F769" s="9">
        <v>460000</v>
      </c>
      <c r="G769" s="6">
        <f t="shared" si="20"/>
        <v>-460000</v>
      </c>
      <c r="H769" s="31" t="s">
        <v>3392</v>
      </c>
    </row>
    <row r="770" spans="1:8" x14ac:dyDescent="0.25">
      <c r="A770" s="17">
        <v>43124</v>
      </c>
      <c r="B770" s="10" t="s">
        <v>33</v>
      </c>
      <c r="C770" s="11" t="s">
        <v>164</v>
      </c>
      <c r="D770" s="768">
        <v>3544</v>
      </c>
      <c r="E770" s="8">
        <v>1013</v>
      </c>
      <c r="G770" s="6">
        <f t="shared" si="20"/>
        <v>1013</v>
      </c>
    </row>
    <row r="771" spans="1:8" x14ac:dyDescent="0.25">
      <c r="A771" s="17">
        <v>43125</v>
      </c>
      <c r="B771" s="10" t="s">
        <v>33</v>
      </c>
      <c r="C771" s="11" t="s">
        <v>164</v>
      </c>
      <c r="D771" s="768">
        <v>3566</v>
      </c>
      <c r="E771" s="8">
        <v>17530</v>
      </c>
      <c r="G771" s="6">
        <f t="shared" si="20"/>
        <v>17530</v>
      </c>
    </row>
    <row r="772" spans="1:8" x14ac:dyDescent="0.25">
      <c r="A772" s="17">
        <v>43134</v>
      </c>
      <c r="B772" s="10" t="s">
        <v>2787</v>
      </c>
      <c r="C772" s="11" t="s">
        <v>180</v>
      </c>
      <c r="F772" s="9">
        <v>33000</v>
      </c>
      <c r="G772" s="6">
        <f t="shared" si="20"/>
        <v>-33000</v>
      </c>
      <c r="H772" s="7" t="s">
        <v>3089</v>
      </c>
    </row>
    <row r="773" spans="1:8" x14ac:dyDescent="0.25">
      <c r="A773" s="17">
        <v>43127</v>
      </c>
      <c r="B773" s="10" t="s">
        <v>1400</v>
      </c>
      <c r="C773" s="11" t="s">
        <v>1803</v>
      </c>
      <c r="E773" s="8">
        <v>255741</v>
      </c>
      <c r="G773" s="6">
        <f t="shared" si="20"/>
        <v>255741</v>
      </c>
    </row>
    <row r="774" spans="1:8" x14ac:dyDescent="0.25">
      <c r="A774" s="17">
        <v>43131</v>
      </c>
      <c r="B774" s="10" t="s">
        <v>1400</v>
      </c>
      <c r="C774" s="11" t="s">
        <v>1803</v>
      </c>
      <c r="E774" s="8">
        <v>28960</v>
      </c>
      <c r="G774" s="6">
        <f t="shared" si="20"/>
        <v>28960</v>
      </c>
    </row>
    <row r="775" spans="1:8" x14ac:dyDescent="0.25">
      <c r="A775" s="17">
        <v>43130</v>
      </c>
      <c r="B775" s="10" t="s">
        <v>2787</v>
      </c>
      <c r="C775" s="11" t="s">
        <v>161</v>
      </c>
      <c r="E775" s="8">
        <v>581334</v>
      </c>
      <c r="G775" s="6">
        <f t="shared" si="20"/>
        <v>581334</v>
      </c>
    </row>
    <row r="776" spans="1:8" x14ac:dyDescent="0.25">
      <c r="A776" s="17">
        <v>43125</v>
      </c>
      <c r="B776" s="10" t="s">
        <v>11</v>
      </c>
      <c r="C776" s="11" t="s">
        <v>164</v>
      </c>
      <c r="E776" s="8">
        <v>4558</v>
      </c>
      <c r="G776" s="6">
        <f t="shared" si="20"/>
        <v>4558</v>
      </c>
    </row>
    <row r="777" spans="1:8" x14ac:dyDescent="0.25">
      <c r="A777" s="17">
        <v>43134</v>
      </c>
      <c r="B777" s="10" t="s">
        <v>11</v>
      </c>
      <c r="C777" s="11" t="s">
        <v>164</v>
      </c>
      <c r="E777" s="8">
        <v>7827</v>
      </c>
      <c r="G777" s="6">
        <f t="shared" si="20"/>
        <v>7827</v>
      </c>
    </row>
    <row r="778" spans="1:8" x14ac:dyDescent="0.25">
      <c r="A778" s="17">
        <v>43138</v>
      </c>
      <c r="B778" s="10" t="s">
        <v>1400</v>
      </c>
      <c r="C778" s="11" t="s">
        <v>164</v>
      </c>
      <c r="E778" s="8">
        <v>417</v>
      </c>
      <c r="G778" s="6">
        <f t="shared" si="20"/>
        <v>417</v>
      </c>
    </row>
    <row r="779" spans="1:8" x14ac:dyDescent="0.25">
      <c r="A779" s="17">
        <v>43102</v>
      </c>
      <c r="B779" s="10" t="s">
        <v>33</v>
      </c>
      <c r="C779" s="11" t="s">
        <v>1803</v>
      </c>
      <c r="E779" s="8">
        <v>5931</v>
      </c>
      <c r="G779" s="6">
        <f t="shared" si="20"/>
        <v>5931</v>
      </c>
    </row>
    <row r="780" spans="1:8" x14ac:dyDescent="0.25">
      <c r="A780" s="17">
        <v>43108</v>
      </c>
      <c r="B780" s="10" t="s">
        <v>33</v>
      </c>
      <c r="C780" s="11" t="s">
        <v>1803</v>
      </c>
      <c r="E780" s="8">
        <v>4612</v>
      </c>
      <c r="G780" s="6">
        <f t="shared" si="20"/>
        <v>4612</v>
      </c>
    </row>
    <row r="781" spans="1:8" x14ac:dyDescent="0.25">
      <c r="A781" s="17">
        <v>43120</v>
      </c>
      <c r="B781" s="10" t="s">
        <v>1400</v>
      </c>
      <c r="C781" s="11" t="s">
        <v>1803</v>
      </c>
      <c r="E781" s="8">
        <v>5199</v>
      </c>
      <c r="G781" s="6">
        <f t="shared" si="20"/>
        <v>5199</v>
      </c>
    </row>
    <row r="782" spans="1:8" x14ac:dyDescent="0.25">
      <c r="A782" s="17">
        <v>43116</v>
      </c>
      <c r="B782" s="10" t="s">
        <v>1400</v>
      </c>
      <c r="C782" s="11" t="s">
        <v>1803</v>
      </c>
      <c r="E782" s="8">
        <v>60700</v>
      </c>
      <c r="G782" s="6">
        <f t="shared" si="20"/>
        <v>60700</v>
      </c>
    </row>
    <row r="783" spans="1:8" x14ac:dyDescent="0.25">
      <c r="A783" s="17">
        <v>43113</v>
      </c>
      <c r="B783" s="10" t="s">
        <v>1400</v>
      </c>
      <c r="C783" s="11" t="s">
        <v>1803</v>
      </c>
      <c r="E783" s="8">
        <v>18807</v>
      </c>
      <c r="G783" s="6">
        <f t="shared" si="20"/>
        <v>18807</v>
      </c>
    </row>
    <row r="784" spans="1:8" x14ac:dyDescent="0.25">
      <c r="A784" s="17">
        <v>43104</v>
      </c>
      <c r="B784" s="10" t="s">
        <v>1400</v>
      </c>
      <c r="C784" s="11" t="s">
        <v>1803</v>
      </c>
      <c r="E784" s="8">
        <v>112039</v>
      </c>
      <c r="G784" s="6">
        <f t="shared" si="20"/>
        <v>112039</v>
      </c>
    </row>
    <row r="785" spans="1:8" x14ac:dyDescent="0.25">
      <c r="A785" s="17">
        <v>43148</v>
      </c>
      <c r="B785" s="10" t="s">
        <v>2787</v>
      </c>
      <c r="C785" s="11" t="s">
        <v>161</v>
      </c>
      <c r="F785" s="9">
        <v>250000</v>
      </c>
      <c r="G785" s="6">
        <f t="shared" si="20"/>
        <v>-250000</v>
      </c>
      <c r="H785" s="31" t="s">
        <v>3139</v>
      </c>
    </row>
    <row r="786" spans="1:8" x14ac:dyDescent="0.25">
      <c r="A786" s="17">
        <v>43139</v>
      </c>
      <c r="B786" s="10" t="s">
        <v>11</v>
      </c>
      <c r="C786" s="11" t="s">
        <v>164</v>
      </c>
      <c r="E786" s="8">
        <v>7442</v>
      </c>
      <c r="G786" s="6">
        <f t="shared" si="20"/>
        <v>7442</v>
      </c>
      <c r="H786" s="124"/>
    </row>
    <row r="787" spans="1:8" x14ac:dyDescent="0.25">
      <c r="A787" s="17">
        <v>43144</v>
      </c>
      <c r="B787" s="10" t="s">
        <v>1400</v>
      </c>
      <c r="C787" s="11" t="s">
        <v>164</v>
      </c>
      <c r="E787" s="8">
        <v>4897</v>
      </c>
      <c r="G787" s="6">
        <f t="shared" si="20"/>
        <v>4897</v>
      </c>
    </row>
    <row r="788" spans="1:8" x14ac:dyDescent="0.25">
      <c r="A788" s="17">
        <v>43143</v>
      </c>
      <c r="B788" s="10" t="s">
        <v>1400</v>
      </c>
      <c r="C788" s="11" t="s">
        <v>1815</v>
      </c>
      <c r="E788" s="8">
        <v>98664</v>
      </c>
      <c r="G788" s="6">
        <f t="shared" si="20"/>
        <v>98664</v>
      </c>
    </row>
    <row r="789" spans="1:8" x14ac:dyDescent="0.25">
      <c r="A789" s="17">
        <v>43146</v>
      </c>
      <c r="B789" s="10" t="s">
        <v>11</v>
      </c>
      <c r="C789" s="11" t="s">
        <v>164</v>
      </c>
      <c r="E789" s="8">
        <v>1073</v>
      </c>
      <c r="G789" s="6">
        <f t="shared" si="20"/>
        <v>1073</v>
      </c>
    </row>
    <row r="790" spans="1:8" x14ac:dyDescent="0.25">
      <c r="A790" s="17">
        <v>43104</v>
      </c>
      <c r="B790" s="10" t="s">
        <v>2787</v>
      </c>
      <c r="C790" s="11" t="s">
        <v>166</v>
      </c>
      <c r="E790" s="8">
        <v>70800</v>
      </c>
      <c r="G790" s="6">
        <f t="shared" si="20"/>
        <v>70800</v>
      </c>
    </row>
    <row r="791" spans="1:8" x14ac:dyDescent="0.25">
      <c r="A791" s="17">
        <v>43108</v>
      </c>
      <c r="B791" s="10" t="s">
        <v>2787</v>
      </c>
      <c r="C791" s="11" t="s">
        <v>166</v>
      </c>
      <c r="E791" s="8">
        <v>61200</v>
      </c>
      <c r="G791" s="6">
        <f t="shared" si="20"/>
        <v>61200</v>
      </c>
    </row>
    <row r="792" spans="1:8" x14ac:dyDescent="0.25">
      <c r="A792" s="17">
        <v>43110</v>
      </c>
      <c r="B792" s="10" t="s">
        <v>2787</v>
      </c>
      <c r="C792" s="11" t="s">
        <v>166</v>
      </c>
      <c r="E792" s="8">
        <v>30600</v>
      </c>
      <c r="G792" s="6">
        <f t="shared" si="20"/>
        <v>30600</v>
      </c>
    </row>
    <row r="793" spans="1:8" x14ac:dyDescent="0.25">
      <c r="A793" s="17">
        <v>43111</v>
      </c>
      <c r="B793" s="10" t="s">
        <v>2787</v>
      </c>
      <c r="C793" s="11" t="s">
        <v>166</v>
      </c>
      <c r="E793" s="8">
        <v>19000</v>
      </c>
      <c r="G793" s="6">
        <f t="shared" si="20"/>
        <v>19000</v>
      </c>
    </row>
    <row r="794" spans="1:8" x14ac:dyDescent="0.25">
      <c r="A794" s="17">
        <v>43117</v>
      </c>
      <c r="B794" s="10" t="s">
        <v>2787</v>
      </c>
      <c r="C794" s="11" t="s">
        <v>166</v>
      </c>
      <c r="E794" s="8">
        <v>61200</v>
      </c>
      <c r="G794" s="6">
        <f t="shared" si="20"/>
        <v>61200</v>
      </c>
    </row>
    <row r="795" spans="1:8" x14ac:dyDescent="0.25">
      <c r="A795" s="17">
        <v>43120</v>
      </c>
      <c r="B795" s="10" t="s">
        <v>2787</v>
      </c>
      <c r="C795" s="11" t="s">
        <v>166</v>
      </c>
      <c r="E795" s="8">
        <v>61200</v>
      </c>
      <c r="G795" s="6">
        <f t="shared" si="20"/>
        <v>61200</v>
      </c>
    </row>
    <row r="796" spans="1:8" x14ac:dyDescent="0.25">
      <c r="A796" s="17">
        <v>43122</v>
      </c>
      <c r="B796" s="10" t="s">
        <v>2787</v>
      </c>
      <c r="C796" s="11" t="s">
        <v>166</v>
      </c>
      <c r="E796" s="8">
        <v>88860</v>
      </c>
      <c r="G796" s="6">
        <f t="shared" si="20"/>
        <v>88860</v>
      </c>
    </row>
    <row r="797" spans="1:8" x14ac:dyDescent="0.25">
      <c r="A797" s="17">
        <v>43124</v>
      </c>
      <c r="B797" s="10" t="s">
        <v>2787</v>
      </c>
      <c r="C797" s="11" t="s">
        <v>166</v>
      </c>
      <c r="E797" s="8">
        <v>61200</v>
      </c>
      <c r="G797" s="6">
        <f t="shared" si="20"/>
        <v>61200</v>
      </c>
    </row>
    <row r="798" spans="1:8" x14ac:dyDescent="0.25">
      <c r="A798" s="17">
        <v>43127</v>
      </c>
      <c r="B798" s="10" t="s">
        <v>2787</v>
      </c>
      <c r="C798" s="11" t="s">
        <v>166</v>
      </c>
      <c r="E798" s="8">
        <v>30000</v>
      </c>
      <c r="G798" s="6">
        <f t="shared" si="20"/>
        <v>30000</v>
      </c>
    </row>
    <row r="799" spans="1:8" x14ac:dyDescent="0.25">
      <c r="A799" s="17">
        <v>43131</v>
      </c>
      <c r="B799" s="10" t="s">
        <v>2787</v>
      </c>
      <c r="C799" s="11" t="s">
        <v>166</v>
      </c>
      <c r="E799" s="8">
        <v>30000</v>
      </c>
      <c r="G799" s="6">
        <f t="shared" si="20"/>
        <v>30000</v>
      </c>
    </row>
    <row r="800" spans="1:8" x14ac:dyDescent="0.25">
      <c r="A800" s="17">
        <v>43132</v>
      </c>
      <c r="B800" s="10" t="s">
        <v>2787</v>
      </c>
      <c r="C800" s="11" t="s">
        <v>166</v>
      </c>
      <c r="E800" s="8">
        <v>76500</v>
      </c>
      <c r="G800" s="6">
        <f t="shared" si="20"/>
        <v>76500</v>
      </c>
    </row>
    <row r="801" spans="1:7" x14ac:dyDescent="0.25">
      <c r="A801" s="17">
        <v>43137</v>
      </c>
      <c r="B801" s="10" t="s">
        <v>2787</v>
      </c>
      <c r="C801" s="11" t="s">
        <v>166</v>
      </c>
      <c r="E801" s="8">
        <v>91200</v>
      </c>
      <c r="G801" s="6">
        <f t="shared" si="20"/>
        <v>91200</v>
      </c>
    </row>
    <row r="802" spans="1:7" x14ac:dyDescent="0.25">
      <c r="A802" s="17">
        <v>43137</v>
      </c>
      <c r="B802" s="10" t="s">
        <v>2787</v>
      </c>
      <c r="C802" s="11" t="s">
        <v>166</v>
      </c>
      <c r="E802" s="8">
        <v>6000</v>
      </c>
      <c r="G802" s="6">
        <f t="shared" si="20"/>
        <v>6000</v>
      </c>
    </row>
    <row r="803" spans="1:7" x14ac:dyDescent="0.25">
      <c r="A803" s="17">
        <v>43140</v>
      </c>
      <c r="B803" s="10" t="s">
        <v>2787</v>
      </c>
      <c r="C803" s="11" t="s">
        <v>166</v>
      </c>
      <c r="E803" s="8">
        <v>24000</v>
      </c>
      <c r="G803" s="6">
        <f t="shared" si="20"/>
        <v>24000</v>
      </c>
    </row>
    <row r="804" spans="1:7" x14ac:dyDescent="0.25">
      <c r="A804" s="17">
        <v>43143</v>
      </c>
      <c r="B804" s="10" t="s">
        <v>2787</v>
      </c>
      <c r="C804" s="11" t="s">
        <v>166</v>
      </c>
      <c r="E804" s="8">
        <v>61200</v>
      </c>
      <c r="G804" s="6">
        <f t="shared" si="20"/>
        <v>61200</v>
      </c>
    </row>
    <row r="805" spans="1:7" x14ac:dyDescent="0.25">
      <c r="A805" s="17">
        <v>43146</v>
      </c>
      <c r="B805" s="10" t="s">
        <v>2787</v>
      </c>
      <c r="C805" s="11" t="s">
        <v>166</v>
      </c>
      <c r="E805" s="8">
        <v>94500</v>
      </c>
      <c r="G805" s="6">
        <f t="shared" si="20"/>
        <v>94500</v>
      </c>
    </row>
    <row r="806" spans="1:7" x14ac:dyDescent="0.25">
      <c r="A806" s="17">
        <v>43147</v>
      </c>
      <c r="B806" s="10" t="s">
        <v>2787</v>
      </c>
      <c r="C806" s="11" t="s">
        <v>166</v>
      </c>
      <c r="E806" s="8">
        <v>24000</v>
      </c>
      <c r="G806" s="6">
        <f t="shared" si="20"/>
        <v>24000</v>
      </c>
    </row>
    <row r="807" spans="1:7" x14ac:dyDescent="0.25">
      <c r="A807" s="17">
        <v>43148</v>
      </c>
      <c r="B807" s="10" t="s">
        <v>2787</v>
      </c>
      <c r="C807" s="11" t="s">
        <v>166</v>
      </c>
      <c r="E807" s="8">
        <v>68050</v>
      </c>
      <c r="G807" s="6">
        <f t="shared" si="20"/>
        <v>68050</v>
      </c>
    </row>
    <row r="808" spans="1:7" x14ac:dyDescent="0.25">
      <c r="A808" s="17">
        <v>43150</v>
      </c>
      <c r="B808" s="10" t="s">
        <v>2787</v>
      </c>
      <c r="C808" s="11" t="s">
        <v>166</v>
      </c>
      <c r="E808" s="8">
        <v>12000</v>
      </c>
      <c r="G808" s="6">
        <f t="shared" si="20"/>
        <v>12000</v>
      </c>
    </row>
    <row r="809" spans="1:7" x14ac:dyDescent="0.25">
      <c r="A809" s="17">
        <v>43155</v>
      </c>
      <c r="B809" s="10" t="s">
        <v>2787</v>
      </c>
      <c r="C809" s="11" t="s">
        <v>166</v>
      </c>
      <c r="E809" s="8">
        <v>18000</v>
      </c>
      <c r="G809" s="6">
        <f t="shared" si="20"/>
        <v>18000</v>
      </c>
    </row>
    <row r="810" spans="1:7" x14ac:dyDescent="0.25">
      <c r="A810" s="17">
        <v>43159</v>
      </c>
      <c r="B810" s="10" t="s">
        <v>1400</v>
      </c>
      <c r="C810" s="11" t="s">
        <v>1815</v>
      </c>
      <c r="E810" s="8">
        <v>446088</v>
      </c>
      <c r="G810" s="6">
        <f t="shared" si="20"/>
        <v>446088</v>
      </c>
    </row>
    <row r="811" spans="1:7" x14ac:dyDescent="0.25">
      <c r="A811" s="17">
        <v>43158</v>
      </c>
      <c r="B811" s="10" t="s">
        <v>2787</v>
      </c>
      <c r="C811" s="11" t="s">
        <v>166</v>
      </c>
      <c r="E811" s="8">
        <v>12000</v>
      </c>
      <c r="G811" s="6">
        <f t="shared" si="20"/>
        <v>12000</v>
      </c>
    </row>
    <row r="812" spans="1:7" x14ac:dyDescent="0.25">
      <c r="A812" s="17">
        <v>43159</v>
      </c>
      <c r="B812" s="10" t="s">
        <v>2787</v>
      </c>
      <c r="C812" s="11" t="s">
        <v>166</v>
      </c>
      <c r="D812" s="768">
        <v>15525</v>
      </c>
      <c r="E812" s="8">
        <v>26000</v>
      </c>
      <c r="G812" s="6">
        <f t="shared" si="20"/>
        <v>26000</v>
      </c>
    </row>
    <row r="813" spans="1:7" x14ac:dyDescent="0.25">
      <c r="A813" s="17">
        <v>43160</v>
      </c>
      <c r="B813" s="10" t="s">
        <v>2787</v>
      </c>
      <c r="C813" s="11" t="s">
        <v>166</v>
      </c>
      <c r="D813" s="768">
        <v>15529</v>
      </c>
      <c r="E813" s="8">
        <v>80700</v>
      </c>
      <c r="G813" s="6">
        <f t="shared" si="20"/>
        <v>80700</v>
      </c>
    </row>
    <row r="814" spans="1:7" x14ac:dyDescent="0.25">
      <c r="A814" s="17">
        <v>43164</v>
      </c>
      <c r="B814" s="10" t="s">
        <v>2787</v>
      </c>
      <c r="C814" s="11" t="s">
        <v>166</v>
      </c>
      <c r="D814" s="768">
        <v>15543</v>
      </c>
      <c r="E814" s="8">
        <v>80700</v>
      </c>
      <c r="G814" s="6">
        <f t="shared" si="20"/>
        <v>80700</v>
      </c>
    </row>
    <row r="815" spans="1:7" x14ac:dyDescent="0.25">
      <c r="A815" s="17">
        <v>43165</v>
      </c>
      <c r="B815" s="10" t="s">
        <v>2787</v>
      </c>
      <c r="C815" s="11" t="s">
        <v>166</v>
      </c>
      <c r="D815" s="768">
        <v>11110</v>
      </c>
      <c r="E815" s="8">
        <v>66300</v>
      </c>
      <c r="G815" s="6">
        <f t="shared" si="20"/>
        <v>66300</v>
      </c>
    </row>
    <row r="816" spans="1:7" x14ac:dyDescent="0.25">
      <c r="A816" s="17">
        <v>43155</v>
      </c>
      <c r="B816" s="10" t="s">
        <v>1400</v>
      </c>
      <c r="C816" s="11" t="s">
        <v>164</v>
      </c>
      <c r="E816" s="8">
        <v>8101</v>
      </c>
      <c r="G816" s="6">
        <f t="shared" si="20"/>
        <v>8101</v>
      </c>
    </row>
    <row r="817" spans="1:7" x14ac:dyDescent="0.25">
      <c r="A817" s="17">
        <v>43155</v>
      </c>
      <c r="B817" s="10" t="s">
        <v>2787</v>
      </c>
      <c r="C817" s="11" t="s">
        <v>161</v>
      </c>
      <c r="E817" s="8">
        <v>285024</v>
      </c>
      <c r="G817" s="6">
        <f t="shared" si="20"/>
        <v>285024</v>
      </c>
    </row>
    <row r="818" spans="1:7" x14ac:dyDescent="0.25">
      <c r="A818" s="17">
        <v>43020</v>
      </c>
      <c r="B818" s="10" t="s">
        <v>33</v>
      </c>
      <c r="C818" s="11" t="s">
        <v>1803</v>
      </c>
      <c r="E818" s="8">
        <v>3600</v>
      </c>
      <c r="G818" s="6">
        <f t="shared" si="20"/>
        <v>3600</v>
      </c>
    </row>
    <row r="819" spans="1:7" x14ac:dyDescent="0.25">
      <c r="A819" s="17">
        <v>43020</v>
      </c>
      <c r="B819" s="10" t="s">
        <v>2548</v>
      </c>
      <c r="C819" s="11" t="s">
        <v>1803</v>
      </c>
      <c r="E819" s="8">
        <v>25322</v>
      </c>
      <c r="G819" s="6">
        <f t="shared" si="20"/>
        <v>25322</v>
      </c>
    </row>
    <row r="820" spans="1:7" x14ac:dyDescent="0.25">
      <c r="A820" s="17">
        <v>43022</v>
      </c>
      <c r="B820" s="10" t="s">
        <v>171</v>
      </c>
      <c r="C820" s="11" t="s">
        <v>1803</v>
      </c>
      <c r="E820" s="8">
        <v>6600</v>
      </c>
      <c r="G820" s="6">
        <f t="shared" si="20"/>
        <v>6600</v>
      </c>
    </row>
    <row r="821" spans="1:7" x14ac:dyDescent="0.25">
      <c r="A821" s="17">
        <v>43022</v>
      </c>
      <c r="B821" s="10" t="s">
        <v>33</v>
      </c>
      <c r="C821" s="11" t="s">
        <v>1803</v>
      </c>
      <c r="E821" s="8">
        <v>1726</v>
      </c>
      <c r="G821" s="6">
        <f t="shared" si="20"/>
        <v>1726</v>
      </c>
    </row>
    <row r="822" spans="1:7" x14ac:dyDescent="0.25">
      <c r="A822" s="17">
        <v>43025</v>
      </c>
      <c r="B822" s="10" t="s">
        <v>1400</v>
      </c>
      <c r="C822" s="11" t="s">
        <v>1803</v>
      </c>
      <c r="E822" s="8">
        <v>4800</v>
      </c>
      <c r="G822" s="6">
        <f t="shared" si="20"/>
        <v>4800</v>
      </c>
    </row>
    <row r="823" spans="1:7" x14ac:dyDescent="0.25">
      <c r="A823" s="17">
        <v>43138</v>
      </c>
      <c r="B823" s="10" t="s">
        <v>33</v>
      </c>
      <c r="C823" s="11" t="s">
        <v>1803</v>
      </c>
      <c r="E823" s="8">
        <v>2070</v>
      </c>
      <c r="G823" s="6">
        <f t="shared" si="20"/>
        <v>2070</v>
      </c>
    </row>
    <row r="824" spans="1:7" x14ac:dyDescent="0.25">
      <c r="A824" s="17">
        <v>43138</v>
      </c>
      <c r="B824" s="10" t="s">
        <v>33</v>
      </c>
      <c r="C824" s="11" t="s">
        <v>1803</v>
      </c>
      <c r="E824" s="8">
        <v>4387</v>
      </c>
      <c r="G824" s="6">
        <f t="shared" si="20"/>
        <v>4387</v>
      </c>
    </row>
    <row r="825" spans="1:7" x14ac:dyDescent="0.25">
      <c r="A825" s="17">
        <v>43141</v>
      </c>
      <c r="B825" s="10" t="s">
        <v>33</v>
      </c>
      <c r="C825" s="11" t="s">
        <v>1803</v>
      </c>
      <c r="E825" s="8">
        <v>365</v>
      </c>
      <c r="G825" s="6">
        <f t="shared" si="20"/>
        <v>365</v>
      </c>
    </row>
    <row r="826" spans="1:7" x14ac:dyDescent="0.25">
      <c r="A826" s="17">
        <v>43144</v>
      </c>
      <c r="B826" s="10" t="s">
        <v>2649</v>
      </c>
      <c r="C826" s="11" t="s">
        <v>1803</v>
      </c>
      <c r="E826" s="8">
        <v>1538</v>
      </c>
      <c r="G826" s="6">
        <f t="shared" si="20"/>
        <v>1538</v>
      </c>
    </row>
    <row r="827" spans="1:7" x14ac:dyDescent="0.25">
      <c r="A827" s="17">
        <v>43150</v>
      </c>
      <c r="B827" s="10" t="s">
        <v>1400</v>
      </c>
      <c r="C827" s="11" t="s">
        <v>1803</v>
      </c>
      <c r="E827" s="8">
        <v>27507</v>
      </c>
      <c r="G827" s="6">
        <f t="shared" si="20"/>
        <v>27507</v>
      </c>
    </row>
    <row r="828" spans="1:7" x14ac:dyDescent="0.25">
      <c r="A828" s="17">
        <v>43154</v>
      </c>
      <c r="B828" s="10" t="s">
        <v>33</v>
      </c>
      <c r="C828" s="11" t="s">
        <v>1803</v>
      </c>
      <c r="E828" s="8">
        <v>2196</v>
      </c>
      <c r="G828" s="6">
        <f t="shared" si="20"/>
        <v>2196</v>
      </c>
    </row>
    <row r="829" spans="1:7" x14ac:dyDescent="0.25">
      <c r="A829" s="17">
        <v>43154</v>
      </c>
      <c r="B829" s="10" t="s">
        <v>1400</v>
      </c>
      <c r="C829" s="11" t="s">
        <v>1803</v>
      </c>
      <c r="E829" s="8">
        <v>64290</v>
      </c>
      <c r="G829" s="6">
        <f t="shared" si="20"/>
        <v>64290</v>
      </c>
    </row>
    <row r="830" spans="1:7" x14ac:dyDescent="0.25">
      <c r="B830" s="10" t="s">
        <v>2787</v>
      </c>
      <c r="C830" s="11" t="s">
        <v>166</v>
      </c>
      <c r="E830" s="8">
        <v>61200</v>
      </c>
      <c r="G830" s="6">
        <f t="shared" si="20"/>
        <v>61200</v>
      </c>
    </row>
    <row r="831" spans="1:7" x14ac:dyDescent="0.25">
      <c r="B831" s="10" t="s">
        <v>2787</v>
      </c>
      <c r="C831" s="11" t="s">
        <v>166</v>
      </c>
      <c r="E831" s="8">
        <v>66800</v>
      </c>
      <c r="G831" s="6">
        <f t="shared" ref="G831:G894" si="21">E831-F831</f>
        <v>66800</v>
      </c>
    </row>
    <row r="832" spans="1:7" x14ac:dyDescent="0.25">
      <c r="B832" s="10" t="s">
        <v>2787</v>
      </c>
      <c r="C832" s="11" t="s">
        <v>166</v>
      </c>
      <c r="E832" s="8">
        <v>26000</v>
      </c>
      <c r="G832" s="6">
        <f t="shared" si="21"/>
        <v>26000</v>
      </c>
    </row>
    <row r="833" spans="1:8" x14ac:dyDescent="0.25">
      <c r="B833" s="10" t="s">
        <v>2787</v>
      </c>
      <c r="C833" s="11" t="s">
        <v>166</v>
      </c>
      <c r="E833" s="8">
        <v>67700</v>
      </c>
      <c r="G833" s="6">
        <f t="shared" si="21"/>
        <v>67700</v>
      </c>
    </row>
    <row r="834" spans="1:8" x14ac:dyDescent="0.25">
      <c r="B834" s="10" t="s">
        <v>2787</v>
      </c>
      <c r="C834" s="11" t="s">
        <v>166</v>
      </c>
      <c r="E834" s="8">
        <v>6500</v>
      </c>
      <c r="G834" s="6">
        <f t="shared" si="21"/>
        <v>6500</v>
      </c>
    </row>
    <row r="835" spans="1:8" x14ac:dyDescent="0.25">
      <c r="B835" s="10" t="s">
        <v>2787</v>
      </c>
      <c r="C835" s="11" t="s">
        <v>166</v>
      </c>
      <c r="E835" s="8">
        <v>61200</v>
      </c>
      <c r="G835" s="6">
        <f t="shared" si="21"/>
        <v>61200</v>
      </c>
    </row>
    <row r="836" spans="1:8" x14ac:dyDescent="0.25">
      <c r="B836" s="10" t="s">
        <v>1400</v>
      </c>
      <c r="C836" s="11" t="s">
        <v>166</v>
      </c>
      <c r="E836" s="8">
        <v>51000</v>
      </c>
      <c r="G836" s="6">
        <f t="shared" si="21"/>
        <v>51000</v>
      </c>
    </row>
    <row r="837" spans="1:8" x14ac:dyDescent="0.25">
      <c r="B837" s="10" t="s">
        <v>1400</v>
      </c>
      <c r="C837" s="11" t="s">
        <v>166</v>
      </c>
      <c r="E837" s="225">
        <v>18000</v>
      </c>
      <c r="G837" s="6">
        <f t="shared" si="21"/>
        <v>18000</v>
      </c>
    </row>
    <row r="838" spans="1:8" x14ac:dyDescent="0.25">
      <c r="B838" s="10" t="s">
        <v>2787</v>
      </c>
      <c r="C838" s="11" t="s">
        <v>166</v>
      </c>
      <c r="E838" s="8">
        <v>13000</v>
      </c>
      <c r="G838" s="6">
        <f t="shared" si="21"/>
        <v>13000</v>
      </c>
    </row>
    <row r="839" spans="1:8" x14ac:dyDescent="0.25">
      <c r="B839" s="10" t="s">
        <v>2787</v>
      </c>
      <c r="C839" s="11" t="s">
        <v>166</v>
      </c>
      <c r="E839" s="8">
        <v>30400</v>
      </c>
      <c r="G839" s="6">
        <f t="shared" si="21"/>
        <v>30400</v>
      </c>
    </row>
    <row r="840" spans="1:8" x14ac:dyDescent="0.25">
      <c r="B840" s="10" t="s">
        <v>2787</v>
      </c>
      <c r="C840" s="11" t="s">
        <v>166</v>
      </c>
      <c r="E840" s="8">
        <v>31400</v>
      </c>
      <c r="G840" s="6">
        <f t="shared" si="21"/>
        <v>31400</v>
      </c>
    </row>
    <row r="841" spans="1:8" x14ac:dyDescent="0.25">
      <c r="B841" s="10" t="s">
        <v>2787</v>
      </c>
      <c r="C841" s="11" t="s">
        <v>166</v>
      </c>
      <c r="E841" s="8">
        <v>35800</v>
      </c>
      <c r="G841" s="6">
        <f t="shared" si="21"/>
        <v>35800</v>
      </c>
    </row>
    <row r="842" spans="1:8" x14ac:dyDescent="0.25">
      <c r="B842" s="10" t="s">
        <v>2787</v>
      </c>
      <c r="C842" s="11" t="s">
        <v>166</v>
      </c>
      <c r="E842" s="8">
        <v>61200</v>
      </c>
      <c r="G842" s="6">
        <f t="shared" si="21"/>
        <v>61200</v>
      </c>
    </row>
    <row r="843" spans="1:8" x14ac:dyDescent="0.25">
      <c r="B843" s="10" t="s">
        <v>1400</v>
      </c>
      <c r="C843" s="11" t="s">
        <v>166</v>
      </c>
      <c r="E843" s="8">
        <v>61200</v>
      </c>
      <c r="G843" s="6">
        <f t="shared" si="21"/>
        <v>61200</v>
      </c>
    </row>
    <row r="844" spans="1:8" x14ac:dyDescent="0.25">
      <c r="B844" s="10" t="s">
        <v>2787</v>
      </c>
      <c r="C844" s="11" t="s">
        <v>166</v>
      </c>
      <c r="E844" s="8">
        <v>61200</v>
      </c>
      <c r="G844" s="6">
        <f t="shared" si="21"/>
        <v>61200</v>
      </c>
    </row>
    <row r="845" spans="1:8" x14ac:dyDescent="0.25">
      <c r="B845" s="10" t="s">
        <v>2787</v>
      </c>
      <c r="C845" s="11" t="s">
        <v>166</v>
      </c>
      <c r="E845" s="8">
        <v>17690</v>
      </c>
      <c r="G845" s="6">
        <f t="shared" si="21"/>
        <v>17690</v>
      </c>
    </row>
    <row r="846" spans="1:8" x14ac:dyDescent="0.25">
      <c r="B846" s="10" t="s">
        <v>2787</v>
      </c>
      <c r="C846" s="11" t="s">
        <v>166</v>
      </c>
      <c r="F846" s="9">
        <v>500000</v>
      </c>
      <c r="G846" s="6">
        <f t="shared" si="21"/>
        <v>-500000</v>
      </c>
      <c r="H846" s="135" t="s">
        <v>3300</v>
      </c>
    </row>
    <row r="847" spans="1:8" x14ac:dyDescent="0.25">
      <c r="B847" s="10" t="s">
        <v>2787</v>
      </c>
      <c r="C847" s="11" t="s">
        <v>166</v>
      </c>
      <c r="F847" s="9">
        <v>500000</v>
      </c>
      <c r="G847" s="6">
        <f t="shared" si="21"/>
        <v>-500000</v>
      </c>
      <c r="H847" s="135" t="s">
        <v>3301</v>
      </c>
    </row>
    <row r="848" spans="1:8" x14ac:dyDescent="0.25">
      <c r="A848" s="17">
        <v>43176</v>
      </c>
      <c r="B848" s="10" t="s">
        <v>2787</v>
      </c>
      <c r="C848" s="11" t="s">
        <v>161</v>
      </c>
      <c r="E848" s="8">
        <v>79878</v>
      </c>
      <c r="G848" s="6">
        <f t="shared" si="21"/>
        <v>79878</v>
      </c>
    </row>
    <row r="849" spans="1:8" x14ac:dyDescent="0.25">
      <c r="A849" s="17">
        <v>43176</v>
      </c>
      <c r="B849" s="10" t="s">
        <v>2787</v>
      </c>
      <c r="C849" s="11" t="s">
        <v>161</v>
      </c>
      <c r="E849" s="8">
        <v>187041</v>
      </c>
      <c r="G849" s="6">
        <f t="shared" si="21"/>
        <v>187041</v>
      </c>
    </row>
    <row r="850" spans="1:8" x14ac:dyDescent="0.25">
      <c r="A850" s="17">
        <v>43171</v>
      </c>
      <c r="B850" s="10" t="s">
        <v>1400</v>
      </c>
      <c r="C850" s="11" t="s">
        <v>164</v>
      </c>
      <c r="E850" s="8">
        <v>8641</v>
      </c>
      <c r="G850" s="6">
        <f t="shared" si="21"/>
        <v>8641</v>
      </c>
    </row>
    <row r="851" spans="1:8" x14ac:dyDescent="0.25">
      <c r="A851" s="17">
        <v>43190</v>
      </c>
      <c r="B851" s="10" t="s">
        <v>2787</v>
      </c>
      <c r="C851" s="11" t="s">
        <v>164</v>
      </c>
      <c r="E851" s="8">
        <v>27172</v>
      </c>
      <c r="G851" s="6">
        <f t="shared" si="21"/>
        <v>27172</v>
      </c>
    </row>
    <row r="852" spans="1:8" x14ac:dyDescent="0.25">
      <c r="A852" s="17">
        <v>43192</v>
      </c>
      <c r="B852" s="10" t="s">
        <v>2649</v>
      </c>
      <c r="C852" s="11" t="s">
        <v>164</v>
      </c>
      <c r="F852" s="9">
        <v>173058</v>
      </c>
      <c r="G852" s="6">
        <f t="shared" si="21"/>
        <v>-173058</v>
      </c>
      <c r="H852" s="78"/>
    </row>
    <row r="853" spans="1:8" x14ac:dyDescent="0.25">
      <c r="A853" s="17">
        <v>43192</v>
      </c>
      <c r="B853" s="10" t="s">
        <v>11</v>
      </c>
      <c r="C853" s="11" t="s">
        <v>164</v>
      </c>
      <c r="F853" s="9">
        <v>20900</v>
      </c>
      <c r="G853" s="6">
        <f t="shared" si="21"/>
        <v>-20900</v>
      </c>
      <c r="H853" s="79" t="s">
        <v>3310</v>
      </c>
    </row>
    <row r="854" spans="1:8" x14ac:dyDescent="0.25">
      <c r="A854" s="17">
        <v>43192</v>
      </c>
      <c r="B854" s="10" t="s">
        <v>33</v>
      </c>
      <c r="C854" s="11" t="s">
        <v>164</v>
      </c>
      <c r="F854" s="9">
        <v>6042</v>
      </c>
      <c r="G854" s="6">
        <f t="shared" si="21"/>
        <v>-6042</v>
      </c>
      <c r="H854" s="80"/>
    </row>
    <row r="855" spans="1:8" x14ac:dyDescent="0.25">
      <c r="A855" s="17">
        <v>43192</v>
      </c>
      <c r="B855" s="10" t="s">
        <v>2787</v>
      </c>
      <c r="C855" s="11" t="s">
        <v>161</v>
      </c>
      <c r="F855" s="9">
        <v>300000</v>
      </c>
      <c r="G855" s="6">
        <f t="shared" si="21"/>
        <v>-300000</v>
      </c>
      <c r="H855" s="79" t="s">
        <v>3313</v>
      </c>
    </row>
    <row r="856" spans="1:8" x14ac:dyDescent="0.25">
      <c r="A856" s="17">
        <v>43172</v>
      </c>
      <c r="B856" s="10" t="s">
        <v>33</v>
      </c>
      <c r="C856" s="11" t="s">
        <v>1803</v>
      </c>
      <c r="E856" s="8">
        <v>193</v>
      </c>
      <c r="G856" s="6">
        <f t="shared" si="21"/>
        <v>193</v>
      </c>
    </row>
    <row r="857" spans="1:8" x14ac:dyDescent="0.25">
      <c r="A857" s="17">
        <v>43174</v>
      </c>
      <c r="B857" s="10" t="s">
        <v>33</v>
      </c>
      <c r="C857" s="11" t="s">
        <v>1803</v>
      </c>
      <c r="E857" s="8">
        <v>11425</v>
      </c>
      <c r="G857" s="6">
        <f t="shared" si="21"/>
        <v>11425</v>
      </c>
    </row>
    <row r="858" spans="1:8" x14ac:dyDescent="0.25">
      <c r="A858" s="17">
        <v>43175</v>
      </c>
      <c r="B858" s="10" t="s">
        <v>33</v>
      </c>
      <c r="C858" s="11" t="s">
        <v>1803</v>
      </c>
      <c r="E858" s="8">
        <v>2880</v>
      </c>
      <c r="G858" s="6">
        <f t="shared" si="21"/>
        <v>2880</v>
      </c>
    </row>
    <row r="859" spans="1:8" x14ac:dyDescent="0.25">
      <c r="A859" s="17">
        <v>43176</v>
      </c>
      <c r="B859" s="10" t="s">
        <v>33</v>
      </c>
      <c r="C859" s="11" t="s">
        <v>1803</v>
      </c>
      <c r="E859" s="8">
        <v>2221</v>
      </c>
      <c r="G859" s="6">
        <f t="shared" si="21"/>
        <v>2221</v>
      </c>
    </row>
    <row r="860" spans="1:8" x14ac:dyDescent="0.25">
      <c r="A860" s="17">
        <v>43181</v>
      </c>
      <c r="B860" s="10" t="s">
        <v>1676</v>
      </c>
      <c r="C860" s="11" t="s">
        <v>1803</v>
      </c>
      <c r="E860" s="8">
        <v>24159</v>
      </c>
      <c r="G860" s="6">
        <f t="shared" si="21"/>
        <v>24159</v>
      </c>
    </row>
    <row r="861" spans="1:8" x14ac:dyDescent="0.25">
      <c r="A861" s="17">
        <v>43181</v>
      </c>
      <c r="B861" s="10" t="s">
        <v>1400</v>
      </c>
      <c r="C861" s="11" t="s">
        <v>1803</v>
      </c>
      <c r="E861" s="8">
        <v>4800</v>
      </c>
      <c r="G861" s="6">
        <f t="shared" si="21"/>
        <v>4800</v>
      </c>
    </row>
    <row r="862" spans="1:8" x14ac:dyDescent="0.25">
      <c r="A862" s="17">
        <v>43187</v>
      </c>
      <c r="B862" s="10" t="s">
        <v>1400</v>
      </c>
      <c r="C862" s="11" t="s">
        <v>1803</v>
      </c>
      <c r="E862" s="8">
        <v>26730</v>
      </c>
      <c r="G862" s="6">
        <f t="shared" si="21"/>
        <v>26730</v>
      </c>
    </row>
    <row r="863" spans="1:8" x14ac:dyDescent="0.25">
      <c r="A863" s="17">
        <v>43187</v>
      </c>
      <c r="B863" s="10" t="s">
        <v>1400</v>
      </c>
      <c r="C863" s="11" t="s">
        <v>1803</v>
      </c>
      <c r="E863" s="8">
        <v>56820</v>
      </c>
      <c r="G863" s="6">
        <f t="shared" si="21"/>
        <v>56820</v>
      </c>
    </row>
    <row r="864" spans="1:8" x14ac:dyDescent="0.25">
      <c r="A864" s="17">
        <v>43190</v>
      </c>
      <c r="B864" s="10" t="s">
        <v>2787</v>
      </c>
      <c r="C864" s="11" t="s">
        <v>166</v>
      </c>
      <c r="E864" s="8">
        <v>61200</v>
      </c>
      <c r="G864" s="6">
        <f t="shared" si="21"/>
        <v>61200</v>
      </c>
    </row>
    <row r="865" spans="1:8" x14ac:dyDescent="0.25">
      <c r="A865" s="17">
        <v>43176</v>
      </c>
      <c r="B865" s="10" t="s">
        <v>1400</v>
      </c>
      <c r="C865" s="11" t="s">
        <v>1815</v>
      </c>
      <c r="E865" s="8">
        <v>118995</v>
      </c>
      <c r="G865" s="6">
        <f t="shared" si="21"/>
        <v>118995</v>
      </c>
    </row>
    <row r="866" spans="1:8" x14ac:dyDescent="0.25">
      <c r="A866" s="17">
        <v>43190</v>
      </c>
      <c r="B866" s="10" t="s">
        <v>2787</v>
      </c>
      <c r="C866" s="11" t="s">
        <v>169</v>
      </c>
      <c r="E866" s="8">
        <v>9950</v>
      </c>
      <c r="G866" s="6">
        <f t="shared" si="21"/>
        <v>9950</v>
      </c>
    </row>
    <row r="867" spans="1:8" x14ac:dyDescent="0.25">
      <c r="A867" s="17">
        <v>43197</v>
      </c>
      <c r="B867" s="10" t="s">
        <v>1400</v>
      </c>
      <c r="C867" s="11" t="s">
        <v>169</v>
      </c>
      <c r="E867" s="8">
        <v>2630</v>
      </c>
      <c r="G867" s="6">
        <f t="shared" si="21"/>
        <v>2630</v>
      </c>
    </row>
    <row r="868" spans="1:8" x14ac:dyDescent="0.25">
      <c r="A868" s="17">
        <v>43199</v>
      </c>
      <c r="B868" s="10" t="s">
        <v>1400</v>
      </c>
      <c r="C868" s="11" t="s">
        <v>1815</v>
      </c>
      <c r="F868" s="9">
        <v>949145</v>
      </c>
      <c r="G868" s="6">
        <f t="shared" si="21"/>
        <v>-949145</v>
      </c>
      <c r="H868" s="31" t="s">
        <v>3332</v>
      </c>
    </row>
    <row r="869" spans="1:8" x14ac:dyDescent="0.25">
      <c r="A869" s="17">
        <v>43201</v>
      </c>
      <c r="B869" s="10" t="s">
        <v>1400</v>
      </c>
      <c r="C869" s="11" t="s">
        <v>169</v>
      </c>
      <c r="E869" s="8">
        <v>4595</v>
      </c>
      <c r="G869" s="6">
        <f t="shared" si="21"/>
        <v>4595</v>
      </c>
    </row>
    <row r="870" spans="1:8" x14ac:dyDescent="0.25">
      <c r="A870" s="17">
        <v>43195</v>
      </c>
      <c r="B870" s="10" t="s">
        <v>2787</v>
      </c>
      <c r="C870" s="11" t="s">
        <v>166</v>
      </c>
      <c r="E870" s="8">
        <v>18720</v>
      </c>
      <c r="G870" s="6">
        <f t="shared" si="21"/>
        <v>18720</v>
      </c>
    </row>
    <row r="871" spans="1:8" x14ac:dyDescent="0.25">
      <c r="A871" s="17">
        <v>43197</v>
      </c>
      <c r="B871" s="10" t="s">
        <v>2787</v>
      </c>
      <c r="C871" s="11" t="s">
        <v>166</v>
      </c>
      <c r="E871" s="8">
        <v>51000</v>
      </c>
      <c r="G871" s="6">
        <f t="shared" si="21"/>
        <v>51000</v>
      </c>
    </row>
    <row r="872" spans="1:8" x14ac:dyDescent="0.25">
      <c r="A872" s="17">
        <v>43202</v>
      </c>
      <c r="B872" s="10" t="s">
        <v>1400</v>
      </c>
      <c r="C872" s="11" t="s">
        <v>166</v>
      </c>
      <c r="E872" s="8">
        <v>61200</v>
      </c>
      <c r="G872" s="6">
        <f t="shared" si="21"/>
        <v>61200</v>
      </c>
    </row>
    <row r="873" spans="1:8" x14ac:dyDescent="0.25">
      <c r="A873" s="17">
        <v>43207</v>
      </c>
      <c r="B873" s="10" t="s">
        <v>3384</v>
      </c>
      <c r="C873" s="11" t="s">
        <v>164</v>
      </c>
      <c r="E873" s="8">
        <v>3245</v>
      </c>
      <c r="G873" s="6">
        <f t="shared" si="21"/>
        <v>3245</v>
      </c>
    </row>
    <row r="874" spans="1:8" x14ac:dyDescent="0.25">
      <c r="A874" s="17">
        <v>43197</v>
      </c>
      <c r="B874" s="10" t="s">
        <v>2787</v>
      </c>
      <c r="C874" s="11" t="s">
        <v>161</v>
      </c>
      <c r="E874" s="8">
        <v>25575</v>
      </c>
      <c r="G874" s="6">
        <f t="shared" si="21"/>
        <v>25575</v>
      </c>
    </row>
    <row r="875" spans="1:8" x14ac:dyDescent="0.25">
      <c r="A875" s="17">
        <v>43202</v>
      </c>
      <c r="B875" s="10" t="s">
        <v>2787</v>
      </c>
      <c r="C875" s="11" t="s">
        <v>166</v>
      </c>
      <c r="E875" s="8">
        <v>13630</v>
      </c>
      <c r="G875" s="6">
        <f t="shared" si="21"/>
        <v>13630</v>
      </c>
    </row>
    <row r="876" spans="1:8" x14ac:dyDescent="0.25">
      <c r="A876" s="17">
        <v>43207</v>
      </c>
      <c r="B876" s="10" t="s">
        <v>1400</v>
      </c>
      <c r="C876" s="11" t="s">
        <v>166</v>
      </c>
      <c r="E876" s="8">
        <v>61200</v>
      </c>
      <c r="G876" s="6">
        <f t="shared" si="21"/>
        <v>61200</v>
      </c>
    </row>
    <row r="877" spans="1:8" x14ac:dyDescent="0.25">
      <c r="A877" s="17">
        <v>43215</v>
      </c>
      <c r="B877" s="10" t="s">
        <v>2787</v>
      </c>
      <c r="C877" s="11" t="s">
        <v>166</v>
      </c>
      <c r="E877" s="8">
        <v>54700</v>
      </c>
      <c r="G877" s="6">
        <f t="shared" si="21"/>
        <v>54700</v>
      </c>
    </row>
    <row r="878" spans="1:8" x14ac:dyDescent="0.25">
      <c r="A878" s="17">
        <v>43215</v>
      </c>
      <c r="B878" s="10" t="s">
        <v>1400</v>
      </c>
      <c r="C878" s="11" t="s">
        <v>166</v>
      </c>
      <c r="E878" s="8">
        <v>61200</v>
      </c>
      <c r="G878" s="6">
        <f t="shared" si="21"/>
        <v>61200</v>
      </c>
    </row>
    <row r="879" spans="1:8" x14ac:dyDescent="0.25">
      <c r="A879" s="17">
        <v>43215</v>
      </c>
      <c r="B879" s="10" t="s">
        <v>1400</v>
      </c>
      <c r="C879" s="11" t="s">
        <v>166</v>
      </c>
      <c r="E879" s="8">
        <v>89682</v>
      </c>
      <c r="G879" s="6">
        <f t="shared" si="21"/>
        <v>89682</v>
      </c>
    </row>
    <row r="880" spans="1:8" x14ac:dyDescent="0.25">
      <c r="A880" s="17">
        <v>43211</v>
      </c>
      <c r="B880" s="10" t="s">
        <v>1400</v>
      </c>
      <c r="C880" s="11" t="s">
        <v>164</v>
      </c>
      <c r="E880" s="8">
        <v>5107</v>
      </c>
      <c r="G880" s="6">
        <f t="shared" si="21"/>
        <v>5107</v>
      </c>
    </row>
    <row r="881" spans="1:8" x14ac:dyDescent="0.25">
      <c r="A881" s="17">
        <v>43222</v>
      </c>
      <c r="B881" s="10" t="s">
        <v>1400</v>
      </c>
      <c r="C881" s="11" t="s">
        <v>169</v>
      </c>
      <c r="E881" s="8">
        <v>92266</v>
      </c>
      <c r="G881" s="6">
        <f t="shared" si="21"/>
        <v>92266</v>
      </c>
    </row>
    <row r="882" spans="1:8" x14ac:dyDescent="0.25">
      <c r="A882" s="17">
        <v>43223</v>
      </c>
      <c r="B882" s="10" t="s">
        <v>2787</v>
      </c>
      <c r="C882" s="11" t="s">
        <v>169</v>
      </c>
      <c r="E882" s="8">
        <v>9100</v>
      </c>
      <c r="G882" s="6">
        <f t="shared" si="21"/>
        <v>9100</v>
      </c>
    </row>
    <row r="883" spans="1:8" x14ac:dyDescent="0.25">
      <c r="A883" s="17">
        <v>43218</v>
      </c>
      <c r="B883" s="10" t="s">
        <v>1400</v>
      </c>
      <c r="C883" s="11" t="s">
        <v>166</v>
      </c>
      <c r="E883" s="8">
        <v>61200</v>
      </c>
      <c r="G883" s="6">
        <f t="shared" si="21"/>
        <v>61200</v>
      </c>
    </row>
    <row r="884" spans="1:8" x14ac:dyDescent="0.25">
      <c r="A884" s="17">
        <v>43218</v>
      </c>
      <c r="B884" s="10" t="s">
        <v>2787</v>
      </c>
      <c r="C884" s="11" t="s">
        <v>166</v>
      </c>
      <c r="E884" s="8">
        <v>61200</v>
      </c>
      <c r="G884" s="6">
        <f t="shared" si="21"/>
        <v>61200</v>
      </c>
    </row>
    <row r="885" spans="1:8" x14ac:dyDescent="0.25">
      <c r="A885" s="17">
        <v>43224</v>
      </c>
      <c r="B885" s="10" t="s">
        <v>1400</v>
      </c>
      <c r="C885" s="11" t="s">
        <v>164</v>
      </c>
      <c r="E885" s="8">
        <v>8995</v>
      </c>
      <c r="G885" s="6">
        <f t="shared" si="21"/>
        <v>8995</v>
      </c>
    </row>
    <row r="886" spans="1:8" x14ac:dyDescent="0.25">
      <c r="A886" s="17">
        <v>43224</v>
      </c>
      <c r="B886" s="10" t="s">
        <v>1676</v>
      </c>
      <c r="C886" s="11" t="s">
        <v>1803</v>
      </c>
      <c r="E886" s="8">
        <v>7950</v>
      </c>
      <c r="G886" s="6">
        <f t="shared" si="21"/>
        <v>7950</v>
      </c>
    </row>
    <row r="887" spans="1:8" x14ac:dyDescent="0.25">
      <c r="A887" s="17">
        <v>43224</v>
      </c>
      <c r="B887" s="10" t="s">
        <v>1400</v>
      </c>
      <c r="C887" s="11" t="s">
        <v>1803</v>
      </c>
      <c r="E887" s="8">
        <v>3575</v>
      </c>
      <c r="G887" s="6">
        <f t="shared" si="21"/>
        <v>3575</v>
      </c>
    </row>
    <row r="888" spans="1:8" x14ac:dyDescent="0.25">
      <c r="A888" s="17">
        <v>43224</v>
      </c>
      <c r="B888" s="10" t="s">
        <v>1400</v>
      </c>
      <c r="C888" s="11" t="s">
        <v>1803</v>
      </c>
      <c r="E888" s="8">
        <v>2464</v>
      </c>
      <c r="G888" s="6">
        <f t="shared" si="21"/>
        <v>2464</v>
      </c>
    </row>
    <row r="889" spans="1:8" x14ac:dyDescent="0.25">
      <c r="A889" s="17">
        <v>43224</v>
      </c>
      <c r="B889" s="10" t="s">
        <v>1400</v>
      </c>
      <c r="C889" s="11" t="s">
        <v>1803</v>
      </c>
      <c r="E889" s="8">
        <v>1800</v>
      </c>
      <c r="G889" s="6">
        <f t="shared" si="21"/>
        <v>1800</v>
      </c>
    </row>
    <row r="890" spans="1:8" x14ac:dyDescent="0.25">
      <c r="A890" s="17">
        <v>43224</v>
      </c>
      <c r="B890" s="10" t="s">
        <v>1400</v>
      </c>
      <c r="C890" s="11" t="s">
        <v>1803</v>
      </c>
      <c r="E890" s="8">
        <v>2156</v>
      </c>
      <c r="G890" s="6">
        <f t="shared" si="21"/>
        <v>2156</v>
      </c>
    </row>
    <row r="891" spans="1:8" x14ac:dyDescent="0.25">
      <c r="A891" s="17">
        <v>43225</v>
      </c>
      <c r="B891" s="10" t="s">
        <v>2649</v>
      </c>
      <c r="C891" s="11" t="s">
        <v>1803</v>
      </c>
      <c r="F891" s="9">
        <v>1538</v>
      </c>
      <c r="G891" s="6">
        <f t="shared" si="21"/>
        <v>-1538</v>
      </c>
      <c r="H891" s="78"/>
    </row>
    <row r="892" spans="1:8" x14ac:dyDescent="0.25">
      <c r="A892" s="17">
        <v>43225</v>
      </c>
      <c r="B892" s="10" t="s">
        <v>1676</v>
      </c>
      <c r="C892" s="11" t="s">
        <v>1803</v>
      </c>
      <c r="F892" s="9">
        <v>32109</v>
      </c>
      <c r="G892" s="6">
        <f t="shared" si="21"/>
        <v>-32109</v>
      </c>
      <c r="H892" s="79"/>
    </row>
    <row r="893" spans="1:8" x14ac:dyDescent="0.25">
      <c r="A893" s="17">
        <v>43225</v>
      </c>
      <c r="B893" s="10" t="s">
        <v>171</v>
      </c>
      <c r="C893" s="11" t="s">
        <v>1803</v>
      </c>
      <c r="F893" s="9">
        <v>6600</v>
      </c>
      <c r="G893" s="6">
        <f t="shared" si="21"/>
        <v>-6600</v>
      </c>
      <c r="H893" s="79" t="s">
        <v>3403</v>
      </c>
    </row>
    <row r="894" spans="1:8" x14ac:dyDescent="0.25">
      <c r="A894" s="17">
        <v>43225</v>
      </c>
      <c r="B894" s="10" t="s">
        <v>33</v>
      </c>
      <c r="C894" s="11" t="s">
        <v>1803</v>
      </c>
      <c r="F894" s="9">
        <v>44926</v>
      </c>
      <c r="G894" s="6">
        <f t="shared" si="21"/>
        <v>-44926</v>
      </c>
      <c r="H894" s="79"/>
    </row>
    <row r="895" spans="1:8" x14ac:dyDescent="0.25">
      <c r="A895" s="17">
        <v>43225</v>
      </c>
      <c r="B895" s="10" t="s">
        <v>2548</v>
      </c>
      <c r="C895" s="11" t="s">
        <v>1803</v>
      </c>
      <c r="F895" s="9">
        <v>25322</v>
      </c>
      <c r="G895" s="6">
        <f t="shared" ref="G895:G963" si="22">E895-F895</f>
        <v>-25322</v>
      </c>
      <c r="H895" s="79"/>
    </row>
    <row r="896" spans="1:8" x14ac:dyDescent="0.25">
      <c r="A896" s="17">
        <v>43225</v>
      </c>
      <c r="B896" s="10" t="s">
        <v>1400</v>
      </c>
      <c r="C896" s="11" t="s">
        <v>1803</v>
      </c>
      <c r="F896" s="9">
        <f>150000-F891-F892-F893-F894-F895</f>
        <v>39505</v>
      </c>
      <c r="G896" s="6">
        <f t="shared" si="22"/>
        <v>-39505</v>
      </c>
      <c r="H896" s="80"/>
    </row>
    <row r="897" spans="1:8" x14ac:dyDescent="0.25">
      <c r="A897" s="17">
        <v>43225</v>
      </c>
      <c r="B897" s="10" t="s">
        <v>2271</v>
      </c>
      <c r="C897" s="11" t="s">
        <v>169</v>
      </c>
      <c r="F897" s="9">
        <v>5740</v>
      </c>
      <c r="G897" s="6">
        <f t="shared" si="22"/>
        <v>-5740</v>
      </c>
      <c r="H897" s="78"/>
    </row>
    <row r="898" spans="1:8" x14ac:dyDescent="0.25">
      <c r="A898" s="17">
        <v>43225</v>
      </c>
      <c r="B898" s="10" t="s">
        <v>2787</v>
      </c>
      <c r="C898" s="11" t="s">
        <v>169</v>
      </c>
      <c r="F898" s="9">
        <v>19050</v>
      </c>
      <c r="G898" s="6">
        <f t="shared" si="22"/>
        <v>-19050</v>
      </c>
      <c r="H898" s="79"/>
    </row>
    <row r="899" spans="1:8" x14ac:dyDescent="0.25">
      <c r="A899" s="17">
        <v>43225</v>
      </c>
      <c r="B899" s="10" t="s">
        <v>40</v>
      </c>
      <c r="C899" s="11" t="s">
        <v>169</v>
      </c>
      <c r="F899" s="9">
        <v>13321</v>
      </c>
      <c r="G899" s="6">
        <f t="shared" si="22"/>
        <v>-13321</v>
      </c>
      <c r="H899" s="79" t="s">
        <v>3404</v>
      </c>
    </row>
    <row r="900" spans="1:8" x14ac:dyDescent="0.25">
      <c r="A900" s="17">
        <v>43225</v>
      </c>
      <c r="B900" s="10" t="s">
        <v>14</v>
      </c>
      <c r="C900" s="11" t="s">
        <v>169</v>
      </c>
      <c r="F900" s="9">
        <v>5408</v>
      </c>
      <c r="G900" s="6">
        <f t="shared" si="22"/>
        <v>-5408</v>
      </c>
      <c r="H900" s="79"/>
    </row>
    <row r="901" spans="1:8" x14ac:dyDescent="0.25">
      <c r="A901" s="17">
        <v>43225</v>
      </c>
      <c r="B901" s="10" t="s">
        <v>2043</v>
      </c>
      <c r="C901" s="11" t="s">
        <v>169</v>
      </c>
      <c r="F901" s="9">
        <v>1155</v>
      </c>
      <c r="G901" s="6">
        <f t="shared" si="22"/>
        <v>-1155</v>
      </c>
      <c r="H901" s="79"/>
    </row>
    <row r="902" spans="1:8" x14ac:dyDescent="0.25">
      <c r="A902" s="17">
        <v>43225</v>
      </c>
      <c r="B902" s="10" t="s">
        <v>1400</v>
      </c>
      <c r="C902" s="11" t="s">
        <v>169</v>
      </c>
      <c r="F902" s="9">
        <f>150000-F897-F898-F899-F900-F901</f>
        <v>105326</v>
      </c>
      <c r="G902" s="6">
        <f t="shared" si="22"/>
        <v>-105326</v>
      </c>
      <c r="H902" s="80"/>
    </row>
    <row r="903" spans="1:8" x14ac:dyDescent="0.25">
      <c r="A903" s="17">
        <v>43225</v>
      </c>
      <c r="B903" s="10" t="s">
        <v>33</v>
      </c>
      <c r="C903" s="11" t="s">
        <v>164</v>
      </c>
      <c r="F903" s="9">
        <v>12501</v>
      </c>
      <c r="G903" s="6">
        <f t="shared" si="22"/>
        <v>-12501</v>
      </c>
      <c r="H903" s="78"/>
    </row>
    <row r="904" spans="1:8" x14ac:dyDescent="0.25">
      <c r="A904" s="17">
        <v>43225</v>
      </c>
      <c r="B904" s="10" t="s">
        <v>3384</v>
      </c>
      <c r="C904" s="11" t="s">
        <v>164</v>
      </c>
      <c r="F904" s="9">
        <v>3245</v>
      </c>
      <c r="G904" s="6">
        <f t="shared" si="22"/>
        <v>-3245</v>
      </c>
      <c r="H904" s="79" t="s">
        <v>3405</v>
      </c>
    </row>
    <row r="905" spans="1:8" x14ac:dyDescent="0.25">
      <c r="A905" s="17">
        <v>43225</v>
      </c>
      <c r="B905" s="10" t="s">
        <v>2787</v>
      </c>
      <c r="C905" s="11" t="s">
        <v>164</v>
      </c>
      <c r="F905" s="9">
        <v>27172</v>
      </c>
      <c r="G905" s="6">
        <f t="shared" si="22"/>
        <v>-27172</v>
      </c>
      <c r="H905" s="79"/>
    </row>
    <row r="906" spans="1:8" x14ac:dyDescent="0.25">
      <c r="A906" s="17">
        <v>43225</v>
      </c>
      <c r="B906" s="10" t="s">
        <v>1400</v>
      </c>
      <c r="C906" s="11" t="s">
        <v>164</v>
      </c>
      <c r="F906" s="9">
        <f>150000-F903-F904-F905</f>
        <v>107082</v>
      </c>
      <c r="G906" s="6">
        <f t="shared" si="22"/>
        <v>-107082</v>
      </c>
      <c r="H906" s="80"/>
    </row>
    <row r="907" spans="1:8" x14ac:dyDescent="0.25">
      <c r="A907" s="17">
        <v>43225</v>
      </c>
      <c r="B907" s="10" t="s">
        <v>1400</v>
      </c>
      <c r="C907" s="11" t="s">
        <v>169</v>
      </c>
      <c r="E907" s="8">
        <v>83384</v>
      </c>
      <c r="G907" s="6">
        <f t="shared" si="22"/>
        <v>83384</v>
      </c>
    </row>
    <row r="908" spans="1:8" x14ac:dyDescent="0.25">
      <c r="A908" s="17">
        <v>43228</v>
      </c>
      <c r="B908" s="10" t="s">
        <v>2787</v>
      </c>
      <c r="C908" s="11" t="s">
        <v>169</v>
      </c>
      <c r="E908" s="8">
        <v>51595</v>
      </c>
      <c r="G908" s="6">
        <f t="shared" si="22"/>
        <v>51595</v>
      </c>
    </row>
    <row r="909" spans="1:8" x14ac:dyDescent="0.25">
      <c r="A909" s="17">
        <v>43228</v>
      </c>
      <c r="B909" s="10" t="s">
        <v>3384</v>
      </c>
      <c r="C909" s="11" t="s">
        <v>164</v>
      </c>
      <c r="E909" s="8">
        <v>900</v>
      </c>
      <c r="G909" s="6">
        <f t="shared" si="22"/>
        <v>900</v>
      </c>
    </row>
    <row r="910" spans="1:8" x14ac:dyDescent="0.25">
      <c r="A910" s="17">
        <v>43228</v>
      </c>
      <c r="B910" s="10" t="s">
        <v>2787</v>
      </c>
      <c r="C910" s="11" t="s">
        <v>166</v>
      </c>
      <c r="E910" s="8">
        <v>30400</v>
      </c>
      <c r="G910" s="6">
        <f t="shared" si="22"/>
        <v>30400</v>
      </c>
    </row>
    <row r="911" spans="1:8" x14ac:dyDescent="0.25">
      <c r="A911" s="17">
        <v>43241</v>
      </c>
      <c r="B911" s="10" t="s">
        <v>2787</v>
      </c>
      <c r="C911" s="11" t="s">
        <v>166</v>
      </c>
      <c r="E911" s="8">
        <v>8900</v>
      </c>
      <c r="G911" s="6">
        <f t="shared" si="22"/>
        <v>8900</v>
      </c>
    </row>
    <row r="912" spans="1:8" x14ac:dyDescent="0.25">
      <c r="A912" s="17">
        <v>43241</v>
      </c>
      <c r="B912" s="10" t="s">
        <v>2787</v>
      </c>
      <c r="C912" s="11" t="s">
        <v>166</v>
      </c>
      <c r="E912" s="8">
        <v>25400</v>
      </c>
      <c r="G912" s="6">
        <f t="shared" si="22"/>
        <v>25400</v>
      </c>
    </row>
    <row r="913" spans="1:8" x14ac:dyDescent="0.25">
      <c r="A913" s="17">
        <v>43237</v>
      </c>
      <c r="B913" s="10" t="s">
        <v>2787</v>
      </c>
      <c r="C913" s="11" t="s">
        <v>166</v>
      </c>
      <c r="E913" s="8">
        <v>16200</v>
      </c>
      <c r="G913" s="6">
        <f t="shared" si="22"/>
        <v>16200</v>
      </c>
    </row>
    <row r="914" spans="1:8" x14ac:dyDescent="0.25">
      <c r="A914" s="17">
        <v>43237</v>
      </c>
      <c r="B914" s="10" t="s">
        <v>2787</v>
      </c>
      <c r="C914" s="11" t="s">
        <v>166</v>
      </c>
      <c r="E914" s="8">
        <v>43110</v>
      </c>
      <c r="G914" s="6">
        <f t="shared" si="22"/>
        <v>43110</v>
      </c>
    </row>
    <row r="915" spans="1:8" x14ac:dyDescent="0.25">
      <c r="A915" s="17">
        <v>43237</v>
      </c>
      <c r="B915" s="10" t="s">
        <v>2787</v>
      </c>
      <c r="C915" s="11" t="s">
        <v>166</v>
      </c>
      <c r="E915" s="8">
        <v>16146</v>
      </c>
      <c r="G915" s="6">
        <f t="shared" si="22"/>
        <v>16146</v>
      </c>
    </row>
    <row r="916" spans="1:8" x14ac:dyDescent="0.25">
      <c r="A916" s="17">
        <v>43237</v>
      </c>
      <c r="B916" s="10" t="s">
        <v>2787</v>
      </c>
      <c r="C916" s="11" t="s">
        <v>166</v>
      </c>
      <c r="E916" s="8">
        <v>107658</v>
      </c>
      <c r="G916" s="6">
        <f t="shared" si="22"/>
        <v>107658</v>
      </c>
    </row>
    <row r="917" spans="1:8" x14ac:dyDescent="0.25">
      <c r="A917" s="17">
        <v>43248</v>
      </c>
      <c r="B917" s="10" t="s">
        <v>2787</v>
      </c>
      <c r="C917" s="11" t="s">
        <v>166</v>
      </c>
      <c r="F917" s="9">
        <v>500000</v>
      </c>
      <c r="G917" s="6">
        <f t="shared" si="22"/>
        <v>-500000</v>
      </c>
      <c r="H917" s="31" t="s">
        <v>3507</v>
      </c>
    </row>
    <row r="918" spans="1:8" x14ac:dyDescent="0.25">
      <c r="A918" s="17">
        <v>43248</v>
      </c>
      <c r="B918" s="10" t="s">
        <v>1400</v>
      </c>
      <c r="C918" s="11" t="s">
        <v>1815</v>
      </c>
      <c r="F918" s="9">
        <v>500000</v>
      </c>
      <c r="G918" s="6">
        <f t="shared" si="22"/>
        <v>-500000</v>
      </c>
      <c r="H918" s="31" t="s">
        <v>3508</v>
      </c>
    </row>
    <row r="919" spans="1:8" x14ac:dyDescent="0.25">
      <c r="A919" s="17">
        <v>43236</v>
      </c>
      <c r="B919" s="10" t="s">
        <v>2787</v>
      </c>
      <c r="C919" s="11" t="s">
        <v>161</v>
      </c>
      <c r="E919" s="8">
        <v>48233</v>
      </c>
      <c r="G919" s="6">
        <f t="shared" si="22"/>
        <v>48233</v>
      </c>
    </row>
    <row r="920" spans="1:8" x14ac:dyDescent="0.25">
      <c r="A920" s="17">
        <v>43242</v>
      </c>
      <c r="B920" s="10" t="s">
        <v>2787</v>
      </c>
      <c r="C920" s="11" t="s">
        <v>161</v>
      </c>
      <c r="E920" s="8">
        <v>491814</v>
      </c>
      <c r="G920" s="6">
        <f t="shared" si="22"/>
        <v>491814</v>
      </c>
    </row>
    <row r="921" spans="1:8" x14ac:dyDescent="0.25">
      <c r="A921" s="17">
        <v>43249</v>
      </c>
      <c r="B921" s="10" t="s">
        <v>2787</v>
      </c>
      <c r="C921" s="11" t="s">
        <v>166</v>
      </c>
      <c r="E921" s="8">
        <v>69780</v>
      </c>
      <c r="G921" s="6">
        <f t="shared" si="22"/>
        <v>69780</v>
      </c>
    </row>
    <row r="922" spans="1:8" x14ac:dyDescent="0.25">
      <c r="A922" s="17">
        <v>43244</v>
      </c>
      <c r="B922" s="10" t="s">
        <v>2652</v>
      </c>
      <c r="C922" s="11" t="s">
        <v>1803</v>
      </c>
      <c r="E922" s="8">
        <v>4157</v>
      </c>
      <c r="G922" s="6">
        <f t="shared" si="22"/>
        <v>4157</v>
      </c>
    </row>
    <row r="923" spans="1:8" x14ac:dyDescent="0.25">
      <c r="A923" s="17">
        <v>43244</v>
      </c>
      <c r="B923" s="10" t="s">
        <v>2652</v>
      </c>
      <c r="C923" s="11" t="s">
        <v>1803</v>
      </c>
      <c r="E923" s="8">
        <v>121725</v>
      </c>
      <c r="G923" s="6">
        <f t="shared" si="22"/>
        <v>121725</v>
      </c>
    </row>
    <row r="924" spans="1:8" x14ac:dyDescent="0.25">
      <c r="A924" s="17">
        <v>43244</v>
      </c>
      <c r="B924" s="10" t="s">
        <v>1400</v>
      </c>
      <c r="C924" s="11" t="s">
        <v>1803</v>
      </c>
      <c r="E924" s="8">
        <v>2400</v>
      </c>
      <c r="G924" s="6">
        <f t="shared" si="22"/>
        <v>2400</v>
      </c>
    </row>
    <row r="925" spans="1:8" x14ac:dyDescent="0.25">
      <c r="A925" s="17">
        <v>43244</v>
      </c>
      <c r="B925" s="10" t="s">
        <v>1400</v>
      </c>
      <c r="C925" s="11" t="s">
        <v>1803</v>
      </c>
      <c r="E925" s="8">
        <v>604</v>
      </c>
      <c r="G925" s="6">
        <f t="shared" si="22"/>
        <v>604</v>
      </c>
    </row>
    <row r="926" spans="1:8" x14ac:dyDescent="0.25">
      <c r="A926" s="17">
        <v>43244</v>
      </c>
      <c r="B926" s="10" t="s">
        <v>2787</v>
      </c>
      <c r="C926" s="11" t="s">
        <v>180</v>
      </c>
      <c r="E926" s="8">
        <v>53120</v>
      </c>
      <c r="G926" s="6">
        <f t="shared" si="22"/>
        <v>53120</v>
      </c>
    </row>
    <row r="927" spans="1:8" x14ac:dyDescent="0.25">
      <c r="A927" s="17">
        <v>43244</v>
      </c>
      <c r="B927" s="10" t="s">
        <v>2787</v>
      </c>
      <c r="C927" s="11" t="s">
        <v>180</v>
      </c>
      <c r="E927" s="8">
        <v>4800</v>
      </c>
      <c r="G927" s="6">
        <f t="shared" si="22"/>
        <v>4800</v>
      </c>
    </row>
    <row r="928" spans="1:8" x14ac:dyDescent="0.25">
      <c r="A928" s="17">
        <v>43244</v>
      </c>
      <c r="B928" s="10" t="s">
        <v>2787</v>
      </c>
      <c r="C928" s="11" t="s">
        <v>180</v>
      </c>
      <c r="E928" s="8">
        <v>137800</v>
      </c>
      <c r="G928" s="6">
        <f t="shared" si="22"/>
        <v>137800</v>
      </c>
    </row>
    <row r="929" spans="1:8" x14ac:dyDescent="0.25">
      <c r="A929" s="17">
        <v>43258</v>
      </c>
      <c r="B929" s="10" t="s">
        <v>1400</v>
      </c>
      <c r="C929" s="11" t="s">
        <v>164</v>
      </c>
      <c r="F929" s="9">
        <v>100000</v>
      </c>
      <c r="G929" s="6">
        <f t="shared" si="22"/>
        <v>-100000</v>
      </c>
      <c r="H929" s="31" t="s">
        <v>3531</v>
      </c>
    </row>
    <row r="931" spans="1:8" x14ac:dyDescent="0.25">
      <c r="A931" s="17">
        <v>43258</v>
      </c>
      <c r="B931" s="10" t="s">
        <v>1400</v>
      </c>
      <c r="C931" s="11" t="s">
        <v>169</v>
      </c>
      <c r="F931" s="9">
        <v>150000</v>
      </c>
      <c r="G931" s="6">
        <f t="shared" si="22"/>
        <v>-150000</v>
      </c>
      <c r="H931" s="31" t="s">
        <v>3532</v>
      </c>
    </row>
    <row r="932" spans="1:8" x14ac:dyDescent="0.25">
      <c r="A932" s="17">
        <v>43258</v>
      </c>
      <c r="B932" s="10" t="s">
        <v>1400</v>
      </c>
      <c r="C932" s="11" t="s">
        <v>1803</v>
      </c>
      <c r="F932" s="9">
        <v>200000</v>
      </c>
      <c r="G932" s="6">
        <f t="shared" si="22"/>
        <v>-200000</v>
      </c>
      <c r="H932" s="78" t="s">
        <v>3533</v>
      </c>
    </row>
    <row r="933" spans="1:8" x14ac:dyDescent="0.25">
      <c r="A933" s="17">
        <v>43258</v>
      </c>
      <c r="B933" s="10" t="s">
        <v>2787</v>
      </c>
      <c r="C933" s="11" t="s">
        <v>180</v>
      </c>
      <c r="E933" s="8">
        <v>73420</v>
      </c>
      <c r="G933" s="6">
        <f t="shared" si="22"/>
        <v>73420</v>
      </c>
    </row>
    <row r="934" spans="1:8" x14ac:dyDescent="0.25">
      <c r="A934" s="17">
        <v>43258</v>
      </c>
      <c r="B934" s="10" t="s">
        <v>3401</v>
      </c>
      <c r="C934" s="11" t="s">
        <v>180</v>
      </c>
      <c r="E934" s="8">
        <v>25920</v>
      </c>
      <c r="G934" s="6">
        <f t="shared" si="22"/>
        <v>25920</v>
      </c>
    </row>
    <row r="935" spans="1:8" x14ac:dyDescent="0.25">
      <c r="A935" s="17">
        <v>43258</v>
      </c>
      <c r="B935" s="10" t="s">
        <v>2787</v>
      </c>
      <c r="C935" s="11" t="s">
        <v>180</v>
      </c>
      <c r="E935" s="8">
        <v>41660</v>
      </c>
      <c r="G935" s="6">
        <f t="shared" si="22"/>
        <v>41660</v>
      </c>
    </row>
    <row r="936" spans="1:8" x14ac:dyDescent="0.25">
      <c r="A936" s="17">
        <v>43258</v>
      </c>
      <c r="B936" s="10" t="s">
        <v>2787</v>
      </c>
      <c r="C936" s="11" t="s">
        <v>180</v>
      </c>
      <c r="E936" s="8">
        <v>43800</v>
      </c>
      <c r="G936" s="6">
        <f t="shared" si="22"/>
        <v>43800</v>
      </c>
    </row>
    <row r="937" spans="1:8" x14ac:dyDescent="0.25">
      <c r="A937" s="17">
        <v>43273</v>
      </c>
      <c r="B937" s="10" t="s">
        <v>2787</v>
      </c>
      <c r="C937" s="11" t="s">
        <v>180</v>
      </c>
      <c r="E937" s="8">
        <v>22830</v>
      </c>
      <c r="G937" s="6">
        <f t="shared" si="22"/>
        <v>22830</v>
      </c>
    </row>
    <row r="938" spans="1:8" x14ac:dyDescent="0.25">
      <c r="A938" s="17">
        <v>43208</v>
      </c>
      <c r="B938" s="10" t="s">
        <v>1400</v>
      </c>
      <c r="C938" s="11" t="s">
        <v>1815</v>
      </c>
      <c r="E938" s="8">
        <v>35380</v>
      </c>
      <c r="G938" s="6">
        <f t="shared" si="22"/>
        <v>35380</v>
      </c>
    </row>
    <row r="939" spans="1:8" x14ac:dyDescent="0.25">
      <c r="A939" s="17">
        <v>43259</v>
      </c>
      <c r="B939" s="10" t="s">
        <v>40</v>
      </c>
      <c r="C939" s="11" t="s">
        <v>164</v>
      </c>
      <c r="E939" s="8">
        <v>1064</v>
      </c>
      <c r="G939" s="6">
        <f t="shared" si="22"/>
        <v>1064</v>
      </c>
    </row>
    <row r="940" spans="1:8" x14ac:dyDescent="0.25">
      <c r="A940" s="17">
        <v>43260</v>
      </c>
      <c r="B940" s="10" t="s">
        <v>2787</v>
      </c>
      <c r="C940" s="11" t="s">
        <v>180</v>
      </c>
      <c r="F940" s="9">
        <v>250000</v>
      </c>
      <c r="G940" s="6">
        <f t="shared" si="22"/>
        <v>-250000</v>
      </c>
      <c r="H940" s="78" t="s">
        <v>3720</v>
      </c>
    </row>
    <row r="941" spans="1:8" x14ac:dyDescent="0.25">
      <c r="A941" s="17">
        <v>43272</v>
      </c>
      <c r="B941" s="10" t="s">
        <v>2787</v>
      </c>
      <c r="C941" s="11" t="s">
        <v>169</v>
      </c>
      <c r="E941" s="8">
        <v>1770</v>
      </c>
      <c r="G941" s="6">
        <f t="shared" si="22"/>
        <v>1770</v>
      </c>
    </row>
    <row r="942" spans="1:8" x14ac:dyDescent="0.25">
      <c r="A942" s="17">
        <v>43272</v>
      </c>
      <c r="B942" s="10" t="s">
        <v>1400</v>
      </c>
      <c r="C942" s="11" t="s">
        <v>1815</v>
      </c>
      <c r="E942" s="8">
        <v>321208</v>
      </c>
      <c r="G942" s="6">
        <f t="shared" si="22"/>
        <v>321208</v>
      </c>
    </row>
    <row r="943" spans="1:8" x14ac:dyDescent="0.25">
      <c r="A943" s="17">
        <v>43272</v>
      </c>
      <c r="B943" s="10" t="s">
        <v>1400</v>
      </c>
      <c r="C943" s="11" t="s">
        <v>1815</v>
      </c>
      <c r="E943" s="8">
        <v>6808</v>
      </c>
      <c r="G943" s="6">
        <f t="shared" si="22"/>
        <v>6808</v>
      </c>
    </row>
    <row r="944" spans="1:8" x14ac:dyDescent="0.25">
      <c r="A944" s="17">
        <v>43272</v>
      </c>
      <c r="B944" s="10" t="s">
        <v>40</v>
      </c>
      <c r="C944" s="11" t="s">
        <v>164</v>
      </c>
      <c r="E944" s="8">
        <v>679</v>
      </c>
      <c r="G944" s="6">
        <f t="shared" si="22"/>
        <v>679</v>
      </c>
    </row>
    <row r="945" spans="1:8" x14ac:dyDescent="0.25">
      <c r="A945" s="17">
        <v>43280</v>
      </c>
      <c r="B945" s="10" t="s">
        <v>2787</v>
      </c>
      <c r="C945" s="11" t="s">
        <v>161</v>
      </c>
      <c r="F945" s="9">
        <v>300000</v>
      </c>
      <c r="G945" s="6">
        <f t="shared" si="22"/>
        <v>-300000</v>
      </c>
      <c r="H945" s="78" t="s">
        <v>3657</v>
      </c>
    </row>
    <row r="946" spans="1:8" ht="31.5" x14ac:dyDescent="0.25">
      <c r="A946" s="17">
        <v>43287</v>
      </c>
      <c r="B946" s="10" t="s">
        <v>2787</v>
      </c>
      <c r="C946" s="11" t="s">
        <v>166</v>
      </c>
      <c r="F946" s="9">
        <v>350000</v>
      </c>
      <c r="G946" s="6">
        <f t="shared" si="22"/>
        <v>-350000</v>
      </c>
      <c r="H946" s="269" t="s">
        <v>3665</v>
      </c>
    </row>
    <row r="947" spans="1:8" x14ac:dyDescent="0.25">
      <c r="A947" s="17">
        <v>43287</v>
      </c>
      <c r="B947" s="10" t="s">
        <v>1400</v>
      </c>
      <c r="C947" s="11" t="s">
        <v>166</v>
      </c>
      <c r="F947" s="9">
        <v>350000</v>
      </c>
      <c r="G947" s="6">
        <f t="shared" si="22"/>
        <v>-350000</v>
      </c>
      <c r="H947" s="270"/>
    </row>
    <row r="948" spans="1:8" x14ac:dyDescent="0.25">
      <c r="A948" s="17">
        <v>43300</v>
      </c>
      <c r="B948" s="10" t="s">
        <v>1400</v>
      </c>
      <c r="C948" s="11" t="s">
        <v>1815</v>
      </c>
      <c r="E948" s="8">
        <v>395408</v>
      </c>
      <c r="G948" s="6">
        <f t="shared" si="22"/>
        <v>395408</v>
      </c>
    </row>
    <row r="949" spans="1:8" x14ac:dyDescent="0.25">
      <c r="A949" s="17">
        <v>43300</v>
      </c>
      <c r="B949" s="10" t="s">
        <v>2652</v>
      </c>
      <c r="C949" s="11" t="s">
        <v>1803</v>
      </c>
      <c r="E949" s="8">
        <v>71751</v>
      </c>
      <c r="G949" s="6">
        <f t="shared" si="22"/>
        <v>71751</v>
      </c>
    </row>
    <row r="950" spans="1:8" x14ac:dyDescent="0.25">
      <c r="A950" s="17">
        <v>43300</v>
      </c>
      <c r="B950" s="10" t="s">
        <v>2652</v>
      </c>
      <c r="C950" s="11" t="s">
        <v>1803</v>
      </c>
      <c r="E950" s="8">
        <v>33292</v>
      </c>
      <c r="G950" s="6">
        <f t="shared" si="22"/>
        <v>33292</v>
      </c>
    </row>
    <row r="951" spans="1:8" x14ac:dyDescent="0.25">
      <c r="A951" s="17">
        <v>43300</v>
      </c>
      <c r="B951" s="10" t="s">
        <v>2652</v>
      </c>
      <c r="C951" s="11" t="s">
        <v>1803</v>
      </c>
      <c r="E951" s="8">
        <v>592361</v>
      </c>
      <c r="G951" s="6">
        <f t="shared" si="22"/>
        <v>592361</v>
      </c>
    </row>
    <row r="952" spans="1:8" x14ac:dyDescent="0.25">
      <c r="A952" s="17">
        <v>43300</v>
      </c>
      <c r="B952" s="10" t="s">
        <v>1400</v>
      </c>
      <c r="C952" s="11" t="s">
        <v>1803</v>
      </c>
      <c r="E952" s="8">
        <v>8095</v>
      </c>
      <c r="G952" s="6">
        <f t="shared" si="22"/>
        <v>8095</v>
      </c>
    </row>
    <row r="953" spans="1:8" x14ac:dyDescent="0.25">
      <c r="A953" s="17">
        <v>43300</v>
      </c>
      <c r="B953" s="10" t="s">
        <v>1400</v>
      </c>
      <c r="C953" s="11" t="s">
        <v>1803</v>
      </c>
      <c r="E953" s="8">
        <v>3296</v>
      </c>
      <c r="G953" s="6">
        <f t="shared" si="22"/>
        <v>3296</v>
      </c>
    </row>
    <row r="954" spans="1:8" x14ac:dyDescent="0.25">
      <c r="A954" s="17">
        <v>43300</v>
      </c>
      <c r="B954" s="10" t="s">
        <v>2787</v>
      </c>
      <c r="C954" s="11" t="s">
        <v>166</v>
      </c>
      <c r="E954" s="8">
        <v>8000</v>
      </c>
      <c r="G954" s="6">
        <f t="shared" si="22"/>
        <v>8000</v>
      </c>
    </row>
    <row r="955" spans="1:8" x14ac:dyDescent="0.25">
      <c r="A955" s="17">
        <v>43300</v>
      </c>
      <c r="B955" s="10" t="s">
        <v>2787</v>
      </c>
      <c r="C955" s="11" t="s">
        <v>166</v>
      </c>
      <c r="E955" s="8">
        <v>9100</v>
      </c>
      <c r="G955" s="6">
        <f t="shared" si="22"/>
        <v>9100</v>
      </c>
    </row>
    <row r="956" spans="1:8" x14ac:dyDescent="0.25">
      <c r="A956" s="17">
        <v>43300</v>
      </c>
      <c r="B956" s="10" t="s">
        <v>2787</v>
      </c>
      <c r="C956" s="11" t="s">
        <v>166</v>
      </c>
      <c r="E956" s="8">
        <v>9000</v>
      </c>
      <c r="G956" s="6">
        <f t="shared" si="22"/>
        <v>9000</v>
      </c>
    </row>
    <row r="957" spans="1:8" x14ac:dyDescent="0.25">
      <c r="A957" s="17">
        <v>43300</v>
      </c>
      <c r="B957" s="10" t="s">
        <v>2787</v>
      </c>
      <c r="C957" s="11" t="s">
        <v>166</v>
      </c>
      <c r="E957" s="8">
        <v>4450</v>
      </c>
      <c r="G957" s="6">
        <f t="shared" si="22"/>
        <v>4450</v>
      </c>
    </row>
    <row r="958" spans="1:8" x14ac:dyDescent="0.25">
      <c r="A958" s="17">
        <v>43300</v>
      </c>
      <c r="B958" s="10" t="s">
        <v>1400</v>
      </c>
      <c r="C958" s="11" t="s">
        <v>166</v>
      </c>
      <c r="E958" s="8">
        <v>110000</v>
      </c>
      <c r="G958" s="6">
        <f t="shared" si="22"/>
        <v>110000</v>
      </c>
    </row>
    <row r="959" spans="1:8" x14ac:dyDescent="0.25">
      <c r="A959" s="17">
        <v>43315</v>
      </c>
      <c r="B959" s="10" t="s">
        <v>2652</v>
      </c>
      <c r="C959" s="11" t="s">
        <v>1803</v>
      </c>
      <c r="F959" s="9">
        <f>SUM((1500000-1500000*2%))</f>
        <v>1470000</v>
      </c>
      <c r="G959" s="6">
        <f t="shared" si="22"/>
        <v>-1470000</v>
      </c>
      <c r="H959" s="31" t="s">
        <v>3719</v>
      </c>
    </row>
    <row r="960" spans="1:8" x14ac:dyDescent="0.25">
      <c r="A960" s="17">
        <v>43304</v>
      </c>
      <c r="B960" s="10" t="s">
        <v>2652</v>
      </c>
      <c r="C960" s="11" t="s">
        <v>1803</v>
      </c>
      <c r="E960" s="8">
        <v>1665915</v>
      </c>
      <c r="G960" s="6">
        <f t="shared" si="22"/>
        <v>1665915</v>
      </c>
    </row>
    <row r="961" spans="1:8" x14ac:dyDescent="0.25">
      <c r="A961" s="17">
        <v>43313</v>
      </c>
      <c r="B961" s="10" t="s">
        <v>1400</v>
      </c>
      <c r="C961" s="11" t="s">
        <v>1815</v>
      </c>
      <c r="E961" s="8">
        <v>705608</v>
      </c>
      <c r="G961" s="6">
        <f t="shared" si="22"/>
        <v>705608</v>
      </c>
    </row>
    <row r="962" spans="1:8" x14ac:dyDescent="0.25">
      <c r="A962" s="17">
        <v>43313</v>
      </c>
      <c r="B962" s="10" t="s">
        <v>2787</v>
      </c>
      <c r="C962" s="11" t="s">
        <v>180</v>
      </c>
      <c r="E962" s="8">
        <v>7400</v>
      </c>
      <c r="G962" s="6">
        <f t="shared" si="22"/>
        <v>7400</v>
      </c>
    </row>
    <row r="963" spans="1:8" x14ac:dyDescent="0.25">
      <c r="A963" s="17">
        <v>43307</v>
      </c>
      <c r="B963" s="10" t="s">
        <v>2787</v>
      </c>
      <c r="C963" s="11" t="s">
        <v>180</v>
      </c>
      <c r="E963" s="8">
        <v>6000</v>
      </c>
      <c r="G963" s="6">
        <f t="shared" si="22"/>
        <v>6000</v>
      </c>
    </row>
    <row r="964" spans="1:8" x14ac:dyDescent="0.25">
      <c r="A964" s="17">
        <v>43305</v>
      </c>
      <c r="B964" s="10" t="s">
        <v>2271</v>
      </c>
      <c r="C964" s="11" t="s">
        <v>166</v>
      </c>
      <c r="E964" s="8">
        <v>8600</v>
      </c>
      <c r="G964" s="6">
        <f t="shared" ref="G964:G1007" si="23">E964-F964</f>
        <v>8600</v>
      </c>
    </row>
    <row r="965" spans="1:8" x14ac:dyDescent="0.25">
      <c r="A965" s="17">
        <v>43305</v>
      </c>
      <c r="B965" s="10" t="s">
        <v>2787</v>
      </c>
      <c r="C965" s="11" t="s">
        <v>166</v>
      </c>
      <c r="E965" s="8">
        <v>8600</v>
      </c>
      <c r="G965" s="6">
        <f t="shared" si="23"/>
        <v>8600</v>
      </c>
    </row>
    <row r="966" spans="1:8" x14ac:dyDescent="0.25">
      <c r="A966" s="17">
        <v>43315</v>
      </c>
      <c r="B966" s="10" t="s">
        <v>1400</v>
      </c>
      <c r="C966" s="11" t="s">
        <v>1815</v>
      </c>
      <c r="E966" s="8">
        <v>25550</v>
      </c>
      <c r="G966" s="6">
        <f t="shared" si="23"/>
        <v>25550</v>
      </c>
      <c r="H966" s="128"/>
    </row>
    <row r="967" spans="1:8" x14ac:dyDescent="0.25">
      <c r="A967" s="17">
        <v>43290</v>
      </c>
      <c r="B967" s="10" t="s">
        <v>1400</v>
      </c>
      <c r="C967" s="11" t="s">
        <v>1803</v>
      </c>
      <c r="E967" s="8">
        <v>1800</v>
      </c>
      <c r="G967" s="6">
        <f t="shared" si="23"/>
        <v>1800</v>
      </c>
    </row>
    <row r="968" spans="1:8" x14ac:dyDescent="0.25">
      <c r="A968" s="17">
        <v>43290</v>
      </c>
      <c r="B968" s="10" t="s">
        <v>2652</v>
      </c>
      <c r="C968" s="11" t="s">
        <v>1803</v>
      </c>
      <c r="E968" s="8">
        <v>245053</v>
      </c>
      <c r="G968" s="6">
        <f t="shared" si="23"/>
        <v>245053</v>
      </c>
    </row>
    <row r="969" spans="1:8" x14ac:dyDescent="0.25">
      <c r="A969" s="17">
        <v>43290</v>
      </c>
      <c r="B969" s="10" t="s">
        <v>2652</v>
      </c>
      <c r="C969" s="11" t="s">
        <v>1803</v>
      </c>
      <c r="E969" s="8">
        <v>59832</v>
      </c>
      <c r="G969" s="6">
        <f t="shared" si="23"/>
        <v>59832</v>
      </c>
    </row>
    <row r="970" spans="1:8" x14ac:dyDescent="0.25">
      <c r="A970" s="17">
        <v>43290</v>
      </c>
      <c r="B970" s="10" t="s">
        <v>1400</v>
      </c>
      <c r="C970" s="11" t="s">
        <v>1803</v>
      </c>
      <c r="E970" s="8">
        <v>15245</v>
      </c>
      <c r="G970" s="6">
        <f t="shared" si="23"/>
        <v>15245</v>
      </c>
    </row>
    <row r="971" spans="1:8" x14ac:dyDescent="0.25">
      <c r="A971" s="17">
        <v>43290</v>
      </c>
      <c r="B971" s="10" t="s">
        <v>1400</v>
      </c>
      <c r="C971" s="11" t="s">
        <v>1803</v>
      </c>
      <c r="E971" s="8">
        <v>7042</v>
      </c>
      <c r="G971" s="6">
        <f t="shared" si="23"/>
        <v>7042</v>
      </c>
    </row>
    <row r="972" spans="1:8" x14ac:dyDescent="0.25">
      <c r="A972" s="17">
        <v>43290</v>
      </c>
      <c r="B972" s="10" t="s">
        <v>1400</v>
      </c>
      <c r="C972" s="11" t="s">
        <v>1803</v>
      </c>
      <c r="E972" s="8">
        <v>82600</v>
      </c>
      <c r="G972" s="6">
        <f t="shared" si="23"/>
        <v>82600</v>
      </c>
    </row>
    <row r="973" spans="1:8" x14ac:dyDescent="0.25">
      <c r="A973" s="17">
        <v>43290</v>
      </c>
      <c r="B973" s="10" t="s">
        <v>2652</v>
      </c>
      <c r="C973" s="11" t="s">
        <v>1803</v>
      </c>
      <c r="E973" s="8">
        <v>17826</v>
      </c>
      <c r="G973" s="6">
        <f t="shared" si="23"/>
        <v>17826</v>
      </c>
    </row>
    <row r="974" spans="1:8" x14ac:dyDescent="0.25">
      <c r="A974" s="17">
        <v>43290</v>
      </c>
      <c r="B974" s="10" t="s">
        <v>1400</v>
      </c>
      <c r="C974" s="11" t="s">
        <v>1803</v>
      </c>
      <c r="E974" s="8">
        <v>6680</v>
      </c>
      <c r="G974" s="6">
        <f t="shared" si="23"/>
        <v>6680</v>
      </c>
    </row>
    <row r="975" spans="1:8" x14ac:dyDescent="0.25">
      <c r="A975" s="17">
        <v>43290</v>
      </c>
      <c r="B975" s="10" t="s">
        <v>1400</v>
      </c>
      <c r="C975" s="11" t="s">
        <v>1803</v>
      </c>
      <c r="E975" s="8">
        <v>1600</v>
      </c>
      <c r="G975" s="6">
        <f t="shared" si="23"/>
        <v>1600</v>
      </c>
    </row>
    <row r="976" spans="1:8" x14ac:dyDescent="0.25">
      <c r="A976" s="17">
        <v>43307</v>
      </c>
      <c r="B976" s="21" t="s">
        <v>11</v>
      </c>
      <c r="C976" s="11" t="s">
        <v>164</v>
      </c>
      <c r="E976" s="8">
        <v>5815</v>
      </c>
      <c r="G976" s="6">
        <f t="shared" si="23"/>
        <v>5815</v>
      </c>
    </row>
    <row r="977" spans="1:8" x14ac:dyDescent="0.25">
      <c r="A977" s="17">
        <v>43307</v>
      </c>
      <c r="B977" s="51" t="s">
        <v>3733</v>
      </c>
      <c r="C977" s="11" t="s">
        <v>166</v>
      </c>
      <c r="E977" s="8">
        <v>4300</v>
      </c>
      <c r="G977" s="6">
        <f t="shared" si="23"/>
        <v>4300</v>
      </c>
    </row>
    <row r="978" spans="1:8" x14ac:dyDescent="0.25">
      <c r="A978" s="17">
        <v>43307</v>
      </c>
      <c r="B978" s="51" t="s">
        <v>3733</v>
      </c>
      <c r="C978" s="11" t="s">
        <v>166</v>
      </c>
      <c r="E978" s="8">
        <v>121656</v>
      </c>
      <c r="G978" s="6">
        <f t="shared" si="23"/>
        <v>121656</v>
      </c>
    </row>
    <row r="979" spans="1:8" x14ac:dyDescent="0.25">
      <c r="A979" s="17">
        <v>43307</v>
      </c>
      <c r="B979" s="51" t="s">
        <v>3733</v>
      </c>
      <c r="C979" s="11" t="s">
        <v>166</v>
      </c>
      <c r="E979" s="8">
        <v>4300</v>
      </c>
      <c r="G979" s="6">
        <f t="shared" si="23"/>
        <v>4300</v>
      </c>
    </row>
    <row r="980" spans="1:8" x14ac:dyDescent="0.25">
      <c r="A980" s="17">
        <v>43328</v>
      </c>
      <c r="B980" s="51" t="s">
        <v>3733</v>
      </c>
      <c r="C980" s="11" t="s">
        <v>166</v>
      </c>
      <c r="E980" s="8">
        <v>7660</v>
      </c>
      <c r="G980" s="6">
        <f t="shared" si="23"/>
        <v>7660</v>
      </c>
    </row>
    <row r="981" spans="1:8" x14ac:dyDescent="0.25">
      <c r="A981" s="17">
        <v>43328</v>
      </c>
      <c r="B981" s="51" t="s">
        <v>1400</v>
      </c>
      <c r="C981" s="11" t="s">
        <v>166</v>
      </c>
      <c r="E981" s="8">
        <v>44000</v>
      </c>
      <c r="G981" s="6">
        <f t="shared" si="23"/>
        <v>44000</v>
      </c>
    </row>
    <row r="982" spans="1:8" x14ac:dyDescent="0.25">
      <c r="A982" s="17">
        <v>43328</v>
      </c>
      <c r="B982" s="41" t="s">
        <v>3622</v>
      </c>
      <c r="C982" s="11" t="s">
        <v>166</v>
      </c>
      <c r="E982" s="8">
        <v>59200</v>
      </c>
      <c r="G982" s="6">
        <f t="shared" si="23"/>
        <v>59200</v>
      </c>
    </row>
    <row r="983" spans="1:8" x14ac:dyDescent="0.25">
      <c r="A983" s="17">
        <v>43328</v>
      </c>
      <c r="B983" s="41" t="s">
        <v>3622</v>
      </c>
      <c r="C983" s="11" t="s">
        <v>166</v>
      </c>
      <c r="E983" s="8">
        <v>59200</v>
      </c>
      <c r="G983" s="6">
        <f t="shared" si="23"/>
        <v>59200</v>
      </c>
    </row>
    <row r="984" spans="1:8" x14ac:dyDescent="0.25">
      <c r="A984" s="56">
        <v>43322</v>
      </c>
      <c r="B984" s="10" t="s">
        <v>1400</v>
      </c>
      <c r="C984" s="11" t="s">
        <v>166</v>
      </c>
      <c r="F984" s="9">
        <v>212538</v>
      </c>
      <c r="G984" s="6">
        <f t="shared" si="23"/>
        <v>-212538</v>
      </c>
      <c r="H984" s="78"/>
    </row>
    <row r="985" spans="1:8" x14ac:dyDescent="0.25">
      <c r="A985" s="56">
        <v>43322</v>
      </c>
      <c r="B985" s="10" t="s">
        <v>2271</v>
      </c>
      <c r="C985" s="11" t="s">
        <v>166</v>
      </c>
      <c r="F985" s="9">
        <v>8600</v>
      </c>
      <c r="G985" s="6">
        <f t="shared" si="23"/>
        <v>-8600</v>
      </c>
      <c r="H985" s="79" t="s">
        <v>3745</v>
      </c>
    </row>
    <row r="986" spans="1:8" x14ac:dyDescent="0.25">
      <c r="A986" s="56">
        <v>43322</v>
      </c>
      <c r="B986" s="10" t="s">
        <v>2787</v>
      </c>
      <c r="C986" s="11" t="s">
        <v>166</v>
      </c>
      <c r="F986" s="9">
        <v>118971</v>
      </c>
      <c r="G986" s="6">
        <f t="shared" si="23"/>
        <v>-118971</v>
      </c>
      <c r="H986" s="80"/>
    </row>
    <row r="987" spans="1:8" x14ac:dyDescent="0.25">
      <c r="A987" s="56">
        <v>43320</v>
      </c>
      <c r="B987" s="10" t="s">
        <v>1400</v>
      </c>
      <c r="C987" s="11" t="s">
        <v>1815</v>
      </c>
      <c r="E987" s="8">
        <v>282988</v>
      </c>
      <c r="G987" s="6">
        <f t="shared" si="23"/>
        <v>282988</v>
      </c>
    </row>
    <row r="988" spans="1:8" x14ac:dyDescent="0.25">
      <c r="A988" s="266">
        <v>43339</v>
      </c>
      <c r="B988" s="10" t="s">
        <v>1400</v>
      </c>
      <c r="C988" s="11" t="s">
        <v>166</v>
      </c>
      <c r="E988" s="8">
        <v>55000</v>
      </c>
      <c r="G988" s="6">
        <f t="shared" si="23"/>
        <v>55000</v>
      </c>
    </row>
    <row r="989" spans="1:8" x14ac:dyDescent="0.25">
      <c r="A989" s="266">
        <v>43343</v>
      </c>
      <c r="B989" s="41" t="s">
        <v>3622</v>
      </c>
      <c r="C989" s="11" t="s">
        <v>166</v>
      </c>
      <c r="E989" s="8">
        <v>37000</v>
      </c>
      <c r="G989" s="6">
        <f t="shared" si="23"/>
        <v>37000</v>
      </c>
    </row>
    <row r="990" spans="1:8" x14ac:dyDescent="0.25">
      <c r="A990" s="266">
        <v>43343</v>
      </c>
      <c r="B990" s="10" t="s">
        <v>3733</v>
      </c>
      <c r="C990" s="11" t="s">
        <v>166</v>
      </c>
      <c r="E990" s="8">
        <v>6900</v>
      </c>
      <c r="G990" s="6">
        <f t="shared" si="23"/>
        <v>6900</v>
      </c>
    </row>
    <row r="991" spans="1:8" x14ac:dyDescent="0.25">
      <c r="A991" s="266">
        <v>43343</v>
      </c>
      <c r="B991" s="10" t="s">
        <v>1400</v>
      </c>
      <c r="C991" s="11" t="s">
        <v>166</v>
      </c>
      <c r="E991" s="8">
        <v>55000</v>
      </c>
      <c r="G991" s="6">
        <f t="shared" si="23"/>
        <v>55000</v>
      </c>
    </row>
    <row r="992" spans="1:8" x14ac:dyDescent="0.25">
      <c r="A992" s="266">
        <v>43343</v>
      </c>
      <c r="B992" s="41" t="s">
        <v>3622</v>
      </c>
      <c r="C992" s="11" t="s">
        <v>166</v>
      </c>
      <c r="E992" s="8">
        <v>59200</v>
      </c>
      <c r="G992" s="6">
        <f t="shared" si="23"/>
        <v>59200</v>
      </c>
    </row>
    <row r="993" spans="1:8" x14ac:dyDescent="0.25">
      <c r="A993" s="266">
        <v>43343</v>
      </c>
      <c r="B993" s="10" t="s">
        <v>1400</v>
      </c>
      <c r="C993" s="11" t="s">
        <v>1815</v>
      </c>
      <c r="E993" s="8">
        <v>43293</v>
      </c>
      <c r="G993" s="6">
        <f t="shared" si="23"/>
        <v>43293</v>
      </c>
    </row>
    <row r="994" spans="1:8" x14ac:dyDescent="0.25">
      <c r="A994" s="266">
        <v>43343</v>
      </c>
      <c r="B994" s="10" t="s">
        <v>1400</v>
      </c>
      <c r="C994" s="11" t="s">
        <v>1815</v>
      </c>
      <c r="E994" s="8">
        <v>299085</v>
      </c>
      <c r="G994" s="6">
        <f t="shared" si="23"/>
        <v>299085</v>
      </c>
    </row>
    <row r="995" spans="1:8" x14ac:dyDescent="0.25">
      <c r="A995" s="266">
        <v>43299</v>
      </c>
      <c r="B995" s="10" t="s">
        <v>1400</v>
      </c>
      <c r="C995" s="11" t="s">
        <v>1815</v>
      </c>
      <c r="F995" s="9">
        <v>500000</v>
      </c>
      <c r="G995" s="6">
        <f t="shared" si="23"/>
        <v>-500000</v>
      </c>
      <c r="H995" s="31" t="s">
        <v>3696</v>
      </c>
    </row>
    <row r="996" spans="1:8" x14ac:dyDescent="0.25">
      <c r="A996" s="266">
        <v>43342</v>
      </c>
      <c r="B996" s="10" t="s">
        <v>2652</v>
      </c>
      <c r="C996" s="11" t="s">
        <v>1803</v>
      </c>
      <c r="E996" s="8">
        <v>48818</v>
      </c>
      <c r="G996" s="6">
        <f t="shared" si="23"/>
        <v>48818</v>
      </c>
    </row>
    <row r="997" spans="1:8" x14ac:dyDescent="0.25">
      <c r="A997" s="266">
        <v>43342</v>
      </c>
      <c r="B997" s="10" t="s">
        <v>1400</v>
      </c>
      <c r="C997" s="11" t="s">
        <v>1803</v>
      </c>
      <c r="E997" s="8">
        <v>9880</v>
      </c>
      <c r="G997" s="6">
        <f t="shared" si="23"/>
        <v>9880</v>
      </c>
    </row>
    <row r="998" spans="1:8" x14ac:dyDescent="0.25">
      <c r="A998" s="266">
        <v>43342</v>
      </c>
      <c r="B998" s="10" t="s">
        <v>1400</v>
      </c>
      <c r="C998" s="11" t="s">
        <v>1803</v>
      </c>
      <c r="E998" s="8">
        <v>2472</v>
      </c>
      <c r="G998" s="6">
        <f t="shared" si="23"/>
        <v>2472</v>
      </c>
    </row>
    <row r="999" spans="1:8" x14ac:dyDescent="0.25">
      <c r="A999" s="266">
        <v>43342</v>
      </c>
      <c r="B999" s="10" t="s">
        <v>1400</v>
      </c>
      <c r="C999" s="11" t="s">
        <v>1803</v>
      </c>
      <c r="E999" s="8">
        <v>4320</v>
      </c>
      <c r="G999" s="6">
        <f t="shared" si="23"/>
        <v>4320</v>
      </c>
    </row>
    <row r="1000" spans="1:8" x14ac:dyDescent="0.25">
      <c r="A1000" s="266">
        <v>43342</v>
      </c>
      <c r="B1000" s="10" t="s">
        <v>2652</v>
      </c>
      <c r="C1000" s="11" t="s">
        <v>1803</v>
      </c>
      <c r="E1000" s="8">
        <v>25000</v>
      </c>
      <c r="G1000" s="6">
        <f t="shared" si="23"/>
        <v>25000</v>
      </c>
    </row>
    <row r="1001" spans="1:8" x14ac:dyDescent="0.25">
      <c r="A1001" s="266">
        <v>43351</v>
      </c>
      <c r="B1001" s="41" t="s">
        <v>3622</v>
      </c>
      <c r="C1001" s="11" t="s">
        <v>180</v>
      </c>
      <c r="E1001" s="8">
        <v>578880</v>
      </c>
      <c r="G1001" s="6">
        <f t="shared" si="23"/>
        <v>578880</v>
      </c>
    </row>
    <row r="1002" spans="1:8" x14ac:dyDescent="0.25">
      <c r="A1002" s="266">
        <v>43354</v>
      </c>
      <c r="B1002" s="10" t="s">
        <v>2933</v>
      </c>
      <c r="C1002" s="11" t="s">
        <v>180</v>
      </c>
      <c r="E1002" s="8">
        <v>1331000</v>
      </c>
      <c r="G1002" s="6">
        <f t="shared" si="23"/>
        <v>1331000</v>
      </c>
    </row>
    <row r="1003" spans="1:8" x14ac:dyDescent="0.25">
      <c r="A1003" s="266">
        <v>43351</v>
      </c>
      <c r="B1003" s="41" t="s">
        <v>3622</v>
      </c>
      <c r="C1003" s="11" t="s">
        <v>166</v>
      </c>
      <c r="E1003" s="8">
        <v>59200</v>
      </c>
      <c r="G1003" s="6">
        <f t="shared" si="23"/>
        <v>59200</v>
      </c>
    </row>
    <row r="1004" spans="1:8" x14ac:dyDescent="0.25">
      <c r="A1004" s="266">
        <v>43353</v>
      </c>
      <c r="B1004" s="10" t="s">
        <v>1400</v>
      </c>
      <c r="C1004" s="11" t="s">
        <v>1815</v>
      </c>
      <c r="E1004" s="8">
        <v>48186</v>
      </c>
      <c r="G1004" s="6">
        <f t="shared" si="23"/>
        <v>48186</v>
      </c>
    </row>
    <row r="1005" spans="1:8" x14ac:dyDescent="0.25">
      <c r="A1005" s="266">
        <v>43356</v>
      </c>
      <c r="B1005" s="10" t="s">
        <v>1400</v>
      </c>
      <c r="C1005" s="11" t="s">
        <v>180</v>
      </c>
      <c r="F1005" s="9">
        <v>20050</v>
      </c>
      <c r="G1005" s="6">
        <f t="shared" si="23"/>
        <v>-20050</v>
      </c>
      <c r="H1005" s="78"/>
    </row>
    <row r="1006" spans="1:8" x14ac:dyDescent="0.25">
      <c r="A1006" s="266">
        <v>43356</v>
      </c>
      <c r="B1006" s="10" t="s">
        <v>2227</v>
      </c>
      <c r="C1006" s="11" t="s">
        <v>180</v>
      </c>
      <c r="F1006" s="9">
        <v>22000</v>
      </c>
      <c r="G1006" s="6">
        <f t="shared" si="23"/>
        <v>-22000</v>
      </c>
      <c r="H1006" s="79"/>
    </row>
    <row r="1007" spans="1:8" x14ac:dyDescent="0.25">
      <c r="A1007" s="266">
        <v>43356</v>
      </c>
      <c r="B1007" s="10" t="s">
        <v>1397</v>
      </c>
      <c r="C1007" s="11" t="s">
        <v>180</v>
      </c>
      <c r="F1007" s="9">
        <v>104351</v>
      </c>
      <c r="G1007" s="6">
        <f t="shared" si="23"/>
        <v>-104351</v>
      </c>
      <c r="H1007" s="79"/>
    </row>
    <row r="1008" spans="1:8" x14ac:dyDescent="0.25">
      <c r="A1008" s="266">
        <v>43356</v>
      </c>
      <c r="B1008" s="10" t="s">
        <v>3401</v>
      </c>
      <c r="C1008" s="11" t="s">
        <v>180</v>
      </c>
      <c r="F1008" s="9">
        <v>25920</v>
      </c>
      <c r="G1008" s="6">
        <f t="shared" ref="G1008:G1092" si="24">E1008-F1008</f>
        <v>-25920</v>
      </c>
      <c r="H1008" s="79" t="s">
        <v>3894</v>
      </c>
    </row>
    <row r="1009" spans="1:8" x14ac:dyDescent="0.25">
      <c r="A1009" s="266">
        <v>43356</v>
      </c>
      <c r="B1009" s="10" t="s">
        <v>2787</v>
      </c>
      <c r="C1009" s="11" t="s">
        <v>180</v>
      </c>
      <c r="F1009" s="9">
        <v>107830</v>
      </c>
      <c r="G1009" s="6">
        <f t="shared" si="24"/>
        <v>-107830</v>
      </c>
      <c r="H1009" s="79"/>
    </row>
    <row r="1010" spans="1:8" x14ac:dyDescent="0.25">
      <c r="A1010" s="266">
        <v>43356</v>
      </c>
      <c r="B1010" s="41" t="s">
        <v>3622</v>
      </c>
      <c r="C1010" s="11" t="s">
        <v>180</v>
      </c>
      <c r="F1010" s="9">
        <f>599810-F1005-F1006-F1007-F1008-F1009</f>
        <v>319659</v>
      </c>
      <c r="G1010" s="6">
        <f t="shared" si="24"/>
        <v>-319659</v>
      </c>
      <c r="H1010" s="80"/>
    </row>
    <row r="1011" spans="1:8" x14ac:dyDescent="0.25">
      <c r="A1011" s="266">
        <v>43357</v>
      </c>
      <c r="B1011" s="10" t="s">
        <v>1400</v>
      </c>
      <c r="C1011" s="11" t="s">
        <v>1815</v>
      </c>
      <c r="F1011" s="9">
        <v>1000000</v>
      </c>
      <c r="G1011" s="6">
        <f t="shared" si="24"/>
        <v>-1000000</v>
      </c>
      <c r="H1011" s="78" t="s">
        <v>3896</v>
      </c>
    </row>
    <row r="1012" spans="1:8" x14ac:dyDescent="0.25">
      <c r="A1012" s="266">
        <v>43370</v>
      </c>
      <c r="B1012" s="41" t="s">
        <v>3622</v>
      </c>
      <c r="C1012" s="11" t="s">
        <v>166</v>
      </c>
      <c r="E1012" s="8">
        <v>59200</v>
      </c>
      <c r="G1012" s="6">
        <f t="shared" si="24"/>
        <v>59200</v>
      </c>
    </row>
    <row r="1013" spans="1:8" x14ac:dyDescent="0.25">
      <c r="A1013" s="266">
        <v>43370</v>
      </c>
      <c r="B1013" s="41" t="s">
        <v>3622</v>
      </c>
      <c r="C1013" s="11" t="s">
        <v>166</v>
      </c>
      <c r="E1013" s="8">
        <v>59200</v>
      </c>
      <c r="G1013" s="6">
        <f t="shared" si="24"/>
        <v>59200</v>
      </c>
    </row>
    <row r="1014" spans="1:8" x14ac:dyDescent="0.25">
      <c r="A1014" s="266">
        <v>43358</v>
      </c>
      <c r="B1014" s="10" t="s">
        <v>1400</v>
      </c>
      <c r="C1014" s="11" t="s">
        <v>166</v>
      </c>
      <c r="E1014" s="8">
        <v>1776981</v>
      </c>
      <c r="G1014" s="6">
        <f t="shared" si="24"/>
        <v>1776981</v>
      </c>
    </row>
    <row r="1015" spans="1:8" x14ac:dyDescent="0.25">
      <c r="A1015" s="266">
        <v>43358</v>
      </c>
      <c r="B1015" s="41" t="s">
        <v>3622</v>
      </c>
      <c r="C1015" s="11" t="s">
        <v>166</v>
      </c>
      <c r="E1015" s="8">
        <v>59200</v>
      </c>
      <c r="G1015" s="6">
        <f t="shared" si="24"/>
        <v>59200</v>
      </c>
    </row>
    <row r="1016" spans="1:8" x14ac:dyDescent="0.25">
      <c r="A1016" s="266">
        <v>43292</v>
      </c>
      <c r="B1016" s="10" t="s">
        <v>1400</v>
      </c>
      <c r="C1016" s="11" t="s">
        <v>166</v>
      </c>
      <c r="F1016" s="9">
        <v>1000000</v>
      </c>
      <c r="G1016" s="6">
        <f t="shared" si="24"/>
        <v>-1000000</v>
      </c>
      <c r="H1016" s="31" t="s">
        <v>3687</v>
      </c>
    </row>
    <row r="1017" spans="1:8" x14ac:dyDescent="0.25">
      <c r="A1017" s="266">
        <v>43370</v>
      </c>
      <c r="B1017" s="10" t="s">
        <v>3733</v>
      </c>
      <c r="C1017" s="11" t="s">
        <v>180</v>
      </c>
      <c r="E1017" s="8">
        <v>121875</v>
      </c>
      <c r="G1017" s="6">
        <f t="shared" si="24"/>
        <v>121875</v>
      </c>
    </row>
    <row r="1018" spans="1:8" x14ac:dyDescent="0.25">
      <c r="A1018" s="266">
        <v>43344</v>
      </c>
      <c r="B1018" s="10" t="s">
        <v>2652</v>
      </c>
      <c r="C1018" s="11" t="s">
        <v>1803</v>
      </c>
      <c r="E1018" s="8">
        <v>271266</v>
      </c>
      <c r="G1018" s="6">
        <f t="shared" si="24"/>
        <v>271266</v>
      </c>
    </row>
    <row r="1019" spans="1:8" x14ac:dyDescent="0.25">
      <c r="A1019" s="266">
        <v>43361</v>
      </c>
      <c r="B1019" s="10" t="s">
        <v>2652</v>
      </c>
      <c r="C1019" s="11" t="s">
        <v>1803</v>
      </c>
      <c r="E1019" s="8">
        <v>1881</v>
      </c>
      <c r="G1019" s="6">
        <f t="shared" si="24"/>
        <v>1881</v>
      </c>
    </row>
    <row r="1020" spans="1:8" x14ac:dyDescent="0.25">
      <c r="A1020" s="266">
        <v>43365</v>
      </c>
      <c r="B1020" s="10" t="s">
        <v>2652</v>
      </c>
      <c r="C1020" s="11" t="s">
        <v>1803</v>
      </c>
      <c r="E1020" s="8">
        <v>66105</v>
      </c>
      <c r="G1020" s="6">
        <f t="shared" si="24"/>
        <v>66105</v>
      </c>
    </row>
    <row r="1021" spans="1:8" x14ac:dyDescent="0.25">
      <c r="A1021" s="266">
        <v>43365</v>
      </c>
      <c r="B1021" s="10" t="s">
        <v>1400</v>
      </c>
      <c r="C1021" s="11" t="s">
        <v>1803</v>
      </c>
      <c r="E1021" s="8">
        <v>11974</v>
      </c>
      <c r="G1021" s="6">
        <f t="shared" si="24"/>
        <v>11974</v>
      </c>
    </row>
    <row r="1022" spans="1:8" x14ac:dyDescent="0.25">
      <c r="A1022" s="266">
        <v>43370</v>
      </c>
      <c r="B1022" s="10" t="s">
        <v>1400</v>
      </c>
      <c r="C1022" s="11" t="s">
        <v>1803</v>
      </c>
      <c r="E1022" s="8">
        <v>1798</v>
      </c>
      <c r="G1022" s="6">
        <f t="shared" si="24"/>
        <v>1798</v>
      </c>
    </row>
    <row r="1023" spans="1:8" x14ac:dyDescent="0.25">
      <c r="A1023" s="266">
        <v>43372</v>
      </c>
      <c r="B1023" s="10" t="s">
        <v>2787</v>
      </c>
      <c r="C1023" s="11" t="s">
        <v>169</v>
      </c>
      <c r="E1023" s="109"/>
      <c r="F1023" s="110">
        <v>53365</v>
      </c>
      <c r="G1023" s="6">
        <f t="shared" si="24"/>
        <v>-53365</v>
      </c>
      <c r="H1023" s="78"/>
    </row>
    <row r="1024" spans="1:8" x14ac:dyDescent="0.25">
      <c r="A1024" s="266">
        <v>43372</v>
      </c>
      <c r="B1024" s="10" t="s">
        <v>1400</v>
      </c>
      <c r="C1024" s="11" t="s">
        <v>169</v>
      </c>
      <c r="E1024" s="109"/>
      <c r="F1024" s="112">
        <v>21635</v>
      </c>
      <c r="G1024" s="6">
        <f t="shared" si="24"/>
        <v>-21635</v>
      </c>
      <c r="H1024" s="79" t="s">
        <v>3919</v>
      </c>
    </row>
    <row r="1025" spans="1:8" x14ac:dyDescent="0.25">
      <c r="A1025" s="266">
        <v>43374</v>
      </c>
      <c r="B1025" s="10" t="s">
        <v>2652</v>
      </c>
      <c r="C1025" s="11" t="s">
        <v>1803</v>
      </c>
      <c r="F1025" s="9">
        <v>784000</v>
      </c>
      <c r="G1025" s="6">
        <f t="shared" si="24"/>
        <v>-784000</v>
      </c>
      <c r="H1025" s="31" t="s">
        <v>3928</v>
      </c>
    </row>
    <row r="1026" spans="1:8" x14ac:dyDescent="0.25">
      <c r="A1026" s="266">
        <v>43374</v>
      </c>
      <c r="B1026" s="10" t="s">
        <v>2652</v>
      </c>
      <c r="C1026" s="11" t="s">
        <v>1803</v>
      </c>
      <c r="F1026" s="9">
        <v>500000</v>
      </c>
      <c r="G1026" s="6">
        <f t="shared" si="24"/>
        <v>-500000</v>
      </c>
      <c r="H1026" s="31" t="s">
        <v>3929</v>
      </c>
    </row>
    <row r="1027" spans="1:8" x14ac:dyDescent="0.25">
      <c r="A1027" s="266">
        <v>43374</v>
      </c>
      <c r="B1027" s="10" t="s">
        <v>1400</v>
      </c>
      <c r="C1027" s="11" t="s">
        <v>166</v>
      </c>
      <c r="F1027" s="9">
        <v>600000</v>
      </c>
      <c r="G1027" s="6">
        <f t="shared" si="24"/>
        <v>-600000</v>
      </c>
      <c r="H1027" s="13" t="s">
        <v>3935</v>
      </c>
    </row>
    <row r="1028" spans="1:8" x14ac:dyDescent="0.25">
      <c r="A1028" s="266">
        <v>43370</v>
      </c>
      <c r="B1028" s="41" t="s">
        <v>3622</v>
      </c>
      <c r="C1028" s="11" t="s">
        <v>166</v>
      </c>
      <c r="E1028" s="8">
        <v>21500</v>
      </c>
      <c r="G1028" s="6">
        <f t="shared" si="24"/>
        <v>21500</v>
      </c>
    </row>
    <row r="1029" spans="1:8" x14ac:dyDescent="0.25">
      <c r="A1029" s="266">
        <v>43370</v>
      </c>
      <c r="B1029" s="10" t="s">
        <v>3733</v>
      </c>
      <c r="C1029" s="11" t="s">
        <v>166</v>
      </c>
      <c r="E1029" s="8">
        <v>21200</v>
      </c>
      <c r="G1029" s="6">
        <f t="shared" si="24"/>
        <v>21200</v>
      </c>
    </row>
    <row r="1030" spans="1:8" x14ac:dyDescent="0.25">
      <c r="A1030" s="266">
        <v>43374</v>
      </c>
      <c r="B1030" s="41" t="s">
        <v>3622</v>
      </c>
      <c r="C1030" s="11" t="s">
        <v>166</v>
      </c>
      <c r="E1030" s="8">
        <v>59200</v>
      </c>
      <c r="G1030" s="6">
        <f t="shared" si="24"/>
        <v>59200</v>
      </c>
    </row>
    <row r="1031" spans="1:8" x14ac:dyDescent="0.25">
      <c r="A1031" s="266">
        <v>43374</v>
      </c>
      <c r="B1031" s="41" t="s">
        <v>3622</v>
      </c>
      <c r="C1031" s="11" t="s">
        <v>166</v>
      </c>
      <c r="E1031" s="109"/>
      <c r="F1031" s="111">
        <v>472900</v>
      </c>
      <c r="G1031" s="6">
        <f t="shared" si="24"/>
        <v>-472900</v>
      </c>
      <c r="H1031" s="78"/>
    </row>
    <row r="1032" spans="1:8" x14ac:dyDescent="0.25">
      <c r="A1032" s="266">
        <v>43374</v>
      </c>
      <c r="B1032" s="10" t="s">
        <v>1400</v>
      </c>
      <c r="C1032" s="11" t="s">
        <v>166</v>
      </c>
      <c r="E1032" s="109"/>
      <c r="F1032" s="111">
        <v>325125</v>
      </c>
      <c r="G1032" s="6">
        <f t="shared" si="24"/>
        <v>-325125</v>
      </c>
      <c r="H1032" s="79" t="s">
        <v>3948</v>
      </c>
    </row>
    <row r="1033" spans="1:8" x14ac:dyDescent="0.25">
      <c r="A1033" s="266">
        <v>43374</v>
      </c>
      <c r="B1033" s="10" t="s">
        <v>3733</v>
      </c>
      <c r="C1033" s="11" t="s">
        <v>166</v>
      </c>
      <c r="E1033" s="109"/>
      <c r="F1033" s="112">
        <f>806000-F1032-F1031</f>
        <v>7975</v>
      </c>
      <c r="G1033" s="6">
        <f t="shared" si="24"/>
        <v>-7975</v>
      </c>
      <c r="H1033" s="80"/>
    </row>
    <row r="1034" spans="1:8" x14ac:dyDescent="0.25">
      <c r="A1034" s="266">
        <v>43346</v>
      </c>
      <c r="B1034" s="10" t="s">
        <v>1400</v>
      </c>
      <c r="C1034" s="11" t="s">
        <v>166</v>
      </c>
      <c r="D1034" s="773"/>
      <c r="E1034" s="22">
        <v>98790</v>
      </c>
      <c r="F1034" s="280"/>
      <c r="G1034" s="6">
        <f t="shared" si="24"/>
        <v>98790</v>
      </c>
    </row>
    <row r="1035" spans="1:8" x14ac:dyDescent="0.25">
      <c r="A1035" s="266">
        <v>43383</v>
      </c>
      <c r="B1035" s="10" t="s">
        <v>3733</v>
      </c>
      <c r="C1035" s="11" t="s">
        <v>180</v>
      </c>
      <c r="D1035" s="773"/>
      <c r="E1035" s="283">
        <v>46840</v>
      </c>
      <c r="F1035" s="280"/>
      <c r="G1035" s="6">
        <f t="shared" si="24"/>
        <v>46840</v>
      </c>
    </row>
    <row r="1036" spans="1:8" x14ac:dyDescent="0.25">
      <c r="A1036" s="266">
        <v>43383</v>
      </c>
      <c r="B1036" s="10" t="s">
        <v>2933</v>
      </c>
      <c r="C1036" s="11" t="s">
        <v>180</v>
      </c>
      <c r="E1036" s="109"/>
      <c r="F1036" s="110">
        <v>500000</v>
      </c>
      <c r="G1036" s="6">
        <f t="shared" si="24"/>
        <v>-500000</v>
      </c>
      <c r="H1036" s="31" t="s">
        <v>3957</v>
      </c>
    </row>
    <row r="1037" spans="1:8" x14ac:dyDescent="0.25">
      <c r="A1037" s="266">
        <v>43383</v>
      </c>
      <c r="B1037" s="10" t="s">
        <v>2933</v>
      </c>
      <c r="C1037" s="11" t="s">
        <v>180</v>
      </c>
      <c r="E1037" s="109"/>
      <c r="F1037" s="112">
        <v>500000</v>
      </c>
      <c r="G1037" s="6">
        <f t="shared" si="24"/>
        <v>-500000</v>
      </c>
      <c r="H1037" s="31" t="s">
        <v>3956</v>
      </c>
    </row>
    <row r="1038" spans="1:8" x14ac:dyDescent="0.25">
      <c r="A1038" s="266">
        <v>43383</v>
      </c>
      <c r="B1038" s="10" t="s">
        <v>2652</v>
      </c>
      <c r="C1038" s="11" t="s">
        <v>1803</v>
      </c>
      <c r="E1038" s="109"/>
      <c r="F1038" s="110">
        <v>207927</v>
      </c>
      <c r="G1038" s="6">
        <f t="shared" si="24"/>
        <v>-207927</v>
      </c>
      <c r="H1038" s="7" t="s">
        <v>4033</v>
      </c>
    </row>
    <row r="1039" spans="1:8" x14ac:dyDescent="0.25">
      <c r="A1039" s="266">
        <v>43383</v>
      </c>
      <c r="B1039" s="10" t="s">
        <v>1400</v>
      </c>
      <c r="C1039" s="11" t="s">
        <v>1803</v>
      </c>
      <c r="E1039" s="109"/>
      <c r="F1039" s="112">
        <v>150637</v>
      </c>
      <c r="G1039" s="6">
        <f t="shared" si="24"/>
        <v>-150637</v>
      </c>
      <c r="H1039" s="7" t="s">
        <v>4033</v>
      </c>
    </row>
    <row r="1040" spans="1:8" x14ac:dyDescent="0.25">
      <c r="A1040" s="266">
        <v>43388</v>
      </c>
      <c r="B1040" s="10" t="s">
        <v>1400</v>
      </c>
      <c r="C1040" s="11" t="s">
        <v>1815</v>
      </c>
      <c r="D1040" s="773"/>
      <c r="E1040" s="281">
        <v>128475</v>
      </c>
      <c r="F1040" s="280"/>
      <c r="G1040" s="6">
        <f t="shared" si="24"/>
        <v>128475</v>
      </c>
    </row>
    <row r="1041" spans="1:8" x14ac:dyDescent="0.25">
      <c r="A1041" s="266">
        <v>43388</v>
      </c>
      <c r="B1041" s="10" t="s">
        <v>1400</v>
      </c>
      <c r="C1041" s="11" t="s">
        <v>1815</v>
      </c>
      <c r="D1041" s="773"/>
      <c r="E1041" s="283">
        <v>103000</v>
      </c>
      <c r="F1041" s="280"/>
      <c r="G1041" s="6">
        <f t="shared" si="24"/>
        <v>103000</v>
      </c>
    </row>
    <row r="1042" spans="1:8" x14ac:dyDescent="0.25">
      <c r="A1042" s="266">
        <v>43372</v>
      </c>
      <c r="B1042" s="10" t="s">
        <v>1400</v>
      </c>
      <c r="C1042" s="11" t="s">
        <v>164</v>
      </c>
      <c r="D1042" s="773"/>
      <c r="E1042" s="22">
        <v>4358</v>
      </c>
      <c r="F1042" s="280"/>
      <c r="G1042" s="6">
        <f t="shared" si="24"/>
        <v>4358</v>
      </c>
    </row>
    <row r="1043" spans="1:8" x14ac:dyDescent="0.25">
      <c r="A1043" s="266">
        <v>43372</v>
      </c>
      <c r="B1043" s="41" t="s">
        <v>3622</v>
      </c>
      <c r="C1043" s="11" t="s">
        <v>166</v>
      </c>
      <c r="D1043" s="773"/>
      <c r="E1043" s="281">
        <v>59200</v>
      </c>
      <c r="F1043" s="280"/>
      <c r="G1043" s="6">
        <f t="shared" si="24"/>
        <v>59200</v>
      </c>
    </row>
    <row r="1044" spans="1:8" x14ac:dyDescent="0.25">
      <c r="A1044" s="266">
        <v>43372</v>
      </c>
      <c r="B1044" s="10" t="s">
        <v>3733</v>
      </c>
      <c r="C1044" s="11" t="s">
        <v>166</v>
      </c>
      <c r="D1044" s="773"/>
      <c r="E1044" s="283">
        <v>8800</v>
      </c>
      <c r="F1044" s="280"/>
      <c r="G1044" s="6">
        <f t="shared" si="24"/>
        <v>8800</v>
      </c>
    </row>
    <row r="1045" spans="1:8" x14ac:dyDescent="0.25">
      <c r="A1045" s="266">
        <v>43389</v>
      </c>
      <c r="B1045" s="10" t="s">
        <v>1400</v>
      </c>
      <c r="C1045" s="11" t="s">
        <v>1815</v>
      </c>
      <c r="D1045" s="773"/>
      <c r="E1045" s="22">
        <v>27380</v>
      </c>
      <c r="F1045" s="280"/>
      <c r="G1045" s="6">
        <f t="shared" si="24"/>
        <v>27380</v>
      </c>
    </row>
    <row r="1046" spans="1:8" x14ac:dyDescent="0.25">
      <c r="A1046" s="266">
        <v>43389</v>
      </c>
      <c r="B1046" s="10" t="s">
        <v>2652</v>
      </c>
      <c r="C1046" s="11" t="s">
        <v>1803</v>
      </c>
      <c r="D1046" s="773"/>
      <c r="E1046" s="281">
        <v>7300</v>
      </c>
      <c r="F1046" s="280"/>
      <c r="G1046" s="6">
        <f t="shared" si="24"/>
        <v>7300</v>
      </c>
    </row>
    <row r="1047" spans="1:8" x14ac:dyDescent="0.25">
      <c r="A1047" s="266">
        <v>43389</v>
      </c>
      <c r="B1047" s="10" t="s">
        <v>1400</v>
      </c>
      <c r="C1047" s="11" t="s">
        <v>1803</v>
      </c>
      <c r="D1047" s="773"/>
      <c r="E1047" s="282">
        <v>1798</v>
      </c>
      <c r="F1047" s="280"/>
      <c r="G1047" s="6">
        <f t="shared" si="24"/>
        <v>1798</v>
      </c>
    </row>
    <row r="1048" spans="1:8" x14ac:dyDescent="0.25">
      <c r="A1048" s="266">
        <v>43389</v>
      </c>
      <c r="B1048" s="10" t="s">
        <v>1400</v>
      </c>
      <c r="C1048" s="11" t="s">
        <v>1803</v>
      </c>
      <c r="D1048" s="773"/>
      <c r="E1048" s="282">
        <v>4320</v>
      </c>
      <c r="F1048" s="280"/>
      <c r="G1048" s="6">
        <f t="shared" si="24"/>
        <v>4320</v>
      </c>
    </row>
    <row r="1049" spans="1:8" x14ac:dyDescent="0.25">
      <c r="A1049" s="266">
        <v>43389</v>
      </c>
      <c r="B1049" s="10" t="s">
        <v>1400</v>
      </c>
      <c r="C1049" s="11" t="s">
        <v>1803</v>
      </c>
      <c r="D1049" s="773"/>
      <c r="E1049" s="282">
        <v>680</v>
      </c>
      <c r="F1049" s="280"/>
      <c r="G1049" s="6">
        <f t="shared" si="24"/>
        <v>680</v>
      </c>
    </row>
    <row r="1050" spans="1:8" x14ac:dyDescent="0.25">
      <c r="A1050" s="266">
        <v>43389</v>
      </c>
      <c r="B1050" s="10" t="s">
        <v>2652</v>
      </c>
      <c r="C1050" s="11" t="s">
        <v>1803</v>
      </c>
      <c r="D1050" s="773"/>
      <c r="E1050" s="282">
        <v>15490</v>
      </c>
      <c r="F1050" s="280"/>
      <c r="G1050" s="6">
        <f t="shared" si="24"/>
        <v>15490</v>
      </c>
    </row>
    <row r="1051" spans="1:8" x14ac:dyDescent="0.25">
      <c r="A1051" s="266">
        <v>43389</v>
      </c>
      <c r="B1051" s="10" t="s">
        <v>1400</v>
      </c>
      <c r="C1051" s="11" t="s">
        <v>1803</v>
      </c>
      <c r="D1051" s="773"/>
      <c r="E1051" s="283">
        <v>7440</v>
      </c>
      <c r="F1051" s="280"/>
      <c r="G1051" s="6">
        <f t="shared" si="24"/>
        <v>7440</v>
      </c>
    </row>
    <row r="1052" spans="1:8" x14ac:dyDescent="0.25">
      <c r="A1052" s="266">
        <v>43391</v>
      </c>
      <c r="B1052" s="10" t="s">
        <v>1400</v>
      </c>
      <c r="C1052" s="11" t="s">
        <v>1815</v>
      </c>
      <c r="F1052" s="9">
        <v>500000</v>
      </c>
      <c r="G1052" s="6">
        <f t="shared" si="24"/>
        <v>-500000</v>
      </c>
      <c r="H1052" s="31" t="s">
        <v>4091</v>
      </c>
    </row>
    <row r="1053" spans="1:8" x14ac:dyDescent="0.25">
      <c r="A1053" s="266">
        <v>43391</v>
      </c>
      <c r="B1053" s="10" t="s">
        <v>1400</v>
      </c>
      <c r="C1053" s="11" t="s">
        <v>1803</v>
      </c>
      <c r="F1053" s="9">
        <v>142013</v>
      </c>
      <c r="G1053" s="6">
        <f t="shared" si="24"/>
        <v>-142013</v>
      </c>
      <c r="H1053" s="78"/>
    </row>
    <row r="1054" spans="1:8" x14ac:dyDescent="0.25">
      <c r="A1054" s="266">
        <v>43391</v>
      </c>
      <c r="B1054" s="10" t="s">
        <v>2652</v>
      </c>
      <c r="C1054" s="11" t="s">
        <v>1803</v>
      </c>
      <c r="F1054" s="9">
        <v>285845</v>
      </c>
      <c r="G1054" s="6">
        <f t="shared" si="24"/>
        <v>-285845</v>
      </c>
      <c r="H1054" s="79" t="s">
        <v>4091</v>
      </c>
    </row>
    <row r="1055" spans="1:8" x14ac:dyDescent="0.25">
      <c r="A1055" s="266">
        <v>43391</v>
      </c>
      <c r="B1055" s="10" t="s">
        <v>2652</v>
      </c>
      <c r="C1055" s="11" t="s">
        <v>1803</v>
      </c>
      <c r="F1055" s="9">
        <f>686000-F1054-F1053</f>
        <v>258142</v>
      </c>
      <c r="G1055" s="6">
        <f t="shared" si="24"/>
        <v>-258142</v>
      </c>
      <c r="H1055" s="79"/>
    </row>
    <row r="1056" spans="1:8" x14ac:dyDescent="0.25">
      <c r="A1056" s="266">
        <v>43391</v>
      </c>
      <c r="B1056" s="10" t="s">
        <v>1400</v>
      </c>
      <c r="C1056" s="11" t="s">
        <v>166</v>
      </c>
      <c r="F1056" s="9">
        <v>152489</v>
      </c>
      <c r="G1056" s="6">
        <f t="shared" si="24"/>
        <v>-152489</v>
      </c>
      <c r="H1056" s="78"/>
    </row>
    <row r="1057" spans="1:8" x14ac:dyDescent="0.25">
      <c r="A1057" s="266">
        <v>43391</v>
      </c>
      <c r="B1057" s="41" t="s">
        <v>2787</v>
      </c>
      <c r="C1057" s="11" t="s">
        <v>166</v>
      </c>
      <c r="F1057" s="9">
        <v>44094</v>
      </c>
      <c r="G1057" s="6">
        <f t="shared" si="24"/>
        <v>-44094</v>
      </c>
      <c r="H1057" s="79"/>
    </row>
    <row r="1058" spans="1:8" x14ac:dyDescent="0.25">
      <c r="A1058" s="266">
        <v>43391</v>
      </c>
      <c r="B1058" s="10" t="s">
        <v>3733</v>
      </c>
      <c r="C1058" s="11" t="s">
        <v>166</v>
      </c>
      <c r="F1058" s="9">
        <v>194441</v>
      </c>
      <c r="G1058" s="6">
        <f t="shared" si="24"/>
        <v>-194441</v>
      </c>
      <c r="H1058" s="79"/>
    </row>
    <row r="1059" spans="1:8" x14ac:dyDescent="0.25">
      <c r="A1059" s="266">
        <v>43391</v>
      </c>
      <c r="B1059" s="10" t="s">
        <v>2652</v>
      </c>
      <c r="C1059" s="11" t="s">
        <v>166</v>
      </c>
      <c r="F1059" s="9">
        <v>40100</v>
      </c>
      <c r="G1059" s="6">
        <f t="shared" si="24"/>
        <v>-40100</v>
      </c>
      <c r="H1059" s="79" t="s">
        <v>4091</v>
      </c>
    </row>
    <row r="1060" spans="1:8" x14ac:dyDescent="0.25">
      <c r="A1060" s="266">
        <v>43391</v>
      </c>
      <c r="B1060" s="10" t="s">
        <v>3622</v>
      </c>
      <c r="C1060" s="11" t="s">
        <v>166</v>
      </c>
      <c r="F1060" s="9">
        <v>153600</v>
      </c>
      <c r="G1060" s="6">
        <f t="shared" si="24"/>
        <v>-153600</v>
      </c>
      <c r="H1060" s="79"/>
    </row>
    <row r="1061" spans="1:8" x14ac:dyDescent="0.25">
      <c r="A1061" s="266">
        <v>43391</v>
      </c>
      <c r="B1061" s="10" t="s">
        <v>1400</v>
      </c>
      <c r="C1061" s="11" t="s">
        <v>166</v>
      </c>
      <c r="F1061" s="9">
        <f>700000-F1062-F1060-F1059-F1058-F1057-F1056</f>
        <v>25276</v>
      </c>
      <c r="G1061" s="6">
        <f t="shared" si="24"/>
        <v>-25276</v>
      </c>
      <c r="H1061" s="79"/>
    </row>
    <row r="1062" spans="1:8" x14ac:dyDescent="0.25">
      <c r="A1062" s="266">
        <v>43391</v>
      </c>
      <c r="B1062" s="10" t="s">
        <v>2933</v>
      </c>
      <c r="C1062" s="11" t="s">
        <v>166</v>
      </c>
      <c r="F1062" s="9">
        <v>90000</v>
      </c>
      <c r="G1062" s="6">
        <f t="shared" si="24"/>
        <v>-90000</v>
      </c>
      <c r="H1062" s="80"/>
    </row>
    <row r="1063" spans="1:8" x14ac:dyDescent="0.25">
      <c r="A1063" s="266">
        <v>43400</v>
      </c>
      <c r="B1063" s="10" t="s">
        <v>2933</v>
      </c>
      <c r="C1063" s="11" t="s">
        <v>180</v>
      </c>
      <c r="E1063" s="8">
        <v>2464000</v>
      </c>
      <c r="G1063" s="6">
        <f t="shared" si="24"/>
        <v>2464000</v>
      </c>
    </row>
    <row r="1064" spans="1:8" x14ac:dyDescent="0.25">
      <c r="A1064" s="266">
        <v>43400</v>
      </c>
      <c r="B1064" s="10" t="s">
        <v>3733</v>
      </c>
      <c r="C1064" s="11" t="s">
        <v>161</v>
      </c>
      <c r="E1064" s="8">
        <v>35376</v>
      </c>
      <c r="G1064" s="6">
        <f t="shared" si="24"/>
        <v>35376</v>
      </c>
    </row>
    <row r="1065" spans="1:8" x14ac:dyDescent="0.25">
      <c r="A1065" s="266">
        <v>43400</v>
      </c>
      <c r="B1065" s="10" t="s">
        <v>2787</v>
      </c>
      <c r="C1065" s="11" t="s">
        <v>3011</v>
      </c>
      <c r="F1065" s="9">
        <v>38432</v>
      </c>
      <c r="G1065" s="6">
        <f t="shared" si="24"/>
        <v>-38432</v>
      </c>
      <c r="H1065" s="78"/>
    </row>
    <row r="1066" spans="1:8" x14ac:dyDescent="0.25">
      <c r="A1066" s="266">
        <v>43400</v>
      </c>
      <c r="B1066" s="10" t="s">
        <v>2933</v>
      </c>
      <c r="C1066" s="11" t="s">
        <v>3011</v>
      </c>
      <c r="F1066" s="9">
        <f>50000-F1065</f>
        <v>11568</v>
      </c>
      <c r="G1066" s="6">
        <f t="shared" si="24"/>
        <v>-11568</v>
      </c>
      <c r="H1066" s="80" t="s">
        <v>4143</v>
      </c>
    </row>
    <row r="1067" spans="1:8" ht="16.5" thickBot="1" x14ac:dyDescent="0.3">
      <c r="A1067" s="266">
        <v>43410</v>
      </c>
      <c r="B1067" s="10" t="s">
        <v>2933</v>
      </c>
      <c r="C1067" s="11" t="s">
        <v>180</v>
      </c>
      <c r="F1067" s="9">
        <v>1000000</v>
      </c>
      <c r="G1067" s="6">
        <f t="shared" si="24"/>
        <v>-1000000</v>
      </c>
      <c r="H1067" s="80" t="s">
        <v>4156</v>
      </c>
    </row>
    <row r="1068" spans="1:8" x14ac:dyDescent="0.25">
      <c r="A1068" s="266">
        <v>43410</v>
      </c>
      <c r="B1068" s="10" t="s">
        <v>1400</v>
      </c>
      <c r="C1068" s="11" t="s">
        <v>1815</v>
      </c>
      <c r="E1068" s="292">
        <v>135880</v>
      </c>
      <c r="G1068" s="6">
        <f t="shared" si="24"/>
        <v>135880</v>
      </c>
    </row>
    <row r="1069" spans="1:8" x14ac:dyDescent="0.25">
      <c r="A1069" s="266">
        <v>43410</v>
      </c>
      <c r="B1069" s="10" t="s">
        <v>1400</v>
      </c>
      <c r="C1069" s="11" t="s">
        <v>1815</v>
      </c>
      <c r="E1069" s="8">
        <v>15332</v>
      </c>
      <c r="G1069" s="6">
        <f t="shared" si="24"/>
        <v>15332</v>
      </c>
    </row>
    <row r="1070" spans="1:8" x14ac:dyDescent="0.25">
      <c r="A1070" s="266">
        <v>43410</v>
      </c>
      <c r="B1070" s="10" t="s">
        <v>1400</v>
      </c>
      <c r="C1070" s="11" t="s">
        <v>1815</v>
      </c>
      <c r="E1070" s="8">
        <v>41120</v>
      </c>
      <c r="G1070" s="6">
        <f t="shared" si="24"/>
        <v>41120</v>
      </c>
    </row>
    <row r="1071" spans="1:8" ht="16.5" thickBot="1" x14ac:dyDescent="0.3">
      <c r="A1071" s="266">
        <v>43410</v>
      </c>
      <c r="B1071" s="10" t="s">
        <v>1400</v>
      </c>
      <c r="C1071" s="11" t="s">
        <v>1815</v>
      </c>
      <c r="E1071" s="293">
        <v>173696</v>
      </c>
      <c r="G1071" s="6">
        <f t="shared" si="24"/>
        <v>173696</v>
      </c>
    </row>
    <row r="1072" spans="1:8" ht="16.5" thickBot="1" x14ac:dyDescent="0.3">
      <c r="A1072" s="266">
        <v>43410</v>
      </c>
      <c r="B1072" s="10" t="s">
        <v>2933</v>
      </c>
      <c r="C1072" s="11" t="s">
        <v>3011</v>
      </c>
      <c r="E1072" s="292">
        <v>218805</v>
      </c>
      <c r="G1072" s="6">
        <f t="shared" si="24"/>
        <v>218805</v>
      </c>
    </row>
    <row r="1073" spans="1:8" x14ac:dyDescent="0.25">
      <c r="A1073" s="266">
        <v>43414</v>
      </c>
      <c r="B1073" s="10" t="s">
        <v>2652</v>
      </c>
      <c r="C1073" s="11" t="s">
        <v>1803</v>
      </c>
      <c r="D1073" s="773"/>
      <c r="E1073" s="292">
        <v>29089</v>
      </c>
      <c r="F1073" s="280"/>
      <c r="G1073" s="6">
        <f t="shared" si="24"/>
        <v>29089</v>
      </c>
    </row>
    <row r="1074" spans="1:8" x14ac:dyDescent="0.25">
      <c r="A1074" s="266">
        <v>43414</v>
      </c>
      <c r="B1074" s="10" t="s">
        <v>3733</v>
      </c>
      <c r="C1074" s="11" t="s">
        <v>1803</v>
      </c>
      <c r="D1074" s="773"/>
      <c r="E1074" s="8">
        <v>2039</v>
      </c>
      <c r="F1074" s="280"/>
      <c r="G1074" s="6">
        <f t="shared" si="24"/>
        <v>2039</v>
      </c>
    </row>
    <row r="1075" spans="1:8" x14ac:dyDescent="0.25">
      <c r="A1075" s="266">
        <v>43414</v>
      </c>
      <c r="B1075" s="10" t="s">
        <v>2933</v>
      </c>
      <c r="C1075" s="11" t="s">
        <v>1803</v>
      </c>
      <c r="D1075" s="773"/>
      <c r="E1075" s="8">
        <v>113159</v>
      </c>
      <c r="F1075" s="280"/>
      <c r="G1075" s="6">
        <f t="shared" si="24"/>
        <v>113159</v>
      </c>
    </row>
    <row r="1076" spans="1:8" x14ac:dyDescent="0.25">
      <c r="A1076" s="266">
        <v>43414</v>
      </c>
      <c r="B1076" s="10" t="s">
        <v>1400</v>
      </c>
      <c r="C1076" s="11" t="s">
        <v>1803</v>
      </c>
      <c r="D1076" s="773"/>
      <c r="E1076" s="8">
        <v>4179</v>
      </c>
      <c r="F1076" s="280"/>
      <c r="G1076" s="6">
        <f t="shared" si="24"/>
        <v>4179</v>
      </c>
    </row>
    <row r="1077" spans="1:8" x14ac:dyDescent="0.25">
      <c r="A1077" s="266">
        <v>43414</v>
      </c>
      <c r="B1077" s="10" t="s">
        <v>2933</v>
      </c>
      <c r="C1077" s="11" t="s">
        <v>1803</v>
      </c>
      <c r="D1077" s="773"/>
      <c r="E1077" s="8">
        <v>28884</v>
      </c>
      <c r="F1077" s="280"/>
      <c r="G1077" s="6">
        <f t="shared" si="24"/>
        <v>28884</v>
      </c>
    </row>
    <row r="1078" spans="1:8" x14ac:dyDescent="0.25">
      <c r="A1078" s="266">
        <v>43414</v>
      </c>
      <c r="B1078" s="10" t="s">
        <v>2652</v>
      </c>
      <c r="C1078" s="11" t="s">
        <v>1803</v>
      </c>
      <c r="D1078" s="773"/>
      <c r="E1078" s="8">
        <v>9985</v>
      </c>
      <c r="F1078" s="280"/>
      <c r="G1078" s="6">
        <f t="shared" si="24"/>
        <v>9985</v>
      </c>
    </row>
    <row r="1079" spans="1:8" x14ac:dyDescent="0.25">
      <c r="A1079" s="266">
        <v>43414</v>
      </c>
      <c r="B1079" s="10" t="s">
        <v>1400</v>
      </c>
      <c r="C1079" s="11" t="s">
        <v>1803</v>
      </c>
      <c r="D1079" s="773"/>
      <c r="E1079" s="8">
        <v>38080</v>
      </c>
      <c r="F1079" s="280"/>
      <c r="G1079" s="6">
        <f t="shared" si="24"/>
        <v>38080</v>
      </c>
    </row>
    <row r="1080" spans="1:8" x14ac:dyDescent="0.25">
      <c r="A1080" s="266">
        <v>43414</v>
      </c>
      <c r="B1080" s="10" t="s">
        <v>2652</v>
      </c>
      <c r="C1080" s="11" t="s">
        <v>1803</v>
      </c>
      <c r="D1080" s="773"/>
      <c r="E1080" s="8">
        <v>2376</v>
      </c>
      <c r="F1080" s="280"/>
      <c r="G1080" s="6">
        <f t="shared" si="24"/>
        <v>2376</v>
      </c>
    </row>
    <row r="1081" spans="1:8" x14ac:dyDescent="0.25">
      <c r="A1081" s="266">
        <v>43414</v>
      </c>
      <c r="B1081" s="10" t="s">
        <v>1400</v>
      </c>
      <c r="C1081" s="11" t="s">
        <v>1803</v>
      </c>
      <c r="D1081" s="773"/>
      <c r="E1081" s="8">
        <v>9053</v>
      </c>
      <c r="F1081" s="280"/>
      <c r="G1081" s="6">
        <f t="shared" si="24"/>
        <v>9053</v>
      </c>
    </row>
    <row r="1082" spans="1:8" x14ac:dyDescent="0.25">
      <c r="A1082" s="266">
        <v>43414</v>
      </c>
      <c r="B1082" s="10" t="s">
        <v>2652</v>
      </c>
      <c r="C1082" s="11" t="s">
        <v>1803</v>
      </c>
      <c r="D1082" s="773"/>
      <c r="E1082" s="8">
        <v>37796</v>
      </c>
      <c r="F1082" s="280"/>
      <c r="G1082" s="6">
        <f t="shared" si="24"/>
        <v>37796</v>
      </c>
    </row>
    <row r="1083" spans="1:8" ht="16.5" thickBot="1" x14ac:dyDescent="0.3">
      <c r="A1083" s="266">
        <v>43414</v>
      </c>
      <c r="B1083" s="10" t="s">
        <v>1400</v>
      </c>
      <c r="C1083" s="11" t="s">
        <v>1803</v>
      </c>
      <c r="D1083" s="773"/>
      <c r="E1083" s="293">
        <v>19052</v>
      </c>
      <c r="F1083" s="280"/>
      <c r="G1083" s="6">
        <f t="shared" si="24"/>
        <v>19052</v>
      </c>
    </row>
    <row r="1084" spans="1:8" ht="16.5" thickBot="1" x14ac:dyDescent="0.3">
      <c r="A1084" s="266">
        <v>43414</v>
      </c>
      <c r="B1084" s="10" t="s">
        <v>1400</v>
      </c>
      <c r="C1084" s="11" t="s">
        <v>164</v>
      </c>
      <c r="D1084" s="773"/>
      <c r="E1084" s="294">
        <v>34736</v>
      </c>
      <c r="F1084" s="280"/>
      <c r="G1084" s="6">
        <f t="shared" si="24"/>
        <v>34736</v>
      </c>
    </row>
    <row r="1085" spans="1:8" x14ac:dyDescent="0.25">
      <c r="A1085" s="266">
        <v>43414</v>
      </c>
      <c r="B1085" s="10" t="s">
        <v>1400</v>
      </c>
      <c r="C1085" s="11" t="s">
        <v>166</v>
      </c>
      <c r="E1085" s="292">
        <v>40000</v>
      </c>
      <c r="G1085" s="6">
        <f t="shared" si="24"/>
        <v>40000</v>
      </c>
      <c r="H1085" s="7" t="s">
        <v>4206</v>
      </c>
    </row>
    <row r="1086" spans="1:8" ht="16.5" thickBot="1" x14ac:dyDescent="0.3">
      <c r="A1086" s="266">
        <v>43414</v>
      </c>
      <c r="B1086" s="10" t="s">
        <v>1400</v>
      </c>
      <c r="C1086" s="11" t="s">
        <v>166</v>
      </c>
      <c r="E1086" s="293">
        <v>12216</v>
      </c>
      <c r="G1086" s="6">
        <f t="shared" si="24"/>
        <v>12216</v>
      </c>
    </row>
    <row r="1087" spans="1:8" x14ac:dyDescent="0.25">
      <c r="A1087" s="266">
        <v>43421</v>
      </c>
      <c r="B1087" s="10" t="s">
        <v>3622</v>
      </c>
      <c r="C1087" s="11" t="s">
        <v>166</v>
      </c>
      <c r="E1087" s="8">
        <v>22200</v>
      </c>
      <c r="G1087" s="6">
        <f t="shared" si="24"/>
        <v>22200</v>
      </c>
    </row>
    <row r="1088" spans="1:8" x14ac:dyDescent="0.25">
      <c r="A1088" s="266">
        <v>43433</v>
      </c>
      <c r="B1088" s="10" t="s">
        <v>2933</v>
      </c>
      <c r="C1088" s="11" t="s">
        <v>3011</v>
      </c>
      <c r="F1088" s="9">
        <v>207000</v>
      </c>
      <c r="G1088" s="6">
        <f t="shared" si="24"/>
        <v>-207000</v>
      </c>
      <c r="H1088" s="31" t="s">
        <v>4201</v>
      </c>
    </row>
    <row r="1089" spans="1:8" x14ac:dyDescent="0.25">
      <c r="A1089" s="266">
        <v>43433</v>
      </c>
      <c r="B1089" s="10" t="s">
        <v>2933</v>
      </c>
      <c r="C1089" s="11" t="s">
        <v>3011</v>
      </c>
      <c r="F1089" s="9">
        <v>237</v>
      </c>
      <c r="G1089" s="6">
        <f t="shared" si="24"/>
        <v>-237</v>
      </c>
      <c r="H1089" s="124"/>
    </row>
    <row r="1090" spans="1:8" x14ac:dyDescent="0.25">
      <c r="A1090" s="266">
        <v>43433</v>
      </c>
      <c r="B1090" s="10" t="s">
        <v>1400</v>
      </c>
      <c r="C1090" s="11" t="s">
        <v>164</v>
      </c>
      <c r="E1090" s="8">
        <v>1221</v>
      </c>
      <c r="G1090" s="6">
        <f t="shared" si="24"/>
        <v>1221</v>
      </c>
    </row>
    <row r="1091" spans="1:8" x14ac:dyDescent="0.25">
      <c r="A1091" s="266">
        <v>43442</v>
      </c>
      <c r="B1091" s="10" t="s">
        <v>3622</v>
      </c>
      <c r="C1091" s="11" t="s">
        <v>166</v>
      </c>
      <c r="E1091" s="8">
        <v>13000</v>
      </c>
      <c r="G1091" s="6">
        <f t="shared" si="24"/>
        <v>13000</v>
      </c>
    </row>
    <row r="1092" spans="1:8" x14ac:dyDescent="0.25">
      <c r="A1092" s="266">
        <v>43442</v>
      </c>
      <c r="B1092" s="10" t="s">
        <v>2652</v>
      </c>
      <c r="C1092" s="11" t="s">
        <v>1803</v>
      </c>
      <c r="E1092" s="9">
        <v>12145</v>
      </c>
      <c r="G1092" s="6">
        <f t="shared" si="24"/>
        <v>12145</v>
      </c>
    </row>
    <row r="1093" spans="1:8" x14ac:dyDescent="0.25">
      <c r="A1093" s="266">
        <v>43442</v>
      </c>
      <c r="B1093" s="10" t="s">
        <v>1400</v>
      </c>
      <c r="C1093" s="11" t="s">
        <v>1803</v>
      </c>
      <c r="E1093" s="9">
        <v>3300</v>
      </c>
      <c r="G1093" s="6">
        <f t="shared" ref="G1093:G1202" si="25">E1093-F1093</f>
        <v>3300</v>
      </c>
    </row>
    <row r="1094" spans="1:8" x14ac:dyDescent="0.25">
      <c r="A1094" s="266">
        <v>43442</v>
      </c>
      <c r="B1094" s="10" t="s">
        <v>2933</v>
      </c>
      <c r="C1094" s="11" t="s">
        <v>1803</v>
      </c>
      <c r="E1094" s="9">
        <v>9450</v>
      </c>
      <c r="G1094" s="6">
        <f t="shared" si="25"/>
        <v>9450</v>
      </c>
    </row>
    <row r="1095" spans="1:8" x14ac:dyDescent="0.25">
      <c r="A1095" s="266">
        <v>43442</v>
      </c>
      <c r="B1095" s="10" t="s">
        <v>2652</v>
      </c>
      <c r="C1095" s="11" t="s">
        <v>1803</v>
      </c>
      <c r="E1095" s="9">
        <v>2988</v>
      </c>
      <c r="G1095" s="6">
        <f t="shared" si="25"/>
        <v>2988</v>
      </c>
    </row>
    <row r="1096" spans="1:8" x14ac:dyDescent="0.25">
      <c r="A1096" s="266">
        <v>43442</v>
      </c>
      <c r="B1096" s="10" t="s">
        <v>1400</v>
      </c>
      <c r="C1096" s="11" t="s">
        <v>1803</v>
      </c>
      <c r="E1096" s="9">
        <v>2250</v>
      </c>
      <c r="G1096" s="6">
        <f t="shared" si="25"/>
        <v>2250</v>
      </c>
    </row>
    <row r="1097" spans="1:8" x14ac:dyDescent="0.25">
      <c r="A1097" s="266">
        <v>43442</v>
      </c>
      <c r="B1097" s="10" t="s">
        <v>1400</v>
      </c>
      <c r="C1097" s="11" t="s">
        <v>1803</v>
      </c>
      <c r="E1097" s="9">
        <v>12526</v>
      </c>
      <c r="G1097" s="6">
        <f t="shared" si="25"/>
        <v>12526</v>
      </c>
    </row>
    <row r="1098" spans="1:8" x14ac:dyDescent="0.25">
      <c r="A1098" s="266">
        <v>43442</v>
      </c>
      <c r="B1098" s="10" t="s">
        <v>1400</v>
      </c>
      <c r="C1098" s="11" t="s">
        <v>1803</v>
      </c>
      <c r="E1098" s="9">
        <v>4560</v>
      </c>
      <c r="G1098" s="6">
        <f t="shared" si="25"/>
        <v>4560</v>
      </c>
    </row>
    <row r="1099" spans="1:8" x14ac:dyDescent="0.25">
      <c r="A1099" s="266">
        <v>43442</v>
      </c>
      <c r="B1099" s="10" t="s">
        <v>2652</v>
      </c>
      <c r="C1099" s="11" t="s">
        <v>1803</v>
      </c>
      <c r="E1099" s="9">
        <v>87188</v>
      </c>
      <c r="G1099" s="6">
        <f t="shared" si="25"/>
        <v>87188</v>
      </c>
    </row>
    <row r="1100" spans="1:8" x14ac:dyDescent="0.25">
      <c r="A1100" s="266">
        <v>43442</v>
      </c>
      <c r="B1100" s="10" t="s">
        <v>1400</v>
      </c>
      <c r="C1100" s="11" t="s">
        <v>1803</v>
      </c>
      <c r="E1100" s="9">
        <v>16560</v>
      </c>
      <c r="G1100" s="6">
        <f t="shared" si="25"/>
        <v>16560</v>
      </c>
    </row>
    <row r="1101" spans="1:8" x14ac:dyDescent="0.25">
      <c r="A1101" s="266">
        <v>43442</v>
      </c>
      <c r="B1101" s="10" t="s">
        <v>2933</v>
      </c>
      <c r="C1101" s="11" t="s">
        <v>3011</v>
      </c>
      <c r="E1101" s="8">
        <v>42500</v>
      </c>
      <c r="G1101" s="6">
        <f t="shared" si="25"/>
        <v>42500</v>
      </c>
    </row>
    <row r="1102" spans="1:8" x14ac:dyDescent="0.25">
      <c r="A1102" s="266">
        <v>43442</v>
      </c>
      <c r="B1102" s="10" t="s">
        <v>2787</v>
      </c>
      <c r="C1102" s="11" t="s">
        <v>3011</v>
      </c>
      <c r="E1102" s="8">
        <v>42500</v>
      </c>
      <c r="G1102" s="6">
        <f t="shared" si="25"/>
        <v>42500</v>
      </c>
    </row>
    <row r="1103" spans="1:8" x14ac:dyDescent="0.25">
      <c r="A1103" s="266">
        <v>43442</v>
      </c>
      <c r="B1103" s="10" t="s">
        <v>3733</v>
      </c>
      <c r="C1103" s="11" t="s">
        <v>3011</v>
      </c>
      <c r="E1103" s="8">
        <v>75000</v>
      </c>
      <c r="G1103" s="6">
        <f t="shared" si="25"/>
        <v>75000</v>
      </c>
    </row>
    <row r="1104" spans="1:8" x14ac:dyDescent="0.25">
      <c r="A1104" s="266">
        <v>43442</v>
      </c>
      <c r="B1104" s="10" t="s">
        <v>2652</v>
      </c>
      <c r="C1104" s="11" t="s">
        <v>3011</v>
      </c>
      <c r="E1104" s="8">
        <v>30000</v>
      </c>
      <c r="G1104" s="6">
        <f t="shared" si="25"/>
        <v>30000</v>
      </c>
    </row>
    <row r="1105" spans="1:7" x14ac:dyDescent="0.25">
      <c r="A1105" s="266">
        <v>43456</v>
      </c>
      <c r="B1105" s="10" t="s">
        <v>1400</v>
      </c>
      <c r="C1105" s="11" t="s">
        <v>166</v>
      </c>
      <c r="E1105" s="8">
        <v>14308</v>
      </c>
      <c r="G1105" s="6">
        <f t="shared" si="25"/>
        <v>14308</v>
      </c>
    </row>
    <row r="1106" spans="1:7" x14ac:dyDescent="0.25">
      <c r="A1106" s="266">
        <v>43456</v>
      </c>
      <c r="B1106" s="10" t="s">
        <v>2652</v>
      </c>
      <c r="C1106" s="11" t="s">
        <v>1803</v>
      </c>
      <c r="E1106" s="8">
        <v>9381</v>
      </c>
      <c r="G1106" s="6">
        <f t="shared" si="25"/>
        <v>9381</v>
      </c>
    </row>
    <row r="1107" spans="1:7" x14ac:dyDescent="0.25">
      <c r="A1107" s="266">
        <v>43456</v>
      </c>
      <c r="B1107" s="10" t="s">
        <v>2652</v>
      </c>
      <c r="C1107" s="11" t="s">
        <v>1803</v>
      </c>
      <c r="E1107" s="8">
        <v>77473</v>
      </c>
      <c r="G1107" s="6">
        <f t="shared" si="25"/>
        <v>77473</v>
      </c>
    </row>
    <row r="1108" spans="1:7" x14ac:dyDescent="0.25">
      <c r="A1108" s="266">
        <v>43456</v>
      </c>
      <c r="B1108" s="10" t="s">
        <v>2652</v>
      </c>
      <c r="C1108" s="11" t="s">
        <v>1803</v>
      </c>
      <c r="E1108" s="8">
        <v>138695</v>
      </c>
      <c r="G1108" s="6">
        <f t="shared" si="25"/>
        <v>138695</v>
      </c>
    </row>
    <row r="1109" spans="1:7" x14ac:dyDescent="0.25">
      <c r="A1109" s="266">
        <v>43456</v>
      </c>
      <c r="B1109" s="10" t="s">
        <v>2652</v>
      </c>
      <c r="C1109" s="11" t="s">
        <v>1803</v>
      </c>
      <c r="E1109" s="8">
        <v>31694</v>
      </c>
      <c r="G1109" s="6">
        <f t="shared" si="25"/>
        <v>31694</v>
      </c>
    </row>
    <row r="1110" spans="1:7" x14ac:dyDescent="0.25">
      <c r="A1110" s="266">
        <v>43456</v>
      </c>
      <c r="B1110" s="10" t="s">
        <v>2652</v>
      </c>
      <c r="C1110" s="11" t="s">
        <v>1803</v>
      </c>
      <c r="E1110" s="8">
        <v>34809</v>
      </c>
      <c r="G1110" s="6">
        <f t="shared" si="25"/>
        <v>34809</v>
      </c>
    </row>
    <row r="1111" spans="1:7" x14ac:dyDescent="0.25">
      <c r="A1111" s="266">
        <v>43456</v>
      </c>
      <c r="B1111" s="10" t="s">
        <v>2652</v>
      </c>
      <c r="C1111" s="11" t="s">
        <v>1803</v>
      </c>
      <c r="E1111" s="8">
        <v>34809</v>
      </c>
      <c r="G1111" s="6">
        <f t="shared" si="25"/>
        <v>34809</v>
      </c>
    </row>
    <row r="1112" spans="1:7" x14ac:dyDescent="0.25">
      <c r="A1112" s="266">
        <v>43456</v>
      </c>
      <c r="B1112" s="10" t="s">
        <v>2652</v>
      </c>
      <c r="C1112" s="11" t="s">
        <v>1803</v>
      </c>
      <c r="E1112" s="8">
        <v>12792</v>
      </c>
      <c r="G1112" s="6">
        <f t="shared" si="25"/>
        <v>12792</v>
      </c>
    </row>
    <row r="1113" spans="1:7" x14ac:dyDescent="0.25">
      <c r="A1113" s="266">
        <v>43466</v>
      </c>
      <c r="B1113" s="10" t="s">
        <v>1400</v>
      </c>
      <c r="C1113" s="11" t="s">
        <v>1815</v>
      </c>
      <c r="E1113" s="8">
        <v>99008</v>
      </c>
      <c r="G1113" s="6">
        <f t="shared" si="25"/>
        <v>99008</v>
      </c>
    </row>
    <row r="1114" spans="1:7" x14ac:dyDescent="0.25">
      <c r="A1114" s="266">
        <v>43466</v>
      </c>
      <c r="B1114" s="10" t="s">
        <v>2787</v>
      </c>
      <c r="C1114" s="11" t="s">
        <v>166</v>
      </c>
      <c r="E1114" s="8">
        <v>7878</v>
      </c>
      <c r="G1114" s="6">
        <f t="shared" si="25"/>
        <v>7878</v>
      </c>
    </row>
    <row r="1115" spans="1:7" x14ac:dyDescent="0.25">
      <c r="A1115" s="266">
        <v>43466</v>
      </c>
      <c r="B1115" s="10" t="s">
        <v>2933</v>
      </c>
      <c r="C1115" s="11" t="s">
        <v>166</v>
      </c>
      <c r="E1115" s="8">
        <v>10000</v>
      </c>
      <c r="G1115" s="6">
        <f t="shared" si="25"/>
        <v>10000</v>
      </c>
    </row>
    <row r="1116" spans="1:7" x14ac:dyDescent="0.25">
      <c r="A1116" s="266">
        <v>43470</v>
      </c>
      <c r="B1116" s="10" t="s">
        <v>1400</v>
      </c>
      <c r="C1116" s="11" t="s">
        <v>1803</v>
      </c>
      <c r="E1116" s="8">
        <v>5840</v>
      </c>
      <c r="G1116" s="6">
        <f t="shared" si="25"/>
        <v>5840</v>
      </c>
    </row>
    <row r="1117" spans="1:7" x14ac:dyDescent="0.25">
      <c r="A1117" s="266">
        <v>43470</v>
      </c>
      <c r="B1117" s="10" t="s">
        <v>1400</v>
      </c>
      <c r="C1117" s="11" t="s">
        <v>1803</v>
      </c>
      <c r="E1117" s="8">
        <v>3148</v>
      </c>
      <c r="G1117" s="6">
        <f t="shared" si="25"/>
        <v>3148</v>
      </c>
    </row>
    <row r="1118" spans="1:7" x14ac:dyDescent="0.25">
      <c r="A1118" s="266">
        <v>43470</v>
      </c>
      <c r="B1118" s="10" t="s">
        <v>1400</v>
      </c>
      <c r="C1118" s="11" t="s">
        <v>1803</v>
      </c>
      <c r="E1118" s="8">
        <v>9792</v>
      </c>
      <c r="G1118" s="6">
        <f t="shared" si="25"/>
        <v>9792</v>
      </c>
    </row>
    <row r="1119" spans="1:7" x14ac:dyDescent="0.25">
      <c r="A1119" s="266">
        <v>43470</v>
      </c>
      <c r="B1119" s="10" t="s">
        <v>2652</v>
      </c>
      <c r="C1119" s="11" t="s">
        <v>1803</v>
      </c>
      <c r="E1119" s="8">
        <v>41724</v>
      </c>
      <c r="G1119" s="6">
        <f t="shared" si="25"/>
        <v>41724</v>
      </c>
    </row>
    <row r="1120" spans="1:7" x14ac:dyDescent="0.25">
      <c r="A1120" s="266">
        <v>43470</v>
      </c>
      <c r="B1120" s="10" t="s">
        <v>1400</v>
      </c>
      <c r="C1120" s="11" t="s">
        <v>1803</v>
      </c>
      <c r="E1120" s="8">
        <v>7814</v>
      </c>
      <c r="G1120" s="6">
        <f t="shared" si="25"/>
        <v>7814</v>
      </c>
    </row>
    <row r="1121" spans="1:8" x14ac:dyDescent="0.25">
      <c r="A1121" s="266">
        <v>43470</v>
      </c>
      <c r="B1121" s="10" t="s">
        <v>2652</v>
      </c>
      <c r="C1121" s="11" t="s">
        <v>1803</v>
      </c>
      <c r="E1121" s="8">
        <v>93325</v>
      </c>
      <c r="G1121" s="6">
        <f t="shared" si="25"/>
        <v>93325</v>
      </c>
    </row>
    <row r="1122" spans="1:8" x14ac:dyDescent="0.25">
      <c r="A1122" s="266">
        <v>43470</v>
      </c>
      <c r="B1122" s="10" t="s">
        <v>2652</v>
      </c>
      <c r="C1122" s="11" t="s">
        <v>1803</v>
      </c>
      <c r="E1122" s="8">
        <v>2505</v>
      </c>
      <c r="G1122" s="6">
        <f t="shared" si="25"/>
        <v>2505</v>
      </c>
    </row>
    <row r="1123" spans="1:8" ht="16.5" thickBot="1" x14ac:dyDescent="0.3">
      <c r="A1123" s="266">
        <v>43470</v>
      </c>
      <c r="B1123" s="10" t="s">
        <v>2652</v>
      </c>
      <c r="C1123" s="11" t="s">
        <v>1803</v>
      </c>
      <c r="E1123" s="8">
        <v>137108</v>
      </c>
      <c r="G1123" s="6">
        <f t="shared" si="25"/>
        <v>137108</v>
      </c>
    </row>
    <row r="1124" spans="1:8" x14ac:dyDescent="0.25">
      <c r="A1124" s="266">
        <v>43470</v>
      </c>
      <c r="B1124" s="10" t="s">
        <v>3733</v>
      </c>
      <c r="C1124" s="11" t="s">
        <v>3011</v>
      </c>
      <c r="F1124" s="295">
        <v>75000</v>
      </c>
      <c r="G1124" s="6">
        <f t="shared" si="25"/>
        <v>-75000</v>
      </c>
      <c r="H1124" s="78"/>
    </row>
    <row r="1125" spans="1:8" x14ac:dyDescent="0.25">
      <c r="A1125" s="266">
        <v>43470</v>
      </c>
      <c r="B1125" s="10" t="s">
        <v>2933</v>
      </c>
      <c r="C1125" s="11" t="s">
        <v>3011</v>
      </c>
      <c r="F1125" s="9">
        <v>42500</v>
      </c>
      <c r="G1125" s="6">
        <f t="shared" si="25"/>
        <v>-42500</v>
      </c>
      <c r="H1125" s="79" t="s">
        <v>4359</v>
      </c>
    </row>
    <row r="1126" spans="1:8" x14ac:dyDescent="0.25">
      <c r="A1126" s="266">
        <v>43470</v>
      </c>
      <c r="B1126" s="10" t="s">
        <v>2787</v>
      </c>
      <c r="C1126" s="11" t="s">
        <v>3011</v>
      </c>
      <c r="F1126" s="9">
        <v>42500</v>
      </c>
      <c r="G1126" s="6">
        <f t="shared" si="25"/>
        <v>-42500</v>
      </c>
      <c r="H1126" s="79"/>
    </row>
    <row r="1127" spans="1:8" ht="16.5" thickBot="1" x14ac:dyDescent="0.3">
      <c r="A1127" s="266">
        <v>43470</v>
      </c>
      <c r="B1127" s="10" t="s">
        <v>2652</v>
      </c>
      <c r="C1127" s="11" t="s">
        <v>3011</v>
      </c>
      <c r="F1127" s="296">
        <v>30000</v>
      </c>
      <c r="G1127" s="6">
        <f t="shared" si="25"/>
        <v>-30000</v>
      </c>
      <c r="H1127" s="80"/>
    </row>
    <row r="1128" spans="1:8" x14ac:dyDescent="0.25">
      <c r="A1128" s="266">
        <v>43473</v>
      </c>
      <c r="B1128" s="10" t="s">
        <v>1400</v>
      </c>
      <c r="C1128" s="11" t="s">
        <v>1815</v>
      </c>
      <c r="E1128" s="109"/>
      <c r="F1128" s="111">
        <v>400000</v>
      </c>
      <c r="G1128" s="6">
        <f t="shared" si="25"/>
        <v>-400000</v>
      </c>
      <c r="H1128" s="78" t="s">
        <v>4376</v>
      </c>
    </row>
    <row r="1129" spans="1:8" x14ac:dyDescent="0.25">
      <c r="A1129" s="266">
        <v>43473</v>
      </c>
      <c r="B1129" s="10" t="s">
        <v>1400</v>
      </c>
      <c r="C1129" s="11" t="s">
        <v>166</v>
      </c>
      <c r="E1129" s="109"/>
      <c r="F1129" s="19">
        <v>300000</v>
      </c>
      <c r="G1129" s="6">
        <f t="shared" si="25"/>
        <v>-300000</v>
      </c>
      <c r="H1129" s="31" t="s">
        <v>4376</v>
      </c>
    </row>
    <row r="1130" spans="1:8" ht="16.5" thickBot="1" x14ac:dyDescent="0.3">
      <c r="A1130" s="266">
        <v>43473</v>
      </c>
      <c r="B1130" s="10" t="s">
        <v>2652</v>
      </c>
      <c r="C1130" s="11" t="s">
        <v>1803</v>
      </c>
      <c r="E1130" s="109"/>
      <c r="F1130" s="19">
        <v>405000</v>
      </c>
      <c r="G1130" s="6">
        <f t="shared" si="25"/>
        <v>-405000</v>
      </c>
      <c r="H1130" s="31" t="s">
        <v>4376</v>
      </c>
    </row>
    <row r="1131" spans="1:8" x14ac:dyDescent="0.25">
      <c r="A1131" s="266">
        <v>43480</v>
      </c>
      <c r="B1131" s="10" t="s">
        <v>2933</v>
      </c>
      <c r="C1131" s="11" t="s">
        <v>180</v>
      </c>
      <c r="E1131" s="109"/>
      <c r="F1131" s="295">
        <v>500000</v>
      </c>
      <c r="G1131" s="6">
        <f t="shared" si="25"/>
        <v>-500000</v>
      </c>
      <c r="H1131" s="78" t="s">
        <v>4394</v>
      </c>
    </row>
    <row r="1132" spans="1:8" x14ac:dyDescent="0.25">
      <c r="A1132" s="266">
        <v>43480</v>
      </c>
      <c r="B1132" s="10" t="s">
        <v>2933</v>
      </c>
      <c r="C1132" s="11" t="s">
        <v>180</v>
      </c>
      <c r="E1132" s="109"/>
      <c r="F1132" s="9">
        <f>500000-F1133-F1134</f>
        <v>72064</v>
      </c>
      <c r="G1132" s="6">
        <f t="shared" si="25"/>
        <v>-72064</v>
      </c>
      <c r="H1132" s="78"/>
    </row>
    <row r="1133" spans="1:8" x14ac:dyDescent="0.25">
      <c r="A1133" s="266">
        <v>43480</v>
      </c>
      <c r="B1133" s="10" t="s">
        <v>3622</v>
      </c>
      <c r="C1133" s="11" t="s">
        <v>180</v>
      </c>
      <c r="E1133" s="109"/>
      <c r="F1133" s="9">
        <v>259221</v>
      </c>
      <c r="G1133" s="6">
        <f t="shared" si="25"/>
        <v>-259221</v>
      </c>
      <c r="H1133" s="79" t="s">
        <v>4395</v>
      </c>
    </row>
    <row r="1134" spans="1:8" x14ac:dyDescent="0.25">
      <c r="A1134" s="266">
        <v>43480</v>
      </c>
      <c r="B1134" s="10" t="s">
        <v>3733</v>
      </c>
      <c r="C1134" s="11" t="s">
        <v>180</v>
      </c>
      <c r="E1134" s="109"/>
      <c r="F1134" s="9">
        <v>168715</v>
      </c>
      <c r="G1134" s="6">
        <f t="shared" si="25"/>
        <v>-168715</v>
      </c>
      <c r="H1134" s="80"/>
    </row>
    <row r="1135" spans="1:8" ht="16.5" thickBot="1" x14ac:dyDescent="0.3">
      <c r="A1135" s="266">
        <v>43480</v>
      </c>
      <c r="B1135" s="10" t="s">
        <v>2933</v>
      </c>
      <c r="C1135" s="11" t="s">
        <v>180</v>
      </c>
      <c r="E1135" s="109"/>
      <c r="F1135" s="296">
        <v>400000</v>
      </c>
      <c r="G1135" s="6">
        <f t="shared" si="25"/>
        <v>-400000</v>
      </c>
      <c r="H1135" s="80" t="s">
        <v>4396</v>
      </c>
    </row>
    <row r="1136" spans="1:8" x14ac:dyDescent="0.25">
      <c r="A1136" s="266">
        <v>43480</v>
      </c>
      <c r="B1136" s="10" t="s">
        <v>1400</v>
      </c>
      <c r="C1136" s="11" t="s">
        <v>164</v>
      </c>
      <c r="E1136" s="8">
        <v>28596</v>
      </c>
      <c r="G1136" s="6">
        <f t="shared" si="25"/>
        <v>28596</v>
      </c>
    </row>
    <row r="1137" spans="1:8" x14ac:dyDescent="0.25">
      <c r="A1137" s="266">
        <v>43481</v>
      </c>
      <c r="B1137" s="10" t="s">
        <v>1400</v>
      </c>
      <c r="C1137" s="11" t="s">
        <v>164</v>
      </c>
      <c r="F1137" s="9">
        <v>75000</v>
      </c>
      <c r="G1137" s="6">
        <f t="shared" si="25"/>
        <v>-75000</v>
      </c>
      <c r="H1137" s="31" t="s">
        <v>4406</v>
      </c>
    </row>
    <row r="1138" spans="1:8" x14ac:dyDescent="0.25">
      <c r="A1138" s="266">
        <v>43489</v>
      </c>
      <c r="B1138" s="10" t="s">
        <v>2652</v>
      </c>
      <c r="C1138" s="11" t="s">
        <v>1803</v>
      </c>
      <c r="E1138" s="8">
        <v>92310</v>
      </c>
      <c r="G1138" s="6">
        <f t="shared" si="25"/>
        <v>92310</v>
      </c>
    </row>
    <row r="1139" spans="1:8" x14ac:dyDescent="0.25">
      <c r="A1139" s="266">
        <v>43489</v>
      </c>
      <c r="B1139" s="10" t="s">
        <v>2652</v>
      </c>
      <c r="C1139" s="11" t="s">
        <v>1803</v>
      </c>
      <c r="E1139" s="8">
        <v>2968</v>
      </c>
      <c r="G1139" s="6">
        <f t="shared" si="25"/>
        <v>2968</v>
      </c>
    </row>
    <row r="1140" spans="1:8" x14ac:dyDescent="0.25">
      <c r="A1140" s="266">
        <v>43491</v>
      </c>
      <c r="B1140" s="10" t="s">
        <v>2652</v>
      </c>
      <c r="C1140" s="11" t="s">
        <v>1803</v>
      </c>
      <c r="E1140" s="109"/>
      <c r="F1140" s="19">
        <v>2505</v>
      </c>
      <c r="G1140" s="6">
        <f t="shared" si="25"/>
        <v>-2505</v>
      </c>
      <c r="H1140" s="7" t="s">
        <v>4470</v>
      </c>
    </row>
    <row r="1141" spans="1:8" x14ac:dyDescent="0.25">
      <c r="A1141" s="266">
        <v>43480</v>
      </c>
      <c r="B1141" s="10" t="s">
        <v>1400</v>
      </c>
      <c r="C1141" s="11" t="s">
        <v>166</v>
      </c>
      <c r="D1141" s="773"/>
      <c r="E1141" s="281">
        <v>80400</v>
      </c>
      <c r="F1141" s="280"/>
      <c r="G1141" s="6">
        <f t="shared" si="25"/>
        <v>80400</v>
      </c>
    </row>
    <row r="1142" spans="1:8" x14ac:dyDescent="0.25">
      <c r="A1142" s="266">
        <v>43480</v>
      </c>
      <c r="B1142" s="10" t="s">
        <v>2787</v>
      </c>
      <c r="C1142" s="11" t="s">
        <v>166</v>
      </c>
      <c r="D1142" s="773"/>
      <c r="E1142" s="282">
        <v>4800</v>
      </c>
      <c r="F1142" s="280"/>
      <c r="G1142" s="6">
        <f t="shared" si="25"/>
        <v>4800</v>
      </c>
    </row>
    <row r="1143" spans="1:8" x14ac:dyDescent="0.25">
      <c r="A1143" s="266">
        <v>43480</v>
      </c>
      <c r="B1143" s="10" t="s">
        <v>2787</v>
      </c>
      <c r="C1143" s="11" t="s">
        <v>166</v>
      </c>
      <c r="D1143" s="773"/>
      <c r="E1143" s="282">
        <v>4800</v>
      </c>
      <c r="F1143" s="280"/>
      <c r="G1143" s="6">
        <f t="shared" si="25"/>
        <v>4800</v>
      </c>
    </row>
    <row r="1144" spans="1:8" x14ac:dyDescent="0.25">
      <c r="A1144" s="266">
        <v>43480</v>
      </c>
      <c r="B1144" s="10" t="s">
        <v>3733</v>
      </c>
      <c r="C1144" s="11" t="s">
        <v>166</v>
      </c>
      <c r="D1144" s="773"/>
      <c r="E1144" s="282">
        <v>27600</v>
      </c>
      <c r="F1144" s="280"/>
      <c r="G1144" s="6">
        <f t="shared" si="25"/>
        <v>27600</v>
      </c>
    </row>
    <row r="1145" spans="1:8" x14ac:dyDescent="0.25">
      <c r="A1145" s="266">
        <v>43480</v>
      </c>
      <c r="B1145" s="10" t="s">
        <v>2787</v>
      </c>
      <c r="C1145" s="11" t="s">
        <v>166</v>
      </c>
      <c r="D1145" s="773"/>
      <c r="E1145" s="282">
        <v>3816</v>
      </c>
      <c r="F1145" s="280"/>
      <c r="G1145" s="6">
        <f t="shared" si="25"/>
        <v>3816</v>
      </c>
    </row>
    <row r="1146" spans="1:8" x14ac:dyDescent="0.25">
      <c r="A1146" s="266">
        <v>43480</v>
      </c>
      <c r="B1146" s="10" t="s">
        <v>1400</v>
      </c>
      <c r="C1146" s="11" t="s">
        <v>166</v>
      </c>
      <c r="D1146" s="773"/>
      <c r="E1146" s="282">
        <v>60775</v>
      </c>
      <c r="F1146" s="280"/>
      <c r="G1146" s="6">
        <f t="shared" si="25"/>
        <v>60775</v>
      </c>
    </row>
    <row r="1147" spans="1:8" x14ac:dyDescent="0.25">
      <c r="A1147" s="266">
        <v>43480</v>
      </c>
      <c r="B1147" s="10" t="s">
        <v>2787</v>
      </c>
      <c r="C1147" s="11" t="s">
        <v>166</v>
      </c>
      <c r="D1147" s="773"/>
      <c r="E1147" s="282">
        <v>22800</v>
      </c>
      <c r="F1147" s="280"/>
      <c r="G1147" s="6">
        <f t="shared" si="25"/>
        <v>22800</v>
      </c>
    </row>
    <row r="1148" spans="1:8" x14ac:dyDescent="0.25">
      <c r="A1148" s="266">
        <v>43480</v>
      </c>
      <c r="B1148" s="10" t="s">
        <v>1400</v>
      </c>
      <c r="C1148" s="11" t="s">
        <v>166</v>
      </c>
      <c r="D1148" s="773"/>
      <c r="E1148" s="282">
        <v>40000</v>
      </c>
      <c r="F1148" s="280"/>
      <c r="G1148" s="6">
        <f t="shared" si="25"/>
        <v>40000</v>
      </c>
    </row>
    <row r="1149" spans="1:8" x14ac:dyDescent="0.25">
      <c r="A1149" s="266">
        <v>43480</v>
      </c>
      <c r="B1149" s="10" t="s">
        <v>1400</v>
      </c>
      <c r="C1149" s="11" t="s">
        <v>166</v>
      </c>
      <c r="D1149" s="773"/>
      <c r="E1149" s="282">
        <v>10000</v>
      </c>
      <c r="F1149" s="280"/>
      <c r="G1149" s="6">
        <f t="shared" si="25"/>
        <v>10000</v>
      </c>
    </row>
    <row r="1150" spans="1:8" x14ac:dyDescent="0.25">
      <c r="A1150" s="266">
        <v>43493</v>
      </c>
      <c r="B1150" s="10" t="s">
        <v>1400</v>
      </c>
      <c r="C1150" s="11" t="s">
        <v>1815</v>
      </c>
      <c r="D1150" s="773"/>
      <c r="E1150" s="22">
        <v>218756</v>
      </c>
      <c r="F1150" s="280"/>
      <c r="G1150" s="6">
        <f t="shared" si="25"/>
        <v>218756</v>
      </c>
    </row>
    <row r="1151" spans="1:8" x14ac:dyDescent="0.25">
      <c r="A1151" s="266">
        <v>43495</v>
      </c>
      <c r="B1151" s="10" t="s">
        <v>2933</v>
      </c>
      <c r="C1151" s="11" t="s">
        <v>180</v>
      </c>
      <c r="D1151" s="773"/>
      <c r="E1151" s="22">
        <v>160000</v>
      </c>
      <c r="F1151" s="280"/>
      <c r="G1151" s="6">
        <f t="shared" si="25"/>
        <v>160000</v>
      </c>
    </row>
    <row r="1152" spans="1:8" x14ac:dyDescent="0.25">
      <c r="A1152" s="266">
        <v>43495</v>
      </c>
      <c r="B1152" s="10" t="s">
        <v>2652</v>
      </c>
      <c r="C1152" s="11" t="s">
        <v>3011</v>
      </c>
      <c r="D1152" s="773"/>
      <c r="E1152" s="281">
        <v>90000</v>
      </c>
      <c r="F1152" s="280"/>
      <c r="G1152" s="6">
        <f t="shared" si="25"/>
        <v>90000</v>
      </c>
    </row>
    <row r="1153" spans="1:8" x14ac:dyDescent="0.25">
      <c r="A1153" s="266">
        <v>43495</v>
      </c>
      <c r="B1153" s="10" t="s">
        <v>3733</v>
      </c>
      <c r="C1153" s="11" t="s">
        <v>3011</v>
      </c>
      <c r="D1153" s="773"/>
      <c r="E1153" s="282">
        <v>135000</v>
      </c>
      <c r="F1153" s="280"/>
      <c r="G1153" s="6">
        <f t="shared" si="25"/>
        <v>135000</v>
      </c>
    </row>
    <row r="1154" spans="1:8" x14ac:dyDescent="0.25">
      <c r="A1154" s="266">
        <v>43495</v>
      </c>
      <c r="B1154" s="10" t="s">
        <v>2933</v>
      </c>
      <c r="C1154" s="11" t="s">
        <v>3011</v>
      </c>
      <c r="D1154" s="773"/>
      <c r="E1154" s="283">
        <v>85000</v>
      </c>
      <c r="F1154" s="280"/>
      <c r="G1154" s="6">
        <f t="shared" si="25"/>
        <v>85000</v>
      </c>
    </row>
    <row r="1155" spans="1:8" x14ac:dyDescent="0.25">
      <c r="A1155" s="266">
        <v>43495</v>
      </c>
      <c r="B1155" s="10" t="s">
        <v>1400</v>
      </c>
      <c r="C1155" s="11" t="s">
        <v>164</v>
      </c>
      <c r="D1155" s="773"/>
      <c r="E1155" s="281">
        <v>5259</v>
      </c>
      <c r="F1155" s="280"/>
      <c r="G1155" s="6">
        <f t="shared" si="25"/>
        <v>5259</v>
      </c>
    </row>
    <row r="1156" spans="1:8" x14ac:dyDescent="0.25">
      <c r="A1156" s="266">
        <v>43495</v>
      </c>
      <c r="B1156" s="10" t="s">
        <v>1400</v>
      </c>
      <c r="C1156" s="11" t="s">
        <v>164</v>
      </c>
      <c r="D1156" s="773"/>
      <c r="E1156" s="282">
        <v>74051</v>
      </c>
      <c r="F1156" s="280"/>
      <c r="G1156" s="6">
        <f t="shared" si="25"/>
        <v>74051</v>
      </c>
    </row>
    <row r="1157" spans="1:8" x14ac:dyDescent="0.25">
      <c r="A1157" s="266">
        <v>43495</v>
      </c>
      <c r="B1157" s="10" t="s">
        <v>1400</v>
      </c>
      <c r="C1157" s="11" t="s">
        <v>164</v>
      </c>
      <c r="D1157" s="773"/>
      <c r="E1157" s="283">
        <v>19773</v>
      </c>
      <c r="F1157" s="280"/>
      <c r="G1157" s="6">
        <f t="shared" si="25"/>
        <v>19773</v>
      </c>
    </row>
    <row r="1158" spans="1:8" x14ac:dyDescent="0.25">
      <c r="A1158" s="266">
        <v>43495</v>
      </c>
      <c r="B1158" s="10" t="s">
        <v>2652</v>
      </c>
      <c r="C1158" s="11" t="s">
        <v>3011</v>
      </c>
      <c r="D1158" s="773"/>
      <c r="E1158" s="300"/>
      <c r="F1158" s="280">
        <v>250000</v>
      </c>
      <c r="G1158" s="6">
        <f t="shared" si="25"/>
        <v>-250000</v>
      </c>
      <c r="H1158" s="124"/>
    </row>
    <row r="1159" spans="1:8" x14ac:dyDescent="0.25">
      <c r="A1159" s="266">
        <v>43500</v>
      </c>
      <c r="B1159" s="10" t="s">
        <v>2652</v>
      </c>
      <c r="C1159" s="11" t="s">
        <v>1803</v>
      </c>
      <c r="D1159" s="773"/>
      <c r="E1159" s="282">
        <v>164818</v>
      </c>
      <c r="F1159" s="280"/>
      <c r="G1159" s="6">
        <f t="shared" si="25"/>
        <v>164818</v>
      </c>
    </row>
    <row r="1160" spans="1:8" x14ac:dyDescent="0.25">
      <c r="A1160" s="266">
        <v>43500</v>
      </c>
      <c r="B1160" s="10" t="s">
        <v>1400</v>
      </c>
      <c r="C1160" s="11" t="s">
        <v>1803</v>
      </c>
      <c r="D1160" s="773"/>
      <c r="E1160" s="282">
        <v>4060</v>
      </c>
      <c r="F1160" s="280"/>
      <c r="G1160" s="6">
        <f t="shared" si="25"/>
        <v>4060</v>
      </c>
    </row>
    <row r="1161" spans="1:8" x14ac:dyDescent="0.25">
      <c r="A1161" s="266">
        <v>43500</v>
      </c>
      <c r="B1161" s="10" t="s">
        <v>2652</v>
      </c>
      <c r="C1161" s="11" t="s">
        <v>1803</v>
      </c>
      <c r="D1161" s="773"/>
      <c r="E1161" s="282">
        <v>66065</v>
      </c>
      <c r="F1161" s="280"/>
      <c r="G1161" s="6">
        <f t="shared" si="25"/>
        <v>66065</v>
      </c>
    </row>
    <row r="1162" spans="1:8" x14ac:dyDescent="0.25">
      <c r="A1162" s="266">
        <v>43500</v>
      </c>
      <c r="B1162" s="10" t="s">
        <v>2652</v>
      </c>
      <c r="C1162" s="11" t="s">
        <v>1803</v>
      </c>
      <c r="D1162" s="773"/>
      <c r="E1162" s="282">
        <v>54061</v>
      </c>
      <c r="F1162" s="280"/>
      <c r="G1162" s="6">
        <f t="shared" si="25"/>
        <v>54061</v>
      </c>
    </row>
    <row r="1163" spans="1:8" x14ac:dyDescent="0.25">
      <c r="A1163" s="266">
        <v>43500</v>
      </c>
      <c r="B1163" s="10" t="s">
        <v>1400</v>
      </c>
      <c r="C1163" s="11" t="s">
        <v>1803</v>
      </c>
      <c r="D1163" s="773"/>
      <c r="E1163" s="282">
        <v>8310</v>
      </c>
      <c r="F1163" s="280"/>
      <c r="G1163" s="6">
        <f t="shared" si="25"/>
        <v>8310</v>
      </c>
    </row>
    <row r="1164" spans="1:8" x14ac:dyDescent="0.25">
      <c r="A1164" s="266">
        <v>43500</v>
      </c>
      <c r="B1164" s="10" t="s">
        <v>2933</v>
      </c>
      <c r="C1164" s="11" t="s">
        <v>3011</v>
      </c>
      <c r="D1164" s="773"/>
      <c r="E1164" s="281">
        <v>10000</v>
      </c>
      <c r="F1164" s="280"/>
      <c r="G1164" s="6">
        <f t="shared" si="25"/>
        <v>10000</v>
      </c>
    </row>
    <row r="1165" spans="1:8" x14ac:dyDescent="0.25">
      <c r="A1165" s="266">
        <v>43500</v>
      </c>
      <c r="B1165" s="10" t="s">
        <v>2652</v>
      </c>
      <c r="C1165" s="11" t="s">
        <v>3011</v>
      </c>
      <c r="D1165" s="773"/>
      <c r="E1165" s="283">
        <v>145000</v>
      </c>
      <c r="F1165" s="280"/>
      <c r="G1165" s="6">
        <f t="shared" si="25"/>
        <v>145000</v>
      </c>
    </row>
    <row r="1166" spans="1:8" x14ac:dyDescent="0.25">
      <c r="A1166" s="266">
        <v>43500</v>
      </c>
      <c r="B1166" s="10" t="s">
        <v>1400</v>
      </c>
      <c r="C1166" s="11" t="s">
        <v>169</v>
      </c>
      <c r="E1166" s="8">
        <v>2094</v>
      </c>
      <c r="G1166" s="6">
        <f t="shared" si="25"/>
        <v>2094</v>
      </c>
    </row>
    <row r="1167" spans="1:8" x14ac:dyDescent="0.25">
      <c r="A1167" s="266">
        <v>43500</v>
      </c>
      <c r="B1167" s="10" t="s">
        <v>1400</v>
      </c>
      <c r="C1167" s="11" t="s">
        <v>169</v>
      </c>
      <c r="E1167" s="8">
        <v>14538</v>
      </c>
      <c r="G1167" s="6">
        <f t="shared" si="25"/>
        <v>14538</v>
      </c>
    </row>
    <row r="1168" spans="1:8" x14ac:dyDescent="0.25">
      <c r="A1168" s="266">
        <v>43500</v>
      </c>
      <c r="B1168" s="10" t="s">
        <v>1400</v>
      </c>
      <c r="C1168" s="11" t="s">
        <v>169</v>
      </c>
      <c r="E1168" s="8">
        <v>23518</v>
      </c>
      <c r="G1168" s="6">
        <f t="shared" si="25"/>
        <v>23518</v>
      </c>
    </row>
    <row r="1169" spans="1:8" x14ac:dyDescent="0.25">
      <c r="A1169" s="266">
        <v>43500</v>
      </c>
      <c r="B1169" s="10" t="s">
        <v>1400</v>
      </c>
      <c r="C1169" s="11" t="s">
        <v>169</v>
      </c>
      <c r="E1169" s="8">
        <v>2815</v>
      </c>
      <c r="G1169" s="6">
        <f t="shared" si="25"/>
        <v>2815</v>
      </c>
    </row>
    <row r="1170" spans="1:8" x14ac:dyDescent="0.25">
      <c r="A1170" s="266">
        <v>43508</v>
      </c>
      <c r="B1170" s="10" t="s">
        <v>2652</v>
      </c>
      <c r="C1170" s="11" t="s">
        <v>1803</v>
      </c>
      <c r="D1170" s="773"/>
      <c r="E1170" s="281">
        <v>1474</v>
      </c>
      <c r="F1170" s="280"/>
      <c r="G1170" s="6">
        <f t="shared" si="25"/>
        <v>1474</v>
      </c>
    </row>
    <row r="1171" spans="1:8" x14ac:dyDescent="0.25">
      <c r="A1171" s="266">
        <v>43508</v>
      </c>
      <c r="B1171" s="10" t="s">
        <v>2652</v>
      </c>
      <c r="C1171" s="11" t="s">
        <v>1803</v>
      </c>
      <c r="D1171" s="773"/>
      <c r="E1171" s="282">
        <v>122831</v>
      </c>
      <c r="F1171" s="280"/>
      <c r="G1171" s="6">
        <f t="shared" si="25"/>
        <v>122831</v>
      </c>
    </row>
    <row r="1172" spans="1:8" x14ac:dyDescent="0.25">
      <c r="A1172" s="266">
        <v>43508</v>
      </c>
      <c r="B1172" s="10" t="s">
        <v>1400</v>
      </c>
      <c r="C1172" s="11" t="s">
        <v>1803</v>
      </c>
      <c r="D1172" s="773"/>
      <c r="E1172" s="282">
        <v>2128</v>
      </c>
      <c r="F1172" s="280"/>
      <c r="G1172" s="6">
        <f t="shared" si="25"/>
        <v>2128</v>
      </c>
    </row>
    <row r="1173" spans="1:8" x14ac:dyDescent="0.25">
      <c r="A1173" s="266">
        <v>43508</v>
      </c>
      <c r="B1173" s="10" t="s">
        <v>1400</v>
      </c>
      <c r="C1173" s="11" t="s">
        <v>1803</v>
      </c>
      <c r="D1173" s="773"/>
      <c r="E1173" s="283">
        <v>3010</v>
      </c>
      <c r="F1173" s="280"/>
      <c r="G1173" s="6">
        <f t="shared" si="25"/>
        <v>3010</v>
      </c>
    </row>
    <row r="1174" spans="1:8" x14ac:dyDescent="0.25">
      <c r="A1174" s="266">
        <v>43508</v>
      </c>
      <c r="B1174" s="10" t="s">
        <v>1400</v>
      </c>
      <c r="C1174" s="11" t="s">
        <v>166</v>
      </c>
      <c r="D1174" s="773"/>
      <c r="E1174" s="22">
        <v>78000</v>
      </c>
      <c r="F1174" s="280"/>
      <c r="G1174" s="6">
        <f t="shared" si="25"/>
        <v>78000</v>
      </c>
    </row>
    <row r="1175" spans="1:8" x14ac:dyDescent="0.25">
      <c r="A1175" s="266">
        <v>43508</v>
      </c>
      <c r="B1175" s="10" t="s">
        <v>1400</v>
      </c>
      <c r="C1175" s="11" t="s">
        <v>164</v>
      </c>
      <c r="E1175" s="8">
        <v>5490</v>
      </c>
      <c r="G1175" s="6">
        <f t="shared" si="25"/>
        <v>5490</v>
      </c>
    </row>
    <row r="1176" spans="1:8" ht="16.5" thickBot="1" x14ac:dyDescent="0.3">
      <c r="A1176" s="266">
        <v>43508</v>
      </c>
      <c r="B1176" s="10" t="s">
        <v>1400</v>
      </c>
      <c r="C1176" s="11" t="s">
        <v>164</v>
      </c>
      <c r="F1176" s="9">
        <v>13520</v>
      </c>
      <c r="G1176" s="6">
        <f t="shared" si="25"/>
        <v>-13520</v>
      </c>
      <c r="H1176" s="7" t="s">
        <v>4470</v>
      </c>
    </row>
    <row r="1177" spans="1:8" x14ac:dyDescent="0.25">
      <c r="A1177" s="266">
        <v>43512</v>
      </c>
      <c r="B1177" s="10" t="s">
        <v>2933</v>
      </c>
      <c r="C1177" s="11" t="s">
        <v>3011</v>
      </c>
      <c r="E1177" s="292">
        <v>24000</v>
      </c>
      <c r="G1177" s="6">
        <f t="shared" si="25"/>
        <v>24000</v>
      </c>
    </row>
    <row r="1178" spans="1:8" x14ac:dyDescent="0.25">
      <c r="A1178" s="266">
        <v>43512</v>
      </c>
      <c r="B1178" s="10" t="s">
        <v>2652</v>
      </c>
      <c r="C1178" s="11" t="s">
        <v>3011</v>
      </c>
      <c r="E1178" s="8">
        <v>121000</v>
      </c>
      <c r="G1178" s="6">
        <f t="shared" si="25"/>
        <v>121000</v>
      </c>
    </row>
    <row r="1179" spans="1:8" ht="16.5" thickBot="1" x14ac:dyDescent="0.3">
      <c r="A1179" s="266">
        <v>43512</v>
      </c>
      <c r="B1179" s="10" t="s">
        <v>2933</v>
      </c>
      <c r="C1179" s="11" t="s">
        <v>3011</v>
      </c>
      <c r="E1179" s="293">
        <v>15000</v>
      </c>
      <c r="G1179" s="6">
        <f t="shared" si="25"/>
        <v>15000</v>
      </c>
    </row>
    <row r="1180" spans="1:8" ht="16.5" thickBot="1" x14ac:dyDescent="0.3">
      <c r="A1180" s="266">
        <v>43512</v>
      </c>
      <c r="B1180" s="10" t="s">
        <v>2787</v>
      </c>
      <c r="C1180" s="11" t="s">
        <v>161</v>
      </c>
      <c r="F1180" s="301">
        <v>500000</v>
      </c>
      <c r="G1180" s="6">
        <f t="shared" si="25"/>
        <v>-500000</v>
      </c>
      <c r="H1180" s="31" t="s">
        <v>4641</v>
      </c>
    </row>
    <row r="1181" spans="1:8" ht="16.5" thickBot="1" x14ac:dyDescent="0.3">
      <c r="A1181" s="266">
        <v>43512</v>
      </c>
      <c r="B1181" s="10" t="s">
        <v>1400</v>
      </c>
      <c r="C1181" s="11" t="s">
        <v>164</v>
      </c>
      <c r="F1181" s="301">
        <v>100000</v>
      </c>
      <c r="G1181" s="6">
        <f t="shared" si="25"/>
        <v>-100000</v>
      </c>
      <c r="H1181" s="31" t="s">
        <v>4578</v>
      </c>
    </row>
    <row r="1182" spans="1:8" x14ac:dyDescent="0.25">
      <c r="A1182" s="266">
        <v>43512</v>
      </c>
      <c r="B1182" s="10" t="s">
        <v>2652</v>
      </c>
      <c r="C1182" s="11" t="s">
        <v>3011</v>
      </c>
      <c r="E1182" s="109"/>
      <c r="F1182" s="295">
        <v>65000</v>
      </c>
      <c r="G1182" s="6">
        <f t="shared" si="25"/>
        <v>-65000</v>
      </c>
      <c r="H1182" s="31" t="s">
        <v>4577</v>
      </c>
    </row>
    <row r="1183" spans="1:8" ht="16.5" thickBot="1" x14ac:dyDescent="0.3">
      <c r="A1183" s="266">
        <v>43512</v>
      </c>
      <c r="B1183" s="10" t="s">
        <v>3733</v>
      </c>
      <c r="C1183" s="11" t="s">
        <v>3011</v>
      </c>
      <c r="E1183" s="109"/>
      <c r="F1183" s="296">
        <v>135000</v>
      </c>
      <c r="G1183" s="6">
        <f t="shared" si="25"/>
        <v>-135000</v>
      </c>
      <c r="H1183" s="78" t="s">
        <v>4577</v>
      </c>
    </row>
    <row r="1184" spans="1:8" x14ac:dyDescent="0.25">
      <c r="A1184" s="266">
        <v>43517</v>
      </c>
      <c r="B1184" s="10" t="s">
        <v>2652</v>
      </c>
      <c r="C1184" s="11" t="s">
        <v>1803</v>
      </c>
      <c r="E1184" s="292">
        <v>51927</v>
      </c>
      <c r="G1184" s="6">
        <f t="shared" si="25"/>
        <v>51927</v>
      </c>
    </row>
    <row r="1185" spans="1:8" x14ac:dyDescent="0.25">
      <c r="A1185" s="266">
        <v>43517</v>
      </c>
      <c r="B1185" s="10" t="s">
        <v>2652</v>
      </c>
      <c r="C1185" s="11" t="s">
        <v>1803</v>
      </c>
      <c r="E1185" s="8">
        <v>44869</v>
      </c>
      <c r="G1185" s="6">
        <f t="shared" si="25"/>
        <v>44869</v>
      </c>
    </row>
    <row r="1186" spans="1:8" ht="16.5" thickBot="1" x14ac:dyDescent="0.3">
      <c r="A1186" s="266">
        <v>43517</v>
      </c>
      <c r="B1186" s="10" t="s">
        <v>2652</v>
      </c>
      <c r="C1186" s="11" t="s">
        <v>1803</v>
      </c>
      <c r="E1186" s="293">
        <v>707</v>
      </c>
      <c r="G1186" s="6">
        <f t="shared" si="25"/>
        <v>707</v>
      </c>
    </row>
    <row r="1187" spans="1:8" ht="16.5" thickBot="1" x14ac:dyDescent="0.3">
      <c r="A1187" s="266">
        <v>43518</v>
      </c>
      <c r="B1187" s="10" t="s">
        <v>2933</v>
      </c>
      <c r="C1187" s="11" t="s">
        <v>180</v>
      </c>
      <c r="E1187" s="294">
        <v>631320</v>
      </c>
      <c r="G1187" s="6">
        <f t="shared" si="25"/>
        <v>631320</v>
      </c>
    </row>
    <row r="1188" spans="1:8" x14ac:dyDescent="0.25">
      <c r="A1188" s="266">
        <v>43519</v>
      </c>
      <c r="B1188" s="10" t="s">
        <v>2933</v>
      </c>
      <c r="C1188" s="11" t="s">
        <v>166</v>
      </c>
      <c r="E1188" s="292">
        <v>35000</v>
      </c>
      <c r="G1188" s="6">
        <f t="shared" si="25"/>
        <v>35000</v>
      </c>
    </row>
    <row r="1189" spans="1:8" x14ac:dyDescent="0.25">
      <c r="A1189" s="266">
        <v>43519</v>
      </c>
      <c r="B1189" s="10" t="s">
        <v>2652</v>
      </c>
      <c r="C1189" s="11" t="s">
        <v>166</v>
      </c>
      <c r="E1189" s="8">
        <v>18400</v>
      </c>
      <c r="G1189" s="6">
        <f t="shared" si="25"/>
        <v>18400</v>
      </c>
    </row>
    <row r="1190" spans="1:8" ht="16.5" thickBot="1" x14ac:dyDescent="0.3">
      <c r="A1190" s="266">
        <v>43519</v>
      </c>
      <c r="B1190" s="10" t="s">
        <v>2652</v>
      </c>
      <c r="C1190" s="11" t="s">
        <v>166</v>
      </c>
      <c r="E1190" s="293">
        <v>9200</v>
      </c>
      <c r="G1190" s="6">
        <f t="shared" si="25"/>
        <v>9200</v>
      </c>
    </row>
    <row r="1191" spans="1:8" ht="16.5" thickBot="1" x14ac:dyDescent="0.3">
      <c r="A1191" s="266">
        <v>43519</v>
      </c>
      <c r="B1191" s="10" t="s">
        <v>4721</v>
      </c>
      <c r="C1191" s="11" t="s">
        <v>1815</v>
      </c>
      <c r="E1191" s="294">
        <v>199286</v>
      </c>
      <c r="G1191" s="6">
        <f t="shared" si="25"/>
        <v>199286</v>
      </c>
    </row>
    <row r="1192" spans="1:8" ht="16.5" thickBot="1" x14ac:dyDescent="0.3">
      <c r="A1192" s="266">
        <v>43519</v>
      </c>
      <c r="B1192" s="10" t="s">
        <v>2933</v>
      </c>
      <c r="C1192" s="11" t="s">
        <v>180</v>
      </c>
      <c r="F1192" s="9">
        <v>500000</v>
      </c>
      <c r="G1192" s="6">
        <f t="shared" si="25"/>
        <v>-500000</v>
      </c>
      <c r="H1192" s="31" t="s">
        <v>4625</v>
      </c>
    </row>
    <row r="1193" spans="1:8" x14ac:dyDescent="0.25">
      <c r="A1193" s="266">
        <v>43525</v>
      </c>
      <c r="B1193" s="10" t="s">
        <v>2933</v>
      </c>
      <c r="C1193" s="11" t="s">
        <v>166</v>
      </c>
      <c r="E1193" s="292">
        <v>45000</v>
      </c>
      <c r="G1193" s="6">
        <f t="shared" si="25"/>
        <v>45000</v>
      </c>
    </row>
    <row r="1194" spans="1:8" ht="16.5" thickBot="1" x14ac:dyDescent="0.3">
      <c r="A1194" s="266">
        <v>43525</v>
      </c>
      <c r="B1194" s="10" t="s">
        <v>2652</v>
      </c>
      <c r="C1194" s="11" t="s">
        <v>166</v>
      </c>
      <c r="E1194" s="293">
        <v>12500</v>
      </c>
      <c r="G1194" s="6">
        <f t="shared" si="25"/>
        <v>12500</v>
      </c>
    </row>
    <row r="1195" spans="1:8" ht="16.5" thickBot="1" x14ac:dyDescent="0.3">
      <c r="A1195" s="266">
        <v>43525</v>
      </c>
      <c r="B1195" s="10" t="s">
        <v>1400</v>
      </c>
      <c r="C1195" s="11" t="s">
        <v>164</v>
      </c>
      <c r="E1195" s="294">
        <v>84648</v>
      </c>
      <c r="G1195" s="6">
        <f t="shared" si="25"/>
        <v>84648</v>
      </c>
    </row>
    <row r="1196" spans="1:8" x14ac:dyDescent="0.25">
      <c r="A1196" s="266">
        <v>43529</v>
      </c>
      <c r="B1196" s="10" t="s">
        <v>1400</v>
      </c>
      <c r="C1196" s="11" t="s">
        <v>169</v>
      </c>
      <c r="F1196" s="9">
        <v>100000</v>
      </c>
      <c r="G1196" s="6">
        <f t="shared" si="25"/>
        <v>-100000</v>
      </c>
      <c r="H1196" s="31" t="s">
        <v>4642</v>
      </c>
    </row>
    <row r="1197" spans="1:8" x14ac:dyDescent="0.25">
      <c r="A1197" s="266">
        <v>43529</v>
      </c>
      <c r="B1197" s="10" t="s">
        <v>1400</v>
      </c>
      <c r="C1197" s="11" t="s">
        <v>1815</v>
      </c>
      <c r="F1197" s="9">
        <v>300000</v>
      </c>
      <c r="G1197" s="6">
        <f t="shared" si="25"/>
        <v>-300000</v>
      </c>
      <c r="H1197" s="31" t="s">
        <v>4643</v>
      </c>
    </row>
    <row r="1198" spans="1:8" x14ac:dyDescent="0.25">
      <c r="A1198" s="266">
        <v>43529</v>
      </c>
      <c r="B1198" s="10" t="s">
        <v>2933</v>
      </c>
      <c r="C1198" s="11" t="s">
        <v>180</v>
      </c>
      <c r="F1198" s="9">
        <v>300000</v>
      </c>
      <c r="G1198" s="6">
        <f t="shared" si="25"/>
        <v>-300000</v>
      </c>
      <c r="H1198" s="78" t="s">
        <v>4644</v>
      </c>
    </row>
    <row r="1199" spans="1:8" x14ac:dyDescent="0.25">
      <c r="A1199" s="266">
        <v>43529</v>
      </c>
      <c r="B1199" s="10" t="s">
        <v>40</v>
      </c>
      <c r="C1199" s="11" t="s">
        <v>164</v>
      </c>
      <c r="F1199" s="9">
        <v>1743</v>
      </c>
      <c r="G1199" s="6">
        <f t="shared" si="25"/>
        <v>-1743</v>
      </c>
      <c r="H1199" s="78"/>
    </row>
    <row r="1200" spans="1:8" x14ac:dyDescent="0.25">
      <c r="A1200" s="266">
        <v>43529</v>
      </c>
      <c r="B1200" s="10" t="s">
        <v>11</v>
      </c>
      <c r="C1200" s="11" t="s">
        <v>164</v>
      </c>
      <c r="F1200" s="9">
        <v>5815</v>
      </c>
      <c r="G1200" s="6">
        <f t="shared" si="25"/>
        <v>-5815</v>
      </c>
      <c r="H1200" s="79"/>
    </row>
    <row r="1201" spans="1:8" x14ac:dyDescent="0.25">
      <c r="A1201" s="266">
        <v>43529</v>
      </c>
      <c r="B1201" s="10" t="s">
        <v>4645</v>
      </c>
      <c r="C1201" s="11" t="s">
        <v>164</v>
      </c>
      <c r="F1201" s="9">
        <v>900</v>
      </c>
      <c r="G1201" s="6">
        <f t="shared" si="25"/>
        <v>-900</v>
      </c>
      <c r="H1201" s="79" t="s">
        <v>4646</v>
      </c>
    </row>
    <row r="1202" spans="1:8" ht="16.5" thickBot="1" x14ac:dyDescent="0.3">
      <c r="A1202" s="266">
        <v>43529</v>
      </c>
      <c r="B1202" s="10" t="s">
        <v>1400</v>
      </c>
      <c r="C1202" s="11" t="s">
        <v>164</v>
      </c>
      <c r="F1202" s="9">
        <f>75000-F1201-F1200-F1199</f>
        <v>66542</v>
      </c>
      <c r="G1202" s="6">
        <f t="shared" si="25"/>
        <v>-66542</v>
      </c>
      <c r="H1202" s="80"/>
    </row>
    <row r="1203" spans="1:8" ht="16.5" thickBot="1" x14ac:dyDescent="0.3">
      <c r="A1203" s="266">
        <v>43525</v>
      </c>
      <c r="B1203" s="10" t="s">
        <v>2652</v>
      </c>
      <c r="C1203" s="11" t="s">
        <v>3011</v>
      </c>
      <c r="E1203" s="294"/>
      <c r="F1203" s="9">
        <v>41000</v>
      </c>
      <c r="G1203" s="6">
        <f>E1203-F1203</f>
        <v>-41000</v>
      </c>
    </row>
    <row r="1204" spans="1:8" x14ac:dyDescent="0.25">
      <c r="A1204" s="266">
        <v>43529</v>
      </c>
      <c r="B1204" s="10" t="s">
        <v>2933</v>
      </c>
      <c r="C1204" s="11" t="s">
        <v>3011</v>
      </c>
      <c r="F1204" s="9">
        <f>25000+109000</f>
        <v>134000</v>
      </c>
      <c r="G1204" s="6">
        <f>E1204-F1204</f>
        <v>-134000</v>
      </c>
    </row>
    <row r="1205" spans="1:8" x14ac:dyDescent="0.25">
      <c r="A1205" s="266">
        <v>43525</v>
      </c>
      <c r="B1205" s="10" t="s">
        <v>2652</v>
      </c>
      <c r="C1205" s="11" t="s">
        <v>3011</v>
      </c>
      <c r="F1205" s="9">
        <v>25000</v>
      </c>
      <c r="G1205" s="6">
        <f>E1205-F1205</f>
        <v>-25000</v>
      </c>
    </row>
    <row r="1206" spans="1:8" ht="16.5" thickBot="1" x14ac:dyDescent="0.3">
      <c r="A1206" s="266">
        <v>43525</v>
      </c>
      <c r="B1206" s="10" t="s">
        <v>2652</v>
      </c>
      <c r="C1206" s="11" t="s">
        <v>3011</v>
      </c>
      <c r="E1206" s="8">
        <v>122500</v>
      </c>
      <c r="G1206" s="6">
        <f>E1206-F1206</f>
        <v>122500</v>
      </c>
    </row>
    <row r="1207" spans="1:8" x14ac:dyDescent="0.25">
      <c r="A1207" s="266">
        <v>43535</v>
      </c>
      <c r="B1207" s="10" t="s">
        <v>1400</v>
      </c>
      <c r="C1207" s="11" t="s">
        <v>1803</v>
      </c>
      <c r="E1207" s="292">
        <v>3220</v>
      </c>
      <c r="G1207" s="6">
        <f t="shared" ref="G1207:G1264" si="26">E1207-F1207</f>
        <v>3220</v>
      </c>
    </row>
    <row r="1208" spans="1:8" x14ac:dyDescent="0.25">
      <c r="A1208" s="266">
        <v>43535</v>
      </c>
      <c r="B1208" s="10" t="s">
        <v>2652</v>
      </c>
      <c r="C1208" s="11" t="s">
        <v>1803</v>
      </c>
      <c r="E1208" s="8">
        <v>29777</v>
      </c>
      <c r="G1208" s="6">
        <f t="shared" si="26"/>
        <v>29777</v>
      </c>
    </row>
    <row r="1209" spans="1:8" x14ac:dyDescent="0.25">
      <c r="A1209" s="266">
        <v>43535</v>
      </c>
      <c r="B1209" s="10" t="s">
        <v>2652</v>
      </c>
      <c r="C1209" s="11" t="s">
        <v>1803</v>
      </c>
      <c r="E1209" s="8">
        <v>218807</v>
      </c>
      <c r="G1209" s="6">
        <f t="shared" si="26"/>
        <v>218807</v>
      </c>
    </row>
    <row r="1210" spans="1:8" x14ac:dyDescent="0.25">
      <c r="A1210" s="266">
        <v>43535</v>
      </c>
      <c r="B1210" s="10" t="s">
        <v>2652</v>
      </c>
      <c r="C1210" s="11" t="s">
        <v>1803</v>
      </c>
      <c r="E1210" s="8">
        <v>35853</v>
      </c>
      <c r="G1210" s="6">
        <f t="shared" si="26"/>
        <v>35853</v>
      </c>
    </row>
    <row r="1211" spans="1:8" x14ac:dyDescent="0.25">
      <c r="A1211" s="266">
        <v>43535</v>
      </c>
      <c r="B1211" s="10" t="s">
        <v>2652</v>
      </c>
      <c r="C1211" s="11" t="s">
        <v>1803</v>
      </c>
      <c r="E1211" s="8">
        <v>16052</v>
      </c>
      <c r="G1211" s="6">
        <f t="shared" si="26"/>
        <v>16052</v>
      </c>
    </row>
    <row r="1212" spans="1:8" x14ac:dyDescent="0.25">
      <c r="A1212" s="266">
        <v>43535</v>
      </c>
      <c r="B1212" s="10" t="s">
        <v>18</v>
      </c>
      <c r="C1212" s="11" t="s">
        <v>1803</v>
      </c>
      <c r="E1212" s="8">
        <v>1189</v>
      </c>
      <c r="G1212" s="6">
        <f t="shared" si="26"/>
        <v>1189</v>
      </c>
    </row>
    <row r="1213" spans="1:8" x14ac:dyDescent="0.25">
      <c r="A1213" s="266">
        <v>43535</v>
      </c>
      <c r="B1213" s="10" t="s">
        <v>2652</v>
      </c>
      <c r="C1213" s="11" t="s">
        <v>1803</v>
      </c>
      <c r="E1213" s="8">
        <v>18123</v>
      </c>
      <c r="G1213" s="6">
        <f t="shared" si="26"/>
        <v>18123</v>
      </c>
    </row>
    <row r="1214" spans="1:8" ht="16.5" thickBot="1" x14ac:dyDescent="0.3">
      <c r="A1214" s="266">
        <v>43535</v>
      </c>
      <c r="B1214" s="10" t="s">
        <v>1400</v>
      </c>
      <c r="C1214" s="11" t="s">
        <v>1803</v>
      </c>
      <c r="E1214" s="293">
        <v>43480</v>
      </c>
      <c r="G1214" s="6">
        <f t="shared" si="26"/>
        <v>43480</v>
      </c>
    </row>
    <row r="1215" spans="1:8" ht="16.5" thickBot="1" x14ac:dyDescent="0.3">
      <c r="A1215" s="266">
        <v>43544</v>
      </c>
      <c r="B1215" s="10" t="s">
        <v>4721</v>
      </c>
      <c r="C1215" s="11" t="s">
        <v>166</v>
      </c>
      <c r="E1215" s="294">
        <v>50000</v>
      </c>
      <c r="G1215" s="6">
        <f t="shared" si="26"/>
        <v>50000</v>
      </c>
    </row>
    <row r="1216" spans="1:8" x14ac:dyDescent="0.25">
      <c r="A1216" s="266">
        <v>43544</v>
      </c>
      <c r="B1216" s="10" t="s">
        <v>2933</v>
      </c>
      <c r="C1216" s="11" t="s">
        <v>3011</v>
      </c>
      <c r="E1216" s="8">
        <v>157740</v>
      </c>
      <c r="G1216" s="6">
        <f t="shared" si="26"/>
        <v>157740</v>
      </c>
    </row>
    <row r="1217" spans="1:8" ht="16.5" thickBot="1" x14ac:dyDescent="0.3">
      <c r="A1217" s="266">
        <v>43544</v>
      </c>
      <c r="B1217" s="10" t="s">
        <v>2652</v>
      </c>
      <c r="C1217" s="11" t="s">
        <v>3011</v>
      </c>
      <c r="E1217" s="8">
        <v>6800</v>
      </c>
      <c r="G1217" s="6">
        <f t="shared" si="26"/>
        <v>6800</v>
      </c>
    </row>
    <row r="1218" spans="1:8" x14ac:dyDescent="0.25">
      <c r="A1218" s="266">
        <v>43549</v>
      </c>
      <c r="B1218" s="10" t="s">
        <v>1400</v>
      </c>
      <c r="C1218" s="11" t="s">
        <v>1803</v>
      </c>
      <c r="E1218" s="292">
        <v>8176</v>
      </c>
      <c r="G1218" s="331">
        <f t="shared" si="26"/>
        <v>8176</v>
      </c>
    </row>
    <row r="1219" spans="1:8" x14ac:dyDescent="0.25">
      <c r="A1219" s="266">
        <v>43549</v>
      </c>
      <c r="B1219" s="10" t="s">
        <v>2652</v>
      </c>
      <c r="C1219" s="11" t="s">
        <v>1803</v>
      </c>
      <c r="E1219" s="8">
        <v>24519</v>
      </c>
      <c r="G1219" s="332">
        <f t="shared" si="26"/>
        <v>24519</v>
      </c>
    </row>
    <row r="1220" spans="1:8" x14ac:dyDescent="0.25">
      <c r="A1220" s="266">
        <v>43549</v>
      </c>
      <c r="B1220" s="10" t="s">
        <v>2652</v>
      </c>
      <c r="C1220" s="11" t="s">
        <v>1803</v>
      </c>
      <c r="E1220" s="8">
        <v>128523</v>
      </c>
      <c r="G1220" s="332">
        <f t="shared" si="26"/>
        <v>128523</v>
      </c>
    </row>
    <row r="1221" spans="1:8" x14ac:dyDescent="0.25">
      <c r="A1221" s="266">
        <v>43549</v>
      </c>
      <c r="B1221" s="10" t="s">
        <v>1400</v>
      </c>
      <c r="C1221" s="11" t="s">
        <v>1803</v>
      </c>
      <c r="E1221" s="8">
        <v>4418</v>
      </c>
      <c r="G1221" s="332">
        <f t="shared" si="26"/>
        <v>4418</v>
      </c>
    </row>
    <row r="1222" spans="1:8" x14ac:dyDescent="0.25">
      <c r="A1222" s="266">
        <v>43549</v>
      </c>
      <c r="B1222" s="10" t="s">
        <v>2652</v>
      </c>
      <c r="C1222" s="11" t="s">
        <v>1803</v>
      </c>
      <c r="E1222" s="8">
        <v>11769</v>
      </c>
      <c r="G1222" s="332">
        <f t="shared" si="26"/>
        <v>11769</v>
      </c>
    </row>
    <row r="1223" spans="1:8" x14ac:dyDescent="0.25">
      <c r="A1223" s="266">
        <v>43549</v>
      </c>
      <c r="B1223" s="10" t="s">
        <v>2652</v>
      </c>
      <c r="C1223" s="11" t="s">
        <v>1803</v>
      </c>
      <c r="E1223" s="8">
        <v>59626</v>
      </c>
      <c r="G1223" s="332">
        <f t="shared" si="26"/>
        <v>59626</v>
      </c>
    </row>
    <row r="1224" spans="1:8" x14ac:dyDescent="0.25">
      <c r="A1224" s="266">
        <v>43549</v>
      </c>
      <c r="B1224" s="10" t="s">
        <v>2652</v>
      </c>
      <c r="C1224" s="11" t="s">
        <v>1803</v>
      </c>
      <c r="E1224" s="8">
        <v>42931</v>
      </c>
      <c r="G1224" s="332">
        <f t="shared" si="26"/>
        <v>42931</v>
      </c>
    </row>
    <row r="1225" spans="1:8" x14ac:dyDescent="0.25">
      <c r="A1225" s="113">
        <v>43549</v>
      </c>
      <c r="B1225" s="10" t="s">
        <v>4721</v>
      </c>
      <c r="C1225" s="11" t="s">
        <v>166</v>
      </c>
      <c r="E1225" s="8">
        <v>53000</v>
      </c>
      <c r="G1225" s="6">
        <f t="shared" si="26"/>
        <v>53000</v>
      </c>
    </row>
    <row r="1226" spans="1:8" x14ac:dyDescent="0.25">
      <c r="A1226" s="113">
        <v>43549</v>
      </c>
      <c r="B1226" s="10" t="s">
        <v>2933</v>
      </c>
      <c r="C1226" s="11" t="s">
        <v>166</v>
      </c>
      <c r="E1226" s="8">
        <v>35000</v>
      </c>
      <c r="G1226" s="6">
        <f t="shared" si="26"/>
        <v>35000</v>
      </c>
    </row>
    <row r="1227" spans="1:8" x14ac:dyDescent="0.25">
      <c r="A1227" s="113">
        <v>43549</v>
      </c>
      <c r="B1227" s="10" t="s">
        <v>4721</v>
      </c>
      <c r="C1227" s="11" t="s">
        <v>166</v>
      </c>
      <c r="D1227" s="773"/>
      <c r="E1227" s="282">
        <v>63600</v>
      </c>
      <c r="F1227" s="280"/>
      <c r="G1227" s="6">
        <f t="shared" si="26"/>
        <v>63600</v>
      </c>
    </row>
    <row r="1228" spans="1:8" ht="16.5" thickBot="1" x14ac:dyDescent="0.3">
      <c r="A1228" s="113">
        <v>43549</v>
      </c>
      <c r="B1228" s="10" t="s">
        <v>4721</v>
      </c>
      <c r="C1228" s="11" t="s">
        <v>166</v>
      </c>
      <c r="D1228" s="773"/>
      <c r="E1228" s="282">
        <v>31800</v>
      </c>
      <c r="F1228" s="280"/>
      <c r="G1228" s="6">
        <f t="shared" si="26"/>
        <v>31800</v>
      </c>
    </row>
    <row r="1229" spans="1:8" x14ac:dyDescent="0.25">
      <c r="A1229" s="113">
        <v>43549</v>
      </c>
      <c r="B1229" s="10" t="s">
        <v>3733</v>
      </c>
      <c r="C1229" s="11" t="s">
        <v>1803</v>
      </c>
      <c r="D1229" s="773"/>
      <c r="E1229" s="282"/>
      <c r="F1229" s="334">
        <v>2039</v>
      </c>
      <c r="G1229" s="6">
        <f t="shared" si="26"/>
        <v>-2039</v>
      </c>
      <c r="H1229" s="78"/>
    </row>
    <row r="1230" spans="1:8" x14ac:dyDescent="0.25">
      <c r="A1230" s="113">
        <v>43549</v>
      </c>
      <c r="B1230" s="10" t="s">
        <v>2933</v>
      </c>
      <c r="C1230" s="11" t="s">
        <v>1803</v>
      </c>
      <c r="D1230" s="773"/>
      <c r="E1230" s="282"/>
      <c r="F1230" s="335">
        <v>151493</v>
      </c>
      <c r="G1230" s="6">
        <f t="shared" si="26"/>
        <v>-151493</v>
      </c>
      <c r="H1230" s="79"/>
    </row>
    <row r="1231" spans="1:8" x14ac:dyDescent="0.25">
      <c r="A1231" s="113">
        <v>43549</v>
      </c>
      <c r="B1231" s="10" t="s">
        <v>18</v>
      </c>
      <c r="C1231" s="11" t="s">
        <v>1803</v>
      </c>
      <c r="D1231" s="773"/>
      <c r="E1231" s="282"/>
      <c r="F1231" s="335">
        <v>1189</v>
      </c>
      <c r="G1231" s="6">
        <f t="shared" si="26"/>
        <v>-1189</v>
      </c>
      <c r="H1231" s="79" t="s">
        <v>4755</v>
      </c>
    </row>
    <row r="1232" spans="1:8" x14ac:dyDescent="0.25">
      <c r="A1232" s="113">
        <v>43549</v>
      </c>
      <c r="B1232" s="10" t="s">
        <v>1400</v>
      </c>
      <c r="C1232" s="11" t="s">
        <v>1803</v>
      </c>
      <c r="D1232" s="773"/>
      <c r="E1232" s="282"/>
      <c r="F1232" s="335">
        <v>212956</v>
      </c>
      <c r="G1232" s="6">
        <f t="shared" si="26"/>
        <v>-212956</v>
      </c>
      <c r="H1232" s="79"/>
    </row>
    <row r="1233" spans="1:8" ht="16.5" thickBot="1" x14ac:dyDescent="0.3">
      <c r="A1233" s="113">
        <v>43549</v>
      </c>
      <c r="B1233" s="10" t="s">
        <v>2652</v>
      </c>
      <c r="C1233" s="11" t="s">
        <v>1803</v>
      </c>
      <c r="D1233" s="773"/>
      <c r="E1233" s="282"/>
      <c r="F1233" s="336">
        <f>500000-F1232-F1231-F1230-F1229</f>
        <v>132323</v>
      </c>
      <c r="G1233" s="6">
        <f t="shared" si="26"/>
        <v>-132323</v>
      </c>
      <c r="H1233" s="80"/>
    </row>
    <row r="1234" spans="1:8" ht="16.5" thickBot="1" x14ac:dyDescent="0.3">
      <c r="A1234" s="113">
        <v>43549</v>
      </c>
      <c r="B1234" s="10" t="s">
        <v>2652</v>
      </c>
      <c r="C1234" s="11" t="s">
        <v>1803</v>
      </c>
      <c r="D1234" s="773"/>
      <c r="E1234" s="282"/>
      <c r="F1234" s="280">
        <v>477500</v>
      </c>
      <c r="G1234" s="6">
        <f t="shared" si="26"/>
        <v>-477500</v>
      </c>
      <c r="H1234" s="79" t="s">
        <v>4755</v>
      </c>
    </row>
    <row r="1235" spans="1:8" ht="16.5" thickBot="1" x14ac:dyDescent="0.3">
      <c r="A1235" s="113">
        <v>43568</v>
      </c>
      <c r="B1235" s="10" t="s">
        <v>2933</v>
      </c>
      <c r="C1235" s="11" t="s">
        <v>166</v>
      </c>
      <c r="E1235" s="294">
        <v>23400</v>
      </c>
      <c r="G1235" s="6">
        <f t="shared" si="26"/>
        <v>23400</v>
      </c>
    </row>
    <row r="1236" spans="1:8" x14ac:dyDescent="0.25">
      <c r="A1236" s="113">
        <v>43568</v>
      </c>
      <c r="B1236" s="10" t="s">
        <v>4721</v>
      </c>
      <c r="C1236" s="11" t="s">
        <v>1815</v>
      </c>
      <c r="E1236" s="292">
        <v>9652</v>
      </c>
      <c r="G1236" s="6">
        <f t="shared" si="26"/>
        <v>9652</v>
      </c>
    </row>
    <row r="1237" spans="1:8" ht="16.5" thickBot="1" x14ac:dyDescent="0.3">
      <c r="A1237" s="113">
        <v>43568</v>
      </c>
      <c r="B1237" s="10" t="s">
        <v>4721</v>
      </c>
      <c r="C1237" s="11" t="s">
        <v>1815</v>
      </c>
      <c r="E1237" s="293">
        <v>74142</v>
      </c>
      <c r="G1237" s="6">
        <f t="shared" si="26"/>
        <v>74142</v>
      </c>
    </row>
    <row r="1238" spans="1:8" x14ac:dyDescent="0.25">
      <c r="A1238" s="113">
        <v>43568</v>
      </c>
      <c r="B1238" s="10" t="s">
        <v>2933</v>
      </c>
      <c r="C1238" s="11" t="s">
        <v>3011</v>
      </c>
      <c r="F1238" s="9">
        <v>157740</v>
      </c>
      <c r="G1238" s="6">
        <f t="shared" si="26"/>
        <v>-157740</v>
      </c>
      <c r="H1238" s="78"/>
    </row>
    <row r="1239" spans="1:8" x14ac:dyDescent="0.25">
      <c r="A1239" s="113">
        <v>43568</v>
      </c>
      <c r="B1239" s="10" t="s">
        <v>2652</v>
      </c>
      <c r="C1239" s="11" t="s">
        <v>3011</v>
      </c>
      <c r="F1239" s="9">
        <v>6800</v>
      </c>
      <c r="G1239" s="6">
        <f t="shared" si="26"/>
        <v>-6800</v>
      </c>
      <c r="H1239" s="79" t="s">
        <v>4803</v>
      </c>
    </row>
    <row r="1240" spans="1:8" x14ac:dyDescent="0.25">
      <c r="A1240" s="113">
        <v>43568</v>
      </c>
      <c r="B1240" s="10" t="s">
        <v>2652</v>
      </c>
      <c r="C1240" s="11" t="s">
        <v>3011</v>
      </c>
      <c r="F1240" s="9">
        <v>-540</v>
      </c>
      <c r="G1240" s="6">
        <f t="shared" si="26"/>
        <v>540</v>
      </c>
      <c r="H1240" s="80"/>
    </row>
    <row r="1241" spans="1:8" x14ac:dyDescent="0.25">
      <c r="A1241" s="113">
        <v>43571</v>
      </c>
      <c r="B1241" s="10" t="s">
        <v>2787</v>
      </c>
      <c r="C1241" s="11" t="s">
        <v>161</v>
      </c>
      <c r="E1241" s="109"/>
      <c r="F1241" s="19">
        <v>200000</v>
      </c>
      <c r="G1241" s="6">
        <f t="shared" si="26"/>
        <v>-200000</v>
      </c>
      <c r="H1241" s="79" t="s">
        <v>4806</v>
      </c>
    </row>
    <row r="1242" spans="1:8" x14ac:dyDescent="0.25">
      <c r="A1242" s="113">
        <v>43571</v>
      </c>
      <c r="B1242" s="10" t="s">
        <v>2933</v>
      </c>
      <c r="C1242" s="11" t="s">
        <v>180</v>
      </c>
      <c r="E1242" s="109"/>
      <c r="F1242" s="19">
        <v>400000</v>
      </c>
      <c r="G1242" s="6">
        <f t="shared" si="26"/>
        <v>-400000</v>
      </c>
      <c r="H1242" s="79" t="s">
        <v>4807</v>
      </c>
    </row>
    <row r="1243" spans="1:8" x14ac:dyDescent="0.25">
      <c r="A1243" s="113">
        <v>43571</v>
      </c>
      <c r="B1243" s="10" t="s">
        <v>1400</v>
      </c>
      <c r="C1243" s="11" t="s">
        <v>1815</v>
      </c>
      <c r="E1243" s="109"/>
      <c r="F1243" s="19">
        <v>300000</v>
      </c>
      <c r="G1243" s="6">
        <f t="shared" si="26"/>
        <v>-300000</v>
      </c>
      <c r="H1243" s="79" t="s">
        <v>4810</v>
      </c>
    </row>
    <row r="1244" spans="1:8" ht="16.5" thickBot="1" x14ac:dyDescent="0.3">
      <c r="A1244" s="113">
        <v>43571</v>
      </c>
      <c r="B1244" s="10" t="s">
        <v>1400</v>
      </c>
      <c r="C1244" s="11" t="s">
        <v>164</v>
      </c>
      <c r="E1244" s="109"/>
      <c r="F1244" s="19">
        <v>35000</v>
      </c>
      <c r="G1244" s="6">
        <f t="shared" si="26"/>
        <v>-35000</v>
      </c>
      <c r="H1244" s="79" t="s">
        <v>4813</v>
      </c>
    </row>
    <row r="1245" spans="1:8" x14ac:dyDescent="0.25">
      <c r="A1245" s="113">
        <v>43574</v>
      </c>
      <c r="B1245" s="10" t="s">
        <v>1400</v>
      </c>
      <c r="C1245" s="11" t="s">
        <v>1803</v>
      </c>
      <c r="E1245" s="292">
        <v>60000</v>
      </c>
      <c r="G1245" s="6">
        <f t="shared" si="26"/>
        <v>60000</v>
      </c>
    </row>
    <row r="1246" spans="1:8" x14ac:dyDescent="0.25">
      <c r="A1246" s="113">
        <v>43574</v>
      </c>
      <c r="B1246" s="10" t="s">
        <v>2652</v>
      </c>
      <c r="C1246" s="11" t="s">
        <v>1803</v>
      </c>
      <c r="E1246" s="8">
        <v>19668</v>
      </c>
      <c r="G1246" s="6">
        <f t="shared" si="26"/>
        <v>19668</v>
      </c>
    </row>
    <row r="1247" spans="1:8" x14ac:dyDescent="0.25">
      <c r="A1247" s="113">
        <v>43574</v>
      </c>
      <c r="B1247" s="10" t="s">
        <v>2652</v>
      </c>
      <c r="C1247" s="11" t="s">
        <v>1803</v>
      </c>
      <c r="E1247" s="8">
        <v>51207</v>
      </c>
      <c r="G1247" s="6">
        <f t="shared" si="26"/>
        <v>51207</v>
      </c>
    </row>
    <row r="1248" spans="1:8" x14ac:dyDescent="0.25">
      <c r="A1248" s="113">
        <v>43574</v>
      </c>
      <c r="B1248" s="10" t="s">
        <v>2652</v>
      </c>
      <c r="C1248" s="11" t="s">
        <v>1803</v>
      </c>
      <c r="E1248" s="8">
        <v>2067</v>
      </c>
      <c r="G1248" s="6">
        <f t="shared" si="26"/>
        <v>2067</v>
      </c>
    </row>
    <row r="1249" spans="1:8" x14ac:dyDescent="0.25">
      <c r="A1249" s="113">
        <v>43574</v>
      </c>
      <c r="B1249" s="10" t="s">
        <v>1400</v>
      </c>
      <c r="C1249" s="11" t="s">
        <v>1803</v>
      </c>
      <c r="E1249" s="8">
        <v>1708</v>
      </c>
      <c r="G1249" s="6">
        <f t="shared" si="26"/>
        <v>1708</v>
      </c>
    </row>
    <row r="1250" spans="1:8" x14ac:dyDescent="0.25">
      <c r="A1250" s="113">
        <v>43574</v>
      </c>
      <c r="B1250" s="10" t="s">
        <v>2652</v>
      </c>
      <c r="C1250" s="11" t="s">
        <v>1803</v>
      </c>
      <c r="E1250" s="8">
        <v>43272</v>
      </c>
      <c r="G1250" s="6">
        <f t="shared" si="26"/>
        <v>43272</v>
      </c>
    </row>
    <row r="1251" spans="1:8" x14ac:dyDescent="0.25">
      <c r="A1251" s="113">
        <v>43574</v>
      </c>
      <c r="B1251" s="10" t="s">
        <v>2652</v>
      </c>
      <c r="C1251" s="11" t="s">
        <v>1803</v>
      </c>
      <c r="E1251" s="8">
        <v>83066</v>
      </c>
      <c r="G1251" s="6">
        <f t="shared" si="26"/>
        <v>83066</v>
      </c>
    </row>
    <row r="1252" spans="1:8" x14ac:dyDescent="0.25">
      <c r="A1252" s="113">
        <v>43574</v>
      </c>
      <c r="B1252" s="10" t="s">
        <v>1400</v>
      </c>
      <c r="C1252" s="11" t="s">
        <v>1803</v>
      </c>
      <c r="E1252" s="8">
        <v>2040</v>
      </c>
      <c r="G1252" s="6">
        <f t="shared" si="26"/>
        <v>2040</v>
      </c>
    </row>
    <row r="1253" spans="1:8" ht="16.5" thickBot="1" x14ac:dyDescent="0.3">
      <c r="A1253" s="113">
        <v>43574</v>
      </c>
      <c r="B1253" s="10" t="s">
        <v>2652</v>
      </c>
      <c r="C1253" s="11" t="s">
        <v>1803</v>
      </c>
      <c r="E1253" s="293">
        <v>17118</v>
      </c>
      <c r="G1253" s="6">
        <f t="shared" si="26"/>
        <v>17118</v>
      </c>
    </row>
    <row r="1254" spans="1:8" x14ac:dyDescent="0.25">
      <c r="A1254" s="113">
        <v>43580</v>
      </c>
      <c r="B1254" s="10" t="s">
        <v>2933</v>
      </c>
      <c r="C1254" s="11" t="s">
        <v>166</v>
      </c>
      <c r="E1254" s="8">
        <v>24000</v>
      </c>
      <c r="G1254" s="6">
        <f t="shared" si="26"/>
        <v>24000</v>
      </c>
    </row>
    <row r="1255" spans="1:8" x14ac:dyDescent="0.25">
      <c r="A1255" s="113">
        <v>43580</v>
      </c>
      <c r="B1255" s="10" t="s">
        <v>2933</v>
      </c>
      <c r="C1255" s="11" t="s">
        <v>180</v>
      </c>
      <c r="E1255" s="8">
        <v>66000</v>
      </c>
      <c r="G1255" s="6">
        <f t="shared" si="26"/>
        <v>66000</v>
      </c>
    </row>
    <row r="1256" spans="1:8" x14ac:dyDescent="0.25">
      <c r="A1256" s="113">
        <v>43580</v>
      </c>
      <c r="B1256" s="10" t="s">
        <v>1400</v>
      </c>
      <c r="C1256" s="11" t="s">
        <v>164</v>
      </c>
      <c r="E1256" s="8">
        <v>19095</v>
      </c>
      <c r="G1256" s="6">
        <f t="shared" si="26"/>
        <v>19095</v>
      </c>
    </row>
    <row r="1257" spans="1:8" x14ac:dyDescent="0.25">
      <c r="A1257" s="113">
        <v>43580</v>
      </c>
      <c r="B1257" s="10" t="s">
        <v>2652</v>
      </c>
      <c r="C1257" s="11" t="s">
        <v>3011</v>
      </c>
      <c r="F1257" s="9">
        <v>15000</v>
      </c>
      <c r="G1257" s="6">
        <f t="shared" si="26"/>
        <v>-15000</v>
      </c>
      <c r="H1257" s="7" t="s">
        <v>4845</v>
      </c>
    </row>
    <row r="1258" spans="1:8" x14ac:dyDescent="0.25">
      <c r="A1258" s="113">
        <v>43580</v>
      </c>
      <c r="B1258" s="10" t="s">
        <v>2652</v>
      </c>
      <c r="C1258" s="11" t="s">
        <v>3011</v>
      </c>
      <c r="F1258" s="9">
        <v>540</v>
      </c>
      <c r="G1258" s="6">
        <f t="shared" si="26"/>
        <v>-540</v>
      </c>
      <c r="H1258" s="7" t="s">
        <v>3918</v>
      </c>
    </row>
    <row r="1259" spans="1:8" x14ac:dyDescent="0.25">
      <c r="A1259" s="113">
        <v>43580</v>
      </c>
      <c r="B1259" s="10" t="s">
        <v>2652</v>
      </c>
      <c r="C1259" s="11" t="s">
        <v>3011</v>
      </c>
      <c r="F1259" s="9">
        <v>82500</v>
      </c>
      <c r="G1259" s="6">
        <f t="shared" si="26"/>
        <v>-82500</v>
      </c>
      <c r="H1259" s="31" t="s">
        <v>4844</v>
      </c>
    </row>
    <row r="1260" spans="1:8" x14ac:dyDescent="0.25">
      <c r="A1260" s="113">
        <v>43582</v>
      </c>
      <c r="B1260" s="10" t="s">
        <v>2652</v>
      </c>
      <c r="C1260" s="11" t="s">
        <v>1803</v>
      </c>
      <c r="E1260" s="109">
        <v>48168</v>
      </c>
      <c r="F1260" s="110"/>
      <c r="G1260" s="6">
        <f t="shared" si="26"/>
        <v>48168</v>
      </c>
    </row>
    <row r="1261" spans="1:8" x14ac:dyDescent="0.25">
      <c r="A1261" s="113">
        <v>43582</v>
      </c>
      <c r="B1261" s="10" t="s">
        <v>2652</v>
      </c>
      <c r="C1261" s="11" t="s">
        <v>1803</v>
      </c>
      <c r="E1261" s="109">
        <v>5264</v>
      </c>
      <c r="F1261" s="111"/>
      <c r="G1261" s="6">
        <f t="shared" si="26"/>
        <v>5264</v>
      </c>
    </row>
    <row r="1262" spans="1:8" x14ac:dyDescent="0.25">
      <c r="A1262" s="113">
        <v>43582</v>
      </c>
      <c r="B1262" s="10" t="s">
        <v>2652</v>
      </c>
      <c r="C1262" s="11" t="s">
        <v>1803</v>
      </c>
      <c r="E1262" s="109">
        <v>44503</v>
      </c>
      <c r="F1262" s="111"/>
      <c r="G1262" s="6">
        <f t="shared" si="26"/>
        <v>44503</v>
      </c>
    </row>
    <row r="1263" spans="1:8" x14ac:dyDescent="0.25">
      <c r="A1263" s="113">
        <v>43582</v>
      </c>
      <c r="B1263" s="10" t="s">
        <v>2652</v>
      </c>
      <c r="C1263" s="11" t="s">
        <v>1803</v>
      </c>
      <c r="E1263" s="109">
        <v>3198</v>
      </c>
      <c r="F1263" s="111"/>
      <c r="G1263" s="6">
        <f t="shared" si="26"/>
        <v>3198</v>
      </c>
    </row>
    <row r="1264" spans="1:8" x14ac:dyDescent="0.25">
      <c r="A1264" s="113">
        <v>43582</v>
      </c>
      <c r="B1264" s="10" t="s">
        <v>1400</v>
      </c>
      <c r="C1264" s="11" t="s">
        <v>1803</v>
      </c>
      <c r="E1264" s="109">
        <v>2592</v>
      </c>
      <c r="F1264" s="112"/>
      <c r="G1264" s="6">
        <f t="shared" si="26"/>
        <v>2592</v>
      </c>
    </row>
    <row r="1265" spans="1:8" x14ac:dyDescent="0.25">
      <c r="A1265" s="113">
        <v>43580</v>
      </c>
      <c r="B1265" s="10" t="s">
        <v>2933</v>
      </c>
      <c r="C1265" s="11" t="s">
        <v>180</v>
      </c>
      <c r="E1265" s="109"/>
      <c r="F1265" s="19">
        <v>250000</v>
      </c>
      <c r="G1265" s="6">
        <f t="shared" ref="G1265:G1300" si="27">E1265-F1265</f>
        <v>-250000</v>
      </c>
      <c r="H1265" s="79" t="s">
        <v>4850</v>
      </c>
    </row>
    <row r="1266" spans="1:8" x14ac:dyDescent="0.25">
      <c r="A1266" s="113">
        <v>43587</v>
      </c>
      <c r="B1266" s="10" t="s">
        <v>1400</v>
      </c>
      <c r="C1266" s="11" t="s">
        <v>166</v>
      </c>
      <c r="E1266" s="8">
        <v>50800</v>
      </c>
      <c r="G1266" s="6">
        <f t="shared" si="27"/>
        <v>50800</v>
      </c>
    </row>
    <row r="1267" spans="1:8" x14ac:dyDescent="0.25">
      <c r="A1267" s="113">
        <v>43595</v>
      </c>
      <c r="B1267" s="10" t="s">
        <v>4884</v>
      </c>
      <c r="C1267" s="11" t="s">
        <v>164</v>
      </c>
      <c r="E1267" s="8">
        <v>262657</v>
      </c>
      <c r="G1267" s="6">
        <f t="shared" si="27"/>
        <v>262657</v>
      </c>
    </row>
    <row r="1268" spans="1:8" x14ac:dyDescent="0.25">
      <c r="A1268" s="113">
        <v>43595</v>
      </c>
      <c r="B1268" s="10" t="s">
        <v>1400</v>
      </c>
      <c r="C1268" s="11" t="s">
        <v>164</v>
      </c>
      <c r="E1268" s="8">
        <v>63122</v>
      </c>
      <c r="G1268" s="6">
        <f t="shared" si="27"/>
        <v>63122</v>
      </c>
    </row>
    <row r="1269" spans="1:8" x14ac:dyDescent="0.25">
      <c r="A1269" s="113">
        <v>43595</v>
      </c>
      <c r="B1269" s="10" t="s">
        <v>1400</v>
      </c>
      <c r="C1269" s="11" t="s">
        <v>164</v>
      </c>
      <c r="E1269" s="8">
        <v>23172</v>
      </c>
      <c r="G1269" s="6">
        <f t="shared" si="27"/>
        <v>23172</v>
      </c>
    </row>
    <row r="1270" spans="1:8" x14ac:dyDescent="0.25">
      <c r="A1270" s="113">
        <v>43599</v>
      </c>
      <c r="B1270" s="10" t="s">
        <v>2933</v>
      </c>
      <c r="C1270" s="11" t="s">
        <v>3011</v>
      </c>
      <c r="D1270" s="773"/>
      <c r="E1270" s="281">
        <v>80000</v>
      </c>
      <c r="F1270" s="280"/>
      <c r="G1270" s="6">
        <f t="shared" si="27"/>
        <v>80000</v>
      </c>
    </row>
    <row r="1271" spans="1:8" x14ac:dyDescent="0.25">
      <c r="A1271" s="113">
        <v>43599</v>
      </c>
      <c r="B1271" s="10" t="s">
        <v>2652</v>
      </c>
      <c r="C1271" s="11" t="s">
        <v>3011</v>
      </c>
      <c r="D1271" s="773"/>
      <c r="E1271" s="282">
        <v>85000</v>
      </c>
      <c r="F1271" s="280"/>
      <c r="G1271" s="6">
        <f t="shared" si="27"/>
        <v>85000</v>
      </c>
    </row>
    <row r="1272" spans="1:8" x14ac:dyDescent="0.25">
      <c r="A1272" s="113">
        <v>43607</v>
      </c>
      <c r="B1272" s="10" t="s">
        <v>1400</v>
      </c>
      <c r="C1272" s="11" t="s">
        <v>1815</v>
      </c>
      <c r="E1272" s="8">
        <v>97336</v>
      </c>
      <c r="G1272" s="6">
        <f t="shared" si="27"/>
        <v>97336</v>
      </c>
    </row>
    <row r="1273" spans="1:8" x14ac:dyDescent="0.25">
      <c r="A1273" s="113">
        <v>43613</v>
      </c>
      <c r="B1273" s="10" t="s">
        <v>1400</v>
      </c>
      <c r="C1273" s="11" t="s">
        <v>164</v>
      </c>
      <c r="F1273" s="9">
        <v>108607</v>
      </c>
      <c r="G1273" s="6">
        <f t="shared" si="27"/>
        <v>-108607</v>
      </c>
      <c r="H1273" s="78" t="s">
        <v>4979</v>
      </c>
    </row>
    <row r="1274" spans="1:8" x14ac:dyDescent="0.25">
      <c r="A1274" s="113">
        <v>43613</v>
      </c>
      <c r="B1274" s="10" t="s">
        <v>4884</v>
      </c>
      <c r="C1274" s="11" t="s">
        <v>164</v>
      </c>
      <c r="F1274" s="9">
        <f>300000-F1273</f>
        <v>191393</v>
      </c>
      <c r="G1274" s="6">
        <f t="shared" si="27"/>
        <v>-191393</v>
      </c>
      <c r="H1274" s="80" t="s">
        <v>4980</v>
      </c>
    </row>
    <row r="1275" spans="1:8" x14ac:dyDescent="0.25">
      <c r="A1275" s="113">
        <v>43614</v>
      </c>
      <c r="B1275" s="10" t="s">
        <v>4721</v>
      </c>
      <c r="C1275" s="11" t="s">
        <v>166</v>
      </c>
      <c r="F1275" s="9">
        <v>198400</v>
      </c>
      <c r="G1275" s="6">
        <f t="shared" si="27"/>
        <v>-198400</v>
      </c>
      <c r="H1275" s="78"/>
    </row>
    <row r="1276" spans="1:8" x14ac:dyDescent="0.25">
      <c r="A1276" s="113">
        <v>43614</v>
      </c>
      <c r="B1276" s="10" t="s">
        <v>1400</v>
      </c>
      <c r="C1276" s="11" t="s">
        <v>166</v>
      </c>
      <c r="F1276" s="9">
        <v>25524</v>
      </c>
      <c r="G1276" s="6">
        <f t="shared" si="27"/>
        <v>-25524</v>
      </c>
      <c r="H1276" s="79" t="s">
        <v>4981</v>
      </c>
    </row>
    <row r="1277" spans="1:8" x14ac:dyDescent="0.25">
      <c r="A1277" s="113">
        <v>43614</v>
      </c>
      <c r="B1277" s="10" t="s">
        <v>2933</v>
      </c>
      <c r="C1277" s="11" t="s">
        <v>166</v>
      </c>
      <c r="F1277" s="9">
        <f>82400</f>
        <v>82400</v>
      </c>
      <c r="G1277" s="6">
        <f t="shared" si="27"/>
        <v>-82400</v>
      </c>
      <c r="H1277" s="79"/>
    </row>
    <row r="1278" spans="1:8" x14ac:dyDescent="0.25">
      <c r="A1278" s="113">
        <v>43614</v>
      </c>
      <c r="B1278" s="10" t="s">
        <v>2652</v>
      </c>
      <c r="C1278" s="11" t="s">
        <v>166</v>
      </c>
      <c r="F1278" s="9">
        <v>28500</v>
      </c>
      <c r="G1278" s="6">
        <f t="shared" si="27"/>
        <v>-28500</v>
      </c>
      <c r="H1278" s="79"/>
    </row>
    <row r="1279" spans="1:8" x14ac:dyDescent="0.25">
      <c r="A1279" s="113">
        <v>43614</v>
      </c>
      <c r="B1279" s="10" t="s">
        <v>1400</v>
      </c>
      <c r="C1279" s="11" t="s">
        <v>166</v>
      </c>
      <c r="F1279" s="9">
        <f>500000-F1277-F1276-F1275-14011-14489</f>
        <v>165176</v>
      </c>
      <c r="G1279" s="6">
        <f t="shared" si="27"/>
        <v>-165176</v>
      </c>
      <c r="H1279" s="80"/>
    </row>
    <row r="1280" spans="1:8" x14ac:dyDescent="0.25">
      <c r="A1280" s="113">
        <v>43614</v>
      </c>
      <c r="B1280" s="10" t="s">
        <v>1400</v>
      </c>
      <c r="C1280" s="11" t="s">
        <v>1815</v>
      </c>
      <c r="F1280" s="9">
        <v>300000</v>
      </c>
      <c r="G1280" s="6">
        <f t="shared" si="27"/>
        <v>-300000</v>
      </c>
      <c r="H1280" s="79" t="s">
        <v>4982</v>
      </c>
    </row>
    <row r="1281" spans="1:8" x14ac:dyDescent="0.25">
      <c r="A1281" s="113">
        <v>43619</v>
      </c>
      <c r="B1281" s="10" t="s">
        <v>2933</v>
      </c>
      <c r="C1281" s="11" t="s">
        <v>3011</v>
      </c>
      <c r="E1281" s="8">
        <v>135000</v>
      </c>
      <c r="G1281" s="6">
        <f t="shared" si="27"/>
        <v>135000</v>
      </c>
    </row>
    <row r="1282" spans="1:8" x14ac:dyDescent="0.25">
      <c r="A1282" s="113">
        <v>43628</v>
      </c>
      <c r="B1282" s="10" t="s">
        <v>2652</v>
      </c>
      <c r="C1282" s="11" t="s">
        <v>1803</v>
      </c>
      <c r="D1282" s="773"/>
      <c r="E1282" s="281">
        <v>240</v>
      </c>
      <c r="F1282" s="280"/>
      <c r="G1282" s="6">
        <f t="shared" si="27"/>
        <v>240</v>
      </c>
    </row>
    <row r="1283" spans="1:8" x14ac:dyDescent="0.25">
      <c r="A1283" s="113">
        <v>43628</v>
      </c>
      <c r="B1283" s="10" t="s">
        <v>2652</v>
      </c>
      <c r="C1283" s="11" t="s">
        <v>1803</v>
      </c>
      <c r="D1283" s="773"/>
      <c r="E1283" s="282">
        <v>3340</v>
      </c>
      <c r="F1283" s="280"/>
      <c r="G1283" s="6">
        <f t="shared" si="27"/>
        <v>3340</v>
      </c>
    </row>
    <row r="1284" spans="1:8" x14ac:dyDescent="0.25">
      <c r="A1284" s="113">
        <v>43628</v>
      </c>
      <c r="B1284" s="10" t="s">
        <v>2652</v>
      </c>
      <c r="C1284" s="11" t="s">
        <v>1803</v>
      </c>
      <c r="D1284" s="773"/>
      <c r="E1284" s="282">
        <v>5002</v>
      </c>
      <c r="F1284" s="280"/>
      <c r="G1284" s="6">
        <f t="shared" si="27"/>
        <v>5002</v>
      </c>
    </row>
    <row r="1285" spans="1:8" x14ac:dyDescent="0.25">
      <c r="A1285" s="113">
        <v>43628</v>
      </c>
      <c r="B1285" s="10" t="s">
        <v>2652</v>
      </c>
      <c r="C1285" s="11" t="s">
        <v>1803</v>
      </c>
      <c r="D1285" s="773"/>
      <c r="E1285" s="282">
        <v>11617</v>
      </c>
      <c r="F1285" s="280"/>
      <c r="G1285" s="6">
        <f t="shared" si="27"/>
        <v>11617</v>
      </c>
    </row>
    <row r="1286" spans="1:8" x14ac:dyDescent="0.25">
      <c r="A1286" s="113">
        <v>43628</v>
      </c>
      <c r="B1286" s="10" t="s">
        <v>1400</v>
      </c>
      <c r="C1286" s="11" t="s">
        <v>1803</v>
      </c>
      <c r="D1286" s="773"/>
      <c r="E1286" s="282">
        <v>15086</v>
      </c>
      <c r="F1286" s="280"/>
      <c r="G1286" s="6">
        <f t="shared" si="27"/>
        <v>15086</v>
      </c>
    </row>
    <row r="1287" spans="1:8" x14ac:dyDescent="0.25">
      <c r="A1287" s="113">
        <v>43628</v>
      </c>
      <c r="B1287" s="10" t="s">
        <v>1400</v>
      </c>
      <c r="C1287" s="11" t="s">
        <v>1803</v>
      </c>
      <c r="D1287" s="773"/>
      <c r="E1287" s="282">
        <v>93219</v>
      </c>
      <c r="F1287" s="280"/>
      <c r="G1287" s="6">
        <f t="shared" si="27"/>
        <v>93219</v>
      </c>
    </row>
    <row r="1288" spans="1:8" x14ac:dyDescent="0.25">
      <c r="A1288" s="113">
        <v>43628</v>
      </c>
      <c r="B1288" s="10" t="s">
        <v>1400</v>
      </c>
      <c r="C1288" s="11" t="s">
        <v>1803</v>
      </c>
      <c r="D1288" s="773"/>
      <c r="E1288" s="283">
        <v>4560</v>
      </c>
      <c r="F1288" s="280"/>
      <c r="G1288" s="6">
        <f t="shared" si="27"/>
        <v>4560</v>
      </c>
    </row>
    <row r="1289" spans="1:8" x14ac:dyDescent="0.25">
      <c r="A1289" s="113">
        <v>43628</v>
      </c>
      <c r="B1289" s="10" t="s">
        <v>1400</v>
      </c>
      <c r="C1289" s="11" t="s">
        <v>164</v>
      </c>
      <c r="E1289" s="283">
        <v>1193</v>
      </c>
      <c r="G1289" s="6">
        <f t="shared" si="27"/>
        <v>1193</v>
      </c>
    </row>
    <row r="1290" spans="1:8" x14ac:dyDescent="0.25">
      <c r="A1290" s="113">
        <v>43634</v>
      </c>
      <c r="B1290" s="10" t="s">
        <v>2652</v>
      </c>
      <c r="C1290" s="11" t="s">
        <v>1803</v>
      </c>
      <c r="F1290" s="9">
        <v>487500</v>
      </c>
      <c r="G1290" s="6">
        <f t="shared" si="27"/>
        <v>-487500</v>
      </c>
      <c r="H1290" s="7" t="s">
        <v>5039</v>
      </c>
    </row>
    <row r="1291" spans="1:8" x14ac:dyDescent="0.25">
      <c r="A1291" s="113">
        <v>43628</v>
      </c>
      <c r="B1291" s="10" t="s">
        <v>2652</v>
      </c>
      <c r="C1291" s="11" t="s">
        <v>169</v>
      </c>
      <c r="E1291" s="8">
        <v>55080</v>
      </c>
      <c r="G1291" s="6">
        <f t="shared" si="27"/>
        <v>55080</v>
      </c>
    </row>
    <row r="1292" spans="1:8" x14ac:dyDescent="0.25">
      <c r="A1292" s="113">
        <v>43634</v>
      </c>
      <c r="B1292" s="10" t="s">
        <v>2652</v>
      </c>
      <c r="C1292" s="11" t="s">
        <v>169</v>
      </c>
      <c r="E1292" s="8">
        <v>55687</v>
      </c>
      <c r="G1292" s="6">
        <f t="shared" si="27"/>
        <v>55687</v>
      </c>
    </row>
    <row r="1293" spans="1:8" x14ac:dyDescent="0.25">
      <c r="A1293" s="113">
        <v>43634</v>
      </c>
      <c r="B1293" s="10" t="s">
        <v>1400</v>
      </c>
      <c r="C1293" s="11" t="s">
        <v>164</v>
      </c>
      <c r="E1293" s="8">
        <v>34265</v>
      </c>
      <c r="G1293" s="6">
        <f t="shared" si="27"/>
        <v>34265</v>
      </c>
    </row>
    <row r="1294" spans="1:8" x14ac:dyDescent="0.25">
      <c r="A1294" s="113">
        <v>43634</v>
      </c>
      <c r="B1294" s="10" t="s">
        <v>1400</v>
      </c>
      <c r="C1294" s="11" t="s">
        <v>166</v>
      </c>
      <c r="E1294" s="8">
        <v>14600</v>
      </c>
      <c r="G1294" s="6">
        <f t="shared" si="27"/>
        <v>14600</v>
      </c>
    </row>
    <row r="1295" spans="1:8" x14ac:dyDescent="0.25">
      <c r="A1295" s="113">
        <v>43634</v>
      </c>
      <c r="B1295" s="10" t="s">
        <v>1400</v>
      </c>
      <c r="C1295" s="11" t="s">
        <v>166</v>
      </c>
      <c r="E1295" s="8">
        <v>6665</v>
      </c>
      <c r="G1295" s="6">
        <f t="shared" si="27"/>
        <v>6665</v>
      </c>
    </row>
    <row r="1296" spans="1:8" x14ac:dyDescent="0.25">
      <c r="A1296" s="113">
        <v>43634</v>
      </c>
      <c r="B1296" s="10" t="s">
        <v>1400</v>
      </c>
      <c r="C1296" s="11" t="s">
        <v>166</v>
      </c>
      <c r="E1296" s="8">
        <v>52800</v>
      </c>
      <c r="G1296" s="6">
        <f t="shared" si="27"/>
        <v>52800</v>
      </c>
    </row>
    <row r="1297" spans="1:7" x14ac:dyDescent="0.25">
      <c r="A1297" s="113">
        <v>43645</v>
      </c>
      <c r="B1297" s="10" t="s">
        <v>3733</v>
      </c>
      <c r="C1297" s="11" t="s">
        <v>166</v>
      </c>
      <c r="E1297" s="8">
        <v>4300</v>
      </c>
      <c r="G1297" s="6">
        <f t="shared" si="27"/>
        <v>4300</v>
      </c>
    </row>
    <row r="1298" spans="1:7" x14ac:dyDescent="0.25">
      <c r="A1298" s="113">
        <v>43645</v>
      </c>
      <c r="B1298" s="10" t="s">
        <v>1400</v>
      </c>
      <c r="C1298" s="11" t="s">
        <v>166</v>
      </c>
      <c r="E1298" s="8">
        <v>80000</v>
      </c>
      <c r="G1298" s="6">
        <f t="shared" si="27"/>
        <v>80000</v>
      </c>
    </row>
    <row r="1299" spans="1:7" ht="16.5" thickBot="1" x14ac:dyDescent="0.3">
      <c r="A1299" s="113">
        <v>43645</v>
      </c>
      <c r="B1299" s="348" t="s">
        <v>2652</v>
      </c>
      <c r="C1299" s="349" t="s">
        <v>1803</v>
      </c>
      <c r="E1299" s="350"/>
      <c r="F1299" s="351">
        <v>50000</v>
      </c>
      <c r="G1299" s="6">
        <f t="shared" si="27"/>
        <v>-50000</v>
      </c>
    </row>
    <row r="1300" spans="1:7" x14ac:dyDescent="0.25">
      <c r="A1300" s="113">
        <v>43649</v>
      </c>
      <c r="B1300" s="10" t="s">
        <v>2652</v>
      </c>
      <c r="C1300" s="11" t="s">
        <v>1803</v>
      </c>
      <c r="E1300" s="292">
        <v>3154</v>
      </c>
      <c r="G1300" s="6">
        <f t="shared" si="27"/>
        <v>3154</v>
      </c>
    </row>
    <row r="1301" spans="1:7" x14ac:dyDescent="0.25">
      <c r="A1301" s="113">
        <v>43649</v>
      </c>
      <c r="B1301" s="10" t="s">
        <v>2652</v>
      </c>
      <c r="C1301" s="11" t="s">
        <v>1803</v>
      </c>
      <c r="E1301" s="8">
        <v>4846</v>
      </c>
      <c r="G1301" s="6">
        <f t="shared" ref="G1301:G1434" si="28">E1301-F1301</f>
        <v>4846</v>
      </c>
    </row>
    <row r="1302" spans="1:7" x14ac:dyDescent="0.25">
      <c r="A1302" s="113">
        <v>43649</v>
      </c>
      <c r="B1302" s="10" t="s">
        <v>1400</v>
      </c>
      <c r="C1302" s="11" t="s">
        <v>1803</v>
      </c>
      <c r="E1302" s="8">
        <v>9090</v>
      </c>
      <c r="G1302" s="6">
        <f t="shared" si="28"/>
        <v>9090</v>
      </c>
    </row>
    <row r="1303" spans="1:7" x14ac:dyDescent="0.25">
      <c r="A1303" s="113">
        <v>43649</v>
      </c>
      <c r="B1303" s="10" t="s">
        <v>2652</v>
      </c>
      <c r="C1303" s="11" t="s">
        <v>1803</v>
      </c>
      <c r="E1303" s="8">
        <v>11775</v>
      </c>
      <c r="G1303" s="6">
        <f t="shared" si="28"/>
        <v>11775</v>
      </c>
    </row>
    <row r="1304" spans="1:7" ht="16.5" thickBot="1" x14ac:dyDescent="0.3">
      <c r="A1304" s="113">
        <v>43649</v>
      </c>
      <c r="B1304" s="10" t="s">
        <v>1400</v>
      </c>
      <c r="C1304" s="11" t="s">
        <v>1803</v>
      </c>
      <c r="E1304" s="293">
        <v>13142</v>
      </c>
      <c r="G1304" s="6">
        <f t="shared" si="28"/>
        <v>13142</v>
      </c>
    </row>
    <row r="1305" spans="1:7" ht="16.5" thickBot="1" x14ac:dyDescent="0.3">
      <c r="A1305" s="113">
        <v>43649</v>
      </c>
      <c r="B1305" s="10" t="s">
        <v>5052</v>
      </c>
      <c r="C1305" s="11" t="s">
        <v>166</v>
      </c>
      <c r="E1305" s="294">
        <v>9600</v>
      </c>
      <c r="G1305" s="6">
        <f t="shared" si="28"/>
        <v>9600</v>
      </c>
    </row>
    <row r="1306" spans="1:7" x14ac:dyDescent="0.25">
      <c r="A1306" s="113">
        <v>43649</v>
      </c>
      <c r="B1306" s="10" t="s">
        <v>1400</v>
      </c>
      <c r="C1306" s="11" t="s">
        <v>1815</v>
      </c>
      <c r="E1306" s="8">
        <v>2549</v>
      </c>
      <c r="G1306" s="6">
        <f t="shared" si="28"/>
        <v>2549</v>
      </c>
    </row>
    <row r="1307" spans="1:7" x14ac:dyDescent="0.25">
      <c r="A1307" s="113">
        <v>43649</v>
      </c>
      <c r="B1307" s="10" t="s">
        <v>1400</v>
      </c>
      <c r="C1307" s="11" t="s">
        <v>1815</v>
      </c>
      <c r="E1307" s="8">
        <v>103104</v>
      </c>
      <c r="G1307" s="6">
        <f t="shared" si="28"/>
        <v>103104</v>
      </c>
    </row>
    <row r="1308" spans="1:7" ht="16.5" thickBot="1" x14ac:dyDescent="0.3">
      <c r="A1308" s="113">
        <v>43649</v>
      </c>
      <c r="B1308" s="10" t="s">
        <v>2933</v>
      </c>
      <c r="C1308" s="11" t="s">
        <v>3011</v>
      </c>
      <c r="E1308" s="8">
        <v>15000</v>
      </c>
      <c r="G1308" s="6">
        <f t="shared" si="28"/>
        <v>15000</v>
      </c>
    </row>
    <row r="1309" spans="1:7" x14ac:dyDescent="0.25">
      <c r="A1309" s="113">
        <v>43649</v>
      </c>
      <c r="B1309" s="10" t="s">
        <v>5052</v>
      </c>
      <c r="C1309" s="11" t="s">
        <v>169</v>
      </c>
      <c r="E1309" s="292">
        <v>32000</v>
      </c>
      <c r="G1309" s="6">
        <f t="shared" si="28"/>
        <v>32000</v>
      </c>
    </row>
    <row r="1310" spans="1:7" x14ac:dyDescent="0.25">
      <c r="A1310" s="113">
        <v>43650</v>
      </c>
      <c r="B1310" s="10" t="s">
        <v>5052</v>
      </c>
      <c r="C1310" s="11" t="s">
        <v>169</v>
      </c>
      <c r="E1310" s="8">
        <v>32000</v>
      </c>
      <c r="G1310" s="6">
        <f t="shared" si="28"/>
        <v>32000</v>
      </c>
    </row>
    <row r="1311" spans="1:7" ht="16.5" thickBot="1" x14ac:dyDescent="0.3">
      <c r="A1311" s="113">
        <v>43650</v>
      </c>
      <c r="B1311" s="10" t="s">
        <v>5052</v>
      </c>
      <c r="C1311" s="11" t="s">
        <v>169</v>
      </c>
      <c r="E1311" s="293">
        <v>20544</v>
      </c>
      <c r="G1311" s="6">
        <f t="shared" si="28"/>
        <v>20544</v>
      </c>
    </row>
    <row r="1312" spans="1:7" x14ac:dyDescent="0.25">
      <c r="A1312" s="113">
        <v>43662</v>
      </c>
      <c r="B1312" s="10" t="s">
        <v>5052</v>
      </c>
      <c r="C1312" s="11" t="s">
        <v>166</v>
      </c>
      <c r="E1312" s="8">
        <v>26700</v>
      </c>
      <c r="G1312" s="6">
        <f t="shared" si="28"/>
        <v>26700</v>
      </c>
    </row>
    <row r="1313" spans="1:8" x14ac:dyDescent="0.25">
      <c r="A1313" s="113">
        <v>43662</v>
      </c>
      <c r="B1313" s="10" t="s">
        <v>4884</v>
      </c>
      <c r="C1313" s="11" t="s">
        <v>164</v>
      </c>
      <c r="F1313" s="9">
        <v>50000</v>
      </c>
      <c r="G1313" s="6">
        <f t="shared" si="28"/>
        <v>-50000</v>
      </c>
      <c r="H1313" s="124" t="s">
        <v>5098</v>
      </c>
    </row>
    <row r="1314" spans="1:8" x14ac:dyDescent="0.25">
      <c r="A1314" s="113">
        <v>43662</v>
      </c>
      <c r="B1314" s="10" t="s">
        <v>5052</v>
      </c>
      <c r="C1314" s="11" t="s">
        <v>169</v>
      </c>
      <c r="E1314" s="8">
        <v>81000</v>
      </c>
      <c r="G1314" s="6">
        <f t="shared" si="28"/>
        <v>81000</v>
      </c>
    </row>
    <row r="1315" spans="1:8" x14ac:dyDescent="0.25">
      <c r="A1315" s="113">
        <v>43662</v>
      </c>
      <c r="B1315" s="10" t="s">
        <v>1400</v>
      </c>
      <c r="C1315" s="11" t="s">
        <v>1815</v>
      </c>
      <c r="E1315" s="8">
        <v>113298</v>
      </c>
      <c r="G1315" s="6">
        <f t="shared" si="28"/>
        <v>113298</v>
      </c>
    </row>
    <row r="1316" spans="1:8" x14ac:dyDescent="0.25">
      <c r="A1316" s="113">
        <v>43662</v>
      </c>
      <c r="B1316" s="10" t="s">
        <v>5052</v>
      </c>
      <c r="C1316" s="11" t="s">
        <v>169</v>
      </c>
      <c r="F1316" s="9">
        <v>170644</v>
      </c>
      <c r="G1316" s="6">
        <f t="shared" si="28"/>
        <v>-170644</v>
      </c>
      <c r="H1316" s="78" t="s">
        <v>5106</v>
      </c>
    </row>
    <row r="1317" spans="1:8" x14ac:dyDescent="0.25">
      <c r="A1317" s="113">
        <v>43662</v>
      </c>
      <c r="B1317" s="10" t="s">
        <v>1400</v>
      </c>
      <c r="C1317" s="11" t="s">
        <v>169</v>
      </c>
      <c r="F1317" s="9">
        <v>18333</v>
      </c>
      <c r="G1317" s="6">
        <f t="shared" si="28"/>
        <v>-18333</v>
      </c>
      <c r="H1317" s="79"/>
    </row>
    <row r="1318" spans="1:8" x14ac:dyDescent="0.25">
      <c r="A1318" s="113">
        <v>43662</v>
      </c>
      <c r="B1318" s="10" t="s">
        <v>2652</v>
      </c>
      <c r="C1318" s="11" t="s">
        <v>169</v>
      </c>
      <c r="F1318" s="9">
        <f>300000-F1316-F1317</f>
        <v>111023</v>
      </c>
      <c r="G1318" s="6">
        <f t="shared" si="28"/>
        <v>-111023</v>
      </c>
      <c r="H1318" s="80" t="s">
        <v>5107</v>
      </c>
    </row>
    <row r="1319" spans="1:8" x14ac:dyDescent="0.25">
      <c r="A1319" s="113">
        <v>43668</v>
      </c>
      <c r="B1319" s="13" t="s">
        <v>4814</v>
      </c>
      <c r="C1319" s="11" t="s">
        <v>161</v>
      </c>
      <c r="E1319" s="8">
        <v>15712</v>
      </c>
      <c r="G1319" s="6">
        <f t="shared" si="28"/>
        <v>15712</v>
      </c>
    </row>
    <row r="1320" spans="1:8" x14ac:dyDescent="0.25">
      <c r="A1320" s="113">
        <v>43669</v>
      </c>
      <c r="B1320" s="10" t="s">
        <v>2787</v>
      </c>
      <c r="C1320" s="11" t="s">
        <v>161</v>
      </c>
      <c r="F1320" s="9">
        <v>148899</v>
      </c>
      <c r="G1320" s="6">
        <f t="shared" si="28"/>
        <v>-148899</v>
      </c>
    </row>
    <row r="1321" spans="1:8" x14ac:dyDescent="0.25">
      <c r="A1321" s="113">
        <v>43669</v>
      </c>
      <c r="B1321" s="10" t="s">
        <v>4814</v>
      </c>
      <c r="C1321" s="11" t="s">
        <v>161</v>
      </c>
      <c r="F1321" s="9">
        <v>15712</v>
      </c>
      <c r="G1321" s="6">
        <f t="shared" si="28"/>
        <v>-15712</v>
      </c>
    </row>
    <row r="1322" spans="1:8" x14ac:dyDescent="0.25">
      <c r="A1322" s="113">
        <v>43669</v>
      </c>
      <c r="B1322" s="10" t="s">
        <v>3733</v>
      </c>
      <c r="C1322" s="11" t="s">
        <v>161</v>
      </c>
      <c r="F1322" s="9">
        <v>35376</v>
      </c>
      <c r="G1322" s="6">
        <f t="shared" si="28"/>
        <v>-35376</v>
      </c>
    </row>
    <row r="1323" spans="1:8" x14ac:dyDescent="0.25">
      <c r="A1323" s="113">
        <v>43669</v>
      </c>
      <c r="B1323" s="10" t="s">
        <v>40</v>
      </c>
      <c r="C1323" s="11" t="s">
        <v>161</v>
      </c>
      <c r="F1323" s="9">
        <f>200000-F1322-F1321-F1320</f>
        <v>13</v>
      </c>
      <c r="G1323" s="6">
        <f t="shared" si="28"/>
        <v>-13</v>
      </c>
    </row>
    <row r="1324" spans="1:8" x14ac:dyDescent="0.25">
      <c r="A1324" s="113">
        <v>43669</v>
      </c>
      <c r="B1324" s="10" t="s">
        <v>2933</v>
      </c>
      <c r="C1324" s="11" t="s">
        <v>180</v>
      </c>
      <c r="F1324" s="9">
        <v>130000</v>
      </c>
      <c r="G1324" s="6">
        <f t="shared" si="28"/>
        <v>-130000</v>
      </c>
      <c r="H1324" s="7" t="s">
        <v>5118</v>
      </c>
    </row>
    <row r="1325" spans="1:8" x14ac:dyDescent="0.25">
      <c r="A1325" s="113">
        <v>43671</v>
      </c>
      <c r="B1325" s="10" t="s">
        <v>2652</v>
      </c>
      <c r="C1325" s="11" t="s">
        <v>1803</v>
      </c>
      <c r="F1325" s="9">
        <f>500000+316250</f>
        <v>816250</v>
      </c>
      <c r="G1325" s="6">
        <f t="shared" si="28"/>
        <v>-816250</v>
      </c>
      <c r="H1325" s="31" t="s">
        <v>5538</v>
      </c>
    </row>
    <row r="1326" spans="1:8" x14ac:dyDescent="0.25">
      <c r="A1326" s="113">
        <v>43672</v>
      </c>
      <c r="B1326" s="10" t="s">
        <v>1400</v>
      </c>
      <c r="C1326" s="11" t="s">
        <v>166</v>
      </c>
      <c r="E1326" s="8">
        <v>25600</v>
      </c>
      <c r="G1326" s="6">
        <f t="shared" si="28"/>
        <v>25600</v>
      </c>
    </row>
    <row r="1327" spans="1:8" x14ac:dyDescent="0.25">
      <c r="A1327" s="113">
        <v>43672</v>
      </c>
      <c r="B1327" s="10" t="s">
        <v>2652</v>
      </c>
      <c r="C1327" s="11" t="s">
        <v>166</v>
      </c>
      <c r="E1327" s="8">
        <v>28500</v>
      </c>
      <c r="G1327" s="6">
        <f t="shared" si="28"/>
        <v>28500</v>
      </c>
    </row>
    <row r="1328" spans="1:8" x14ac:dyDescent="0.25">
      <c r="A1328" s="113">
        <v>43672</v>
      </c>
      <c r="B1328" s="10" t="s">
        <v>5052</v>
      </c>
      <c r="C1328" s="11" t="s">
        <v>169</v>
      </c>
      <c r="E1328" s="8">
        <v>5100</v>
      </c>
      <c r="G1328" s="6">
        <f t="shared" si="28"/>
        <v>5100</v>
      </c>
    </row>
    <row r="1329" spans="1:8" x14ac:dyDescent="0.25">
      <c r="A1329" s="113">
        <v>43679</v>
      </c>
      <c r="B1329" s="10" t="s">
        <v>2652</v>
      </c>
      <c r="C1329" s="11" t="s">
        <v>3011</v>
      </c>
      <c r="E1329" s="8">
        <v>137898</v>
      </c>
      <c r="G1329" s="6">
        <f t="shared" si="28"/>
        <v>137898</v>
      </c>
    </row>
    <row r="1330" spans="1:8" x14ac:dyDescent="0.25">
      <c r="A1330" s="113">
        <v>43680</v>
      </c>
      <c r="B1330" s="10" t="s">
        <v>1400</v>
      </c>
      <c r="C1330" s="11" t="s">
        <v>1815</v>
      </c>
      <c r="E1330" s="8">
        <v>198234</v>
      </c>
      <c r="G1330" s="6">
        <f t="shared" si="28"/>
        <v>198234</v>
      </c>
    </row>
    <row r="1331" spans="1:8" x14ac:dyDescent="0.25">
      <c r="A1331" s="113">
        <v>43680</v>
      </c>
      <c r="B1331" s="10" t="s">
        <v>1400</v>
      </c>
      <c r="C1331" s="11" t="s">
        <v>1803</v>
      </c>
      <c r="E1331" s="8">
        <v>1344</v>
      </c>
      <c r="G1331" s="6">
        <f t="shared" si="28"/>
        <v>1344</v>
      </c>
    </row>
    <row r="1332" spans="1:8" x14ac:dyDescent="0.25">
      <c r="A1332" s="113">
        <v>43680</v>
      </c>
      <c r="B1332" s="10" t="s">
        <v>1400</v>
      </c>
      <c r="C1332" s="11" t="s">
        <v>1803</v>
      </c>
      <c r="E1332" s="8">
        <v>3395</v>
      </c>
      <c r="G1332" s="6">
        <f t="shared" si="28"/>
        <v>3395</v>
      </c>
      <c r="H1332" s="7" t="s">
        <v>5168</v>
      </c>
    </row>
    <row r="1333" spans="1:8" x14ac:dyDescent="0.25">
      <c r="A1333" s="113">
        <v>43680</v>
      </c>
      <c r="B1333" s="10" t="s">
        <v>18</v>
      </c>
      <c r="C1333" s="11" t="s">
        <v>1803</v>
      </c>
      <c r="E1333" s="8">
        <v>755</v>
      </c>
      <c r="G1333" s="6">
        <f t="shared" si="28"/>
        <v>755</v>
      </c>
    </row>
    <row r="1334" spans="1:8" x14ac:dyDescent="0.25">
      <c r="A1334" s="113">
        <v>43680</v>
      </c>
      <c r="B1334" s="10" t="s">
        <v>1400</v>
      </c>
      <c r="C1334" s="11" t="s">
        <v>1803</v>
      </c>
      <c r="E1334" s="8">
        <v>1614</v>
      </c>
      <c r="G1334" s="6">
        <f t="shared" si="28"/>
        <v>1614</v>
      </c>
    </row>
    <row r="1335" spans="1:8" x14ac:dyDescent="0.25">
      <c r="A1335" s="113">
        <v>43680</v>
      </c>
      <c r="B1335" s="10" t="s">
        <v>2649</v>
      </c>
      <c r="C1335" s="11" t="s">
        <v>1803</v>
      </c>
      <c r="E1335" s="8">
        <v>8402</v>
      </c>
      <c r="G1335" s="6">
        <f t="shared" si="28"/>
        <v>8402</v>
      </c>
    </row>
    <row r="1336" spans="1:8" x14ac:dyDescent="0.25">
      <c r="A1336" s="113">
        <v>43680</v>
      </c>
      <c r="B1336" s="10" t="s">
        <v>1400</v>
      </c>
      <c r="C1336" s="11" t="s">
        <v>1803</v>
      </c>
      <c r="E1336" s="8">
        <v>2706</v>
      </c>
      <c r="G1336" s="6">
        <f t="shared" si="28"/>
        <v>2706</v>
      </c>
    </row>
    <row r="1337" spans="1:8" x14ac:dyDescent="0.25">
      <c r="A1337" s="113">
        <v>43680</v>
      </c>
      <c r="B1337" s="10" t="s">
        <v>1400</v>
      </c>
      <c r="C1337" s="11" t="s">
        <v>1803</v>
      </c>
      <c r="E1337" s="8">
        <v>4059</v>
      </c>
      <c r="G1337" s="6">
        <f t="shared" si="28"/>
        <v>4059</v>
      </c>
    </row>
    <row r="1338" spans="1:8" x14ac:dyDescent="0.25">
      <c r="A1338" s="113">
        <v>43680</v>
      </c>
      <c r="B1338" s="10" t="s">
        <v>2652</v>
      </c>
      <c r="C1338" s="11" t="s">
        <v>1803</v>
      </c>
      <c r="E1338" s="8">
        <v>103903</v>
      </c>
      <c r="G1338" s="6">
        <f t="shared" si="28"/>
        <v>103903</v>
      </c>
    </row>
    <row r="1339" spans="1:8" x14ac:dyDescent="0.25">
      <c r="A1339" s="113">
        <v>43680</v>
      </c>
      <c r="B1339" s="10" t="s">
        <v>1400</v>
      </c>
      <c r="C1339" s="11" t="s">
        <v>1803</v>
      </c>
      <c r="E1339" s="8">
        <v>6048</v>
      </c>
      <c r="G1339" s="6">
        <f t="shared" si="28"/>
        <v>6048</v>
      </c>
    </row>
    <row r="1340" spans="1:8" x14ac:dyDescent="0.25">
      <c r="A1340" s="113">
        <v>43680</v>
      </c>
      <c r="B1340" s="10" t="s">
        <v>1400</v>
      </c>
      <c r="C1340" s="11" t="s">
        <v>1803</v>
      </c>
      <c r="E1340" s="8">
        <v>204327</v>
      </c>
      <c r="G1340" s="6">
        <f t="shared" si="28"/>
        <v>204327</v>
      </c>
    </row>
    <row r="1341" spans="1:8" x14ac:dyDescent="0.25">
      <c r="A1341" s="113">
        <v>43680</v>
      </c>
      <c r="B1341" s="10" t="s">
        <v>1400</v>
      </c>
      <c r="C1341" s="11" t="s">
        <v>1803</v>
      </c>
      <c r="E1341" s="8">
        <v>2707</v>
      </c>
      <c r="G1341" s="6">
        <f t="shared" si="28"/>
        <v>2707</v>
      </c>
    </row>
    <row r="1342" spans="1:8" x14ac:dyDescent="0.25">
      <c r="A1342" s="113">
        <v>43680</v>
      </c>
      <c r="B1342" s="10" t="s">
        <v>2933</v>
      </c>
      <c r="C1342" s="11" t="s">
        <v>3011</v>
      </c>
      <c r="F1342" s="9">
        <f>80000+135000+15000</f>
        <v>230000</v>
      </c>
      <c r="G1342" s="6">
        <f t="shared" si="28"/>
        <v>-230000</v>
      </c>
      <c r="H1342" s="78"/>
    </row>
    <row r="1343" spans="1:8" x14ac:dyDescent="0.25">
      <c r="A1343" s="113">
        <v>43680</v>
      </c>
      <c r="B1343" s="10" t="s">
        <v>2652</v>
      </c>
      <c r="C1343" s="11" t="s">
        <v>3011</v>
      </c>
      <c r="F1343" s="9">
        <v>85000</v>
      </c>
      <c r="G1343" s="6">
        <f t="shared" si="28"/>
        <v>-85000</v>
      </c>
      <c r="H1343" s="80" t="s">
        <v>5170</v>
      </c>
    </row>
    <row r="1344" spans="1:8" x14ac:dyDescent="0.25">
      <c r="A1344" s="113">
        <v>43683</v>
      </c>
      <c r="B1344" s="10" t="s">
        <v>1400</v>
      </c>
      <c r="C1344" s="11" t="s">
        <v>1815</v>
      </c>
      <c r="E1344" s="8">
        <v>86214</v>
      </c>
      <c r="G1344" s="6">
        <f t="shared" si="28"/>
        <v>86214</v>
      </c>
    </row>
    <row r="1345" spans="1:8" x14ac:dyDescent="0.25">
      <c r="A1345" s="113">
        <v>43697</v>
      </c>
      <c r="B1345" s="10" t="s">
        <v>2652</v>
      </c>
      <c r="C1345" s="11" t="s">
        <v>169</v>
      </c>
      <c r="E1345" s="8">
        <v>58875</v>
      </c>
      <c r="G1345" s="6">
        <f t="shared" si="28"/>
        <v>58875</v>
      </c>
    </row>
    <row r="1346" spans="1:8" x14ac:dyDescent="0.25">
      <c r="A1346" s="113">
        <v>43701</v>
      </c>
      <c r="B1346" s="10" t="s">
        <v>1400</v>
      </c>
      <c r="C1346" s="11" t="s">
        <v>166</v>
      </c>
      <c r="E1346" s="8">
        <v>38400</v>
      </c>
      <c r="G1346" s="6">
        <f t="shared" si="28"/>
        <v>38400</v>
      </c>
    </row>
    <row r="1347" spans="1:8" x14ac:dyDescent="0.25">
      <c r="A1347" s="113">
        <v>43704</v>
      </c>
      <c r="B1347" s="10" t="s">
        <v>1400</v>
      </c>
      <c r="C1347" s="11" t="s">
        <v>1815</v>
      </c>
      <c r="F1347" s="9">
        <v>403500</v>
      </c>
      <c r="G1347" s="6">
        <f t="shared" si="28"/>
        <v>-403500</v>
      </c>
      <c r="H1347" s="7" t="s">
        <v>5239</v>
      </c>
    </row>
    <row r="1348" spans="1:8" x14ac:dyDescent="0.25">
      <c r="A1348" s="113">
        <v>43704</v>
      </c>
      <c r="B1348" s="10" t="s">
        <v>2652</v>
      </c>
      <c r="C1348" s="11" t="s">
        <v>169</v>
      </c>
      <c r="F1348" s="9">
        <v>59345</v>
      </c>
      <c r="G1348" s="6">
        <f t="shared" si="28"/>
        <v>-59345</v>
      </c>
      <c r="H1348" s="7" t="s">
        <v>5240</v>
      </c>
    </row>
    <row r="1349" spans="1:8" x14ac:dyDescent="0.25">
      <c r="A1349" s="113">
        <v>43704</v>
      </c>
      <c r="B1349" s="10" t="s">
        <v>2933</v>
      </c>
      <c r="C1349" s="11" t="s">
        <v>166</v>
      </c>
      <c r="D1349" s="773"/>
      <c r="E1349" s="22">
        <v>18960</v>
      </c>
      <c r="F1349" s="280"/>
      <c r="G1349" s="6">
        <f t="shared" si="28"/>
        <v>18960</v>
      </c>
    </row>
    <row r="1350" spans="1:8" x14ac:dyDescent="0.25">
      <c r="A1350" s="113">
        <v>43704</v>
      </c>
      <c r="B1350" s="10" t="s">
        <v>3733</v>
      </c>
      <c r="C1350" s="11" t="s">
        <v>166</v>
      </c>
      <c r="E1350" s="109"/>
      <c r="F1350" s="110">
        <v>4300</v>
      </c>
      <c r="G1350" s="6">
        <f t="shared" si="28"/>
        <v>-4300</v>
      </c>
      <c r="H1350" s="78"/>
    </row>
    <row r="1351" spans="1:8" x14ac:dyDescent="0.25">
      <c r="A1351" s="113">
        <v>43704</v>
      </c>
      <c r="B1351" s="10" t="s">
        <v>1400</v>
      </c>
      <c r="C1351" s="11" t="s">
        <v>166</v>
      </c>
      <c r="E1351" s="109"/>
      <c r="F1351" s="111">
        <f>14489+38400</f>
        <v>52889</v>
      </c>
      <c r="G1351" s="6">
        <f t="shared" si="28"/>
        <v>-52889</v>
      </c>
      <c r="H1351" s="79"/>
    </row>
    <row r="1352" spans="1:8" x14ac:dyDescent="0.25">
      <c r="A1352" s="113">
        <v>43704</v>
      </c>
      <c r="B1352" s="10" t="s">
        <v>5052</v>
      </c>
      <c r="C1352" s="11" t="s">
        <v>166</v>
      </c>
      <c r="E1352" s="109"/>
      <c r="F1352" s="111">
        <v>36300</v>
      </c>
      <c r="G1352" s="6">
        <f t="shared" si="28"/>
        <v>-36300</v>
      </c>
      <c r="H1352" s="79" t="s">
        <v>5241</v>
      </c>
    </row>
    <row r="1353" spans="1:8" x14ac:dyDescent="0.25">
      <c r="A1353" s="113">
        <v>43704</v>
      </c>
      <c r="B1353" s="10" t="s">
        <v>2933</v>
      </c>
      <c r="C1353" s="11" t="s">
        <v>166</v>
      </c>
      <c r="E1353" s="109"/>
      <c r="F1353" s="112">
        <f>100000-F1352-F1351-F1350</f>
        <v>6511</v>
      </c>
      <c r="G1353" s="6">
        <f t="shared" si="28"/>
        <v>-6511</v>
      </c>
      <c r="H1353" s="80"/>
    </row>
    <row r="1354" spans="1:8" x14ac:dyDescent="0.25">
      <c r="A1354" s="113">
        <v>43704</v>
      </c>
      <c r="B1354" s="10" t="s">
        <v>2933</v>
      </c>
      <c r="C1354" s="11" t="s">
        <v>166</v>
      </c>
      <c r="D1354" s="773"/>
      <c r="E1354" s="22">
        <v>13000</v>
      </c>
      <c r="F1354" s="280"/>
      <c r="G1354" s="6">
        <f t="shared" si="28"/>
        <v>13000</v>
      </c>
    </row>
    <row r="1355" spans="1:8" x14ac:dyDescent="0.25">
      <c r="A1355" s="113">
        <v>43704</v>
      </c>
      <c r="B1355" s="10" t="s">
        <v>1400</v>
      </c>
      <c r="C1355" s="11" t="s">
        <v>166</v>
      </c>
      <c r="D1355" s="773"/>
      <c r="E1355" s="300">
        <v>3200</v>
      </c>
      <c r="F1355" s="280"/>
      <c r="G1355" s="6">
        <f t="shared" si="28"/>
        <v>3200</v>
      </c>
    </row>
    <row r="1356" spans="1:8" x14ac:dyDescent="0.25">
      <c r="A1356" s="113">
        <v>43714</v>
      </c>
      <c r="B1356" s="10" t="s">
        <v>5227</v>
      </c>
      <c r="C1356" s="11" t="s">
        <v>169</v>
      </c>
      <c r="E1356" s="8">
        <v>162425</v>
      </c>
      <c r="G1356" s="6">
        <f t="shared" si="28"/>
        <v>162425</v>
      </c>
    </row>
    <row r="1357" spans="1:8" x14ac:dyDescent="0.25">
      <c r="A1357" s="113">
        <v>43714</v>
      </c>
      <c r="B1357" s="10" t="s">
        <v>2933</v>
      </c>
      <c r="C1357" s="11" t="s">
        <v>3011</v>
      </c>
      <c r="E1357" s="8">
        <v>103497</v>
      </c>
      <c r="G1357" s="6">
        <f t="shared" si="28"/>
        <v>103497</v>
      </c>
    </row>
    <row r="1358" spans="1:8" x14ac:dyDescent="0.25">
      <c r="A1358" s="113">
        <v>43714</v>
      </c>
      <c r="B1358" s="10" t="s">
        <v>2652</v>
      </c>
      <c r="C1358" s="11" t="s">
        <v>3011</v>
      </c>
      <c r="E1358" s="8">
        <v>7052</v>
      </c>
      <c r="G1358" s="6">
        <f t="shared" si="28"/>
        <v>7052</v>
      </c>
    </row>
    <row r="1359" spans="1:8" x14ac:dyDescent="0.25">
      <c r="A1359" s="113">
        <v>43720</v>
      </c>
      <c r="B1359" s="10" t="s">
        <v>5227</v>
      </c>
      <c r="C1359" s="11" t="s">
        <v>169</v>
      </c>
      <c r="E1359" s="8">
        <v>129340</v>
      </c>
      <c r="G1359" s="6">
        <f t="shared" si="28"/>
        <v>129340</v>
      </c>
    </row>
    <row r="1360" spans="1:8" x14ac:dyDescent="0.25">
      <c r="A1360" s="113">
        <v>43720</v>
      </c>
      <c r="B1360" s="10" t="s">
        <v>1400</v>
      </c>
      <c r="C1360" s="150" t="s">
        <v>1803</v>
      </c>
      <c r="E1360" s="8">
        <v>20115</v>
      </c>
      <c r="G1360" s="6">
        <f t="shared" si="28"/>
        <v>20115</v>
      </c>
    </row>
    <row r="1361" spans="1:8" x14ac:dyDescent="0.25">
      <c r="A1361" s="113">
        <v>43720</v>
      </c>
      <c r="B1361" s="10" t="s">
        <v>2652</v>
      </c>
      <c r="C1361" s="11" t="s">
        <v>1803</v>
      </c>
      <c r="E1361" s="8">
        <v>1789</v>
      </c>
      <c r="G1361" s="6">
        <f t="shared" si="28"/>
        <v>1789</v>
      </c>
    </row>
    <row r="1362" spans="1:8" x14ac:dyDescent="0.25">
      <c r="A1362" s="113">
        <v>43720</v>
      </c>
      <c r="B1362" s="10" t="s">
        <v>2652</v>
      </c>
      <c r="C1362" s="11" t="s">
        <v>1803</v>
      </c>
      <c r="E1362" s="8">
        <v>2174</v>
      </c>
      <c r="G1362" s="6">
        <f t="shared" si="28"/>
        <v>2174</v>
      </c>
    </row>
    <row r="1363" spans="1:8" x14ac:dyDescent="0.25">
      <c r="A1363" s="113">
        <v>43720</v>
      </c>
      <c r="B1363" s="10" t="s">
        <v>2652</v>
      </c>
      <c r="C1363" s="11" t="s">
        <v>1803</v>
      </c>
      <c r="E1363" s="8">
        <v>3559</v>
      </c>
      <c r="G1363" s="6">
        <f t="shared" si="28"/>
        <v>3559</v>
      </c>
    </row>
    <row r="1364" spans="1:8" x14ac:dyDescent="0.25">
      <c r="A1364" s="113">
        <v>43720</v>
      </c>
      <c r="B1364" s="10" t="s">
        <v>2652</v>
      </c>
      <c r="C1364" s="11" t="s">
        <v>1803</v>
      </c>
      <c r="E1364" s="8">
        <v>19080</v>
      </c>
      <c r="G1364" s="6">
        <f t="shared" si="28"/>
        <v>19080</v>
      </c>
    </row>
    <row r="1365" spans="1:8" x14ac:dyDescent="0.25">
      <c r="A1365" s="113">
        <v>43720</v>
      </c>
      <c r="B1365" s="10" t="s">
        <v>1400</v>
      </c>
      <c r="C1365" s="11" t="s">
        <v>1803</v>
      </c>
      <c r="E1365" s="8">
        <v>3408</v>
      </c>
      <c r="G1365" s="6">
        <f t="shared" si="28"/>
        <v>3408</v>
      </c>
    </row>
    <row r="1366" spans="1:8" x14ac:dyDescent="0.25">
      <c r="A1366" s="113">
        <v>43724</v>
      </c>
      <c r="B1366" s="10" t="s">
        <v>5227</v>
      </c>
      <c r="C1366" s="11" t="s">
        <v>169</v>
      </c>
      <c r="E1366" s="8">
        <v>258180</v>
      </c>
      <c r="G1366" s="6">
        <f t="shared" si="28"/>
        <v>258180</v>
      </c>
    </row>
    <row r="1367" spans="1:8" x14ac:dyDescent="0.25">
      <c r="A1367" s="113">
        <v>43724</v>
      </c>
      <c r="B1367" s="10" t="s">
        <v>5227</v>
      </c>
      <c r="C1367" s="11" t="s">
        <v>169</v>
      </c>
      <c r="E1367" s="8">
        <v>65170</v>
      </c>
      <c r="G1367" s="6">
        <f t="shared" si="28"/>
        <v>65170</v>
      </c>
    </row>
    <row r="1368" spans="1:8" x14ac:dyDescent="0.25">
      <c r="A1368" s="113">
        <v>43724</v>
      </c>
      <c r="B1368" s="10" t="s">
        <v>5227</v>
      </c>
      <c r="C1368" s="11" t="s">
        <v>169</v>
      </c>
      <c r="E1368" s="8">
        <v>45027</v>
      </c>
      <c r="G1368" s="6">
        <f t="shared" si="28"/>
        <v>45027</v>
      </c>
    </row>
    <row r="1369" spans="1:8" x14ac:dyDescent="0.25">
      <c r="A1369" s="113">
        <v>43724</v>
      </c>
      <c r="B1369" s="10" t="s">
        <v>5227</v>
      </c>
      <c r="C1369" s="11" t="s">
        <v>169</v>
      </c>
      <c r="E1369" s="8">
        <v>13100</v>
      </c>
      <c r="G1369" s="6">
        <f t="shared" si="28"/>
        <v>13100</v>
      </c>
    </row>
    <row r="1370" spans="1:8" x14ac:dyDescent="0.25">
      <c r="A1370" s="113">
        <v>43724</v>
      </c>
      <c r="B1370" s="10" t="s">
        <v>1400</v>
      </c>
      <c r="C1370" s="11" t="s">
        <v>166</v>
      </c>
      <c r="D1370" s="773"/>
      <c r="E1370" s="22">
        <v>27320</v>
      </c>
      <c r="F1370" s="280"/>
      <c r="G1370" s="6">
        <f t="shared" si="28"/>
        <v>27320</v>
      </c>
    </row>
    <row r="1371" spans="1:8" x14ac:dyDescent="0.25">
      <c r="A1371" s="113">
        <v>43724</v>
      </c>
      <c r="B1371" s="10" t="s">
        <v>2652</v>
      </c>
      <c r="C1371" s="11" t="s">
        <v>166</v>
      </c>
      <c r="D1371" s="773"/>
      <c r="E1371" s="22">
        <v>9600</v>
      </c>
      <c r="F1371" s="280"/>
      <c r="G1371" s="6">
        <f t="shared" si="28"/>
        <v>9600</v>
      </c>
    </row>
    <row r="1372" spans="1:8" x14ac:dyDescent="0.25">
      <c r="A1372" s="113">
        <v>43724</v>
      </c>
      <c r="B1372" s="10" t="s">
        <v>5227</v>
      </c>
      <c r="C1372" s="11" t="s">
        <v>3011</v>
      </c>
      <c r="E1372" s="8">
        <v>42936</v>
      </c>
      <c r="G1372" s="6">
        <f t="shared" si="28"/>
        <v>42936</v>
      </c>
    </row>
    <row r="1373" spans="1:8" x14ac:dyDescent="0.25">
      <c r="A1373" s="113">
        <v>43724</v>
      </c>
      <c r="B1373" s="10" t="s">
        <v>2652</v>
      </c>
      <c r="C1373" s="11" t="s">
        <v>3011</v>
      </c>
      <c r="E1373" s="8">
        <v>54712</v>
      </c>
      <c r="G1373" s="6">
        <f t="shared" si="28"/>
        <v>54712</v>
      </c>
    </row>
    <row r="1374" spans="1:8" x14ac:dyDescent="0.25">
      <c r="A1374" s="113">
        <v>43729</v>
      </c>
      <c r="B1374" s="10" t="s">
        <v>2652</v>
      </c>
      <c r="C1374" s="11" t="s">
        <v>3011</v>
      </c>
      <c r="F1374" s="9">
        <v>200000</v>
      </c>
      <c r="G1374" s="6">
        <f t="shared" si="28"/>
        <v>-200000</v>
      </c>
      <c r="H1374" s="78" t="s">
        <v>5302</v>
      </c>
    </row>
    <row r="1375" spans="1:8" x14ac:dyDescent="0.25">
      <c r="A1375" s="113">
        <v>43729</v>
      </c>
      <c r="B1375" s="10" t="s">
        <v>2933</v>
      </c>
      <c r="C1375" s="11" t="s">
        <v>3011</v>
      </c>
      <c r="F1375" s="9">
        <v>50000</v>
      </c>
      <c r="G1375" s="6">
        <f t="shared" si="28"/>
        <v>-50000</v>
      </c>
      <c r="H1375" s="80"/>
    </row>
    <row r="1376" spans="1:8" x14ac:dyDescent="0.25">
      <c r="A1376" s="113">
        <v>43729</v>
      </c>
      <c r="B1376" s="10" t="s">
        <v>2933</v>
      </c>
      <c r="C1376" s="11" t="s">
        <v>3011</v>
      </c>
      <c r="F1376" s="9">
        <v>16000</v>
      </c>
      <c r="G1376" s="6">
        <f t="shared" si="28"/>
        <v>-16000</v>
      </c>
      <c r="H1376" s="31" t="s">
        <v>5309</v>
      </c>
    </row>
    <row r="1377" spans="1:7" x14ac:dyDescent="0.25">
      <c r="A1377" s="113">
        <v>43732</v>
      </c>
      <c r="B1377" s="10" t="s">
        <v>5227</v>
      </c>
      <c r="C1377" s="11" t="s">
        <v>169</v>
      </c>
      <c r="E1377" s="8">
        <v>10850</v>
      </c>
      <c r="G1377" s="6">
        <f t="shared" si="28"/>
        <v>10850</v>
      </c>
    </row>
    <row r="1378" spans="1:7" x14ac:dyDescent="0.25">
      <c r="A1378" s="113">
        <v>43728</v>
      </c>
      <c r="B1378" s="10" t="s">
        <v>5227</v>
      </c>
      <c r="C1378" s="11" t="s">
        <v>169</v>
      </c>
      <c r="E1378" s="8">
        <v>65170</v>
      </c>
      <c r="G1378" s="6">
        <f t="shared" si="28"/>
        <v>65170</v>
      </c>
    </row>
    <row r="1379" spans="1:7" x14ac:dyDescent="0.25">
      <c r="A1379" s="113">
        <v>43732</v>
      </c>
      <c r="B1379" s="10" t="s">
        <v>5227</v>
      </c>
      <c r="C1379" s="11" t="s">
        <v>169</v>
      </c>
      <c r="E1379" s="8">
        <v>17844</v>
      </c>
      <c r="G1379" s="6">
        <f t="shared" si="28"/>
        <v>17844</v>
      </c>
    </row>
    <row r="1380" spans="1:7" x14ac:dyDescent="0.25">
      <c r="A1380" s="113">
        <v>43714</v>
      </c>
      <c r="B1380" s="10" t="s">
        <v>5227</v>
      </c>
      <c r="C1380" s="11" t="s">
        <v>166</v>
      </c>
      <c r="E1380" s="8">
        <v>6400</v>
      </c>
      <c r="G1380" s="6">
        <f t="shared" si="28"/>
        <v>6400</v>
      </c>
    </row>
    <row r="1381" spans="1:7" x14ac:dyDescent="0.25">
      <c r="A1381" s="113">
        <v>43736</v>
      </c>
      <c r="B1381" s="10" t="s">
        <v>1400</v>
      </c>
      <c r="C1381" s="11" t="s">
        <v>1815</v>
      </c>
      <c r="E1381" s="8">
        <v>64879</v>
      </c>
      <c r="G1381" s="6">
        <f t="shared" si="28"/>
        <v>64879</v>
      </c>
    </row>
    <row r="1382" spans="1:7" x14ac:dyDescent="0.25">
      <c r="A1382" s="113">
        <v>43745</v>
      </c>
      <c r="B1382" s="10" t="s">
        <v>2652</v>
      </c>
      <c r="C1382" s="11" t="s">
        <v>1803</v>
      </c>
      <c r="E1382" s="8">
        <v>5699</v>
      </c>
      <c r="G1382" s="6">
        <f t="shared" si="28"/>
        <v>5699</v>
      </c>
    </row>
    <row r="1383" spans="1:7" x14ac:dyDescent="0.25">
      <c r="A1383" s="113">
        <v>43745</v>
      </c>
      <c r="B1383" s="10" t="s">
        <v>2933</v>
      </c>
      <c r="C1383" s="11" t="s">
        <v>1803</v>
      </c>
      <c r="E1383" s="8">
        <v>22119</v>
      </c>
      <c r="G1383" s="6">
        <f t="shared" si="28"/>
        <v>22119</v>
      </c>
    </row>
    <row r="1384" spans="1:7" x14ac:dyDescent="0.25">
      <c r="A1384" s="113">
        <v>43745</v>
      </c>
      <c r="B1384" s="10" t="s">
        <v>1400</v>
      </c>
      <c r="C1384" s="11" t="s">
        <v>1803</v>
      </c>
      <c r="E1384" s="8">
        <v>2259</v>
      </c>
      <c r="G1384" s="6">
        <f t="shared" si="28"/>
        <v>2259</v>
      </c>
    </row>
    <row r="1385" spans="1:7" x14ac:dyDescent="0.25">
      <c r="A1385" s="113">
        <v>43745</v>
      </c>
      <c r="B1385" s="10" t="s">
        <v>2652</v>
      </c>
      <c r="C1385" s="11" t="s">
        <v>1803</v>
      </c>
      <c r="E1385" s="8">
        <v>3802</v>
      </c>
      <c r="G1385" s="6">
        <f t="shared" si="28"/>
        <v>3802</v>
      </c>
    </row>
    <row r="1386" spans="1:7" x14ac:dyDescent="0.25">
      <c r="A1386" s="113">
        <v>43745</v>
      </c>
      <c r="B1386" s="10" t="s">
        <v>1400</v>
      </c>
      <c r="C1386" s="11" t="s">
        <v>1803</v>
      </c>
      <c r="E1386" s="8">
        <v>7250</v>
      </c>
      <c r="G1386" s="6">
        <f t="shared" si="28"/>
        <v>7250</v>
      </c>
    </row>
    <row r="1387" spans="1:7" x14ac:dyDescent="0.25">
      <c r="A1387" s="113">
        <v>43745</v>
      </c>
      <c r="B1387" s="10" t="s">
        <v>5320</v>
      </c>
      <c r="C1387" s="11" t="s">
        <v>1803</v>
      </c>
      <c r="E1387" s="8">
        <v>42521</v>
      </c>
      <c r="G1387" s="6">
        <f t="shared" si="28"/>
        <v>42521</v>
      </c>
    </row>
    <row r="1388" spans="1:7" x14ac:dyDescent="0.25">
      <c r="A1388" s="113">
        <v>43745</v>
      </c>
      <c r="B1388" s="10" t="s">
        <v>2652</v>
      </c>
      <c r="C1388" s="11" t="s">
        <v>1803</v>
      </c>
      <c r="E1388" s="8">
        <v>1510</v>
      </c>
      <c r="G1388" s="6">
        <f t="shared" si="28"/>
        <v>1510</v>
      </c>
    </row>
    <row r="1389" spans="1:7" x14ac:dyDescent="0.25">
      <c r="A1389" s="113">
        <v>43745</v>
      </c>
      <c r="B1389" s="10" t="s">
        <v>1400</v>
      </c>
      <c r="C1389" s="11" t="s">
        <v>1803</v>
      </c>
      <c r="E1389" s="8">
        <v>1790</v>
      </c>
      <c r="G1389" s="6">
        <f t="shared" si="28"/>
        <v>1790</v>
      </c>
    </row>
    <row r="1390" spans="1:7" x14ac:dyDescent="0.25">
      <c r="A1390" s="113">
        <v>43745</v>
      </c>
      <c r="B1390" s="10" t="s">
        <v>1400</v>
      </c>
      <c r="C1390" s="11" t="s">
        <v>1803</v>
      </c>
      <c r="E1390" s="8">
        <v>18596</v>
      </c>
      <c r="G1390" s="6">
        <f t="shared" si="28"/>
        <v>18596</v>
      </c>
    </row>
    <row r="1391" spans="1:7" x14ac:dyDescent="0.25">
      <c r="A1391" s="113">
        <v>43745</v>
      </c>
      <c r="B1391" s="10" t="s">
        <v>2652</v>
      </c>
      <c r="C1391" s="11" t="s">
        <v>1803</v>
      </c>
      <c r="E1391" s="8">
        <v>14805</v>
      </c>
      <c r="G1391" s="6">
        <f t="shared" si="28"/>
        <v>14805</v>
      </c>
    </row>
    <row r="1392" spans="1:7" x14ac:dyDescent="0.25">
      <c r="A1392" s="113">
        <v>43745</v>
      </c>
      <c r="B1392" s="10" t="s">
        <v>5320</v>
      </c>
      <c r="C1392" s="11" t="s">
        <v>1803</v>
      </c>
      <c r="E1392" s="8">
        <v>10158</v>
      </c>
      <c r="G1392" s="6">
        <f t="shared" si="28"/>
        <v>10158</v>
      </c>
    </row>
    <row r="1393" spans="1:8" x14ac:dyDescent="0.25">
      <c r="A1393" s="113">
        <v>43745</v>
      </c>
      <c r="B1393" s="10" t="s">
        <v>18</v>
      </c>
      <c r="C1393" s="11" t="s">
        <v>1803</v>
      </c>
      <c r="E1393" s="8">
        <v>998</v>
      </c>
      <c r="G1393" s="6">
        <f t="shared" si="28"/>
        <v>998</v>
      </c>
    </row>
    <row r="1394" spans="1:8" x14ac:dyDescent="0.25">
      <c r="A1394" s="113">
        <v>43748</v>
      </c>
      <c r="B1394" s="10" t="s">
        <v>5227</v>
      </c>
      <c r="C1394" s="11" t="s">
        <v>169</v>
      </c>
      <c r="E1394" s="8">
        <v>46332</v>
      </c>
      <c r="G1394" s="6">
        <f t="shared" si="28"/>
        <v>46332</v>
      </c>
    </row>
    <row r="1395" spans="1:8" x14ac:dyDescent="0.25">
      <c r="A1395" s="113">
        <v>43748</v>
      </c>
      <c r="B1395" s="10" t="s">
        <v>2933</v>
      </c>
      <c r="C1395" s="11" t="s">
        <v>169</v>
      </c>
      <c r="E1395" s="8">
        <v>1190</v>
      </c>
      <c r="G1395" s="6">
        <f t="shared" si="28"/>
        <v>1190</v>
      </c>
    </row>
    <row r="1396" spans="1:8" x14ac:dyDescent="0.25">
      <c r="A1396" s="113">
        <v>43748</v>
      </c>
      <c r="B1396" s="10" t="s">
        <v>2652</v>
      </c>
      <c r="C1396" s="11" t="s">
        <v>3011</v>
      </c>
      <c r="E1396" s="8">
        <v>7080</v>
      </c>
      <c r="G1396" s="6">
        <f t="shared" si="28"/>
        <v>7080</v>
      </c>
    </row>
    <row r="1397" spans="1:8" x14ac:dyDescent="0.25">
      <c r="A1397" s="113">
        <v>43748</v>
      </c>
      <c r="B1397" s="10" t="s">
        <v>2933</v>
      </c>
      <c r="C1397" s="11" t="s">
        <v>3011</v>
      </c>
      <c r="E1397" s="8">
        <v>63900</v>
      </c>
      <c r="G1397" s="6">
        <f t="shared" si="28"/>
        <v>63900</v>
      </c>
    </row>
    <row r="1398" spans="1:8" x14ac:dyDescent="0.25">
      <c r="A1398" s="113">
        <v>43748</v>
      </c>
      <c r="B1398" s="10" t="s">
        <v>2933</v>
      </c>
      <c r="C1398" s="11" t="s">
        <v>3011</v>
      </c>
      <c r="F1398" s="9">
        <v>75</v>
      </c>
      <c r="G1398" s="6">
        <f t="shared" si="28"/>
        <v>-75</v>
      </c>
      <c r="H1398" s="7" t="s">
        <v>3918</v>
      </c>
    </row>
    <row r="1399" spans="1:8" x14ac:dyDescent="0.25">
      <c r="A1399" s="113">
        <v>43753</v>
      </c>
      <c r="B1399" s="10" t="s">
        <v>2652</v>
      </c>
      <c r="C1399" s="11" t="s">
        <v>3011</v>
      </c>
      <c r="F1399" s="9">
        <v>6742</v>
      </c>
      <c r="G1399" s="6">
        <f t="shared" si="28"/>
        <v>-6742</v>
      </c>
      <c r="H1399" s="78"/>
    </row>
    <row r="1400" spans="1:8" x14ac:dyDescent="0.25">
      <c r="A1400" s="113">
        <v>43753</v>
      </c>
      <c r="B1400" s="10" t="s">
        <v>2933</v>
      </c>
      <c r="C1400" s="11" t="s">
        <v>3011</v>
      </c>
      <c r="F1400" s="9">
        <v>101322</v>
      </c>
      <c r="G1400" s="6">
        <f t="shared" si="28"/>
        <v>-101322</v>
      </c>
      <c r="H1400" s="79" t="s">
        <v>5561</v>
      </c>
    </row>
    <row r="1401" spans="1:8" x14ac:dyDescent="0.25">
      <c r="A1401" s="113">
        <v>43753</v>
      </c>
      <c r="B1401" s="10" t="s">
        <v>5227</v>
      </c>
      <c r="C1401" s="11" t="s">
        <v>3011</v>
      </c>
      <c r="F1401" s="9">
        <v>42936</v>
      </c>
      <c r="G1401" s="6">
        <f t="shared" si="28"/>
        <v>-42936</v>
      </c>
      <c r="H1401" s="80" t="s">
        <v>5562</v>
      </c>
    </row>
    <row r="1402" spans="1:8" x14ac:dyDescent="0.25">
      <c r="A1402" s="113">
        <v>43755</v>
      </c>
      <c r="B1402" s="10" t="s">
        <v>2652</v>
      </c>
      <c r="C1402" s="11" t="s">
        <v>3011</v>
      </c>
      <c r="E1402" s="8">
        <v>16272</v>
      </c>
      <c r="G1402" s="6">
        <f t="shared" si="28"/>
        <v>16272</v>
      </c>
    </row>
    <row r="1403" spans="1:8" x14ac:dyDescent="0.25">
      <c r="A1403" s="113">
        <v>43767</v>
      </c>
      <c r="B1403" s="10" t="s">
        <v>1400</v>
      </c>
      <c r="C1403" s="11" t="s">
        <v>1815</v>
      </c>
      <c r="E1403" s="8">
        <v>386932</v>
      </c>
      <c r="G1403" s="6">
        <f t="shared" si="28"/>
        <v>386932</v>
      </c>
    </row>
    <row r="1404" spans="1:8" x14ac:dyDescent="0.25">
      <c r="A1404" s="113">
        <v>43769</v>
      </c>
      <c r="B1404" s="10" t="s">
        <v>2933</v>
      </c>
      <c r="C1404" s="11" t="s">
        <v>166</v>
      </c>
      <c r="E1404" s="8">
        <v>13000</v>
      </c>
      <c r="G1404" s="6">
        <f t="shared" si="28"/>
        <v>13000</v>
      </c>
    </row>
    <row r="1405" spans="1:8" x14ac:dyDescent="0.25">
      <c r="A1405" s="113">
        <v>43769</v>
      </c>
      <c r="B1405" s="10" t="s">
        <v>1400</v>
      </c>
      <c r="C1405" s="11" t="s">
        <v>166</v>
      </c>
      <c r="E1405" s="8">
        <v>10700</v>
      </c>
      <c r="G1405" s="6">
        <f t="shared" si="28"/>
        <v>10700</v>
      </c>
    </row>
    <row r="1406" spans="1:8" x14ac:dyDescent="0.25">
      <c r="A1406" s="113">
        <v>43769</v>
      </c>
      <c r="B1406" s="10" t="s">
        <v>1400</v>
      </c>
      <c r="C1406" s="11" t="s">
        <v>166</v>
      </c>
      <c r="E1406" s="8">
        <v>65221</v>
      </c>
      <c r="G1406" s="6">
        <f t="shared" si="28"/>
        <v>65221</v>
      </c>
    </row>
    <row r="1407" spans="1:8" x14ac:dyDescent="0.25">
      <c r="A1407" s="113">
        <v>43769</v>
      </c>
      <c r="B1407" s="10" t="s">
        <v>1400</v>
      </c>
      <c r="C1407" s="11" t="s">
        <v>166</v>
      </c>
      <c r="E1407" s="8">
        <v>92400</v>
      </c>
      <c r="G1407" s="6">
        <f t="shared" si="28"/>
        <v>92400</v>
      </c>
    </row>
    <row r="1408" spans="1:8" x14ac:dyDescent="0.25">
      <c r="A1408" s="113">
        <v>43769</v>
      </c>
      <c r="B1408" s="10" t="s">
        <v>1400</v>
      </c>
      <c r="C1408" s="11" t="s">
        <v>166</v>
      </c>
      <c r="E1408" s="8">
        <v>61600</v>
      </c>
      <c r="G1408" s="6">
        <f t="shared" si="28"/>
        <v>61600</v>
      </c>
    </row>
    <row r="1409" spans="1:8" x14ac:dyDescent="0.25">
      <c r="A1409" s="113">
        <v>43763</v>
      </c>
      <c r="B1409" s="10" t="s">
        <v>2652</v>
      </c>
      <c r="C1409" s="11" t="s">
        <v>1803</v>
      </c>
      <c r="E1409" s="8">
        <v>49612</v>
      </c>
      <c r="G1409" s="6">
        <f t="shared" si="28"/>
        <v>49612</v>
      </c>
      <c r="H1409" s="7" t="s">
        <v>5465</v>
      </c>
    </row>
    <row r="1410" spans="1:8" x14ac:dyDescent="0.25">
      <c r="A1410" s="113">
        <v>43763</v>
      </c>
      <c r="B1410" s="10" t="s">
        <v>1400</v>
      </c>
      <c r="C1410" s="11" t="s">
        <v>1803</v>
      </c>
      <c r="E1410" s="8">
        <v>7099</v>
      </c>
      <c r="G1410" s="6">
        <f t="shared" si="28"/>
        <v>7099</v>
      </c>
    </row>
    <row r="1411" spans="1:8" x14ac:dyDescent="0.25">
      <c r="A1411" s="113">
        <v>43763</v>
      </c>
      <c r="B1411" s="10" t="s">
        <v>1400</v>
      </c>
      <c r="C1411" s="11" t="s">
        <v>1803</v>
      </c>
      <c r="E1411" s="8">
        <v>17180</v>
      </c>
      <c r="G1411" s="6">
        <f t="shared" si="28"/>
        <v>17180</v>
      </c>
    </row>
    <row r="1412" spans="1:8" x14ac:dyDescent="0.25">
      <c r="A1412" s="113">
        <v>43763</v>
      </c>
      <c r="B1412" s="10" t="s">
        <v>2652</v>
      </c>
      <c r="C1412" s="11" t="s">
        <v>1803</v>
      </c>
      <c r="E1412" s="8">
        <v>150448</v>
      </c>
      <c r="G1412" s="6">
        <f t="shared" si="28"/>
        <v>150448</v>
      </c>
    </row>
    <row r="1413" spans="1:8" x14ac:dyDescent="0.25">
      <c r="A1413" s="113">
        <v>43763</v>
      </c>
      <c r="B1413" s="10" t="s">
        <v>2652</v>
      </c>
      <c r="C1413" s="11" t="s">
        <v>1803</v>
      </c>
      <c r="E1413" s="8">
        <v>7570</v>
      </c>
      <c r="G1413" s="6">
        <f t="shared" si="28"/>
        <v>7570</v>
      </c>
    </row>
    <row r="1414" spans="1:8" x14ac:dyDescent="0.25">
      <c r="A1414" s="113">
        <v>43763</v>
      </c>
      <c r="B1414" s="10" t="s">
        <v>1400</v>
      </c>
      <c r="C1414" s="11" t="s">
        <v>1803</v>
      </c>
      <c r="E1414" s="8">
        <v>7422</v>
      </c>
      <c r="G1414" s="6">
        <f t="shared" si="28"/>
        <v>7422</v>
      </c>
    </row>
    <row r="1415" spans="1:8" ht="16.5" thickBot="1" x14ac:dyDescent="0.3">
      <c r="A1415" s="113">
        <v>43763</v>
      </c>
      <c r="B1415" s="10" t="s">
        <v>2652</v>
      </c>
      <c r="C1415" s="11" t="s">
        <v>1803</v>
      </c>
      <c r="E1415" s="8">
        <v>25000</v>
      </c>
      <c r="G1415" s="6">
        <f t="shared" si="28"/>
        <v>25000</v>
      </c>
    </row>
    <row r="1416" spans="1:8" ht="16.5" thickBot="1" x14ac:dyDescent="0.3">
      <c r="A1416" s="113">
        <v>43775</v>
      </c>
      <c r="B1416" s="10" t="s">
        <v>5227</v>
      </c>
      <c r="C1416" s="11" t="s">
        <v>169</v>
      </c>
      <c r="E1416" s="109"/>
      <c r="F1416" s="375">
        <v>500000</v>
      </c>
      <c r="G1416" s="6">
        <f t="shared" si="28"/>
        <v>-500000</v>
      </c>
      <c r="H1416" s="377" t="s">
        <v>5504</v>
      </c>
    </row>
    <row r="1417" spans="1:8" x14ac:dyDescent="0.25">
      <c r="A1417" s="113">
        <v>43775</v>
      </c>
      <c r="B1417" s="10" t="s">
        <v>2933</v>
      </c>
      <c r="C1417" s="11" t="s">
        <v>166</v>
      </c>
      <c r="E1417" s="109"/>
      <c r="F1417" s="375">
        <v>38449</v>
      </c>
      <c r="G1417" s="6">
        <f t="shared" si="28"/>
        <v>-38449</v>
      </c>
      <c r="H1417" s="378"/>
    </row>
    <row r="1418" spans="1:8" x14ac:dyDescent="0.25">
      <c r="A1418" s="113">
        <v>43775</v>
      </c>
      <c r="B1418" s="10" t="s">
        <v>1400</v>
      </c>
      <c r="C1418" s="11" t="s">
        <v>166</v>
      </c>
      <c r="E1418" s="109"/>
      <c r="F1418" s="376">
        <f>260441-14890</f>
        <v>245551</v>
      </c>
      <c r="G1418" s="6">
        <f t="shared" si="28"/>
        <v>-245551</v>
      </c>
      <c r="H1418" s="379"/>
    </row>
    <row r="1419" spans="1:8" x14ac:dyDescent="0.25">
      <c r="A1419" s="113">
        <v>43775</v>
      </c>
      <c r="B1419" s="10" t="s">
        <v>2652</v>
      </c>
      <c r="C1419" s="11" t="s">
        <v>166</v>
      </c>
      <c r="E1419" s="109"/>
      <c r="F1419" s="376">
        <v>9600</v>
      </c>
      <c r="G1419" s="6">
        <f t="shared" si="28"/>
        <v>-9600</v>
      </c>
      <c r="H1419" s="379" t="s">
        <v>5505</v>
      </c>
    </row>
    <row r="1420" spans="1:8" x14ac:dyDescent="0.25">
      <c r="A1420" s="113">
        <v>43775</v>
      </c>
      <c r="B1420" s="10" t="s">
        <v>5227</v>
      </c>
      <c r="C1420" s="11" t="s">
        <v>166</v>
      </c>
      <c r="E1420" s="109"/>
      <c r="F1420" s="376">
        <v>6400</v>
      </c>
      <c r="G1420" s="6">
        <f t="shared" si="28"/>
        <v>-6400</v>
      </c>
      <c r="H1420" s="379"/>
    </row>
    <row r="1421" spans="1:8" x14ac:dyDescent="0.25">
      <c r="A1421" s="113">
        <v>43775</v>
      </c>
      <c r="B1421" s="10" t="s">
        <v>2933</v>
      </c>
      <c r="C1421" s="11" t="s">
        <v>161</v>
      </c>
      <c r="E1421" s="8">
        <v>158880</v>
      </c>
      <c r="G1421" s="6">
        <f t="shared" si="28"/>
        <v>158880</v>
      </c>
    </row>
    <row r="1422" spans="1:8" x14ac:dyDescent="0.25">
      <c r="A1422" s="113">
        <v>43775</v>
      </c>
      <c r="B1422" s="10" t="s">
        <v>2933</v>
      </c>
      <c r="C1422" s="11" t="s">
        <v>161</v>
      </c>
      <c r="F1422" s="9">
        <v>443</v>
      </c>
      <c r="G1422" s="6">
        <f t="shared" si="28"/>
        <v>-443</v>
      </c>
      <c r="H1422" s="7" t="s">
        <v>3918</v>
      </c>
    </row>
    <row r="1423" spans="1:8" x14ac:dyDescent="0.25">
      <c r="A1423" s="113">
        <v>43781</v>
      </c>
      <c r="B1423" s="10" t="s">
        <v>5548</v>
      </c>
      <c r="C1423" s="11" t="s">
        <v>169</v>
      </c>
      <c r="E1423" s="8">
        <v>2500</v>
      </c>
      <c r="G1423" s="6">
        <f t="shared" si="28"/>
        <v>2500</v>
      </c>
    </row>
    <row r="1424" spans="1:8" x14ac:dyDescent="0.25">
      <c r="A1424" s="113">
        <v>43781</v>
      </c>
      <c r="B1424" s="10" t="s">
        <v>5548</v>
      </c>
      <c r="C1424" s="11" t="s">
        <v>169</v>
      </c>
      <c r="E1424" s="8">
        <v>3450</v>
      </c>
      <c r="G1424" s="6">
        <f t="shared" si="28"/>
        <v>3450</v>
      </c>
    </row>
    <row r="1425" spans="1:8" x14ac:dyDescent="0.25">
      <c r="A1425" s="113">
        <v>43781</v>
      </c>
      <c r="B1425" s="10" t="s">
        <v>1400</v>
      </c>
      <c r="C1425" s="11" t="s">
        <v>1815</v>
      </c>
      <c r="E1425" s="8">
        <v>154606</v>
      </c>
      <c r="G1425" s="6">
        <f t="shared" si="28"/>
        <v>154606</v>
      </c>
    </row>
    <row r="1426" spans="1:8" x14ac:dyDescent="0.25">
      <c r="A1426" s="113">
        <v>43781</v>
      </c>
      <c r="B1426" s="10" t="s">
        <v>1400</v>
      </c>
      <c r="C1426" s="11" t="s">
        <v>1815</v>
      </c>
      <c r="E1426" s="8">
        <v>43839</v>
      </c>
      <c r="G1426" s="6">
        <f t="shared" si="28"/>
        <v>43839</v>
      </c>
    </row>
    <row r="1427" spans="1:8" x14ac:dyDescent="0.25">
      <c r="A1427" s="113">
        <v>43781</v>
      </c>
      <c r="B1427" s="10" t="s">
        <v>2933</v>
      </c>
      <c r="C1427" s="11" t="s">
        <v>3011</v>
      </c>
      <c r="E1427" s="8">
        <v>22656</v>
      </c>
      <c r="G1427" s="6">
        <f t="shared" si="28"/>
        <v>22656</v>
      </c>
    </row>
    <row r="1428" spans="1:8" x14ac:dyDescent="0.25">
      <c r="A1428" s="113">
        <v>43781</v>
      </c>
      <c r="B1428" s="10" t="s">
        <v>2652</v>
      </c>
      <c r="C1428" s="11" t="s">
        <v>3011</v>
      </c>
      <c r="E1428" s="8">
        <v>71887</v>
      </c>
      <c r="G1428" s="6">
        <f t="shared" si="28"/>
        <v>71887</v>
      </c>
    </row>
    <row r="1429" spans="1:8" x14ac:dyDescent="0.25">
      <c r="A1429" s="113">
        <v>43781</v>
      </c>
      <c r="B1429" s="10" t="s">
        <v>2652</v>
      </c>
      <c r="C1429" s="11" t="s">
        <v>3011</v>
      </c>
      <c r="E1429" s="8">
        <v>114000</v>
      </c>
      <c r="G1429" s="6">
        <f t="shared" si="28"/>
        <v>114000</v>
      </c>
    </row>
    <row r="1430" spans="1:8" x14ac:dyDescent="0.25">
      <c r="A1430" s="113">
        <v>43781</v>
      </c>
      <c r="B1430" s="10" t="s">
        <v>3733</v>
      </c>
      <c r="C1430" s="11" t="s">
        <v>3011</v>
      </c>
      <c r="E1430" s="8">
        <v>10278</v>
      </c>
      <c r="G1430" s="6">
        <f t="shared" si="28"/>
        <v>10278</v>
      </c>
    </row>
    <row r="1431" spans="1:8" x14ac:dyDescent="0.25">
      <c r="A1431" s="113">
        <v>43781</v>
      </c>
      <c r="B1431" s="10" t="s">
        <v>1400</v>
      </c>
      <c r="C1431" s="11" t="s">
        <v>3011</v>
      </c>
      <c r="E1431" s="8">
        <v>14000</v>
      </c>
      <c r="G1431" s="6">
        <f t="shared" si="28"/>
        <v>14000</v>
      </c>
    </row>
    <row r="1432" spans="1:8" x14ac:dyDescent="0.25">
      <c r="A1432" s="113">
        <v>43781</v>
      </c>
      <c r="B1432" s="10" t="s">
        <v>2652</v>
      </c>
      <c r="C1432" s="11" t="s">
        <v>3011</v>
      </c>
      <c r="F1432" s="9">
        <v>100000</v>
      </c>
      <c r="G1432" s="6">
        <f t="shared" si="28"/>
        <v>-100000</v>
      </c>
    </row>
    <row r="1433" spans="1:8" x14ac:dyDescent="0.25">
      <c r="A1433" s="113">
        <v>43781</v>
      </c>
      <c r="B1433" s="10" t="s">
        <v>2933</v>
      </c>
      <c r="C1433" s="11" t="s">
        <v>161</v>
      </c>
      <c r="F1433" s="9">
        <v>158880</v>
      </c>
      <c r="G1433" s="6">
        <f t="shared" si="28"/>
        <v>-158880</v>
      </c>
      <c r="H1433" s="31" t="s">
        <v>5564</v>
      </c>
    </row>
    <row r="1434" spans="1:8" x14ac:dyDescent="0.25">
      <c r="A1434" s="113">
        <v>43782</v>
      </c>
      <c r="B1434" s="10" t="s">
        <v>2652</v>
      </c>
      <c r="C1434" s="11" t="s">
        <v>1803</v>
      </c>
      <c r="E1434" s="8">
        <v>23543</v>
      </c>
      <c r="G1434" s="6">
        <f t="shared" si="28"/>
        <v>23543</v>
      </c>
    </row>
    <row r="1435" spans="1:8" x14ac:dyDescent="0.25">
      <c r="A1435" s="113">
        <v>43812</v>
      </c>
      <c r="B1435" s="10" t="s">
        <v>5548</v>
      </c>
      <c r="C1435" s="11" t="s">
        <v>1803</v>
      </c>
      <c r="E1435" s="8">
        <v>41183</v>
      </c>
      <c r="G1435" s="6">
        <f t="shared" ref="G1435:G1538" si="29">E1435-F1435</f>
        <v>41183</v>
      </c>
    </row>
    <row r="1436" spans="1:8" x14ac:dyDescent="0.25">
      <c r="A1436" s="113">
        <v>43812</v>
      </c>
      <c r="B1436" s="10" t="s">
        <v>5548</v>
      </c>
      <c r="C1436" s="11" t="s">
        <v>1803</v>
      </c>
      <c r="E1436" s="8">
        <v>58230</v>
      </c>
      <c r="G1436" s="6">
        <f t="shared" si="29"/>
        <v>58230</v>
      </c>
    </row>
    <row r="1437" spans="1:8" x14ac:dyDescent="0.25">
      <c r="A1437" s="113">
        <v>43812</v>
      </c>
      <c r="B1437" s="10" t="s">
        <v>5548</v>
      </c>
      <c r="C1437" s="11" t="s">
        <v>1803</v>
      </c>
      <c r="E1437" s="8">
        <v>2926</v>
      </c>
      <c r="G1437" s="6">
        <f t="shared" si="29"/>
        <v>2926</v>
      </c>
    </row>
    <row r="1438" spans="1:8" x14ac:dyDescent="0.25">
      <c r="A1438" s="113">
        <v>43812</v>
      </c>
      <c r="B1438" s="10" t="s">
        <v>1400</v>
      </c>
      <c r="C1438" s="11" t="s">
        <v>1803</v>
      </c>
      <c r="E1438" s="8">
        <v>17270</v>
      </c>
      <c r="G1438" s="6">
        <f t="shared" si="29"/>
        <v>17270</v>
      </c>
    </row>
    <row r="1439" spans="1:8" x14ac:dyDescent="0.25">
      <c r="A1439" s="113">
        <v>43812</v>
      </c>
      <c r="B1439" s="10" t="s">
        <v>2652</v>
      </c>
      <c r="C1439" s="11" t="s">
        <v>1803</v>
      </c>
      <c r="E1439" s="8">
        <v>15882</v>
      </c>
      <c r="G1439" s="6">
        <f t="shared" si="29"/>
        <v>15882</v>
      </c>
    </row>
    <row r="1440" spans="1:8" x14ac:dyDescent="0.25">
      <c r="A1440" s="113">
        <v>43812</v>
      </c>
      <c r="B1440" s="10" t="s">
        <v>2652</v>
      </c>
      <c r="C1440" s="11" t="s">
        <v>1803</v>
      </c>
      <c r="E1440" s="8">
        <v>21770</v>
      </c>
      <c r="G1440" s="6">
        <f t="shared" si="29"/>
        <v>21770</v>
      </c>
    </row>
    <row r="1441" spans="1:8" x14ac:dyDescent="0.25">
      <c r="A1441" s="113">
        <v>43812</v>
      </c>
      <c r="B1441" s="10" t="s">
        <v>2652</v>
      </c>
      <c r="C1441" s="11" t="s">
        <v>1803</v>
      </c>
      <c r="E1441" s="8">
        <v>3427</v>
      </c>
      <c r="G1441" s="6">
        <f t="shared" si="29"/>
        <v>3427</v>
      </c>
    </row>
    <row r="1442" spans="1:8" x14ac:dyDescent="0.25">
      <c r="A1442" s="113">
        <v>43812</v>
      </c>
      <c r="B1442" s="10" t="s">
        <v>1400</v>
      </c>
      <c r="C1442" s="11" t="s">
        <v>1803</v>
      </c>
      <c r="E1442" s="8">
        <v>3296</v>
      </c>
      <c r="G1442" s="6">
        <f t="shared" si="29"/>
        <v>3296</v>
      </c>
    </row>
    <row r="1443" spans="1:8" x14ac:dyDescent="0.25">
      <c r="A1443" s="113">
        <v>43812</v>
      </c>
      <c r="B1443" s="10" t="s">
        <v>1400</v>
      </c>
      <c r="C1443" s="11" t="s">
        <v>1803</v>
      </c>
      <c r="E1443" s="8">
        <v>20063</v>
      </c>
      <c r="G1443" s="6">
        <f t="shared" si="29"/>
        <v>20063</v>
      </c>
    </row>
    <row r="1444" spans="1:8" x14ac:dyDescent="0.25">
      <c r="A1444" s="113">
        <v>43812</v>
      </c>
      <c r="B1444" s="10" t="s">
        <v>2652</v>
      </c>
      <c r="C1444" s="11" t="s">
        <v>1803</v>
      </c>
      <c r="E1444" s="8">
        <v>60884</v>
      </c>
      <c r="G1444" s="6">
        <f t="shared" si="29"/>
        <v>60884</v>
      </c>
    </row>
    <row r="1445" spans="1:8" x14ac:dyDescent="0.25">
      <c r="A1445" s="113">
        <v>43812</v>
      </c>
      <c r="B1445" s="10" t="s">
        <v>1400</v>
      </c>
      <c r="C1445" s="11" t="s">
        <v>166</v>
      </c>
      <c r="E1445" s="8">
        <v>92400</v>
      </c>
      <c r="G1445" s="6">
        <f t="shared" si="29"/>
        <v>92400</v>
      </c>
    </row>
    <row r="1446" spans="1:8" x14ac:dyDescent="0.25">
      <c r="A1446" s="113">
        <v>43812</v>
      </c>
      <c r="B1446" s="10" t="s">
        <v>2933</v>
      </c>
      <c r="C1446" s="11" t="s">
        <v>169</v>
      </c>
      <c r="E1446" s="8">
        <v>3498</v>
      </c>
      <c r="G1446" s="6">
        <f t="shared" si="29"/>
        <v>3498</v>
      </c>
    </row>
    <row r="1447" spans="1:8" x14ac:dyDescent="0.25">
      <c r="A1447" s="113">
        <v>43812</v>
      </c>
      <c r="B1447" s="10" t="s">
        <v>1400</v>
      </c>
      <c r="C1447" s="11" t="s">
        <v>164</v>
      </c>
      <c r="E1447" s="8">
        <v>31827</v>
      </c>
      <c r="G1447" s="6">
        <f t="shared" si="29"/>
        <v>31827</v>
      </c>
    </row>
    <row r="1448" spans="1:8" x14ac:dyDescent="0.25">
      <c r="A1448" s="113">
        <v>43819</v>
      </c>
      <c r="B1448" s="10" t="s">
        <v>2652</v>
      </c>
      <c r="C1448" s="11" t="s">
        <v>1803</v>
      </c>
      <c r="D1448" s="773"/>
      <c r="E1448" s="281">
        <v>1900</v>
      </c>
      <c r="F1448" s="280"/>
      <c r="G1448" s="6">
        <f t="shared" si="29"/>
        <v>1900</v>
      </c>
    </row>
    <row r="1449" spans="1:8" x14ac:dyDescent="0.25">
      <c r="A1449" s="113">
        <v>43819</v>
      </c>
      <c r="B1449" s="10" t="s">
        <v>2652</v>
      </c>
      <c r="C1449" s="11" t="s">
        <v>1803</v>
      </c>
      <c r="D1449" s="773"/>
      <c r="E1449" s="282">
        <v>1560</v>
      </c>
      <c r="F1449" s="280"/>
      <c r="G1449" s="6">
        <f t="shared" si="29"/>
        <v>1560</v>
      </c>
    </row>
    <row r="1450" spans="1:8" x14ac:dyDescent="0.25">
      <c r="A1450" s="113">
        <v>43819</v>
      </c>
      <c r="B1450" s="10" t="s">
        <v>5548</v>
      </c>
      <c r="C1450" s="11" t="s">
        <v>1803</v>
      </c>
      <c r="D1450" s="773"/>
      <c r="E1450" s="282">
        <v>8354</v>
      </c>
      <c r="F1450" s="280"/>
      <c r="G1450" s="6">
        <f t="shared" si="29"/>
        <v>8354</v>
      </c>
    </row>
    <row r="1451" spans="1:8" x14ac:dyDescent="0.25">
      <c r="A1451" s="113">
        <v>43819</v>
      </c>
      <c r="B1451" s="10" t="s">
        <v>2652</v>
      </c>
      <c r="C1451" s="11" t="s">
        <v>1803</v>
      </c>
      <c r="D1451" s="773"/>
      <c r="E1451" s="282">
        <v>16142</v>
      </c>
      <c r="F1451" s="280"/>
      <c r="G1451" s="6">
        <f t="shared" si="29"/>
        <v>16142</v>
      </c>
    </row>
    <row r="1452" spans="1:8" x14ac:dyDescent="0.25">
      <c r="A1452" s="113">
        <v>43819</v>
      </c>
      <c r="B1452" s="10" t="s">
        <v>5548</v>
      </c>
      <c r="C1452" s="11" t="s">
        <v>1803</v>
      </c>
      <c r="D1452" s="773"/>
      <c r="E1452" s="282">
        <v>12115</v>
      </c>
      <c r="F1452" s="280"/>
      <c r="G1452" s="6">
        <f t="shared" si="29"/>
        <v>12115</v>
      </c>
    </row>
    <row r="1453" spans="1:8" x14ac:dyDescent="0.25">
      <c r="A1453" s="113">
        <v>43819</v>
      </c>
      <c r="B1453" s="10" t="s">
        <v>5548</v>
      </c>
      <c r="C1453" s="11" t="s">
        <v>1803</v>
      </c>
      <c r="D1453" s="773"/>
      <c r="E1453" s="282">
        <v>18371</v>
      </c>
      <c r="F1453" s="280"/>
      <c r="G1453" s="6">
        <f t="shared" si="29"/>
        <v>18371</v>
      </c>
    </row>
    <row r="1454" spans="1:8" x14ac:dyDescent="0.25">
      <c r="A1454" s="113">
        <v>43819</v>
      </c>
      <c r="B1454" s="10" t="s">
        <v>5548</v>
      </c>
      <c r="C1454" s="11" t="s">
        <v>1803</v>
      </c>
      <c r="D1454" s="773"/>
      <c r="E1454" s="282">
        <v>2706</v>
      </c>
      <c r="F1454" s="280"/>
      <c r="G1454" s="6">
        <f t="shared" si="29"/>
        <v>2706</v>
      </c>
    </row>
    <row r="1455" spans="1:8" x14ac:dyDescent="0.25">
      <c r="A1455" s="113">
        <v>43819</v>
      </c>
      <c r="B1455" s="10" t="s">
        <v>5548</v>
      </c>
      <c r="C1455" s="11" t="s">
        <v>1803</v>
      </c>
      <c r="D1455" s="773"/>
      <c r="E1455" s="283">
        <v>6442</v>
      </c>
      <c r="F1455" s="280"/>
      <c r="G1455" s="6">
        <f t="shared" si="29"/>
        <v>6442</v>
      </c>
    </row>
    <row r="1456" spans="1:8" x14ac:dyDescent="0.25">
      <c r="A1456" s="113">
        <v>43823</v>
      </c>
      <c r="B1456" s="10" t="s">
        <v>1400</v>
      </c>
      <c r="C1456" s="11" t="s">
        <v>166</v>
      </c>
      <c r="F1456" s="9">
        <f>107290+31200+92400</f>
        <v>230890</v>
      </c>
      <c r="G1456" s="6">
        <f t="shared" si="29"/>
        <v>-230890</v>
      </c>
      <c r="H1456" s="31" t="s">
        <v>5606</v>
      </c>
    </row>
    <row r="1457" spans="1:8" x14ac:dyDescent="0.25">
      <c r="A1457" s="113">
        <v>43823</v>
      </c>
      <c r="B1457" s="10" t="s">
        <v>1400</v>
      </c>
      <c r="C1457" s="11" t="s">
        <v>166</v>
      </c>
      <c r="F1457" s="9">
        <f>250000-F1456</f>
        <v>19110</v>
      </c>
      <c r="G1457" s="6">
        <f t="shared" si="29"/>
        <v>-19110</v>
      </c>
      <c r="H1457" s="31" t="s">
        <v>5606</v>
      </c>
    </row>
    <row r="1458" spans="1:8" x14ac:dyDescent="0.25">
      <c r="A1458" s="113">
        <v>43823</v>
      </c>
      <c r="B1458" s="10" t="s">
        <v>1400</v>
      </c>
      <c r="C1458" s="11" t="s">
        <v>1815</v>
      </c>
      <c r="F1458" s="9">
        <v>250000</v>
      </c>
      <c r="G1458" s="6">
        <f t="shared" si="29"/>
        <v>-250000</v>
      </c>
      <c r="H1458" s="31" t="s">
        <v>5606</v>
      </c>
    </row>
    <row r="1459" spans="1:8" x14ac:dyDescent="0.25">
      <c r="A1459" s="113">
        <v>43823</v>
      </c>
      <c r="B1459" s="10" t="s">
        <v>2933</v>
      </c>
      <c r="C1459" s="11" t="s">
        <v>180</v>
      </c>
      <c r="E1459" s="8">
        <v>88000</v>
      </c>
      <c r="G1459" s="6">
        <f t="shared" si="29"/>
        <v>88000</v>
      </c>
    </row>
    <row r="1460" spans="1:8" x14ac:dyDescent="0.25">
      <c r="A1460" s="113">
        <v>43823</v>
      </c>
      <c r="B1460" s="10" t="s">
        <v>2933</v>
      </c>
      <c r="C1460" s="11" t="s">
        <v>180</v>
      </c>
      <c r="F1460" s="9">
        <v>188000</v>
      </c>
      <c r="G1460" s="6">
        <f t="shared" si="29"/>
        <v>-188000</v>
      </c>
      <c r="H1460" s="7" t="s">
        <v>5557</v>
      </c>
    </row>
    <row r="1461" spans="1:8" x14ac:dyDescent="0.25">
      <c r="A1461" s="113">
        <v>43823</v>
      </c>
      <c r="B1461" s="10" t="s">
        <v>2933</v>
      </c>
      <c r="C1461" s="11" t="s">
        <v>180</v>
      </c>
      <c r="F1461" s="9">
        <v>256</v>
      </c>
      <c r="G1461" s="6">
        <f t="shared" si="29"/>
        <v>-256</v>
      </c>
      <c r="H1461" s="7" t="s">
        <v>3918</v>
      </c>
    </row>
    <row r="1462" spans="1:8" x14ac:dyDescent="0.25">
      <c r="A1462" s="113">
        <v>43823</v>
      </c>
      <c r="B1462" s="10" t="s">
        <v>2933</v>
      </c>
      <c r="C1462" s="11" t="s">
        <v>180</v>
      </c>
      <c r="E1462" s="8">
        <v>71000</v>
      </c>
      <c r="G1462" s="6">
        <f t="shared" si="29"/>
        <v>71000</v>
      </c>
    </row>
    <row r="1463" spans="1:8" x14ac:dyDescent="0.25">
      <c r="A1463" s="113">
        <v>43823</v>
      </c>
      <c r="B1463" s="10" t="s">
        <v>3733</v>
      </c>
      <c r="C1463" s="11" t="s">
        <v>3011</v>
      </c>
      <c r="F1463" s="9">
        <v>10278</v>
      </c>
      <c r="G1463" s="6">
        <f t="shared" si="29"/>
        <v>-10278</v>
      </c>
      <c r="H1463" s="7" t="s">
        <v>3918</v>
      </c>
    </row>
    <row r="1464" spans="1:8" x14ac:dyDescent="0.25">
      <c r="A1464" s="113">
        <v>43823</v>
      </c>
      <c r="B1464" s="10" t="s">
        <v>2933</v>
      </c>
      <c r="C1464" s="11" t="s">
        <v>3011</v>
      </c>
      <c r="F1464" s="9">
        <v>22656</v>
      </c>
      <c r="G1464" s="6">
        <f t="shared" si="29"/>
        <v>-22656</v>
      </c>
      <c r="H1464" s="7" t="s">
        <v>3918</v>
      </c>
    </row>
    <row r="1465" spans="1:8" x14ac:dyDescent="0.25">
      <c r="A1465" s="113">
        <v>43823</v>
      </c>
      <c r="B1465" s="10" t="s">
        <v>1400</v>
      </c>
      <c r="C1465" s="11" t="s">
        <v>3011</v>
      </c>
      <c r="F1465" s="9">
        <v>14000</v>
      </c>
      <c r="G1465" s="6">
        <f t="shared" si="29"/>
        <v>-14000</v>
      </c>
      <c r="H1465" s="7" t="s">
        <v>3918</v>
      </c>
    </row>
    <row r="1466" spans="1:8" x14ac:dyDescent="0.25">
      <c r="A1466" s="113">
        <v>43823</v>
      </c>
      <c r="B1466" s="10" t="s">
        <v>2652</v>
      </c>
      <c r="C1466" s="11" t="s">
        <v>3011</v>
      </c>
      <c r="F1466" s="9">
        <v>102159</v>
      </c>
      <c r="G1466" s="6">
        <f t="shared" si="29"/>
        <v>-102159</v>
      </c>
      <c r="H1466" s="7" t="s">
        <v>3918</v>
      </c>
    </row>
    <row r="1467" spans="1:8" x14ac:dyDescent="0.25">
      <c r="A1467" s="113">
        <v>43833</v>
      </c>
      <c r="B1467" s="10" t="s">
        <v>1400</v>
      </c>
      <c r="C1467" s="11" t="s">
        <v>1803</v>
      </c>
      <c r="E1467" s="8">
        <v>21120</v>
      </c>
      <c r="G1467" s="6">
        <f t="shared" si="29"/>
        <v>21120</v>
      </c>
    </row>
    <row r="1468" spans="1:8" x14ac:dyDescent="0.25">
      <c r="A1468" s="113">
        <v>43841</v>
      </c>
      <c r="B1468" s="10" t="s">
        <v>1400</v>
      </c>
      <c r="C1468" s="11" t="s">
        <v>166</v>
      </c>
      <c r="E1468" s="8">
        <v>31200</v>
      </c>
      <c r="G1468" s="6">
        <f t="shared" si="29"/>
        <v>31200</v>
      </c>
    </row>
    <row r="1469" spans="1:8" x14ac:dyDescent="0.25">
      <c r="A1469" s="113">
        <v>43841</v>
      </c>
      <c r="B1469" s="10" t="s">
        <v>1400</v>
      </c>
      <c r="C1469" s="11" t="s">
        <v>166</v>
      </c>
      <c r="E1469" s="8">
        <v>92400</v>
      </c>
      <c r="G1469" s="6">
        <f t="shared" si="29"/>
        <v>92400</v>
      </c>
    </row>
    <row r="1470" spans="1:8" x14ac:dyDescent="0.25">
      <c r="A1470" s="113">
        <v>43850</v>
      </c>
      <c r="B1470" s="10" t="s">
        <v>5227</v>
      </c>
      <c r="C1470" s="11" t="s">
        <v>169</v>
      </c>
      <c r="F1470" s="9">
        <v>200000</v>
      </c>
      <c r="G1470" s="6">
        <f t="shared" si="29"/>
        <v>-200000</v>
      </c>
      <c r="H1470" s="31" t="s">
        <v>5688</v>
      </c>
    </row>
    <row r="1471" spans="1:8" x14ac:dyDescent="0.25">
      <c r="A1471" s="113">
        <v>43853</v>
      </c>
      <c r="B1471" s="10" t="s">
        <v>1400</v>
      </c>
      <c r="C1471" s="11" t="s">
        <v>166</v>
      </c>
      <c r="E1471" s="8">
        <v>26000</v>
      </c>
      <c r="G1471" s="6">
        <f t="shared" si="29"/>
        <v>26000</v>
      </c>
    </row>
    <row r="1472" spans="1:8" x14ac:dyDescent="0.25">
      <c r="A1472" s="113">
        <v>43855</v>
      </c>
      <c r="B1472" s="10" t="s">
        <v>5548</v>
      </c>
      <c r="C1472" s="11" t="s">
        <v>1803</v>
      </c>
      <c r="D1472" s="773"/>
      <c r="E1472" s="281">
        <v>3960</v>
      </c>
      <c r="F1472" s="280"/>
      <c r="G1472" s="6">
        <f t="shared" si="29"/>
        <v>3960</v>
      </c>
    </row>
    <row r="1473" spans="1:7" x14ac:dyDescent="0.25">
      <c r="A1473" s="113">
        <v>43855</v>
      </c>
      <c r="B1473" s="10" t="s">
        <v>2652</v>
      </c>
      <c r="C1473" s="11" t="s">
        <v>1803</v>
      </c>
      <c r="D1473" s="773"/>
      <c r="E1473" s="282">
        <v>11472</v>
      </c>
      <c r="F1473" s="280"/>
      <c r="G1473" s="6">
        <f t="shared" si="29"/>
        <v>11472</v>
      </c>
    </row>
    <row r="1474" spans="1:7" x14ac:dyDescent="0.25">
      <c r="A1474" s="113">
        <v>43855</v>
      </c>
      <c r="B1474" s="10" t="s">
        <v>2652</v>
      </c>
      <c r="C1474" s="11" t="s">
        <v>1803</v>
      </c>
      <c r="D1474" s="773"/>
      <c r="E1474" s="282">
        <v>7192</v>
      </c>
      <c r="F1474" s="280"/>
      <c r="G1474" s="6">
        <f t="shared" si="29"/>
        <v>7192</v>
      </c>
    </row>
    <row r="1475" spans="1:7" x14ac:dyDescent="0.25">
      <c r="A1475" s="113">
        <v>43855</v>
      </c>
      <c r="B1475" s="10" t="s">
        <v>18</v>
      </c>
      <c r="C1475" s="11" t="s">
        <v>1803</v>
      </c>
      <c r="D1475" s="773"/>
      <c r="E1475" s="282">
        <v>6222</v>
      </c>
      <c r="F1475" s="280"/>
      <c r="G1475" s="6">
        <f t="shared" si="29"/>
        <v>6222</v>
      </c>
    </row>
    <row r="1476" spans="1:7" x14ac:dyDescent="0.25">
      <c r="A1476" s="113">
        <v>43855</v>
      </c>
      <c r="B1476" s="10" t="s">
        <v>1400</v>
      </c>
      <c r="C1476" s="11" t="s">
        <v>1803</v>
      </c>
      <c r="D1476" s="773"/>
      <c r="E1476" s="282">
        <v>501</v>
      </c>
      <c r="F1476" s="280"/>
      <c r="G1476" s="6">
        <f t="shared" si="29"/>
        <v>501</v>
      </c>
    </row>
    <row r="1477" spans="1:7" x14ac:dyDescent="0.25">
      <c r="A1477" s="113">
        <v>43855</v>
      </c>
      <c r="B1477" s="10" t="s">
        <v>2652</v>
      </c>
      <c r="C1477" s="11" t="s">
        <v>1803</v>
      </c>
      <c r="D1477" s="773"/>
      <c r="E1477" s="282">
        <v>10893</v>
      </c>
      <c r="F1477" s="280"/>
      <c r="G1477" s="6">
        <f t="shared" si="29"/>
        <v>10893</v>
      </c>
    </row>
    <row r="1478" spans="1:7" x14ac:dyDescent="0.25">
      <c r="A1478" s="113">
        <v>43855</v>
      </c>
      <c r="B1478" s="10" t="s">
        <v>5548</v>
      </c>
      <c r="C1478" s="11" t="s">
        <v>1803</v>
      </c>
      <c r="D1478" s="773"/>
      <c r="E1478" s="282">
        <v>2510</v>
      </c>
      <c r="F1478" s="280"/>
      <c r="G1478" s="6">
        <f t="shared" si="29"/>
        <v>2510</v>
      </c>
    </row>
    <row r="1479" spans="1:7" x14ac:dyDescent="0.25">
      <c r="A1479" s="113">
        <v>43855</v>
      </c>
      <c r="B1479" s="10" t="s">
        <v>5548</v>
      </c>
      <c r="C1479" s="11" t="s">
        <v>1803</v>
      </c>
      <c r="D1479" s="773"/>
      <c r="E1479" s="282">
        <v>2244</v>
      </c>
      <c r="F1479" s="280"/>
      <c r="G1479" s="6">
        <f t="shared" si="29"/>
        <v>2244</v>
      </c>
    </row>
    <row r="1480" spans="1:7" x14ac:dyDescent="0.25">
      <c r="A1480" s="113">
        <v>43855</v>
      </c>
      <c r="B1480" s="10" t="s">
        <v>2652</v>
      </c>
      <c r="C1480" s="11" t="s">
        <v>1803</v>
      </c>
      <c r="D1480" s="773"/>
      <c r="E1480" s="282">
        <v>57342</v>
      </c>
      <c r="F1480" s="280"/>
      <c r="G1480" s="6">
        <f t="shared" si="29"/>
        <v>57342</v>
      </c>
    </row>
    <row r="1481" spans="1:7" x14ac:dyDescent="0.25">
      <c r="A1481" s="113">
        <v>43855</v>
      </c>
      <c r="B1481" s="10" t="s">
        <v>1400</v>
      </c>
      <c r="C1481" s="11" t="s">
        <v>1803</v>
      </c>
      <c r="D1481" s="773"/>
      <c r="E1481" s="282">
        <v>96824</v>
      </c>
      <c r="F1481" s="280"/>
      <c r="G1481" s="6">
        <f t="shared" si="29"/>
        <v>96824</v>
      </c>
    </row>
    <row r="1482" spans="1:7" x14ac:dyDescent="0.25">
      <c r="A1482" s="113">
        <v>43855</v>
      </c>
      <c r="B1482" s="10" t="s">
        <v>2652</v>
      </c>
      <c r="C1482" s="11" t="s">
        <v>1803</v>
      </c>
      <c r="D1482" s="773"/>
      <c r="E1482" s="282">
        <v>10548</v>
      </c>
      <c r="F1482" s="280"/>
      <c r="G1482" s="6">
        <f t="shared" si="29"/>
        <v>10548</v>
      </c>
    </row>
    <row r="1483" spans="1:7" x14ac:dyDescent="0.25">
      <c r="A1483" s="113">
        <v>43855</v>
      </c>
      <c r="B1483" s="10" t="s">
        <v>2652</v>
      </c>
      <c r="C1483" s="11" t="s">
        <v>1803</v>
      </c>
      <c r="D1483" s="773"/>
      <c r="E1483" s="282">
        <v>106146</v>
      </c>
      <c r="F1483" s="280"/>
      <c r="G1483" s="6">
        <f t="shared" si="29"/>
        <v>106146</v>
      </c>
    </row>
    <row r="1484" spans="1:7" x14ac:dyDescent="0.25">
      <c r="A1484" s="113">
        <v>43855</v>
      </c>
      <c r="B1484" s="10" t="s">
        <v>1400</v>
      </c>
      <c r="C1484" s="11" t="s">
        <v>1803</v>
      </c>
      <c r="D1484" s="773"/>
      <c r="E1484" s="282">
        <v>7356</v>
      </c>
      <c r="F1484" s="280"/>
      <c r="G1484" s="6">
        <f t="shared" si="29"/>
        <v>7356</v>
      </c>
    </row>
    <row r="1485" spans="1:7" x14ac:dyDescent="0.25">
      <c r="A1485" s="113">
        <v>43855</v>
      </c>
      <c r="B1485" s="10" t="s">
        <v>1400</v>
      </c>
      <c r="C1485" s="11" t="s">
        <v>1803</v>
      </c>
      <c r="D1485" s="773"/>
      <c r="E1485" s="283">
        <v>3422</v>
      </c>
      <c r="F1485" s="280"/>
      <c r="G1485" s="6">
        <f t="shared" si="29"/>
        <v>3422</v>
      </c>
    </row>
    <row r="1486" spans="1:7" x14ac:dyDescent="0.25">
      <c r="A1486" s="113">
        <v>43857</v>
      </c>
      <c r="B1486" s="10" t="s">
        <v>5709</v>
      </c>
      <c r="C1486" s="11" t="s">
        <v>169</v>
      </c>
      <c r="E1486" s="8">
        <v>2980</v>
      </c>
      <c r="G1486" s="6">
        <f t="shared" si="29"/>
        <v>2980</v>
      </c>
    </row>
    <row r="1487" spans="1:7" x14ac:dyDescent="0.25">
      <c r="A1487" s="113">
        <v>43857</v>
      </c>
      <c r="B1487" s="10" t="s">
        <v>1400</v>
      </c>
      <c r="C1487" s="11" t="s">
        <v>166</v>
      </c>
      <c r="E1487" s="8">
        <v>98175</v>
      </c>
      <c r="G1487" s="6">
        <f t="shared" si="29"/>
        <v>98175</v>
      </c>
    </row>
    <row r="1488" spans="1:7" x14ac:dyDescent="0.25">
      <c r="A1488" s="113">
        <v>43857</v>
      </c>
      <c r="B1488" s="10" t="s">
        <v>5720</v>
      </c>
      <c r="C1488" s="11" t="s">
        <v>169</v>
      </c>
      <c r="E1488" s="8">
        <v>5831</v>
      </c>
      <c r="G1488" s="6">
        <f t="shared" si="29"/>
        <v>5831</v>
      </c>
    </row>
    <row r="1489" spans="1:8" x14ac:dyDescent="0.25">
      <c r="A1489" s="113">
        <v>43857</v>
      </c>
      <c r="B1489" s="10" t="s">
        <v>5709</v>
      </c>
      <c r="C1489" s="11" t="s">
        <v>169</v>
      </c>
      <c r="E1489" s="8">
        <v>1546</v>
      </c>
      <c r="G1489" s="6">
        <f t="shared" si="29"/>
        <v>1546</v>
      </c>
    </row>
    <row r="1490" spans="1:8" x14ac:dyDescent="0.25">
      <c r="A1490" s="113">
        <v>43869</v>
      </c>
      <c r="B1490" s="10" t="s">
        <v>2652</v>
      </c>
      <c r="C1490" s="11" t="s">
        <v>1803</v>
      </c>
      <c r="F1490" s="8">
        <v>289763</v>
      </c>
      <c r="G1490" s="6">
        <f t="shared" si="29"/>
        <v>-289763</v>
      </c>
      <c r="H1490" s="7" t="s">
        <v>4470</v>
      </c>
    </row>
    <row r="1491" spans="1:8" x14ac:dyDescent="0.25">
      <c r="A1491" s="113">
        <v>43869</v>
      </c>
      <c r="B1491" s="10" t="s">
        <v>5720</v>
      </c>
      <c r="C1491" s="11" t="s">
        <v>166</v>
      </c>
      <c r="E1491" s="8">
        <v>3200</v>
      </c>
      <c r="G1491" s="6">
        <f t="shared" si="29"/>
        <v>3200</v>
      </c>
    </row>
    <row r="1492" spans="1:8" x14ac:dyDescent="0.25">
      <c r="A1492" s="113">
        <v>43872</v>
      </c>
      <c r="B1492" s="10" t="s">
        <v>5709</v>
      </c>
      <c r="C1492" s="11" t="s">
        <v>166</v>
      </c>
      <c r="E1492" s="8">
        <f>57130/2</f>
        <v>28565</v>
      </c>
      <c r="G1492" s="6">
        <f t="shared" si="29"/>
        <v>28565</v>
      </c>
      <c r="H1492" s="7" t="s">
        <v>5759</v>
      </c>
    </row>
    <row r="1493" spans="1:8" x14ac:dyDescent="0.25">
      <c r="A1493" s="113">
        <v>43872</v>
      </c>
      <c r="B1493" s="10" t="s">
        <v>5720</v>
      </c>
      <c r="C1493" s="11" t="s">
        <v>166</v>
      </c>
      <c r="E1493" s="8">
        <f>57130/2</f>
        <v>28565</v>
      </c>
      <c r="G1493" s="6">
        <f t="shared" si="29"/>
        <v>28565</v>
      </c>
      <c r="H1493" s="7" t="s">
        <v>5759</v>
      </c>
    </row>
    <row r="1494" spans="1:8" x14ac:dyDescent="0.25">
      <c r="A1494" s="113">
        <v>43873</v>
      </c>
      <c r="B1494" s="10" t="s">
        <v>5720</v>
      </c>
      <c r="C1494" s="11" t="s">
        <v>3011</v>
      </c>
      <c r="E1494" s="8">
        <v>79080</v>
      </c>
      <c r="G1494" s="6">
        <f t="shared" si="29"/>
        <v>79080</v>
      </c>
    </row>
    <row r="1495" spans="1:8" x14ac:dyDescent="0.25">
      <c r="A1495" s="113">
        <v>43875</v>
      </c>
      <c r="B1495" s="10" t="s">
        <v>5709</v>
      </c>
      <c r="C1495" s="11" t="s">
        <v>166</v>
      </c>
      <c r="E1495" s="109"/>
      <c r="F1495" s="110">
        <v>28565</v>
      </c>
      <c r="G1495" s="6">
        <f t="shared" si="29"/>
        <v>-28565</v>
      </c>
      <c r="H1495" s="78"/>
    </row>
    <row r="1496" spans="1:8" x14ac:dyDescent="0.25">
      <c r="A1496" s="113">
        <v>43875</v>
      </c>
      <c r="B1496" s="10" t="s">
        <v>5720</v>
      </c>
      <c r="C1496" s="11" t="s">
        <v>166</v>
      </c>
      <c r="E1496" s="109"/>
      <c r="F1496" s="111">
        <v>31765</v>
      </c>
      <c r="G1496" s="6">
        <f t="shared" si="29"/>
        <v>-31765</v>
      </c>
      <c r="H1496" s="79"/>
    </row>
    <row r="1497" spans="1:8" x14ac:dyDescent="0.25">
      <c r="A1497" s="113">
        <v>43875</v>
      </c>
      <c r="B1497" s="10" t="s">
        <v>1400</v>
      </c>
      <c r="C1497" s="11" t="s">
        <v>166</v>
      </c>
      <c r="E1497" s="109"/>
      <c r="F1497" s="111">
        <f>105065+74980+8640+9385</f>
        <v>198070</v>
      </c>
      <c r="G1497" s="6">
        <f t="shared" si="29"/>
        <v>-198070</v>
      </c>
      <c r="H1497" s="79"/>
    </row>
    <row r="1498" spans="1:8" ht="31.5" x14ac:dyDescent="0.25">
      <c r="A1498" s="113">
        <v>43875</v>
      </c>
      <c r="B1498" s="10" t="s">
        <v>5709</v>
      </c>
      <c r="C1498" s="11" t="s">
        <v>166</v>
      </c>
      <c r="E1498" s="109"/>
      <c r="F1498" s="111">
        <v>20800</v>
      </c>
      <c r="G1498" s="6">
        <f t="shared" si="29"/>
        <v>-20800</v>
      </c>
      <c r="H1498" s="242" t="s">
        <v>5768</v>
      </c>
    </row>
    <row r="1499" spans="1:8" x14ac:dyDescent="0.25">
      <c r="A1499" s="113">
        <v>43875</v>
      </c>
      <c r="B1499" s="10" t="s">
        <v>5729</v>
      </c>
      <c r="C1499" s="11" t="s">
        <v>166</v>
      </c>
      <c r="E1499" s="109"/>
      <c r="F1499" s="112">
        <v>20800</v>
      </c>
      <c r="G1499" s="6">
        <f t="shared" si="29"/>
        <v>-20800</v>
      </c>
      <c r="H1499" s="79"/>
    </row>
    <row r="1500" spans="1:8" x14ac:dyDescent="0.25">
      <c r="A1500" s="113">
        <v>43878</v>
      </c>
      <c r="B1500" s="10" t="s">
        <v>5709</v>
      </c>
      <c r="C1500" s="11" t="s">
        <v>166</v>
      </c>
      <c r="E1500" s="8">
        <v>20800</v>
      </c>
      <c r="G1500" s="6">
        <f t="shared" si="29"/>
        <v>20800</v>
      </c>
    </row>
    <row r="1501" spans="1:8" x14ac:dyDescent="0.25">
      <c r="A1501" s="113">
        <v>43878</v>
      </c>
      <c r="B1501" s="10" t="s">
        <v>5729</v>
      </c>
      <c r="C1501" s="11" t="s">
        <v>166</v>
      </c>
      <c r="E1501" s="8">
        <v>20800</v>
      </c>
      <c r="G1501" s="6">
        <f t="shared" si="29"/>
        <v>20800</v>
      </c>
    </row>
    <row r="1502" spans="1:8" x14ac:dyDescent="0.25">
      <c r="A1502" s="113">
        <v>43878</v>
      </c>
      <c r="B1502" s="10" t="s">
        <v>5720</v>
      </c>
      <c r="C1502" s="11" t="s">
        <v>3011</v>
      </c>
      <c r="F1502" s="9">
        <v>80000</v>
      </c>
      <c r="G1502" s="6">
        <f t="shared" si="29"/>
        <v>-80000</v>
      </c>
      <c r="H1502" s="7" t="s">
        <v>1157</v>
      </c>
    </row>
    <row r="1503" spans="1:8" x14ac:dyDescent="0.25">
      <c r="A1503" s="113">
        <v>43878</v>
      </c>
      <c r="B1503" s="10" t="s">
        <v>1400</v>
      </c>
      <c r="C1503" s="11" t="s">
        <v>166</v>
      </c>
      <c r="E1503" s="8">
        <v>44000</v>
      </c>
      <c r="G1503" s="6">
        <f t="shared" si="29"/>
        <v>44000</v>
      </c>
    </row>
    <row r="1504" spans="1:8" x14ac:dyDescent="0.25">
      <c r="A1504" s="113">
        <v>43878</v>
      </c>
      <c r="B1504" s="10" t="s">
        <v>1400</v>
      </c>
      <c r="C1504" s="11" t="s">
        <v>166</v>
      </c>
      <c r="E1504" s="8">
        <v>88000</v>
      </c>
      <c r="G1504" s="6">
        <f t="shared" si="29"/>
        <v>88000</v>
      </c>
    </row>
    <row r="1505" spans="1:8" x14ac:dyDescent="0.25">
      <c r="A1505" s="113">
        <v>43878</v>
      </c>
      <c r="B1505" s="10" t="s">
        <v>1400</v>
      </c>
      <c r="C1505" s="11" t="s">
        <v>166</v>
      </c>
      <c r="E1505" s="8">
        <v>74980</v>
      </c>
      <c r="G1505" s="6">
        <f t="shared" si="29"/>
        <v>74980</v>
      </c>
    </row>
    <row r="1506" spans="1:8" ht="16.5" thickBot="1" x14ac:dyDescent="0.3">
      <c r="A1506" s="113">
        <v>43878</v>
      </c>
      <c r="B1506" s="10" t="s">
        <v>1400</v>
      </c>
      <c r="C1506" s="11" t="s">
        <v>166</v>
      </c>
      <c r="E1506" s="8">
        <v>8640</v>
      </c>
      <c r="G1506" s="6">
        <f t="shared" si="29"/>
        <v>8640</v>
      </c>
    </row>
    <row r="1507" spans="1:8" x14ac:dyDescent="0.25">
      <c r="A1507" s="113">
        <v>43880</v>
      </c>
      <c r="B1507" s="10" t="s">
        <v>2652</v>
      </c>
      <c r="C1507" s="11" t="s">
        <v>1803</v>
      </c>
      <c r="E1507" s="292">
        <v>7008</v>
      </c>
      <c r="G1507" s="6">
        <f t="shared" si="29"/>
        <v>7008</v>
      </c>
    </row>
    <row r="1508" spans="1:8" x14ac:dyDescent="0.25">
      <c r="A1508" s="113">
        <v>43880</v>
      </c>
      <c r="B1508" s="10" t="s">
        <v>5720</v>
      </c>
      <c r="C1508" s="11" t="s">
        <v>1803</v>
      </c>
      <c r="E1508" s="8">
        <v>16116</v>
      </c>
      <c r="G1508" s="6">
        <f t="shared" si="29"/>
        <v>16116</v>
      </c>
    </row>
    <row r="1509" spans="1:8" x14ac:dyDescent="0.25">
      <c r="A1509" s="113">
        <v>43880</v>
      </c>
      <c r="B1509" s="10" t="s">
        <v>2652</v>
      </c>
      <c r="C1509" s="11" t="s">
        <v>1803</v>
      </c>
      <c r="E1509" s="8">
        <v>18171</v>
      </c>
      <c r="G1509" s="6">
        <f t="shared" si="29"/>
        <v>18171</v>
      </c>
    </row>
    <row r="1510" spans="1:8" x14ac:dyDescent="0.25">
      <c r="A1510" s="113">
        <v>43880</v>
      </c>
      <c r="B1510" s="10" t="s">
        <v>2652</v>
      </c>
      <c r="C1510" s="11" t="s">
        <v>1803</v>
      </c>
      <c r="E1510" s="8">
        <v>12395</v>
      </c>
      <c r="G1510" s="6">
        <f t="shared" si="29"/>
        <v>12395</v>
      </c>
    </row>
    <row r="1511" spans="1:8" x14ac:dyDescent="0.25">
      <c r="A1511" s="113">
        <v>43880</v>
      </c>
      <c r="B1511" s="10" t="s">
        <v>1400</v>
      </c>
      <c r="C1511" s="11" t="s">
        <v>1803</v>
      </c>
      <c r="E1511" s="8">
        <v>1465</v>
      </c>
      <c r="G1511" s="6">
        <f t="shared" si="29"/>
        <v>1465</v>
      </c>
    </row>
    <row r="1512" spans="1:8" x14ac:dyDescent="0.25">
      <c r="A1512" s="113">
        <v>43880</v>
      </c>
      <c r="B1512" s="10" t="s">
        <v>2652</v>
      </c>
      <c r="C1512" s="11" t="s">
        <v>1803</v>
      </c>
      <c r="E1512" s="8">
        <v>6605</v>
      </c>
      <c r="G1512" s="6">
        <f t="shared" si="29"/>
        <v>6605</v>
      </c>
    </row>
    <row r="1513" spans="1:8" x14ac:dyDescent="0.25">
      <c r="A1513" s="113">
        <v>43880</v>
      </c>
      <c r="B1513" s="10" t="s">
        <v>1400</v>
      </c>
      <c r="C1513" s="11" t="s">
        <v>1803</v>
      </c>
      <c r="E1513" s="8">
        <v>26412</v>
      </c>
      <c r="G1513" s="6">
        <f t="shared" si="29"/>
        <v>26412</v>
      </c>
    </row>
    <row r="1514" spans="1:8" x14ac:dyDescent="0.25">
      <c r="A1514" s="113">
        <v>43880</v>
      </c>
      <c r="B1514" s="10" t="s">
        <v>5720</v>
      </c>
      <c r="C1514" s="11" t="s">
        <v>1803</v>
      </c>
      <c r="E1514" s="8">
        <v>7845</v>
      </c>
      <c r="G1514" s="6">
        <f t="shared" si="29"/>
        <v>7845</v>
      </c>
    </row>
    <row r="1515" spans="1:8" x14ac:dyDescent="0.25">
      <c r="A1515" s="113">
        <v>43880</v>
      </c>
      <c r="B1515" s="10" t="s">
        <v>2652</v>
      </c>
      <c r="C1515" s="11" t="s">
        <v>1803</v>
      </c>
      <c r="E1515" s="8">
        <v>15733</v>
      </c>
      <c r="G1515" s="6">
        <f t="shared" si="29"/>
        <v>15733</v>
      </c>
    </row>
    <row r="1516" spans="1:8" x14ac:dyDescent="0.25">
      <c r="A1516" s="113">
        <v>43880</v>
      </c>
      <c r="B1516" s="10" t="s">
        <v>5720</v>
      </c>
      <c r="C1516" s="11" t="s">
        <v>1803</v>
      </c>
      <c r="E1516" s="8">
        <v>40261</v>
      </c>
      <c r="G1516" s="6">
        <f t="shared" si="29"/>
        <v>40261</v>
      </c>
    </row>
    <row r="1517" spans="1:8" ht="16.5" thickBot="1" x14ac:dyDescent="0.3">
      <c r="A1517" s="113">
        <v>43880</v>
      </c>
      <c r="B1517" s="10" t="s">
        <v>1400</v>
      </c>
      <c r="C1517" s="11" t="s">
        <v>1803</v>
      </c>
      <c r="E1517" s="293">
        <v>3718</v>
      </c>
      <c r="G1517" s="6">
        <f t="shared" si="29"/>
        <v>3718</v>
      </c>
    </row>
    <row r="1518" spans="1:8" x14ac:dyDescent="0.25">
      <c r="A1518" s="113">
        <v>43886</v>
      </c>
      <c r="B1518" s="10" t="s">
        <v>1400</v>
      </c>
      <c r="C1518" s="11" t="s">
        <v>1815</v>
      </c>
      <c r="F1518" s="9">
        <v>300000</v>
      </c>
      <c r="G1518" s="6">
        <f t="shared" si="29"/>
        <v>-300000</v>
      </c>
      <c r="H1518" s="31" t="s">
        <v>5801</v>
      </c>
    </row>
    <row r="1519" spans="1:8" x14ac:dyDescent="0.25">
      <c r="A1519" s="113">
        <v>43886</v>
      </c>
      <c r="B1519" s="10" t="s">
        <v>5720</v>
      </c>
      <c r="C1519" s="11" t="s">
        <v>3011</v>
      </c>
      <c r="E1519" s="8">
        <v>920</v>
      </c>
      <c r="G1519" s="6">
        <f t="shared" si="29"/>
        <v>920</v>
      </c>
      <c r="H1519" s="7" t="s">
        <v>3918</v>
      </c>
    </row>
    <row r="1520" spans="1:8" x14ac:dyDescent="0.25">
      <c r="A1520" s="113">
        <v>43886</v>
      </c>
      <c r="B1520" s="10" t="s">
        <v>5709</v>
      </c>
      <c r="C1520" s="11" t="s">
        <v>3011</v>
      </c>
      <c r="E1520" s="8">
        <v>115300</v>
      </c>
      <c r="G1520" s="6">
        <f t="shared" si="29"/>
        <v>115300</v>
      </c>
    </row>
    <row r="1521" spans="1:7" x14ac:dyDescent="0.25">
      <c r="A1521" s="113">
        <v>43886</v>
      </c>
      <c r="B1521" s="10" t="s">
        <v>5811</v>
      </c>
      <c r="C1521" s="11" t="s">
        <v>169</v>
      </c>
      <c r="E1521" s="8">
        <v>103471</v>
      </c>
      <c r="G1521" s="6">
        <f t="shared" si="29"/>
        <v>103471</v>
      </c>
    </row>
    <row r="1522" spans="1:7" ht="16.5" thickBot="1" x14ac:dyDescent="0.3">
      <c r="A1522" s="113">
        <v>43893</v>
      </c>
      <c r="B1522" s="10" t="s">
        <v>5811</v>
      </c>
      <c r="C1522" s="11" t="s">
        <v>164</v>
      </c>
      <c r="E1522" s="8">
        <v>28689</v>
      </c>
      <c r="G1522" s="6">
        <f t="shared" si="29"/>
        <v>28689</v>
      </c>
    </row>
    <row r="1523" spans="1:7" x14ac:dyDescent="0.25">
      <c r="A1523" s="113">
        <v>43893</v>
      </c>
      <c r="B1523" s="10" t="s">
        <v>1400</v>
      </c>
      <c r="C1523" s="11" t="s">
        <v>1803</v>
      </c>
      <c r="E1523" s="292">
        <v>45312</v>
      </c>
      <c r="G1523" s="6">
        <f t="shared" si="29"/>
        <v>45312</v>
      </c>
    </row>
    <row r="1524" spans="1:7" x14ac:dyDescent="0.25">
      <c r="A1524" s="113">
        <v>43893</v>
      </c>
      <c r="B1524" s="10" t="s">
        <v>5548</v>
      </c>
      <c r="C1524" s="11" t="s">
        <v>1803</v>
      </c>
      <c r="E1524" s="8">
        <v>10590</v>
      </c>
      <c r="G1524" s="6">
        <f t="shared" si="29"/>
        <v>10590</v>
      </c>
    </row>
    <row r="1525" spans="1:7" x14ac:dyDescent="0.25">
      <c r="A1525" s="113">
        <v>43893</v>
      </c>
      <c r="B1525" s="10" t="s">
        <v>5548</v>
      </c>
      <c r="C1525" s="11" t="s">
        <v>1803</v>
      </c>
      <c r="E1525" s="8">
        <v>16657</v>
      </c>
      <c r="G1525" s="6">
        <f t="shared" si="29"/>
        <v>16657</v>
      </c>
    </row>
    <row r="1526" spans="1:7" x14ac:dyDescent="0.25">
      <c r="A1526" s="113">
        <v>43893</v>
      </c>
      <c r="B1526" s="10" t="s">
        <v>2652</v>
      </c>
      <c r="C1526" s="11" t="s">
        <v>1803</v>
      </c>
      <c r="E1526" s="8">
        <v>4316</v>
      </c>
      <c r="G1526" s="6">
        <f t="shared" si="29"/>
        <v>4316</v>
      </c>
    </row>
    <row r="1527" spans="1:7" x14ac:dyDescent="0.25">
      <c r="A1527" s="113">
        <v>43893</v>
      </c>
      <c r="B1527" s="10" t="s">
        <v>1400</v>
      </c>
      <c r="C1527" s="11" t="s">
        <v>1803</v>
      </c>
      <c r="E1527" s="8">
        <v>16407</v>
      </c>
      <c r="G1527" s="6">
        <f t="shared" si="29"/>
        <v>16407</v>
      </c>
    </row>
    <row r="1528" spans="1:7" x14ac:dyDescent="0.25">
      <c r="A1528" s="113">
        <v>43893</v>
      </c>
      <c r="B1528" s="10" t="s">
        <v>2652</v>
      </c>
      <c r="C1528" s="11" t="s">
        <v>1803</v>
      </c>
      <c r="E1528" s="8">
        <v>27472</v>
      </c>
      <c r="G1528" s="6">
        <f t="shared" si="29"/>
        <v>27472</v>
      </c>
    </row>
    <row r="1529" spans="1:7" x14ac:dyDescent="0.25">
      <c r="A1529" s="113">
        <v>43893</v>
      </c>
      <c r="B1529" s="10" t="s">
        <v>1400</v>
      </c>
      <c r="C1529" s="11" t="s">
        <v>1803</v>
      </c>
      <c r="E1529" s="8">
        <v>7255</v>
      </c>
      <c r="G1529" s="6">
        <f t="shared" si="29"/>
        <v>7255</v>
      </c>
    </row>
    <row r="1530" spans="1:7" x14ac:dyDescent="0.25">
      <c r="A1530" s="113">
        <v>43893</v>
      </c>
      <c r="B1530" s="10" t="s">
        <v>2652</v>
      </c>
      <c r="C1530" s="11" t="s">
        <v>1803</v>
      </c>
      <c r="E1530" s="8">
        <v>52622</v>
      </c>
      <c r="G1530" s="6">
        <f t="shared" si="29"/>
        <v>52622</v>
      </c>
    </row>
    <row r="1531" spans="1:7" x14ac:dyDescent="0.25">
      <c r="A1531" s="113">
        <v>43893</v>
      </c>
      <c r="B1531" s="10" t="s">
        <v>2652</v>
      </c>
      <c r="C1531" s="11" t="s">
        <v>1803</v>
      </c>
      <c r="E1531" s="8">
        <v>18053</v>
      </c>
      <c r="G1531" s="6">
        <f t="shared" si="29"/>
        <v>18053</v>
      </c>
    </row>
    <row r="1532" spans="1:7" x14ac:dyDescent="0.25">
      <c r="A1532" s="113">
        <v>43893</v>
      </c>
      <c r="B1532" s="10" t="s">
        <v>1400</v>
      </c>
      <c r="C1532" s="11" t="s">
        <v>1803</v>
      </c>
      <c r="E1532" s="8">
        <v>4147</v>
      </c>
      <c r="G1532" s="6">
        <f t="shared" si="29"/>
        <v>4147</v>
      </c>
    </row>
    <row r="1533" spans="1:7" x14ac:dyDescent="0.25">
      <c r="A1533" s="113">
        <v>43893</v>
      </c>
      <c r="B1533" s="10" t="s">
        <v>2652</v>
      </c>
      <c r="C1533" s="11" t="s">
        <v>1803</v>
      </c>
      <c r="E1533" s="8">
        <v>137612</v>
      </c>
      <c r="G1533" s="6">
        <f t="shared" si="29"/>
        <v>137612</v>
      </c>
    </row>
    <row r="1534" spans="1:7" x14ac:dyDescent="0.25">
      <c r="A1534" s="113">
        <v>43893</v>
      </c>
      <c r="B1534" s="10" t="s">
        <v>1400</v>
      </c>
      <c r="C1534" s="11" t="s">
        <v>1803</v>
      </c>
      <c r="E1534" s="8">
        <v>6912</v>
      </c>
      <c r="G1534" s="6">
        <f t="shared" si="29"/>
        <v>6912</v>
      </c>
    </row>
    <row r="1535" spans="1:7" x14ac:dyDescent="0.25">
      <c r="A1535" s="113">
        <v>43893</v>
      </c>
      <c r="B1535" s="10" t="s">
        <v>1400</v>
      </c>
      <c r="C1535" s="11" t="s">
        <v>1803</v>
      </c>
      <c r="E1535" s="8">
        <v>13712</v>
      </c>
      <c r="G1535" s="6">
        <f t="shared" si="29"/>
        <v>13712</v>
      </c>
    </row>
    <row r="1536" spans="1:7" x14ac:dyDescent="0.25">
      <c r="A1536" s="113">
        <v>43893</v>
      </c>
      <c r="B1536" s="10" t="s">
        <v>5548</v>
      </c>
      <c r="C1536" s="11" t="s">
        <v>1803</v>
      </c>
      <c r="E1536" s="8">
        <v>1150</v>
      </c>
      <c r="G1536" s="6">
        <f t="shared" si="29"/>
        <v>1150</v>
      </c>
    </row>
    <row r="1537" spans="1:8" ht="16.5" thickBot="1" x14ac:dyDescent="0.3">
      <c r="A1537" s="113">
        <v>43893</v>
      </c>
      <c r="B1537" s="10" t="s">
        <v>2652</v>
      </c>
      <c r="C1537" s="11" t="s">
        <v>1803</v>
      </c>
      <c r="E1537" s="293">
        <v>67832</v>
      </c>
      <c r="G1537" s="6">
        <f t="shared" si="29"/>
        <v>67832</v>
      </c>
    </row>
    <row r="1538" spans="1:8" x14ac:dyDescent="0.25">
      <c r="A1538" s="113">
        <v>43893</v>
      </c>
      <c r="B1538" s="10" t="s">
        <v>1400</v>
      </c>
      <c r="C1538" s="11" t="s">
        <v>166</v>
      </c>
      <c r="E1538" s="8">
        <v>49600</v>
      </c>
      <c r="G1538" s="6">
        <f t="shared" si="29"/>
        <v>49600</v>
      </c>
    </row>
    <row r="1539" spans="1:8" x14ac:dyDescent="0.25">
      <c r="A1539" s="113">
        <v>43904</v>
      </c>
      <c r="B1539" s="10" t="s">
        <v>1400</v>
      </c>
      <c r="C1539" s="11" t="s">
        <v>166</v>
      </c>
      <c r="D1539" s="773"/>
      <c r="E1539" s="281">
        <v>102000</v>
      </c>
      <c r="F1539" s="280"/>
      <c r="G1539" s="6">
        <f t="shared" ref="G1539:G1599" si="30">E1539-F1539</f>
        <v>102000</v>
      </c>
    </row>
    <row r="1540" spans="1:8" x14ac:dyDescent="0.25">
      <c r="A1540" s="113">
        <v>43904</v>
      </c>
      <c r="B1540" s="10" t="s">
        <v>1400</v>
      </c>
      <c r="C1540" s="11" t="s">
        <v>166</v>
      </c>
      <c r="D1540" s="773"/>
      <c r="E1540" s="283">
        <v>31200</v>
      </c>
      <c r="F1540" s="280"/>
      <c r="G1540" s="6">
        <f t="shared" si="30"/>
        <v>31200</v>
      </c>
    </row>
    <row r="1541" spans="1:8" x14ac:dyDescent="0.25">
      <c r="A1541" s="113">
        <v>43907</v>
      </c>
      <c r="B1541" s="10" t="s">
        <v>2933</v>
      </c>
      <c r="C1541" s="11" t="s">
        <v>180</v>
      </c>
      <c r="F1541" s="9">
        <v>71000</v>
      </c>
      <c r="G1541" s="6">
        <f t="shared" si="30"/>
        <v>-71000</v>
      </c>
      <c r="H1541" s="7" t="s">
        <v>1157</v>
      </c>
    </row>
    <row r="1542" spans="1:8" x14ac:dyDescent="0.25">
      <c r="A1542" s="113">
        <v>43941</v>
      </c>
      <c r="B1542" s="10" t="s">
        <v>5720</v>
      </c>
      <c r="C1542" s="11" t="s">
        <v>3011</v>
      </c>
      <c r="E1542" s="8">
        <v>32240</v>
      </c>
      <c r="G1542" s="6">
        <f t="shared" si="30"/>
        <v>32240</v>
      </c>
    </row>
    <row r="1543" spans="1:8" x14ac:dyDescent="0.25">
      <c r="A1543" s="113">
        <v>43941</v>
      </c>
      <c r="B1543" s="10" t="s">
        <v>5709</v>
      </c>
      <c r="C1543" s="11" t="s">
        <v>3011</v>
      </c>
      <c r="E1543" s="8">
        <v>5640</v>
      </c>
      <c r="G1543" s="6">
        <f t="shared" si="30"/>
        <v>5640</v>
      </c>
    </row>
    <row r="1544" spans="1:8" x14ac:dyDescent="0.25">
      <c r="A1544" s="113">
        <v>43941</v>
      </c>
      <c r="B1544" s="10" t="s">
        <v>5709</v>
      </c>
      <c r="C1544" s="11" t="s">
        <v>3011</v>
      </c>
      <c r="F1544" s="9">
        <v>50000</v>
      </c>
      <c r="G1544" s="6">
        <f t="shared" si="30"/>
        <v>-50000</v>
      </c>
      <c r="H1544" s="7" t="s">
        <v>1157</v>
      </c>
    </row>
    <row r="1545" spans="1:8" x14ac:dyDescent="0.25">
      <c r="A1545" s="113">
        <v>43948</v>
      </c>
      <c r="B1545" s="10" t="s">
        <v>5811</v>
      </c>
      <c r="C1545" s="11" t="s">
        <v>169</v>
      </c>
      <c r="E1545" s="8">
        <v>16081</v>
      </c>
      <c r="G1545" s="6">
        <f t="shared" si="30"/>
        <v>16081</v>
      </c>
    </row>
    <row r="1546" spans="1:8" x14ac:dyDescent="0.25">
      <c r="A1546" s="113">
        <v>43949</v>
      </c>
      <c r="B1546" s="10" t="s">
        <v>2933</v>
      </c>
      <c r="C1546" s="11" t="s">
        <v>1803</v>
      </c>
      <c r="E1546" s="109"/>
      <c r="F1546" s="110">
        <v>22119</v>
      </c>
      <c r="G1546" s="6">
        <f t="shared" si="30"/>
        <v>-22119</v>
      </c>
      <c r="H1546" s="517"/>
    </row>
    <row r="1547" spans="1:8" x14ac:dyDescent="0.25">
      <c r="A1547" s="113">
        <v>43949</v>
      </c>
      <c r="B1547" s="10" t="s">
        <v>5320</v>
      </c>
      <c r="C1547" s="11" t="s">
        <v>1803</v>
      </c>
      <c r="E1547" s="109"/>
      <c r="F1547" s="111">
        <v>52679</v>
      </c>
      <c r="G1547" s="6">
        <f t="shared" si="30"/>
        <v>-52679</v>
      </c>
      <c r="H1547" s="518"/>
    </row>
    <row r="1548" spans="1:8" x14ac:dyDescent="0.25">
      <c r="A1548" s="113">
        <v>43949</v>
      </c>
      <c r="B1548" s="10" t="s">
        <v>5720</v>
      </c>
      <c r="C1548" s="11" t="s">
        <v>1803</v>
      </c>
      <c r="E1548" s="109"/>
      <c r="F1548" s="111">
        <v>64222</v>
      </c>
      <c r="G1548" s="6">
        <f t="shared" si="30"/>
        <v>-64222</v>
      </c>
      <c r="H1548" s="518" t="s">
        <v>6107</v>
      </c>
    </row>
    <row r="1549" spans="1:8" x14ac:dyDescent="0.25">
      <c r="A1549" s="113">
        <v>43949</v>
      </c>
      <c r="B1549" s="10" t="s">
        <v>18</v>
      </c>
      <c r="C1549" s="11" t="s">
        <v>1803</v>
      </c>
      <c r="E1549" s="109"/>
      <c r="F1549" s="111">
        <v>10000</v>
      </c>
      <c r="G1549" s="6">
        <f t="shared" si="30"/>
        <v>-10000</v>
      </c>
      <c r="H1549" s="518"/>
    </row>
    <row r="1550" spans="1:8" x14ac:dyDescent="0.25">
      <c r="A1550" s="113">
        <v>43949</v>
      </c>
      <c r="B1550" s="10" t="s">
        <v>2652</v>
      </c>
      <c r="C1550" s="11" t="s">
        <v>1803</v>
      </c>
      <c r="E1550" s="109"/>
      <c r="F1550" s="112">
        <v>150980</v>
      </c>
      <c r="G1550" s="6">
        <f t="shared" si="30"/>
        <v>-150980</v>
      </c>
      <c r="H1550" s="519"/>
    </row>
    <row r="1551" spans="1:8" x14ac:dyDescent="0.25">
      <c r="A1551" s="113">
        <v>43949</v>
      </c>
      <c r="B1551" s="10" t="s">
        <v>5548</v>
      </c>
      <c r="C1551" s="11" t="s">
        <v>1803</v>
      </c>
      <c r="E1551" s="109"/>
      <c r="F1551" s="110">
        <v>187438</v>
      </c>
      <c r="G1551" s="6">
        <f t="shared" si="30"/>
        <v>-187438</v>
      </c>
      <c r="H1551" s="518"/>
    </row>
    <row r="1552" spans="1:8" x14ac:dyDescent="0.25">
      <c r="A1552" s="113">
        <v>43949</v>
      </c>
      <c r="B1552" s="10" t="s">
        <v>2649</v>
      </c>
      <c r="C1552" s="11" t="s">
        <v>1803</v>
      </c>
      <c r="E1552" s="109"/>
      <c r="F1552" s="111">
        <v>8402</v>
      </c>
      <c r="G1552" s="6">
        <f t="shared" si="30"/>
        <v>-8402</v>
      </c>
      <c r="H1552" s="518" t="s">
        <v>6105</v>
      </c>
    </row>
    <row r="1553" spans="1:8" x14ac:dyDescent="0.25">
      <c r="A1553" s="113">
        <v>43949</v>
      </c>
      <c r="B1553" s="10" t="s">
        <v>1400</v>
      </c>
      <c r="C1553" s="11" t="s">
        <v>1803</v>
      </c>
      <c r="E1553" s="109"/>
      <c r="F1553" s="112">
        <v>4160</v>
      </c>
      <c r="G1553" s="6">
        <f t="shared" si="30"/>
        <v>-4160</v>
      </c>
      <c r="H1553" s="519"/>
    </row>
    <row r="1554" spans="1:8" x14ac:dyDescent="0.25">
      <c r="A1554" s="113">
        <v>43902</v>
      </c>
      <c r="B1554" s="10" t="s">
        <v>1400</v>
      </c>
      <c r="C1554" s="11" t="s">
        <v>166</v>
      </c>
      <c r="E1554" s="8">
        <v>21000</v>
      </c>
      <c r="G1554" s="6">
        <f t="shared" si="30"/>
        <v>21000</v>
      </c>
      <c r="H1554" s="435"/>
    </row>
    <row r="1555" spans="1:8" x14ac:dyDescent="0.25">
      <c r="A1555" s="113">
        <v>43942</v>
      </c>
      <c r="B1555" s="10" t="s">
        <v>1400</v>
      </c>
      <c r="C1555" s="11" t="s">
        <v>166</v>
      </c>
      <c r="E1555" s="8">
        <v>104200</v>
      </c>
      <c r="G1555" s="6">
        <f>E1555-F1555</f>
        <v>104200</v>
      </c>
    </row>
    <row r="1556" spans="1:8" x14ac:dyDescent="0.25">
      <c r="A1556" s="113">
        <v>43955</v>
      </c>
      <c r="B1556" s="10" t="s">
        <v>1400</v>
      </c>
      <c r="C1556" s="11" t="s">
        <v>166</v>
      </c>
      <c r="E1556" s="8">
        <v>58700</v>
      </c>
      <c r="G1556" s="6">
        <f>E1556-F1556</f>
        <v>58700</v>
      </c>
    </row>
    <row r="1557" spans="1:8" x14ac:dyDescent="0.25">
      <c r="A1557" s="113">
        <v>43957</v>
      </c>
      <c r="B1557" s="10" t="s">
        <v>1400</v>
      </c>
      <c r="C1557" s="11" t="s">
        <v>166</v>
      </c>
      <c r="E1557" s="8">
        <v>61600</v>
      </c>
      <c r="G1557" s="6">
        <f>E1557-F1557</f>
        <v>61600</v>
      </c>
    </row>
    <row r="1558" spans="1:8" x14ac:dyDescent="0.25">
      <c r="A1558" s="113">
        <v>43958</v>
      </c>
      <c r="B1558" s="10" t="s">
        <v>5811</v>
      </c>
      <c r="C1558" s="11" t="s">
        <v>166</v>
      </c>
      <c r="E1558" s="8">
        <v>19350</v>
      </c>
      <c r="G1558" s="6">
        <f t="shared" si="30"/>
        <v>19350</v>
      </c>
    </row>
    <row r="1559" spans="1:8" x14ac:dyDescent="0.25">
      <c r="A1559" s="113">
        <v>43958</v>
      </c>
      <c r="B1559" s="10" t="s">
        <v>5811</v>
      </c>
      <c r="C1559" s="11" t="s">
        <v>169</v>
      </c>
      <c r="E1559" s="8">
        <v>4500</v>
      </c>
      <c r="G1559" s="6">
        <f t="shared" si="30"/>
        <v>4500</v>
      </c>
    </row>
    <row r="1560" spans="1:8" ht="16.5" thickBot="1" x14ac:dyDescent="0.3">
      <c r="A1560" s="113">
        <v>43958</v>
      </c>
      <c r="B1560" s="10" t="s">
        <v>1400</v>
      </c>
      <c r="C1560" s="11" t="s">
        <v>1815</v>
      </c>
      <c r="E1560" s="8">
        <v>91193</v>
      </c>
      <c r="G1560" s="6">
        <f t="shared" si="30"/>
        <v>91193</v>
      </c>
    </row>
    <row r="1561" spans="1:8" x14ac:dyDescent="0.25">
      <c r="A1561" s="113">
        <v>43970</v>
      </c>
      <c r="B1561" s="10" t="s">
        <v>5811</v>
      </c>
      <c r="C1561" s="11" t="s">
        <v>169</v>
      </c>
      <c r="F1561" s="9">
        <v>100000</v>
      </c>
      <c r="G1561" s="6">
        <f t="shared" si="30"/>
        <v>-100000</v>
      </c>
      <c r="H1561" s="442"/>
    </row>
    <row r="1562" spans="1:8" x14ac:dyDescent="0.25">
      <c r="A1562" s="113">
        <v>43958</v>
      </c>
      <c r="B1562" s="10" t="s">
        <v>5548</v>
      </c>
      <c r="C1562" s="11" t="s">
        <v>169</v>
      </c>
      <c r="F1562" s="9">
        <v>5950</v>
      </c>
      <c r="G1562" s="6">
        <f t="shared" si="30"/>
        <v>-5950</v>
      </c>
      <c r="H1562" s="443" t="s">
        <v>5917</v>
      </c>
    </row>
    <row r="1563" spans="1:8" ht="16.5" thickBot="1" x14ac:dyDescent="0.3">
      <c r="A1563" s="113">
        <v>43958</v>
      </c>
      <c r="B1563" s="10" t="s">
        <v>5227</v>
      </c>
      <c r="C1563" s="11" t="s">
        <v>169</v>
      </c>
      <c r="F1563" s="9">
        <v>44050</v>
      </c>
      <c r="G1563" s="6">
        <f t="shared" si="30"/>
        <v>-44050</v>
      </c>
      <c r="H1563" s="444"/>
    </row>
    <row r="1564" spans="1:8" ht="110.25" x14ac:dyDescent="0.25">
      <c r="A1564" s="113">
        <v>43958</v>
      </c>
      <c r="B1564" s="10" t="s">
        <v>1400</v>
      </c>
      <c r="C1564" s="11" t="s">
        <v>1803</v>
      </c>
      <c r="F1564" s="9">
        <v>485000</v>
      </c>
      <c r="G1564" s="6">
        <f t="shared" si="30"/>
        <v>-485000</v>
      </c>
      <c r="H1564" s="484" t="s">
        <v>6004</v>
      </c>
    </row>
    <row r="1565" spans="1:8" x14ac:dyDescent="0.25">
      <c r="A1565" s="113">
        <v>43958</v>
      </c>
      <c r="B1565" s="10" t="s">
        <v>1400</v>
      </c>
      <c r="C1565" s="11" t="s">
        <v>166</v>
      </c>
      <c r="F1565" s="9">
        <v>100000</v>
      </c>
      <c r="G1565" s="6">
        <f t="shared" si="30"/>
        <v>-100000</v>
      </c>
      <c r="H1565" s="443" t="s">
        <v>5917</v>
      </c>
    </row>
    <row r="1566" spans="1:8" x14ac:dyDescent="0.25">
      <c r="A1566" s="113">
        <v>43970</v>
      </c>
      <c r="B1566" s="10" t="s">
        <v>1400</v>
      </c>
      <c r="C1566" s="11" t="s">
        <v>166</v>
      </c>
      <c r="E1566" s="8">
        <v>55000</v>
      </c>
      <c r="G1566" s="6">
        <f t="shared" si="30"/>
        <v>55000</v>
      </c>
    </row>
    <row r="1567" spans="1:8" x14ac:dyDescent="0.25">
      <c r="A1567" s="113">
        <v>43970</v>
      </c>
      <c r="B1567" s="10" t="s">
        <v>1400</v>
      </c>
      <c r="C1567" s="11" t="s">
        <v>166</v>
      </c>
      <c r="E1567" s="8">
        <v>1100</v>
      </c>
      <c r="G1567" s="6">
        <f t="shared" si="30"/>
        <v>1100</v>
      </c>
    </row>
    <row r="1568" spans="1:8" x14ac:dyDescent="0.25">
      <c r="A1568" s="113">
        <v>43970</v>
      </c>
      <c r="B1568" s="10" t="s">
        <v>1400</v>
      </c>
      <c r="C1568" s="11" t="s">
        <v>166</v>
      </c>
      <c r="F1568" s="9">
        <v>12500</v>
      </c>
      <c r="G1568" s="6">
        <f t="shared" si="30"/>
        <v>-12500</v>
      </c>
      <c r="H1568" s="7" t="s">
        <v>4470</v>
      </c>
    </row>
    <row r="1569" spans="1:8" x14ac:dyDescent="0.25">
      <c r="A1569" s="113">
        <v>43970</v>
      </c>
      <c r="B1569" s="10" t="s">
        <v>1400</v>
      </c>
      <c r="C1569" s="11" t="s">
        <v>3011</v>
      </c>
      <c r="E1569" s="8">
        <v>14000</v>
      </c>
      <c r="G1569" s="6">
        <f t="shared" si="30"/>
        <v>14000</v>
      </c>
    </row>
    <row r="1570" spans="1:8" x14ac:dyDescent="0.25">
      <c r="A1570" s="113">
        <v>43970</v>
      </c>
      <c r="B1570" s="10" t="s">
        <v>5720</v>
      </c>
      <c r="C1570" s="11" t="s">
        <v>3011</v>
      </c>
      <c r="E1570" s="8">
        <v>13200</v>
      </c>
      <c r="G1570" s="6">
        <f t="shared" si="30"/>
        <v>13200</v>
      </c>
    </row>
    <row r="1571" spans="1:8" x14ac:dyDescent="0.25">
      <c r="A1571" s="113">
        <v>43985</v>
      </c>
      <c r="B1571" s="10" t="s">
        <v>1400</v>
      </c>
      <c r="C1571" s="11" t="s">
        <v>166</v>
      </c>
      <c r="E1571" s="8">
        <v>85200</v>
      </c>
      <c r="G1571" s="6">
        <f t="shared" si="30"/>
        <v>85200</v>
      </c>
    </row>
    <row r="1572" spans="1:8" x14ac:dyDescent="0.25">
      <c r="A1572" s="113">
        <v>43985</v>
      </c>
      <c r="B1572" s="10" t="s">
        <v>5720</v>
      </c>
      <c r="C1572" s="11" t="s">
        <v>5681</v>
      </c>
      <c r="E1572" s="8">
        <v>44500</v>
      </c>
      <c r="G1572" s="6">
        <f t="shared" si="30"/>
        <v>44500</v>
      </c>
    </row>
    <row r="1573" spans="1:8" x14ac:dyDescent="0.25">
      <c r="A1573" s="113">
        <v>43985</v>
      </c>
      <c r="B1573" s="10" t="s">
        <v>1400</v>
      </c>
      <c r="C1573" s="11" t="s">
        <v>5681</v>
      </c>
      <c r="E1573" s="8">
        <v>144000</v>
      </c>
      <c r="G1573" s="6">
        <f t="shared" si="30"/>
        <v>144000</v>
      </c>
    </row>
    <row r="1574" spans="1:8" x14ac:dyDescent="0.25">
      <c r="A1574" s="113">
        <v>43985</v>
      </c>
      <c r="B1574" s="10" t="s">
        <v>2652</v>
      </c>
      <c r="C1574" s="11" t="s">
        <v>5681</v>
      </c>
      <c r="E1574" s="8">
        <v>45000</v>
      </c>
      <c r="G1574" s="6">
        <f t="shared" si="30"/>
        <v>45000</v>
      </c>
    </row>
    <row r="1575" spans="1:8" x14ac:dyDescent="0.25">
      <c r="A1575" s="113">
        <v>43994</v>
      </c>
      <c r="B1575" s="10" t="s">
        <v>1400</v>
      </c>
      <c r="C1575" s="11" t="s">
        <v>5681</v>
      </c>
      <c r="F1575" s="9">
        <v>100000</v>
      </c>
      <c r="G1575" s="6">
        <f t="shared" si="30"/>
        <v>-100000</v>
      </c>
      <c r="H1575" s="7" t="s">
        <v>1157</v>
      </c>
    </row>
    <row r="1576" spans="1:8" x14ac:dyDescent="0.25">
      <c r="A1576" s="113">
        <v>43994</v>
      </c>
      <c r="B1576" s="10" t="s">
        <v>5811</v>
      </c>
      <c r="C1576" s="11" t="s">
        <v>166</v>
      </c>
      <c r="E1576" s="8">
        <v>28500</v>
      </c>
      <c r="G1576" s="6">
        <f t="shared" si="30"/>
        <v>28500</v>
      </c>
    </row>
    <row r="1577" spans="1:8" x14ac:dyDescent="0.25">
      <c r="A1577" s="113">
        <v>43998</v>
      </c>
      <c r="B1577" s="10" t="s">
        <v>1400</v>
      </c>
      <c r="C1577" s="11" t="s">
        <v>164</v>
      </c>
      <c r="F1577" s="9">
        <v>1000</v>
      </c>
      <c r="G1577" s="6">
        <f t="shared" si="30"/>
        <v>-1000</v>
      </c>
      <c r="H1577" s="7" t="s">
        <v>5958</v>
      </c>
    </row>
    <row r="1578" spans="1:8" x14ac:dyDescent="0.25">
      <c r="A1578" s="113">
        <v>44000</v>
      </c>
      <c r="B1578" s="10" t="s">
        <v>1400</v>
      </c>
      <c r="C1578" s="11" t="s">
        <v>166</v>
      </c>
      <c r="F1578" s="9">
        <v>400000</v>
      </c>
      <c r="G1578" s="6">
        <f t="shared" si="30"/>
        <v>-400000</v>
      </c>
      <c r="H1578" s="80" t="s">
        <v>5963</v>
      </c>
    </row>
    <row r="1579" spans="1:8" x14ac:dyDescent="0.25">
      <c r="A1579" s="113">
        <v>44000</v>
      </c>
      <c r="B1579" s="10" t="s">
        <v>1400</v>
      </c>
      <c r="C1579" s="11" t="s">
        <v>1815</v>
      </c>
      <c r="F1579" s="9">
        <v>300000</v>
      </c>
      <c r="G1579" s="6">
        <f t="shared" si="30"/>
        <v>-300000</v>
      </c>
      <c r="H1579" s="31" t="s">
        <v>5963</v>
      </c>
    </row>
    <row r="1580" spans="1:8" x14ac:dyDescent="0.25">
      <c r="A1580" s="113">
        <v>43988</v>
      </c>
      <c r="B1580" s="10" t="s">
        <v>5811</v>
      </c>
      <c r="C1580" s="11" t="s">
        <v>169</v>
      </c>
      <c r="E1580" s="8">
        <v>8500</v>
      </c>
      <c r="G1580" s="6">
        <f t="shared" si="30"/>
        <v>8500</v>
      </c>
      <c r="H1580" s="124"/>
    </row>
    <row r="1581" spans="1:8" x14ac:dyDescent="0.25">
      <c r="A1581" s="113">
        <v>44000</v>
      </c>
      <c r="B1581" s="10" t="s">
        <v>2652</v>
      </c>
      <c r="C1581" s="11" t="s">
        <v>169</v>
      </c>
      <c r="E1581" s="8">
        <v>14270</v>
      </c>
      <c r="G1581" s="6">
        <f t="shared" si="30"/>
        <v>14270</v>
      </c>
    </row>
    <row r="1582" spans="1:8" x14ac:dyDescent="0.25">
      <c r="A1582" s="113">
        <v>44000</v>
      </c>
      <c r="B1582" s="10" t="s">
        <v>5709</v>
      </c>
      <c r="C1582" s="11" t="s">
        <v>161</v>
      </c>
      <c r="E1582" s="8">
        <v>14629</v>
      </c>
      <c r="G1582" s="6">
        <f t="shared" si="30"/>
        <v>14629</v>
      </c>
    </row>
    <row r="1583" spans="1:8" x14ac:dyDescent="0.25">
      <c r="A1583" s="113">
        <v>44000</v>
      </c>
      <c r="B1583" s="10" t="s">
        <v>2933</v>
      </c>
      <c r="C1583" s="11" t="s">
        <v>161</v>
      </c>
      <c r="E1583" s="8">
        <v>60480</v>
      </c>
      <c r="G1583" s="6">
        <f t="shared" si="30"/>
        <v>60480</v>
      </c>
    </row>
    <row r="1584" spans="1:8" x14ac:dyDescent="0.25">
      <c r="A1584" s="113">
        <v>44000</v>
      </c>
      <c r="B1584" s="10" t="s">
        <v>2933</v>
      </c>
      <c r="C1584" s="11" t="s">
        <v>161</v>
      </c>
      <c r="E1584" s="8">
        <v>13964</v>
      </c>
      <c r="G1584" s="6">
        <f t="shared" si="30"/>
        <v>13964</v>
      </c>
    </row>
    <row r="1585" spans="1:8" x14ac:dyDescent="0.25">
      <c r="A1585" s="113">
        <v>44008</v>
      </c>
      <c r="B1585" s="10" t="s">
        <v>2652</v>
      </c>
      <c r="C1585" s="11" t="s">
        <v>5681</v>
      </c>
      <c r="E1585" s="8">
        <v>77700</v>
      </c>
      <c r="G1585" s="6">
        <f t="shared" si="30"/>
        <v>77700</v>
      </c>
    </row>
    <row r="1586" spans="1:8" x14ac:dyDescent="0.25">
      <c r="A1586" s="113">
        <v>44012</v>
      </c>
      <c r="B1586" s="10" t="s">
        <v>1400</v>
      </c>
      <c r="C1586" s="11" t="s">
        <v>166</v>
      </c>
      <c r="E1586" s="8">
        <v>70400</v>
      </c>
      <c r="G1586" s="6">
        <f t="shared" si="30"/>
        <v>70400</v>
      </c>
    </row>
    <row r="1587" spans="1:8" ht="16.5" thickBot="1" x14ac:dyDescent="0.3">
      <c r="A1587" s="113">
        <v>43996</v>
      </c>
      <c r="B1587" s="10" t="s">
        <v>1400</v>
      </c>
      <c r="C1587" s="11" t="s">
        <v>5681</v>
      </c>
      <c r="E1587" s="8">
        <v>148600</v>
      </c>
      <c r="G1587" s="6">
        <f t="shared" si="30"/>
        <v>148600</v>
      </c>
    </row>
    <row r="1588" spans="1:8" x14ac:dyDescent="0.25">
      <c r="A1588" s="113">
        <v>44027</v>
      </c>
      <c r="B1588" s="10" t="s">
        <v>5720</v>
      </c>
      <c r="C1588" s="11" t="s">
        <v>3011</v>
      </c>
      <c r="F1588" s="9">
        <v>45440</v>
      </c>
      <c r="G1588" s="6">
        <f t="shared" si="30"/>
        <v>-45440</v>
      </c>
      <c r="H1588" s="81" t="s">
        <v>6051</v>
      </c>
    </row>
    <row r="1589" spans="1:8" ht="16.5" thickBot="1" x14ac:dyDescent="0.3">
      <c r="A1589" s="113">
        <v>44027</v>
      </c>
      <c r="B1589" s="10" t="s">
        <v>5709</v>
      </c>
      <c r="C1589" s="11" t="s">
        <v>3011</v>
      </c>
      <c r="F1589" s="9">
        <v>54560</v>
      </c>
      <c r="G1589" s="6">
        <f t="shared" si="30"/>
        <v>-54560</v>
      </c>
      <c r="H1589" s="83"/>
    </row>
    <row r="1590" spans="1:8" ht="16.5" thickBot="1" x14ac:dyDescent="0.3">
      <c r="A1590" s="113">
        <v>44027</v>
      </c>
      <c r="B1590" s="10" t="s">
        <v>2652</v>
      </c>
      <c r="C1590" s="11" t="s">
        <v>5681</v>
      </c>
      <c r="F1590" s="9">
        <v>77000</v>
      </c>
      <c r="G1590" s="6">
        <f t="shared" si="30"/>
        <v>-77000</v>
      </c>
      <c r="H1590" s="87" t="s">
        <v>6049</v>
      </c>
    </row>
    <row r="1591" spans="1:8" ht="16.5" thickBot="1" x14ac:dyDescent="0.3">
      <c r="A1591" s="113">
        <v>44027</v>
      </c>
      <c r="B1591" s="10" t="s">
        <v>1400</v>
      </c>
      <c r="C1591" s="11" t="s">
        <v>5681</v>
      </c>
      <c r="F1591" s="9">
        <v>148600</v>
      </c>
      <c r="G1591" s="6">
        <f t="shared" si="30"/>
        <v>-148600</v>
      </c>
      <c r="H1591" s="87" t="s">
        <v>6048</v>
      </c>
    </row>
    <row r="1592" spans="1:8" x14ac:dyDescent="0.25">
      <c r="A1592" s="113">
        <v>44028</v>
      </c>
      <c r="B1592" s="10" t="s">
        <v>1400</v>
      </c>
      <c r="C1592" s="11" t="s">
        <v>164</v>
      </c>
      <c r="E1592" s="8">
        <v>5208</v>
      </c>
      <c r="G1592" s="6">
        <f t="shared" si="30"/>
        <v>5208</v>
      </c>
    </row>
    <row r="1593" spans="1:8" x14ac:dyDescent="0.25">
      <c r="A1593" s="113">
        <v>44028</v>
      </c>
      <c r="B1593" s="10" t="s">
        <v>1400</v>
      </c>
      <c r="C1593" s="11" t="s">
        <v>164</v>
      </c>
      <c r="E1593" s="8">
        <v>3418</v>
      </c>
      <c r="G1593" s="6">
        <f t="shared" si="30"/>
        <v>3418</v>
      </c>
    </row>
    <row r="1594" spans="1:8" x14ac:dyDescent="0.25">
      <c r="A1594" s="113">
        <v>44028</v>
      </c>
      <c r="B1594" s="10" t="s">
        <v>1400</v>
      </c>
      <c r="C1594" s="11" t="s">
        <v>169</v>
      </c>
      <c r="E1594" s="8">
        <v>8500</v>
      </c>
      <c r="G1594" s="6">
        <f t="shared" si="30"/>
        <v>8500</v>
      </c>
    </row>
    <row r="1595" spans="1:8" x14ac:dyDescent="0.25">
      <c r="A1595" s="113">
        <v>44041</v>
      </c>
      <c r="B1595" s="10" t="s">
        <v>1400</v>
      </c>
      <c r="C1595" s="11" t="s">
        <v>166</v>
      </c>
      <c r="F1595" s="9">
        <v>200000</v>
      </c>
      <c r="G1595" s="6">
        <f t="shared" si="30"/>
        <v>-200000</v>
      </c>
      <c r="H1595" s="31" t="s">
        <v>6084</v>
      </c>
    </row>
    <row r="1596" spans="1:8" x14ac:dyDescent="0.25">
      <c r="A1596" s="113">
        <v>44041</v>
      </c>
      <c r="B1596" s="10" t="s">
        <v>2933</v>
      </c>
      <c r="C1596" s="11" t="s">
        <v>161</v>
      </c>
      <c r="E1596" s="109"/>
      <c r="F1596" s="110">
        <v>74001</v>
      </c>
      <c r="G1596" s="6">
        <f t="shared" si="30"/>
        <v>-74001</v>
      </c>
      <c r="H1596" s="78"/>
    </row>
    <row r="1597" spans="1:8" x14ac:dyDescent="0.25">
      <c r="A1597" s="113">
        <v>44041</v>
      </c>
      <c r="B1597" s="10" t="s">
        <v>5709</v>
      </c>
      <c r="C1597" s="11" t="s">
        <v>161</v>
      </c>
      <c r="E1597" s="109"/>
      <c r="F1597" s="111">
        <v>14629</v>
      </c>
      <c r="G1597" s="6">
        <f t="shared" si="30"/>
        <v>-14629</v>
      </c>
      <c r="H1597" s="79" t="s">
        <v>6084</v>
      </c>
    </row>
    <row r="1598" spans="1:8" x14ac:dyDescent="0.25">
      <c r="A1598" s="113">
        <v>44041</v>
      </c>
      <c r="B1598" s="10" t="s">
        <v>40</v>
      </c>
      <c r="C1598" s="11" t="s">
        <v>161</v>
      </c>
      <c r="E1598" s="109"/>
      <c r="F1598" s="112">
        <v>443</v>
      </c>
      <c r="G1598" s="6">
        <f t="shared" si="30"/>
        <v>-443</v>
      </c>
      <c r="H1598" s="80"/>
    </row>
    <row r="1599" spans="1:8" x14ac:dyDescent="0.25">
      <c r="A1599" s="113">
        <v>44047</v>
      </c>
      <c r="B1599" s="10" t="s">
        <v>1400</v>
      </c>
      <c r="C1599" s="11" t="s">
        <v>1803</v>
      </c>
      <c r="E1599" s="8">
        <v>31234</v>
      </c>
      <c r="G1599" s="6">
        <f t="shared" si="30"/>
        <v>31234</v>
      </c>
    </row>
    <row r="1600" spans="1:8" x14ac:dyDescent="0.25">
      <c r="A1600" s="113">
        <v>44047</v>
      </c>
      <c r="B1600" s="10" t="s">
        <v>1400</v>
      </c>
      <c r="C1600" s="11" t="s">
        <v>1803</v>
      </c>
      <c r="E1600" s="8">
        <v>101485</v>
      </c>
      <c r="G1600" s="6">
        <f t="shared" ref="G1600:G1807" si="31">E1600-F1600</f>
        <v>101485</v>
      </c>
    </row>
    <row r="1601" spans="1:8" x14ac:dyDescent="0.25">
      <c r="A1601" s="113">
        <v>44047</v>
      </c>
      <c r="B1601" s="10" t="s">
        <v>1400</v>
      </c>
      <c r="C1601" s="11" t="s">
        <v>1803</v>
      </c>
      <c r="E1601" s="8">
        <v>13024</v>
      </c>
      <c r="G1601" s="6">
        <f t="shared" si="31"/>
        <v>13024</v>
      </c>
    </row>
    <row r="1602" spans="1:8" x14ac:dyDescent="0.25">
      <c r="A1602" s="113">
        <v>44047</v>
      </c>
      <c r="B1602" s="10" t="s">
        <v>1400</v>
      </c>
      <c r="C1602" s="11" t="s">
        <v>1803</v>
      </c>
      <c r="E1602" s="8">
        <v>53697</v>
      </c>
      <c r="G1602" s="6">
        <f t="shared" si="31"/>
        <v>53697</v>
      </c>
    </row>
    <row r="1603" spans="1:8" x14ac:dyDescent="0.25">
      <c r="A1603" s="113">
        <v>44047</v>
      </c>
      <c r="B1603" s="10" t="s">
        <v>1400</v>
      </c>
      <c r="C1603" s="11" t="s">
        <v>1803</v>
      </c>
      <c r="E1603" s="8">
        <v>20192</v>
      </c>
      <c r="G1603" s="6">
        <f t="shared" si="31"/>
        <v>20192</v>
      </c>
    </row>
    <row r="1604" spans="1:8" x14ac:dyDescent="0.25">
      <c r="A1604" s="113">
        <v>44047</v>
      </c>
      <c r="B1604" s="10" t="s">
        <v>1400</v>
      </c>
      <c r="C1604" s="11" t="s">
        <v>1803</v>
      </c>
      <c r="E1604" s="8">
        <v>30732</v>
      </c>
      <c r="G1604" s="6">
        <f t="shared" si="31"/>
        <v>30732</v>
      </c>
    </row>
    <row r="1605" spans="1:8" x14ac:dyDescent="0.25">
      <c r="A1605" s="113">
        <v>44047</v>
      </c>
      <c r="B1605" s="10" t="s">
        <v>1400</v>
      </c>
      <c r="C1605" s="11" t="s">
        <v>1803</v>
      </c>
      <c r="E1605" s="8">
        <v>18233</v>
      </c>
      <c r="G1605" s="6">
        <f t="shared" si="31"/>
        <v>18233</v>
      </c>
    </row>
    <row r="1606" spans="1:8" x14ac:dyDescent="0.25">
      <c r="A1606" s="113">
        <v>44047</v>
      </c>
      <c r="B1606" s="10" t="s">
        <v>1400</v>
      </c>
      <c r="C1606" s="11" t="s">
        <v>1803</v>
      </c>
      <c r="E1606" s="8">
        <v>5414</v>
      </c>
      <c r="G1606" s="6">
        <f t="shared" si="31"/>
        <v>5414</v>
      </c>
    </row>
    <row r="1607" spans="1:8" x14ac:dyDescent="0.25">
      <c r="A1607" s="113">
        <v>44047</v>
      </c>
      <c r="B1607" s="10" t="s">
        <v>1400</v>
      </c>
      <c r="C1607" s="11" t="s">
        <v>1803</v>
      </c>
      <c r="E1607" s="8">
        <v>69763</v>
      </c>
      <c r="G1607" s="6">
        <f t="shared" si="31"/>
        <v>69763</v>
      </c>
    </row>
    <row r="1608" spans="1:8" x14ac:dyDescent="0.25">
      <c r="A1608" s="113">
        <v>44047</v>
      </c>
      <c r="B1608" s="10" t="s">
        <v>1400</v>
      </c>
      <c r="C1608" s="11" t="s">
        <v>1803</v>
      </c>
      <c r="E1608" s="8">
        <v>7107</v>
      </c>
      <c r="G1608" s="6">
        <f t="shared" si="31"/>
        <v>7107</v>
      </c>
    </row>
    <row r="1609" spans="1:8" x14ac:dyDescent="0.25">
      <c r="A1609" s="113">
        <v>44047</v>
      </c>
      <c r="B1609" s="10" t="s">
        <v>1400</v>
      </c>
      <c r="C1609" s="11" t="s">
        <v>1803</v>
      </c>
      <c r="F1609" s="9">
        <v>15205</v>
      </c>
      <c r="G1609" s="6">
        <f t="shared" si="31"/>
        <v>-15205</v>
      </c>
      <c r="H1609" s="7" t="s">
        <v>2320</v>
      </c>
    </row>
    <row r="1610" spans="1:8" x14ac:dyDescent="0.25">
      <c r="A1610" s="113">
        <v>44047</v>
      </c>
      <c r="B1610" s="10" t="s">
        <v>2652</v>
      </c>
      <c r="C1610" s="11" t="s">
        <v>1803</v>
      </c>
      <c r="E1610" s="8">
        <v>33160</v>
      </c>
      <c r="G1610" s="6">
        <f t="shared" si="31"/>
        <v>33160</v>
      </c>
    </row>
    <row r="1611" spans="1:8" x14ac:dyDescent="0.25">
      <c r="A1611" s="113">
        <v>44047</v>
      </c>
      <c r="B1611" s="10" t="s">
        <v>2652</v>
      </c>
      <c r="C1611" s="11" t="s">
        <v>1803</v>
      </c>
      <c r="E1611" s="8">
        <v>3431</v>
      </c>
      <c r="G1611" s="6">
        <f t="shared" si="31"/>
        <v>3431</v>
      </c>
    </row>
    <row r="1612" spans="1:8" x14ac:dyDescent="0.25">
      <c r="A1612" s="113">
        <v>44047</v>
      </c>
      <c r="B1612" s="10" t="s">
        <v>2652</v>
      </c>
      <c r="C1612" s="11" t="s">
        <v>1803</v>
      </c>
      <c r="E1612" s="8">
        <v>15621</v>
      </c>
      <c r="G1612" s="6">
        <f t="shared" si="31"/>
        <v>15621</v>
      </c>
    </row>
    <row r="1613" spans="1:8" x14ac:dyDescent="0.25">
      <c r="A1613" s="113">
        <v>44047</v>
      </c>
      <c r="B1613" s="10" t="s">
        <v>2652</v>
      </c>
      <c r="C1613" s="11" t="s">
        <v>1803</v>
      </c>
      <c r="E1613" s="8">
        <v>6790</v>
      </c>
      <c r="G1613" s="6">
        <f t="shared" si="31"/>
        <v>6790</v>
      </c>
    </row>
    <row r="1614" spans="1:8" x14ac:dyDescent="0.25">
      <c r="A1614" s="113">
        <v>44047</v>
      </c>
      <c r="B1614" s="10" t="s">
        <v>2652</v>
      </c>
      <c r="C1614" s="11" t="s">
        <v>1803</v>
      </c>
      <c r="E1614" s="8">
        <v>3380</v>
      </c>
      <c r="G1614" s="6">
        <f t="shared" si="31"/>
        <v>3380</v>
      </c>
    </row>
    <row r="1615" spans="1:8" x14ac:dyDescent="0.25">
      <c r="A1615" s="113">
        <v>44047</v>
      </c>
      <c r="B1615" s="10" t="s">
        <v>2652</v>
      </c>
      <c r="C1615" s="11" t="s">
        <v>1803</v>
      </c>
      <c r="E1615" s="8">
        <v>490</v>
      </c>
      <c r="G1615" s="6">
        <f t="shared" si="31"/>
        <v>490</v>
      </c>
    </row>
    <row r="1616" spans="1:8" x14ac:dyDescent="0.25">
      <c r="A1616" s="113">
        <v>44047</v>
      </c>
      <c r="B1616" s="10" t="s">
        <v>2652</v>
      </c>
      <c r="C1616" s="11" t="s">
        <v>1803</v>
      </c>
      <c r="E1616" s="8">
        <v>1418</v>
      </c>
      <c r="G1616" s="6">
        <f t="shared" si="31"/>
        <v>1418</v>
      </c>
    </row>
    <row r="1617" spans="1:8" x14ac:dyDescent="0.25">
      <c r="A1617" s="113">
        <v>44047</v>
      </c>
      <c r="B1617" s="10" t="s">
        <v>2652</v>
      </c>
      <c r="C1617" s="11" t="s">
        <v>1803</v>
      </c>
      <c r="E1617" s="8">
        <v>19641</v>
      </c>
      <c r="G1617" s="6">
        <f t="shared" si="31"/>
        <v>19641</v>
      </c>
    </row>
    <row r="1618" spans="1:8" x14ac:dyDescent="0.25">
      <c r="A1618" s="113">
        <v>44047</v>
      </c>
      <c r="B1618" s="10" t="s">
        <v>2652</v>
      </c>
      <c r="C1618" s="11" t="s">
        <v>1803</v>
      </c>
      <c r="E1618" s="8">
        <v>14297</v>
      </c>
      <c r="G1618" s="6">
        <f t="shared" si="31"/>
        <v>14297</v>
      </c>
    </row>
    <row r="1619" spans="1:8" x14ac:dyDescent="0.25">
      <c r="A1619" s="113">
        <v>44047</v>
      </c>
      <c r="B1619" s="10" t="s">
        <v>2652</v>
      </c>
      <c r="C1619" s="11" t="s">
        <v>1803</v>
      </c>
      <c r="E1619" s="8">
        <v>24978</v>
      </c>
      <c r="G1619" s="6">
        <f t="shared" si="31"/>
        <v>24978</v>
      </c>
    </row>
    <row r="1620" spans="1:8" x14ac:dyDescent="0.25">
      <c r="A1620" s="113">
        <v>44047</v>
      </c>
      <c r="B1620" s="10" t="s">
        <v>2652</v>
      </c>
      <c r="C1620" s="11" t="s">
        <v>1803</v>
      </c>
      <c r="E1620" s="8">
        <v>4540</v>
      </c>
      <c r="G1620" s="6">
        <f t="shared" si="31"/>
        <v>4540</v>
      </c>
    </row>
    <row r="1621" spans="1:8" x14ac:dyDescent="0.25">
      <c r="A1621" s="113">
        <v>44047</v>
      </c>
      <c r="B1621" s="10" t="s">
        <v>2652</v>
      </c>
      <c r="C1621" s="11" t="s">
        <v>1803</v>
      </c>
      <c r="E1621" s="8">
        <v>14211</v>
      </c>
      <c r="G1621" s="6">
        <f t="shared" si="31"/>
        <v>14211</v>
      </c>
    </row>
    <row r="1622" spans="1:8" x14ac:dyDescent="0.25">
      <c r="A1622" s="113">
        <v>44047</v>
      </c>
      <c r="B1622" s="10" t="s">
        <v>5548</v>
      </c>
      <c r="C1622" s="11" t="s">
        <v>1803</v>
      </c>
      <c r="E1622" s="8">
        <v>2620</v>
      </c>
      <c r="G1622" s="6">
        <f t="shared" si="31"/>
        <v>2620</v>
      </c>
    </row>
    <row r="1623" spans="1:8" x14ac:dyDescent="0.25">
      <c r="A1623" s="113">
        <v>44047</v>
      </c>
      <c r="B1623" s="10" t="s">
        <v>5548</v>
      </c>
      <c r="C1623" s="11" t="s">
        <v>1803</v>
      </c>
      <c r="E1623" s="8">
        <v>3890</v>
      </c>
      <c r="G1623" s="6">
        <f t="shared" si="31"/>
        <v>3890</v>
      </c>
    </row>
    <row r="1624" spans="1:8" x14ac:dyDescent="0.25">
      <c r="A1624" s="113">
        <v>44047</v>
      </c>
      <c r="B1624" s="10" t="s">
        <v>5548</v>
      </c>
      <c r="C1624" s="11" t="s">
        <v>1803</v>
      </c>
      <c r="E1624" s="8">
        <v>2500</v>
      </c>
      <c r="G1624" s="6">
        <f t="shared" si="31"/>
        <v>2500</v>
      </c>
    </row>
    <row r="1625" spans="1:8" x14ac:dyDescent="0.25">
      <c r="A1625" s="113">
        <v>44047</v>
      </c>
      <c r="B1625" s="10" t="s">
        <v>18</v>
      </c>
      <c r="C1625" s="11" t="s">
        <v>1803</v>
      </c>
      <c r="E1625" s="8">
        <v>57195</v>
      </c>
      <c r="G1625" s="6">
        <f t="shared" si="31"/>
        <v>57195</v>
      </c>
    </row>
    <row r="1626" spans="1:8" x14ac:dyDescent="0.25">
      <c r="A1626" s="113">
        <v>44047</v>
      </c>
      <c r="B1626" s="10" t="s">
        <v>18</v>
      </c>
      <c r="C1626" s="11" t="s">
        <v>1803</v>
      </c>
      <c r="E1626" s="8">
        <v>1717</v>
      </c>
      <c r="G1626" s="6">
        <f t="shared" si="31"/>
        <v>1717</v>
      </c>
    </row>
    <row r="1627" spans="1:8" x14ac:dyDescent="0.25">
      <c r="A1627" s="113">
        <v>44047</v>
      </c>
      <c r="B1627" s="10" t="s">
        <v>18</v>
      </c>
      <c r="C1627" s="11" t="s">
        <v>1803</v>
      </c>
      <c r="E1627" s="8">
        <v>1215</v>
      </c>
      <c r="G1627" s="6">
        <f t="shared" si="31"/>
        <v>1215</v>
      </c>
    </row>
    <row r="1628" spans="1:8" x14ac:dyDescent="0.25">
      <c r="A1628" s="113">
        <v>44047</v>
      </c>
      <c r="B1628" s="10" t="s">
        <v>18</v>
      </c>
      <c r="C1628" s="11" t="s">
        <v>1803</v>
      </c>
      <c r="E1628" s="8">
        <v>710</v>
      </c>
      <c r="G1628" s="6">
        <f t="shared" si="31"/>
        <v>710</v>
      </c>
    </row>
    <row r="1629" spans="1:8" x14ac:dyDescent="0.25">
      <c r="A1629" s="113">
        <v>44047</v>
      </c>
      <c r="B1629" s="10" t="s">
        <v>18</v>
      </c>
      <c r="C1629" s="11" t="s">
        <v>1803</v>
      </c>
      <c r="E1629" s="8">
        <v>650</v>
      </c>
      <c r="G1629" s="6">
        <f t="shared" si="31"/>
        <v>650</v>
      </c>
    </row>
    <row r="1630" spans="1:8" x14ac:dyDescent="0.25">
      <c r="A1630" s="113">
        <v>44047</v>
      </c>
      <c r="B1630" s="10" t="s">
        <v>18</v>
      </c>
      <c r="C1630" s="11" t="s">
        <v>1803</v>
      </c>
      <c r="E1630" s="8">
        <v>1340</v>
      </c>
      <c r="G1630" s="6">
        <f t="shared" si="31"/>
        <v>1340</v>
      </c>
    </row>
    <row r="1631" spans="1:8" x14ac:dyDescent="0.25">
      <c r="A1631" s="113">
        <v>44047</v>
      </c>
      <c r="B1631" s="10" t="s">
        <v>2652</v>
      </c>
      <c r="C1631" s="11" t="s">
        <v>1803</v>
      </c>
      <c r="E1631" s="8">
        <v>5455</v>
      </c>
      <c r="G1631" s="6">
        <f t="shared" si="31"/>
        <v>5455</v>
      </c>
      <c r="H1631" s="7" t="s">
        <v>6088</v>
      </c>
    </row>
    <row r="1632" spans="1:8" x14ac:dyDescent="0.25">
      <c r="A1632" s="113">
        <v>44047</v>
      </c>
      <c r="B1632" s="10" t="s">
        <v>2652</v>
      </c>
      <c r="C1632" s="11" t="s">
        <v>1803</v>
      </c>
      <c r="E1632" s="8">
        <v>4056</v>
      </c>
      <c r="G1632" s="6">
        <f t="shared" si="31"/>
        <v>4056</v>
      </c>
      <c r="H1632" s="7" t="s">
        <v>6088</v>
      </c>
    </row>
    <row r="1633" spans="1:8" x14ac:dyDescent="0.25">
      <c r="A1633" s="113">
        <v>44047</v>
      </c>
      <c r="B1633" s="10" t="s">
        <v>2652</v>
      </c>
      <c r="C1633" s="11" t="s">
        <v>1803</v>
      </c>
      <c r="E1633" s="8">
        <v>23421</v>
      </c>
      <c r="G1633" s="6">
        <f t="shared" si="31"/>
        <v>23421</v>
      </c>
      <c r="H1633" s="7" t="s">
        <v>6088</v>
      </c>
    </row>
    <row r="1634" spans="1:8" x14ac:dyDescent="0.25">
      <c r="A1634" s="113">
        <v>44047</v>
      </c>
      <c r="B1634" s="10" t="s">
        <v>2652</v>
      </c>
      <c r="C1634" s="11" t="s">
        <v>1803</v>
      </c>
      <c r="E1634" s="8">
        <v>1887</v>
      </c>
      <c r="G1634" s="6">
        <f t="shared" si="31"/>
        <v>1887</v>
      </c>
      <c r="H1634" s="7" t="s">
        <v>6088</v>
      </c>
    </row>
    <row r="1635" spans="1:8" x14ac:dyDescent="0.25">
      <c r="A1635" s="113">
        <v>44047</v>
      </c>
      <c r="B1635" s="10" t="s">
        <v>2652</v>
      </c>
      <c r="C1635" s="11" t="s">
        <v>1803</v>
      </c>
      <c r="E1635" s="8">
        <v>10816</v>
      </c>
      <c r="G1635" s="6">
        <f t="shared" si="31"/>
        <v>10816</v>
      </c>
      <c r="H1635" s="7" t="s">
        <v>6088</v>
      </c>
    </row>
    <row r="1636" spans="1:8" x14ac:dyDescent="0.25">
      <c r="A1636" s="113">
        <v>44047</v>
      </c>
      <c r="B1636" s="10" t="s">
        <v>2652</v>
      </c>
      <c r="C1636" s="11" t="s">
        <v>1803</v>
      </c>
      <c r="E1636" s="8">
        <v>1025</v>
      </c>
      <c r="G1636" s="6">
        <f t="shared" si="31"/>
        <v>1025</v>
      </c>
      <c r="H1636" s="7" t="s">
        <v>6089</v>
      </c>
    </row>
    <row r="1637" spans="1:8" x14ac:dyDescent="0.25">
      <c r="A1637" s="113">
        <v>44047</v>
      </c>
      <c r="B1637" s="10" t="s">
        <v>2652</v>
      </c>
      <c r="C1637" s="11" t="s">
        <v>1803</v>
      </c>
      <c r="E1637" s="8">
        <v>1200</v>
      </c>
      <c r="G1637" s="6">
        <f t="shared" si="31"/>
        <v>1200</v>
      </c>
      <c r="H1637" s="7" t="s">
        <v>6089</v>
      </c>
    </row>
    <row r="1638" spans="1:8" x14ac:dyDescent="0.25">
      <c r="A1638" s="113">
        <v>44047</v>
      </c>
      <c r="B1638" s="10" t="s">
        <v>2652</v>
      </c>
      <c r="C1638" s="11" t="s">
        <v>1803</v>
      </c>
      <c r="E1638" s="8">
        <v>5960</v>
      </c>
      <c r="G1638" s="6">
        <f t="shared" si="31"/>
        <v>5960</v>
      </c>
      <c r="H1638" s="7" t="s">
        <v>6089</v>
      </c>
    </row>
    <row r="1639" spans="1:8" x14ac:dyDescent="0.25">
      <c r="A1639" s="113">
        <v>44047</v>
      </c>
      <c r="B1639" s="10" t="s">
        <v>2652</v>
      </c>
      <c r="C1639" s="11" t="s">
        <v>1803</v>
      </c>
      <c r="E1639" s="8">
        <v>8921</v>
      </c>
      <c r="G1639" s="6">
        <f t="shared" si="31"/>
        <v>8921</v>
      </c>
      <c r="H1639" s="7" t="s">
        <v>6089</v>
      </c>
    </row>
    <row r="1640" spans="1:8" x14ac:dyDescent="0.25">
      <c r="A1640" s="113">
        <v>44047</v>
      </c>
      <c r="B1640" s="10" t="s">
        <v>2652</v>
      </c>
      <c r="C1640" s="11" t="s">
        <v>1803</v>
      </c>
      <c r="E1640" s="8">
        <v>3148</v>
      </c>
      <c r="G1640" s="6">
        <f t="shared" si="31"/>
        <v>3148</v>
      </c>
      <c r="H1640" s="7" t="s">
        <v>6089</v>
      </c>
    </row>
    <row r="1641" spans="1:8" x14ac:dyDescent="0.25">
      <c r="A1641" s="113">
        <v>44047</v>
      </c>
      <c r="B1641" s="10" t="s">
        <v>2652</v>
      </c>
      <c r="C1641" s="11" t="s">
        <v>1803</v>
      </c>
      <c r="E1641" s="8">
        <v>36277</v>
      </c>
      <c r="G1641" s="6">
        <f t="shared" si="31"/>
        <v>36277</v>
      </c>
      <c r="H1641" s="7" t="s">
        <v>6089</v>
      </c>
    </row>
    <row r="1642" spans="1:8" x14ac:dyDescent="0.25">
      <c r="A1642" s="113">
        <v>44047</v>
      </c>
      <c r="B1642" s="10" t="s">
        <v>2652</v>
      </c>
      <c r="C1642" s="11" t="s">
        <v>1803</v>
      </c>
      <c r="E1642" s="8">
        <v>247</v>
      </c>
      <c r="G1642" s="6">
        <f t="shared" si="31"/>
        <v>247</v>
      </c>
      <c r="H1642" s="7" t="s">
        <v>6089</v>
      </c>
    </row>
    <row r="1643" spans="1:8" x14ac:dyDescent="0.25">
      <c r="A1643" s="113">
        <v>44055</v>
      </c>
      <c r="B1643" s="10" t="s">
        <v>2652</v>
      </c>
      <c r="C1643" s="11" t="s">
        <v>166</v>
      </c>
      <c r="E1643" s="8">
        <v>13200</v>
      </c>
      <c r="G1643" s="6">
        <f t="shared" si="31"/>
        <v>13200</v>
      </c>
    </row>
    <row r="1644" spans="1:8" x14ac:dyDescent="0.25">
      <c r="A1644" s="113">
        <v>44055</v>
      </c>
      <c r="B1644" s="10" t="s">
        <v>5811</v>
      </c>
      <c r="C1644" s="11" t="s">
        <v>166</v>
      </c>
      <c r="E1644" s="8">
        <v>8660</v>
      </c>
      <c r="G1644" s="6">
        <f t="shared" si="31"/>
        <v>8660</v>
      </c>
    </row>
    <row r="1645" spans="1:8" x14ac:dyDescent="0.25">
      <c r="A1645" s="113">
        <v>44055</v>
      </c>
      <c r="B1645" s="10" t="s">
        <v>1400</v>
      </c>
      <c r="C1645" s="11" t="s">
        <v>166</v>
      </c>
      <c r="E1645" s="8">
        <v>77000</v>
      </c>
      <c r="G1645" s="6">
        <f t="shared" si="31"/>
        <v>77000</v>
      </c>
    </row>
    <row r="1646" spans="1:8" ht="16.5" thickBot="1" x14ac:dyDescent="0.3">
      <c r="A1646" s="113">
        <v>44055</v>
      </c>
      <c r="B1646" s="10" t="s">
        <v>2652</v>
      </c>
      <c r="C1646" s="11" t="s">
        <v>169</v>
      </c>
      <c r="E1646" s="8">
        <v>6885</v>
      </c>
      <c r="G1646" s="6">
        <f t="shared" si="31"/>
        <v>6885</v>
      </c>
    </row>
    <row r="1647" spans="1:8" x14ac:dyDescent="0.25">
      <c r="A1647" s="113">
        <v>44058</v>
      </c>
      <c r="B1647" s="520" t="s">
        <v>1400</v>
      </c>
      <c r="C1647" s="52" t="s">
        <v>166</v>
      </c>
      <c r="D1647" s="774"/>
      <c r="E1647" s="521"/>
      <c r="F1647" s="522">
        <v>127115</v>
      </c>
      <c r="G1647" s="523">
        <f t="shared" si="31"/>
        <v>-127115</v>
      </c>
      <c r="H1647" s="524"/>
    </row>
    <row r="1648" spans="1:8" x14ac:dyDescent="0.25">
      <c r="A1648" s="113">
        <v>44058</v>
      </c>
      <c r="B1648" s="520" t="s">
        <v>2652</v>
      </c>
      <c r="C1648" s="11" t="s">
        <v>166</v>
      </c>
      <c r="E1648" s="109"/>
      <c r="F1648" s="111">
        <v>13200</v>
      </c>
      <c r="G1648" s="6">
        <f t="shared" si="31"/>
        <v>-13200</v>
      </c>
      <c r="H1648" s="525" t="s">
        <v>6104</v>
      </c>
    </row>
    <row r="1649" spans="1:8" x14ac:dyDescent="0.25">
      <c r="A1649" s="113">
        <v>44058</v>
      </c>
      <c r="B1649" s="520" t="s">
        <v>5811</v>
      </c>
      <c r="C1649" s="11" t="s">
        <v>166</v>
      </c>
      <c r="E1649" s="109"/>
      <c r="F1649" s="111">
        <v>56510</v>
      </c>
      <c r="G1649" s="6">
        <f t="shared" si="31"/>
        <v>-56510</v>
      </c>
      <c r="H1649" s="526"/>
    </row>
    <row r="1650" spans="1:8" ht="16.5" thickBot="1" x14ac:dyDescent="0.3">
      <c r="A1650" s="113">
        <v>44058</v>
      </c>
      <c r="B1650" s="520" t="s">
        <v>1400</v>
      </c>
      <c r="C1650" s="53" t="s">
        <v>166</v>
      </c>
      <c r="D1650" s="775"/>
      <c r="E1650" s="527"/>
      <c r="F1650" s="528">
        <v>3175</v>
      </c>
      <c r="G1650" s="529">
        <f t="shared" si="31"/>
        <v>-3175</v>
      </c>
      <c r="H1650" s="530"/>
    </row>
    <row r="1651" spans="1:8" x14ac:dyDescent="0.25">
      <c r="A1651" s="113">
        <v>44058</v>
      </c>
      <c r="B1651" s="10" t="s">
        <v>18</v>
      </c>
      <c r="C1651" s="52" t="s">
        <v>1803</v>
      </c>
      <c r="D1651" s="774"/>
      <c r="E1651" s="521"/>
      <c r="F1651" s="522">
        <v>60802</v>
      </c>
      <c r="G1651" s="523">
        <f t="shared" si="31"/>
        <v>-60802</v>
      </c>
      <c r="H1651" s="531"/>
    </row>
    <row r="1652" spans="1:8" x14ac:dyDescent="0.25">
      <c r="A1652" s="113">
        <v>44058</v>
      </c>
      <c r="B1652" s="10" t="s">
        <v>5548</v>
      </c>
      <c r="C1652" s="11" t="s">
        <v>1803</v>
      </c>
      <c r="E1652" s="109"/>
      <c r="F1652" s="111">
        <v>9010</v>
      </c>
      <c r="G1652" s="6">
        <f t="shared" si="31"/>
        <v>-9010</v>
      </c>
      <c r="H1652" s="525" t="s">
        <v>6104</v>
      </c>
    </row>
    <row r="1653" spans="1:8" ht="16.5" thickBot="1" x14ac:dyDescent="0.3">
      <c r="A1653" s="113">
        <v>44058</v>
      </c>
      <c r="B1653" s="10" t="s">
        <v>2652</v>
      </c>
      <c r="C1653" s="53" t="s">
        <v>1803</v>
      </c>
      <c r="D1653" s="775"/>
      <c r="E1653" s="527"/>
      <c r="F1653" s="528">
        <v>130188</v>
      </c>
      <c r="G1653" s="529">
        <f t="shared" si="31"/>
        <v>-130188</v>
      </c>
      <c r="H1653" s="530"/>
    </row>
    <row r="1654" spans="1:8" ht="16.5" thickBot="1" x14ac:dyDescent="0.3">
      <c r="A1654" s="113">
        <v>44058</v>
      </c>
      <c r="B1654" s="10" t="s">
        <v>2652</v>
      </c>
      <c r="C1654" s="532" t="s">
        <v>1803</v>
      </c>
      <c r="D1654" s="776"/>
      <c r="E1654" s="533"/>
      <c r="F1654" s="534">
        <v>300000</v>
      </c>
      <c r="G1654" s="535">
        <f t="shared" si="31"/>
        <v>-300000</v>
      </c>
      <c r="H1654" s="536" t="s">
        <v>6104</v>
      </c>
    </row>
    <row r="1655" spans="1:8" x14ac:dyDescent="0.25">
      <c r="A1655" s="113">
        <v>44077</v>
      </c>
      <c r="B1655" s="10" t="s">
        <v>1400</v>
      </c>
      <c r="C1655" s="11" t="s">
        <v>1803</v>
      </c>
      <c r="E1655" s="8">
        <v>76358</v>
      </c>
      <c r="G1655" s="6">
        <f t="shared" si="31"/>
        <v>76358</v>
      </c>
    </row>
    <row r="1656" spans="1:8" x14ac:dyDescent="0.25">
      <c r="A1656" s="113">
        <v>44077</v>
      </c>
      <c r="B1656" s="10" t="s">
        <v>1400</v>
      </c>
      <c r="C1656" s="11" t="s">
        <v>1803</v>
      </c>
      <c r="E1656" s="8">
        <v>48926</v>
      </c>
      <c r="G1656" s="6">
        <f t="shared" si="31"/>
        <v>48926</v>
      </c>
    </row>
    <row r="1657" spans="1:8" x14ac:dyDescent="0.25">
      <c r="A1657" s="113">
        <v>44077</v>
      </c>
      <c r="B1657" s="10" t="s">
        <v>6103</v>
      </c>
      <c r="C1657" s="11" t="s">
        <v>1803</v>
      </c>
      <c r="E1657" s="8">
        <v>33935</v>
      </c>
      <c r="G1657" s="6">
        <f t="shared" si="31"/>
        <v>33935</v>
      </c>
    </row>
    <row r="1658" spans="1:8" x14ac:dyDescent="0.25">
      <c r="A1658" s="113">
        <v>44077</v>
      </c>
      <c r="B1658" s="10" t="s">
        <v>6103</v>
      </c>
      <c r="C1658" s="11" t="s">
        <v>1803</v>
      </c>
      <c r="E1658" s="8">
        <v>92463</v>
      </c>
      <c r="G1658" s="6">
        <f t="shared" si="31"/>
        <v>92463</v>
      </c>
    </row>
    <row r="1659" spans="1:8" x14ac:dyDescent="0.25">
      <c r="A1659" s="113">
        <v>44077</v>
      </c>
      <c r="B1659" s="10" t="s">
        <v>2652</v>
      </c>
      <c r="C1659" s="11" t="s">
        <v>1803</v>
      </c>
      <c r="E1659" s="8">
        <v>11804</v>
      </c>
      <c r="G1659" s="6">
        <f t="shared" si="31"/>
        <v>11804</v>
      </c>
    </row>
    <row r="1660" spans="1:8" x14ac:dyDescent="0.25">
      <c r="A1660" s="113">
        <v>44079</v>
      </c>
      <c r="B1660" s="10" t="s">
        <v>2652</v>
      </c>
      <c r="C1660" s="11" t="s">
        <v>5681</v>
      </c>
      <c r="D1660" s="768" t="s">
        <v>8045</v>
      </c>
      <c r="E1660" s="8">
        <v>72400</v>
      </c>
      <c r="G1660" s="6">
        <f t="shared" si="31"/>
        <v>72400</v>
      </c>
    </row>
    <row r="1661" spans="1:8" x14ac:dyDescent="0.25">
      <c r="A1661" s="113">
        <v>44079</v>
      </c>
      <c r="B1661" s="10" t="s">
        <v>2652</v>
      </c>
      <c r="C1661" s="11" t="s">
        <v>169</v>
      </c>
      <c r="E1661" s="8">
        <v>25350</v>
      </c>
      <c r="G1661" s="6">
        <f t="shared" si="31"/>
        <v>25350</v>
      </c>
    </row>
    <row r="1662" spans="1:8" x14ac:dyDescent="0.25">
      <c r="A1662" s="113">
        <v>44079</v>
      </c>
      <c r="B1662" s="10" t="s">
        <v>1400</v>
      </c>
      <c r="C1662" s="11" t="s">
        <v>164</v>
      </c>
      <c r="F1662" s="9">
        <v>50000</v>
      </c>
      <c r="G1662" s="6">
        <f t="shared" si="31"/>
        <v>-50000</v>
      </c>
      <c r="H1662" s="7" t="s">
        <v>1157</v>
      </c>
    </row>
    <row r="1663" spans="1:8" x14ac:dyDescent="0.25">
      <c r="A1663" s="113">
        <v>44083</v>
      </c>
      <c r="B1663" s="10" t="s">
        <v>2652</v>
      </c>
      <c r="C1663" s="11" t="s">
        <v>169</v>
      </c>
      <c r="E1663" s="8">
        <v>8000</v>
      </c>
      <c r="G1663" s="6">
        <f t="shared" si="31"/>
        <v>8000</v>
      </c>
    </row>
    <row r="1664" spans="1:8" x14ac:dyDescent="0.25">
      <c r="A1664" s="113">
        <v>44084</v>
      </c>
      <c r="B1664" s="10" t="s">
        <v>5811</v>
      </c>
      <c r="C1664" s="11" t="s">
        <v>164</v>
      </c>
      <c r="E1664" s="8">
        <v>7621</v>
      </c>
      <c r="G1664" s="6">
        <f t="shared" si="31"/>
        <v>7621</v>
      </c>
    </row>
    <row r="1665" spans="1:8" x14ac:dyDescent="0.25">
      <c r="A1665" s="113">
        <v>44084</v>
      </c>
      <c r="B1665" s="10" t="s">
        <v>2652</v>
      </c>
      <c r="C1665" s="11" t="s">
        <v>169</v>
      </c>
      <c r="E1665" s="8">
        <v>24251</v>
      </c>
      <c r="G1665" s="6">
        <f t="shared" si="31"/>
        <v>24251</v>
      </c>
    </row>
    <row r="1666" spans="1:8" x14ac:dyDescent="0.25">
      <c r="A1666" s="113">
        <v>44084</v>
      </c>
      <c r="B1666" s="10" t="s">
        <v>2652</v>
      </c>
      <c r="C1666" s="11" t="s">
        <v>5681</v>
      </c>
      <c r="D1666" s="768" t="s">
        <v>8696</v>
      </c>
      <c r="E1666" s="8">
        <v>5800</v>
      </c>
      <c r="G1666" s="6">
        <f t="shared" si="31"/>
        <v>5800</v>
      </c>
    </row>
    <row r="1667" spans="1:8" x14ac:dyDescent="0.25">
      <c r="A1667" s="113">
        <v>44098</v>
      </c>
      <c r="B1667" s="10" t="s">
        <v>1400</v>
      </c>
      <c r="C1667" s="11" t="s">
        <v>164</v>
      </c>
      <c r="E1667" s="8">
        <v>62012</v>
      </c>
      <c r="G1667" s="6">
        <f t="shared" si="31"/>
        <v>62012</v>
      </c>
    </row>
    <row r="1668" spans="1:8" x14ac:dyDescent="0.25">
      <c r="A1668" s="113">
        <v>44102</v>
      </c>
      <c r="B1668" s="10" t="s">
        <v>2652</v>
      </c>
      <c r="C1668" s="11" t="s">
        <v>5681</v>
      </c>
      <c r="F1668" s="9">
        <v>55500</v>
      </c>
      <c r="G1668" s="6">
        <f t="shared" si="31"/>
        <v>-55500</v>
      </c>
      <c r="H1668" s="78" t="s">
        <v>6186</v>
      </c>
    </row>
    <row r="1669" spans="1:8" x14ac:dyDescent="0.25">
      <c r="A1669" s="113">
        <v>44102</v>
      </c>
      <c r="B1669" s="10" t="s">
        <v>5720</v>
      </c>
      <c r="C1669" s="11" t="s">
        <v>5681</v>
      </c>
      <c r="F1669" s="9">
        <v>44500</v>
      </c>
      <c r="G1669" s="6">
        <f t="shared" si="31"/>
        <v>-44500</v>
      </c>
      <c r="H1669" s="80"/>
    </row>
    <row r="1670" spans="1:8" ht="16.5" thickBot="1" x14ac:dyDescent="0.3">
      <c r="A1670" s="113">
        <v>44102</v>
      </c>
      <c r="B1670" s="10" t="s">
        <v>5811</v>
      </c>
      <c r="C1670" s="11" t="s">
        <v>164</v>
      </c>
      <c r="E1670" s="8">
        <v>22589</v>
      </c>
      <c r="G1670" s="6">
        <f t="shared" si="31"/>
        <v>22589</v>
      </c>
      <c r="H1670" s="7" t="s">
        <v>6192</v>
      </c>
    </row>
    <row r="1671" spans="1:8" x14ac:dyDescent="0.25">
      <c r="A1671" s="113">
        <v>44102</v>
      </c>
      <c r="B1671" s="10" t="s">
        <v>18</v>
      </c>
      <c r="C1671" s="11" t="s">
        <v>1803</v>
      </c>
      <c r="E1671" s="292">
        <v>26870</v>
      </c>
      <c r="G1671" s="6">
        <f t="shared" si="31"/>
        <v>26870</v>
      </c>
    </row>
    <row r="1672" spans="1:8" x14ac:dyDescent="0.25">
      <c r="A1672" s="113">
        <v>44102</v>
      </c>
      <c r="B1672" s="10" t="s">
        <v>1400</v>
      </c>
      <c r="C1672" s="11" t="s">
        <v>1803</v>
      </c>
      <c r="E1672" s="8">
        <v>20391</v>
      </c>
      <c r="G1672" s="6">
        <f t="shared" si="31"/>
        <v>20391</v>
      </c>
    </row>
    <row r="1673" spans="1:8" x14ac:dyDescent="0.25">
      <c r="A1673" s="113">
        <v>44102</v>
      </c>
      <c r="B1673" s="10" t="s">
        <v>18</v>
      </c>
      <c r="C1673" s="11" t="s">
        <v>1803</v>
      </c>
      <c r="E1673" s="8">
        <v>37980</v>
      </c>
      <c r="G1673" s="6">
        <f t="shared" si="31"/>
        <v>37980</v>
      </c>
    </row>
    <row r="1674" spans="1:8" x14ac:dyDescent="0.25">
      <c r="A1674" s="113">
        <v>44102</v>
      </c>
      <c r="B1674" s="10" t="s">
        <v>1400</v>
      </c>
      <c r="C1674" s="11" t="s">
        <v>1803</v>
      </c>
      <c r="E1674" s="8">
        <v>27725</v>
      </c>
      <c r="G1674" s="6">
        <f t="shared" si="31"/>
        <v>27725</v>
      </c>
    </row>
    <row r="1675" spans="1:8" x14ac:dyDescent="0.25">
      <c r="A1675" s="113">
        <v>44102</v>
      </c>
      <c r="B1675" s="10" t="s">
        <v>18</v>
      </c>
      <c r="C1675" s="11" t="s">
        <v>1803</v>
      </c>
      <c r="E1675" s="8">
        <v>1580</v>
      </c>
      <c r="G1675" s="6">
        <f t="shared" si="31"/>
        <v>1580</v>
      </c>
    </row>
    <row r="1676" spans="1:8" x14ac:dyDescent="0.25">
      <c r="A1676" s="113">
        <v>44102</v>
      </c>
      <c r="B1676" s="10" t="s">
        <v>2652</v>
      </c>
      <c r="C1676" s="11" t="s">
        <v>1803</v>
      </c>
      <c r="E1676" s="8">
        <v>13174</v>
      </c>
      <c r="G1676" s="6">
        <f t="shared" si="31"/>
        <v>13174</v>
      </c>
    </row>
    <row r="1677" spans="1:8" ht="16.5" thickBot="1" x14ac:dyDescent="0.3">
      <c r="A1677" s="113">
        <v>44102</v>
      </c>
      <c r="B1677" s="10" t="s">
        <v>18</v>
      </c>
      <c r="C1677" s="11" t="s">
        <v>1803</v>
      </c>
      <c r="E1677" s="293">
        <v>4150</v>
      </c>
      <c r="G1677" s="6">
        <f t="shared" si="31"/>
        <v>4150</v>
      </c>
    </row>
    <row r="1678" spans="1:8" x14ac:dyDescent="0.25">
      <c r="A1678" s="113">
        <v>44106</v>
      </c>
      <c r="B1678" s="10" t="s">
        <v>1400</v>
      </c>
      <c r="C1678" s="11" t="s">
        <v>166</v>
      </c>
      <c r="E1678" s="8">
        <v>498936</v>
      </c>
      <c r="G1678" s="6">
        <f t="shared" si="31"/>
        <v>498936</v>
      </c>
    </row>
    <row r="1679" spans="1:8" x14ac:dyDescent="0.25">
      <c r="A1679" s="113">
        <v>44106</v>
      </c>
      <c r="B1679" s="10" t="s">
        <v>2652</v>
      </c>
      <c r="C1679" s="11" t="s">
        <v>5681</v>
      </c>
      <c r="E1679" s="8">
        <v>6000</v>
      </c>
      <c r="G1679" s="6">
        <f t="shared" si="31"/>
        <v>6000</v>
      </c>
    </row>
    <row r="1680" spans="1:8" x14ac:dyDescent="0.25">
      <c r="A1680" s="113">
        <v>44111</v>
      </c>
      <c r="B1680" s="10" t="s">
        <v>2652</v>
      </c>
      <c r="C1680" s="11" t="s">
        <v>169</v>
      </c>
      <c r="E1680" s="8">
        <v>181857</v>
      </c>
      <c r="G1680" s="6">
        <f t="shared" si="31"/>
        <v>181857</v>
      </c>
    </row>
    <row r="1681" spans="1:8" x14ac:dyDescent="0.25">
      <c r="A1681" s="113">
        <v>44112</v>
      </c>
      <c r="B1681" s="10" t="s">
        <v>2652</v>
      </c>
      <c r="C1681" s="11" t="s">
        <v>169</v>
      </c>
      <c r="E1681" s="8">
        <v>21013</v>
      </c>
      <c r="G1681" s="6">
        <f t="shared" si="31"/>
        <v>21013</v>
      </c>
    </row>
    <row r="1682" spans="1:8" x14ac:dyDescent="0.25">
      <c r="A1682" s="113">
        <v>44113</v>
      </c>
      <c r="B1682" s="10" t="s">
        <v>2652</v>
      </c>
      <c r="C1682" s="11" t="s">
        <v>169</v>
      </c>
      <c r="E1682" s="8">
        <v>81419</v>
      </c>
      <c r="G1682" s="6">
        <f t="shared" si="31"/>
        <v>81419</v>
      </c>
    </row>
    <row r="1683" spans="1:8" x14ac:dyDescent="0.25">
      <c r="A1683" s="113">
        <v>44114</v>
      </c>
      <c r="B1683" s="10" t="s">
        <v>1400</v>
      </c>
      <c r="C1683" s="11" t="s">
        <v>5681</v>
      </c>
      <c r="D1683" s="768" t="s">
        <v>8366</v>
      </c>
      <c r="E1683" s="8">
        <v>39000</v>
      </c>
      <c r="G1683" s="6">
        <f t="shared" si="31"/>
        <v>39000</v>
      </c>
    </row>
    <row r="1684" spans="1:8" x14ac:dyDescent="0.25">
      <c r="A1684" s="113">
        <v>44117</v>
      </c>
      <c r="B1684" s="10" t="s">
        <v>1400</v>
      </c>
      <c r="C1684" s="11" t="s">
        <v>180</v>
      </c>
      <c r="E1684" s="8">
        <v>206380</v>
      </c>
      <c r="G1684" s="6">
        <f t="shared" si="31"/>
        <v>206380</v>
      </c>
    </row>
    <row r="1685" spans="1:8" x14ac:dyDescent="0.25">
      <c r="A1685" s="113">
        <v>44117</v>
      </c>
      <c r="B1685" s="10" t="s">
        <v>1400</v>
      </c>
      <c r="C1685" s="11" t="s">
        <v>180</v>
      </c>
      <c r="E1685" s="8">
        <v>46360</v>
      </c>
      <c r="G1685" s="6">
        <f t="shared" si="31"/>
        <v>46360</v>
      </c>
    </row>
    <row r="1686" spans="1:8" x14ac:dyDescent="0.25">
      <c r="A1686" s="113">
        <v>44117</v>
      </c>
      <c r="B1686" s="520" t="s">
        <v>4884</v>
      </c>
      <c r="C1686" s="13" t="s">
        <v>164</v>
      </c>
      <c r="D1686" s="766"/>
      <c r="E1686" s="22"/>
      <c r="F1686" s="280">
        <v>21264</v>
      </c>
      <c r="G1686" s="6">
        <f t="shared" si="31"/>
        <v>-21264</v>
      </c>
      <c r="H1686" s="78"/>
    </row>
    <row r="1687" spans="1:8" x14ac:dyDescent="0.25">
      <c r="A1687" s="113">
        <v>44117</v>
      </c>
      <c r="B1687" s="520" t="s">
        <v>1400</v>
      </c>
      <c r="C1687" s="54" t="s">
        <v>164</v>
      </c>
      <c r="D1687" s="777"/>
      <c r="E1687" s="281"/>
      <c r="F1687" s="280">
        <v>78736</v>
      </c>
      <c r="G1687" s="6">
        <f t="shared" si="31"/>
        <v>-78736</v>
      </c>
      <c r="H1687" s="80" t="s">
        <v>6260</v>
      </c>
    </row>
    <row r="1688" spans="1:8" ht="16.5" thickBot="1" x14ac:dyDescent="0.3">
      <c r="A1688" s="113">
        <v>44119</v>
      </c>
      <c r="B1688" s="520" t="s">
        <v>1400</v>
      </c>
      <c r="C1688" s="548" t="s">
        <v>166</v>
      </c>
      <c r="D1688" s="770"/>
      <c r="E1688" s="141"/>
      <c r="F1688" s="549">
        <v>300000</v>
      </c>
      <c r="G1688" s="6">
        <f t="shared" si="31"/>
        <v>-300000</v>
      </c>
      <c r="H1688" s="78" t="s">
        <v>6262</v>
      </c>
    </row>
    <row r="1689" spans="1:8" x14ac:dyDescent="0.25">
      <c r="A1689" s="113">
        <v>44119</v>
      </c>
      <c r="B1689" s="10" t="s">
        <v>2933</v>
      </c>
      <c r="C1689" s="11" t="s">
        <v>169</v>
      </c>
      <c r="F1689" s="295">
        <v>4688</v>
      </c>
      <c r="G1689" s="6">
        <f t="shared" si="31"/>
        <v>-4688</v>
      </c>
      <c r="H1689" s="81"/>
    </row>
    <row r="1690" spans="1:8" x14ac:dyDescent="0.25">
      <c r="A1690" s="113">
        <v>44119</v>
      </c>
      <c r="B1690" s="10" t="s">
        <v>1400</v>
      </c>
      <c r="C1690" s="11" t="s">
        <v>169</v>
      </c>
      <c r="F1690" s="9">
        <v>8500</v>
      </c>
      <c r="G1690" s="6">
        <f t="shared" si="31"/>
        <v>-8500</v>
      </c>
      <c r="H1690" s="82"/>
    </row>
    <row r="1691" spans="1:8" x14ac:dyDescent="0.25">
      <c r="A1691" s="113">
        <v>44119</v>
      </c>
      <c r="B1691" s="10" t="s">
        <v>5227</v>
      </c>
      <c r="C1691" s="11" t="s">
        <v>169</v>
      </c>
      <c r="F1691" s="9">
        <v>69388</v>
      </c>
      <c r="G1691" s="6">
        <f t="shared" si="31"/>
        <v>-69388</v>
      </c>
      <c r="H1691" s="82"/>
    </row>
    <row r="1692" spans="1:8" x14ac:dyDescent="0.25">
      <c r="A1692" s="113">
        <v>44119</v>
      </c>
      <c r="B1692" s="10" t="s">
        <v>5709</v>
      </c>
      <c r="C1692" s="11" t="s">
        <v>169</v>
      </c>
      <c r="F1692" s="9">
        <v>4526</v>
      </c>
      <c r="G1692" s="6">
        <f t="shared" si="31"/>
        <v>-4526</v>
      </c>
      <c r="H1692" s="82" t="s">
        <v>6262</v>
      </c>
    </row>
    <row r="1693" spans="1:8" x14ac:dyDescent="0.25">
      <c r="A1693" s="113">
        <v>44119</v>
      </c>
      <c r="B1693" s="10" t="s">
        <v>5720</v>
      </c>
      <c r="C1693" s="11" t="s">
        <v>169</v>
      </c>
      <c r="F1693" s="9">
        <v>5831</v>
      </c>
      <c r="G1693" s="6">
        <f t="shared" si="31"/>
        <v>-5831</v>
      </c>
      <c r="H1693" s="82"/>
    </row>
    <row r="1694" spans="1:8" x14ac:dyDescent="0.25">
      <c r="A1694" s="113">
        <v>44119</v>
      </c>
      <c r="B1694" s="10" t="s">
        <v>5811</v>
      </c>
      <c r="C1694" s="11" t="s">
        <v>169</v>
      </c>
      <c r="F1694" s="9">
        <v>32552</v>
      </c>
      <c r="G1694" s="6">
        <f t="shared" si="31"/>
        <v>-32552</v>
      </c>
      <c r="H1694" s="82"/>
    </row>
    <row r="1695" spans="1:8" ht="16.5" thickBot="1" x14ac:dyDescent="0.3">
      <c r="A1695" s="113">
        <v>44119</v>
      </c>
      <c r="B1695" s="10" t="s">
        <v>2652</v>
      </c>
      <c r="C1695" s="11" t="s">
        <v>169</v>
      </c>
      <c r="F1695" s="296">
        <v>24515</v>
      </c>
      <c r="G1695" s="6">
        <f t="shared" si="31"/>
        <v>-24515</v>
      </c>
      <c r="H1695" s="83"/>
    </row>
    <row r="1696" spans="1:8" ht="16.5" thickBot="1" x14ac:dyDescent="0.3">
      <c r="A1696" s="113">
        <v>44119</v>
      </c>
      <c r="B1696" s="10" t="s">
        <v>4721</v>
      </c>
      <c r="C1696" s="11" t="s">
        <v>1815</v>
      </c>
      <c r="F1696" s="9">
        <v>150000</v>
      </c>
      <c r="G1696" s="6">
        <f t="shared" si="31"/>
        <v>-150000</v>
      </c>
      <c r="H1696" s="87" t="s">
        <v>6262</v>
      </c>
    </row>
    <row r="1697" spans="1:8" x14ac:dyDescent="0.25">
      <c r="A1697" s="113">
        <v>44121</v>
      </c>
      <c r="B1697" s="10" t="s">
        <v>1400</v>
      </c>
      <c r="C1697" s="11" t="s">
        <v>5681</v>
      </c>
      <c r="D1697" s="768" t="s">
        <v>8588</v>
      </c>
      <c r="E1697" s="8">
        <v>3000</v>
      </c>
      <c r="G1697" s="6">
        <f t="shared" si="31"/>
        <v>3000</v>
      </c>
    </row>
    <row r="1698" spans="1:8" x14ac:dyDescent="0.25">
      <c r="A1698" s="113">
        <v>44123</v>
      </c>
      <c r="B1698" s="10" t="s">
        <v>1400</v>
      </c>
      <c r="C1698" s="11" t="s">
        <v>166</v>
      </c>
      <c r="E1698" s="8">
        <v>29610</v>
      </c>
      <c r="G1698" s="6">
        <f t="shared" si="31"/>
        <v>29610</v>
      </c>
    </row>
    <row r="1699" spans="1:8" x14ac:dyDescent="0.25">
      <c r="A1699" s="113">
        <v>44123</v>
      </c>
      <c r="B1699" s="10" t="s">
        <v>1400</v>
      </c>
      <c r="C1699" s="11" t="s">
        <v>166</v>
      </c>
      <c r="E1699" s="8">
        <v>3000</v>
      </c>
      <c r="G1699" s="6">
        <f t="shared" si="31"/>
        <v>3000</v>
      </c>
    </row>
    <row r="1700" spans="1:8" x14ac:dyDescent="0.25">
      <c r="A1700" s="113">
        <v>44123</v>
      </c>
      <c r="B1700" s="10" t="s">
        <v>1400</v>
      </c>
      <c r="C1700" s="11" t="s">
        <v>166</v>
      </c>
      <c r="E1700" s="8">
        <v>2125</v>
      </c>
      <c r="G1700" s="6">
        <f t="shared" si="31"/>
        <v>2125</v>
      </c>
    </row>
    <row r="1701" spans="1:8" x14ac:dyDescent="0.25">
      <c r="A1701" s="113">
        <v>44123</v>
      </c>
      <c r="B1701" s="10" t="s">
        <v>2933</v>
      </c>
      <c r="C1701" s="11" t="s">
        <v>166</v>
      </c>
      <c r="E1701" s="8">
        <v>10320</v>
      </c>
      <c r="G1701" s="6">
        <f t="shared" si="31"/>
        <v>10320</v>
      </c>
    </row>
    <row r="1702" spans="1:8" x14ac:dyDescent="0.25">
      <c r="A1702" s="113">
        <v>44124</v>
      </c>
      <c r="B1702" s="10" t="s">
        <v>1400</v>
      </c>
      <c r="C1702" s="11" t="s">
        <v>166</v>
      </c>
      <c r="E1702" s="8">
        <v>18510</v>
      </c>
      <c r="G1702" s="6">
        <f t="shared" si="31"/>
        <v>18510</v>
      </c>
    </row>
    <row r="1703" spans="1:8" x14ac:dyDescent="0.25">
      <c r="A1703" s="113">
        <v>44124</v>
      </c>
      <c r="B1703" s="10" t="s">
        <v>1400</v>
      </c>
      <c r="C1703" s="11" t="s">
        <v>166</v>
      </c>
      <c r="E1703" s="8">
        <v>107880</v>
      </c>
      <c r="G1703" s="6">
        <f t="shared" si="31"/>
        <v>107880</v>
      </c>
    </row>
    <row r="1704" spans="1:8" x14ac:dyDescent="0.25">
      <c r="A1704" s="113">
        <v>44113</v>
      </c>
      <c r="B1704" s="10" t="s">
        <v>1400</v>
      </c>
      <c r="C1704" s="11" t="s">
        <v>164</v>
      </c>
      <c r="E1704" s="8">
        <v>18478</v>
      </c>
      <c r="G1704" s="6">
        <f t="shared" si="31"/>
        <v>18478</v>
      </c>
    </row>
    <row r="1705" spans="1:8" x14ac:dyDescent="0.25">
      <c r="A1705" s="113">
        <v>44126</v>
      </c>
      <c r="B1705" s="10" t="s">
        <v>5811</v>
      </c>
      <c r="C1705" s="11" t="s">
        <v>164</v>
      </c>
      <c r="E1705" s="8">
        <v>6758</v>
      </c>
      <c r="G1705" s="6">
        <f t="shared" si="31"/>
        <v>6758</v>
      </c>
    </row>
    <row r="1706" spans="1:8" x14ac:dyDescent="0.25">
      <c r="A1706" s="113">
        <v>44128</v>
      </c>
      <c r="B1706" s="10" t="s">
        <v>1400</v>
      </c>
      <c r="C1706" s="11" t="s">
        <v>164</v>
      </c>
      <c r="E1706" s="8">
        <v>2449</v>
      </c>
      <c r="G1706" s="6">
        <f t="shared" si="31"/>
        <v>2449</v>
      </c>
    </row>
    <row r="1707" spans="1:8" x14ac:dyDescent="0.25">
      <c r="A1707" s="113">
        <v>44105</v>
      </c>
      <c r="B1707" s="10" t="s">
        <v>18</v>
      </c>
      <c r="C1707" s="11" t="s">
        <v>1803</v>
      </c>
      <c r="E1707" s="8">
        <v>6189</v>
      </c>
      <c r="G1707" s="6">
        <f t="shared" si="31"/>
        <v>6189</v>
      </c>
    </row>
    <row r="1708" spans="1:8" x14ac:dyDescent="0.25">
      <c r="A1708" s="113">
        <v>44112</v>
      </c>
      <c r="B1708" s="10" t="s">
        <v>18</v>
      </c>
      <c r="C1708" s="11" t="s">
        <v>1803</v>
      </c>
      <c r="E1708" s="8">
        <v>1830</v>
      </c>
      <c r="G1708" s="6">
        <f t="shared" si="31"/>
        <v>1830</v>
      </c>
    </row>
    <row r="1709" spans="1:8" x14ac:dyDescent="0.25">
      <c r="A1709" s="113">
        <v>44127</v>
      </c>
      <c r="B1709" s="10" t="s">
        <v>1400</v>
      </c>
      <c r="C1709" s="11" t="s">
        <v>166</v>
      </c>
      <c r="E1709" s="8">
        <v>21105</v>
      </c>
      <c r="G1709" s="6">
        <f t="shared" si="31"/>
        <v>21105</v>
      </c>
    </row>
    <row r="1710" spans="1:8" x14ac:dyDescent="0.25">
      <c r="A1710" s="113">
        <v>44133</v>
      </c>
      <c r="B1710" s="222" t="s">
        <v>6248</v>
      </c>
      <c r="C1710" s="11" t="s">
        <v>5681</v>
      </c>
      <c r="E1710" s="8">
        <v>58000</v>
      </c>
      <c r="G1710" s="6">
        <f t="shared" si="31"/>
        <v>58000</v>
      </c>
    </row>
    <row r="1711" spans="1:8" x14ac:dyDescent="0.25">
      <c r="A1711" s="113">
        <v>44138</v>
      </c>
      <c r="B1711" s="10" t="s">
        <v>1400</v>
      </c>
      <c r="C1711" s="11" t="s">
        <v>5681</v>
      </c>
      <c r="F1711" s="9">
        <v>33000</v>
      </c>
      <c r="G1711" s="6">
        <f t="shared" si="31"/>
        <v>-33000</v>
      </c>
      <c r="H1711" s="78"/>
    </row>
    <row r="1712" spans="1:8" x14ac:dyDescent="0.25">
      <c r="A1712" s="113">
        <v>44138</v>
      </c>
      <c r="B1712" s="10" t="s">
        <v>1400</v>
      </c>
      <c r="C1712" s="11" t="s">
        <v>5681</v>
      </c>
      <c r="F1712" s="9">
        <v>3000</v>
      </c>
      <c r="G1712" s="6">
        <f t="shared" si="31"/>
        <v>-3000</v>
      </c>
      <c r="H1712" s="79" t="s">
        <v>6317</v>
      </c>
    </row>
    <row r="1713" spans="1:8" x14ac:dyDescent="0.25">
      <c r="A1713" s="113">
        <v>44138</v>
      </c>
      <c r="B1713" s="10" t="s">
        <v>2652</v>
      </c>
      <c r="C1713" s="11" t="s">
        <v>5681</v>
      </c>
      <c r="F1713" s="9">
        <v>6000</v>
      </c>
      <c r="G1713" s="6">
        <f t="shared" si="31"/>
        <v>-6000</v>
      </c>
      <c r="H1713" s="79"/>
    </row>
    <row r="1714" spans="1:8" x14ac:dyDescent="0.25">
      <c r="A1714" s="113">
        <v>44138</v>
      </c>
      <c r="B1714" s="10" t="s">
        <v>6248</v>
      </c>
      <c r="C1714" s="11" t="s">
        <v>5681</v>
      </c>
      <c r="F1714" s="9">
        <v>58000</v>
      </c>
      <c r="G1714" s="6">
        <f t="shared" si="31"/>
        <v>-58000</v>
      </c>
      <c r="H1714" s="80"/>
    </row>
    <row r="1715" spans="1:8" x14ac:dyDescent="0.25">
      <c r="A1715" s="113">
        <v>44140</v>
      </c>
      <c r="B1715" s="10" t="s">
        <v>1400</v>
      </c>
      <c r="C1715" s="11" t="s">
        <v>164</v>
      </c>
      <c r="E1715" s="8">
        <v>21108</v>
      </c>
      <c r="G1715" s="6">
        <f t="shared" si="31"/>
        <v>21108</v>
      </c>
    </row>
    <row r="1716" spans="1:8" x14ac:dyDescent="0.25">
      <c r="A1716" s="113">
        <v>44140</v>
      </c>
      <c r="B1716" s="10" t="s">
        <v>6248</v>
      </c>
      <c r="C1716" s="11" t="s">
        <v>5681</v>
      </c>
      <c r="D1716" s="768" t="s">
        <v>8738</v>
      </c>
      <c r="E1716" s="8">
        <v>6600</v>
      </c>
      <c r="G1716" s="6">
        <f t="shared" si="31"/>
        <v>6600</v>
      </c>
    </row>
    <row r="1717" spans="1:8" x14ac:dyDescent="0.25">
      <c r="A1717" s="113">
        <v>44141</v>
      </c>
      <c r="B1717" s="10" t="s">
        <v>1400</v>
      </c>
      <c r="C1717" s="11" t="s">
        <v>166</v>
      </c>
      <c r="E1717" s="8">
        <v>13500</v>
      </c>
      <c r="G1717" s="6">
        <f t="shared" si="31"/>
        <v>13500</v>
      </c>
    </row>
    <row r="1718" spans="1:8" x14ac:dyDescent="0.25">
      <c r="A1718" s="113">
        <v>44141</v>
      </c>
      <c r="B1718" s="10" t="s">
        <v>1400</v>
      </c>
      <c r="C1718" s="11" t="s">
        <v>166</v>
      </c>
      <c r="E1718" s="8">
        <v>23215</v>
      </c>
      <c r="G1718" s="6">
        <f t="shared" si="31"/>
        <v>23215</v>
      </c>
    </row>
    <row r="1719" spans="1:8" x14ac:dyDescent="0.25">
      <c r="A1719" s="113">
        <v>44141</v>
      </c>
      <c r="B1719" s="10" t="s">
        <v>2652</v>
      </c>
      <c r="C1719" s="11" t="s">
        <v>166</v>
      </c>
      <c r="E1719" s="8">
        <v>2700</v>
      </c>
      <c r="G1719" s="6">
        <f t="shared" si="31"/>
        <v>2700</v>
      </c>
    </row>
    <row r="1720" spans="1:8" x14ac:dyDescent="0.25">
      <c r="A1720" s="113">
        <v>44142</v>
      </c>
      <c r="B1720" s="10" t="s">
        <v>2652</v>
      </c>
      <c r="C1720" s="11" t="s">
        <v>169</v>
      </c>
      <c r="E1720" s="8">
        <v>178729</v>
      </c>
      <c r="G1720" s="6">
        <f t="shared" si="31"/>
        <v>178729</v>
      </c>
    </row>
    <row r="1721" spans="1:8" x14ac:dyDescent="0.25">
      <c r="A1721" s="113">
        <v>44142</v>
      </c>
      <c r="B1721" s="10" t="s">
        <v>2652</v>
      </c>
      <c r="C1721" s="11" t="s">
        <v>169</v>
      </c>
      <c r="E1721" s="8">
        <v>53406</v>
      </c>
      <c r="G1721" s="6">
        <f t="shared" si="31"/>
        <v>53406</v>
      </c>
    </row>
    <row r="1722" spans="1:8" x14ac:dyDescent="0.25">
      <c r="A1722" s="113">
        <v>44142</v>
      </c>
      <c r="B1722" s="10" t="s">
        <v>1400</v>
      </c>
      <c r="C1722" s="11" t="s">
        <v>164</v>
      </c>
      <c r="E1722" s="8">
        <v>5338</v>
      </c>
      <c r="G1722" s="6">
        <f t="shared" si="31"/>
        <v>5338</v>
      </c>
    </row>
    <row r="1723" spans="1:8" x14ac:dyDescent="0.25">
      <c r="A1723" s="113">
        <v>44142</v>
      </c>
      <c r="B1723" s="10" t="s">
        <v>1400</v>
      </c>
      <c r="C1723" s="11" t="s">
        <v>166</v>
      </c>
      <c r="E1723" s="8">
        <v>6018</v>
      </c>
      <c r="G1723" s="6">
        <f t="shared" si="31"/>
        <v>6018</v>
      </c>
    </row>
    <row r="1724" spans="1:8" x14ac:dyDescent="0.25">
      <c r="A1724" s="113">
        <v>44142</v>
      </c>
      <c r="B1724" s="10" t="s">
        <v>1400</v>
      </c>
      <c r="C1724" s="11" t="s">
        <v>166</v>
      </c>
      <c r="E1724" s="8">
        <v>61600</v>
      </c>
      <c r="G1724" s="6">
        <f t="shared" si="31"/>
        <v>61600</v>
      </c>
    </row>
    <row r="1725" spans="1:8" x14ac:dyDescent="0.25">
      <c r="A1725" s="113">
        <v>44142</v>
      </c>
      <c r="B1725" s="10" t="s">
        <v>2652</v>
      </c>
      <c r="C1725" s="11" t="s">
        <v>169</v>
      </c>
      <c r="E1725" s="8">
        <v>63500</v>
      </c>
      <c r="G1725" s="6">
        <f t="shared" si="31"/>
        <v>63500</v>
      </c>
    </row>
    <row r="1726" spans="1:8" x14ac:dyDescent="0.25">
      <c r="A1726" s="113">
        <v>44144</v>
      </c>
      <c r="B1726" s="10" t="s">
        <v>2652</v>
      </c>
      <c r="C1726" s="11" t="s">
        <v>169</v>
      </c>
      <c r="E1726" s="8">
        <v>128159</v>
      </c>
      <c r="G1726" s="6">
        <f t="shared" si="31"/>
        <v>128159</v>
      </c>
    </row>
    <row r="1727" spans="1:8" x14ac:dyDescent="0.25">
      <c r="A1727" s="113">
        <v>44145</v>
      </c>
      <c r="B1727" s="10" t="s">
        <v>2652</v>
      </c>
      <c r="C1727" s="11" t="s">
        <v>169</v>
      </c>
      <c r="E1727" s="8">
        <v>24467</v>
      </c>
      <c r="G1727" s="6">
        <f t="shared" si="31"/>
        <v>24467</v>
      </c>
    </row>
    <row r="1728" spans="1:8" x14ac:dyDescent="0.25">
      <c r="A1728" s="113">
        <v>44147</v>
      </c>
      <c r="B1728" s="10" t="s">
        <v>2652</v>
      </c>
      <c r="C1728" s="11" t="s">
        <v>169</v>
      </c>
      <c r="E1728" s="8">
        <v>15066</v>
      </c>
      <c r="G1728" s="6">
        <f t="shared" si="31"/>
        <v>15066</v>
      </c>
    </row>
    <row r="1729" spans="1:8" x14ac:dyDescent="0.25">
      <c r="A1729" s="113">
        <v>44146</v>
      </c>
      <c r="B1729" s="10" t="s">
        <v>2652</v>
      </c>
      <c r="C1729" s="11" t="s">
        <v>169</v>
      </c>
      <c r="E1729" s="8">
        <v>73222</v>
      </c>
      <c r="G1729" s="6">
        <f t="shared" si="31"/>
        <v>73222</v>
      </c>
    </row>
    <row r="1730" spans="1:8" x14ac:dyDescent="0.25">
      <c r="A1730" s="113">
        <v>44147</v>
      </c>
      <c r="B1730" s="10" t="s">
        <v>2652</v>
      </c>
      <c r="C1730" s="11" t="s">
        <v>169</v>
      </c>
      <c r="E1730" s="8">
        <v>28525</v>
      </c>
      <c r="G1730" s="6">
        <f t="shared" si="31"/>
        <v>28525</v>
      </c>
    </row>
    <row r="1731" spans="1:8" x14ac:dyDescent="0.25">
      <c r="A1731" s="113">
        <v>44149</v>
      </c>
      <c r="B1731" s="10" t="s">
        <v>2652</v>
      </c>
      <c r="C1731" s="11" t="s">
        <v>169</v>
      </c>
      <c r="E1731" s="8">
        <v>72525</v>
      </c>
      <c r="G1731" s="6">
        <f t="shared" si="31"/>
        <v>72525</v>
      </c>
    </row>
    <row r="1732" spans="1:8" x14ac:dyDescent="0.25">
      <c r="A1732" s="113">
        <v>44158</v>
      </c>
      <c r="B1732" s="10" t="s">
        <v>1400</v>
      </c>
      <c r="C1732" s="11" t="s">
        <v>1803</v>
      </c>
      <c r="F1732" s="9">
        <v>130635</v>
      </c>
      <c r="G1732" s="6">
        <f t="shared" si="31"/>
        <v>-130635</v>
      </c>
      <c r="H1732" s="31" t="s">
        <v>6367</v>
      </c>
    </row>
    <row r="1733" spans="1:8" x14ac:dyDescent="0.25">
      <c r="A1733" s="113">
        <v>44158</v>
      </c>
      <c r="B1733" s="10" t="s">
        <v>2652</v>
      </c>
      <c r="C1733" s="11" t="s">
        <v>166</v>
      </c>
      <c r="E1733" s="8">
        <v>4800</v>
      </c>
      <c r="G1733" s="6">
        <f t="shared" si="31"/>
        <v>4800</v>
      </c>
    </row>
    <row r="1734" spans="1:8" x14ac:dyDescent="0.25">
      <c r="A1734" s="113">
        <v>44158</v>
      </c>
      <c r="B1734" s="10" t="s">
        <v>2652</v>
      </c>
      <c r="C1734" s="11" t="s">
        <v>166</v>
      </c>
      <c r="E1734" s="8">
        <v>4800</v>
      </c>
      <c r="G1734" s="6">
        <f t="shared" si="31"/>
        <v>4800</v>
      </c>
    </row>
    <row r="1735" spans="1:8" x14ac:dyDescent="0.25">
      <c r="A1735" s="113">
        <v>44158</v>
      </c>
      <c r="B1735" s="10" t="s">
        <v>2933</v>
      </c>
      <c r="C1735" s="11" t="s">
        <v>166</v>
      </c>
      <c r="E1735" s="8">
        <v>10600</v>
      </c>
      <c r="G1735" s="6">
        <f t="shared" si="31"/>
        <v>10600</v>
      </c>
    </row>
    <row r="1736" spans="1:8" x14ac:dyDescent="0.25">
      <c r="A1736" s="113">
        <v>44158</v>
      </c>
      <c r="B1736" s="10" t="s">
        <v>1400</v>
      </c>
      <c r="C1736" s="11" t="s">
        <v>166</v>
      </c>
      <c r="F1736" s="579">
        <v>210450</v>
      </c>
      <c r="G1736" s="580">
        <f t="shared" si="31"/>
        <v>-210450</v>
      </c>
      <c r="H1736" s="581" t="s">
        <v>6368</v>
      </c>
    </row>
    <row r="1737" spans="1:8" x14ac:dyDescent="0.25">
      <c r="A1737" s="113">
        <v>44158</v>
      </c>
      <c r="B1737" s="10" t="s">
        <v>1400</v>
      </c>
      <c r="C1737" s="11" t="s">
        <v>180</v>
      </c>
      <c r="F1737" s="9">
        <v>252500</v>
      </c>
      <c r="G1737" s="274">
        <f t="shared" si="31"/>
        <v>-252500</v>
      </c>
      <c r="H1737" s="31" t="s">
        <v>6369</v>
      </c>
    </row>
    <row r="1738" spans="1:8" x14ac:dyDescent="0.25">
      <c r="A1738" s="113">
        <v>44158</v>
      </c>
      <c r="B1738" s="10" t="s">
        <v>1400</v>
      </c>
      <c r="C1738" s="11" t="s">
        <v>180</v>
      </c>
      <c r="F1738" s="9">
        <v>240</v>
      </c>
      <c r="G1738" s="6">
        <f t="shared" si="31"/>
        <v>-240</v>
      </c>
      <c r="H1738" s="7" t="s">
        <v>3918</v>
      </c>
    </row>
    <row r="1739" spans="1:8" x14ac:dyDescent="0.25">
      <c r="A1739" s="113">
        <v>44142</v>
      </c>
      <c r="B1739" s="10" t="s">
        <v>1400</v>
      </c>
      <c r="C1739" s="11" t="s">
        <v>164</v>
      </c>
      <c r="E1739" s="8">
        <v>6680</v>
      </c>
      <c r="G1739" s="6">
        <f t="shared" si="31"/>
        <v>6680</v>
      </c>
    </row>
    <row r="1740" spans="1:8" x14ac:dyDescent="0.25">
      <c r="A1740" s="113">
        <v>44160</v>
      </c>
      <c r="B1740" s="10" t="s">
        <v>1400</v>
      </c>
      <c r="C1740" s="11" t="s">
        <v>1803</v>
      </c>
      <c r="F1740" s="9">
        <v>100000</v>
      </c>
      <c r="G1740" s="6">
        <f t="shared" si="31"/>
        <v>-100000</v>
      </c>
      <c r="H1740" s="78"/>
    </row>
    <row r="1741" spans="1:8" x14ac:dyDescent="0.25">
      <c r="A1741" s="113">
        <v>44160</v>
      </c>
      <c r="B1741" s="10" t="s">
        <v>2652</v>
      </c>
      <c r="C1741" s="11" t="s">
        <v>1803</v>
      </c>
      <c r="F1741" s="9">
        <v>100000</v>
      </c>
      <c r="G1741" s="6">
        <f t="shared" si="31"/>
        <v>-100000</v>
      </c>
      <c r="H1741" s="79" t="s">
        <v>6372</v>
      </c>
    </row>
    <row r="1742" spans="1:8" x14ac:dyDescent="0.25">
      <c r="A1742" s="113">
        <v>44160</v>
      </c>
      <c r="B1742" s="10" t="s">
        <v>6103</v>
      </c>
      <c r="C1742" s="11" t="s">
        <v>1803</v>
      </c>
      <c r="F1742" s="9">
        <v>100000</v>
      </c>
      <c r="G1742" s="6">
        <f t="shared" si="31"/>
        <v>-100000</v>
      </c>
      <c r="H1742" s="80"/>
    </row>
    <row r="1743" spans="1:8" x14ac:dyDescent="0.25">
      <c r="A1743" s="113">
        <v>44121</v>
      </c>
      <c r="B1743" s="10" t="s">
        <v>1400</v>
      </c>
      <c r="C1743" s="11" t="s">
        <v>1803</v>
      </c>
      <c r="E1743" s="8">
        <v>7937</v>
      </c>
      <c r="G1743" s="6">
        <f t="shared" si="31"/>
        <v>7937</v>
      </c>
    </row>
    <row r="1744" spans="1:8" x14ac:dyDescent="0.25">
      <c r="A1744" s="113">
        <v>44141</v>
      </c>
      <c r="B1744" s="10" t="s">
        <v>1400</v>
      </c>
      <c r="C1744" s="11" t="s">
        <v>1803</v>
      </c>
      <c r="E1744" s="8">
        <v>11574</v>
      </c>
      <c r="G1744" s="6">
        <f t="shared" si="31"/>
        <v>11574</v>
      </c>
    </row>
    <row r="1745" spans="1:8" x14ac:dyDescent="0.25">
      <c r="A1745" s="113">
        <v>44147</v>
      </c>
      <c r="B1745" s="10" t="s">
        <v>1400</v>
      </c>
      <c r="C1745" s="11" t="s">
        <v>1803</v>
      </c>
      <c r="E1745" s="8">
        <v>7257</v>
      </c>
      <c r="G1745" s="6">
        <f t="shared" si="31"/>
        <v>7257</v>
      </c>
    </row>
    <row r="1746" spans="1:8" x14ac:dyDescent="0.25">
      <c r="A1746" s="113">
        <v>44159</v>
      </c>
      <c r="B1746" s="10" t="s">
        <v>1400</v>
      </c>
      <c r="C1746" s="11" t="s">
        <v>1803</v>
      </c>
      <c r="E1746" s="8">
        <v>41196</v>
      </c>
      <c r="G1746" s="6">
        <f t="shared" si="31"/>
        <v>41196</v>
      </c>
    </row>
    <row r="1747" spans="1:8" x14ac:dyDescent="0.25">
      <c r="A1747" s="113">
        <v>44159</v>
      </c>
      <c r="B1747" s="10" t="s">
        <v>5811</v>
      </c>
      <c r="C1747" s="11" t="s">
        <v>164</v>
      </c>
      <c r="F1747" s="9">
        <v>65657</v>
      </c>
      <c r="G1747" s="6">
        <f t="shared" si="31"/>
        <v>-65657</v>
      </c>
      <c r="H1747" s="78"/>
    </row>
    <row r="1748" spans="1:8" x14ac:dyDescent="0.25">
      <c r="A1748" s="113">
        <v>44159</v>
      </c>
      <c r="B1748" s="10" t="s">
        <v>1400</v>
      </c>
      <c r="C1748" s="11" t="s">
        <v>164</v>
      </c>
      <c r="F1748" s="9">
        <v>4343</v>
      </c>
      <c r="G1748" s="6">
        <f t="shared" si="31"/>
        <v>-4343</v>
      </c>
      <c r="H1748" s="31" t="s">
        <v>6373</v>
      </c>
    </row>
    <row r="1749" spans="1:8" x14ac:dyDescent="0.25">
      <c r="A1749" s="113">
        <v>44165</v>
      </c>
      <c r="B1749" s="10" t="s">
        <v>2652</v>
      </c>
      <c r="C1749" s="11" t="s">
        <v>169</v>
      </c>
      <c r="E1749" s="8">
        <v>16939</v>
      </c>
      <c r="G1749" s="6">
        <f t="shared" si="31"/>
        <v>16939</v>
      </c>
    </row>
    <row r="1750" spans="1:8" x14ac:dyDescent="0.25">
      <c r="A1750" s="113">
        <v>44165</v>
      </c>
      <c r="B1750" s="10" t="s">
        <v>2652</v>
      </c>
      <c r="C1750" s="11" t="s">
        <v>164</v>
      </c>
      <c r="E1750" s="8">
        <v>813</v>
      </c>
      <c r="G1750" s="6">
        <f t="shared" si="31"/>
        <v>813</v>
      </c>
    </row>
    <row r="1751" spans="1:8" x14ac:dyDescent="0.25">
      <c r="A1751" s="113">
        <v>44162</v>
      </c>
      <c r="B1751" s="10" t="s">
        <v>2933</v>
      </c>
      <c r="C1751" s="11" t="s">
        <v>5681</v>
      </c>
      <c r="D1751" s="768" t="s">
        <v>8739</v>
      </c>
      <c r="E1751" s="8">
        <v>25500</v>
      </c>
      <c r="G1751" s="6">
        <f t="shared" si="31"/>
        <v>25500</v>
      </c>
    </row>
    <row r="1752" spans="1:8" x14ac:dyDescent="0.25">
      <c r="A1752" s="113">
        <v>44174</v>
      </c>
      <c r="B1752" s="10" t="s">
        <v>2933</v>
      </c>
      <c r="C1752" s="11" t="s">
        <v>161</v>
      </c>
      <c r="E1752" s="8">
        <v>21337</v>
      </c>
      <c r="G1752" s="6">
        <f t="shared" si="31"/>
        <v>21337</v>
      </c>
    </row>
    <row r="1753" spans="1:8" x14ac:dyDescent="0.25">
      <c r="A1753" s="113">
        <v>44176</v>
      </c>
      <c r="B1753" s="10" t="s">
        <v>1400</v>
      </c>
      <c r="C1753" s="11" t="s">
        <v>166</v>
      </c>
      <c r="F1753" s="9">
        <v>178692</v>
      </c>
      <c r="G1753" s="6">
        <f t="shared" si="31"/>
        <v>-178692</v>
      </c>
      <c r="H1753" s="31" t="s">
        <v>6416</v>
      </c>
    </row>
    <row r="1754" spans="1:8" x14ac:dyDescent="0.25">
      <c r="A1754" s="113">
        <v>44176</v>
      </c>
      <c r="B1754" s="10" t="s">
        <v>2652</v>
      </c>
      <c r="C1754" s="11" t="s">
        <v>180</v>
      </c>
      <c r="E1754" s="8">
        <v>92250</v>
      </c>
      <c r="G1754" s="6">
        <f t="shared" si="31"/>
        <v>92250</v>
      </c>
    </row>
    <row r="1755" spans="1:8" x14ac:dyDescent="0.25">
      <c r="A1755" s="113">
        <v>44176</v>
      </c>
      <c r="B1755" s="10" t="s">
        <v>2652</v>
      </c>
      <c r="C1755" s="11" t="s">
        <v>180</v>
      </c>
      <c r="E1755" s="8">
        <v>36360</v>
      </c>
      <c r="G1755" s="6">
        <f t="shared" si="31"/>
        <v>36360</v>
      </c>
    </row>
    <row r="1756" spans="1:8" x14ac:dyDescent="0.25">
      <c r="A1756" s="113">
        <v>44177</v>
      </c>
      <c r="B1756" s="10" t="s">
        <v>2652</v>
      </c>
      <c r="C1756" s="11" t="s">
        <v>169</v>
      </c>
      <c r="F1756" s="9">
        <v>100000</v>
      </c>
      <c r="G1756" s="6">
        <f t="shared" si="31"/>
        <v>-100000</v>
      </c>
      <c r="H1756" s="31" t="s">
        <v>6417</v>
      </c>
    </row>
    <row r="1757" spans="1:8" x14ac:dyDescent="0.25">
      <c r="A1757" s="113">
        <v>44176</v>
      </c>
      <c r="B1757" s="10" t="s">
        <v>1400</v>
      </c>
      <c r="C1757" s="11" t="s">
        <v>5681</v>
      </c>
      <c r="D1757" s="768" t="s">
        <v>8807</v>
      </c>
      <c r="E1757" s="8">
        <v>19200</v>
      </c>
      <c r="G1757" s="6">
        <f t="shared" si="31"/>
        <v>19200</v>
      </c>
    </row>
    <row r="1758" spans="1:8" x14ac:dyDescent="0.25">
      <c r="A1758" s="113">
        <v>44180</v>
      </c>
      <c r="B1758" s="10" t="s">
        <v>2652</v>
      </c>
      <c r="C1758" s="11" t="s">
        <v>169</v>
      </c>
      <c r="E1758" s="8">
        <v>36067</v>
      </c>
      <c r="G1758" s="6">
        <f t="shared" si="31"/>
        <v>36067</v>
      </c>
    </row>
    <row r="1759" spans="1:8" x14ac:dyDescent="0.25">
      <c r="A1759" s="113">
        <v>44187</v>
      </c>
      <c r="B1759" s="10" t="s">
        <v>2933</v>
      </c>
      <c r="C1759" s="11" t="s">
        <v>164</v>
      </c>
      <c r="E1759" s="8">
        <v>3932</v>
      </c>
      <c r="G1759" s="6">
        <f t="shared" si="31"/>
        <v>3932</v>
      </c>
    </row>
    <row r="1760" spans="1:8" x14ac:dyDescent="0.25">
      <c r="A1760" s="113">
        <v>44167</v>
      </c>
      <c r="B1760" s="10" t="s">
        <v>1400</v>
      </c>
      <c r="C1760" s="11" t="s">
        <v>164</v>
      </c>
      <c r="E1760" s="8">
        <v>12568</v>
      </c>
      <c r="G1760" s="6">
        <f t="shared" si="31"/>
        <v>12568</v>
      </c>
    </row>
    <row r="1761" spans="1:8" x14ac:dyDescent="0.25">
      <c r="A1761" s="113">
        <v>44169</v>
      </c>
      <c r="B1761" s="10" t="s">
        <v>1400</v>
      </c>
      <c r="C1761" s="11" t="s">
        <v>164</v>
      </c>
      <c r="E1761" s="8">
        <v>3920</v>
      </c>
      <c r="G1761" s="6">
        <f t="shared" si="31"/>
        <v>3920</v>
      </c>
    </row>
    <row r="1762" spans="1:8" x14ac:dyDescent="0.25">
      <c r="A1762" s="113">
        <v>44145</v>
      </c>
      <c r="B1762" s="10" t="s">
        <v>1400</v>
      </c>
      <c r="C1762" s="11" t="s">
        <v>1815</v>
      </c>
      <c r="E1762" s="8">
        <v>42435</v>
      </c>
      <c r="G1762" s="6">
        <f t="shared" si="31"/>
        <v>42435</v>
      </c>
    </row>
    <row r="1763" spans="1:8" x14ac:dyDescent="0.25">
      <c r="A1763" s="113">
        <v>44182</v>
      </c>
      <c r="B1763" s="10" t="s">
        <v>1400</v>
      </c>
      <c r="C1763" s="11" t="s">
        <v>1815</v>
      </c>
      <c r="E1763" s="8">
        <v>7671</v>
      </c>
      <c r="G1763" s="6">
        <f t="shared" si="31"/>
        <v>7671</v>
      </c>
    </row>
    <row r="1764" spans="1:8" x14ac:dyDescent="0.25">
      <c r="A1764" s="113">
        <v>44182</v>
      </c>
      <c r="B1764" s="10" t="s">
        <v>1400</v>
      </c>
      <c r="C1764" s="11" t="s">
        <v>166</v>
      </c>
      <c r="E1764" s="8">
        <v>3800</v>
      </c>
      <c r="G1764" s="6">
        <f t="shared" si="31"/>
        <v>3800</v>
      </c>
    </row>
    <row r="1765" spans="1:8" x14ac:dyDescent="0.25">
      <c r="A1765" s="113">
        <v>44189</v>
      </c>
      <c r="B1765" s="10" t="s">
        <v>6408</v>
      </c>
      <c r="C1765" s="11" t="s">
        <v>166</v>
      </c>
      <c r="E1765" s="8">
        <v>2190</v>
      </c>
      <c r="G1765" s="6">
        <f t="shared" si="31"/>
        <v>2190</v>
      </c>
    </row>
    <row r="1766" spans="1:8" x14ac:dyDescent="0.25">
      <c r="A1766" s="113">
        <v>44189</v>
      </c>
      <c r="B1766" s="10" t="s">
        <v>1400</v>
      </c>
      <c r="C1766" s="11" t="s">
        <v>166</v>
      </c>
      <c r="E1766" s="8">
        <v>26680</v>
      </c>
      <c r="G1766" s="6">
        <f t="shared" si="31"/>
        <v>26680</v>
      </c>
    </row>
    <row r="1767" spans="1:8" x14ac:dyDescent="0.25">
      <c r="A1767" s="113">
        <v>44193</v>
      </c>
      <c r="B1767" s="10" t="s">
        <v>6408</v>
      </c>
      <c r="C1767" s="11" t="s">
        <v>166</v>
      </c>
      <c r="E1767" s="8">
        <v>16750</v>
      </c>
      <c r="G1767" s="6">
        <f t="shared" si="31"/>
        <v>16750</v>
      </c>
    </row>
    <row r="1768" spans="1:8" x14ac:dyDescent="0.25">
      <c r="A1768" s="113">
        <v>44200</v>
      </c>
      <c r="B1768" s="10" t="s">
        <v>6408</v>
      </c>
      <c r="C1768" s="11" t="s">
        <v>166</v>
      </c>
      <c r="E1768" s="8">
        <v>53000</v>
      </c>
      <c r="G1768" s="6">
        <f t="shared" si="31"/>
        <v>53000</v>
      </c>
    </row>
    <row r="1769" spans="1:8" x14ac:dyDescent="0.25">
      <c r="A1769" s="113">
        <v>44203</v>
      </c>
      <c r="B1769" s="10" t="s">
        <v>1400</v>
      </c>
      <c r="C1769" s="11" t="s">
        <v>166</v>
      </c>
      <c r="F1769" s="9">
        <v>43940</v>
      </c>
      <c r="G1769" s="6">
        <f t="shared" si="31"/>
        <v>-43940</v>
      </c>
    </row>
    <row r="1770" spans="1:8" x14ac:dyDescent="0.25">
      <c r="A1770" s="113">
        <v>44203</v>
      </c>
      <c r="B1770" s="10" t="s">
        <v>2933</v>
      </c>
      <c r="C1770" s="11" t="s">
        <v>166</v>
      </c>
      <c r="F1770" s="9">
        <v>20920</v>
      </c>
      <c r="G1770" s="6">
        <f t="shared" si="31"/>
        <v>-20920</v>
      </c>
      <c r="H1770" s="78"/>
    </row>
    <row r="1771" spans="1:8" x14ac:dyDescent="0.25">
      <c r="A1771" s="113">
        <v>44203</v>
      </c>
      <c r="B1771" s="10" t="s">
        <v>6408</v>
      </c>
      <c r="C1771" s="11" t="s">
        <v>166</v>
      </c>
      <c r="F1771" s="9">
        <v>71940</v>
      </c>
      <c r="G1771" s="6">
        <f t="shared" si="31"/>
        <v>-71940</v>
      </c>
      <c r="H1771" s="78" t="s">
        <v>6262</v>
      </c>
    </row>
    <row r="1772" spans="1:8" x14ac:dyDescent="0.25">
      <c r="A1772" s="113">
        <v>44203</v>
      </c>
      <c r="B1772" s="10" t="s">
        <v>2652</v>
      </c>
      <c r="C1772" s="11" t="s">
        <v>166</v>
      </c>
      <c r="F1772" s="9">
        <v>13200</v>
      </c>
      <c r="G1772" s="6">
        <f t="shared" si="31"/>
        <v>-13200</v>
      </c>
      <c r="H1772" s="80"/>
    </row>
    <row r="1773" spans="1:8" x14ac:dyDescent="0.25">
      <c r="A1773" s="113">
        <v>44212</v>
      </c>
      <c r="B1773" s="10" t="s">
        <v>1400</v>
      </c>
      <c r="C1773" s="11" t="s">
        <v>1815</v>
      </c>
      <c r="F1773" s="590">
        <v>147784</v>
      </c>
      <c r="G1773" s="6">
        <f t="shared" si="31"/>
        <v>-147784</v>
      </c>
      <c r="H1773" s="7" t="s">
        <v>6506</v>
      </c>
    </row>
    <row r="1774" spans="1:8" x14ac:dyDescent="0.25">
      <c r="A1774" s="113">
        <v>44218</v>
      </c>
      <c r="B1774" s="10" t="s">
        <v>1400</v>
      </c>
      <c r="C1774" s="11" t="s">
        <v>1803</v>
      </c>
      <c r="E1774" s="8">
        <v>1218</v>
      </c>
      <c r="G1774" s="6">
        <f t="shared" si="31"/>
        <v>1218</v>
      </c>
    </row>
    <row r="1775" spans="1:8" x14ac:dyDescent="0.25">
      <c r="A1775" s="113">
        <v>44218</v>
      </c>
      <c r="B1775" s="10" t="s">
        <v>1400</v>
      </c>
      <c r="C1775" s="11" t="s">
        <v>1803</v>
      </c>
      <c r="E1775" s="8">
        <v>33070</v>
      </c>
      <c r="G1775" s="6">
        <f t="shared" si="31"/>
        <v>33070</v>
      </c>
    </row>
    <row r="1776" spans="1:8" x14ac:dyDescent="0.25">
      <c r="A1776" s="113">
        <v>44222</v>
      </c>
      <c r="B1776" s="10" t="s">
        <v>1400</v>
      </c>
      <c r="C1776" s="11" t="s">
        <v>166</v>
      </c>
      <c r="F1776" s="9">
        <v>68424</v>
      </c>
      <c r="G1776" s="6">
        <f t="shared" si="31"/>
        <v>-68424</v>
      </c>
      <c r="H1776" s="7" t="s">
        <v>6539</v>
      </c>
    </row>
    <row r="1777" spans="1:8" x14ac:dyDescent="0.25">
      <c r="A1777" s="113">
        <v>44222</v>
      </c>
      <c r="B1777" s="10" t="s">
        <v>6408</v>
      </c>
      <c r="C1777" s="11" t="s">
        <v>166</v>
      </c>
      <c r="E1777" s="8">
        <v>26500</v>
      </c>
      <c r="G1777" s="6">
        <f t="shared" si="31"/>
        <v>26500</v>
      </c>
    </row>
    <row r="1778" spans="1:8" x14ac:dyDescent="0.25">
      <c r="A1778" s="113">
        <v>44222</v>
      </c>
      <c r="B1778" s="10" t="s">
        <v>6507</v>
      </c>
      <c r="C1778" s="11" t="s">
        <v>166</v>
      </c>
      <c r="E1778" s="8">
        <v>4575</v>
      </c>
      <c r="G1778" s="6">
        <f t="shared" si="31"/>
        <v>4575</v>
      </c>
    </row>
    <row r="1779" spans="1:8" x14ac:dyDescent="0.25">
      <c r="A1779" s="113">
        <v>44161</v>
      </c>
      <c r="B1779" s="10" t="s">
        <v>1400</v>
      </c>
      <c r="C1779" s="11" t="s">
        <v>1803</v>
      </c>
      <c r="E1779" s="8">
        <v>13014</v>
      </c>
      <c r="G1779" s="6">
        <f t="shared" si="31"/>
        <v>13014</v>
      </c>
    </row>
    <row r="1780" spans="1:8" x14ac:dyDescent="0.25">
      <c r="A1780" s="113">
        <v>44163</v>
      </c>
      <c r="B1780" s="10" t="s">
        <v>1400</v>
      </c>
      <c r="C1780" s="11" t="s">
        <v>1803</v>
      </c>
      <c r="E1780" s="8">
        <v>78990</v>
      </c>
      <c r="G1780" s="6">
        <f t="shared" si="31"/>
        <v>78990</v>
      </c>
    </row>
    <row r="1781" spans="1:8" x14ac:dyDescent="0.25">
      <c r="A1781" s="113">
        <v>44169</v>
      </c>
      <c r="B1781" s="10" t="s">
        <v>1400</v>
      </c>
      <c r="C1781" s="11" t="s">
        <v>1803</v>
      </c>
      <c r="E1781" s="8">
        <v>136670</v>
      </c>
      <c r="G1781" s="6">
        <f t="shared" si="31"/>
        <v>136670</v>
      </c>
    </row>
    <row r="1782" spans="1:8" x14ac:dyDescent="0.25">
      <c r="A1782" s="113">
        <v>44186</v>
      </c>
      <c r="B1782" s="10" t="s">
        <v>1400</v>
      </c>
      <c r="C1782" s="11" t="s">
        <v>1803</v>
      </c>
      <c r="E1782" s="8">
        <v>101072</v>
      </c>
      <c r="G1782" s="6">
        <f t="shared" si="31"/>
        <v>101072</v>
      </c>
    </row>
    <row r="1783" spans="1:8" x14ac:dyDescent="0.25">
      <c r="A1783" s="113">
        <v>44209</v>
      </c>
      <c r="B1783" s="10" t="s">
        <v>1400</v>
      </c>
      <c r="C1783" s="11" t="s">
        <v>1803</v>
      </c>
      <c r="E1783" s="8">
        <v>23601</v>
      </c>
      <c r="G1783" s="6">
        <f t="shared" si="31"/>
        <v>23601</v>
      </c>
    </row>
    <row r="1784" spans="1:8" x14ac:dyDescent="0.25">
      <c r="A1784" s="113">
        <v>44216</v>
      </c>
      <c r="B1784" s="10" t="s">
        <v>1400</v>
      </c>
      <c r="C1784" s="11" t="s">
        <v>1803</v>
      </c>
      <c r="E1784" s="8">
        <v>24170</v>
      </c>
      <c r="G1784" s="6">
        <f t="shared" si="31"/>
        <v>24170</v>
      </c>
    </row>
    <row r="1785" spans="1:8" x14ac:dyDescent="0.25">
      <c r="A1785" s="113">
        <v>44218</v>
      </c>
      <c r="B1785" s="10" t="s">
        <v>1400</v>
      </c>
      <c r="C1785" s="11" t="s">
        <v>1803</v>
      </c>
      <c r="E1785" s="8">
        <v>18044</v>
      </c>
      <c r="G1785" s="6">
        <f t="shared" si="31"/>
        <v>18044</v>
      </c>
    </row>
    <row r="1786" spans="1:8" x14ac:dyDescent="0.25">
      <c r="A1786" s="113">
        <v>44222</v>
      </c>
      <c r="B1786" s="10" t="s">
        <v>1400</v>
      </c>
      <c r="C1786" s="11" t="s">
        <v>1803</v>
      </c>
      <c r="E1786" s="8">
        <v>14770</v>
      </c>
      <c r="G1786" s="6">
        <f t="shared" si="31"/>
        <v>14770</v>
      </c>
    </row>
    <row r="1787" spans="1:8" x14ac:dyDescent="0.25">
      <c r="A1787" s="113">
        <v>44228</v>
      </c>
      <c r="B1787" s="10" t="s">
        <v>1400</v>
      </c>
      <c r="C1787" s="11" t="s">
        <v>164</v>
      </c>
      <c r="F1787" s="9">
        <v>50000</v>
      </c>
      <c r="G1787" s="6">
        <f t="shared" si="31"/>
        <v>-50000</v>
      </c>
      <c r="H1787" s="78" t="s">
        <v>6551</v>
      </c>
    </row>
    <row r="1788" spans="1:8" x14ac:dyDescent="0.25">
      <c r="A1788" s="113">
        <v>44221</v>
      </c>
      <c r="B1788" s="10" t="s">
        <v>11</v>
      </c>
      <c r="C1788" s="11" t="s">
        <v>164</v>
      </c>
      <c r="E1788" s="8">
        <v>3293</v>
      </c>
      <c r="G1788" s="6">
        <f t="shared" si="31"/>
        <v>3293</v>
      </c>
    </row>
    <row r="1789" spans="1:8" x14ac:dyDescent="0.25">
      <c r="A1789" s="113">
        <v>44221</v>
      </c>
      <c r="B1789" s="10" t="s">
        <v>6507</v>
      </c>
      <c r="C1789" s="11" t="s">
        <v>180</v>
      </c>
      <c r="E1789" s="8">
        <v>21600</v>
      </c>
      <c r="G1789" s="6">
        <f t="shared" si="31"/>
        <v>21600</v>
      </c>
    </row>
    <row r="1790" spans="1:8" x14ac:dyDescent="0.25">
      <c r="A1790" s="113">
        <v>44228</v>
      </c>
      <c r="B1790" s="10" t="s">
        <v>1400</v>
      </c>
      <c r="C1790" s="11" t="s">
        <v>1803</v>
      </c>
      <c r="E1790" s="8">
        <v>28239</v>
      </c>
      <c r="G1790" s="6">
        <f t="shared" si="31"/>
        <v>28239</v>
      </c>
    </row>
    <row r="1791" spans="1:8" x14ac:dyDescent="0.25">
      <c r="A1791" s="113">
        <v>44239</v>
      </c>
      <c r="B1791" s="10" t="s">
        <v>1400</v>
      </c>
      <c r="C1791" s="11" t="s">
        <v>1803</v>
      </c>
      <c r="F1791" s="9">
        <v>250000</v>
      </c>
      <c r="G1791" s="6">
        <f t="shared" si="31"/>
        <v>-250000</v>
      </c>
      <c r="H1791" s="78" t="s">
        <v>6599</v>
      </c>
    </row>
    <row r="1792" spans="1:8" x14ac:dyDescent="0.25">
      <c r="A1792" s="113">
        <v>44239</v>
      </c>
      <c r="B1792" s="10" t="s">
        <v>1400</v>
      </c>
      <c r="C1792" s="11" t="s">
        <v>1803</v>
      </c>
      <c r="F1792" s="9">
        <v>250000</v>
      </c>
      <c r="G1792" s="6">
        <f t="shared" si="31"/>
        <v>-250000</v>
      </c>
      <c r="H1792" s="78" t="s">
        <v>6598</v>
      </c>
    </row>
    <row r="1793" spans="1:8" x14ac:dyDescent="0.25">
      <c r="A1793" s="113">
        <v>44242</v>
      </c>
      <c r="B1793" s="10" t="s">
        <v>1400</v>
      </c>
      <c r="C1793" s="11" t="s">
        <v>5681</v>
      </c>
      <c r="D1793" s="768" t="s">
        <v>8808</v>
      </c>
      <c r="E1793" s="8">
        <v>36600</v>
      </c>
      <c r="G1793" s="6">
        <f t="shared" si="31"/>
        <v>36600</v>
      </c>
    </row>
    <row r="1794" spans="1:8" x14ac:dyDescent="0.25">
      <c r="A1794" s="113">
        <v>44230</v>
      </c>
      <c r="B1794" s="10" t="s">
        <v>1400</v>
      </c>
      <c r="C1794" s="11" t="s">
        <v>166</v>
      </c>
      <c r="D1794" s="768">
        <v>1713</v>
      </c>
      <c r="E1794" s="8">
        <v>5250</v>
      </c>
      <c r="G1794" s="6">
        <f t="shared" si="31"/>
        <v>5250</v>
      </c>
    </row>
    <row r="1795" spans="1:8" x14ac:dyDescent="0.25">
      <c r="A1795" s="113">
        <v>44235</v>
      </c>
      <c r="B1795" s="10" t="s">
        <v>6408</v>
      </c>
      <c r="C1795" s="11" t="s">
        <v>166</v>
      </c>
      <c r="D1795" s="768">
        <v>1731</v>
      </c>
      <c r="E1795" s="8">
        <v>13150</v>
      </c>
      <c r="G1795" s="6">
        <f t="shared" si="31"/>
        <v>13150</v>
      </c>
    </row>
    <row r="1796" spans="1:8" x14ac:dyDescent="0.25">
      <c r="A1796" s="113">
        <v>44252</v>
      </c>
      <c r="B1796" s="10" t="s">
        <v>1400</v>
      </c>
      <c r="C1796" s="11" t="s">
        <v>164</v>
      </c>
      <c r="E1796" s="8">
        <v>41579</v>
      </c>
      <c r="G1796" s="6">
        <f t="shared" si="31"/>
        <v>41579</v>
      </c>
    </row>
    <row r="1797" spans="1:8" x14ac:dyDescent="0.25">
      <c r="A1797" s="113">
        <v>44258</v>
      </c>
      <c r="B1797" s="10" t="s">
        <v>6511</v>
      </c>
      <c r="C1797" s="11" t="s">
        <v>3011</v>
      </c>
      <c r="E1797" s="8">
        <v>14000</v>
      </c>
      <c r="G1797" s="6">
        <f t="shared" si="31"/>
        <v>14000</v>
      </c>
    </row>
    <row r="1798" spans="1:8" x14ac:dyDescent="0.25">
      <c r="A1798" s="113">
        <v>44261</v>
      </c>
      <c r="B1798" s="10" t="s">
        <v>1400</v>
      </c>
      <c r="C1798" s="11" t="s">
        <v>164</v>
      </c>
      <c r="E1798" s="8">
        <v>2245</v>
      </c>
      <c r="G1798" s="6">
        <f t="shared" si="31"/>
        <v>2245</v>
      </c>
    </row>
    <row r="1799" spans="1:8" x14ac:dyDescent="0.25">
      <c r="A1799" s="113">
        <v>44261</v>
      </c>
      <c r="B1799" s="10" t="s">
        <v>1400</v>
      </c>
      <c r="C1799" s="11" t="s">
        <v>5681</v>
      </c>
      <c r="D1799" s="768" t="s">
        <v>8968</v>
      </c>
      <c r="E1799" s="8">
        <v>17000</v>
      </c>
      <c r="G1799" s="6">
        <f t="shared" si="31"/>
        <v>17000</v>
      </c>
    </row>
    <row r="1800" spans="1:8" x14ac:dyDescent="0.25">
      <c r="A1800" s="113">
        <v>44261</v>
      </c>
      <c r="B1800" s="10" t="s">
        <v>6408</v>
      </c>
      <c r="C1800" s="11" t="s">
        <v>166</v>
      </c>
      <c r="F1800" s="9">
        <v>150000</v>
      </c>
      <c r="G1800" s="6">
        <f t="shared" si="31"/>
        <v>-150000</v>
      </c>
      <c r="H1800" s="1186" t="s">
        <v>6678</v>
      </c>
    </row>
    <row r="1801" spans="1:8" x14ac:dyDescent="0.25">
      <c r="A1801" s="113">
        <v>44261</v>
      </c>
      <c r="B1801" s="10" t="s">
        <v>1400</v>
      </c>
      <c r="C1801" s="11" t="s">
        <v>166</v>
      </c>
      <c r="F1801" s="9">
        <v>50000</v>
      </c>
      <c r="G1801" s="6">
        <f t="shared" ref="G1801" si="32">E1801-F1801</f>
        <v>-50000</v>
      </c>
      <c r="H1801" s="1186"/>
    </row>
    <row r="1802" spans="1:8" x14ac:dyDescent="0.25">
      <c r="A1802" s="113">
        <v>44264</v>
      </c>
      <c r="B1802" s="10" t="s">
        <v>2652</v>
      </c>
      <c r="C1802" s="11" t="s">
        <v>5681</v>
      </c>
      <c r="F1802" s="9">
        <v>5800</v>
      </c>
      <c r="G1802" s="6">
        <f t="shared" si="31"/>
        <v>-5800</v>
      </c>
      <c r="H1802" s="78"/>
    </row>
    <row r="1803" spans="1:8" x14ac:dyDescent="0.25">
      <c r="A1803" s="113">
        <v>44264</v>
      </c>
      <c r="B1803" s="10" t="s">
        <v>6248</v>
      </c>
      <c r="C1803" s="11" t="s">
        <v>5681</v>
      </c>
      <c r="F1803" s="9">
        <v>6500</v>
      </c>
      <c r="G1803" s="6">
        <f t="shared" si="31"/>
        <v>-6500</v>
      </c>
      <c r="H1803" s="79" t="s">
        <v>6697</v>
      </c>
    </row>
    <row r="1804" spans="1:8" x14ac:dyDescent="0.25">
      <c r="A1804" s="113">
        <v>44264</v>
      </c>
      <c r="B1804" s="10" t="s">
        <v>2933</v>
      </c>
      <c r="C1804" s="11" t="s">
        <v>5681</v>
      </c>
      <c r="F1804" s="9">
        <v>25500</v>
      </c>
      <c r="G1804" s="6">
        <f t="shared" si="31"/>
        <v>-25500</v>
      </c>
      <c r="H1804" s="79"/>
    </row>
    <row r="1805" spans="1:8" x14ac:dyDescent="0.25">
      <c r="A1805" s="113">
        <v>44264</v>
      </c>
      <c r="B1805" s="10" t="s">
        <v>1400</v>
      </c>
      <c r="C1805" s="11" t="s">
        <v>5681</v>
      </c>
      <c r="F1805" s="9">
        <v>102200</v>
      </c>
      <c r="G1805" s="6">
        <f t="shared" si="31"/>
        <v>-102200</v>
      </c>
      <c r="H1805" s="80"/>
    </row>
    <row r="1806" spans="1:8" x14ac:dyDescent="0.25">
      <c r="A1806" s="113">
        <v>44230</v>
      </c>
      <c r="B1806" s="10" t="s">
        <v>6507</v>
      </c>
      <c r="C1806" s="11" t="s">
        <v>161</v>
      </c>
      <c r="E1806" s="8">
        <v>10715</v>
      </c>
      <c r="G1806" s="6">
        <f t="shared" si="31"/>
        <v>10715</v>
      </c>
    </row>
    <row r="1807" spans="1:8" x14ac:dyDescent="0.25">
      <c r="A1807" s="113">
        <v>44244</v>
      </c>
      <c r="B1807" s="10" t="s">
        <v>6507</v>
      </c>
      <c r="C1807" s="11" t="s">
        <v>161</v>
      </c>
      <c r="E1807" s="8">
        <v>24623</v>
      </c>
      <c r="G1807" s="6">
        <f t="shared" si="31"/>
        <v>24623</v>
      </c>
    </row>
    <row r="1808" spans="1:8" x14ac:dyDescent="0.25">
      <c r="A1808" s="113">
        <v>44244</v>
      </c>
      <c r="B1808" s="10" t="s">
        <v>6518</v>
      </c>
      <c r="C1808" s="11" t="s">
        <v>161</v>
      </c>
      <c r="E1808" s="8">
        <v>368357</v>
      </c>
      <c r="G1808" s="6">
        <f t="shared" ref="G1808:G1830" si="33">E1808-F1808</f>
        <v>368357</v>
      </c>
    </row>
    <row r="1809" spans="1:8" x14ac:dyDescent="0.25">
      <c r="A1809" s="113">
        <v>44251</v>
      </c>
      <c r="B1809" s="10" t="s">
        <v>6507</v>
      </c>
      <c r="C1809" s="11" t="s">
        <v>161</v>
      </c>
      <c r="E1809" s="8">
        <v>13100</v>
      </c>
      <c r="G1809" s="6">
        <f t="shared" si="33"/>
        <v>13100</v>
      </c>
    </row>
    <row r="1810" spans="1:8" x14ac:dyDescent="0.25">
      <c r="A1810" s="113">
        <v>44251</v>
      </c>
      <c r="B1810" s="10" t="s">
        <v>6518</v>
      </c>
      <c r="C1810" s="11" t="s">
        <v>161</v>
      </c>
      <c r="E1810" s="8">
        <v>16104</v>
      </c>
      <c r="G1810" s="6">
        <f t="shared" si="33"/>
        <v>16104</v>
      </c>
    </row>
    <row r="1811" spans="1:8" x14ac:dyDescent="0.25">
      <c r="A1811" s="113">
        <v>44268</v>
      </c>
      <c r="B1811" s="10" t="s">
        <v>6103</v>
      </c>
      <c r="C1811" s="11" t="s">
        <v>1803</v>
      </c>
      <c r="F1811" s="9">
        <v>26398</v>
      </c>
      <c r="G1811" s="6">
        <f t="shared" si="33"/>
        <v>-26398</v>
      </c>
      <c r="H1811" s="78"/>
    </row>
    <row r="1812" spans="1:8" ht="110.25" x14ac:dyDescent="0.25">
      <c r="A1812" s="113">
        <v>44268</v>
      </c>
      <c r="B1812" s="10" t="s">
        <v>18</v>
      </c>
      <c r="C1812" s="11" t="s">
        <v>1803</v>
      </c>
      <c r="F1812" s="9">
        <v>78599</v>
      </c>
      <c r="G1812" s="6">
        <f t="shared" si="33"/>
        <v>-78599</v>
      </c>
      <c r="H1812" s="242" t="s">
        <v>6790</v>
      </c>
    </row>
    <row r="1813" spans="1:8" x14ac:dyDescent="0.25">
      <c r="A1813" s="113">
        <v>44268</v>
      </c>
      <c r="B1813" s="10" t="s">
        <v>2652</v>
      </c>
      <c r="C1813" s="11" t="s">
        <v>1803</v>
      </c>
      <c r="F1813" s="9">
        <v>116065</v>
      </c>
      <c r="G1813" s="6">
        <f t="shared" si="33"/>
        <v>-116065</v>
      </c>
      <c r="H1813" s="79"/>
    </row>
    <row r="1814" spans="1:8" x14ac:dyDescent="0.25">
      <c r="A1814" s="113">
        <v>44268</v>
      </c>
      <c r="B1814" s="10" t="s">
        <v>1400</v>
      </c>
      <c r="C1814" s="11" t="s">
        <v>1803</v>
      </c>
      <c r="F1814" s="9">
        <v>266438</v>
      </c>
      <c r="G1814" s="6">
        <f t="shared" si="33"/>
        <v>-266438</v>
      </c>
      <c r="H1814" s="80"/>
    </row>
    <row r="1815" spans="1:8" x14ac:dyDescent="0.25">
      <c r="A1815" s="113">
        <v>44268</v>
      </c>
      <c r="B1815" s="10" t="s">
        <v>1400</v>
      </c>
      <c r="C1815" s="11" t="s">
        <v>1803</v>
      </c>
      <c r="E1815" s="8">
        <v>25566</v>
      </c>
      <c r="G1815" s="6">
        <f t="shared" si="33"/>
        <v>25566</v>
      </c>
    </row>
    <row r="1816" spans="1:8" x14ac:dyDescent="0.25">
      <c r="A1816" s="113">
        <v>44268</v>
      </c>
      <c r="B1816" s="10" t="s">
        <v>6511</v>
      </c>
      <c r="C1816" s="11" t="s">
        <v>1803</v>
      </c>
      <c r="E1816" s="8">
        <v>6410</v>
      </c>
      <c r="G1816" s="6">
        <f t="shared" si="33"/>
        <v>6410</v>
      </c>
    </row>
    <row r="1817" spans="1:8" x14ac:dyDescent="0.25">
      <c r="A1817" s="113">
        <v>44268</v>
      </c>
      <c r="B1817" s="10" t="s">
        <v>1400</v>
      </c>
      <c r="C1817" s="11" t="s">
        <v>1803</v>
      </c>
      <c r="E1817" s="8">
        <v>14042</v>
      </c>
      <c r="G1817" s="6">
        <f t="shared" si="33"/>
        <v>14042</v>
      </c>
    </row>
    <row r="1818" spans="1:8" x14ac:dyDescent="0.25">
      <c r="A1818" s="113">
        <v>44268</v>
      </c>
      <c r="B1818" s="10" t="s">
        <v>6720</v>
      </c>
      <c r="C1818" s="11" t="s">
        <v>1803</v>
      </c>
      <c r="E1818" s="8">
        <v>58990</v>
      </c>
      <c r="G1818" s="6">
        <f t="shared" si="33"/>
        <v>58990</v>
      </c>
    </row>
    <row r="1819" spans="1:8" x14ac:dyDescent="0.25">
      <c r="A1819" s="113">
        <v>44268</v>
      </c>
      <c r="B1819" s="10" t="s">
        <v>6518</v>
      </c>
      <c r="C1819" s="11" t="s">
        <v>1803</v>
      </c>
      <c r="E1819" s="8">
        <v>82220</v>
      </c>
      <c r="G1819" s="6">
        <f t="shared" si="33"/>
        <v>82220</v>
      </c>
    </row>
    <row r="1820" spans="1:8" x14ac:dyDescent="0.25">
      <c r="A1820" s="113">
        <v>44268</v>
      </c>
      <c r="B1820" s="10" t="s">
        <v>6408</v>
      </c>
      <c r="C1820" s="11" t="s">
        <v>1803</v>
      </c>
      <c r="E1820" s="8">
        <v>67370</v>
      </c>
      <c r="G1820" s="6">
        <f t="shared" si="33"/>
        <v>67370</v>
      </c>
      <c r="H1820" s="128"/>
    </row>
    <row r="1821" spans="1:8" x14ac:dyDescent="0.25">
      <c r="A1821" s="113">
        <v>44268</v>
      </c>
      <c r="B1821" s="10" t="s">
        <v>6720</v>
      </c>
      <c r="C1821" s="11" t="s">
        <v>1803</v>
      </c>
      <c r="E1821" s="8">
        <v>84612</v>
      </c>
      <c r="G1821" s="6">
        <f t="shared" si="33"/>
        <v>84612</v>
      </c>
    </row>
    <row r="1822" spans="1:8" x14ac:dyDescent="0.25">
      <c r="A1822" s="113">
        <v>44268</v>
      </c>
      <c r="B1822" s="10" t="s">
        <v>6408</v>
      </c>
      <c r="C1822" s="11" t="s">
        <v>1803</v>
      </c>
      <c r="E1822" s="8">
        <v>14517</v>
      </c>
      <c r="G1822" s="6">
        <f t="shared" si="33"/>
        <v>14517</v>
      </c>
    </row>
    <row r="1823" spans="1:8" x14ac:dyDescent="0.25">
      <c r="A1823" s="113">
        <v>44264</v>
      </c>
      <c r="B1823" s="10" t="s">
        <v>6511</v>
      </c>
      <c r="C1823" s="11" t="s">
        <v>438</v>
      </c>
      <c r="E1823" s="8">
        <v>73360</v>
      </c>
      <c r="G1823" s="6">
        <f t="shared" si="33"/>
        <v>73360</v>
      </c>
    </row>
    <row r="1824" spans="1:8" x14ac:dyDescent="0.25">
      <c r="A1824" s="113">
        <v>44264</v>
      </c>
      <c r="B1824" s="10" t="s">
        <v>6408</v>
      </c>
      <c r="C1824" s="11" t="s">
        <v>438</v>
      </c>
      <c r="E1824" s="8">
        <v>7970</v>
      </c>
      <c r="G1824" s="6">
        <f t="shared" si="33"/>
        <v>7970</v>
      </c>
    </row>
    <row r="1825" spans="1:8" x14ac:dyDescent="0.25">
      <c r="A1825" s="113">
        <v>44264</v>
      </c>
      <c r="B1825" s="10" t="s">
        <v>1400</v>
      </c>
      <c r="C1825" s="11" t="s">
        <v>438</v>
      </c>
      <c r="E1825" s="8">
        <v>21500</v>
      </c>
      <c r="G1825" s="6">
        <f t="shared" si="33"/>
        <v>21500</v>
      </c>
    </row>
    <row r="1826" spans="1:8" x14ac:dyDescent="0.25">
      <c r="A1826" s="113">
        <v>44280</v>
      </c>
      <c r="B1826" s="10" t="s">
        <v>6408</v>
      </c>
      <c r="C1826" s="11" t="s">
        <v>438</v>
      </c>
      <c r="E1826" s="8">
        <v>2900</v>
      </c>
      <c r="G1826" s="6">
        <f t="shared" si="33"/>
        <v>2900</v>
      </c>
    </row>
    <row r="1827" spans="1:8" x14ac:dyDescent="0.25">
      <c r="A1827" s="113">
        <v>44267</v>
      </c>
      <c r="B1827" s="10" t="s">
        <v>6518</v>
      </c>
      <c r="C1827" s="11" t="s">
        <v>180</v>
      </c>
      <c r="E1827" s="8">
        <v>30000</v>
      </c>
      <c r="G1827" s="6">
        <f t="shared" si="33"/>
        <v>30000</v>
      </c>
    </row>
    <row r="1828" spans="1:8" x14ac:dyDescent="0.25">
      <c r="A1828" s="113">
        <v>44268</v>
      </c>
      <c r="B1828" s="10" t="s">
        <v>6518</v>
      </c>
      <c r="C1828" s="11" t="s">
        <v>169</v>
      </c>
      <c r="E1828" s="8">
        <v>10140</v>
      </c>
      <c r="G1828" s="6">
        <f t="shared" si="33"/>
        <v>10140</v>
      </c>
    </row>
    <row r="1829" spans="1:8" x14ac:dyDescent="0.25">
      <c r="A1829" s="113">
        <v>44230</v>
      </c>
      <c r="B1829" s="10" t="s">
        <v>6507</v>
      </c>
      <c r="C1829" s="11" t="s">
        <v>161</v>
      </c>
      <c r="F1829" s="9">
        <v>10715</v>
      </c>
      <c r="G1829" s="6">
        <f t="shared" si="33"/>
        <v>-10715</v>
      </c>
      <c r="H1829" s="124"/>
    </row>
    <row r="1830" spans="1:8" x14ac:dyDescent="0.25">
      <c r="A1830" s="113">
        <v>44244</v>
      </c>
      <c r="B1830" s="10" t="s">
        <v>6507</v>
      </c>
      <c r="C1830" s="11" t="s">
        <v>161</v>
      </c>
      <c r="F1830" s="9">
        <v>24623</v>
      </c>
      <c r="G1830" s="6">
        <f t="shared" si="33"/>
        <v>-24623</v>
      </c>
      <c r="H1830" s="124"/>
    </row>
    <row r="1831" spans="1:8" ht="94.5" x14ac:dyDescent="0.25">
      <c r="A1831" s="113">
        <v>44244</v>
      </c>
      <c r="B1831" s="10" t="s">
        <v>6518</v>
      </c>
      <c r="C1831" s="11" t="s">
        <v>161</v>
      </c>
      <c r="F1831" s="9">
        <v>368357</v>
      </c>
      <c r="G1831" s="6">
        <f t="shared" ref="G1831:G1948" si="34">E1831-F1831</f>
        <v>-368357</v>
      </c>
      <c r="H1831" s="628" t="s">
        <v>6709</v>
      </c>
    </row>
    <row r="1832" spans="1:8" x14ac:dyDescent="0.25">
      <c r="A1832" s="113">
        <v>44251</v>
      </c>
      <c r="B1832" s="10" t="s">
        <v>6507</v>
      </c>
      <c r="C1832" s="11" t="s">
        <v>161</v>
      </c>
      <c r="F1832" s="9">
        <v>13100</v>
      </c>
      <c r="G1832" s="6">
        <f t="shared" si="34"/>
        <v>-13100</v>
      </c>
      <c r="H1832" s="124"/>
    </row>
    <row r="1833" spans="1:8" x14ac:dyDescent="0.25">
      <c r="A1833" s="113">
        <v>44251</v>
      </c>
      <c r="B1833" s="10" t="s">
        <v>6518</v>
      </c>
      <c r="C1833" s="11" t="s">
        <v>161</v>
      </c>
      <c r="F1833" s="9">
        <v>16104</v>
      </c>
      <c r="G1833" s="6">
        <f t="shared" si="34"/>
        <v>-16104</v>
      </c>
      <c r="H1833" s="124"/>
    </row>
    <row r="1834" spans="1:8" x14ac:dyDescent="0.25">
      <c r="A1834" s="113">
        <v>44251</v>
      </c>
      <c r="G1834" s="6">
        <f t="shared" si="34"/>
        <v>0</v>
      </c>
    </row>
    <row r="1835" spans="1:8" x14ac:dyDescent="0.25">
      <c r="A1835" s="113">
        <v>44299</v>
      </c>
      <c r="B1835" s="10" t="s">
        <v>6408</v>
      </c>
      <c r="C1835" s="11" t="s">
        <v>166</v>
      </c>
      <c r="E1835" s="8">
        <v>13975</v>
      </c>
      <c r="G1835" s="6">
        <f t="shared" ref="G1835:G1848" si="35">E1835-F1835</f>
        <v>13975</v>
      </c>
    </row>
    <row r="1836" spans="1:8" x14ac:dyDescent="0.25">
      <c r="A1836" s="113">
        <v>44299</v>
      </c>
      <c r="B1836" s="10" t="s">
        <v>6408</v>
      </c>
      <c r="C1836" s="11" t="s">
        <v>166</v>
      </c>
      <c r="E1836" s="8">
        <v>4675</v>
      </c>
      <c r="G1836" s="6">
        <f t="shared" si="35"/>
        <v>4675</v>
      </c>
    </row>
    <row r="1837" spans="1:8" x14ac:dyDescent="0.25">
      <c r="A1837" s="113">
        <v>44299</v>
      </c>
      <c r="B1837" s="10" t="s">
        <v>6408</v>
      </c>
      <c r="C1837" s="11" t="s">
        <v>166</v>
      </c>
      <c r="E1837" s="8">
        <v>18400</v>
      </c>
      <c r="G1837" s="6">
        <f t="shared" si="35"/>
        <v>18400</v>
      </c>
    </row>
    <row r="1838" spans="1:8" x14ac:dyDescent="0.25">
      <c r="A1838" s="113">
        <v>44299</v>
      </c>
      <c r="B1838" s="10" t="s">
        <v>1400</v>
      </c>
      <c r="C1838" s="11" t="s">
        <v>166</v>
      </c>
      <c r="E1838" s="8">
        <v>2120</v>
      </c>
      <c r="G1838" s="6">
        <f t="shared" si="35"/>
        <v>2120</v>
      </c>
    </row>
    <row r="1839" spans="1:8" x14ac:dyDescent="0.25">
      <c r="A1839" s="113">
        <v>44299</v>
      </c>
      <c r="B1839" s="10" t="s">
        <v>6511</v>
      </c>
      <c r="C1839" s="11" t="s">
        <v>166</v>
      </c>
      <c r="E1839" s="8">
        <v>15875</v>
      </c>
      <c r="G1839" s="6">
        <f t="shared" si="35"/>
        <v>15875</v>
      </c>
    </row>
    <row r="1840" spans="1:8" x14ac:dyDescent="0.25">
      <c r="A1840" s="113">
        <v>44299</v>
      </c>
      <c r="B1840" s="10" t="s">
        <v>6511</v>
      </c>
      <c r="C1840" s="11" t="s">
        <v>166</v>
      </c>
      <c r="E1840" s="8">
        <v>2320</v>
      </c>
      <c r="G1840" s="6">
        <f t="shared" si="35"/>
        <v>2320</v>
      </c>
    </row>
    <row r="1841" spans="1:7" x14ac:dyDescent="0.25">
      <c r="A1841" s="113">
        <v>44299</v>
      </c>
      <c r="B1841" s="10" t="s">
        <v>6408</v>
      </c>
      <c r="C1841" s="11" t="s">
        <v>166</v>
      </c>
      <c r="E1841" s="8">
        <v>7800</v>
      </c>
      <c r="G1841" s="6">
        <f t="shared" si="35"/>
        <v>7800</v>
      </c>
    </row>
    <row r="1842" spans="1:7" x14ac:dyDescent="0.25">
      <c r="A1842" s="113">
        <v>44299</v>
      </c>
      <c r="B1842" s="10" t="s">
        <v>6408</v>
      </c>
      <c r="C1842" s="11" t="s">
        <v>166</v>
      </c>
      <c r="E1842" s="8">
        <v>6000</v>
      </c>
      <c r="G1842" s="6">
        <f t="shared" si="35"/>
        <v>6000</v>
      </c>
    </row>
    <row r="1843" spans="1:7" x14ac:dyDescent="0.25">
      <c r="A1843" s="113">
        <v>44299</v>
      </c>
      <c r="B1843" s="10" t="s">
        <v>6408</v>
      </c>
      <c r="C1843" s="11" t="s">
        <v>166</v>
      </c>
      <c r="E1843" s="8">
        <v>2515</v>
      </c>
      <c r="G1843" s="6">
        <f t="shared" si="35"/>
        <v>2515</v>
      </c>
    </row>
    <row r="1844" spans="1:7" x14ac:dyDescent="0.25">
      <c r="A1844" s="113">
        <v>44299</v>
      </c>
      <c r="B1844" s="10" t="s">
        <v>6408</v>
      </c>
      <c r="C1844" s="11" t="s">
        <v>166</v>
      </c>
      <c r="E1844" s="8">
        <v>5300</v>
      </c>
      <c r="G1844" s="6">
        <f t="shared" si="35"/>
        <v>5300</v>
      </c>
    </row>
    <row r="1845" spans="1:7" x14ac:dyDescent="0.25">
      <c r="A1845" s="113">
        <v>44299</v>
      </c>
      <c r="B1845" s="10" t="s">
        <v>6408</v>
      </c>
      <c r="C1845" s="11" t="s">
        <v>166</v>
      </c>
      <c r="E1845" s="8">
        <v>15600</v>
      </c>
      <c r="G1845" s="6">
        <f t="shared" si="35"/>
        <v>15600</v>
      </c>
    </row>
    <row r="1846" spans="1:7" x14ac:dyDescent="0.25">
      <c r="A1846" s="113">
        <v>44299</v>
      </c>
      <c r="B1846" s="10" t="s">
        <v>6408</v>
      </c>
      <c r="C1846" s="11" t="s">
        <v>166</v>
      </c>
      <c r="E1846" s="8">
        <v>5000</v>
      </c>
      <c r="G1846" s="6">
        <f t="shared" si="35"/>
        <v>5000</v>
      </c>
    </row>
    <row r="1847" spans="1:7" x14ac:dyDescent="0.25">
      <c r="A1847" s="113">
        <v>44299</v>
      </c>
      <c r="B1847" s="10" t="s">
        <v>6408</v>
      </c>
      <c r="C1847" s="11" t="s">
        <v>166</v>
      </c>
      <c r="E1847" s="8">
        <v>23400</v>
      </c>
      <c r="G1847" s="6">
        <f t="shared" si="35"/>
        <v>23400</v>
      </c>
    </row>
    <row r="1848" spans="1:7" x14ac:dyDescent="0.25">
      <c r="A1848" s="113">
        <v>44299</v>
      </c>
      <c r="B1848" s="10" t="s">
        <v>6408</v>
      </c>
      <c r="C1848" s="11" t="s">
        <v>166</v>
      </c>
      <c r="E1848" s="8">
        <v>4940</v>
      </c>
      <c r="G1848" s="6">
        <f t="shared" si="35"/>
        <v>4940</v>
      </c>
    </row>
    <row r="1849" spans="1:7" x14ac:dyDescent="0.25">
      <c r="A1849" s="113">
        <v>44271</v>
      </c>
      <c r="B1849" s="10" t="s">
        <v>6511</v>
      </c>
      <c r="C1849" s="11" t="s">
        <v>166</v>
      </c>
      <c r="E1849" s="8">
        <v>9000</v>
      </c>
      <c r="G1849" s="6">
        <f t="shared" si="34"/>
        <v>9000</v>
      </c>
    </row>
    <row r="1850" spans="1:7" x14ac:dyDescent="0.25">
      <c r="A1850" s="113">
        <v>44271</v>
      </c>
      <c r="B1850" s="10" t="s">
        <v>1400</v>
      </c>
      <c r="C1850" s="11" t="s">
        <v>166</v>
      </c>
      <c r="E1850" s="8">
        <v>46200</v>
      </c>
      <c r="G1850" s="6">
        <f t="shared" si="34"/>
        <v>46200</v>
      </c>
    </row>
    <row r="1851" spans="1:7" x14ac:dyDescent="0.25">
      <c r="A1851" s="113">
        <v>44274</v>
      </c>
      <c r="B1851" s="10" t="s">
        <v>1400</v>
      </c>
      <c r="C1851" s="11" t="s">
        <v>5681</v>
      </c>
      <c r="D1851" s="768" t="s">
        <v>8969</v>
      </c>
      <c r="E1851" s="8">
        <v>18600</v>
      </c>
      <c r="G1851" s="6">
        <f t="shared" si="34"/>
        <v>18600</v>
      </c>
    </row>
    <row r="1852" spans="1:7" ht="16.5" thickBot="1" x14ac:dyDescent="0.3">
      <c r="A1852" s="113">
        <v>44274</v>
      </c>
      <c r="B1852" s="10" t="s">
        <v>1400</v>
      </c>
      <c r="C1852" s="11" t="s">
        <v>5681</v>
      </c>
      <c r="D1852" s="768" t="s">
        <v>9246</v>
      </c>
      <c r="E1852" s="8">
        <v>63200</v>
      </c>
      <c r="G1852" s="6">
        <f t="shared" si="34"/>
        <v>63200</v>
      </c>
    </row>
    <row r="1853" spans="1:7" x14ac:dyDescent="0.25">
      <c r="A1853" s="113">
        <v>44264</v>
      </c>
      <c r="B1853" s="10" t="s">
        <v>6508</v>
      </c>
      <c r="C1853" s="11" t="s">
        <v>1803</v>
      </c>
      <c r="D1853" s="768">
        <v>223</v>
      </c>
      <c r="E1853" s="292">
        <v>149055</v>
      </c>
      <c r="G1853" s="6">
        <f t="shared" si="34"/>
        <v>149055</v>
      </c>
    </row>
    <row r="1854" spans="1:7" x14ac:dyDescent="0.25">
      <c r="A1854" s="113">
        <v>44265</v>
      </c>
      <c r="B1854" s="10" t="s">
        <v>6720</v>
      </c>
      <c r="C1854" s="11" t="s">
        <v>1803</v>
      </c>
      <c r="D1854" s="768">
        <v>261</v>
      </c>
      <c r="E1854" s="8">
        <v>68784</v>
      </c>
      <c r="G1854" s="6">
        <f t="shared" si="34"/>
        <v>68784</v>
      </c>
    </row>
    <row r="1855" spans="1:7" x14ac:dyDescent="0.25">
      <c r="A1855" s="113">
        <v>44268</v>
      </c>
      <c r="B1855" s="10" t="s">
        <v>6511</v>
      </c>
      <c r="C1855" s="11" t="s">
        <v>1803</v>
      </c>
      <c r="D1855" s="768">
        <v>336</v>
      </c>
      <c r="E1855" s="8">
        <v>9691</v>
      </c>
      <c r="G1855" s="6">
        <f t="shared" si="34"/>
        <v>9691</v>
      </c>
    </row>
    <row r="1856" spans="1:7" x14ac:dyDescent="0.25">
      <c r="A1856" s="113">
        <v>44268</v>
      </c>
      <c r="B1856" s="10" t="s">
        <v>6720</v>
      </c>
      <c r="C1856" s="11" t="s">
        <v>1803</v>
      </c>
      <c r="D1856" s="768">
        <v>337</v>
      </c>
      <c r="E1856" s="8">
        <v>15953</v>
      </c>
      <c r="G1856" s="6">
        <f t="shared" si="34"/>
        <v>15953</v>
      </c>
    </row>
    <row r="1857" spans="1:8" x14ac:dyDescent="0.25">
      <c r="A1857" s="113">
        <v>44271</v>
      </c>
      <c r="B1857" s="10" t="s">
        <v>6508</v>
      </c>
      <c r="C1857" s="11" t="s">
        <v>1803</v>
      </c>
      <c r="D1857" s="768">
        <v>403</v>
      </c>
      <c r="E1857" s="8">
        <v>8000</v>
      </c>
      <c r="G1857" s="6">
        <f t="shared" si="34"/>
        <v>8000</v>
      </c>
    </row>
    <row r="1858" spans="1:8" x14ac:dyDescent="0.25">
      <c r="A1858" s="113">
        <v>44271</v>
      </c>
      <c r="B1858" s="10" t="s">
        <v>6408</v>
      </c>
      <c r="C1858" s="11" t="s">
        <v>1803</v>
      </c>
      <c r="D1858" s="769" t="s">
        <v>6765</v>
      </c>
      <c r="E1858" s="8">
        <v>21517</v>
      </c>
      <c r="G1858" s="6">
        <f t="shared" si="34"/>
        <v>21517</v>
      </c>
    </row>
    <row r="1859" spans="1:8" x14ac:dyDescent="0.25">
      <c r="A1859" s="113">
        <v>44271</v>
      </c>
      <c r="B1859" s="10" t="s">
        <v>6720</v>
      </c>
      <c r="C1859" s="11" t="s">
        <v>1803</v>
      </c>
      <c r="D1859" s="769" t="s">
        <v>6766</v>
      </c>
      <c r="E1859" s="8">
        <v>2281</v>
      </c>
      <c r="G1859" s="6">
        <f t="shared" si="34"/>
        <v>2281</v>
      </c>
    </row>
    <row r="1860" spans="1:8" x14ac:dyDescent="0.25">
      <c r="A1860" s="113">
        <v>44272</v>
      </c>
      <c r="B1860" s="10" t="s">
        <v>6508</v>
      </c>
      <c r="C1860" s="11" t="s">
        <v>1803</v>
      </c>
      <c r="D1860" s="768">
        <v>451</v>
      </c>
      <c r="E1860" s="8">
        <v>2858</v>
      </c>
      <c r="G1860" s="6">
        <f t="shared" si="34"/>
        <v>2858</v>
      </c>
    </row>
    <row r="1861" spans="1:8" x14ac:dyDescent="0.25">
      <c r="A1861" s="113">
        <v>44274</v>
      </c>
      <c r="B1861" s="10" t="s">
        <v>6508</v>
      </c>
      <c r="C1861" s="11" t="s">
        <v>1803</v>
      </c>
      <c r="D1861" s="768">
        <v>495</v>
      </c>
      <c r="E1861" s="8">
        <v>71428</v>
      </c>
      <c r="G1861" s="6">
        <f t="shared" si="34"/>
        <v>71428</v>
      </c>
    </row>
    <row r="1862" spans="1:8" ht="16.5" thickBot="1" x14ac:dyDescent="0.3">
      <c r="A1862" s="113">
        <v>44274</v>
      </c>
      <c r="B1862" s="10" t="s">
        <v>1400</v>
      </c>
      <c r="C1862" s="11" t="s">
        <v>1803</v>
      </c>
      <c r="D1862" s="768">
        <v>494</v>
      </c>
      <c r="E1862" s="293">
        <v>53174</v>
      </c>
      <c r="G1862" s="6">
        <f t="shared" si="34"/>
        <v>53174</v>
      </c>
    </row>
    <row r="1863" spans="1:8" x14ac:dyDescent="0.25">
      <c r="A1863" s="113">
        <v>44274</v>
      </c>
      <c r="B1863" s="10" t="s">
        <v>6508</v>
      </c>
      <c r="C1863" s="11" t="s">
        <v>1803</v>
      </c>
      <c r="D1863" s="768">
        <v>43</v>
      </c>
      <c r="F1863" s="9">
        <v>55691</v>
      </c>
      <c r="G1863" s="6">
        <f t="shared" si="34"/>
        <v>-55691</v>
      </c>
      <c r="H1863" s="7" t="s">
        <v>6506</v>
      </c>
    </row>
    <row r="1864" spans="1:8" x14ac:dyDescent="0.25">
      <c r="A1864" s="113">
        <v>44275</v>
      </c>
      <c r="B1864" s="10" t="s">
        <v>1400</v>
      </c>
      <c r="C1864" s="11" t="s">
        <v>1803</v>
      </c>
      <c r="D1864" s="768">
        <v>44</v>
      </c>
      <c r="F1864" s="9">
        <v>20120</v>
      </c>
      <c r="G1864" s="6">
        <f t="shared" si="34"/>
        <v>-20120</v>
      </c>
      <c r="H1864" s="7" t="s">
        <v>6506</v>
      </c>
    </row>
    <row r="1865" spans="1:8" x14ac:dyDescent="0.25">
      <c r="A1865" s="113">
        <v>44279</v>
      </c>
      <c r="B1865" s="10" t="s">
        <v>6408</v>
      </c>
      <c r="C1865" s="11" t="s">
        <v>3011</v>
      </c>
      <c r="D1865" s="768">
        <v>2</v>
      </c>
      <c r="E1865" s="8">
        <v>51450</v>
      </c>
      <c r="G1865" s="6">
        <f t="shared" si="34"/>
        <v>51450</v>
      </c>
    </row>
    <row r="1866" spans="1:8" x14ac:dyDescent="0.25">
      <c r="A1866" s="113">
        <v>44275</v>
      </c>
      <c r="B1866" s="10" t="s">
        <v>2933</v>
      </c>
      <c r="C1866" s="11" t="s">
        <v>6767</v>
      </c>
      <c r="D1866" s="768">
        <v>2103</v>
      </c>
      <c r="E1866" s="8">
        <v>61200</v>
      </c>
      <c r="G1866" s="6">
        <f t="shared" si="34"/>
        <v>61200</v>
      </c>
    </row>
    <row r="1867" spans="1:8" x14ac:dyDescent="0.25">
      <c r="A1867" s="113">
        <v>44284</v>
      </c>
      <c r="B1867" s="10" t="s">
        <v>6408</v>
      </c>
      <c r="C1867" s="11" t="s">
        <v>3011</v>
      </c>
      <c r="F1867" s="9">
        <v>50000</v>
      </c>
      <c r="G1867" s="6">
        <f t="shared" si="34"/>
        <v>-50000</v>
      </c>
      <c r="H1867" s="7" t="s">
        <v>6788</v>
      </c>
    </row>
    <row r="1868" spans="1:8" x14ac:dyDescent="0.25">
      <c r="A1868" s="113">
        <v>44284</v>
      </c>
      <c r="B1868" s="10" t="s">
        <v>1400</v>
      </c>
      <c r="C1868" s="11" t="s">
        <v>5681</v>
      </c>
      <c r="F1868" s="9">
        <v>50000</v>
      </c>
      <c r="G1868" s="6">
        <f t="shared" si="34"/>
        <v>-50000</v>
      </c>
      <c r="H1868" s="7" t="s">
        <v>6788</v>
      </c>
    </row>
    <row r="1869" spans="1:8" x14ac:dyDescent="0.25">
      <c r="A1869" s="113">
        <v>44284</v>
      </c>
      <c r="B1869" s="10" t="s">
        <v>1400</v>
      </c>
      <c r="C1869" s="11" t="s">
        <v>164</v>
      </c>
      <c r="E1869" s="8">
        <v>121998</v>
      </c>
      <c r="G1869" s="6">
        <f t="shared" si="34"/>
        <v>121998</v>
      </c>
    </row>
    <row r="1870" spans="1:8" x14ac:dyDescent="0.25">
      <c r="A1870" s="113">
        <v>44284</v>
      </c>
      <c r="B1870" s="10" t="s">
        <v>1400</v>
      </c>
      <c r="C1870" s="11" t="s">
        <v>164</v>
      </c>
      <c r="F1870" s="9">
        <v>100000</v>
      </c>
      <c r="G1870" s="6">
        <f t="shared" si="34"/>
        <v>-100000</v>
      </c>
      <c r="H1870" s="7" t="s">
        <v>6788</v>
      </c>
    </row>
    <row r="1871" spans="1:8" x14ac:dyDescent="0.25">
      <c r="A1871" s="113">
        <v>44284</v>
      </c>
      <c r="B1871" s="10" t="s">
        <v>6507</v>
      </c>
      <c r="C1871" s="11" t="s">
        <v>180</v>
      </c>
      <c r="F1871" s="9">
        <v>21600</v>
      </c>
      <c r="G1871" s="6">
        <f t="shared" si="34"/>
        <v>-21600</v>
      </c>
      <c r="H1871" s="78"/>
    </row>
    <row r="1872" spans="1:8" x14ac:dyDescent="0.25">
      <c r="A1872" s="113">
        <v>44284</v>
      </c>
      <c r="B1872" s="10" t="s">
        <v>6518</v>
      </c>
      <c r="C1872" s="11" t="s">
        <v>180</v>
      </c>
      <c r="F1872" s="9">
        <v>30000</v>
      </c>
      <c r="G1872" s="6">
        <f t="shared" si="34"/>
        <v>-30000</v>
      </c>
      <c r="H1872" s="79" t="s">
        <v>6788</v>
      </c>
    </row>
    <row r="1873" spans="1:8" x14ac:dyDescent="0.25">
      <c r="A1873" s="113">
        <v>44284</v>
      </c>
      <c r="B1873" s="10" t="s">
        <v>2652</v>
      </c>
      <c r="C1873" s="11" t="s">
        <v>180</v>
      </c>
      <c r="F1873" s="9">
        <v>98400</v>
      </c>
      <c r="G1873" s="6">
        <f t="shared" si="34"/>
        <v>-98400</v>
      </c>
      <c r="H1873" s="80"/>
    </row>
    <row r="1874" spans="1:8" x14ac:dyDescent="0.25">
      <c r="A1874" s="113">
        <v>44240</v>
      </c>
      <c r="B1874" s="10" t="s">
        <v>6408</v>
      </c>
      <c r="C1874" s="11" t="s">
        <v>3011</v>
      </c>
      <c r="E1874" s="8">
        <v>29000</v>
      </c>
      <c r="G1874" s="6">
        <f t="shared" si="34"/>
        <v>29000</v>
      </c>
    </row>
    <row r="1875" spans="1:8" x14ac:dyDescent="0.25">
      <c r="A1875" s="113">
        <v>44240</v>
      </c>
      <c r="B1875" s="10" t="s">
        <v>6511</v>
      </c>
      <c r="C1875" s="11" t="s">
        <v>3011</v>
      </c>
      <c r="F1875" s="9">
        <v>14000</v>
      </c>
      <c r="G1875" s="6">
        <f t="shared" si="34"/>
        <v>-14000</v>
      </c>
      <c r="H1875" s="54"/>
    </row>
    <row r="1876" spans="1:8" x14ac:dyDescent="0.25">
      <c r="A1876" s="113">
        <v>44240</v>
      </c>
      <c r="B1876" s="10" t="s">
        <v>6408</v>
      </c>
      <c r="C1876" s="11" t="s">
        <v>3011</v>
      </c>
      <c r="F1876" s="9">
        <v>30450</v>
      </c>
      <c r="G1876" s="6">
        <f t="shared" si="34"/>
        <v>-30450</v>
      </c>
      <c r="H1876" s="55" t="s">
        <v>6809</v>
      </c>
    </row>
    <row r="1877" spans="1:8" ht="24" customHeight="1" x14ac:dyDescent="0.25">
      <c r="A1877" s="113">
        <v>44288</v>
      </c>
      <c r="B1877" s="10" t="s">
        <v>6511</v>
      </c>
      <c r="C1877" s="11" t="s">
        <v>438</v>
      </c>
      <c r="F1877" s="9">
        <v>73360</v>
      </c>
      <c r="G1877" s="6">
        <f t="shared" si="34"/>
        <v>-73360</v>
      </c>
      <c r="H1877" s="1187" t="s">
        <v>6973</v>
      </c>
    </row>
    <row r="1878" spans="1:8" ht="24" customHeight="1" x14ac:dyDescent="0.25">
      <c r="A1878" s="113">
        <v>44288</v>
      </c>
      <c r="B1878" s="10" t="s">
        <v>6408</v>
      </c>
      <c r="C1878" s="11" t="s">
        <v>438</v>
      </c>
      <c r="F1878" s="9">
        <v>7970</v>
      </c>
      <c r="G1878" s="6">
        <f t="shared" si="34"/>
        <v>-7970</v>
      </c>
      <c r="H1878" s="1187"/>
    </row>
    <row r="1879" spans="1:8" ht="24" customHeight="1" x14ac:dyDescent="0.25">
      <c r="A1879" s="113">
        <v>44288</v>
      </c>
      <c r="B1879" s="10" t="s">
        <v>1400</v>
      </c>
      <c r="C1879" s="11" t="s">
        <v>438</v>
      </c>
      <c r="F1879" s="9">
        <v>21500</v>
      </c>
      <c r="G1879" s="6">
        <f t="shared" si="34"/>
        <v>-21500</v>
      </c>
      <c r="H1879" s="1187"/>
    </row>
    <row r="1880" spans="1:8" ht="24" customHeight="1" x14ac:dyDescent="0.25">
      <c r="A1880" s="113">
        <v>44288</v>
      </c>
      <c r="B1880" s="10" t="s">
        <v>6408</v>
      </c>
      <c r="C1880" s="11" t="s">
        <v>438</v>
      </c>
      <c r="F1880" s="9">
        <v>2900</v>
      </c>
      <c r="G1880" s="6">
        <f t="shared" si="34"/>
        <v>-2900</v>
      </c>
      <c r="H1880" s="1187"/>
    </row>
    <row r="1881" spans="1:8" ht="24" customHeight="1" x14ac:dyDescent="0.25">
      <c r="A1881" s="113">
        <v>44280</v>
      </c>
      <c r="B1881" s="10" t="s">
        <v>1400</v>
      </c>
      <c r="C1881" s="11" t="s">
        <v>438</v>
      </c>
      <c r="F1881" s="9">
        <v>24225</v>
      </c>
      <c r="G1881" s="6">
        <f t="shared" si="34"/>
        <v>-24225</v>
      </c>
      <c r="H1881" s="1187"/>
    </row>
    <row r="1882" spans="1:8" ht="24" customHeight="1" x14ac:dyDescent="0.25">
      <c r="A1882" s="113">
        <v>44331</v>
      </c>
      <c r="B1882" s="10" t="s">
        <v>6408</v>
      </c>
      <c r="C1882" s="11" t="s">
        <v>438</v>
      </c>
      <c r="F1882" s="9">
        <v>54720</v>
      </c>
      <c r="G1882" s="6">
        <f t="shared" si="34"/>
        <v>-54720</v>
      </c>
      <c r="H1882" s="1187"/>
    </row>
    <row r="1883" spans="1:8" ht="24" customHeight="1" x14ac:dyDescent="0.25">
      <c r="A1883" s="113">
        <v>44341</v>
      </c>
      <c r="B1883" s="10" t="s">
        <v>6511</v>
      </c>
      <c r="C1883" s="11" t="s">
        <v>438</v>
      </c>
      <c r="F1883" s="9">
        <v>22415</v>
      </c>
      <c r="G1883" s="6">
        <f t="shared" si="34"/>
        <v>-22415</v>
      </c>
      <c r="H1883" s="1187"/>
    </row>
    <row r="1884" spans="1:8" x14ac:dyDescent="0.25">
      <c r="A1884" s="113">
        <v>44300</v>
      </c>
      <c r="B1884" s="10" t="s">
        <v>1400</v>
      </c>
      <c r="C1884" s="11" t="s">
        <v>164</v>
      </c>
      <c r="E1884" s="8">
        <v>4494</v>
      </c>
      <c r="G1884" s="6">
        <f t="shared" si="34"/>
        <v>4494</v>
      </c>
    </row>
    <row r="1885" spans="1:8" x14ac:dyDescent="0.25">
      <c r="A1885" s="113">
        <v>44288</v>
      </c>
      <c r="B1885" s="10" t="s">
        <v>1400</v>
      </c>
      <c r="C1885" s="11" t="s">
        <v>164</v>
      </c>
      <c r="E1885" s="8">
        <v>743</v>
      </c>
      <c r="G1885" s="6">
        <f t="shared" si="34"/>
        <v>743</v>
      </c>
    </row>
    <row r="1886" spans="1:8" x14ac:dyDescent="0.25">
      <c r="A1886" s="113">
        <v>44291</v>
      </c>
      <c r="B1886" s="10" t="s">
        <v>6508</v>
      </c>
      <c r="C1886" s="11" t="s">
        <v>1803</v>
      </c>
      <c r="E1886" s="109"/>
      <c r="F1886" s="110">
        <f>171059-12500</f>
        <v>158559</v>
      </c>
      <c r="G1886" s="6">
        <f t="shared" si="34"/>
        <v>-158559</v>
      </c>
      <c r="H1886" s="1167" t="s">
        <v>6910</v>
      </c>
    </row>
    <row r="1887" spans="1:8" x14ac:dyDescent="0.25">
      <c r="A1887" s="113">
        <v>44291</v>
      </c>
      <c r="B1887" s="10" t="s">
        <v>6518</v>
      </c>
      <c r="C1887" s="11" t="s">
        <v>1803</v>
      </c>
      <c r="E1887" s="109"/>
      <c r="F1887" s="111">
        <v>82220</v>
      </c>
      <c r="G1887" s="6">
        <f t="shared" si="34"/>
        <v>-82220</v>
      </c>
      <c r="H1887" s="1168"/>
    </row>
    <row r="1888" spans="1:8" x14ac:dyDescent="0.25">
      <c r="A1888" s="113">
        <v>44291</v>
      </c>
      <c r="B1888" s="10" t="s">
        <v>6511</v>
      </c>
      <c r="C1888" s="11" t="s">
        <v>1803</v>
      </c>
      <c r="E1888" s="109"/>
      <c r="F1888" s="111">
        <f>16101+25620</f>
        <v>41721</v>
      </c>
      <c r="G1888" s="6">
        <f t="shared" si="34"/>
        <v>-41721</v>
      </c>
      <c r="H1888" s="1168"/>
    </row>
    <row r="1889" spans="1:8" x14ac:dyDescent="0.25">
      <c r="A1889" s="113">
        <v>44291</v>
      </c>
      <c r="B1889" s="10" t="s">
        <v>6720</v>
      </c>
      <c r="C1889" s="11" t="s">
        <v>1803</v>
      </c>
      <c r="E1889" s="109"/>
      <c r="F1889" s="112">
        <v>200000</v>
      </c>
      <c r="G1889" s="6">
        <f t="shared" si="34"/>
        <v>-200000</v>
      </c>
      <c r="H1889" s="1169"/>
    </row>
    <row r="1890" spans="1:8" x14ac:dyDescent="0.25">
      <c r="A1890" s="113">
        <v>44288</v>
      </c>
      <c r="B1890" s="10" t="s">
        <v>6518</v>
      </c>
      <c r="C1890" s="11" t="s">
        <v>169</v>
      </c>
      <c r="E1890" s="8">
        <v>6270</v>
      </c>
      <c r="G1890" s="6">
        <f t="shared" si="34"/>
        <v>6270</v>
      </c>
    </row>
    <row r="1891" spans="1:8" x14ac:dyDescent="0.25">
      <c r="A1891" s="113">
        <v>44293</v>
      </c>
      <c r="B1891" s="10" t="s">
        <v>6518</v>
      </c>
      <c r="C1891" s="11" t="s">
        <v>162</v>
      </c>
      <c r="E1891" s="8">
        <v>545000</v>
      </c>
      <c r="G1891" s="6">
        <f t="shared" si="34"/>
        <v>545000</v>
      </c>
    </row>
    <row r="1892" spans="1:8" x14ac:dyDescent="0.25">
      <c r="A1892" s="113">
        <v>44293</v>
      </c>
      <c r="B1892" s="10" t="s">
        <v>6518</v>
      </c>
      <c r="C1892" s="11" t="s">
        <v>162</v>
      </c>
      <c r="F1892" s="9">
        <v>400000</v>
      </c>
      <c r="G1892" s="6">
        <f t="shared" si="34"/>
        <v>-400000</v>
      </c>
      <c r="H1892" s="7" t="s">
        <v>6788</v>
      </c>
    </row>
    <row r="1893" spans="1:8" x14ac:dyDescent="0.25">
      <c r="A1893" s="113">
        <v>44294</v>
      </c>
      <c r="B1893" s="10" t="s">
        <v>6408</v>
      </c>
      <c r="C1893" s="11" t="s">
        <v>5681</v>
      </c>
      <c r="D1893" s="768" t="s">
        <v>9245</v>
      </c>
      <c r="E1893" s="8">
        <v>109600</v>
      </c>
      <c r="G1893" s="6">
        <f t="shared" si="34"/>
        <v>109600</v>
      </c>
    </row>
    <row r="1894" spans="1:8" x14ac:dyDescent="0.25">
      <c r="A1894" s="113">
        <v>44270</v>
      </c>
      <c r="B1894" s="10" t="s">
        <v>6408</v>
      </c>
      <c r="C1894" s="11" t="s">
        <v>166</v>
      </c>
      <c r="E1894" s="8">
        <v>17100</v>
      </c>
      <c r="G1894" s="6">
        <f t="shared" si="34"/>
        <v>17100</v>
      </c>
    </row>
    <row r="1895" spans="1:8" x14ac:dyDescent="0.25">
      <c r="A1895" s="113">
        <v>44307</v>
      </c>
      <c r="B1895" s="10" t="s">
        <v>6508</v>
      </c>
      <c r="C1895" s="11" t="s">
        <v>180</v>
      </c>
      <c r="E1895" s="8">
        <v>31875</v>
      </c>
      <c r="G1895" s="6">
        <f t="shared" si="34"/>
        <v>31875</v>
      </c>
    </row>
    <row r="1896" spans="1:8" x14ac:dyDescent="0.25">
      <c r="A1896" s="113">
        <v>44308</v>
      </c>
      <c r="B1896" s="10" t="s">
        <v>6408</v>
      </c>
      <c r="C1896" s="11" t="s">
        <v>5681</v>
      </c>
      <c r="D1896" s="768" t="s">
        <v>9285</v>
      </c>
      <c r="E1896" s="8">
        <v>36700</v>
      </c>
      <c r="G1896" s="6">
        <f t="shared" si="34"/>
        <v>36700</v>
      </c>
    </row>
    <row r="1897" spans="1:8" x14ac:dyDescent="0.25">
      <c r="A1897" s="113">
        <v>44308</v>
      </c>
      <c r="B1897" s="10" t="s">
        <v>1400</v>
      </c>
      <c r="C1897" s="11" t="s">
        <v>5681</v>
      </c>
      <c r="D1897" s="768" t="s">
        <v>9284</v>
      </c>
      <c r="E1897" s="8">
        <v>6000</v>
      </c>
      <c r="G1897" s="6">
        <f t="shared" si="34"/>
        <v>6000</v>
      </c>
    </row>
    <row r="1898" spans="1:8" x14ac:dyDescent="0.25">
      <c r="A1898" s="113">
        <v>44316</v>
      </c>
      <c r="B1898" s="10" t="s">
        <v>6408</v>
      </c>
      <c r="C1898" s="11" t="s">
        <v>5681</v>
      </c>
      <c r="F1898" s="9">
        <v>100000</v>
      </c>
      <c r="G1898" s="6">
        <f t="shared" si="34"/>
        <v>-100000</v>
      </c>
      <c r="H1898" s="7" t="s">
        <v>6907</v>
      </c>
    </row>
    <row r="1899" spans="1:8" x14ac:dyDescent="0.25">
      <c r="A1899" s="113">
        <v>44275</v>
      </c>
      <c r="B1899" s="10" t="s">
        <v>6508</v>
      </c>
      <c r="C1899" s="11" t="s">
        <v>1803</v>
      </c>
      <c r="E1899" s="8">
        <v>4381</v>
      </c>
      <c r="G1899" s="6">
        <f t="shared" si="34"/>
        <v>4381</v>
      </c>
    </row>
    <row r="1900" spans="1:8" x14ac:dyDescent="0.25">
      <c r="A1900" s="113">
        <v>44275</v>
      </c>
      <c r="B1900" s="10" t="s">
        <v>1400</v>
      </c>
      <c r="C1900" s="11" t="s">
        <v>1803</v>
      </c>
      <c r="E1900" s="8">
        <v>18880</v>
      </c>
      <c r="G1900" s="6">
        <f t="shared" si="34"/>
        <v>18880</v>
      </c>
    </row>
    <row r="1901" spans="1:8" x14ac:dyDescent="0.25">
      <c r="A1901" s="113">
        <v>44275</v>
      </c>
      <c r="B1901" s="10" t="s">
        <v>1400</v>
      </c>
      <c r="C1901" s="11" t="s">
        <v>1803</v>
      </c>
      <c r="F1901" s="9">
        <v>20120</v>
      </c>
      <c r="G1901" s="6">
        <f t="shared" si="34"/>
        <v>-20120</v>
      </c>
      <c r="H1901" s="7" t="s">
        <v>6909</v>
      </c>
    </row>
    <row r="1902" spans="1:8" x14ac:dyDescent="0.25">
      <c r="A1902" s="113">
        <v>44279</v>
      </c>
      <c r="B1902" s="10" t="s">
        <v>6408</v>
      </c>
      <c r="C1902" s="11" t="s">
        <v>1803</v>
      </c>
      <c r="E1902" s="8">
        <v>18012</v>
      </c>
      <c r="G1902" s="6">
        <f t="shared" si="34"/>
        <v>18012</v>
      </c>
    </row>
    <row r="1903" spans="1:8" x14ac:dyDescent="0.25">
      <c r="A1903" s="113">
        <v>44281</v>
      </c>
      <c r="B1903" s="10" t="s">
        <v>6408</v>
      </c>
      <c r="C1903" s="11" t="s">
        <v>1803</v>
      </c>
      <c r="F1903" s="9">
        <v>11028</v>
      </c>
      <c r="G1903" s="6">
        <f t="shared" si="34"/>
        <v>-11028</v>
      </c>
      <c r="H1903" s="7" t="s">
        <v>6909</v>
      </c>
    </row>
    <row r="1904" spans="1:8" x14ac:dyDescent="0.25">
      <c r="A1904" s="113">
        <v>44281</v>
      </c>
      <c r="B1904" s="10" t="s">
        <v>1400</v>
      </c>
      <c r="C1904" s="11" t="s">
        <v>1803</v>
      </c>
      <c r="E1904" s="8">
        <v>8592</v>
      </c>
      <c r="G1904" s="6">
        <f t="shared" si="34"/>
        <v>8592</v>
      </c>
    </row>
    <row r="1905" spans="1:7" x14ac:dyDescent="0.25">
      <c r="A1905" s="113">
        <v>44281</v>
      </c>
      <c r="B1905" s="10" t="s">
        <v>6508</v>
      </c>
      <c r="C1905" s="11" t="s">
        <v>1803</v>
      </c>
      <c r="E1905" s="8">
        <v>3334</v>
      </c>
      <c r="G1905" s="6">
        <f t="shared" si="34"/>
        <v>3334</v>
      </c>
    </row>
    <row r="1906" spans="1:7" x14ac:dyDescent="0.25">
      <c r="A1906" s="113">
        <v>44284</v>
      </c>
      <c r="B1906" s="10" t="s">
        <v>6408</v>
      </c>
      <c r="C1906" s="11" t="s">
        <v>1803</v>
      </c>
      <c r="F1906" s="9">
        <v>2656</v>
      </c>
      <c r="G1906" s="6">
        <f t="shared" si="34"/>
        <v>-2656</v>
      </c>
    </row>
    <row r="1907" spans="1:7" x14ac:dyDescent="0.25">
      <c r="A1907" s="113">
        <v>44284</v>
      </c>
      <c r="B1907" s="10" t="s">
        <v>6408</v>
      </c>
      <c r="C1907" s="11" t="s">
        <v>1803</v>
      </c>
      <c r="E1907" s="8">
        <v>10724</v>
      </c>
      <c r="G1907" s="6">
        <f t="shared" si="34"/>
        <v>10724</v>
      </c>
    </row>
    <row r="1908" spans="1:7" x14ac:dyDescent="0.25">
      <c r="A1908" s="113">
        <v>44284</v>
      </c>
      <c r="B1908" s="10" t="s">
        <v>6720</v>
      </c>
      <c r="C1908" s="11" t="s">
        <v>1803</v>
      </c>
      <c r="E1908" s="8">
        <v>33917</v>
      </c>
      <c r="G1908" s="6">
        <f t="shared" si="34"/>
        <v>33917</v>
      </c>
    </row>
    <row r="1909" spans="1:7" x14ac:dyDescent="0.25">
      <c r="A1909" s="113">
        <v>44291</v>
      </c>
      <c r="B1909" s="10" t="s">
        <v>6511</v>
      </c>
      <c r="C1909" s="11" t="s">
        <v>1803</v>
      </c>
      <c r="E1909" s="8">
        <v>13895</v>
      </c>
      <c r="G1909" s="6">
        <f t="shared" si="34"/>
        <v>13895</v>
      </c>
    </row>
    <row r="1910" spans="1:7" x14ac:dyDescent="0.25">
      <c r="A1910" s="113">
        <v>44291</v>
      </c>
      <c r="B1910" s="10" t="s">
        <v>6720</v>
      </c>
      <c r="C1910" s="11" t="s">
        <v>1803</v>
      </c>
      <c r="E1910" s="8">
        <v>5105</v>
      </c>
      <c r="G1910" s="6">
        <f t="shared" si="34"/>
        <v>5105</v>
      </c>
    </row>
    <row r="1911" spans="1:7" x14ac:dyDescent="0.25">
      <c r="A1911" s="113">
        <v>44294</v>
      </c>
      <c r="B1911" s="10" t="s">
        <v>6511</v>
      </c>
      <c r="C1911" s="11" t="s">
        <v>1803</v>
      </c>
      <c r="E1911" s="8">
        <v>220774</v>
      </c>
      <c r="G1911" s="6">
        <f t="shared" si="34"/>
        <v>220774</v>
      </c>
    </row>
    <row r="1912" spans="1:7" x14ac:dyDescent="0.25">
      <c r="A1912" s="113">
        <v>44294</v>
      </c>
      <c r="B1912" s="10" t="s">
        <v>1400</v>
      </c>
      <c r="C1912" s="11" t="s">
        <v>1803</v>
      </c>
      <c r="E1912" s="8">
        <v>68510</v>
      </c>
      <c r="G1912" s="6">
        <f t="shared" si="34"/>
        <v>68510</v>
      </c>
    </row>
    <row r="1913" spans="1:7" x14ac:dyDescent="0.25">
      <c r="A1913" s="113">
        <v>44294</v>
      </c>
      <c r="B1913" s="10" t="s">
        <v>6720</v>
      </c>
      <c r="C1913" s="11" t="s">
        <v>1803</v>
      </c>
      <c r="E1913" s="8">
        <v>758</v>
      </c>
      <c r="G1913" s="6">
        <f t="shared" si="34"/>
        <v>758</v>
      </c>
    </row>
    <row r="1914" spans="1:7" x14ac:dyDescent="0.25">
      <c r="A1914" s="113">
        <v>44296</v>
      </c>
      <c r="B1914" s="10" t="s">
        <v>6511</v>
      </c>
      <c r="C1914" s="11" t="s">
        <v>1803</v>
      </c>
      <c r="E1914" s="8">
        <v>5675</v>
      </c>
      <c r="G1914" s="6">
        <f t="shared" si="34"/>
        <v>5675</v>
      </c>
    </row>
    <row r="1915" spans="1:7" x14ac:dyDescent="0.25">
      <c r="A1915" s="113">
        <v>44298</v>
      </c>
      <c r="B1915" s="10" t="s">
        <v>6508</v>
      </c>
      <c r="C1915" s="11" t="s">
        <v>1803</v>
      </c>
      <c r="E1915" s="8">
        <v>24564</v>
      </c>
      <c r="G1915" s="6">
        <f t="shared" si="34"/>
        <v>24564</v>
      </c>
    </row>
    <row r="1916" spans="1:7" x14ac:dyDescent="0.25">
      <c r="A1916" s="113">
        <v>44300</v>
      </c>
      <c r="B1916" s="10" t="s">
        <v>6508</v>
      </c>
      <c r="C1916" s="11" t="s">
        <v>1803</v>
      </c>
      <c r="E1916" s="8">
        <v>860</v>
      </c>
      <c r="G1916" s="6">
        <f t="shared" si="34"/>
        <v>860</v>
      </c>
    </row>
    <row r="1917" spans="1:7" x14ac:dyDescent="0.25">
      <c r="A1917" s="113">
        <v>44302</v>
      </c>
      <c r="B1917" s="10" t="s">
        <v>6511</v>
      </c>
      <c r="C1917" s="11" t="s">
        <v>1803</v>
      </c>
      <c r="E1917" s="8">
        <v>2821</v>
      </c>
      <c r="G1917" s="6">
        <f t="shared" si="34"/>
        <v>2821</v>
      </c>
    </row>
    <row r="1918" spans="1:7" x14ac:dyDescent="0.25">
      <c r="A1918" s="113">
        <v>44303</v>
      </c>
      <c r="B1918" s="10" t="s">
        <v>6408</v>
      </c>
      <c r="C1918" s="11" t="s">
        <v>1803</v>
      </c>
      <c r="E1918" s="8">
        <v>14409</v>
      </c>
      <c r="G1918" s="6">
        <f t="shared" si="34"/>
        <v>14409</v>
      </c>
    </row>
    <row r="1919" spans="1:7" x14ac:dyDescent="0.25">
      <c r="A1919" s="113">
        <v>44320</v>
      </c>
      <c r="B1919" s="10" t="s">
        <v>1400</v>
      </c>
      <c r="C1919" s="11" t="s">
        <v>5681</v>
      </c>
      <c r="D1919" s="768" t="s">
        <v>8312</v>
      </c>
      <c r="E1919" s="8">
        <v>17200</v>
      </c>
      <c r="G1919" s="6">
        <f t="shared" si="34"/>
        <v>17200</v>
      </c>
    </row>
    <row r="1920" spans="1:7" x14ac:dyDescent="0.25">
      <c r="A1920" s="113">
        <v>44333</v>
      </c>
      <c r="B1920" s="10" t="s">
        <v>2933</v>
      </c>
      <c r="C1920" s="11" t="s">
        <v>164</v>
      </c>
      <c r="D1920" s="768">
        <v>4445</v>
      </c>
      <c r="E1920" s="8">
        <v>6168</v>
      </c>
      <c r="G1920" s="6">
        <f t="shared" si="34"/>
        <v>6168</v>
      </c>
    </row>
    <row r="1921" spans="1:8" x14ac:dyDescent="0.25">
      <c r="A1921" s="113">
        <v>44333</v>
      </c>
      <c r="B1921" s="10" t="s">
        <v>1400</v>
      </c>
      <c r="C1921" s="11" t="s">
        <v>164</v>
      </c>
      <c r="D1921" s="768">
        <v>4453</v>
      </c>
      <c r="E1921" s="8">
        <v>16796</v>
      </c>
      <c r="G1921" s="6">
        <f t="shared" si="34"/>
        <v>16796</v>
      </c>
    </row>
    <row r="1922" spans="1:8" x14ac:dyDescent="0.25">
      <c r="A1922" s="113">
        <v>44340</v>
      </c>
      <c r="B1922" s="10" t="s">
        <v>6511</v>
      </c>
      <c r="C1922" s="11" t="s">
        <v>166</v>
      </c>
      <c r="E1922" s="8">
        <v>97145</v>
      </c>
      <c r="G1922" s="6">
        <f t="shared" si="34"/>
        <v>97145</v>
      </c>
    </row>
    <row r="1923" spans="1:8" x14ac:dyDescent="0.25">
      <c r="A1923" s="113">
        <v>44340</v>
      </c>
      <c r="B1923" s="10" t="s">
        <v>6955</v>
      </c>
      <c r="C1923" s="11" t="s">
        <v>166</v>
      </c>
      <c r="E1923" s="8">
        <v>55800</v>
      </c>
      <c r="G1923" s="6">
        <f t="shared" si="34"/>
        <v>55800</v>
      </c>
    </row>
    <row r="1924" spans="1:8" x14ac:dyDescent="0.25">
      <c r="A1924" s="113">
        <v>44340</v>
      </c>
      <c r="B1924" s="10" t="s">
        <v>6408</v>
      </c>
      <c r="C1924" s="11" t="s">
        <v>166</v>
      </c>
      <c r="E1924" s="8">
        <v>4970</v>
      </c>
      <c r="G1924" s="6">
        <f t="shared" si="34"/>
        <v>4970</v>
      </c>
    </row>
    <row r="1925" spans="1:8" x14ac:dyDescent="0.25">
      <c r="A1925" s="113">
        <v>44310</v>
      </c>
      <c r="B1925" s="10" t="s">
        <v>6511</v>
      </c>
      <c r="C1925" s="11" t="s">
        <v>1803</v>
      </c>
      <c r="E1925" s="8">
        <v>5367</v>
      </c>
      <c r="G1925" s="6">
        <f t="shared" si="34"/>
        <v>5367</v>
      </c>
    </row>
    <row r="1926" spans="1:8" x14ac:dyDescent="0.25">
      <c r="A1926" s="113">
        <v>44312</v>
      </c>
      <c r="B1926" s="10" t="s">
        <v>6508</v>
      </c>
      <c r="C1926" s="11" t="s">
        <v>1803</v>
      </c>
      <c r="E1926" s="8">
        <v>12568</v>
      </c>
      <c r="G1926" s="6">
        <f t="shared" si="34"/>
        <v>12568</v>
      </c>
    </row>
    <row r="1927" spans="1:8" x14ac:dyDescent="0.25">
      <c r="A1927" s="113">
        <v>44320</v>
      </c>
      <c r="B1927" s="10" t="s">
        <v>6511</v>
      </c>
      <c r="C1927" s="11" t="s">
        <v>1803</v>
      </c>
      <c r="E1927" s="8">
        <v>121139</v>
      </c>
      <c r="G1927" s="6">
        <f t="shared" si="34"/>
        <v>121139</v>
      </c>
    </row>
    <row r="1928" spans="1:8" x14ac:dyDescent="0.25">
      <c r="A1928" s="113">
        <v>44321</v>
      </c>
      <c r="B1928" s="10" t="s">
        <v>6511</v>
      </c>
      <c r="C1928" s="11" t="s">
        <v>1803</v>
      </c>
      <c r="E1928" s="8">
        <v>13264</v>
      </c>
      <c r="G1928" s="6">
        <f t="shared" si="34"/>
        <v>13264</v>
      </c>
    </row>
    <row r="1929" spans="1:8" x14ac:dyDescent="0.25">
      <c r="A1929" s="113">
        <v>44335</v>
      </c>
      <c r="B1929" s="10" t="s">
        <v>6511</v>
      </c>
      <c r="C1929" s="11" t="s">
        <v>1803</v>
      </c>
      <c r="E1929" s="8">
        <v>5670</v>
      </c>
      <c r="G1929" s="6">
        <f t="shared" si="34"/>
        <v>5670</v>
      </c>
    </row>
    <row r="1930" spans="1:8" x14ac:dyDescent="0.25">
      <c r="A1930" s="113">
        <v>44341</v>
      </c>
      <c r="B1930" s="10" t="s">
        <v>6408</v>
      </c>
      <c r="C1930" s="11" t="s">
        <v>166</v>
      </c>
      <c r="E1930" s="8">
        <v>4395</v>
      </c>
      <c r="G1930" s="6">
        <f t="shared" si="34"/>
        <v>4395</v>
      </c>
    </row>
    <row r="1931" spans="1:8" x14ac:dyDescent="0.25">
      <c r="A1931" s="113">
        <v>44321</v>
      </c>
      <c r="B1931" s="10" t="s">
        <v>2933</v>
      </c>
      <c r="C1931" s="11" t="s">
        <v>6767</v>
      </c>
      <c r="F1931" s="9">
        <v>25000</v>
      </c>
      <c r="G1931" s="6">
        <f t="shared" si="34"/>
        <v>-25000</v>
      </c>
      <c r="H1931" s="7" t="s">
        <v>1157</v>
      </c>
    </row>
    <row r="1932" spans="1:8" x14ac:dyDescent="0.25">
      <c r="A1932" s="113">
        <v>44341</v>
      </c>
      <c r="B1932" s="10" t="s">
        <v>1400</v>
      </c>
      <c r="C1932" s="11" t="s">
        <v>164</v>
      </c>
      <c r="F1932" s="9">
        <v>100000</v>
      </c>
      <c r="G1932" s="6">
        <f t="shared" si="34"/>
        <v>-100000</v>
      </c>
      <c r="H1932" s="7" t="s">
        <v>6956</v>
      </c>
    </row>
    <row r="1933" spans="1:8" x14ac:dyDescent="0.25">
      <c r="A1933" s="113">
        <v>44341</v>
      </c>
      <c r="B1933" s="10" t="s">
        <v>6511</v>
      </c>
      <c r="C1933" s="11" t="s">
        <v>1803</v>
      </c>
      <c r="F1933" s="9">
        <v>300000</v>
      </c>
      <c r="G1933" s="6">
        <f t="shared" si="34"/>
        <v>-300000</v>
      </c>
      <c r="H1933" s="7" t="s">
        <v>6958</v>
      </c>
    </row>
    <row r="1934" spans="1:8" x14ac:dyDescent="0.25">
      <c r="A1934" s="113">
        <v>44342</v>
      </c>
      <c r="B1934" s="10" t="s">
        <v>1400</v>
      </c>
      <c r="C1934" s="11" t="s">
        <v>166</v>
      </c>
      <c r="E1934" s="8">
        <v>35600</v>
      </c>
      <c r="G1934" s="6">
        <f t="shared" si="34"/>
        <v>35600</v>
      </c>
    </row>
    <row r="1935" spans="1:8" x14ac:dyDescent="0.25">
      <c r="A1935" s="113">
        <v>44343</v>
      </c>
      <c r="B1935" s="10" t="s">
        <v>1400</v>
      </c>
      <c r="C1935" s="11" t="s">
        <v>166</v>
      </c>
      <c r="E1935" s="8">
        <v>41800</v>
      </c>
      <c r="G1935" s="6">
        <f t="shared" si="34"/>
        <v>41800</v>
      </c>
    </row>
    <row r="1936" spans="1:8" x14ac:dyDescent="0.25">
      <c r="A1936" s="113">
        <v>44341</v>
      </c>
      <c r="B1936" s="10" t="s">
        <v>6955</v>
      </c>
      <c r="C1936" s="11" t="s">
        <v>166</v>
      </c>
      <c r="E1936" s="8">
        <v>55800</v>
      </c>
      <c r="G1936" s="6">
        <f t="shared" si="34"/>
        <v>55800</v>
      </c>
    </row>
    <row r="1937" spans="1:8" x14ac:dyDescent="0.25">
      <c r="A1937" s="113">
        <v>44345</v>
      </c>
      <c r="B1937" s="10" t="s">
        <v>6511</v>
      </c>
      <c r="C1937" s="11" t="s">
        <v>166</v>
      </c>
      <c r="E1937" s="8">
        <v>8330</v>
      </c>
      <c r="G1937" s="6">
        <f t="shared" si="34"/>
        <v>8330</v>
      </c>
    </row>
    <row r="1938" spans="1:8" x14ac:dyDescent="0.25">
      <c r="A1938" s="113">
        <v>44347</v>
      </c>
      <c r="B1938" s="10" t="s">
        <v>6511</v>
      </c>
      <c r="C1938" s="11" t="s">
        <v>166</v>
      </c>
      <c r="E1938" s="8">
        <v>14190</v>
      </c>
      <c r="G1938" s="6">
        <f t="shared" si="34"/>
        <v>14190</v>
      </c>
    </row>
    <row r="1939" spans="1:8" x14ac:dyDescent="0.25">
      <c r="A1939" s="113">
        <v>44342</v>
      </c>
      <c r="B1939" s="10" t="s">
        <v>2652</v>
      </c>
      <c r="C1939" s="11" t="s">
        <v>166</v>
      </c>
      <c r="E1939" s="8">
        <v>900</v>
      </c>
      <c r="G1939" s="6">
        <f t="shared" si="34"/>
        <v>900</v>
      </c>
      <c r="H1939" s="7" t="s">
        <v>3918</v>
      </c>
    </row>
    <row r="1940" spans="1:8" x14ac:dyDescent="0.25">
      <c r="A1940" s="113">
        <v>44345</v>
      </c>
      <c r="B1940" s="10" t="s">
        <v>1400</v>
      </c>
      <c r="C1940" s="11" t="s">
        <v>166</v>
      </c>
      <c r="F1940" s="9">
        <v>92268</v>
      </c>
      <c r="G1940" s="6">
        <f t="shared" si="34"/>
        <v>-92268</v>
      </c>
      <c r="H1940" s="78"/>
    </row>
    <row r="1941" spans="1:8" x14ac:dyDescent="0.25">
      <c r="A1941" s="113">
        <v>44345</v>
      </c>
      <c r="B1941" s="10" t="s">
        <v>6408</v>
      </c>
      <c r="C1941" s="11" t="s">
        <v>166</v>
      </c>
      <c r="F1941" s="9">
        <v>23720</v>
      </c>
      <c r="G1941" s="6">
        <f t="shared" si="34"/>
        <v>-23720</v>
      </c>
      <c r="H1941" s="79"/>
    </row>
    <row r="1942" spans="1:8" x14ac:dyDescent="0.25">
      <c r="A1942" s="113">
        <v>44345</v>
      </c>
      <c r="B1942" s="10" t="s">
        <v>6507</v>
      </c>
      <c r="C1942" s="11" t="s">
        <v>166</v>
      </c>
      <c r="F1942" s="9">
        <v>4575</v>
      </c>
      <c r="G1942" s="6">
        <f t="shared" si="34"/>
        <v>-4575</v>
      </c>
      <c r="H1942" s="79" t="s">
        <v>6974</v>
      </c>
    </row>
    <row r="1943" spans="1:8" x14ac:dyDescent="0.25">
      <c r="A1943" s="113">
        <v>44345</v>
      </c>
      <c r="B1943" s="10" t="s">
        <v>6511</v>
      </c>
      <c r="C1943" s="11" t="s">
        <v>166</v>
      </c>
      <c r="F1943" s="9">
        <v>124340</v>
      </c>
      <c r="G1943" s="6">
        <f t="shared" si="34"/>
        <v>-124340</v>
      </c>
      <c r="H1943" s="79"/>
    </row>
    <row r="1944" spans="1:8" x14ac:dyDescent="0.25">
      <c r="A1944" s="113">
        <v>44345</v>
      </c>
      <c r="B1944" s="10" t="s">
        <v>6955</v>
      </c>
      <c r="C1944" s="11" t="s">
        <v>166</v>
      </c>
      <c r="F1944" s="9">
        <v>111600</v>
      </c>
      <c r="G1944" s="6">
        <f t="shared" si="34"/>
        <v>-111600</v>
      </c>
      <c r="H1944" s="79"/>
    </row>
    <row r="1945" spans="1:8" x14ac:dyDescent="0.25">
      <c r="A1945" s="113">
        <v>44345</v>
      </c>
      <c r="B1945" s="10" t="s">
        <v>6511</v>
      </c>
      <c r="C1945" s="11" t="s">
        <v>166</v>
      </c>
      <c r="F1945" s="9">
        <v>8587</v>
      </c>
      <c r="G1945" s="6">
        <f t="shared" si="34"/>
        <v>-8587</v>
      </c>
      <c r="H1945" s="80"/>
    </row>
    <row r="1946" spans="1:8" x14ac:dyDescent="0.25">
      <c r="A1946" s="113">
        <v>44280</v>
      </c>
      <c r="B1946" s="10" t="s">
        <v>1400</v>
      </c>
      <c r="C1946" s="11" t="s">
        <v>438</v>
      </c>
      <c r="E1946" s="8">
        <v>24225</v>
      </c>
      <c r="G1946" s="6">
        <f t="shared" si="34"/>
        <v>24225</v>
      </c>
      <c r="H1946" s="124"/>
    </row>
    <row r="1947" spans="1:8" x14ac:dyDescent="0.25">
      <c r="A1947" s="113">
        <v>44301</v>
      </c>
      <c r="B1947" s="10" t="s">
        <v>6408</v>
      </c>
      <c r="C1947" s="11" t="s">
        <v>438</v>
      </c>
      <c r="E1947" s="8">
        <v>54726</v>
      </c>
      <c r="G1947" s="6">
        <f t="shared" si="34"/>
        <v>54726</v>
      </c>
      <c r="H1947" s="124"/>
    </row>
    <row r="1948" spans="1:8" x14ac:dyDescent="0.25">
      <c r="A1948" s="113">
        <v>44337</v>
      </c>
      <c r="B1948" s="10" t="s">
        <v>6511</v>
      </c>
      <c r="C1948" s="11" t="s">
        <v>438</v>
      </c>
      <c r="E1948" s="8">
        <v>153496</v>
      </c>
      <c r="G1948" s="6">
        <f t="shared" si="34"/>
        <v>153496</v>
      </c>
    </row>
    <row r="1949" spans="1:8" x14ac:dyDescent="0.25">
      <c r="A1949" s="113">
        <v>44347</v>
      </c>
      <c r="B1949" s="10" t="s">
        <v>6511</v>
      </c>
      <c r="C1949" s="11" t="s">
        <v>438</v>
      </c>
      <c r="E1949" s="8">
        <v>79600</v>
      </c>
      <c r="G1949" s="6">
        <f t="shared" ref="G1949:G2021" si="36">E1949-F1949</f>
        <v>79600</v>
      </c>
    </row>
    <row r="1950" spans="1:8" x14ac:dyDescent="0.25">
      <c r="A1950" s="113">
        <v>44350</v>
      </c>
      <c r="B1950" s="10" t="s">
        <v>1400</v>
      </c>
      <c r="C1950" s="11" t="s">
        <v>166</v>
      </c>
      <c r="E1950" s="8">
        <v>30000</v>
      </c>
      <c r="G1950" s="6">
        <f t="shared" si="36"/>
        <v>30000</v>
      </c>
    </row>
    <row r="1951" spans="1:8" x14ac:dyDescent="0.25">
      <c r="A1951" s="113">
        <v>44350</v>
      </c>
      <c r="B1951" s="10" t="s">
        <v>6720</v>
      </c>
      <c r="C1951" s="11" t="s">
        <v>1803</v>
      </c>
      <c r="F1951" s="9">
        <v>60288</v>
      </c>
      <c r="G1951" s="6">
        <f t="shared" si="36"/>
        <v>-60288</v>
      </c>
      <c r="H1951" s="7" t="s">
        <v>4470</v>
      </c>
    </row>
    <row r="1952" spans="1:8" x14ac:dyDescent="0.25">
      <c r="A1952" s="113">
        <v>44352</v>
      </c>
      <c r="B1952" s="10" t="s">
        <v>6408</v>
      </c>
      <c r="C1952" s="11" t="s">
        <v>3011</v>
      </c>
      <c r="E1952" s="8">
        <v>28567</v>
      </c>
      <c r="G1952" s="6">
        <f t="shared" si="36"/>
        <v>28567</v>
      </c>
    </row>
    <row r="1953" spans="1:8" x14ac:dyDescent="0.25">
      <c r="A1953" s="113">
        <v>44349</v>
      </c>
      <c r="B1953" s="10" t="s">
        <v>1400</v>
      </c>
      <c r="C1953" s="11" t="s">
        <v>5681</v>
      </c>
      <c r="D1953" s="768" t="s">
        <v>9283</v>
      </c>
      <c r="E1953" s="8">
        <v>4800</v>
      </c>
      <c r="G1953" s="6">
        <f t="shared" si="36"/>
        <v>4800</v>
      </c>
    </row>
    <row r="1954" spans="1:8" x14ac:dyDescent="0.25">
      <c r="A1954" s="113">
        <v>44352</v>
      </c>
      <c r="B1954" s="10" t="s">
        <v>6511</v>
      </c>
      <c r="C1954" s="11" t="s">
        <v>166</v>
      </c>
      <c r="E1954" s="8">
        <v>45420</v>
      </c>
      <c r="G1954" s="6">
        <f t="shared" si="36"/>
        <v>45420</v>
      </c>
    </row>
    <row r="1955" spans="1:8" x14ac:dyDescent="0.25">
      <c r="A1955" s="113">
        <v>44356</v>
      </c>
      <c r="B1955" s="10" t="s">
        <v>1400</v>
      </c>
      <c r="C1955" s="11" t="s">
        <v>438</v>
      </c>
      <c r="E1955" s="8">
        <v>19000</v>
      </c>
      <c r="G1955" s="6">
        <f t="shared" si="36"/>
        <v>19000</v>
      </c>
    </row>
    <row r="1956" spans="1:8" x14ac:dyDescent="0.25">
      <c r="A1956" s="113">
        <v>44361</v>
      </c>
      <c r="B1956" s="10" t="s">
        <v>1400</v>
      </c>
      <c r="C1956" s="11" t="s">
        <v>438</v>
      </c>
      <c r="E1956" s="8">
        <v>22000</v>
      </c>
      <c r="G1956" s="6">
        <f t="shared" si="36"/>
        <v>22000</v>
      </c>
    </row>
    <row r="1957" spans="1:8" x14ac:dyDescent="0.25">
      <c r="A1957" s="113">
        <v>44362</v>
      </c>
      <c r="B1957" s="10" t="s">
        <v>1400</v>
      </c>
      <c r="C1957" s="11" t="s">
        <v>438</v>
      </c>
      <c r="E1957" s="8">
        <v>38000</v>
      </c>
      <c r="G1957" s="6">
        <f t="shared" si="36"/>
        <v>38000</v>
      </c>
    </row>
    <row r="1958" spans="1:8" x14ac:dyDescent="0.25">
      <c r="A1958" s="113">
        <v>44362</v>
      </c>
      <c r="B1958" s="10" t="s">
        <v>6408</v>
      </c>
      <c r="C1958" s="11" t="s">
        <v>438</v>
      </c>
      <c r="E1958" s="8">
        <v>76000</v>
      </c>
      <c r="G1958" s="6">
        <f t="shared" si="36"/>
        <v>76000</v>
      </c>
    </row>
    <row r="1959" spans="1:8" x14ac:dyDescent="0.25">
      <c r="A1959" s="113">
        <v>44362</v>
      </c>
      <c r="B1959" s="10" t="s">
        <v>6511</v>
      </c>
      <c r="C1959" s="11" t="s">
        <v>438</v>
      </c>
      <c r="E1959" s="8">
        <v>36600</v>
      </c>
      <c r="G1959" s="6">
        <f t="shared" si="36"/>
        <v>36600</v>
      </c>
    </row>
    <row r="1960" spans="1:8" x14ac:dyDescent="0.25">
      <c r="A1960" s="113">
        <v>44355</v>
      </c>
      <c r="B1960" s="10" t="s">
        <v>6955</v>
      </c>
      <c r="C1960" s="11" t="s">
        <v>166</v>
      </c>
      <c r="E1960" s="8">
        <v>21600</v>
      </c>
      <c r="G1960" s="6">
        <f t="shared" si="36"/>
        <v>21600</v>
      </c>
    </row>
    <row r="1961" spans="1:8" x14ac:dyDescent="0.25">
      <c r="A1961" s="113">
        <v>44355</v>
      </c>
      <c r="B1961" s="10" t="s">
        <v>1400</v>
      </c>
      <c r="C1961" s="11" t="s">
        <v>166</v>
      </c>
      <c r="E1961" s="8">
        <v>19200</v>
      </c>
      <c r="G1961" s="6">
        <f t="shared" si="36"/>
        <v>19200</v>
      </c>
    </row>
    <row r="1962" spans="1:8" x14ac:dyDescent="0.25">
      <c r="A1962" s="113">
        <v>44363</v>
      </c>
      <c r="B1962" s="10" t="s">
        <v>6511</v>
      </c>
      <c r="C1962" s="11" t="s">
        <v>166</v>
      </c>
      <c r="E1962" s="8">
        <v>2775</v>
      </c>
      <c r="G1962" s="6">
        <f t="shared" si="36"/>
        <v>2775</v>
      </c>
    </row>
    <row r="1963" spans="1:8" x14ac:dyDescent="0.25">
      <c r="A1963" s="113">
        <v>44359</v>
      </c>
      <c r="B1963" s="10" t="s">
        <v>6511</v>
      </c>
      <c r="C1963" s="11" t="s">
        <v>166</v>
      </c>
      <c r="E1963" s="8">
        <v>9130</v>
      </c>
      <c r="G1963" s="6">
        <f t="shared" si="36"/>
        <v>9130</v>
      </c>
    </row>
    <row r="1964" spans="1:8" x14ac:dyDescent="0.25">
      <c r="A1964" s="113">
        <v>44341</v>
      </c>
      <c r="B1964" s="10" t="s">
        <v>1400</v>
      </c>
      <c r="C1964" s="11" t="s">
        <v>1803</v>
      </c>
      <c r="E1964" s="8">
        <v>20332</v>
      </c>
      <c r="G1964" s="6">
        <f t="shared" si="36"/>
        <v>20332</v>
      </c>
    </row>
    <row r="1965" spans="1:8" x14ac:dyDescent="0.25">
      <c r="A1965" s="113">
        <v>44345</v>
      </c>
      <c r="B1965" s="10" t="s">
        <v>6511</v>
      </c>
      <c r="C1965" s="11" t="s">
        <v>1803</v>
      </c>
      <c r="E1965" s="8">
        <v>33768</v>
      </c>
      <c r="G1965" s="6">
        <f t="shared" si="36"/>
        <v>33768</v>
      </c>
    </row>
    <row r="1966" spans="1:8" x14ac:dyDescent="0.25">
      <c r="A1966" s="113">
        <v>44350</v>
      </c>
      <c r="B1966" s="10" t="s">
        <v>6511</v>
      </c>
      <c r="C1966" s="11" t="s">
        <v>1803</v>
      </c>
      <c r="E1966" s="8">
        <v>982</v>
      </c>
      <c r="G1966" s="6">
        <f t="shared" si="36"/>
        <v>982</v>
      </c>
    </row>
    <row r="1967" spans="1:8" x14ac:dyDescent="0.25">
      <c r="A1967" s="113">
        <v>44365</v>
      </c>
      <c r="B1967" s="10" t="s">
        <v>6408</v>
      </c>
      <c r="C1967" s="11" t="s">
        <v>5681</v>
      </c>
      <c r="F1967" s="9">
        <v>46300</v>
      </c>
      <c r="G1967" s="6">
        <f t="shared" si="36"/>
        <v>-46300</v>
      </c>
      <c r="H1967" s="78"/>
    </row>
    <row r="1968" spans="1:8" x14ac:dyDescent="0.25">
      <c r="A1968" s="113">
        <v>44365</v>
      </c>
      <c r="B1968" s="10" t="s">
        <v>1400</v>
      </c>
      <c r="C1968" s="11" t="s">
        <v>5681</v>
      </c>
      <c r="F1968" s="9">
        <v>53700</v>
      </c>
      <c r="G1968" s="6">
        <f t="shared" si="36"/>
        <v>-53700</v>
      </c>
      <c r="H1968" s="80" t="s">
        <v>7016</v>
      </c>
    </row>
    <row r="1969" spans="1:8" x14ac:dyDescent="0.25">
      <c r="A1969" s="113">
        <v>44212</v>
      </c>
      <c r="B1969" s="10" t="s">
        <v>4721</v>
      </c>
      <c r="C1969" s="11" t="s">
        <v>1815</v>
      </c>
      <c r="F1969" s="9">
        <v>33746</v>
      </c>
      <c r="G1969" s="6">
        <f t="shared" si="36"/>
        <v>-33746</v>
      </c>
    </row>
    <row r="1970" spans="1:8" x14ac:dyDescent="0.25">
      <c r="A1970" s="113">
        <v>44372</v>
      </c>
      <c r="B1970" s="10" t="s">
        <v>6511</v>
      </c>
      <c r="C1970" s="11" t="s">
        <v>3011</v>
      </c>
      <c r="E1970" s="8">
        <v>82595</v>
      </c>
      <c r="G1970" s="6">
        <f t="shared" si="36"/>
        <v>82595</v>
      </c>
    </row>
    <row r="1971" spans="1:8" x14ac:dyDescent="0.25">
      <c r="A1971" s="113">
        <v>44372</v>
      </c>
      <c r="B1971" s="10" t="s">
        <v>1400</v>
      </c>
      <c r="C1971" s="11" t="s">
        <v>164</v>
      </c>
      <c r="E1971" s="8">
        <v>1000</v>
      </c>
      <c r="G1971" s="6">
        <f t="shared" si="36"/>
        <v>1000</v>
      </c>
    </row>
    <row r="1972" spans="1:8" x14ac:dyDescent="0.25">
      <c r="A1972" s="113">
        <v>44373</v>
      </c>
      <c r="B1972" s="10" t="s">
        <v>2933</v>
      </c>
      <c r="C1972" s="11" t="s">
        <v>6767</v>
      </c>
      <c r="F1972" s="9">
        <v>25000</v>
      </c>
      <c r="G1972" s="6">
        <f t="shared" si="36"/>
        <v>-25000</v>
      </c>
      <c r="H1972" s="7" t="s">
        <v>7113</v>
      </c>
    </row>
    <row r="1973" spans="1:8" x14ac:dyDescent="0.25">
      <c r="A1973" s="113">
        <v>44373</v>
      </c>
      <c r="B1973" s="10" t="s">
        <v>2933</v>
      </c>
      <c r="C1973" s="11" t="s">
        <v>6767</v>
      </c>
      <c r="F1973" s="9">
        <v>10000</v>
      </c>
      <c r="G1973" s="6">
        <f t="shared" si="36"/>
        <v>-10000</v>
      </c>
    </row>
    <row r="1974" spans="1:8" x14ac:dyDescent="0.25">
      <c r="A1974" s="113">
        <v>44373</v>
      </c>
      <c r="B1974" s="10" t="s">
        <v>2933</v>
      </c>
      <c r="C1974" s="11" t="s">
        <v>6767</v>
      </c>
      <c r="F1974" s="9">
        <v>1200</v>
      </c>
      <c r="G1974" s="6">
        <f t="shared" si="36"/>
        <v>-1200</v>
      </c>
      <c r="H1974" s="7" t="s">
        <v>4977</v>
      </c>
    </row>
    <row r="1975" spans="1:8" x14ac:dyDescent="0.25">
      <c r="A1975" s="113">
        <v>44373</v>
      </c>
      <c r="B1975" s="10" t="s">
        <v>6518</v>
      </c>
      <c r="C1975" s="11" t="s">
        <v>162</v>
      </c>
      <c r="F1975" s="9">
        <v>100000</v>
      </c>
      <c r="G1975" s="6">
        <f t="shared" si="36"/>
        <v>-100000</v>
      </c>
      <c r="H1975" s="7" t="s">
        <v>7030</v>
      </c>
    </row>
    <row r="1976" spans="1:8" x14ac:dyDescent="0.25">
      <c r="A1976" s="113">
        <v>44373</v>
      </c>
      <c r="B1976" s="10" t="s">
        <v>6511</v>
      </c>
      <c r="C1976" s="11" t="s">
        <v>5681</v>
      </c>
      <c r="D1976" s="768" t="s">
        <v>9282</v>
      </c>
      <c r="E1976" s="8">
        <v>128600</v>
      </c>
      <c r="G1976" s="6">
        <f t="shared" si="36"/>
        <v>128600</v>
      </c>
    </row>
    <row r="1977" spans="1:8" x14ac:dyDescent="0.25">
      <c r="A1977" s="113">
        <v>44372</v>
      </c>
      <c r="B1977" s="10" t="s">
        <v>6955</v>
      </c>
      <c r="C1977" s="11" t="s">
        <v>166</v>
      </c>
      <c r="E1977" s="8">
        <v>13200</v>
      </c>
      <c r="G1977" s="6">
        <f t="shared" si="36"/>
        <v>13200</v>
      </c>
    </row>
    <row r="1978" spans="1:8" x14ac:dyDescent="0.25">
      <c r="A1978" s="113">
        <v>44372</v>
      </c>
      <c r="B1978" s="10" t="s">
        <v>6511</v>
      </c>
      <c r="C1978" s="11" t="s">
        <v>166</v>
      </c>
      <c r="E1978" s="8">
        <v>13000</v>
      </c>
      <c r="G1978" s="6">
        <f t="shared" si="36"/>
        <v>13000</v>
      </c>
    </row>
    <row r="1979" spans="1:8" x14ac:dyDescent="0.25">
      <c r="A1979" s="113">
        <v>44361</v>
      </c>
      <c r="B1979" s="10" t="s">
        <v>6511</v>
      </c>
      <c r="C1979" s="11" t="s">
        <v>1803</v>
      </c>
      <c r="E1979" s="8">
        <v>50037</v>
      </c>
      <c r="G1979" s="6">
        <f t="shared" si="36"/>
        <v>50037</v>
      </c>
    </row>
    <row r="1980" spans="1:8" x14ac:dyDescent="0.25">
      <c r="A1980" s="113">
        <v>44368</v>
      </c>
      <c r="B1980" s="10" t="s">
        <v>1400</v>
      </c>
      <c r="C1980" s="11" t="s">
        <v>1803</v>
      </c>
      <c r="E1980" s="8">
        <v>34937</v>
      </c>
      <c r="G1980" s="6">
        <f t="shared" si="36"/>
        <v>34937</v>
      </c>
    </row>
    <row r="1981" spans="1:8" x14ac:dyDescent="0.25">
      <c r="A1981" s="113">
        <v>44371</v>
      </c>
      <c r="B1981" s="10" t="s">
        <v>6511</v>
      </c>
      <c r="C1981" s="11" t="s">
        <v>1803</v>
      </c>
      <c r="E1981" s="8">
        <v>7734</v>
      </c>
      <c r="G1981" s="6">
        <f t="shared" si="36"/>
        <v>7734</v>
      </c>
    </row>
    <row r="1982" spans="1:8" x14ac:dyDescent="0.25">
      <c r="A1982" s="113">
        <v>44373</v>
      </c>
      <c r="B1982" s="10" t="s">
        <v>6511</v>
      </c>
      <c r="C1982" s="11" t="s">
        <v>1803</v>
      </c>
      <c r="E1982" s="8">
        <v>3019</v>
      </c>
      <c r="G1982" s="6">
        <f t="shared" si="36"/>
        <v>3019</v>
      </c>
    </row>
    <row r="1983" spans="1:8" x14ac:dyDescent="0.25">
      <c r="A1983" s="113">
        <v>44377</v>
      </c>
      <c r="B1983" s="10" t="s">
        <v>6511</v>
      </c>
      <c r="C1983" s="11" t="s">
        <v>166</v>
      </c>
      <c r="E1983" s="8">
        <v>7920</v>
      </c>
      <c r="G1983" s="6">
        <f t="shared" si="36"/>
        <v>7920</v>
      </c>
    </row>
    <row r="1984" spans="1:8" x14ac:dyDescent="0.25">
      <c r="A1984" s="113">
        <v>44373</v>
      </c>
      <c r="B1984" s="10" t="s">
        <v>6955</v>
      </c>
      <c r="C1984" s="11" t="s">
        <v>438</v>
      </c>
      <c r="E1984" s="8">
        <v>21000</v>
      </c>
      <c r="G1984" s="6">
        <f t="shared" si="36"/>
        <v>21000</v>
      </c>
    </row>
    <row r="1985" spans="1:8" x14ac:dyDescent="0.25">
      <c r="A1985" s="113">
        <v>44377</v>
      </c>
      <c r="B1985" s="10" t="s">
        <v>3946</v>
      </c>
      <c r="C1985" s="11" t="s">
        <v>438</v>
      </c>
      <c r="E1985" s="8">
        <v>55300</v>
      </c>
      <c r="G1985" s="6">
        <f t="shared" si="36"/>
        <v>55300</v>
      </c>
    </row>
    <row r="1986" spans="1:8" x14ac:dyDescent="0.25">
      <c r="A1986" s="113">
        <v>44380</v>
      </c>
      <c r="B1986" s="10" t="s">
        <v>3946</v>
      </c>
      <c r="C1986" s="11" t="s">
        <v>438</v>
      </c>
      <c r="E1986" s="8">
        <v>193500</v>
      </c>
      <c r="G1986" s="6">
        <f t="shared" si="36"/>
        <v>193500</v>
      </c>
    </row>
    <row r="1987" spans="1:8" x14ac:dyDescent="0.25">
      <c r="A1987" s="113">
        <v>44381</v>
      </c>
      <c r="B1987" s="10" t="s">
        <v>6511</v>
      </c>
      <c r="C1987" s="11" t="s">
        <v>438</v>
      </c>
      <c r="E1987" s="8">
        <v>230800</v>
      </c>
      <c r="G1987" s="6">
        <f t="shared" si="36"/>
        <v>230800</v>
      </c>
    </row>
    <row r="1988" spans="1:8" x14ac:dyDescent="0.25">
      <c r="A1988" s="113">
        <v>44384</v>
      </c>
      <c r="B1988" s="10" t="s">
        <v>1400</v>
      </c>
      <c r="C1988" s="11" t="s">
        <v>164</v>
      </c>
      <c r="E1988" s="8">
        <v>21211</v>
      </c>
      <c r="G1988" s="6">
        <f t="shared" si="36"/>
        <v>21211</v>
      </c>
    </row>
    <row r="1989" spans="1:8" x14ac:dyDescent="0.25">
      <c r="A1989" s="113">
        <v>44383</v>
      </c>
      <c r="B1989" s="10" t="s">
        <v>6511</v>
      </c>
      <c r="C1989" s="11" t="s">
        <v>3011</v>
      </c>
      <c r="E1989" s="8">
        <v>11119</v>
      </c>
      <c r="G1989" s="6">
        <f t="shared" si="36"/>
        <v>11119</v>
      </c>
    </row>
    <row r="1990" spans="1:8" x14ac:dyDescent="0.25">
      <c r="A1990" s="113">
        <v>44387</v>
      </c>
      <c r="B1990" s="10" t="s">
        <v>3946</v>
      </c>
      <c r="C1990" s="11" t="s">
        <v>438</v>
      </c>
      <c r="E1990" s="8">
        <v>4000</v>
      </c>
      <c r="G1990" s="6">
        <f t="shared" si="36"/>
        <v>4000</v>
      </c>
    </row>
    <row r="1991" spans="1:8" x14ac:dyDescent="0.25">
      <c r="A1991" s="113">
        <v>44387</v>
      </c>
      <c r="B1991" s="10" t="s">
        <v>7067</v>
      </c>
      <c r="C1991" s="11" t="s">
        <v>438</v>
      </c>
      <c r="E1991" s="8">
        <v>30000</v>
      </c>
      <c r="G1991" s="6">
        <f t="shared" si="36"/>
        <v>30000</v>
      </c>
    </row>
    <row r="1992" spans="1:8" x14ac:dyDescent="0.25">
      <c r="A1992" s="113">
        <v>44390</v>
      </c>
      <c r="B1992" s="10" t="s">
        <v>6955</v>
      </c>
      <c r="C1992" s="11" t="s">
        <v>438</v>
      </c>
      <c r="E1992" s="8">
        <v>113360</v>
      </c>
      <c r="G1992" s="6">
        <f t="shared" si="36"/>
        <v>113360</v>
      </c>
    </row>
    <row r="1993" spans="1:8" x14ac:dyDescent="0.25">
      <c r="A1993" s="113">
        <v>44390</v>
      </c>
      <c r="B1993" s="10" t="s">
        <v>6955</v>
      </c>
      <c r="C1993" s="11" t="s">
        <v>164</v>
      </c>
      <c r="E1993" s="8">
        <v>17710</v>
      </c>
      <c r="G1993" s="6">
        <f t="shared" si="36"/>
        <v>17710</v>
      </c>
    </row>
    <row r="1994" spans="1:8" x14ac:dyDescent="0.25">
      <c r="A1994" s="113">
        <v>44392</v>
      </c>
      <c r="B1994" s="10" t="s">
        <v>6511</v>
      </c>
      <c r="C1994" s="11" t="s">
        <v>3011</v>
      </c>
      <c r="F1994" s="9">
        <v>75000</v>
      </c>
      <c r="G1994" s="6">
        <f t="shared" si="36"/>
        <v>-75000</v>
      </c>
      <c r="H1994" s="7" t="s">
        <v>1157</v>
      </c>
    </row>
    <row r="1995" spans="1:8" ht="16.5" thickBot="1" x14ac:dyDescent="0.3">
      <c r="A1995" s="113">
        <v>44391</v>
      </c>
      <c r="B1995" s="10" t="s">
        <v>6511</v>
      </c>
      <c r="C1995" s="11" t="s">
        <v>438</v>
      </c>
      <c r="E1995" s="8">
        <v>2710</v>
      </c>
      <c r="G1995" s="6">
        <f t="shared" si="36"/>
        <v>2710</v>
      </c>
    </row>
    <row r="1996" spans="1:8" x14ac:dyDescent="0.25">
      <c r="A1996" s="659">
        <v>44392</v>
      </c>
      <c r="B1996" s="660" t="s">
        <v>6511</v>
      </c>
      <c r="C1996" s="661" t="s">
        <v>166</v>
      </c>
      <c r="E1996" s="662"/>
      <c r="F1996" s="663">
        <v>92178</v>
      </c>
      <c r="G1996" s="664">
        <f t="shared" si="36"/>
        <v>-92178</v>
      </c>
      <c r="H1996" s="1183" t="s">
        <v>7139</v>
      </c>
    </row>
    <row r="1997" spans="1:8" x14ac:dyDescent="0.25">
      <c r="A1997" s="659">
        <v>44392</v>
      </c>
      <c r="B1997" s="660" t="s">
        <v>6955</v>
      </c>
      <c r="C1997" s="661" t="s">
        <v>166</v>
      </c>
      <c r="E1997" s="662"/>
      <c r="F1997" s="665">
        <v>34800</v>
      </c>
      <c r="G1997" s="664">
        <f t="shared" si="36"/>
        <v>-34800</v>
      </c>
      <c r="H1997" s="1184"/>
    </row>
    <row r="1998" spans="1:8" ht="16.5" thickBot="1" x14ac:dyDescent="0.3">
      <c r="A1998" s="659">
        <v>44392</v>
      </c>
      <c r="B1998" s="660" t="s">
        <v>1400</v>
      </c>
      <c r="C1998" s="661" t="s">
        <v>166</v>
      </c>
      <c r="E1998" s="662"/>
      <c r="F1998" s="666">
        <v>23022</v>
      </c>
      <c r="G1998" s="664">
        <f t="shared" si="36"/>
        <v>-23022</v>
      </c>
      <c r="H1998" s="1185"/>
    </row>
    <row r="1999" spans="1:8" x14ac:dyDescent="0.25">
      <c r="A1999" s="652">
        <v>44392</v>
      </c>
      <c r="B1999" s="653" t="s">
        <v>6511</v>
      </c>
      <c r="C1999" s="654" t="s">
        <v>438</v>
      </c>
      <c r="E1999" s="655"/>
      <c r="F1999" s="656">
        <f>480791-39410</f>
        <v>441381</v>
      </c>
      <c r="G1999" s="657">
        <f t="shared" si="36"/>
        <v>-441381</v>
      </c>
      <c r="H1999" s="1188" t="s">
        <v>7141</v>
      </c>
    </row>
    <row r="2000" spans="1:8" x14ac:dyDescent="0.25">
      <c r="A2000" s="652">
        <v>44392</v>
      </c>
      <c r="B2000" s="653" t="s">
        <v>6955</v>
      </c>
      <c r="C2000" s="654" t="s">
        <v>438</v>
      </c>
      <c r="E2000" s="655"/>
      <c r="F2000" s="673">
        <v>39410</v>
      </c>
      <c r="G2000" s="657">
        <f t="shared" si="36"/>
        <v>-39410</v>
      </c>
      <c r="H2000" s="1189"/>
    </row>
    <row r="2001" spans="1:8" ht="16.5" thickBot="1" x14ac:dyDescent="0.3">
      <c r="A2001" s="652">
        <v>44392</v>
      </c>
      <c r="B2001" s="653" t="s">
        <v>6408</v>
      </c>
      <c r="C2001" s="654" t="s">
        <v>438</v>
      </c>
      <c r="E2001" s="655"/>
      <c r="F2001" s="658">
        <v>40445</v>
      </c>
      <c r="G2001" s="657">
        <f t="shared" si="36"/>
        <v>-40445</v>
      </c>
      <c r="H2001" s="1190"/>
    </row>
    <row r="2002" spans="1:8" x14ac:dyDescent="0.25">
      <c r="A2002" s="659">
        <v>44392</v>
      </c>
      <c r="B2002" s="660" t="s">
        <v>6955</v>
      </c>
      <c r="C2002" s="661" t="s">
        <v>438</v>
      </c>
      <c r="E2002" s="662"/>
      <c r="F2002" s="663">
        <v>134360</v>
      </c>
      <c r="G2002" s="664">
        <f t="shared" si="36"/>
        <v>-134360</v>
      </c>
      <c r="H2002" s="1181" t="s">
        <v>7142</v>
      </c>
    </row>
    <row r="2003" spans="1:8" x14ac:dyDescent="0.25">
      <c r="A2003" s="659">
        <v>44392</v>
      </c>
      <c r="B2003" s="660" t="s">
        <v>1400</v>
      </c>
      <c r="C2003" s="661" t="s">
        <v>438</v>
      </c>
      <c r="E2003" s="662"/>
      <c r="F2003" s="665">
        <v>79000</v>
      </c>
      <c r="G2003" s="664">
        <f t="shared" si="36"/>
        <v>-79000</v>
      </c>
      <c r="H2003" s="1182"/>
    </row>
    <row r="2004" spans="1:8" x14ac:dyDescent="0.25">
      <c r="A2004" s="659">
        <v>44392</v>
      </c>
      <c r="B2004" s="660" t="s">
        <v>6408</v>
      </c>
      <c r="C2004" s="661" t="s">
        <v>438</v>
      </c>
      <c r="E2004" s="662"/>
      <c r="F2004" s="665">
        <v>35561</v>
      </c>
      <c r="G2004" s="664">
        <f t="shared" si="36"/>
        <v>-35561</v>
      </c>
      <c r="H2004" s="1182"/>
    </row>
    <row r="2005" spans="1:8" x14ac:dyDescent="0.25">
      <c r="A2005" s="659">
        <v>44392</v>
      </c>
      <c r="B2005" s="660" t="s">
        <v>3946</v>
      </c>
      <c r="C2005" s="661" t="s">
        <v>438</v>
      </c>
      <c r="E2005" s="662"/>
      <c r="F2005" s="665">
        <v>252800</v>
      </c>
      <c r="G2005" s="664">
        <f t="shared" si="36"/>
        <v>-252800</v>
      </c>
      <c r="H2005" s="1182"/>
    </row>
    <row r="2006" spans="1:8" ht="16.5" thickBot="1" x14ac:dyDescent="0.3">
      <c r="A2006" s="659">
        <v>44392</v>
      </c>
      <c r="B2006" s="660" t="s">
        <v>7067</v>
      </c>
      <c r="C2006" s="661" t="s">
        <v>438</v>
      </c>
      <c r="E2006" s="662"/>
      <c r="F2006" s="666">
        <v>209</v>
      </c>
      <c r="G2006" s="664">
        <f t="shared" si="36"/>
        <v>-209</v>
      </c>
      <c r="H2006" s="1182"/>
    </row>
    <row r="2007" spans="1:8" x14ac:dyDescent="0.25">
      <c r="A2007" s="113">
        <v>44392</v>
      </c>
      <c r="B2007" s="10" t="s">
        <v>6511</v>
      </c>
      <c r="C2007" s="11" t="s">
        <v>166</v>
      </c>
      <c r="E2007" s="8">
        <v>4760</v>
      </c>
      <c r="G2007" s="274">
        <f t="shared" si="36"/>
        <v>4760</v>
      </c>
    </row>
    <row r="2008" spans="1:8" x14ac:dyDescent="0.25">
      <c r="A2008" s="113">
        <v>44390</v>
      </c>
      <c r="B2008" s="10" t="s">
        <v>6508</v>
      </c>
      <c r="C2008" s="11" t="s">
        <v>180</v>
      </c>
      <c r="E2008" s="8">
        <v>246040</v>
      </c>
      <c r="G2008" s="274">
        <f t="shared" si="36"/>
        <v>246040</v>
      </c>
    </row>
    <row r="2009" spans="1:8" x14ac:dyDescent="0.25">
      <c r="A2009" s="113">
        <v>44405</v>
      </c>
      <c r="B2009" s="10" t="s">
        <v>1400</v>
      </c>
      <c r="C2009" s="11" t="s">
        <v>164</v>
      </c>
      <c r="E2009" s="8">
        <v>10716</v>
      </c>
      <c r="G2009" s="274">
        <f t="shared" si="36"/>
        <v>10716</v>
      </c>
    </row>
    <row r="2010" spans="1:8" x14ac:dyDescent="0.25">
      <c r="A2010" s="113">
        <v>44405</v>
      </c>
      <c r="B2010" s="10" t="s">
        <v>2933</v>
      </c>
      <c r="C2010" s="11" t="s">
        <v>164</v>
      </c>
      <c r="F2010" s="9">
        <v>10100</v>
      </c>
      <c r="G2010" s="274">
        <f t="shared" si="36"/>
        <v>-10100</v>
      </c>
      <c r="H2010" s="78"/>
    </row>
    <row r="2011" spans="1:8" x14ac:dyDescent="0.25">
      <c r="A2011" s="113">
        <v>44405</v>
      </c>
      <c r="B2011" s="10" t="s">
        <v>11</v>
      </c>
      <c r="C2011" s="11" t="s">
        <v>164</v>
      </c>
      <c r="F2011" s="9">
        <v>3293</v>
      </c>
      <c r="G2011" s="274">
        <f t="shared" si="36"/>
        <v>-3293</v>
      </c>
      <c r="H2011" s="79"/>
    </row>
    <row r="2012" spans="1:8" x14ac:dyDescent="0.25">
      <c r="A2012" s="113">
        <v>44405</v>
      </c>
      <c r="B2012" s="10" t="s">
        <v>2652</v>
      </c>
      <c r="C2012" s="11" t="s">
        <v>164</v>
      </c>
      <c r="F2012" s="9">
        <v>813</v>
      </c>
      <c r="G2012" s="274">
        <f t="shared" si="36"/>
        <v>-813</v>
      </c>
      <c r="H2012" s="79" t="s">
        <v>7180</v>
      </c>
    </row>
    <row r="2013" spans="1:8" x14ac:dyDescent="0.25">
      <c r="A2013" s="113">
        <v>44405</v>
      </c>
      <c r="B2013" s="10" t="s">
        <v>6955</v>
      </c>
      <c r="C2013" s="11" t="s">
        <v>164</v>
      </c>
      <c r="F2013" s="9">
        <v>17710</v>
      </c>
      <c r="G2013" s="274">
        <f t="shared" si="36"/>
        <v>-17710</v>
      </c>
      <c r="H2013" s="79"/>
    </row>
    <row r="2014" spans="1:8" x14ac:dyDescent="0.25">
      <c r="A2014" s="113">
        <v>44405</v>
      </c>
      <c r="B2014" s="10" t="s">
        <v>1400</v>
      </c>
      <c r="C2014" s="11" t="s">
        <v>164</v>
      </c>
      <c r="F2014" s="9">
        <v>28084</v>
      </c>
      <c r="G2014" s="274">
        <f t="shared" si="36"/>
        <v>-28084</v>
      </c>
      <c r="H2014" s="80"/>
    </row>
    <row r="2015" spans="1:8" x14ac:dyDescent="0.25">
      <c r="A2015" s="113">
        <v>44377</v>
      </c>
      <c r="B2015" s="10" t="s">
        <v>6511</v>
      </c>
      <c r="C2015" s="11" t="s">
        <v>1803</v>
      </c>
      <c r="E2015" s="8">
        <v>12141</v>
      </c>
      <c r="G2015" s="274">
        <f t="shared" si="36"/>
        <v>12141</v>
      </c>
    </row>
    <row r="2016" spans="1:8" x14ac:dyDescent="0.25">
      <c r="A2016" s="113">
        <v>44380</v>
      </c>
      <c r="B2016" s="10" t="s">
        <v>6508</v>
      </c>
      <c r="C2016" s="11" t="s">
        <v>1803</v>
      </c>
      <c r="E2016" s="8">
        <v>87672</v>
      </c>
      <c r="G2016" s="274">
        <f t="shared" si="36"/>
        <v>87672</v>
      </c>
    </row>
    <row r="2017" spans="1:8" x14ac:dyDescent="0.25">
      <c r="A2017" s="113">
        <v>44383</v>
      </c>
      <c r="B2017" s="10" t="s">
        <v>6508</v>
      </c>
      <c r="C2017" s="11" t="s">
        <v>1803</v>
      </c>
      <c r="E2017" s="8">
        <v>15308</v>
      </c>
      <c r="G2017" s="274">
        <f t="shared" si="36"/>
        <v>15308</v>
      </c>
    </row>
    <row r="2018" spans="1:8" x14ac:dyDescent="0.25">
      <c r="A2018" s="113">
        <v>44380</v>
      </c>
      <c r="B2018" s="10" t="s">
        <v>6508</v>
      </c>
      <c r="C2018" s="11" t="s">
        <v>1803</v>
      </c>
      <c r="F2018" s="9">
        <v>19745</v>
      </c>
      <c r="G2018" s="274">
        <f t="shared" si="36"/>
        <v>-19745</v>
      </c>
      <c r="H2018" s="7" t="s">
        <v>2320</v>
      </c>
    </row>
    <row r="2019" spans="1:8" x14ac:dyDescent="0.25">
      <c r="A2019" s="113">
        <v>44406</v>
      </c>
      <c r="B2019" s="10" t="s">
        <v>6955</v>
      </c>
      <c r="C2019" s="11" t="s">
        <v>164</v>
      </c>
      <c r="E2019" s="8">
        <v>9655</v>
      </c>
      <c r="G2019" s="6">
        <f t="shared" si="36"/>
        <v>9655</v>
      </c>
    </row>
    <row r="2020" spans="1:8" x14ac:dyDescent="0.25">
      <c r="A2020" s="113">
        <v>44405</v>
      </c>
      <c r="B2020" s="10" t="s">
        <v>6955</v>
      </c>
      <c r="C2020" s="11" t="s">
        <v>438</v>
      </c>
      <c r="E2020" s="8">
        <v>56900</v>
      </c>
      <c r="G2020" s="6">
        <f t="shared" si="36"/>
        <v>56900</v>
      </c>
    </row>
    <row r="2021" spans="1:8" x14ac:dyDescent="0.25">
      <c r="A2021" s="113">
        <v>44411</v>
      </c>
      <c r="B2021" s="10" t="s">
        <v>6955</v>
      </c>
      <c r="C2021" s="11" t="s">
        <v>438</v>
      </c>
      <c r="E2021" s="8">
        <v>22000</v>
      </c>
      <c r="G2021" s="6">
        <f t="shared" si="36"/>
        <v>22000</v>
      </c>
    </row>
    <row r="2022" spans="1:8" x14ac:dyDescent="0.25">
      <c r="A2022" s="113">
        <v>44419</v>
      </c>
      <c r="B2022" s="10" t="s">
        <v>1400</v>
      </c>
      <c r="C2022" s="11" t="s">
        <v>5681</v>
      </c>
      <c r="D2022" s="768" t="s">
        <v>9281</v>
      </c>
      <c r="E2022" s="8">
        <v>3000</v>
      </c>
      <c r="G2022" s="6">
        <f t="shared" ref="G2022:G2055" si="37">E2022-F2022</f>
        <v>3000</v>
      </c>
    </row>
    <row r="2023" spans="1:8" x14ac:dyDescent="0.25">
      <c r="A2023" s="113">
        <v>44419</v>
      </c>
      <c r="B2023" s="10" t="s">
        <v>6408</v>
      </c>
      <c r="C2023" s="11" t="s">
        <v>5681</v>
      </c>
      <c r="D2023" s="768" t="s">
        <v>9280</v>
      </c>
      <c r="E2023" s="8">
        <v>9500</v>
      </c>
      <c r="G2023" s="6">
        <f t="shared" si="37"/>
        <v>9500</v>
      </c>
    </row>
    <row r="2024" spans="1:8" x14ac:dyDescent="0.25">
      <c r="A2024" s="113">
        <v>44419</v>
      </c>
      <c r="B2024" s="10" t="s">
        <v>6408</v>
      </c>
      <c r="C2024" s="11" t="s">
        <v>7242</v>
      </c>
      <c r="E2024" s="8">
        <v>2404</v>
      </c>
      <c r="G2024" s="6">
        <f t="shared" si="37"/>
        <v>2404</v>
      </c>
    </row>
    <row r="2025" spans="1:8" x14ac:dyDescent="0.25">
      <c r="A2025" s="113">
        <v>44419</v>
      </c>
      <c r="B2025" s="10" t="s">
        <v>1400</v>
      </c>
      <c r="C2025" s="11" t="s">
        <v>7242</v>
      </c>
      <c r="E2025" s="8">
        <v>17273</v>
      </c>
      <c r="G2025" s="6">
        <f t="shared" si="37"/>
        <v>17273</v>
      </c>
    </row>
    <row r="2026" spans="1:8" x14ac:dyDescent="0.25">
      <c r="A2026" s="113">
        <v>44419</v>
      </c>
      <c r="B2026" s="10" t="s">
        <v>7112</v>
      </c>
      <c r="C2026" s="11" t="s">
        <v>7242</v>
      </c>
      <c r="E2026" s="8">
        <v>153871</v>
      </c>
      <c r="G2026" s="6">
        <f t="shared" si="37"/>
        <v>153871</v>
      </c>
    </row>
    <row r="2027" spans="1:8" x14ac:dyDescent="0.25">
      <c r="A2027" s="113">
        <v>44419</v>
      </c>
      <c r="B2027" s="10" t="s">
        <v>6955</v>
      </c>
      <c r="C2027" s="11" t="s">
        <v>7242</v>
      </c>
      <c r="E2027" s="8">
        <v>253657</v>
      </c>
      <c r="G2027" s="6">
        <f t="shared" si="37"/>
        <v>253657</v>
      </c>
    </row>
    <row r="2028" spans="1:8" x14ac:dyDescent="0.25">
      <c r="A2028" s="113">
        <v>44407</v>
      </c>
      <c r="B2028" s="10" t="s">
        <v>6955</v>
      </c>
      <c r="C2028" s="11" t="s">
        <v>7242</v>
      </c>
      <c r="F2028" s="9">
        <v>200000</v>
      </c>
      <c r="G2028" s="6">
        <f t="shared" si="37"/>
        <v>-200000</v>
      </c>
      <c r="H2028" s="7" t="s">
        <v>7193</v>
      </c>
    </row>
    <row r="2029" spans="1:8" x14ac:dyDescent="0.25">
      <c r="A2029" s="113">
        <v>44420</v>
      </c>
      <c r="B2029" s="10" t="s">
        <v>7112</v>
      </c>
      <c r="C2029" s="11" t="s">
        <v>7242</v>
      </c>
      <c r="F2029" s="9">
        <v>100000</v>
      </c>
      <c r="G2029" s="6">
        <f t="shared" si="37"/>
        <v>-100000</v>
      </c>
      <c r="H2029" s="7" t="s">
        <v>7243</v>
      </c>
    </row>
    <row r="2030" spans="1:8" x14ac:dyDescent="0.25">
      <c r="A2030" s="113">
        <v>44425</v>
      </c>
      <c r="B2030" s="10" t="s">
        <v>6511</v>
      </c>
      <c r="C2030" s="11" t="s">
        <v>438</v>
      </c>
      <c r="F2030" s="9">
        <v>39410</v>
      </c>
      <c r="G2030" s="6">
        <f t="shared" si="37"/>
        <v>-39410</v>
      </c>
      <c r="H2030" s="7" t="s">
        <v>6506</v>
      </c>
    </row>
    <row r="2031" spans="1:8" x14ac:dyDescent="0.25">
      <c r="A2031" s="113">
        <v>44389</v>
      </c>
      <c r="B2031" s="10" t="s">
        <v>6955</v>
      </c>
      <c r="C2031" s="11" t="s">
        <v>166</v>
      </c>
      <c r="E2031" s="8">
        <v>8175</v>
      </c>
      <c r="G2031" s="6">
        <f t="shared" si="37"/>
        <v>8175</v>
      </c>
    </row>
    <row r="2032" spans="1:8" x14ac:dyDescent="0.25">
      <c r="A2032" s="113">
        <v>44389</v>
      </c>
      <c r="B2032" s="10" t="s">
        <v>6955</v>
      </c>
      <c r="C2032" s="11" t="s">
        <v>169</v>
      </c>
      <c r="E2032" s="8">
        <v>19000</v>
      </c>
      <c r="G2032" s="6">
        <f t="shared" si="37"/>
        <v>19000</v>
      </c>
    </row>
    <row r="2033" spans="1:8" x14ac:dyDescent="0.25">
      <c r="A2033" s="113">
        <v>44389</v>
      </c>
      <c r="B2033" s="10" t="s">
        <v>6955</v>
      </c>
      <c r="C2033" s="11" t="s">
        <v>7242</v>
      </c>
      <c r="E2033" s="8">
        <v>10800</v>
      </c>
      <c r="G2033" s="6">
        <f t="shared" si="37"/>
        <v>10800</v>
      </c>
    </row>
    <row r="2034" spans="1:8" x14ac:dyDescent="0.25">
      <c r="A2034" s="113">
        <v>44394</v>
      </c>
      <c r="B2034" s="10" t="s">
        <v>6955</v>
      </c>
      <c r="C2034" s="11" t="s">
        <v>438</v>
      </c>
      <c r="E2034" s="8">
        <v>58300</v>
      </c>
      <c r="G2034" s="6">
        <f t="shared" si="37"/>
        <v>58300</v>
      </c>
    </row>
    <row r="2035" spans="1:8" x14ac:dyDescent="0.25">
      <c r="A2035" s="113">
        <v>44431</v>
      </c>
      <c r="B2035" s="10" t="s">
        <v>6955</v>
      </c>
      <c r="C2035" s="11" t="s">
        <v>7242</v>
      </c>
      <c r="F2035" s="9">
        <v>50000</v>
      </c>
      <c r="G2035" s="6">
        <f t="shared" si="37"/>
        <v>-50000</v>
      </c>
      <c r="H2035" s="1196" t="s">
        <v>7253</v>
      </c>
    </row>
    <row r="2036" spans="1:8" x14ac:dyDescent="0.25">
      <c r="A2036" s="113">
        <v>44431</v>
      </c>
      <c r="B2036" s="10" t="s">
        <v>7112</v>
      </c>
      <c r="C2036" s="11" t="s">
        <v>7242</v>
      </c>
      <c r="F2036" s="9">
        <v>50000</v>
      </c>
      <c r="G2036" s="6">
        <f t="shared" si="37"/>
        <v>-50000</v>
      </c>
      <c r="H2036" s="1196"/>
    </row>
    <row r="2037" spans="1:8" x14ac:dyDescent="0.25">
      <c r="A2037" s="113">
        <v>44406</v>
      </c>
      <c r="B2037" s="10" t="s">
        <v>6511</v>
      </c>
      <c r="C2037" s="11" t="s">
        <v>438</v>
      </c>
      <c r="E2037" s="8">
        <v>18500</v>
      </c>
      <c r="G2037" s="6">
        <f t="shared" si="37"/>
        <v>18500</v>
      </c>
    </row>
    <row r="2038" spans="1:8" x14ac:dyDescent="0.25">
      <c r="A2038" s="113">
        <v>44382</v>
      </c>
      <c r="B2038" s="10" t="s">
        <v>6511</v>
      </c>
      <c r="C2038" s="11" t="s">
        <v>438</v>
      </c>
      <c r="E2038" s="8">
        <v>10900</v>
      </c>
      <c r="G2038" s="6">
        <f t="shared" si="37"/>
        <v>10900</v>
      </c>
    </row>
    <row r="2039" spans="1:8" x14ac:dyDescent="0.25">
      <c r="A2039" s="113">
        <v>44382</v>
      </c>
      <c r="B2039" s="10" t="s">
        <v>6511</v>
      </c>
      <c r="C2039" s="11" t="s">
        <v>438</v>
      </c>
      <c r="E2039" s="8">
        <v>15900</v>
      </c>
      <c r="G2039" s="6">
        <f t="shared" si="37"/>
        <v>15900</v>
      </c>
    </row>
    <row r="2040" spans="1:8" x14ac:dyDescent="0.25">
      <c r="A2040" s="113">
        <v>44413</v>
      </c>
      <c r="B2040" s="10" t="s">
        <v>6955</v>
      </c>
      <c r="C2040" s="11" t="s">
        <v>438</v>
      </c>
      <c r="E2040" s="8">
        <v>44500</v>
      </c>
      <c r="G2040" s="6">
        <f t="shared" si="37"/>
        <v>44500</v>
      </c>
    </row>
    <row r="2041" spans="1:8" x14ac:dyDescent="0.25">
      <c r="A2041" s="113">
        <v>44417</v>
      </c>
      <c r="B2041" s="10" t="s">
        <v>6408</v>
      </c>
      <c r="C2041" s="11" t="s">
        <v>438</v>
      </c>
      <c r="E2041" s="8">
        <v>87105</v>
      </c>
      <c r="G2041" s="6">
        <f t="shared" si="37"/>
        <v>87105</v>
      </c>
    </row>
    <row r="2042" spans="1:8" x14ac:dyDescent="0.25">
      <c r="A2042" s="113">
        <v>44420</v>
      </c>
      <c r="B2042" s="10" t="s">
        <v>1400</v>
      </c>
      <c r="C2042" s="11" t="s">
        <v>438</v>
      </c>
      <c r="E2042" s="8">
        <v>170800</v>
      </c>
      <c r="G2042" s="6">
        <f t="shared" si="37"/>
        <v>170800</v>
      </c>
    </row>
    <row r="2043" spans="1:8" x14ac:dyDescent="0.25">
      <c r="A2043" s="113">
        <v>44420</v>
      </c>
      <c r="B2043" s="10" t="s">
        <v>1400</v>
      </c>
      <c r="C2043" s="11" t="s">
        <v>1803</v>
      </c>
      <c r="F2043" s="9">
        <v>485000</v>
      </c>
      <c r="G2043" s="6">
        <f t="shared" si="37"/>
        <v>-485000</v>
      </c>
      <c r="H2043" s="7" t="s">
        <v>7266</v>
      </c>
    </row>
    <row r="2044" spans="1:8" x14ac:dyDescent="0.25">
      <c r="A2044" s="113">
        <v>44455</v>
      </c>
      <c r="B2044" s="10" t="s">
        <v>2652</v>
      </c>
      <c r="C2044" s="11" t="s">
        <v>180</v>
      </c>
      <c r="F2044" s="9">
        <v>30210</v>
      </c>
      <c r="G2044" s="6">
        <f t="shared" si="37"/>
        <v>-30210</v>
      </c>
      <c r="H2044" s="7" t="s">
        <v>7290</v>
      </c>
    </row>
    <row r="2045" spans="1:8" x14ac:dyDescent="0.25">
      <c r="A2045" s="113">
        <v>44391</v>
      </c>
      <c r="B2045" s="10" t="s">
        <v>6955</v>
      </c>
      <c r="C2045" s="11" t="s">
        <v>166</v>
      </c>
      <c r="E2045" s="8">
        <v>28800</v>
      </c>
      <c r="G2045" s="6">
        <f t="shared" si="37"/>
        <v>28800</v>
      </c>
    </row>
    <row r="2046" spans="1:8" x14ac:dyDescent="0.25">
      <c r="A2046" s="113">
        <v>44392</v>
      </c>
      <c r="B2046" s="10" t="s">
        <v>7112</v>
      </c>
      <c r="C2046" s="11" t="s">
        <v>166</v>
      </c>
      <c r="E2046" s="8">
        <v>23400</v>
      </c>
      <c r="G2046" s="6">
        <f t="shared" si="37"/>
        <v>23400</v>
      </c>
    </row>
    <row r="2047" spans="1:8" x14ac:dyDescent="0.25">
      <c r="A2047" s="113">
        <v>44403</v>
      </c>
      <c r="B2047" s="10" t="s">
        <v>6955</v>
      </c>
      <c r="C2047" s="11" t="s">
        <v>166</v>
      </c>
      <c r="E2047" s="8">
        <v>21000</v>
      </c>
      <c r="G2047" s="6">
        <f t="shared" si="37"/>
        <v>21000</v>
      </c>
    </row>
    <row r="2048" spans="1:8" x14ac:dyDescent="0.25">
      <c r="A2048" s="113">
        <v>44403</v>
      </c>
      <c r="B2048" s="10" t="s">
        <v>1400</v>
      </c>
      <c r="C2048" s="11" t="s">
        <v>166</v>
      </c>
      <c r="E2048" s="8">
        <v>12780</v>
      </c>
      <c r="G2048" s="6">
        <f t="shared" si="37"/>
        <v>12780</v>
      </c>
    </row>
    <row r="2049" spans="1:8" x14ac:dyDescent="0.25">
      <c r="A2049" s="113">
        <v>44404</v>
      </c>
      <c r="B2049" s="10" t="s">
        <v>6955</v>
      </c>
      <c r="C2049" s="11" t="s">
        <v>166</v>
      </c>
      <c r="E2049" s="8">
        <v>7380</v>
      </c>
      <c r="G2049" s="6">
        <f t="shared" si="37"/>
        <v>7380</v>
      </c>
    </row>
    <row r="2050" spans="1:8" x14ac:dyDescent="0.25">
      <c r="A2050" s="113">
        <v>44405</v>
      </c>
      <c r="B2050" s="10" t="s">
        <v>6955</v>
      </c>
      <c r="C2050" s="11" t="s">
        <v>166</v>
      </c>
      <c r="E2050" s="8">
        <v>6800</v>
      </c>
      <c r="G2050" s="6">
        <f t="shared" si="37"/>
        <v>6800</v>
      </c>
    </row>
    <row r="2051" spans="1:8" x14ac:dyDescent="0.25">
      <c r="A2051" s="113">
        <v>44406</v>
      </c>
      <c r="B2051" s="10" t="s">
        <v>6955</v>
      </c>
      <c r="C2051" s="11" t="s">
        <v>166</v>
      </c>
      <c r="E2051" s="8">
        <v>30725</v>
      </c>
      <c r="G2051" s="6">
        <f t="shared" si="37"/>
        <v>30725</v>
      </c>
    </row>
    <row r="2052" spans="1:8" x14ac:dyDescent="0.25">
      <c r="A2052" s="113">
        <v>44406</v>
      </c>
      <c r="B2052" s="10" t="s">
        <v>6511</v>
      </c>
      <c r="C2052" s="11" t="s">
        <v>166</v>
      </c>
      <c r="E2052" s="8">
        <v>1995</v>
      </c>
      <c r="G2052" s="6">
        <f t="shared" si="37"/>
        <v>1995</v>
      </c>
    </row>
    <row r="2053" spans="1:8" x14ac:dyDescent="0.25">
      <c r="A2053" s="113">
        <v>44407</v>
      </c>
      <c r="B2053" s="10" t="s">
        <v>6955</v>
      </c>
      <c r="C2053" s="11" t="s">
        <v>166</v>
      </c>
      <c r="E2053" s="8">
        <v>13000</v>
      </c>
      <c r="G2053" s="6">
        <f t="shared" si="37"/>
        <v>13000</v>
      </c>
    </row>
    <row r="2054" spans="1:8" x14ac:dyDescent="0.25">
      <c r="A2054" s="113">
        <v>44412</v>
      </c>
      <c r="B2054" s="10" t="s">
        <v>6955</v>
      </c>
      <c r="C2054" s="11" t="s">
        <v>166</v>
      </c>
      <c r="E2054" s="8">
        <v>7800</v>
      </c>
      <c r="G2054" s="6">
        <f t="shared" si="37"/>
        <v>7800</v>
      </c>
    </row>
    <row r="2055" spans="1:8" x14ac:dyDescent="0.25">
      <c r="A2055" s="113">
        <v>44419</v>
      </c>
      <c r="B2055" s="10" t="s">
        <v>6408</v>
      </c>
      <c r="C2055" s="11" t="s">
        <v>166</v>
      </c>
      <c r="E2055" s="8">
        <v>13600</v>
      </c>
      <c r="G2055" s="6">
        <f t="shared" si="37"/>
        <v>13600</v>
      </c>
    </row>
    <row r="2056" spans="1:8" x14ac:dyDescent="0.25">
      <c r="A2056" s="113">
        <v>44429</v>
      </c>
      <c r="B2056" s="10" t="s">
        <v>7112</v>
      </c>
      <c r="C2056" s="11" t="s">
        <v>166</v>
      </c>
      <c r="E2056" s="8">
        <v>23400</v>
      </c>
      <c r="G2056" s="6">
        <f t="shared" ref="G2056:G2089" si="38">E2056-F2056</f>
        <v>23400</v>
      </c>
    </row>
    <row r="2057" spans="1:8" x14ac:dyDescent="0.25">
      <c r="A2057" s="113">
        <v>44380</v>
      </c>
      <c r="B2057" s="10" t="s">
        <v>7067</v>
      </c>
      <c r="C2057" s="11" t="s">
        <v>166</v>
      </c>
      <c r="E2057" s="8">
        <v>22290</v>
      </c>
      <c r="G2057" s="6">
        <f t="shared" si="38"/>
        <v>22290</v>
      </c>
    </row>
    <row r="2058" spans="1:8" x14ac:dyDescent="0.25">
      <c r="A2058" s="113">
        <v>44455</v>
      </c>
      <c r="B2058" s="10" t="s">
        <v>6508</v>
      </c>
      <c r="C2058" s="11" t="s">
        <v>180</v>
      </c>
      <c r="F2058" s="9">
        <v>250000</v>
      </c>
      <c r="G2058" s="6">
        <f t="shared" si="38"/>
        <v>-250000</v>
      </c>
      <c r="H2058" s="7" t="s">
        <v>7294</v>
      </c>
    </row>
    <row r="2059" spans="1:8" x14ac:dyDescent="0.25">
      <c r="A2059" s="113">
        <v>44455</v>
      </c>
      <c r="B2059" s="10" t="s">
        <v>6511</v>
      </c>
      <c r="C2059" s="11" t="s">
        <v>438</v>
      </c>
      <c r="E2059" s="8">
        <v>92500</v>
      </c>
      <c r="G2059" s="6">
        <f t="shared" si="38"/>
        <v>92500</v>
      </c>
    </row>
    <row r="2060" spans="1:8" x14ac:dyDescent="0.25">
      <c r="A2060" s="113">
        <v>44456</v>
      </c>
      <c r="B2060" s="10" t="s">
        <v>6955</v>
      </c>
      <c r="C2060" s="11" t="s">
        <v>438</v>
      </c>
      <c r="F2060" s="9">
        <v>142290</v>
      </c>
      <c r="G2060" s="6">
        <f t="shared" si="38"/>
        <v>-142290</v>
      </c>
      <c r="H2060" s="1192" t="s">
        <v>7300</v>
      </c>
    </row>
    <row r="2061" spans="1:8" x14ac:dyDescent="0.25">
      <c r="A2061" s="113">
        <v>44456</v>
      </c>
      <c r="B2061" s="10" t="s">
        <v>6511</v>
      </c>
      <c r="C2061" s="11" t="s">
        <v>438</v>
      </c>
      <c r="F2061" s="9">
        <v>137800</v>
      </c>
      <c r="G2061" s="6">
        <f t="shared" si="38"/>
        <v>-137800</v>
      </c>
      <c r="H2061" s="1193"/>
    </row>
    <row r="2062" spans="1:8" x14ac:dyDescent="0.25">
      <c r="A2062" s="113">
        <v>44456</v>
      </c>
      <c r="B2062" s="10" t="s">
        <v>7067</v>
      </c>
      <c r="C2062" s="11" t="s">
        <v>438</v>
      </c>
      <c r="F2062" s="9">
        <v>29791</v>
      </c>
      <c r="G2062" s="6">
        <f t="shared" si="38"/>
        <v>-29791</v>
      </c>
      <c r="H2062" s="1193"/>
    </row>
    <row r="2063" spans="1:8" x14ac:dyDescent="0.25">
      <c r="A2063" s="113">
        <v>44456</v>
      </c>
      <c r="B2063" s="10" t="s">
        <v>6408</v>
      </c>
      <c r="C2063" s="11" t="s">
        <v>438</v>
      </c>
      <c r="F2063" s="9">
        <v>87105</v>
      </c>
      <c r="G2063" s="6">
        <f t="shared" si="38"/>
        <v>-87105</v>
      </c>
      <c r="H2063" s="1193"/>
    </row>
    <row r="2064" spans="1:8" x14ac:dyDescent="0.25">
      <c r="A2064" s="113">
        <v>44456</v>
      </c>
      <c r="B2064" s="10" t="s">
        <v>1400</v>
      </c>
      <c r="C2064" s="11" t="s">
        <v>438</v>
      </c>
      <c r="F2064" s="9">
        <v>3014</v>
      </c>
      <c r="G2064" s="6">
        <f t="shared" si="38"/>
        <v>-3014</v>
      </c>
      <c r="H2064" s="1194"/>
    </row>
    <row r="2065" spans="1:8" x14ac:dyDescent="0.25">
      <c r="A2065" s="113">
        <v>44456</v>
      </c>
      <c r="B2065" s="10" t="s">
        <v>6518</v>
      </c>
      <c r="C2065" s="11" t="s">
        <v>162</v>
      </c>
      <c r="F2065" s="9">
        <v>45000</v>
      </c>
      <c r="G2065" s="6">
        <f t="shared" si="38"/>
        <v>-45000</v>
      </c>
    </row>
    <row r="2066" spans="1:8" x14ac:dyDescent="0.25">
      <c r="A2066" s="113">
        <v>44458</v>
      </c>
      <c r="B2066" s="10" t="s">
        <v>1400</v>
      </c>
      <c r="C2066" s="11" t="s">
        <v>1815</v>
      </c>
      <c r="D2066" s="769" t="s">
        <v>8175</v>
      </c>
      <c r="E2066" s="8">
        <v>17148</v>
      </c>
      <c r="G2066" s="6">
        <f>E2066-F2066</f>
        <v>17148</v>
      </c>
    </row>
    <row r="2067" spans="1:8" x14ac:dyDescent="0.25">
      <c r="A2067" s="113">
        <v>44392</v>
      </c>
      <c r="B2067" s="10" t="s">
        <v>6508</v>
      </c>
      <c r="C2067" s="11" t="s">
        <v>1803</v>
      </c>
      <c r="E2067" s="8">
        <v>1664</v>
      </c>
      <c r="G2067" s="6">
        <f t="shared" si="38"/>
        <v>1664</v>
      </c>
    </row>
    <row r="2068" spans="1:8" x14ac:dyDescent="0.25">
      <c r="A2068" s="113">
        <v>44410</v>
      </c>
      <c r="B2068" s="10" t="s">
        <v>6408</v>
      </c>
      <c r="C2068" s="11" t="s">
        <v>1803</v>
      </c>
      <c r="E2068" s="8">
        <v>46108</v>
      </c>
      <c r="G2068" s="6">
        <f t="shared" si="38"/>
        <v>46108</v>
      </c>
    </row>
    <row r="2069" spans="1:8" x14ac:dyDescent="0.25">
      <c r="A2069" s="113">
        <v>44411</v>
      </c>
      <c r="B2069" s="10" t="s">
        <v>6508</v>
      </c>
      <c r="C2069" s="11" t="s">
        <v>1803</v>
      </c>
      <c r="E2069" s="8">
        <v>32518</v>
      </c>
      <c r="G2069" s="6">
        <f t="shared" si="38"/>
        <v>32518</v>
      </c>
    </row>
    <row r="2070" spans="1:8" x14ac:dyDescent="0.25">
      <c r="A2070" s="113">
        <v>44418</v>
      </c>
      <c r="B2070" s="10" t="s">
        <v>1400</v>
      </c>
      <c r="C2070" s="11" t="s">
        <v>1803</v>
      </c>
      <c r="E2070" s="8">
        <v>16360</v>
      </c>
      <c r="G2070" s="6">
        <f t="shared" si="38"/>
        <v>16360</v>
      </c>
    </row>
    <row r="2071" spans="1:8" x14ac:dyDescent="0.25">
      <c r="A2071" s="113">
        <v>44424</v>
      </c>
      <c r="B2071" s="10" t="s">
        <v>6408</v>
      </c>
      <c r="C2071" s="11" t="s">
        <v>1803</v>
      </c>
      <c r="E2071" s="8">
        <v>12103</v>
      </c>
      <c r="G2071" s="6">
        <f t="shared" si="38"/>
        <v>12103</v>
      </c>
    </row>
    <row r="2072" spans="1:8" x14ac:dyDescent="0.25">
      <c r="A2072" s="113">
        <v>44424</v>
      </c>
      <c r="B2072" s="10" t="s">
        <v>6508</v>
      </c>
      <c r="C2072" s="11" t="s">
        <v>1803</v>
      </c>
      <c r="E2072" s="8">
        <v>96855</v>
      </c>
      <c r="G2072" s="6">
        <f t="shared" si="38"/>
        <v>96855</v>
      </c>
    </row>
    <row r="2073" spans="1:8" x14ac:dyDescent="0.25">
      <c r="A2073" s="113">
        <v>44429</v>
      </c>
      <c r="B2073" s="10" t="s">
        <v>6508</v>
      </c>
      <c r="C2073" s="11" t="s">
        <v>1803</v>
      </c>
      <c r="E2073" s="8">
        <v>1756</v>
      </c>
      <c r="G2073" s="6">
        <f t="shared" si="38"/>
        <v>1756</v>
      </c>
    </row>
    <row r="2074" spans="1:8" x14ac:dyDescent="0.25">
      <c r="A2074" s="113">
        <v>44431</v>
      </c>
      <c r="B2074" s="10" t="s">
        <v>6508</v>
      </c>
      <c r="C2074" s="11" t="s">
        <v>1803</v>
      </c>
      <c r="E2074" s="8">
        <v>1343</v>
      </c>
      <c r="G2074" s="6">
        <f t="shared" si="38"/>
        <v>1343</v>
      </c>
    </row>
    <row r="2075" spans="1:8" x14ac:dyDescent="0.25">
      <c r="A2075" s="113">
        <v>44440</v>
      </c>
      <c r="B2075" s="10" t="s">
        <v>1400</v>
      </c>
      <c r="C2075" s="11" t="s">
        <v>1803</v>
      </c>
      <c r="E2075" s="8">
        <v>1827</v>
      </c>
      <c r="G2075" s="6">
        <f t="shared" si="38"/>
        <v>1827</v>
      </c>
    </row>
    <row r="2076" spans="1:8" x14ac:dyDescent="0.25">
      <c r="A2076" s="113">
        <v>44439</v>
      </c>
      <c r="B2076" s="10" t="s">
        <v>6511</v>
      </c>
      <c r="C2076" s="11" t="s">
        <v>1803</v>
      </c>
      <c r="F2076" s="9">
        <v>33680</v>
      </c>
      <c r="G2076" s="6">
        <f t="shared" si="38"/>
        <v>-33680</v>
      </c>
      <c r="H2076" s="7" t="s">
        <v>6506</v>
      </c>
    </row>
    <row r="2077" spans="1:8" x14ac:dyDescent="0.25">
      <c r="A2077" s="113">
        <v>44460</v>
      </c>
      <c r="B2077" s="10" t="s">
        <v>7112</v>
      </c>
      <c r="C2077" s="11" t="s">
        <v>166</v>
      </c>
      <c r="F2077" s="9">
        <v>46800</v>
      </c>
      <c r="G2077" s="6">
        <f t="shared" si="38"/>
        <v>-46800</v>
      </c>
      <c r="H2077" s="1197" t="s">
        <v>7314</v>
      </c>
    </row>
    <row r="2078" spans="1:8" x14ac:dyDescent="0.25">
      <c r="A2078" s="113">
        <v>44460</v>
      </c>
      <c r="B2078" s="10" t="s">
        <v>6955</v>
      </c>
      <c r="C2078" s="11" t="s">
        <v>166</v>
      </c>
      <c r="F2078" s="9">
        <v>123680</v>
      </c>
      <c r="G2078" s="6">
        <f t="shared" si="38"/>
        <v>-123680</v>
      </c>
      <c r="H2078" s="1197"/>
    </row>
    <row r="2079" spans="1:8" x14ac:dyDescent="0.25">
      <c r="A2079" s="113">
        <v>44460</v>
      </c>
      <c r="B2079" s="10" t="s">
        <v>6408</v>
      </c>
      <c r="C2079" s="11" t="s">
        <v>166</v>
      </c>
      <c r="F2079" s="9">
        <v>13600</v>
      </c>
      <c r="G2079" s="6">
        <f t="shared" si="38"/>
        <v>-13600</v>
      </c>
      <c r="H2079" s="1197"/>
    </row>
    <row r="2080" spans="1:8" x14ac:dyDescent="0.25">
      <c r="A2080" s="113">
        <v>44460</v>
      </c>
      <c r="B2080" s="10" t="s">
        <v>6511</v>
      </c>
      <c r="C2080" s="11" t="s">
        <v>166</v>
      </c>
      <c r="F2080" s="9">
        <v>6755</v>
      </c>
      <c r="G2080" s="6">
        <f t="shared" si="38"/>
        <v>-6755</v>
      </c>
      <c r="H2080" s="1197"/>
    </row>
    <row r="2081" spans="1:8" x14ac:dyDescent="0.25">
      <c r="A2081" s="113">
        <v>44460</v>
      </c>
      <c r="B2081" s="10" t="s">
        <v>1400</v>
      </c>
      <c r="C2081" s="11" t="s">
        <v>166</v>
      </c>
      <c r="F2081" s="9">
        <v>9165</v>
      </c>
      <c r="G2081" s="6">
        <f t="shared" si="38"/>
        <v>-9165</v>
      </c>
      <c r="H2081" s="1197"/>
    </row>
    <row r="2082" spans="1:8" x14ac:dyDescent="0.25">
      <c r="A2082" s="113">
        <v>44464</v>
      </c>
      <c r="B2082" s="10" t="s">
        <v>7067</v>
      </c>
      <c r="C2082" s="11" t="s">
        <v>180</v>
      </c>
      <c r="E2082" s="8">
        <v>234864</v>
      </c>
      <c r="G2082" s="6">
        <f t="shared" si="38"/>
        <v>234864</v>
      </c>
    </row>
    <row r="2083" spans="1:8" x14ac:dyDescent="0.25">
      <c r="A2083" s="113">
        <v>44453</v>
      </c>
      <c r="B2083" s="10" t="s">
        <v>1400</v>
      </c>
      <c r="C2083" s="11" t="s">
        <v>1815</v>
      </c>
      <c r="E2083" s="8">
        <v>63580</v>
      </c>
      <c r="G2083" s="6">
        <f t="shared" si="38"/>
        <v>63580</v>
      </c>
    </row>
    <row r="2084" spans="1:8" x14ac:dyDescent="0.25">
      <c r="A2084" s="113">
        <v>44457</v>
      </c>
      <c r="B2084" s="10" t="s">
        <v>7067</v>
      </c>
      <c r="C2084" s="11" t="s">
        <v>166</v>
      </c>
      <c r="E2084" s="8">
        <v>13200</v>
      </c>
      <c r="G2084" s="6">
        <f t="shared" si="38"/>
        <v>13200</v>
      </c>
    </row>
    <row r="2085" spans="1:8" x14ac:dyDescent="0.25">
      <c r="A2085" s="113">
        <v>44476</v>
      </c>
      <c r="B2085" s="10" t="s">
        <v>1400</v>
      </c>
      <c r="C2085" s="661" t="s">
        <v>7242</v>
      </c>
      <c r="E2085" s="662"/>
      <c r="F2085" s="665">
        <v>17273</v>
      </c>
      <c r="G2085" s="664">
        <f t="shared" si="38"/>
        <v>-17273</v>
      </c>
      <c r="H2085" s="1196" t="s">
        <v>7363</v>
      </c>
    </row>
    <row r="2086" spans="1:8" x14ac:dyDescent="0.25">
      <c r="A2086" s="113">
        <v>44476</v>
      </c>
      <c r="B2086" s="10" t="s">
        <v>6408</v>
      </c>
      <c r="C2086" s="661" t="s">
        <v>7242</v>
      </c>
      <c r="E2086" s="662"/>
      <c r="F2086" s="665">
        <v>2404</v>
      </c>
      <c r="G2086" s="664">
        <f t="shared" si="38"/>
        <v>-2404</v>
      </c>
      <c r="H2086" s="1196"/>
    </row>
    <row r="2087" spans="1:8" x14ac:dyDescent="0.25">
      <c r="A2087" s="113">
        <v>44476</v>
      </c>
      <c r="B2087" s="10" t="s">
        <v>6955</v>
      </c>
      <c r="C2087" s="661" t="s">
        <v>7242</v>
      </c>
      <c r="E2087" s="662"/>
      <c r="F2087" s="665">
        <v>14457</v>
      </c>
      <c r="G2087" s="664">
        <f t="shared" si="38"/>
        <v>-14457</v>
      </c>
      <c r="H2087" s="1196"/>
    </row>
    <row r="2088" spans="1:8" x14ac:dyDescent="0.25">
      <c r="A2088" s="113">
        <v>44476</v>
      </c>
      <c r="B2088" s="10" t="s">
        <v>7112</v>
      </c>
      <c r="C2088" s="661" t="s">
        <v>7242</v>
      </c>
      <c r="E2088" s="662"/>
      <c r="F2088" s="665">
        <v>3866</v>
      </c>
      <c r="G2088" s="664">
        <f t="shared" si="38"/>
        <v>-3866</v>
      </c>
      <c r="H2088" s="1196"/>
    </row>
    <row r="2089" spans="1:8" x14ac:dyDescent="0.25">
      <c r="A2089" s="113">
        <v>44476</v>
      </c>
      <c r="B2089" s="10" t="s">
        <v>7112</v>
      </c>
      <c r="C2089" s="661" t="s">
        <v>7242</v>
      </c>
      <c r="E2089" s="662"/>
      <c r="F2089" s="665">
        <v>5</v>
      </c>
      <c r="G2089" s="664">
        <f t="shared" si="38"/>
        <v>-5</v>
      </c>
      <c r="H2089" s="7" t="s">
        <v>7361</v>
      </c>
    </row>
    <row r="2090" spans="1:8" x14ac:dyDescent="0.25">
      <c r="A2090" s="113">
        <v>44482</v>
      </c>
      <c r="B2090" s="10" t="s">
        <v>7067</v>
      </c>
      <c r="C2090" s="11" t="s">
        <v>164</v>
      </c>
      <c r="E2090" s="8">
        <v>47966</v>
      </c>
      <c r="G2090" s="274">
        <f t="shared" ref="G2090:G2148" si="39">E2090-F2090</f>
        <v>47966</v>
      </c>
    </row>
    <row r="2091" spans="1:8" x14ac:dyDescent="0.25">
      <c r="A2091" s="113">
        <v>44482</v>
      </c>
      <c r="B2091" s="10" t="s">
        <v>7067</v>
      </c>
      <c r="C2091" s="11" t="s">
        <v>164</v>
      </c>
      <c r="E2091" s="8">
        <v>20787</v>
      </c>
      <c r="G2091" s="274">
        <f t="shared" si="39"/>
        <v>20787</v>
      </c>
    </row>
    <row r="2092" spans="1:8" x14ac:dyDescent="0.25">
      <c r="A2092" s="113">
        <v>44482</v>
      </c>
      <c r="B2092" s="10" t="s">
        <v>7067</v>
      </c>
      <c r="C2092" s="11" t="s">
        <v>164</v>
      </c>
      <c r="E2092" s="8">
        <v>1063</v>
      </c>
      <c r="G2092" s="274">
        <f t="shared" si="39"/>
        <v>1063</v>
      </c>
    </row>
    <row r="2093" spans="1:8" x14ac:dyDescent="0.25">
      <c r="A2093" s="113">
        <v>44483</v>
      </c>
      <c r="B2093" s="10" t="s">
        <v>7067</v>
      </c>
      <c r="C2093" s="11" t="s">
        <v>180</v>
      </c>
      <c r="E2093" s="8">
        <v>52200</v>
      </c>
      <c r="G2093" s="6">
        <f t="shared" si="39"/>
        <v>52200</v>
      </c>
    </row>
    <row r="2094" spans="1:8" x14ac:dyDescent="0.25">
      <c r="A2094" s="113">
        <v>44452</v>
      </c>
      <c r="B2094" s="10" t="s">
        <v>3946</v>
      </c>
      <c r="C2094" s="11" t="s">
        <v>438</v>
      </c>
      <c r="D2094" s="768">
        <v>23090</v>
      </c>
      <c r="E2094" s="8">
        <v>161200</v>
      </c>
      <c r="G2094" s="6">
        <f t="shared" si="39"/>
        <v>161200</v>
      </c>
    </row>
    <row r="2095" spans="1:8" x14ac:dyDescent="0.25">
      <c r="A2095" s="113">
        <v>44442</v>
      </c>
      <c r="B2095" s="10" t="s">
        <v>5811</v>
      </c>
      <c r="C2095" s="11" t="s">
        <v>438</v>
      </c>
      <c r="D2095" s="768">
        <v>23076</v>
      </c>
      <c r="E2095" s="8">
        <v>63000</v>
      </c>
      <c r="G2095" s="6">
        <f t="shared" si="39"/>
        <v>63000</v>
      </c>
    </row>
    <row r="2096" spans="1:8" x14ac:dyDescent="0.25">
      <c r="A2096" s="113">
        <v>44478</v>
      </c>
      <c r="B2096" s="680" t="s">
        <v>7067</v>
      </c>
      <c r="C2096" s="82" t="s">
        <v>166</v>
      </c>
      <c r="D2096" s="768">
        <v>2772</v>
      </c>
      <c r="E2096" s="225">
        <v>22365</v>
      </c>
      <c r="G2096" s="6">
        <f t="shared" si="39"/>
        <v>22365</v>
      </c>
    </row>
    <row r="2097" spans="1:8" x14ac:dyDescent="0.25">
      <c r="A2097" s="113">
        <v>44478</v>
      </c>
      <c r="B2097" s="680" t="s">
        <v>7067</v>
      </c>
      <c r="C2097" s="82" t="s">
        <v>166</v>
      </c>
      <c r="D2097" s="768">
        <v>2768</v>
      </c>
      <c r="E2097" s="225">
        <v>13200</v>
      </c>
      <c r="G2097" s="6">
        <f t="shared" si="39"/>
        <v>13200</v>
      </c>
    </row>
    <row r="2098" spans="1:8" x14ac:dyDescent="0.25">
      <c r="A2098" s="113">
        <v>44481</v>
      </c>
      <c r="B2098" s="10" t="s">
        <v>7067</v>
      </c>
      <c r="C2098" s="11" t="s">
        <v>166</v>
      </c>
      <c r="D2098" s="768">
        <v>17495</v>
      </c>
      <c r="E2098" s="8">
        <v>112632</v>
      </c>
      <c r="G2098" s="6">
        <f t="shared" si="39"/>
        <v>112632</v>
      </c>
    </row>
    <row r="2099" spans="1:8" x14ac:dyDescent="0.25">
      <c r="A2099" s="113">
        <v>44489</v>
      </c>
      <c r="B2099" s="10" t="s">
        <v>7067</v>
      </c>
      <c r="C2099" s="11" t="s">
        <v>166</v>
      </c>
      <c r="D2099" s="768">
        <v>17542</v>
      </c>
      <c r="E2099" s="8">
        <v>159144</v>
      </c>
      <c r="G2099" s="6">
        <f t="shared" si="39"/>
        <v>159144</v>
      </c>
    </row>
    <row r="2100" spans="1:8" x14ac:dyDescent="0.25">
      <c r="A2100" s="113">
        <v>44490</v>
      </c>
      <c r="B2100" s="10" t="s">
        <v>6955</v>
      </c>
      <c r="C2100" s="11" t="s">
        <v>166</v>
      </c>
      <c r="D2100" s="768">
        <v>2821</v>
      </c>
      <c r="E2100" s="8">
        <v>1100</v>
      </c>
      <c r="G2100" s="6">
        <f t="shared" si="39"/>
        <v>1100</v>
      </c>
    </row>
    <row r="2101" spans="1:8" x14ac:dyDescent="0.25">
      <c r="A2101" s="113">
        <v>44494</v>
      </c>
      <c r="B2101" s="10" t="s">
        <v>7067</v>
      </c>
      <c r="C2101" s="11" t="s">
        <v>166</v>
      </c>
      <c r="D2101" s="768">
        <v>2844</v>
      </c>
      <c r="E2101" s="8">
        <v>14875</v>
      </c>
      <c r="G2101" s="6">
        <f t="shared" si="39"/>
        <v>14875</v>
      </c>
    </row>
    <row r="2102" spans="1:8" x14ac:dyDescent="0.25">
      <c r="A2102" s="113">
        <v>44495</v>
      </c>
      <c r="B2102" s="10" t="s">
        <v>7067</v>
      </c>
      <c r="C2102" s="11" t="s">
        <v>166</v>
      </c>
      <c r="D2102" s="768">
        <v>2849</v>
      </c>
      <c r="E2102" s="8">
        <v>5100</v>
      </c>
      <c r="G2102" s="6">
        <f t="shared" si="39"/>
        <v>5100</v>
      </c>
    </row>
    <row r="2103" spans="1:8" x14ac:dyDescent="0.25">
      <c r="A2103" s="113">
        <v>44494</v>
      </c>
      <c r="B2103" s="10" t="s">
        <v>7067</v>
      </c>
      <c r="C2103" s="11" t="s">
        <v>164</v>
      </c>
      <c r="D2103" s="769" t="s">
        <v>7424</v>
      </c>
      <c r="E2103" s="8">
        <v>40225</v>
      </c>
      <c r="G2103" s="6">
        <f t="shared" si="39"/>
        <v>40225</v>
      </c>
    </row>
    <row r="2104" spans="1:8" x14ac:dyDescent="0.25">
      <c r="A2104" s="266">
        <v>44494</v>
      </c>
      <c r="B2104" s="10" t="s">
        <v>7067</v>
      </c>
      <c r="C2104" s="11" t="s">
        <v>164</v>
      </c>
      <c r="D2104" s="769" t="s">
        <v>7425</v>
      </c>
      <c r="E2104" s="681">
        <v>1520</v>
      </c>
      <c r="G2104" s="6">
        <f t="shared" si="39"/>
        <v>1520</v>
      </c>
    </row>
    <row r="2105" spans="1:8" x14ac:dyDescent="0.25">
      <c r="A2105" s="113">
        <v>44495</v>
      </c>
      <c r="B2105" s="21" t="s">
        <v>1400</v>
      </c>
      <c r="C2105" s="746" t="s">
        <v>438</v>
      </c>
      <c r="D2105" s="766"/>
      <c r="E2105" s="747"/>
      <c r="F2105" s="748">
        <v>75800</v>
      </c>
      <c r="G2105" s="14">
        <f t="shared" si="39"/>
        <v>-75800</v>
      </c>
      <c r="H2105" s="1165" t="s">
        <v>7430</v>
      </c>
    </row>
    <row r="2106" spans="1:8" x14ac:dyDescent="0.25">
      <c r="A2106" s="113">
        <v>44495</v>
      </c>
      <c r="B2106" s="21" t="s">
        <v>5811</v>
      </c>
      <c r="C2106" s="746" t="s">
        <v>438</v>
      </c>
      <c r="D2106" s="766"/>
      <c r="E2106" s="747"/>
      <c r="F2106" s="748">
        <v>63000</v>
      </c>
      <c r="G2106" s="14">
        <f t="shared" si="39"/>
        <v>-63000</v>
      </c>
      <c r="H2106" s="1165"/>
    </row>
    <row r="2107" spans="1:8" x14ac:dyDescent="0.25">
      <c r="A2107" s="113">
        <v>44495</v>
      </c>
      <c r="B2107" s="21" t="s">
        <v>3946</v>
      </c>
      <c r="C2107" s="746" t="s">
        <v>438</v>
      </c>
      <c r="D2107" s="766"/>
      <c r="E2107" s="747"/>
      <c r="F2107" s="748">
        <v>161200</v>
      </c>
      <c r="G2107" s="14">
        <f t="shared" si="39"/>
        <v>-161200</v>
      </c>
      <c r="H2107" s="1165"/>
    </row>
    <row r="2108" spans="1:8" x14ac:dyDescent="0.25">
      <c r="A2108" s="113">
        <v>44499</v>
      </c>
      <c r="B2108" s="21" t="s">
        <v>7067</v>
      </c>
      <c r="C2108" s="13" t="s">
        <v>164</v>
      </c>
      <c r="D2108" s="766"/>
      <c r="E2108" s="22">
        <v>1598</v>
      </c>
      <c r="F2108" s="19"/>
      <c r="G2108" s="14">
        <f t="shared" si="39"/>
        <v>1598</v>
      </c>
      <c r="H2108" s="13"/>
    </row>
    <row r="2109" spans="1:8" x14ac:dyDescent="0.25">
      <c r="A2109" s="113">
        <v>44470</v>
      </c>
      <c r="B2109" s="21" t="s">
        <v>7555</v>
      </c>
      <c r="C2109" s="13" t="s">
        <v>164</v>
      </c>
      <c r="D2109" s="778" t="s">
        <v>7441</v>
      </c>
      <c r="E2109" s="22">
        <v>460774</v>
      </c>
      <c r="F2109" s="19"/>
      <c r="G2109" s="14">
        <f t="shared" si="39"/>
        <v>460774</v>
      </c>
      <c r="H2109" s="13"/>
    </row>
    <row r="2110" spans="1:8" x14ac:dyDescent="0.25">
      <c r="A2110" s="113">
        <v>44499</v>
      </c>
      <c r="B2110" s="21" t="s">
        <v>7067</v>
      </c>
      <c r="C2110" s="13" t="s">
        <v>164</v>
      </c>
      <c r="D2110" s="778" t="s">
        <v>7446</v>
      </c>
      <c r="E2110" s="22">
        <v>15282</v>
      </c>
      <c r="F2110" s="19"/>
      <c r="G2110" s="14">
        <f t="shared" si="39"/>
        <v>15282</v>
      </c>
      <c r="H2110" s="13"/>
    </row>
    <row r="2111" spans="1:8" x14ac:dyDescent="0.25">
      <c r="A2111" s="113">
        <v>44503</v>
      </c>
      <c r="B2111" s="21" t="s">
        <v>7067</v>
      </c>
      <c r="C2111" s="13" t="s">
        <v>164</v>
      </c>
      <c r="D2111" s="778" t="s">
        <v>7447</v>
      </c>
      <c r="E2111" s="22">
        <v>10984</v>
      </c>
      <c r="F2111" s="19"/>
      <c r="G2111" s="14">
        <f t="shared" si="39"/>
        <v>10984</v>
      </c>
      <c r="H2111" s="13"/>
    </row>
    <row r="2112" spans="1:8" x14ac:dyDescent="0.25">
      <c r="A2112" s="113">
        <v>44504</v>
      </c>
      <c r="B2112" s="21" t="s">
        <v>7067</v>
      </c>
      <c r="C2112" s="13" t="s">
        <v>164</v>
      </c>
      <c r="D2112" s="778" t="s">
        <v>7448</v>
      </c>
      <c r="E2112" s="22">
        <v>1676</v>
      </c>
      <c r="F2112" s="19"/>
      <c r="G2112" s="14">
        <f t="shared" si="39"/>
        <v>1676</v>
      </c>
      <c r="H2112" s="13"/>
    </row>
    <row r="2113" spans="1:8" x14ac:dyDescent="0.25">
      <c r="A2113" s="113">
        <v>44505</v>
      </c>
      <c r="B2113" s="21" t="s">
        <v>7112</v>
      </c>
      <c r="C2113" s="13" t="s">
        <v>164</v>
      </c>
      <c r="D2113" s="778" t="s">
        <v>7449</v>
      </c>
      <c r="E2113" s="22">
        <v>20030</v>
      </c>
      <c r="F2113" s="19"/>
      <c r="G2113" s="14">
        <f t="shared" si="39"/>
        <v>20030</v>
      </c>
      <c r="H2113" s="13"/>
    </row>
    <row r="2114" spans="1:8" x14ac:dyDescent="0.25">
      <c r="A2114" s="113">
        <v>44236</v>
      </c>
      <c r="B2114" s="21" t="s">
        <v>6511</v>
      </c>
      <c r="C2114" s="13" t="s">
        <v>7467</v>
      </c>
      <c r="D2114" s="766">
        <v>30000219</v>
      </c>
      <c r="E2114" s="22">
        <v>4660</v>
      </c>
      <c r="F2114" s="19"/>
      <c r="G2114" s="14">
        <f t="shared" si="39"/>
        <v>4660</v>
      </c>
      <c r="H2114" s="13"/>
    </row>
    <row r="2115" spans="1:8" x14ac:dyDescent="0.25">
      <c r="A2115" s="113">
        <v>44365</v>
      </c>
      <c r="B2115" s="21" t="s">
        <v>6511</v>
      </c>
      <c r="C2115" s="13" t="s">
        <v>7467</v>
      </c>
      <c r="D2115" s="766">
        <v>30000343</v>
      </c>
      <c r="E2115" s="22">
        <v>1800</v>
      </c>
      <c r="F2115" s="19"/>
      <c r="G2115" s="14">
        <f t="shared" si="39"/>
        <v>1800</v>
      </c>
      <c r="H2115" s="13"/>
    </row>
    <row r="2116" spans="1:8" x14ac:dyDescent="0.25">
      <c r="A2116" s="113">
        <v>44375</v>
      </c>
      <c r="B2116" s="21" t="s">
        <v>6511</v>
      </c>
      <c r="C2116" s="13" t="s">
        <v>7467</v>
      </c>
      <c r="D2116" s="766">
        <v>30000348</v>
      </c>
      <c r="E2116" s="22">
        <v>40553</v>
      </c>
      <c r="F2116" s="19"/>
      <c r="G2116" s="14">
        <f t="shared" si="39"/>
        <v>40553</v>
      </c>
      <c r="H2116" s="13"/>
    </row>
    <row r="2117" spans="1:8" x14ac:dyDescent="0.25">
      <c r="A2117" s="113">
        <v>44393</v>
      </c>
      <c r="B2117" s="21" t="s">
        <v>6955</v>
      </c>
      <c r="C2117" s="13" t="s">
        <v>7467</v>
      </c>
      <c r="D2117" s="766">
        <v>30000360</v>
      </c>
      <c r="E2117" s="22">
        <v>15081</v>
      </c>
      <c r="F2117" s="19"/>
      <c r="G2117" s="14">
        <f t="shared" si="39"/>
        <v>15081</v>
      </c>
      <c r="H2117" s="13"/>
    </row>
    <row r="2118" spans="1:8" x14ac:dyDescent="0.25">
      <c r="A2118" s="113">
        <v>44397</v>
      </c>
      <c r="B2118" s="21" t="s">
        <v>6955</v>
      </c>
      <c r="C2118" s="13" t="s">
        <v>7467</v>
      </c>
      <c r="D2118" s="766">
        <v>30000364</v>
      </c>
      <c r="E2118" s="22">
        <f>62299-30988</f>
        <v>31311</v>
      </c>
      <c r="F2118" s="19"/>
      <c r="G2118" s="14">
        <f t="shared" si="39"/>
        <v>31311</v>
      </c>
      <c r="H2118" s="13"/>
    </row>
    <row r="2119" spans="1:8" x14ac:dyDescent="0.25">
      <c r="A2119" s="113">
        <v>44397</v>
      </c>
      <c r="B2119" s="21" t="s">
        <v>7112</v>
      </c>
      <c r="C2119" s="13" t="s">
        <v>7467</v>
      </c>
      <c r="D2119" s="766">
        <v>30000364</v>
      </c>
      <c r="E2119" s="22">
        <v>30988</v>
      </c>
      <c r="F2119" s="19"/>
      <c r="G2119" s="14">
        <f t="shared" si="39"/>
        <v>30988</v>
      </c>
      <c r="H2119" s="13"/>
    </row>
    <row r="2120" spans="1:8" x14ac:dyDescent="0.25">
      <c r="A2120" s="113">
        <v>44404</v>
      </c>
      <c r="B2120" s="21" t="s">
        <v>6955</v>
      </c>
      <c r="C2120" s="13" t="s">
        <v>7467</v>
      </c>
      <c r="D2120" s="766">
        <v>30000366</v>
      </c>
      <c r="E2120" s="22">
        <v>6930</v>
      </c>
      <c r="F2120" s="19"/>
      <c r="G2120" s="14">
        <f t="shared" si="39"/>
        <v>6930</v>
      </c>
      <c r="H2120" s="13"/>
    </row>
    <row r="2121" spans="1:8" x14ac:dyDescent="0.25">
      <c r="A2121" s="113">
        <v>44408</v>
      </c>
      <c r="B2121" s="21" t="s">
        <v>6955</v>
      </c>
      <c r="C2121" s="13" t="s">
        <v>7467</v>
      </c>
      <c r="D2121" s="766">
        <v>30000370</v>
      </c>
      <c r="E2121" s="22">
        <v>19829</v>
      </c>
      <c r="F2121" s="19"/>
      <c r="G2121" s="14">
        <f t="shared" si="39"/>
        <v>19829</v>
      </c>
      <c r="H2121" s="13"/>
    </row>
    <row r="2122" spans="1:8" x14ac:dyDescent="0.25">
      <c r="A2122" s="113">
        <v>44483</v>
      </c>
      <c r="B2122" s="21" t="s">
        <v>7067</v>
      </c>
      <c r="C2122" s="13" t="s">
        <v>7467</v>
      </c>
      <c r="D2122" s="766">
        <v>30000444</v>
      </c>
      <c r="E2122" s="22">
        <v>16800</v>
      </c>
      <c r="F2122" s="19"/>
      <c r="G2122" s="14">
        <f t="shared" si="39"/>
        <v>16800</v>
      </c>
      <c r="H2122" s="13"/>
    </row>
    <row r="2123" spans="1:8" x14ac:dyDescent="0.25">
      <c r="A2123" s="113">
        <v>44497</v>
      </c>
      <c r="B2123" s="21" t="s">
        <v>7067</v>
      </c>
      <c r="C2123" s="13" t="s">
        <v>7467</v>
      </c>
      <c r="D2123" s="766">
        <v>30000458</v>
      </c>
      <c r="E2123" s="22">
        <v>4505</v>
      </c>
      <c r="F2123" s="19"/>
      <c r="G2123" s="14">
        <f t="shared" si="39"/>
        <v>4505</v>
      </c>
      <c r="H2123" s="13"/>
    </row>
    <row r="2124" spans="1:8" x14ac:dyDescent="0.25">
      <c r="A2124" s="113">
        <v>44510</v>
      </c>
      <c r="B2124" s="21" t="s">
        <v>6511</v>
      </c>
      <c r="C2124" s="13" t="s">
        <v>7467</v>
      </c>
      <c r="D2124" s="766"/>
      <c r="E2124" s="22"/>
      <c r="F2124" s="19">
        <v>47013</v>
      </c>
      <c r="G2124" s="14">
        <f t="shared" si="39"/>
        <v>-47013</v>
      </c>
      <c r="H2124" s="1175" t="s">
        <v>7468</v>
      </c>
    </row>
    <row r="2125" spans="1:8" x14ac:dyDescent="0.25">
      <c r="A2125" s="113">
        <v>44510</v>
      </c>
      <c r="B2125" s="21" t="s">
        <v>7112</v>
      </c>
      <c r="C2125" s="13" t="s">
        <v>7467</v>
      </c>
      <c r="D2125" s="766"/>
      <c r="E2125" s="22"/>
      <c r="F2125" s="19">
        <v>30988</v>
      </c>
      <c r="G2125" s="14">
        <f t="shared" si="39"/>
        <v>-30988</v>
      </c>
      <c r="H2125" s="1175"/>
    </row>
    <row r="2126" spans="1:8" x14ac:dyDescent="0.25">
      <c r="A2126" s="113">
        <v>44510</v>
      </c>
      <c r="B2126" s="21" t="s">
        <v>6955</v>
      </c>
      <c r="C2126" s="13" t="s">
        <v>7467</v>
      </c>
      <c r="D2126" s="766"/>
      <c r="E2126" s="22"/>
      <c r="F2126" s="19">
        <v>21999</v>
      </c>
      <c r="G2126" s="14">
        <f t="shared" si="39"/>
        <v>-21999</v>
      </c>
      <c r="H2126" s="1175"/>
    </row>
    <row r="2127" spans="1:8" x14ac:dyDescent="0.25">
      <c r="A2127" s="113">
        <v>44501</v>
      </c>
      <c r="B2127" s="21" t="s">
        <v>7067</v>
      </c>
      <c r="C2127" s="13" t="s">
        <v>166</v>
      </c>
      <c r="D2127" s="766">
        <v>2874</v>
      </c>
      <c r="E2127" s="22">
        <v>3000</v>
      </c>
      <c r="F2127" s="19"/>
      <c r="G2127" s="14">
        <f t="shared" si="39"/>
        <v>3000</v>
      </c>
      <c r="H2127" s="13"/>
    </row>
    <row r="2128" spans="1:8" x14ac:dyDescent="0.25">
      <c r="A2128" s="113">
        <v>44502</v>
      </c>
      <c r="B2128" s="21" t="s">
        <v>7067</v>
      </c>
      <c r="C2128" s="13" t="s">
        <v>166</v>
      </c>
      <c r="D2128" s="766">
        <v>17622</v>
      </c>
      <c r="E2128" s="22">
        <v>104515</v>
      </c>
      <c r="F2128" s="19"/>
      <c r="G2128" s="14">
        <f t="shared" si="39"/>
        <v>104515</v>
      </c>
      <c r="H2128" s="13"/>
    </row>
    <row r="2129" spans="1:8" x14ac:dyDescent="0.25">
      <c r="A2129" s="113">
        <v>44505</v>
      </c>
      <c r="B2129" s="21" t="s">
        <v>7067</v>
      </c>
      <c r="C2129" s="13" t="s">
        <v>166</v>
      </c>
      <c r="D2129" s="766">
        <v>2891</v>
      </c>
      <c r="E2129" s="22">
        <v>4200</v>
      </c>
      <c r="F2129" s="19"/>
      <c r="G2129" s="14">
        <f t="shared" si="39"/>
        <v>4200</v>
      </c>
      <c r="H2129" s="13"/>
    </row>
    <row r="2130" spans="1:8" x14ac:dyDescent="0.25">
      <c r="A2130" s="113">
        <v>44510</v>
      </c>
      <c r="B2130" s="21" t="s">
        <v>7067</v>
      </c>
      <c r="C2130" s="13" t="s">
        <v>166</v>
      </c>
      <c r="D2130" s="766">
        <v>2910</v>
      </c>
      <c r="E2130" s="22">
        <v>4200</v>
      </c>
      <c r="F2130" s="19"/>
      <c r="G2130" s="14">
        <f t="shared" si="39"/>
        <v>4200</v>
      </c>
      <c r="H2130" s="13"/>
    </row>
    <row r="2131" spans="1:8" x14ac:dyDescent="0.25">
      <c r="A2131" s="113">
        <v>44512</v>
      </c>
      <c r="B2131" s="21" t="s">
        <v>7555</v>
      </c>
      <c r="C2131" s="13" t="s">
        <v>164</v>
      </c>
      <c r="D2131" s="778" t="s">
        <v>7487</v>
      </c>
      <c r="E2131" s="22">
        <v>11822</v>
      </c>
      <c r="F2131" s="19"/>
      <c r="G2131" s="14">
        <f t="shared" si="39"/>
        <v>11822</v>
      </c>
      <c r="H2131" s="13"/>
    </row>
    <row r="2132" spans="1:8" x14ac:dyDescent="0.25">
      <c r="A2132" s="113">
        <v>44516</v>
      </c>
      <c r="B2132" s="21" t="s">
        <v>7555</v>
      </c>
      <c r="C2132" s="13" t="s">
        <v>164</v>
      </c>
      <c r="D2132" s="778" t="s">
        <v>7488</v>
      </c>
      <c r="E2132" s="22">
        <v>1578</v>
      </c>
      <c r="F2132" s="19"/>
      <c r="G2132" s="14">
        <f t="shared" si="39"/>
        <v>1578</v>
      </c>
      <c r="H2132" s="13"/>
    </row>
    <row r="2133" spans="1:8" x14ac:dyDescent="0.25">
      <c r="A2133" s="113">
        <v>44517</v>
      </c>
      <c r="B2133" s="21" t="s">
        <v>7067</v>
      </c>
      <c r="C2133" s="13" t="s">
        <v>166</v>
      </c>
      <c r="D2133" s="766"/>
      <c r="E2133" s="22"/>
      <c r="F2133" s="19">
        <v>5585</v>
      </c>
      <c r="G2133" s="14">
        <f t="shared" si="39"/>
        <v>-5585</v>
      </c>
      <c r="H2133" s="13"/>
    </row>
    <row r="2134" spans="1:8" x14ac:dyDescent="0.25">
      <c r="A2134" s="113">
        <v>44517</v>
      </c>
      <c r="B2134" s="21" t="s">
        <v>7067</v>
      </c>
      <c r="C2134" s="13" t="s">
        <v>166</v>
      </c>
      <c r="D2134" s="766"/>
      <c r="E2134" s="22"/>
      <c r="F2134" s="19">
        <v>5900</v>
      </c>
      <c r="G2134" s="14">
        <f t="shared" si="39"/>
        <v>-5900</v>
      </c>
      <c r="H2134" s="13"/>
    </row>
    <row r="2135" spans="1:8" x14ac:dyDescent="0.25">
      <c r="A2135" s="113">
        <v>44508</v>
      </c>
      <c r="B2135" s="21" t="s">
        <v>7067</v>
      </c>
      <c r="C2135" s="13" t="s">
        <v>162</v>
      </c>
      <c r="D2135" s="766">
        <v>2200</v>
      </c>
      <c r="E2135" s="22">
        <v>461142</v>
      </c>
      <c r="F2135" s="19"/>
      <c r="G2135" s="14">
        <f t="shared" si="39"/>
        <v>461142</v>
      </c>
      <c r="H2135" s="13"/>
    </row>
    <row r="2136" spans="1:8" x14ac:dyDescent="0.25">
      <c r="A2136" s="113">
        <v>44508</v>
      </c>
      <c r="B2136" s="21" t="s">
        <v>7067</v>
      </c>
      <c r="C2136" s="13" t="s">
        <v>164</v>
      </c>
      <c r="D2136" s="778" t="s">
        <v>7515</v>
      </c>
      <c r="E2136" s="22">
        <v>4777</v>
      </c>
      <c r="F2136" s="19"/>
      <c r="G2136" s="14">
        <f t="shared" si="39"/>
        <v>4777</v>
      </c>
      <c r="H2136" s="13"/>
    </row>
    <row r="2137" spans="1:8" x14ac:dyDescent="0.25">
      <c r="A2137" s="113">
        <v>44529</v>
      </c>
      <c r="B2137" s="21" t="s">
        <v>7067</v>
      </c>
      <c r="C2137" s="13" t="s">
        <v>166</v>
      </c>
      <c r="D2137" s="766"/>
      <c r="E2137" s="22"/>
      <c r="F2137" s="19">
        <v>150000</v>
      </c>
      <c r="G2137" s="14">
        <f t="shared" si="39"/>
        <v>-150000</v>
      </c>
      <c r="H2137" s="13" t="s">
        <v>7523</v>
      </c>
    </row>
    <row r="2138" spans="1:8" x14ac:dyDescent="0.25">
      <c r="A2138" s="113">
        <v>44529</v>
      </c>
      <c r="B2138" s="21" t="s">
        <v>7067</v>
      </c>
      <c r="C2138" s="13" t="s">
        <v>180</v>
      </c>
      <c r="D2138" s="766"/>
      <c r="E2138" s="22">
        <v>9255</v>
      </c>
      <c r="F2138" s="19"/>
      <c r="G2138" s="14">
        <f t="shared" si="39"/>
        <v>9255</v>
      </c>
      <c r="H2138" s="13" t="s">
        <v>7524</v>
      </c>
    </row>
    <row r="2139" spans="1:8" x14ac:dyDescent="0.25">
      <c r="A2139" s="113">
        <v>44529</v>
      </c>
      <c r="B2139" s="21" t="s">
        <v>7067</v>
      </c>
      <c r="C2139" s="13" t="s">
        <v>180</v>
      </c>
      <c r="D2139" s="766"/>
      <c r="E2139" s="22">
        <f>12970+27</f>
        <v>12997</v>
      </c>
      <c r="F2139" s="19"/>
      <c r="G2139" s="14">
        <f t="shared" si="39"/>
        <v>12997</v>
      </c>
      <c r="H2139" s="13" t="s">
        <v>7525</v>
      </c>
    </row>
    <row r="2140" spans="1:8" x14ac:dyDescent="0.25">
      <c r="A2140" s="113">
        <v>44529</v>
      </c>
      <c r="B2140" s="21" t="s">
        <v>7067</v>
      </c>
      <c r="C2140" s="13" t="s">
        <v>180</v>
      </c>
      <c r="D2140" s="766"/>
      <c r="E2140" s="22"/>
      <c r="F2140" s="19">
        <v>309316</v>
      </c>
      <c r="G2140" s="14">
        <f t="shared" si="39"/>
        <v>-309316</v>
      </c>
      <c r="H2140" s="1165" t="s">
        <v>7523</v>
      </c>
    </row>
    <row r="2141" spans="1:8" x14ac:dyDescent="0.25">
      <c r="A2141" s="113">
        <v>44529</v>
      </c>
      <c r="B2141" s="21" t="s">
        <v>6508</v>
      </c>
      <c r="C2141" s="13" t="s">
        <v>180</v>
      </c>
      <c r="D2141" s="766"/>
      <c r="E2141" s="22"/>
      <c r="F2141" s="19">
        <v>27915</v>
      </c>
      <c r="G2141" s="14">
        <f t="shared" si="39"/>
        <v>-27915</v>
      </c>
      <c r="H2141" s="1165"/>
    </row>
    <row r="2142" spans="1:8" x14ac:dyDescent="0.25">
      <c r="A2142" s="113">
        <v>44532</v>
      </c>
      <c r="B2142" s="21" t="s">
        <v>6408</v>
      </c>
      <c r="C2142" s="13" t="s">
        <v>1803</v>
      </c>
      <c r="D2142" s="766"/>
      <c r="E2142" s="22"/>
      <c r="F2142" s="19">
        <v>110233</v>
      </c>
      <c r="G2142" s="14">
        <f t="shared" si="39"/>
        <v>-110233</v>
      </c>
      <c r="H2142" s="1195" t="s">
        <v>7537</v>
      </c>
    </row>
    <row r="2143" spans="1:8" x14ac:dyDescent="0.25">
      <c r="A2143" s="113">
        <v>44532</v>
      </c>
      <c r="B2143" s="21" t="s">
        <v>6508</v>
      </c>
      <c r="C2143" s="13" t="s">
        <v>1803</v>
      </c>
      <c r="D2143" s="766"/>
      <c r="E2143" s="22"/>
      <c r="F2143" s="19">
        <v>230169</v>
      </c>
      <c r="G2143" s="14">
        <f t="shared" si="39"/>
        <v>-230169</v>
      </c>
      <c r="H2143" s="1195"/>
    </row>
    <row r="2144" spans="1:8" x14ac:dyDescent="0.25">
      <c r="A2144" s="113">
        <v>44532</v>
      </c>
      <c r="B2144" s="21" t="s">
        <v>6511</v>
      </c>
      <c r="C2144" s="13" t="s">
        <v>1803</v>
      </c>
      <c r="D2144" s="766"/>
      <c r="E2144" s="22"/>
      <c r="F2144" s="19">
        <v>136986</v>
      </c>
      <c r="G2144" s="14">
        <f t="shared" si="39"/>
        <v>-136986</v>
      </c>
      <c r="H2144" s="1195"/>
    </row>
    <row r="2145" spans="1:8" x14ac:dyDescent="0.25">
      <c r="A2145" s="113">
        <v>44532</v>
      </c>
      <c r="B2145" s="21" t="s">
        <v>6720</v>
      </c>
      <c r="C2145" s="13" t="s">
        <v>1803</v>
      </c>
      <c r="D2145" s="766"/>
      <c r="E2145" s="22"/>
      <c r="F2145" s="19">
        <v>10112</v>
      </c>
      <c r="G2145" s="14">
        <f t="shared" si="39"/>
        <v>-10112</v>
      </c>
      <c r="H2145" s="1195"/>
    </row>
    <row r="2146" spans="1:8" ht="37.5" x14ac:dyDescent="0.25">
      <c r="A2146" s="113">
        <v>44534</v>
      </c>
      <c r="B2146" s="21" t="s">
        <v>7067</v>
      </c>
      <c r="C2146" s="13" t="s">
        <v>166</v>
      </c>
      <c r="D2146" s="766"/>
      <c r="E2146" s="22"/>
      <c r="F2146" s="19">
        <v>250000</v>
      </c>
      <c r="G2146" s="14">
        <f t="shared" si="39"/>
        <v>-250000</v>
      </c>
      <c r="H2146" s="684" t="s">
        <v>7536</v>
      </c>
    </row>
    <row r="2147" spans="1:8" x14ac:dyDescent="0.25">
      <c r="A2147" s="113">
        <v>44536</v>
      </c>
      <c r="B2147" s="21" t="s">
        <v>7067</v>
      </c>
      <c r="C2147" s="13" t="s">
        <v>164</v>
      </c>
      <c r="D2147" s="778" t="s">
        <v>7538</v>
      </c>
      <c r="E2147" s="22">
        <v>3543</v>
      </c>
      <c r="F2147" s="19"/>
      <c r="G2147" s="14">
        <f t="shared" si="39"/>
        <v>3543</v>
      </c>
      <c r="H2147" s="13"/>
    </row>
    <row r="2148" spans="1:8" x14ac:dyDescent="0.25">
      <c r="A2148" s="113">
        <v>44538</v>
      </c>
      <c r="B2148" s="21" t="s">
        <v>1400</v>
      </c>
      <c r="C2148" s="13" t="s">
        <v>5681</v>
      </c>
      <c r="D2148" s="766"/>
      <c r="E2148" s="22"/>
      <c r="F2148" s="19">
        <v>9100</v>
      </c>
      <c r="G2148" s="14">
        <f t="shared" si="39"/>
        <v>-9100</v>
      </c>
      <c r="H2148" s="1191" t="s">
        <v>7556</v>
      </c>
    </row>
    <row r="2149" spans="1:8" x14ac:dyDescent="0.25">
      <c r="A2149" s="113">
        <v>44538</v>
      </c>
      <c r="B2149" s="21" t="s">
        <v>2652</v>
      </c>
      <c r="C2149" s="13" t="s">
        <v>5681</v>
      </c>
      <c r="D2149" s="766"/>
      <c r="E2149" s="22"/>
      <c r="F2149" s="19">
        <v>72300</v>
      </c>
      <c r="G2149" s="14">
        <f t="shared" ref="G2149:G2191" si="40">E2149-F2149</f>
        <v>-72300</v>
      </c>
      <c r="H2149" s="1191"/>
    </row>
    <row r="2150" spans="1:8" x14ac:dyDescent="0.25">
      <c r="A2150" s="113">
        <v>44538</v>
      </c>
      <c r="B2150" s="21" t="s">
        <v>6408</v>
      </c>
      <c r="C2150" s="13" t="s">
        <v>5681</v>
      </c>
      <c r="D2150" s="766"/>
      <c r="E2150" s="22"/>
      <c r="F2150" s="19">
        <v>9500</v>
      </c>
      <c r="G2150" s="14">
        <f t="shared" si="40"/>
        <v>-9500</v>
      </c>
      <c r="H2150" s="1191"/>
    </row>
    <row r="2151" spans="1:8" x14ac:dyDescent="0.25">
      <c r="A2151" s="113">
        <v>44538</v>
      </c>
      <c r="B2151" s="21" t="s">
        <v>6511</v>
      </c>
      <c r="C2151" s="13" t="s">
        <v>5681</v>
      </c>
      <c r="D2151" s="766"/>
      <c r="E2151" s="22"/>
      <c r="F2151" s="19">
        <v>59100</v>
      </c>
      <c r="G2151" s="14">
        <f t="shared" si="40"/>
        <v>-59100</v>
      </c>
      <c r="H2151" s="1191"/>
    </row>
    <row r="2152" spans="1:8" x14ac:dyDescent="0.25">
      <c r="A2152" s="113">
        <v>44513</v>
      </c>
      <c r="B2152" s="21" t="s">
        <v>1400</v>
      </c>
      <c r="C2152" s="13" t="s">
        <v>166</v>
      </c>
      <c r="D2152" s="766">
        <v>17687</v>
      </c>
      <c r="E2152" s="22">
        <v>62100</v>
      </c>
      <c r="F2152" s="19"/>
      <c r="G2152" s="14">
        <f t="shared" si="40"/>
        <v>62100</v>
      </c>
      <c r="H2152" s="13"/>
    </row>
    <row r="2153" spans="1:8" x14ac:dyDescent="0.25">
      <c r="A2153" s="113">
        <v>44523</v>
      </c>
      <c r="B2153" s="21" t="s">
        <v>7067</v>
      </c>
      <c r="C2153" s="13" t="s">
        <v>166</v>
      </c>
      <c r="D2153" s="766">
        <v>17730</v>
      </c>
      <c r="E2153" s="22">
        <v>40856</v>
      </c>
      <c r="F2153" s="19"/>
      <c r="G2153" s="14">
        <f t="shared" si="40"/>
        <v>40856</v>
      </c>
      <c r="H2153" s="33"/>
    </row>
    <row r="2154" spans="1:8" x14ac:dyDescent="0.25">
      <c r="A2154" s="113">
        <v>44534</v>
      </c>
      <c r="B2154" s="21" t="s">
        <v>7067</v>
      </c>
      <c r="C2154" s="13" t="s">
        <v>166</v>
      </c>
      <c r="D2154" s="766">
        <v>17785</v>
      </c>
      <c r="E2154" s="22">
        <v>11400</v>
      </c>
      <c r="F2154" s="19"/>
      <c r="G2154" s="14">
        <f t="shared" si="40"/>
        <v>11400</v>
      </c>
      <c r="H2154" s="13"/>
    </row>
    <row r="2155" spans="1:8" x14ac:dyDescent="0.25">
      <c r="A2155" s="113">
        <v>44537</v>
      </c>
      <c r="B2155" s="21" t="s">
        <v>6955</v>
      </c>
      <c r="C2155" s="13" t="s">
        <v>166</v>
      </c>
      <c r="D2155" s="766">
        <v>2992</v>
      </c>
      <c r="E2155" s="22">
        <v>4400</v>
      </c>
      <c r="F2155" s="19"/>
      <c r="G2155" s="14">
        <f t="shared" si="40"/>
        <v>4400</v>
      </c>
      <c r="H2155" s="13"/>
    </row>
    <row r="2156" spans="1:8" x14ac:dyDescent="0.25">
      <c r="A2156" s="113">
        <v>44538</v>
      </c>
      <c r="B2156" s="21" t="s">
        <v>7067</v>
      </c>
      <c r="C2156" s="13" t="s">
        <v>166</v>
      </c>
      <c r="D2156" s="766">
        <v>17804</v>
      </c>
      <c r="E2156" s="22">
        <v>33128</v>
      </c>
      <c r="F2156" s="19"/>
      <c r="G2156" s="14">
        <f t="shared" si="40"/>
        <v>33128</v>
      </c>
      <c r="H2156" s="13"/>
    </row>
    <row r="2157" spans="1:8" x14ac:dyDescent="0.25">
      <c r="A2157" s="113">
        <v>44546</v>
      </c>
      <c r="B2157" s="21" t="s">
        <v>1400</v>
      </c>
      <c r="C2157" s="13" t="s">
        <v>166</v>
      </c>
      <c r="D2157" s="766">
        <v>17842</v>
      </c>
      <c r="E2157" s="22">
        <v>39330</v>
      </c>
      <c r="F2157" s="19"/>
      <c r="G2157" s="14">
        <f t="shared" si="40"/>
        <v>39330</v>
      </c>
      <c r="H2157" s="13"/>
    </row>
    <row r="2158" spans="1:8" x14ac:dyDescent="0.25">
      <c r="A2158" s="113">
        <v>44546</v>
      </c>
      <c r="B2158" s="21" t="s">
        <v>7067</v>
      </c>
      <c r="C2158" s="13" t="s">
        <v>166</v>
      </c>
      <c r="D2158" s="766">
        <v>17838</v>
      </c>
      <c r="E2158" s="22">
        <v>4788</v>
      </c>
      <c r="F2158" s="19"/>
      <c r="G2158" s="14">
        <f t="shared" si="40"/>
        <v>4788</v>
      </c>
      <c r="H2158" s="13"/>
    </row>
    <row r="2159" spans="1:8" x14ac:dyDescent="0.25">
      <c r="A2159" s="113">
        <v>44548</v>
      </c>
      <c r="B2159" s="21" t="s">
        <v>7067</v>
      </c>
      <c r="C2159" s="13" t="s">
        <v>166</v>
      </c>
      <c r="D2159" s="766">
        <v>3025</v>
      </c>
      <c r="E2159" s="22">
        <v>19116</v>
      </c>
      <c r="F2159" s="19"/>
      <c r="G2159" s="14">
        <f t="shared" si="40"/>
        <v>19116</v>
      </c>
      <c r="H2159" s="13"/>
    </row>
    <row r="2160" spans="1:8" x14ac:dyDescent="0.25">
      <c r="A2160" s="113">
        <v>44452</v>
      </c>
      <c r="B2160" s="21" t="s">
        <v>6508</v>
      </c>
      <c r="C2160" s="13" t="s">
        <v>1803</v>
      </c>
      <c r="D2160" s="766">
        <v>243</v>
      </c>
      <c r="E2160" s="22">
        <v>4340</v>
      </c>
      <c r="F2160" s="19"/>
      <c r="G2160" s="14">
        <f t="shared" si="40"/>
        <v>4340</v>
      </c>
      <c r="H2160" s="13"/>
    </row>
    <row r="2161" spans="1:8" x14ac:dyDescent="0.25">
      <c r="A2161" s="113">
        <v>44487</v>
      </c>
      <c r="B2161" s="21" t="s">
        <v>1400</v>
      </c>
      <c r="C2161" s="13" t="s">
        <v>1803</v>
      </c>
      <c r="D2161" s="766">
        <v>333</v>
      </c>
      <c r="E2161" s="22">
        <v>3096</v>
      </c>
      <c r="F2161" s="19"/>
      <c r="G2161" s="14">
        <f t="shared" si="40"/>
        <v>3096</v>
      </c>
      <c r="H2161" s="13"/>
    </row>
    <row r="2162" spans="1:8" x14ac:dyDescent="0.25">
      <c r="A2162" s="113">
        <v>44491</v>
      </c>
      <c r="B2162" s="21" t="s">
        <v>1400</v>
      </c>
      <c r="C2162" s="13" t="s">
        <v>1803</v>
      </c>
      <c r="D2162" s="766">
        <v>400</v>
      </c>
      <c r="E2162" s="22">
        <v>3856</v>
      </c>
      <c r="F2162" s="19"/>
      <c r="G2162" s="14">
        <f t="shared" si="40"/>
        <v>3856</v>
      </c>
      <c r="H2162" s="13"/>
    </row>
    <row r="2163" spans="1:8" x14ac:dyDescent="0.25">
      <c r="A2163" s="113">
        <v>44490</v>
      </c>
      <c r="B2163" s="21" t="s">
        <v>7555</v>
      </c>
      <c r="C2163" s="13" t="s">
        <v>164</v>
      </c>
      <c r="D2163" s="766"/>
      <c r="E2163" s="22"/>
      <c r="F2163" s="19">
        <v>250000</v>
      </c>
      <c r="G2163" s="14">
        <f t="shared" si="40"/>
        <v>-250000</v>
      </c>
      <c r="H2163" s="13" t="s">
        <v>7575</v>
      </c>
    </row>
    <row r="2164" spans="1:8" x14ac:dyDescent="0.25">
      <c r="A2164" s="113">
        <v>44554</v>
      </c>
      <c r="B2164" s="21" t="s">
        <v>7067</v>
      </c>
      <c r="C2164" s="13" t="s">
        <v>162</v>
      </c>
      <c r="D2164" s="766"/>
      <c r="E2164" s="22"/>
      <c r="F2164" s="19">
        <v>150000</v>
      </c>
      <c r="G2164" s="14">
        <f t="shared" si="40"/>
        <v>-150000</v>
      </c>
      <c r="H2164" s="13" t="s">
        <v>7579</v>
      </c>
    </row>
    <row r="2165" spans="1:8" x14ac:dyDescent="0.25">
      <c r="A2165" s="113">
        <v>44528</v>
      </c>
      <c r="B2165" s="21" t="s">
        <v>7067</v>
      </c>
      <c r="C2165" s="13" t="s">
        <v>166</v>
      </c>
      <c r="D2165" s="766"/>
      <c r="E2165" s="22"/>
      <c r="F2165" s="19">
        <v>163897</v>
      </c>
      <c r="G2165" s="14">
        <f t="shared" si="40"/>
        <v>-163897</v>
      </c>
      <c r="H2165" s="13" t="s">
        <v>7523</v>
      </c>
    </row>
    <row r="2166" spans="1:8" x14ac:dyDescent="0.25">
      <c r="A2166" s="113">
        <v>44586</v>
      </c>
      <c r="B2166" s="21" t="s">
        <v>7555</v>
      </c>
      <c r="C2166" s="13" t="s">
        <v>164</v>
      </c>
      <c r="D2166" s="766"/>
      <c r="E2166" s="22"/>
      <c r="F2166" s="19">
        <v>220000</v>
      </c>
      <c r="G2166" s="14">
        <f t="shared" si="40"/>
        <v>-220000</v>
      </c>
      <c r="H2166" s="687" t="s">
        <v>7629</v>
      </c>
    </row>
    <row r="2167" spans="1:8" x14ac:dyDescent="0.25">
      <c r="A2167" s="113">
        <v>44569</v>
      </c>
      <c r="B2167" s="21" t="s">
        <v>1400</v>
      </c>
      <c r="C2167" s="13" t="s">
        <v>166</v>
      </c>
      <c r="D2167" s="766"/>
      <c r="E2167" s="22">
        <v>73245</v>
      </c>
      <c r="F2167" s="19"/>
      <c r="G2167" s="14">
        <f t="shared" si="40"/>
        <v>73245</v>
      </c>
      <c r="H2167" s="13"/>
    </row>
    <row r="2168" spans="1:8" x14ac:dyDescent="0.25">
      <c r="A2168" s="113">
        <v>44449</v>
      </c>
      <c r="B2168" s="21" t="s">
        <v>7112</v>
      </c>
      <c r="C2168" s="13" t="s">
        <v>5187</v>
      </c>
      <c r="D2168" s="766"/>
      <c r="E2168" s="22">
        <v>118700</v>
      </c>
      <c r="F2168" s="19"/>
      <c r="G2168" s="14">
        <f t="shared" si="40"/>
        <v>118700</v>
      </c>
      <c r="H2168" s="13"/>
    </row>
    <row r="2169" spans="1:8" x14ac:dyDescent="0.25">
      <c r="A2169" s="113">
        <v>44602</v>
      </c>
      <c r="B2169" s="21" t="s">
        <v>7067</v>
      </c>
      <c r="C2169" s="13" t="s">
        <v>162</v>
      </c>
      <c r="D2169" s="766"/>
      <c r="E2169" s="22"/>
      <c r="F2169" s="19">
        <v>100000</v>
      </c>
      <c r="G2169" s="14">
        <f t="shared" si="40"/>
        <v>-100000</v>
      </c>
      <c r="H2169" s="692" t="s">
        <v>7655</v>
      </c>
    </row>
    <row r="2170" spans="1:8" x14ac:dyDescent="0.25">
      <c r="A2170" s="113">
        <v>44509</v>
      </c>
      <c r="B2170" s="21" t="s">
        <v>3946</v>
      </c>
      <c r="C2170" s="13" t="s">
        <v>438</v>
      </c>
      <c r="D2170" s="766">
        <v>23218</v>
      </c>
      <c r="E2170" s="22">
        <v>2600</v>
      </c>
      <c r="F2170" s="19"/>
      <c r="G2170" s="14">
        <f t="shared" si="40"/>
        <v>2600</v>
      </c>
      <c r="H2170" s="13"/>
    </row>
    <row r="2171" spans="1:8" x14ac:dyDescent="0.25">
      <c r="A2171" s="113">
        <v>44601</v>
      </c>
      <c r="B2171" s="21" t="s">
        <v>7112</v>
      </c>
      <c r="C2171" s="13" t="s">
        <v>438</v>
      </c>
      <c r="D2171" s="766">
        <v>32751</v>
      </c>
      <c r="E2171" s="22">
        <v>24420</v>
      </c>
      <c r="F2171" s="19"/>
      <c r="G2171" s="14">
        <f t="shared" si="40"/>
        <v>24420</v>
      </c>
      <c r="H2171" s="13"/>
    </row>
    <row r="2172" spans="1:8" x14ac:dyDescent="0.25">
      <c r="A2172" s="113">
        <v>44424</v>
      </c>
      <c r="B2172" s="21" t="s">
        <v>1400</v>
      </c>
      <c r="C2172" s="13" t="s">
        <v>7467</v>
      </c>
      <c r="D2172" s="766">
        <v>30000390</v>
      </c>
      <c r="E2172" s="22">
        <v>80990</v>
      </c>
      <c r="F2172" s="19"/>
      <c r="G2172" s="14">
        <f t="shared" si="40"/>
        <v>80990</v>
      </c>
      <c r="H2172" s="13"/>
    </row>
    <row r="2173" spans="1:8" x14ac:dyDescent="0.25">
      <c r="A2173" s="113">
        <v>44539</v>
      </c>
      <c r="B2173" s="21" t="s">
        <v>7067</v>
      </c>
      <c r="C2173" s="13" t="s">
        <v>7467</v>
      </c>
      <c r="D2173" s="766">
        <v>30000533</v>
      </c>
      <c r="E2173" s="22">
        <v>8800</v>
      </c>
      <c r="F2173" s="19"/>
      <c r="G2173" s="14">
        <f t="shared" si="40"/>
        <v>8800</v>
      </c>
      <c r="H2173" s="13"/>
    </row>
    <row r="2174" spans="1:8" x14ac:dyDescent="0.25">
      <c r="A2174" s="113">
        <v>44610</v>
      </c>
      <c r="B2174" s="21" t="s">
        <v>7657</v>
      </c>
      <c r="C2174" s="13" t="s">
        <v>7242</v>
      </c>
      <c r="D2174" s="778" t="s">
        <v>7671</v>
      </c>
      <c r="E2174" s="22">
        <v>692945</v>
      </c>
      <c r="F2174" s="19"/>
      <c r="G2174" s="14">
        <f t="shared" si="40"/>
        <v>692945</v>
      </c>
      <c r="H2174" s="13"/>
    </row>
    <row r="2175" spans="1:8" x14ac:dyDescent="0.25">
      <c r="A2175" s="113">
        <v>44610</v>
      </c>
      <c r="B2175" s="21" t="s">
        <v>1400</v>
      </c>
      <c r="C2175" s="746" t="s">
        <v>7467</v>
      </c>
      <c r="D2175" s="766"/>
      <c r="E2175" s="747"/>
      <c r="F2175" s="748">
        <f>79000+1990</f>
        <v>80990</v>
      </c>
      <c r="G2175" s="747">
        <f t="shared" si="40"/>
        <v>-80990</v>
      </c>
      <c r="H2175" s="1161" t="s">
        <v>7676</v>
      </c>
    </row>
    <row r="2176" spans="1:8" x14ac:dyDescent="0.25">
      <c r="A2176" s="113">
        <v>44610</v>
      </c>
      <c r="B2176" s="21" t="s">
        <v>6955</v>
      </c>
      <c r="C2176" s="746" t="s">
        <v>7467</v>
      </c>
      <c r="D2176" s="766"/>
      <c r="E2176" s="747"/>
      <c r="F2176" s="748">
        <f>50900+252</f>
        <v>51152</v>
      </c>
      <c r="G2176" s="747">
        <f t="shared" si="40"/>
        <v>-51152</v>
      </c>
      <c r="H2176" s="1161"/>
    </row>
    <row r="2177" spans="1:8" x14ac:dyDescent="0.25">
      <c r="A2177" s="113">
        <v>44610</v>
      </c>
      <c r="B2177" s="21" t="s">
        <v>7067</v>
      </c>
      <c r="C2177" s="746" t="s">
        <v>7467</v>
      </c>
      <c r="D2177" s="766"/>
      <c r="E2177" s="747"/>
      <c r="F2177" s="748">
        <v>30105</v>
      </c>
      <c r="G2177" s="747">
        <f t="shared" si="40"/>
        <v>-30105</v>
      </c>
      <c r="H2177" s="1161"/>
    </row>
    <row r="2178" spans="1:8" x14ac:dyDescent="0.25">
      <c r="A2178" s="113">
        <v>44610</v>
      </c>
      <c r="B2178" s="21" t="s">
        <v>7657</v>
      </c>
      <c r="C2178" s="13" t="s">
        <v>7242</v>
      </c>
      <c r="D2178" s="766"/>
      <c r="E2178" s="22"/>
      <c r="F2178" s="19">
        <v>400000</v>
      </c>
      <c r="G2178" s="14">
        <f t="shared" si="40"/>
        <v>-400000</v>
      </c>
      <c r="H2178" s="13" t="s">
        <v>7679</v>
      </c>
    </row>
    <row r="2179" spans="1:8" ht="18.75" x14ac:dyDescent="0.3">
      <c r="A2179" s="113">
        <v>44610</v>
      </c>
      <c r="B2179" s="695" t="s">
        <v>6505</v>
      </c>
      <c r="C2179" s="13"/>
      <c r="D2179" s="766"/>
      <c r="E2179" s="22"/>
      <c r="F2179" s="19"/>
      <c r="G2179" s="14">
        <f t="shared" si="40"/>
        <v>0</v>
      </c>
      <c r="H2179" s="13"/>
    </row>
    <row r="2180" spans="1:8" ht="18.75" x14ac:dyDescent="0.3">
      <c r="A2180" s="113">
        <v>44610</v>
      </c>
      <c r="B2180" s="695" t="s">
        <v>7126</v>
      </c>
      <c r="C2180" s="13"/>
      <c r="D2180" s="766"/>
      <c r="E2180" s="22"/>
      <c r="F2180" s="19"/>
      <c r="G2180" s="14">
        <f t="shared" si="40"/>
        <v>0</v>
      </c>
      <c r="H2180" s="13"/>
    </row>
    <row r="2181" spans="1:8" ht="18.75" x14ac:dyDescent="0.3">
      <c r="A2181" s="113">
        <v>44610</v>
      </c>
      <c r="B2181" s="695" t="s">
        <v>6647</v>
      </c>
      <c r="C2181" s="13"/>
      <c r="D2181" s="766"/>
      <c r="E2181" s="22"/>
      <c r="F2181" s="19"/>
      <c r="G2181" s="14">
        <f t="shared" si="40"/>
        <v>0</v>
      </c>
      <c r="H2181" s="13"/>
    </row>
    <row r="2182" spans="1:8" ht="18.75" x14ac:dyDescent="0.3">
      <c r="A2182" s="113">
        <v>44610</v>
      </c>
      <c r="B2182" s="695" t="s">
        <v>7732</v>
      </c>
      <c r="C2182" s="13"/>
      <c r="D2182" s="766"/>
      <c r="E2182" s="22"/>
      <c r="F2182" s="19"/>
      <c r="G2182" s="14">
        <f t="shared" si="40"/>
        <v>0</v>
      </c>
      <c r="H2182" s="13"/>
    </row>
    <row r="2183" spans="1:8" ht="18.75" x14ac:dyDescent="0.3">
      <c r="A2183" s="113">
        <v>44610</v>
      </c>
      <c r="B2183" s="695" t="s">
        <v>7746</v>
      </c>
      <c r="C2183" s="13"/>
      <c r="D2183" s="766"/>
      <c r="E2183" s="22"/>
      <c r="F2183" s="19"/>
      <c r="G2183" s="14">
        <f t="shared" si="40"/>
        <v>0</v>
      </c>
      <c r="H2183" s="13"/>
    </row>
    <row r="2184" spans="1:8" x14ac:dyDescent="0.25">
      <c r="A2184" s="113">
        <v>44524</v>
      </c>
      <c r="B2184" s="21" t="s">
        <v>7112</v>
      </c>
      <c r="C2184" s="13" t="s">
        <v>7242</v>
      </c>
      <c r="D2184" s="766">
        <v>563</v>
      </c>
      <c r="E2184" s="22">
        <v>12000</v>
      </c>
      <c r="F2184" s="19"/>
      <c r="G2184" s="14">
        <f t="shared" si="40"/>
        <v>12000</v>
      </c>
      <c r="H2184" s="13" t="s">
        <v>7696</v>
      </c>
    </row>
    <row r="2185" spans="1:8" x14ac:dyDescent="0.25">
      <c r="A2185" s="113">
        <v>44615</v>
      </c>
      <c r="B2185" s="21" t="s">
        <v>7657</v>
      </c>
      <c r="C2185" s="13" t="s">
        <v>7242</v>
      </c>
      <c r="D2185" s="778" t="s">
        <v>7683</v>
      </c>
      <c r="E2185" s="22">
        <f>317140-66360</f>
        <v>250780</v>
      </c>
      <c r="F2185" s="19"/>
      <c r="G2185" s="14">
        <f t="shared" si="40"/>
        <v>250780</v>
      </c>
      <c r="H2185" s="13"/>
    </row>
    <row r="2186" spans="1:8" x14ac:dyDescent="0.25">
      <c r="A2186" s="113">
        <v>44615</v>
      </c>
      <c r="B2186" s="21" t="s">
        <v>37</v>
      </c>
      <c r="C2186" s="13" t="s">
        <v>7242</v>
      </c>
      <c r="D2186" s="778"/>
      <c r="E2186" s="22">
        <v>66360</v>
      </c>
      <c r="F2186" s="19"/>
      <c r="G2186" s="14">
        <f t="shared" si="40"/>
        <v>66360</v>
      </c>
      <c r="H2186" s="13"/>
    </row>
    <row r="2187" spans="1:8" x14ac:dyDescent="0.25">
      <c r="A2187" s="113">
        <v>44615</v>
      </c>
      <c r="B2187" s="21" t="s">
        <v>7555</v>
      </c>
      <c r="C2187" s="13" t="s">
        <v>7242</v>
      </c>
      <c r="D2187" s="778" t="s">
        <v>7684</v>
      </c>
      <c r="E2187" s="22">
        <v>140020</v>
      </c>
      <c r="F2187" s="19"/>
      <c r="G2187" s="14">
        <f t="shared" si="40"/>
        <v>140020</v>
      </c>
      <c r="H2187" s="13" t="s">
        <v>7697</v>
      </c>
    </row>
    <row r="2188" spans="1:8" x14ac:dyDescent="0.25">
      <c r="A2188" s="113">
        <v>44608</v>
      </c>
      <c r="B2188" s="21" t="s">
        <v>7657</v>
      </c>
      <c r="C2188" s="13" t="s">
        <v>166</v>
      </c>
      <c r="D2188" s="766">
        <v>18094</v>
      </c>
      <c r="E2188" s="22">
        <v>80000</v>
      </c>
      <c r="F2188" s="19"/>
      <c r="G2188" s="14">
        <f t="shared" si="40"/>
        <v>80000</v>
      </c>
      <c r="H2188" s="13" t="s">
        <v>7698</v>
      </c>
    </row>
    <row r="2189" spans="1:8" x14ac:dyDescent="0.25">
      <c r="A2189" s="113">
        <v>44627</v>
      </c>
      <c r="B2189" s="21" t="s">
        <v>7657</v>
      </c>
      <c r="C2189" s="13" t="s">
        <v>7242</v>
      </c>
      <c r="D2189" s="766"/>
      <c r="E2189" s="22"/>
      <c r="F2189" s="19">
        <v>233640</v>
      </c>
      <c r="G2189" s="14">
        <f t="shared" si="40"/>
        <v>-233640</v>
      </c>
      <c r="H2189" s="1175" t="s">
        <v>7896</v>
      </c>
    </row>
    <row r="2190" spans="1:8" x14ac:dyDescent="0.25">
      <c r="A2190" s="113">
        <v>44627</v>
      </c>
      <c r="B2190" s="21" t="s">
        <v>37</v>
      </c>
      <c r="C2190" s="13" t="s">
        <v>7242</v>
      </c>
      <c r="D2190" s="766"/>
      <c r="E2190" s="22"/>
      <c r="F2190" s="19">
        <v>66360</v>
      </c>
      <c r="G2190" s="14">
        <f t="shared" si="40"/>
        <v>-66360</v>
      </c>
      <c r="H2190" s="1175"/>
    </row>
    <row r="2191" spans="1:8" x14ac:dyDescent="0.25">
      <c r="A2191" s="113">
        <v>44627</v>
      </c>
      <c r="B2191" s="21" t="s">
        <v>1400</v>
      </c>
      <c r="C2191" s="746" t="s">
        <v>166</v>
      </c>
      <c r="D2191" s="766"/>
      <c r="E2191" s="747"/>
      <c r="F2191" s="747">
        <v>204468</v>
      </c>
      <c r="G2191" s="747">
        <f t="shared" si="40"/>
        <v>-204468</v>
      </c>
      <c r="H2191" s="1176" t="s">
        <v>7786</v>
      </c>
    </row>
    <row r="2192" spans="1:8" x14ac:dyDescent="0.25">
      <c r="A2192" s="113">
        <v>44627</v>
      </c>
      <c r="B2192" s="21" t="s">
        <v>7067</v>
      </c>
      <c r="C2192" s="746" t="s">
        <v>166</v>
      </c>
      <c r="D2192" s="766"/>
      <c r="E2192" s="747"/>
      <c r="F2192" s="747">
        <v>12627</v>
      </c>
      <c r="G2192" s="747">
        <f t="shared" ref="G2192:G2312" si="41">E2192-F2192</f>
        <v>-12627</v>
      </c>
      <c r="H2192" s="1176"/>
    </row>
    <row r="2193" spans="1:8" x14ac:dyDescent="0.25">
      <c r="A2193" s="113">
        <v>44627</v>
      </c>
      <c r="B2193" s="21" t="s">
        <v>7657</v>
      </c>
      <c r="C2193" s="746" t="s">
        <v>166</v>
      </c>
      <c r="D2193" s="766"/>
      <c r="E2193" s="747"/>
      <c r="F2193" s="747">
        <v>80000</v>
      </c>
      <c r="G2193" s="747">
        <f t="shared" si="41"/>
        <v>-80000</v>
      </c>
      <c r="H2193" s="1176"/>
    </row>
    <row r="2194" spans="1:8" x14ac:dyDescent="0.25">
      <c r="A2194" s="113">
        <v>44627</v>
      </c>
      <c r="B2194" s="21" t="s">
        <v>6955</v>
      </c>
      <c r="C2194" s="746" t="s">
        <v>166</v>
      </c>
      <c r="D2194" s="766"/>
      <c r="E2194" s="747"/>
      <c r="F2194" s="747">
        <v>2905</v>
      </c>
      <c r="G2194" s="747">
        <f t="shared" si="41"/>
        <v>-2905</v>
      </c>
      <c r="H2194" s="1176"/>
    </row>
    <row r="2195" spans="1:8" x14ac:dyDescent="0.25">
      <c r="A2195" s="113">
        <v>44613</v>
      </c>
      <c r="B2195" s="21" t="s">
        <v>82</v>
      </c>
      <c r="C2195" s="13" t="s">
        <v>438</v>
      </c>
      <c r="D2195" s="766">
        <v>23424</v>
      </c>
      <c r="E2195" s="22">
        <v>1080</v>
      </c>
      <c r="F2195" s="19"/>
      <c r="G2195" s="20">
        <f t="shared" si="41"/>
        <v>1080</v>
      </c>
      <c r="H2195" s="13"/>
    </row>
    <row r="2196" spans="1:8" x14ac:dyDescent="0.25">
      <c r="A2196" s="113">
        <v>44621</v>
      </c>
      <c r="B2196" s="21" t="s">
        <v>82</v>
      </c>
      <c r="C2196" s="13" t="s">
        <v>438</v>
      </c>
      <c r="D2196" s="766">
        <v>23440</v>
      </c>
      <c r="E2196" s="22">
        <v>313700</v>
      </c>
      <c r="F2196" s="19"/>
      <c r="G2196" s="20">
        <f t="shared" si="41"/>
        <v>313700</v>
      </c>
      <c r="H2196" s="13"/>
    </row>
    <row r="2197" spans="1:8" x14ac:dyDescent="0.25">
      <c r="A2197" s="113">
        <v>44622</v>
      </c>
      <c r="B2197" s="21" t="s">
        <v>82</v>
      </c>
      <c r="C2197" s="13" t="s">
        <v>438</v>
      </c>
      <c r="D2197" s="766">
        <v>23442</v>
      </c>
      <c r="E2197" s="22">
        <v>9010</v>
      </c>
      <c r="F2197" s="19"/>
      <c r="G2197" s="20">
        <f t="shared" si="41"/>
        <v>9010</v>
      </c>
      <c r="H2197" s="13"/>
    </row>
    <row r="2198" spans="1:8" x14ac:dyDescent="0.25">
      <c r="A2198" s="113">
        <v>44622</v>
      </c>
      <c r="B2198" s="21" t="s">
        <v>82</v>
      </c>
      <c r="C2198" s="13" t="s">
        <v>438</v>
      </c>
      <c r="D2198" s="766">
        <v>23444</v>
      </c>
      <c r="E2198" s="22">
        <v>600</v>
      </c>
      <c r="F2198" s="19"/>
      <c r="G2198" s="20">
        <f t="shared" si="41"/>
        <v>600</v>
      </c>
      <c r="H2198" s="13"/>
    </row>
    <row r="2199" spans="1:8" x14ac:dyDescent="0.25">
      <c r="A2199" s="113">
        <v>44627</v>
      </c>
      <c r="B2199" s="21" t="s">
        <v>82</v>
      </c>
      <c r="C2199" s="13" t="s">
        <v>438</v>
      </c>
      <c r="D2199" s="766">
        <v>23449</v>
      </c>
      <c r="E2199" s="22">
        <v>4800</v>
      </c>
      <c r="F2199" s="19"/>
      <c r="G2199" s="20">
        <f t="shared" si="41"/>
        <v>4800</v>
      </c>
      <c r="H2199" s="13"/>
    </row>
    <row r="2200" spans="1:8" x14ac:dyDescent="0.25">
      <c r="A2200" s="113">
        <v>44628</v>
      </c>
      <c r="B2200" s="21" t="s">
        <v>82</v>
      </c>
      <c r="C2200" s="13" t="s">
        <v>438</v>
      </c>
      <c r="D2200" s="766">
        <v>23451</v>
      </c>
      <c r="E2200" s="22">
        <v>86100</v>
      </c>
      <c r="F2200" s="19"/>
      <c r="G2200" s="20">
        <f t="shared" si="41"/>
        <v>86100</v>
      </c>
      <c r="H2200" s="13"/>
    </row>
    <row r="2201" spans="1:8" x14ac:dyDescent="0.25">
      <c r="A2201" s="113">
        <v>44627</v>
      </c>
      <c r="B2201" s="21" t="s">
        <v>7555</v>
      </c>
      <c r="C2201" s="13" t="s">
        <v>7242</v>
      </c>
      <c r="D2201" s="778" t="s">
        <v>7704</v>
      </c>
      <c r="E2201" s="22">
        <f>3040+22935</f>
        <v>25975</v>
      </c>
      <c r="F2201" s="19"/>
      <c r="G2201" s="20">
        <f t="shared" si="41"/>
        <v>25975</v>
      </c>
      <c r="H2201" s="1177" t="s">
        <v>7705</v>
      </c>
    </row>
    <row r="2202" spans="1:8" x14ac:dyDescent="0.25">
      <c r="A2202" s="113">
        <v>44627</v>
      </c>
      <c r="B2202" s="21" t="s">
        <v>7657</v>
      </c>
      <c r="C2202" s="13" t="s">
        <v>7242</v>
      </c>
      <c r="D2202" s="778" t="s">
        <v>7704</v>
      </c>
      <c r="E2202" s="22">
        <v>19800</v>
      </c>
      <c r="F2202" s="19"/>
      <c r="G2202" s="20">
        <f t="shared" si="41"/>
        <v>19800</v>
      </c>
      <c r="H2202" s="1177"/>
    </row>
    <row r="2203" spans="1:8" x14ac:dyDescent="0.25">
      <c r="A2203" s="113">
        <v>44637</v>
      </c>
      <c r="B2203" s="21" t="s">
        <v>7657</v>
      </c>
      <c r="C2203" s="13" t="s">
        <v>5681</v>
      </c>
      <c r="D2203" s="766">
        <v>35</v>
      </c>
      <c r="E2203" s="22">
        <f>11300+8400+7000+11700+2500</f>
        <v>40900</v>
      </c>
      <c r="F2203" s="19"/>
      <c r="G2203" s="20">
        <f t="shared" si="41"/>
        <v>40900</v>
      </c>
      <c r="H2203" s="1177" t="s">
        <v>7705</v>
      </c>
    </row>
    <row r="2204" spans="1:8" x14ac:dyDescent="0.25">
      <c r="A2204" s="113">
        <v>44637</v>
      </c>
      <c r="B2204" s="21" t="s">
        <v>7555</v>
      </c>
      <c r="C2204" s="13" t="s">
        <v>5681</v>
      </c>
      <c r="D2204" s="766">
        <v>35</v>
      </c>
      <c r="E2204" s="22">
        <f>7600+3500</f>
        <v>11100</v>
      </c>
      <c r="F2204" s="19"/>
      <c r="G2204" s="20">
        <f t="shared" si="41"/>
        <v>11100</v>
      </c>
      <c r="H2204" s="1177"/>
    </row>
    <row r="2205" spans="1:8" x14ac:dyDescent="0.25">
      <c r="A2205" s="113">
        <v>44625</v>
      </c>
      <c r="B2205" s="21" t="s">
        <v>7657</v>
      </c>
      <c r="C2205" s="13" t="s">
        <v>166</v>
      </c>
      <c r="D2205" s="778" t="s">
        <v>7729</v>
      </c>
      <c r="E2205" s="22">
        <v>48000</v>
      </c>
      <c r="F2205" s="19"/>
      <c r="G2205" s="20">
        <f t="shared" si="41"/>
        <v>48000</v>
      </c>
      <c r="H2205" s="13"/>
    </row>
    <row r="2206" spans="1:8" x14ac:dyDescent="0.25">
      <c r="A2206" s="113">
        <v>44628</v>
      </c>
      <c r="B2206" s="21" t="s">
        <v>6505</v>
      </c>
      <c r="C2206" s="13" t="s">
        <v>166</v>
      </c>
      <c r="D2206" s="778" t="s">
        <v>7730</v>
      </c>
      <c r="E2206" s="22">
        <v>51585</v>
      </c>
      <c r="F2206" s="19"/>
      <c r="G2206" s="20">
        <f t="shared" si="41"/>
        <v>51585</v>
      </c>
      <c r="H2206" s="13"/>
    </row>
    <row r="2207" spans="1:8" x14ac:dyDescent="0.25">
      <c r="A2207" s="113">
        <v>44628</v>
      </c>
      <c r="B2207" s="21" t="s">
        <v>7657</v>
      </c>
      <c r="C2207" s="13" t="s">
        <v>166</v>
      </c>
      <c r="D2207" s="778" t="s">
        <v>7731</v>
      </c>
      <c r="E2207" s="22">
        <v>32000</v>
      </c>
      <c r="F2207" s="19"/>
      <c r="G2207" s="14">
        <f t="shared" si="41"/>
        <v>32000</v>
      </c>
      <c r="H2207" s="13"/>
    </row>
    <row r="2208" spans="1:8" x14ac:dyDescent="0.25">
      <c r="A2208" s="113">
        <v>44644</v>
      </c>
      <c r="B2208" s="21" t="s">
        <v>7657</v>
      </c>
      <c r="C2208" s="13" t="s">
        <v>7242</v>
      </c>
      <c r="D2208" s="766"/>
      <c r="E2208" s="22"/>
      <c r="F2208" s="19">
        <v>250000</v>
      </c>
      <c r="G2208" s="14">
        <f t="shared" si="41"/>
        <v>-250000</v>
      </c>
      <c r="H2208" s="13" t="s">
        <v>7744</v>
      </c>
    </row>
    <row r="2209" spans="1:8" x14ac:dyDescent="0.25">
      <c r="A2209" s="113">
        <v>44644</v>
      </c>
      <c r="B2209" s="21" t="s">
        <v>7067</v>
      </c>
      <c r="C2209" s="13" t="s">
        <v>162</v>
      </c>
      <c r="D2209" s="766"/>
      <c r="E2209" s="22"/>
      <c r="F2209" s="19">
        <v>100000</v>
      </c>
      <c r="G2209" s="14">
        <f t="shared" si="41"/>
        <v>-100000</v>
      </c>
      <c r="H2209" s="13" t="s">
        <v>7745</v>
      </c>
    </row>
    <row r="2210" spans="1:8" x14ac:dyDescent="0.25">
      <c r="A2210" s="113">
        <v>44615</v>
      </c>
      <c r="B2210" s="21" t="s">
        <v>7112</v>
      </c>
      <c r="C2210" s="13" t="s">
        <v>164</v>
      </c>
      <c r="D2210" s="766">
        <v>2122</v>
      </c>
      <c r="E2210" s="22">
        <v>154593</v>
      </c>
      <c r="F2210" s="19"/>
      <c r="G2210" s="14">
        <f t="shared" si="41"/>
        <v>154593</v>
      </c>
      <c r="H2210" s="13"/>
    </row>
    <row r="2211" spans="1:8" x14ac:dyDescent="0.25">
      <c r="A2211" s="113">
        <v>44615</v>
      </c>
      <c r="B2211" s="21" t="s">
        <v>7112</v>
      </c>
      <c r="C2211" s="13" t="s">
        <v>164</v>
      </c>
      <c r="D2211" s="766"/>
      <c r="E2211" s="22"/>
      <c r="F2211" s="19">
        <v>37626</v>
      </c>
      <c r="G2211" s="14">
        <f t="shared" si="41"/>
        <v>-37626</v>
      </c>
      <c r="H2211" s="13"/>
    </row>
    <row r="2212" spans="1:8" x14ac:dyDescent="0.25">
      <c r="A2212" s="113">
        <v>44644</v>
      </c>
      <c r="B2212" s="21" t="s">
        <v>7746</v>
      </c>
      <c r="C2212" s="13" t="s">
        <v>180</v>
      </c>
      <c r="D2212" s="766">
        <v>155</v>
      </c>
      <c r="E2212" s="22">
        <v>78490</v>
      </c>
      <c r="F2212" s="19"/>
      <c r="G2212" s="14">
        <f t="shared" si="41"/>
        <v>78490</v>
      </c>
      <c r="H2212" s="13"/>
    </row>
    <row r="2213" spans="1:8" x14ac:dyDescent="0.25">
      <c r="A2213" s="113">
        <v>44644</v>
      </c>
      <c r="B2213" s="21" t="s">
        <v>7732</v>
      </c>
      <c r="C2213" s="13" t="s">
        <v>180</v>
      </c>
      <c r="D2213" s="766">
        <v>154</v>
      </c>
      <c r="E2213" s="22">
        <v>44990</v>
      </c>
      <c r="F2213" s="19"/>
      <c r="G2213" s="14">
        <f t="shared" si="41"/>
        <v>44990</v>
      </c>
      <c r="H2213" s="13"/>
    </row>
    <row r="2214" spans="1:8" x14ac:dyDescent="0.25">
      <c r="A2214" s="113">
        <v>44644</v>
      </c>
      <c r="B2214" s="21" t="s">
        <v>7732</v>
      </c>
      <c r="C2214" s="13" t="s">
        <v>180</v>
      </c>
      <c r="D2214" s="766">
        <v>156</v>
      </c>
      <c r="E2214" s="22">
        <v>113720</v>
      </c>
      <c r="F2214" s="19"/>
      <c r="G2214" s="14">
        <f t="shared" si="41"/>
        <v>113720</v>
      </c>
      <c r="H2214" s="13"/>
    </row>
    <row r="2215" spans="1:8" x14ac:dyDescent="0.25">
      <c r="A2215" s="113">
        <v>44636</v>
      </c>
      <c r="B2215" s="21" t="s">
        <v>7657</v>
      </c>
      <c r="C2215" s="13" t="s">
        <v>166</v>
      </c>
      <c r="D2215" s="766">
        <v>18237</v>
      </c>
      <c r="E2215" s="22">
        <v>42000</v>
      </c>
      <c r="F2215" s="19"/>
      <c r="G2215" s="14">
        <f t="shared" si="41"/>
        <v>42000</v>
      </c>
      <c r="H2215" s="13"/>
    </row>
    <row r="2216" spans="1:8" x14ac:dyDescent="0.25">
      <c r="A2216" s="113">
        <v>44645</v>
      </c>
      <c r="B2216" s="21" t="s">
        <v>7746</v>
      </c>
      <c r="C2216" s="13" t="s">
        <v>166</v>
      </c>
      <c r="D2216" s="766">
        <v>18276</v>
      </c>
      <c r="E2216" s="22">
        <v>24000</v>
      </c>
      <c r="F2216" s="19"/>
      <c r="G2216" s="14">
        <f t="shared" si="41"/>
        <v>24000</v>
      </c>
      <c r="H2216" s="13"/>
    </row>
    <row r="2217" spans="1:8" x14ac:dyDescent="0.25">
      <c r="A2217" s="113">
        <v>44645</v>
      </c>
      <c r="B2217" s="21" t="s">
        <v>7555</v>
      </c>
      <c r="C2217" s="13" t="s">
        <v>166</v>
      </c>
      <c r="D2217" s="766">
        <v>18274</v>
      </c>
      <c r="E2217" s="22">
        <v>16000</v>
      </c>
      <c r="F2217" s="19"/>
      <c r="G2217" s="14">
        <f t="shared" si="41"/>
        <v>16000</v>
      </c>
      <c r="H2217" s="13"/>
    </row>
    <row r="2218" spans="1:8" x14ac:dyDescent="0.25">
      <c r="A2218" s="113">
        <v>44645</v>
      </c>
      <c r="B2218" s="21" t="s">
        <v>37</v>
      </c>
      <c r="C2218" s="13" t="s">
        <v>166</v>
      </c>
      <c r="D2218" s="766">
        <v>18275</v>
      </c>
      <c r="E2218" s="22">
        <v>8000</v>
      </c>
      <c r="F2218" s="19"/>
      <c r="G2218" s="14">
        <f t="shared" si="41"/>
        <v>8000</v>
      </c>
      <c r="H2218" s="13"/>
    </row>
    <row r="2219" spans="1:8" x14ac:dyDescent="0.25">
      <c r="A2219" s="113">
        <v>44645</v>
      </c>
      <c r="B2219" s="21" t="s">
        <v>6955</v>
      </c>
      <c r="C2219" s="13" t="s">
        <v>166</v>
      </c>
      <c r="D2219" s="766"/>
      <c r="E2219" s="22"/>
      <c r="F2219" s="19">
        <v>2595</v>
      </c>
      <c r="G2219" s="14">
        <f t="shared" si="41"/>
        <v>-2595</v>
      </c>
      <c r="H2219" s="1162" t="s">
        <v>7748</v>
      </c>
    </row>
    <row r="2220" spans="1:8" x14ac:dyDescent="0.25">
      <c r="A2220" s="113">
        <v>44645</v>
      </c>
      <c r="B2220" s="21" t="s">
        <v>6505</v>
      </c>
      <c r="C2220" s="13" t="s">
        <v>166</v>
      </c>
      <c r="D2220" s="766"/>
      <c r="E2220" s="22"/>
      <c r="F2220" s="19">
        <v>51585</v>
      </c>
      <c r="G2220" s="14">
        <f t="shared" si="41"/>
        <v>-51585</v>
      </c>
      <c r="H2220" s="1162"/>
    </row>
    <row r="2221" spans="1:8" x14ac:dyDescent="0.25">
      <c r="A2221" s="113">
        <v>44645</v>
      </c>
      <c r="B2221" s="21" t="s">
        <v>7657</v>
      </c>
      <c r="C2221" s="13" t="s">
        <v>166</v>
      </c>
      <c r="D2221" s="766"/>
      <c r="E2221" s="22"/>
      <c r="F2221" s="19">
        <v>122000</v>
      </c>
      <c r="G2221" s="14">
        <f t="shared" si="41"/>
        <v>-122000</v>
      </c>
      <c r="H2221" s="1162"/>
    </row>
    <row r="2222" spans="1:8" x14ac:dyDescent="0.25">
      <c r="A2222" s="113">
        <v>44645</v>
      </c>
      <c r="B2222" s="21" t="s">
        <v>37</v>
      </c>
      <c r="C2222" s="13" t="s">
        <v>166</v>
      </c>
      <c r="D2222" s="766"/>
      <c r="E2222" s="22"/>
      <c r="F2222" s="19">
        <v>8000</v>
      </c>
      <c r="G2222" s="14">
        <f t="shared" si="41"/>
        <v>-8000</v>
      </c>
      <c r="H2222" s="1162"/>
    </row>
    <row r="2223" spans="1:8" x14ac:dyDescent="0.25">
      <c r="A2223" s="113">
        <v>44645</v>
      </c>
      <c r="B2223" s="21" t="s">
        <v>7555</v>
      </c>
      <c r="C2223" s="13" t="s">
        <v>166</v>
      </c>
      <c r="D2223" s="766"/>
      <c r="E2223" s="22"/>
      <c r="F2223" s="19">
        <v>7857</v>
      </c>
      <c r="G2223" s="14">
        <f t="shared" si="41"/>
        <v>-7857</v>
      </c>
      <c r="H2223" s="1162"/>
    </row>
    <row r="2224" spans="1:8" x14ac:dyDescent="0.25">
      <c r="A2224" s="113">
        <v>44651</v>
      </c>
      <c r="B2224" s="21" t="s">
        <v>7067</v>
      </c>
      <c r="C2224" s="13" t="s">
        <v>164</v>
      </c>
      <c r="D2224" s="766"/>
      <c r="E2224" s="22"/>
      <c r="F2224" s="19">
        <v>100000</v>
      </c>
      <c r="G2224" s="14">
        <f t="shared" si="41"/>
        <v>-100000</v>
      </c>
      <c r="H2224" s="1176" t="s">
        <v>7750</v>
      </c>
    </row>
    <row r="2225" spans="1:8" x14ac:dyDescent="0.25">
      <c r="A2225" s="113">
        <v>44651</v>
      </c>
      <c r="B2225" s="21" t="s">
        <v>7112</v>
      </c>
      <c r="C2225" s="13" t="s">
        <v>164</v>
      </c>
      <c r="D2225" s="766"/>
      <c r="E2225" s="22"/>
      <c r="F2225" s="19">
        <v>100000</v>
      </c>
      <c r="G2225" s="14">
        <f t="shared" si="41"/>
        <v>-100000</v>
      </c>
      <c r="H2225" s="1176"/>
    </row>
    <row r="2226" spans="1:8" x14ac:dyDescent="0.25">
      <c r="A2226" s="113">
        <v>44648</v>
      </c>
      <c r="B2226" s="21" t="s">
        <v>7657</v>
      </c>
      <c r="C2226" s="13" t="s">
        <v>7242</v>
      </c>
      <c r="D2226" s="778" t="s">
        <v>7751</v>
      </c>
      <c r="E2226" s="22">
        <f>29600+55255</f>
        <v>84855</v>
      </c>
      <c r="F2226" s="19"/>
      <c r="G2226" s="14">
        <f t="shared" si="41"/>
        <v>84855</v>
      </c>
      <c r="H2226" s="13"/>
    </row>
    <row r="2227" spans="1:8" x14ac:dyDescent="0.25">
      <c r="A2227" s="113">
        <v>44648</v>
      </c>
      <c r="B2227" s="21" t="s">
        <v>7555</v>
      </c>
      <c r="C2227" s="13" t="s">
        <v>7242</v>
      </c>
      <c r="D2227" s="778" t="s">
        <v>7751</v>
      </c>
      <c r="E2227" s="22">
        <v>16115</v>
      </c>
      <c r="F2227" s="19"/>
      <c r="G2227" s="14">
        <f t="shared" si="41"/>
        <v>16115</v>
      </c>
      <c r="H2227" s="13"/>
    </row>
    <row r="2228" spans="1:8" x14ac:dyDescent="0.25">
      <c r="A2228" s="113">
        <v>44648</v>
      </c>
      <c r="B2228" s="21" t="s">
        <v>7746</v>
      </c>
      <c r="C2228" s="13" t="s">
        <v>7242</v>
      </c>
      <c r="D2228" s="778" t="s">
        <v>7751</v>
      </c>
      <c r="E2228" s="22">
        <f>47945+55685+5400</f>
        <v>109030</v>
      </c>
      <c r="F2228" s="19"/>
      <c r="G2228" s="14">
        <f t="shared" si="41"/>
        <v>109030</v>
      </c>
      <c r="H2228" s="13"/>
    </row>
    <row r="2229" spans="1:8" x14ac:dyDescent="0.25">
      <c r="A2229" s="113">
        <v>44651</v>
      </c>
      <c r="B2229" s="21" t="s">
        <v>7112</v>
      </c>
      <c r="C2229" s="13" t="s">
        <v>5187</v>
      </c>
      <c r="D2229" s="766"/>
      <c r="E2229" s="22"/>
      <c r="F2229" s="19">
        <v>25000</v>
      </c>
      <c r="G2229" s="14">
        <f t="shared" si="41"/>
        <v>-25000</v>
      </c>
      <c r="H2229" s="691" t="s">
        <v>7752</v>
      </c>
    </row>
    <row r="2230" spans="1:8" x14ac:dyDescent="0.25">
      <c r="A2230" s="113">
        <v>44651</v>
      </c>
      <c r="B2230" s="21" t="s">
        <v>7657</v>
      </c>
      <c r="C2230" s="13" t="s">
        <v>7242</v>
      </c>
      <c r="D2230" s="766"/>
      <c r="E2230" s="22"/>
      <c r="F2230" s="19">
        <v>150000</v>
      </c>
      <c r="G2230" s="14">
        <f t="shared" si="41"/>
        <v>-150000</v>
      </c>
      <c r="H2230" s="691" t="s">
        <v>7753</v>
      </c>
    </row>
    <row r="2231" spans="1:8" x14ac:dyDescent="0.25">
      <c r="A2231" s="113">
        <v>44651</v>
      </c>
      <c r="B2231" s="21" t="s">
        <v>7732</v>
      </c>
      <c r="C2231" s="13" t="s">
        <v>180</v>
      </c>
      <c r="D2231" s="766"/>
      <c r="E2231" s="22"/>
      <c r="F2231" s="19">
        <v>158000</v>
      </c>
      <c r="G2231" s="14">
        <f t="shared" si="41"/>
        <v>-158000</v>
      </c>
      <c r="H2231" s="1179" t="s">
        <v>7754</v>
      </c>
    </row>
    <row r="2232" spans="1:8" x14ac:dyDescent="0.25">
      <c r="A2232" s="113">
        <v>44651</v>
      </c>
      <c r="B2232" s="21" t="s">
        <v>7732</v>
      </c>
      <c r="C2232" s="13" t="s">
        <v>180</v>
      </c>
      <c r="D2232" s="766" t="s">
        <v>3918</v>
      </c>
      <c r="E2232" s="22"/>
      <c r="F2232" s="19">
        <v>710</v>
      </c>
      <c r="G2232" s="14">
        <f t="shared" si="41"/>
        <v>-710</v>
      </c>
      <c r="H2232" s="1179"/>
    </row>
    <row r="2233" spans="1:8" x14ac:dyDescent="0.25">
      <c r="A2233" s="113">
        <v>44650</v>
      </c>
      <c r="B2233" s="21" t="s">
        <v>7746</v>
      </c>
      <c r="C2233" s="13" t="s">
        <v>5681</v>
      </c>
      <c r="D2233" s="766">
        <v>36</v>
      </c>
      <c r="E2233" s="22">
        <v>74800</v>
      </c>
      <c r="F2233" s="19"/>
      <c r="G2233" s="14">
        <f t="shared" si="41"/>
        <v>74800</v>
      </c>
      <c r="H2233" s="13"/>
    </row>
    <row r="2234" spans="1:8" x14ac:dyDescent="0.25">
      <c r="A2234" s="113">
        <v>44638</v>
      </c>
      <c r="B2234" s="21" t="s">
        <v>7746</v>
      </c>
      <c r="C2234" s="13" t="s">
        <v>161</v>
      </c>
      <c r="D2234" s="766">
        <v>170</v>
      </c>
      <c r="E2234" s="22">
        <v>33179</v>
      </c>
      <c r="F2234" s="19"/>
      <c r="G2234" s="14">
        <f t="shared" si="41"/>
        <v>33179</v>
      </c>
      <c r="H2234" s="13"/>
    </row>
    <row r="2235" spans="1:8" x14ac:dyDescent="0.25">
      <c r="A2235" s="113">
        <v>44638</v>
      </c>
      <c r="B2235" s="21" t="s">
        <v>7732</v>
      </c>
      <c r="C2235" s="13" t="s">
        <v>161</v>
      </c>
      <c r="D2235" s="766">
        <v>171</v>
      </c>
      <c r="E2235" s="22">
        <v>44651</v>
      </c>
      <c r="F2235" s="19"/>
      <c r="G2235" s="14">
        <f t="shared" si="41"/>
        <v>44651</v>
      </c>
      <c r="H2235" s="13"/>
    </row>
    <row r="2236" spans="1:8" x14ac:dyDescent="0.25">
      <c r="A2236" s="113">
        <v>44656</v>
      </c>
      <c r="B2236" s="21" t="s">
        <v>6505</v>
      </c>
      <c r="C2236" s="13" t="s">
        <v>2196</v>
      </c>
      <c r="D2236" s="766">
        <v>10959</v>
      </c>
      <c r="E2236" s="22">
        <v>48520</v>
      </c>
      <c r="F2236" s="19"/>
      <c r="G2236" s="14">
        <f t="shared" si="41"/>
        <v>48520</v>
      </c>
      <c r="H2236" s="13"/>
    </row>
    <row r="2237" spans="1:8" x14ac:dyDescent="0.25">
      <c r="A2237" s="113">
        <v>44662</v>
      </c>
      <c r="B2237" s="21" t="s">
        <v>7555</v>
      </c>
      <c r="C2237" s="13" t="s">
        <v>7467</v>
      </c>
      <c r="D2237" s="766">
        <v>30000771</v>
      </c>
      <c r="E2237" s="22">
        <v>27115</v>
      </c>
      <c r="F2237" s="19"/>
      <c r="G2237" s="14">
        <f t="shared" si="41"/>
        <v>27115</v>
      </c>
      <c r="H2237" s="13"/>
    </row>
    <row r="2238" spans="1:8" x14ac:dyDescent="0.25">
      <c r="A2238" s="113">
        <v>44664</v>
      </c>
      <c r="B2238" s="21" t="s">
        <v>7555</v>
      </c>
      <c r="C2238" s="13" t="s">
        <v>166</v>
      </c>
      <c r="D2238" s="766">
        <v>18366</v>
      </c>
      <c r="E2238" s="22">
        <v>8000</v>
      </c>
      <c r="F2238" s="19"/>
      <c r="G2238" s="14">
        <f t="shared" si="41"/>
        <v>8000</v>
      </c>
      <c r="H2238" s="13"/>
    </row>
    <row r="2239" spans="1:8" x14ac:dyDescent="0.25">
      <c r="A2239" s="113">
        <v>44669</v>
      </c>
      <c r="B2239" s="21" t="s">
        <v>2652</v>
      </c>
      <c r="C2239" s="13" t="s">
        <v>169</v>
      </c>
      <c r="D2239" s="766"/>
      <c r="E2239" s="22"/>
      <c r="F2239" s="19">
        <v>928409</v>
      </c>
      <c r="G2239" s="14">
        <f t="shared" si="41"/>
        <v>-928409</v>
      </c>
      <c r="H2239" s="13" t="s">
        <v>7806</v>
      </c>
    </row>
    <row r="2240" spans="1:8" x14ac:dyDescent="0.25">
      <c r="A2240" s="113">
        <v>44667</v>
      </c>
      <c r="B2240" s="21" t="s">
        <v>7555</v>
      </c>
      <c r="C2240" s="13" t="s">
        <v>7242</v>
      </c>
      <c r="D2240" s="778" t="s">
        <v>7814</v>
      </c>
      <c r="E2240" s="22">
        <v>32440</v>
      </c>
      <c r="F2240" s="19"/>
      <c r="G2240" s="14">
        <f t="shared" si="41"/>
        <v>32440</v>
      </c>
      <c r="H2240" s="13"/>
    </row>
    <row r="2241" spans="1:8" x14ac:dyDescent="0.25">
      <c r="A2241" s="113">
        <v>44669</v>
      </c>
      <c r="B2241" s="21" t="s">
        <v>7555</v>
      </c>
      <c r="C2241" s="13" t="s">
        <v>7242</v>
      </c>
      <c r="D2241" s="766"/>
      <c r="E2241" s="22"/>
      <c r="F2241" s="19">
        <v>150000</v>
      </c>
      <c r="G2241" s="14">
        <f t="shared" si="41"/>
        <v>-150000</v>
      </c>
      <c r="H2241" s="13" t="s">
        <v>7813</v>
      </c>
    </row>
    <row r="2242" spans="1:8" x14ac:dyDescent="0.25">
      <c r="A2242" s="113">
        <v>44669</v>
      </c>
      <c r="B2242" s="21" t="s">
        <v>7746</v>
      </c>
      <c r="C2242" s="13" t="s">
        <v>7242</v>
      </c>
      <c r="D2242" s="766"/>
      <c r="E2242" s="22"/>
      <c r="F2242" s="19">
        <v>109030</v>
      </c>
      <c r="G2242" s="14">
        <f t="shared" si="41"/>
        <v>-109030</v>
      </c>
      <c r="H2242" s="1179" t="s">
        <v>7813</v>
      </c>
    </row>
    <row r="2243" spans="1:8" x14ac:dyDescent="0.25">
      <c r="A2243" s="113">
        <v>44669</v>
      </c>
      <c r="B2243" s="21" t="s">
        <v>7657</v>
      </c>
      <c r="C2243" s="13" t="s">
        <v>7242</v>
      </c>
      <c r="D2243" s="766"/>
      <c r="E2243" s="22"/>
      <c r="F2243" s="19">
        <v>14740</v>
      </c>
      <c r="G2243" s="14">
        <f t="shared" si="41"/>
        <v>-14740</v>
      </c>
      <c r="H2243" s="1179"/>
    </row>
    <row r="2244" spans="1:8" x14ac:dyDescent="0.25">
      <c r="A2244" s="113">
        <v>44669</v>
      </c>
      <c r="B2244" s="21" t="s">
        <v>7112</v>
      </c>
      <c r="C2244" s="13" t="s">
        <v>7242</v>
      </c>
      <c r="D2244" s="766"/>
      <c r="E2244" s="22"/>
      <c r="F2244" s="19">
        <v>12000</v>
      </c>
      <c r="G2244" s="14">
        <f t="shared" si="41"/>
        <v>-12000</v>
      </c>
      <c r="H2244" s="1179"/>
    </row>
    <row r="2245" spans="1:8" x14ac:dyDescent="0.25">
      <c r="A2245" s="113">
        <v>44669</v>
      </c>
      <c r="B2245" s="21" t="s">
        <v>7555</v>
      </c>
      <c r="C2245" s="13" t="s">
        <v>7242</v>
      </c>
      <c r="D2245" s="766"/>
      <c r="E2245" s="22"/>
      <c r="F2245" s="19">
        <v>14230</v>
      </c>
      <c r="G2245" s="14">
        <f t="shared" si="41"/>
        <v>-14230</v>
      </c>
      <c r="H2245" s="1179"/>
    </row>
    <row r="2246" spans="1:8" x14ac:dyDescent="0.25">
      <c r="A2246" s="113">
        <v>44667</v>
      </c>
      <c r="B2246" s="21" t="s">
        <v>1400</v>
      </c>
      <c r="C2246" s="13" t="s">
        <v>1803</v>
      </c>
      <c r="D2246" s="766"/>
      <c r="E2246" s="22">
        <v>44000</v>
      </c>
      <c r="F2246" s="19"/>
      <c r="G2246" s="14">
        <f t="shared" si="41"/>
        <v>44000</v>
      </c>
      <c r="H2246" s="13" t="s">
        <v>7818</v>
      </c>
    </row>
    <row r="2247" spans="1:8" x14ac:dyDescent="0.25">
      <c r="A2247" s="113">
        <v>44646</v>
      </c>
      <c r="B2247" s="21" t="s">
        <v>6508</v>
      </c>
      <c r="C2247" s="13" t="s">
        <v>1803</v>
      </c>
      <c r="D2247" s="766"/>
      <c r="E2247" s="22"/>
      <c r="F2247" s="19">
        <v>4136</v>
      </c>
      <c r="G2247" s="14">
        <f t="shared" si="41"/>
        <v>-4136</v>
      </c>
      <c r="H2247" s="13" t="s">
        <v>4470</v>
      </c>
    </row>
    <row r="2248" spans="1:8" x14ac:dyDescent="0.25">
      <c r="A2248" s="113">
        <v>44646</v>
      </c>
      <c r="B2248" s="21" t="s">
        <v>6508</v>
      </c>
      <c r="C2248" s="13" t="s">
        <v>1803</v>
      </c>
      <c r="D2248" s="778" t="s">
        <v>7819</v>
      </c>
      <c r="E2248" s="22">
        <v>1767</v>
      </c>
      <c r="F2248" s="19"/>
      <c r="G2248" s="14">
        <f t="shared" si="41"/>
        <v>1767</v>
      </c>
      <c r="H2248" s="13"/>
    </row>
    <row r="2249" spans="1:8" x14ac:dyDescent="0.25">
      <c r="A2249" s="113">
        <v>44646</v>
      </c>
      <c r="B2249" s="21" t="s">
        <v>6508</v>
      </c>
      <c r="C2249" s="13" t="s">
        <v>1803</v>
      </c>
      <c r="D2249" s="766"/>
      <c r="E2249" s="22"/>
      <c r="F2249" s="19">
        <v>47726</v>
      </c>
      <c r="G2249" s="14">
        <f t="shared" si="41"/>
        <v>-47726</v>
      </c>
      <c r="H2249" s="13" t="s">
        <v>4470</v>
      </c>
    </row>
    <row r="2250" spans="1:8" x14ac:dyDescent="0.25">
      <c r="A2250" s="716">
        <v>44676</v>
      </c>
      <c r="B2250" s="717" t="s">
        <v>82</v>
      </c>
      <c r="C2250" s="718" t="s">
        <v>438</v>
      </c>
      <c r="D2250" s="766"/>
      <c r="E2250" s="719"/>
      <c r="F2250" s="720">
        <v>415290</v>
      </c>
      <c r="G2250" s="719">
        <f t="shared" si="41"/>
        <v>-415290</v>
      </c>
      <c r="H2250" s="1206" t="s">
        <v>7845</v>
      </c>
    </row>
    <row r="2251" spans="1:8" x14ac:dyDescent="0.25">
      <c r="A2251" s="716">
        <v>44676</v>
      </c>
      <c r="B2251" s="717" t="s">
        <v>3946</v>
      </c>
      <c r="C2251" s="718" t="s">
        <v>438</v>
      </c>
      <c r="D2251" s="766"/>
      <c r="E2251" s="719"/>
      <c r="F2251" s="720">
        <v>2600</v>
      </c>
      <c r="G2251" s="719">
        <f t="shared" si="41"/>
        <v>-2600</v>
      </c>
      <c r="H2251" s="1206"/>
    </row>
    <row r="2252" spans="1:8" x14ac:dyDescent="0.25">
      <c r="A2252" s="716">
        <v>44676</v>
      </c>
      <c r="B2252" s="717" t="s">
        <v>7112</v>
      </c>
      <c r="C2252" s="718" t="s">
        <v>438</v>
      </c>
      <c r="D2252" s="766"/>
      <c r="E2252" s="719"/>
      <c r="F2252" s="720">
        <v>24420</v>
      </c>
      <c r="G2252" s="719">
        <f t="shared" si="41"/>
        <v>-24420</v>
      </c>
      <c r="H2252" s="1206"/>
    </row>
    <row r="2253" spans="1:8" x14ac:dyDescent="0.25">
      <c r="A2253" s="716">
        <v>44676</v>
      </c>
      <c r="B2253" s="717" t="s">
        <v>1400</v>
      </c>
      <c r="C2253" s="718" t="s">
        <v>438</v>
      </c>
      <c r="D2253" s="766"/>
      <c r="E2253" s="719"/>
      <c r="F2253" s="720">
        <v>57690</v>
      </c>
      <c r="G2253" s="719">
        <f t="shared" si="41"/>
        <v>-57690</v>
      </c>
      <c r="H2253" s="1206"/>
    </row>
    <row r="2254" spans="1:8" x14ac:dyDescent="0.25">
      <c r="A2254" s="113">
        <v>44676</v>
      </c>
      <c r="B2254" s="21" t="s">
        <v>7112</v>
      </c>
      <c r="C2254" s="13" t="s">
        <v>5187</v>
      </c>
      <c r="D2254" s="766"/>
      <c r="E2254" s="22"/>
      <c r="F2254" s="19">
        <v>90000</v>
      </c>
      <c r="G2254" s="14">
        <f t="shared" si="41"/>
        <v>-90000</v>
      </c>
      <c r="H2254" s="13" t="s">
        <v>7855</v>
      </c>
    </row>
    <row r="2255" spans="1:8" x14ac:dyDescent="0.25">
      <c r="A2255" s="113">
        <v>44690</v>
      </c>
      <c r="B2255" s="21" t="s">
        <v>7067</v>
      </c>
      <c r="C2255" s="13" t="s">
        <v>162</v>
      </c>
      <c r="D2255" s="766"/>
      <c r="E2255" s="22"/>
      <c r="F2255" s="19">
        <v>111000</v>
      </c>
      <c r="G2255" s="14">
        <f t="shared" si="41"/>
        <v>-111000</v>
      </c>
      <c r="H2255" s="13" t="s">
        <v>7879</v>
      </c>
    </row>
    <row r="2256" spans="1:8" x14ac:dyDescent="0.25">
      <c r="A2256" s="113">
        <v>44690</v>
      </c>
      <c r="B2256" s="21" t="s">
        <v>7067</v>
      </c>
      <c r="C2256" s="13" t="s">
        <v>162</v>
      </c>
      <c r="D2256" s="766"/>
      <c r="E2256" s="22"/>
      <c r="F2256" s="19">
        <v>142</v>
      </c>
      <c r="G2256" s="14">
        <f t="shared" si="41"/>
        <v>-142</v>
      </c>
      <c r="H2256" s="13" t="s">
        <v>4977</v>
      </c>
    </row>
    <row r="2257" spans="1:8" x14ac:dyDescent="0.25">
      <c r="A2257" s="113">
        <v>44690</v>
      </c>
      <c r="B2257" s="21" t="s">
        <v>7732</v>
      </c>
      <c r="C2257" s="13" t="s">
        <v>162</v>
      </c>
      <c r="D2257" s="766" t="s">
        <v>8384</v>
      </c>
      <c r="E2257" s="22">
        <v>18000</v>
      </c>
      <c r="F2257" s="19"/>
      <c r="G2257" s="14">
        <f t="shared" si="41"/>
        <v>18000</v>
      </c>
      <c r="H2257" s="13" t="s">
        <v>8383</v>
      </c>
    </row>
    <row r="2258" spans="1:8" x14ac:dyDescent="0.25">
      <c r="A2258" s="113">
        <v>44690</v>
      </c>
      <c r="B2258" s="21" t="s">
        <v>7817</v>
      </c>
      <c r="C2258" s="13" t="s">
        <v>162</v>
      </c>
      <c r="D2258" s="766" t="s">
        <v>8385</v>
      </c>
      <c r="E2258" s="22">
        <v>36000</v>
      </c>
      <c r="F2258" s="19"/>
      <c r="G2258" s="14">
        <f t="shared" si="41"/>
        <v>36000</v>
      </c>
      <c r="H2258" s="13" t="s">
        <v>8387</v>
      </c>
    </row>
    <row r="2259" spans="1:8" x14ac:dyDescent="0.25">
      <c r="A2259" s="113">
        <v>44665</v>
      </c>
      <c r="B2259" s="21" t="s">
        <v>1400</v>
      </c>
      <c r="C2259" s="13" t="s">
        <v>166</v>
      </c>
      <c r="D2259" s="766">
        <v>18372</v>
      </c>
      <c r="E2259" s="22">
        <v>32040</v>
      </c>
      <c r="F2259" s="19"/>
      <c r="G2259" s="14">
        <f t="shared" si="41"/>
        <v>32040</v>
      </c>
      <c r="H2259" s="13"/>
    </row>
    <row r="2260" spans="1:8" x14ac:dyDescent="0.25">
      <c r="A2260" s="113">
        <v>44671</v>
      </c>
      <c r="B2260" s="21" t="s">
        <v>7555</v>
      </c>
      <c r="C2260" s="13" t="s">
        <v>166</v>
      </c>
      <c r="D2260" s="766">
        <v>18400</v>
      </c>
      <c r="E2260" s="22">
        <v>9000</v>
      </c>
      <c r="F2260" s="19"/>
      <c r="G2260" s="14">
        <f t="shared" si="41"/>
        <v>9000</v>
      </c>
      <c r="H2260" s="13"/>
    </row>
    <row r="2261" spans="1:8" x14ac:dyDescent="0.25">
      <c r="A2261" s="113">
        <v>44676</v>
      </c>
      <c r="B2261" s="21" t="s">
        <v>1400</v>
      </c>
      <c r="C2261" s="13" t="s">
        <v>166</v>
      </c>
      <c r="D2261" s="766">
        <v>18425</v>
      </c>
      <c r="E2261" s="22">
        <v>85440</v>
      </c>
      <c r="F2261" s="19"/>
      <c r="G2261" s="14">
        <f t="shared" si="41"/>
        <v>85440</v>
      </c>
      <c r="H2261" s="13"/>
    </row>
    <row r="2262" spans="1:8" x14ac:dyDescent="0.25">
      <c r="A2262" s="113">
        <v>44678</v>
      </c>
      <c r="B2262" s="21" t="s">
        <v>7112</v>
      </c>
      <c r="C2262" s="13" t="s">
        <v>166</v>
      </c>
      <c r="D2262" s="766">
        <v>3374</v>
      </c>
      <c r="E2262" s="22">
        <v>3880</v>
      </c>
      <c r="F2262" s="19"/>
      <c r="G2262" s="14">
        <f t="shared" si="41"/>
        <v>3880</v>
      </c>
      <c r="H2262" s="13"/>
    </row>
    <row r="2263" spans="1:8" x14ac:dyDescent="0.25">
      <c r="A2263" s="113">
        <v>44678</v>
      </c>
      <c r="B2263" s="21" t="s">
        <v>7657</v>
      </c>
      <c r="C2263" s="13" t="s">
        <v>166</v>
      </c>
      <c r="D2263" s="766">
        <v>3367</v>
      </c>
      <c r="E2263" s="22">
        <v>3600</v>
      </c>
      <c r="F2263" s="19"/>
      <c r="G2263" s="14">
        <f t="shared" si="41"/>
        <v>3600</v>
      </c>
      <c r="H2263" s="13"/>
    </row>
    <row r="2264" spans="1:8" x14ac:dyDescent="0.25">
      <c r="A2264" s="113">
        <v>44691</v>
      </c>
      <c r="B2264" s="21" t="s">
        <v>7817</v>
      </c>
      <c r="C2264" s="13" t="s">
        <v>166</v>
      </c>
      <c r="D2264" s="766">
        <v>18470</v>
      </c>
      <c r="E2264" s="22">
        <v>8200</v>
      </c>
      <c r="F2264" s="19"/>
      <c r="G2264" s="14">
        <f t="shared" si="41"/>
        <v>8200</v>
      </c>
      <c r="H2264" s="13"/>
    </row>
    <row r="2265" spans="1:8" x14ac:dyDescent="0.25">
      <c r="A2265" s="113">
        <v>44691</v>
      </c>
      <c r="B2265" s="21" t="s">
        <v>1400</v>
      </c>
      <c r="C2265" s="13" t="s">
        <v>166</v>
      </c>
      <c r="D2265" s="766"/>
      <c r="E2265" s="22"/>
      <c r="F2265" s="19">
        <v>1000</v>
      </c>
      <c r="G2265" s="14">
        <f t="shared" si="41"/>
        <v>-1000</v>
      </c>
      <c r="H2265" s="13" t="s">
        <v>4977</v>
      </c>
    </row>
    <row r="2266" spans="1:8" x14ac:dyDescent="0.25">
      <c r="A2266" s="113">
        <v>44695</v>
      </c>
      <c r="B2266" s="21" t="s">
        <v>7817</v>
      </c>
      <c r="C2266" s="13" t="s">
        <v>166</v>
      </c>
      <c r="D2266" s="766">
        <v>3403</v>
      </c>
      <c r="E2266" s="22">
        <v>7620</v>
      </c>
      <c r="F2266" s="19"/>
      <c r="G2266" s="14">
        <f t="shared" si="41"/>
        <v>7620</v>
      </c>
      <c r="H2266" s="13"/>
    </row>
    <row r="2267" spans="1:8" x14ac:dyDescent="0.25">
      <c r="A2267" s="113">
        <v>44695</v>
      </c>
      <c r="B2267" s="21" t="s">
        <v>7657</v>
      </c>
      <c r="C2267" s="13" t="s">
        <v>166</v>
      </c>
      <c r="D2267" s="766"/>
      <c r="E2267" s="22"/>
      <c r="F2267" s="19">
        <v>3600</v>
      </c>
      <c r="G2267" s="14">
        <f t="shared" si="41"/>
        <v>-3600</v>
      </c>
      <c r="H2267" s="1166" t="s">
        <v>7992</v>
      </c>
    </row>
    <row r="2268" spans="1:8" x14ac:dyDescent="0.25">
      <c r="A2268" s="113">
        <v>44695</v>
      </c>
      <c r="B2268" s="21" t="s">
        <v>7112</v>
      </c>
      <c r="C2268" s="13" t="s">
        <v>166</v>
      </c>
      <c r="D2268" s="766"/>
      <c r="E2268" s="22"/>
      <c r="F2268" s="19">
        <v>3880</v>
      </c>
      <c r="G2268" s="14">
        <f t="shared" si="41"/>
        <v>-3880</v>
      </c>
      <c r="H2268" s="1166"/>
    </row>
    <row r="2269" spans="1:8" x14ac:dyDescent="0.25">
      <c r="A2269" s="113">
        <v>44695</v>
      </c>
      <c r="B2269" s="21" t="s">
        <v>7555</v>
      </c>
      <c r="C2269" s="13" t="s">
        <v>166</v>
      </c>
      <c r="D2269" s="766"/>
      <c r="E2269" s="22"/>
      <c r="F2269" s="19">
        <v>25143</v>
      </c>
      <c r="G2269" s="14">
        <f t="shared" si="41"/>
        <v>-25143</v>
      </c>
      <c r="H2269" s="1166"/>
    </row>
    <row r="2270" spans="1:8" x14ac:dyDescent="0.25">
      <c r="A2270" s="113">
        <v>44695</v>
      </c>
      <c r="B2270" s="21" t="s">
        <v>1400</v>
      </c>
      <c r="C2270" s="13" t="s">
        <v>166</v>
      </c>
      <c r="D2270" s="766"/>
      <c r="E2270" s="22"/>
      <c r="F2270" s="19">
        <v>116480</v>
      </c>
      <c r="G2270" s="14">
        <f t="shared" si="41"/>
        <v>-116480</v>
      </c>
      <c r="H2270" s="1166"/>
    </row>
    <row r="2271" spans="1:8" x14ac:dyDescent="0.25">
      <c r="A2271" s="113">
        <v>44695</v>
      </c>
      <c r="B2271" s="21" t="s">
        <v>7746</v>
      </c>
      <c r="C2271" s="13" t="s">
        <v>166</v>
      </c>
      <c r="D2271" s="766"/>
      <c r="E2271" s="22"/>
      <c r="F2271" s="19">
        <v>24000</v>
      </c>
      <c r="G2271" s="14">
        <f t="shared" si="41"/>
        <v>-24000</v>
      </c>
      <c r="H2271" s="1166"/>
    </row>
    <row r="2272" spans="1:8" x14ac:dyDescent="0.25">
      <c r="A2272" s="113">
        <v>44695</v>
      </c>
      <c r="B2272" s="21" t="s">
        <v>7817</v>
      </c>
      <c r="C2272" s="13" t="s">
        <v>166</v>
      </c>
      <c r="D2272" s="766"/>
      <c r="E2272" s="22"/>
      <c r="F2272" s="19">
        <v>15820</v>
      </c>
      <c r="G2272" s="14">
        <f t="shared" si="41"/>
        <v>-15820</v>
      </c>
      <c r="H2272" s="1166"/>
    </row>
    <row r="2273" spans="1:8" x14ac:dyDescent="0.25">
      <c r="A2273" s="113">
        <v>44695</v>
      </c>
      <c r="B2273" s="21" t="s">
        <v>3945</v>
      </c>
      <c r="C2273" s="13" t="s">
        <v>166</v>
      </c>
      <c r="D2273" s="766"/>
      <c r="E2273" s="22"/>
      <c r="F2273" s="19">
        <v>5200</v>
      </c>
      <c r="G2273" s="14">
        <f t="shared" si="41"/>
        <v>-5200</v>
      </c>
      <c r="H2273" s="1166"/>
    </row>
    <row r="2274" spans="1:8" x14ac:dyDescent="0.25">
      <c r="A2274" s="113">
        <v>44695</v>
      </c>
      <c r="B2274" s="21" t="s">
        <v>1400</v>
      </c>
      <c r="C2274" s="13" t="s">
        <v>166</v>
      </c>
      <c r="D2274" s="766"/>
      <c r="E2274" s="22"/>
      <c r="F2274" s="19">
        <v>84852</v>
      </c>
      <c r="G2274" s="14">
        <f t="shared" si="41"/>
        <v>-84852</v>
      </c>
      <c r="H2274" s="1166"/>
    </row>
    <row r="2275" spans="1:8" x14ac:dyDescent="0.25">
      <c r="A2275" s="113">
        <v>44697</v>
      </c>
      <c r="B2275" s="21" t="s">
        <v>7817</v>
      </c>
      <c r="C2275" s="13" t="s">
        <v>161</v>
      </c>
      <c r="D2275" s="766"/>
      <c r="E2275" s="22">
        <v>32024</v>
      </c>
      <c r="F2275" s="19"/>
      <c r="G2275" s="14">
        <f t="shared" si="41"/>
        <v>32024</v>
      </c>
      <c r="H2275" s="13"/>
    </row>
    <row r="2276" spans="1:8" x14ac:dyDescent="0.25">
      <c r="A2276" s="113">
        <v>44705</v>
      </c>
      <c r="B2276" s="21" t="s">
        <v>7746</v>
      </c>
      <c r="C2276" s="13" t="s">
        <v>180</v>
      </c>
      <c r="D2276" s="766"/>
      <c r="E2276" s="22"/>
      <c r="F2276" s="19">
        <v>78400</v>
      </c>
      <c r="G2276" s="14">
        <f t="shared" si="41"/>
        <v>-78400</v>
      </c>
      <c r="H2276" s="13" t="s">
        <v>7899</v>
      </c>
    </row>
    <row r="2277" spans="1:8" x14ac:dyDescent="0.25">
      <c r="A2277" s="113">
        <v>44705</v>
      </c>
      <c r="B2277" s="21" t="s">
        <v>7746</v>
      </c>
      <c r="C2277" s="13" t="s">
        <v>180</v>
      </c>
      <c r="D2277" s="766"/>
      <c r="E2277" s="22"/>
      <c r="F2277" s="19">
        <v>90</v>
      </c>
      <c r="G2277" s="14">
        <f t="shared" si="41"/>
        <v>-90</v>
      </c>
      <c r="H2277" s="13" t="s">
        <v>3918</v>
      </c>
    </row>
    <row r="2278" spans="1:8" x14ac:dyDescent="0.25">
      <c r="A2278" s="113">
        <v>44709</v>
      </c>
      <c r="B2278" s="21" t="s">
        <v>6955</v>
      </c>
      <c r="C2278" s="13" t="s">
        <v>164</v>
      </c>
      <c r="D2278" s="766"/>
      <c r="E2278" s="22"/>
      <c r="F2278" s="19">
        <v>9655</v>
      </c>
      <c r="G2278" s="14">
        <f t="shared" si="41"/>
        <v>-9655</v>
      </c>
      <c r="H2278" s="1164" t="s">
        <v>7900</v>
      </c>
    </row>
    <row r="2279" spans="1:8" x14ac:dyDescent="0.25">
      <c r="A2279" s="113">
        <v>44709</v>
      </c>
      <c r="B2279" s="21" t="s">
        <v>7067</v>
      </c>
      <c r="C2279" s="13" t="s">
        <v>164</v>
      </c>
      <c r="D2279" s="766"/>
      <c r="E2279" s="22"/>
      <c r="F2279" s="19">
        <v>49174</v>
      </c>
      <c r="G2279" s="14">
        <f t="shared" si="41"/>
        <v>-49174</v>
      </c>
      <c r="H2279" s="1164"/>
    </row>
    <row r="2280" spans="1:8" x14ac:dyDescent="0.25">
      <c r="A2280" s="113">
        <v>44709</v>
      </c>
      <c r="B2280" s="21" t="s">
        <v>7112</v>
      </c>
      <c r="C2280" s="13" t="s">
        <v>164</v>
      </c>
      <c r="D2280" s="766"/>
      <c r="E2280" s="22"/>
      <c r="F2280" s="19">
        <v>36997</v>
      </c>
      <c r="G2280" s="14">
        <f t="shared" si="41"/>
        <v>-36997</v>
      </c>
      <c r="H2280" s="1164"/>
    </row>
    <row r="2281" spans="1:8" x14ac:dyDescent="0.25">
      <c r="A2281" s="113">
        <v>44709</v>
      </c>
      <c r="B2281" s="21" t="s">
        <v>7555</v>
      </c>
      <c r="C2281" s="13" t="s">
        <v>164</v>
      </c>
      <c r="D2281" s="766"/>
      <c r="E2281" s="22"/>
      <c r="F2281" s="19">
        <v>4174</v>
      </c>
      <c r="G2281" s="14">
        <f t="shared" si="41"/>
        <v>-4174</v>
      </c>
      <c r="H2281" s="1164"/>
    </row>
    <row r="2282" spans="1:8" x14ac:dyDescent="0.25">
      <c r="A2282" s="113">
        <v>44711</v>
      </c>
      <c r="B2282" s="21" t="s">
        <v>7657</v>
      </c>
      <c r="C2282" s="13" t="s">
        <v>7242</v>
      </c>
      <c r="D2282" s="766"/>
      <c r="E2282" s="22">
        <v>8180</v>
      </c>
      <c r="F2282" s="19"/>
      <c r="G2282" s="14">
        <f t="shared" si="41"/>
        <v>8180</v>
      </c>
      <c r="H2282" s="13"/>
    </row>
    <row r="2283" spans="1:8" x14ac:dyDescent="0.25">
      <c r="A2283" s="113">
        <v>44711</v>
      </c>
      <c r="B2283" s="21" t="s">
        <v>7817</v>
      </c>
      <c r="C2283" s="13" t="s">
        <v>7242</v>
      </c>
      <c r="D2283" s="766"/>
      <c r="E2283" s="22">
        <v>17000</v>
      </c>
      <c r="F2283" s="19"/>
      <c r="G2283" s="14">
        <f t="shared" si="41"/>
        <v>17000</v>
      </c>
      <c r="H2283" s="13"/>
    </row>
    <row r="2284" spans="1:8" x14ac:dyDescent="0.25">
      <c r="A2284" s="113">
        <v>44711</v>
      </c>
      <c r="B2284" s="21" t="s">
        <v>6511</v>
      </c>
      <c r="C2284" s="13" t="s">
        <v>5681</v>
      </c>
      <c r="D2284" s="766"/>
      <c r="E2284" s="22"/>
      <c r="F2284" s="19">
        <v>69500</v>
      </c>
      <c r="G2284" s="14">
        <f t="shared" si="41"/>
        <v>-69500</v>
      </c>
      <c r="H2284" s="1164" t="s">
        <v>7901</v>
      </c>
    </row>
    <row r="2285" spans="1:8" x14ac:dyDescent="0.25">
      <c r="A2285" s="113">
        <v>44711</v>
      </c>
      <c r="B2285" s="21" t="s">
        <v>7555</v>
      </c>
      <c r="C2285" s="13" t="s">
        <v>5681</v>
      </c>
      <c r="D2285" s="766"/>
      <c r="E2285" s="22"/>
      <c r="F2285" s="19">
        <v>5700</v>
      </c>
      <c r="G2285" s="14">
        <f t="shared" si="41"/>
        <v>-5700</v>
      </c>
      <c r="H2285" s="1164"/>
    </row>
    <row r="2286" spans="1:8" x14ac:dyDescent="0.25">
      <c r="A2286" s="113">
        <v>44711</v>
      </c>
      <c r="B2286" s="21" t="s">
        <v>7746</v>
      </c>
      <c r="C2286" s="13" t="s">
        <v>5681</v>
      </c>
      <c r="D2286" s="766"/>
      <c r="E2286" s="22"/>
      <c r="F2286" s="19">
        <v>74800</v>
      </c>
      <c r="G2286" s="14">
        <f t="shared" si="41"/>
        <v>-74800</v>
      </c>
      <c r="H2286" s="1164"/>
    </row>
    <row r="2287" spans="1:8" x14ac:dyDescent="0.25">
      <c r="A2287" s="113">
        <v>44711</v>
      </c>
      <c r="B2287" s="21" t="s">
        <v>7555</v>
      </c>
      <c r="C2287" s="13" t="s">
        <v>7242</v>
      </c>
      <c r="D2287" s="766"/>
      <c r="E2287" s="22"/>
      <c r="F2287" s="19">
        <v>50320</v>
      </c>
      <c r="G2287" s="14">
        <f t="shared" si="41"/>
        <v>-50320</v>
      </c>
      <c r="H2287" s="1164" t="s">
        <v>7902</v>
      </c>
    </row>
    <row r="2288" spans="1:8" x14ac:dyDescent="0.25">
      <c r="A2288" s="113">
        <v>44711</v>
      </c>
      <c r="B2288" s="21" t="s">
        <v>7657</v>
      </c>
      <c r="C2288" s="13" t="s">
        <v>7242</v>
      </c>
      <c r="D2288" s="766"/>
      <c r="E2288" s="22"/>
      <c r="F2288" s="19">
        <v>8180</v>
      </c>
      <c r="G2288" s="14">
        <f t="shared" si="41"/>
        <v>-8180</v>
      </c>
      <c r="H2288" s="1164"/>
    </row>
    <row r="2289" spans="1:8" x14ac:dyDescent="0.25">
      <c r="A2289" s="113">
        <v>44711</v>
      </c>
      <c r="B2289" s="21" t="s">
        <v>7817</v>
      </c>
      <c r="C2289" s="13" t="s">
        <v>7242</v>
      </c>
      <c r="D2289" s="766"/>
      <c r="E2289" s="22"/>
      <c r="F2289" s="19">
        <v>17000</v>
      </c>
      <c r="G2289" s="14">
        <f t="shared" si="41"/>
        <v>-17000</v>
      </c>
      <c r="H2289" s="1164"/>
    </row>
    <row r="2290" spans="1:8" x14ac:dyDescent="0.25">
      <c r="A2290" s="113">
        <v>44708</v>
      </c>
      <c r="B2290" s="21" t="s">
        <v>7555</v>
      </c>
      <c r="C2290" s="13" t="s">
        <v>7467</v>
      </c>
      <c r="D2290" s="766"/>
      <c r="E2290" s="22"/>
      <c r="F2290" s="19">
        <v>27000</v>
      </c>
      <c r="G2290" s="14">
        <f t="shared" si="41"/>
        <v>-27000</v>
      </c>
      <c r="H2290" s="13" t="s">
        <v>1157</v>
      </c>
    </row>
    <row r="2291" spans="1:8" x14ac:dyDescent="0.25">
      <c r="A2291" s="113">
        <v>44708</v>
      </c>
      <c r="B2291" s="21" t="s">
        <v>7555</v>
      </c>
      <c r="C2291" s="13" t="s">
        <v>7467</v>
      </c>
      <c r="D2291" s="766"/>
      <c r="E2291" s="22"/>
      <c r="F2291" s="19">
        <v>115</v>
      </c>
      <c r="G2291" s="14">
        <f t="shared" si="41"/>
        <v>-115</v>
      </c>
      <c r="H2291" s="13" t="s">
        <v>4977</v>
      </c>
    </row>
    <row r="2292" spans="1:8" x14ac:dyDescent="0.25">
      <c r="A2292" s="113">
        <v>44712</v>
      </c>
      <c r="B2292" s="21" t="s">
        <v>5709</v>
      </c>
      <c r="C2292" s="13" t="s">
        <v>3011</v>
      </c>
      <c r="D2292" s="766"/>
      <c r="E2292" s="22"/>
      <c r="F2292" s="19">
        <v>16380</v>
      </c>
      <c r="G2292" s="14">
        <f t="shared" si="41"/>
        <v>-16380</v>
      </c>
      <c r="H2292" s="1164" t="s">
        <v>1157</v>
      </c>
    </row>
    <row r="2293" spans="1:8" x14ac:dyDescent="0.25">
      <c r="A2293" s="113">
        <v>44712</v>
      </c>
      <c r="B2293" s="21" t="s">
        <v>6408</v>
      </c>
      <c r="C2293" s="13" t="s">
        <v>3011</v>
      </c>
      <c r="D2293" s="766"/>
      <c r="E2293" s="22"/>
      <c r="F2293" s="19">
        <v>28567</v>
      </c>
      <c r="G2293" s="14">
        <f t="shared" si="41"/>
        <v>-28567</v>
      </c>
      <c r="H2293" s="1164"/>
    </row>
    <row r="2294" spans="1:8" x14ac:dyDescent="0.25">
      <c r="A2294" s="113">
        <v>44712</v>
      </c>
      <c r="B2294" s="21" t="s">
        <v>6511</v>
      </c>
      <c r="C2294" s="13" t="s">
        <v>3011</v>
      </c>
      <c r="D2294" s="766"/>
      <c r="E2294" s="22"/>
      <c r="F2294" s="19">
        <v>3053</v>
      </c>
      <c r="G2294" s="14">
        <f t="shared" si="41"/>
        <v>-3053</v>
      </c>
      <c r="H2294" s="1164"/>
    </row>
    <row r="2295" spans="1:8" ht="21" x14ac:dyDescent="0.25">
      <c r="A2295" s="113">
        <v>44712</v>
      </c>
      <c r="B2295" s="21" t="s">
        <v>3945</v>
      </c>
      <c r="C2295" s="13" t="s">
        <v>166</v>
      </c>
      <c r="D2295" s="766">
        <v>3443</v>
      </c>
      <c r="E2295" s="22">
        <v>5200</v>
      </c>
      <c r="F2295" s="19"/>
      <c r="G2295" s="14">
        <f t="shared" si="41"/>
        <v>5200</v>
      </c>
      <c r="H2295" s="742"/>
    </row>
    <row r="2296" spans="1:8" x14ac:dyDescent="0.25">
      <c r="A2296" s="113">
        <v>44693</v>
      </c>
      <c r="B2296" s="21" t="s">
        <v>7817</v>
      </c>
      <c r="C2296" s="13" t="s">
        <v>161</v>
      </c>
      <c r="D2296" s="766">
        <v>203</v>
      </c>
      <c r="E2296" s="22">
        <v>26506</v>
      </c>
      <c r="F2296" s="19"/>
      <c r="G2296" s="14">
        <f t="shared" si="41"/>
        <v>26506</v>
      </c>
      <c r="H2296" s="13"/>
    </row>
    <row r="2297" spans="1:8" x14ac:dyDescent="0.25">
      <c r="A2297" s="113">
        <v>44716</v>
      </c>
      <c r="B2297" s="21" t="s">
        <v>7817</v>
      </c>
      <c r="C2297" s="13" t="s">
        <v>161</v>
      </c>
      <c r="D2297" s="766">
        <v>224</v>
      </c>
      <c r="E2297" s="22">
        <v>9095</v>
      </c>
      <c r="F2297" s="19"/>
      <c r="G2297" s="14">
        <f>E2297-F2297</f>
        <v>9095</v>
      </c>
      <c r="H2297" s="13"/>
    </row>
    <row r="2298" spans="1:8" x14ac:dyDescent="0.25">
      <c r="A2298" s="113">
        <v>44719</v>
      </c>
      <c r="B2298" s="21" t="s">
        <v>7953</v>
      </c>
      <c r="C2298" s="13" t="s">
        <v>7954</v>
      </c>
      <c r="D2298" s="766" t="s">
        <v>8451</v>
      </c>
      <c r="E2298" s="22">
        <v>3360000</v>
      </c>
      <c r="F2298" s="19"/>
      <c r="G2298" s="14">
        <f>E2298-F2298</f>
        <v>3360000</v>
      </c>
      <c r="H2298" s="13"/>
    </row>
    <row r="2299" spans="1:8" x14ac:dyDescent="0.25">
      <c r="A2299" s="113">
        <v>44721</v>
      </c>
      <c r="B2299" s="21" t="s">
        <v>1400</v>
      </c>
      <c r="C2299" s="13" t="s">
        <v>166</v>
      </c>
      <c r="D2299" s="778" t="s">
        <v>7993</v>
      </c>
      <c r="E2299" s="22">
        <v>110000</v>
      </c>
      <c r="F2299" s="19"/>
      <c r="G2299" s="14">
        <f t="shared" si="41"/>
        <v>110000</v>
      </c>
      <c r="H2299" s="13"/>
    </row>
    <row r="2300" spans="1:8" x14ac:dyDescent="0.25">
      <c r="A2300" s="113">
        <v>44720</v>
      </c>
      <c r="B2300" s="21" t="s">
        <v>7555</v>
      </c>
      <c r="C2300" s="13" t="s">
        <v>7242</v>
      </c>
      <c r="D2300" s="766"/>
      <c r="E2300" s="22"/>
      <c r="F2300" s="19">
        <v>150000</v>
      </c>
      <c r="G2300" s="14">
        <f t="shared" si="41"/>
        <v>-150000</v>
      </c>
      <c r="H2300" s="691" t="s">
        <v>7948</v>
      </c>
    </row>
    <row r="2301" spans="1:8" x14ac:dyDescent="0.25">
      <c r="A2301" s="113">
        <v>44722</v>
      </c>
      <c r="B2301" s="21" t="s">
        <v>1400</v>
      </c>
      <c r="C2301" s="13" t="s">
        <v>166</v>
      </c>
      <c r="D2301" s="778" t="s">
        <v>7994</v>
      </c>
      <c r="E2301" s="22">
        <v>70000</v>
      </c>
      <c r="F2301" s="19"/>
      <c r="G2301" s="14">
        <f t="shared" si="41"/>
        <v>70000</v>
      </c>
      <c r="H2301" s="691"/>
    </row>
    <row r="2302" spans="1:8" x14ac:dyDescent="0.25">
      <c r="A2302" s="113">
        <v>44722</v>
      </c>
      <c r="B2302" s="21" t="s">
        <v>7953</v>
      </c>
      <c r="C2302" s="13" t="s">
        <v>7954</v>
      </c>
      <c r="D2302" s="778"/>
      <c r="E2302" s="22"/>
      <c r="F2302" s="19">
        <v>750000</v>
      </c>
      <c r="G2302" s="14">
        <f t="shared" si="41"/>
        <v>-750000</v>
      </c>
      <c r="H2302" s="691" t="s">
        <v>7955</v>
      </c>
    </row>
    <row r="2303" spans="1:8" x14ac:dyDescent="0.25">
      <c r="A2303" s="113">
        <v>44722</v>
      </c>
      <c r="B2303" s="21" t="s">
        <v>7953</v>
      </c>
      <c r="C2303" s="13" t="s">
        <v>7954</v>
      </c>
      <c r="D2303" s="778"/>
      <c r="E2303" s="22"/>
      <c r="F2303" s="19">
        <v>1000000</v>
      </c>
      <c r="G2303" s="14">
        <f t="shared" si="41"/>
        <v>-1000000</v>
      </c>
      <c r="H2303" s="691" t="s">
        <v>7956</v>
      </c>
    </row>
    <row r="2304" spans="1:8" ht="15.75" customHeight="1" x14ac:dyDescent="0.25">
      <c r="A2304" s="113">
        <v>44726</v>
      </c>
      <c r="B2304" s="21" t="s">
        <v>1400</v>
      </c>
      <c r="C2304" s="13" t="s">
        <v>166</v>
      </c>
      <c r="D2304" s="766"/>
      <c r="E2304" s="22"/>
      <c r="F2304" s="19">
        <v>155790</v>
      </c>
      <c r="G2304" s="14">
        <f t="shared" si="41"/>
        <v>-155790</v>
      </c>
      <c r="H2304" s="1178" t="s">
        <v>7995</v>
      </c>
    </row>
    <row r="2305" spans="1:8" x14ac:dyDescent="0.25">
      <c r="A2305" s="113">
        <v>44726</v>
      </c>
      <c r="B2305" s="21" t="s">
        <v>7921</v>
      </c>
      <c r="C2305" s="13" t="s">
        <v>166</v>
      </c>
      <c r="D2305" s="766"/>
      <c r="E2305" s="22"/>
      <c r="F2305" s="19">
        <v>132000</v>
      </c>
      <c r="G2305" s="14">
        <f t="shared" si="41"/>
        <v>-132000</v>
      </c>
      <c r="H2305" s="1178"/>
    </row>
    <row r="2306" spans="1:8" x14ac:dyDescent="0.25">
      <c r="A2306" s="113">
        <v>44726</v>
      </c>
      <c r="B2306" s="21" t="s">
        <v>7921</v>
      </c>
      <c r="C2306" s="13" t="s">
        <v>166</v>
      </c>
      <c r="D2306" s="766"/>
      <c r="E2306" s="22"/>
      <c r="F2306" s="19">
        <v>151650</v>
      </c>
      <c r="G2306" s="14">
        <f t="shared" si="41"/>
        <v>-151650</v>
      </c>
      <c r="H2306" s="1178"/>
    </row>
    <row r="2307" spans="1:8" x14ac:dyDescent="0.25">
      <c r="A2307" s="113">
        <v>44726</v>
      </c>
      <c r="B2307" s="21" t="s">
        <v>7921</v>
      </c>
      <c r="C2307" s="13" t="s">
        <v>166</v>
      </c>
      <c r="D2307" s="766"/>
      <c r="E2307" s="22"/>
      <c r="F2307" s="19">
        <f>500000-F2306-F2305-F2304</f>
        <v>60560</v>
      </c>
      <c r="G2307" s="14">
        <f t="shared" si="41"/>
        <v>-60560</v>
      </c>
      <c r="H2307" s="1178"/>
    </row>
    <row r="2308" spans="1:8" ht="15.75" customHeight="1" x14ac:dyDescent="0.25">
      <c r="A2308" s="113">
        <v>44726</v>
      </c>
      <c r="B2308" s="21" t="s">
        <v>2933</v>
      </c>
      <c r="C2308" s="13" t="s">
        <v>161</v>
      </c>
      <c r="D2308" s="766"/>
      <c r="E2308" s="22"/>
      <c r="F2308" s="19">
        <v>21337</v>
      </c>
      <c r="G2308" s="14">
        <f t="shared" si="41"/>
        <v>-21337</v>
      </c>
      <c r="H2308" s="1180" t="s">
        <v>7964</v>
      </c>
    </row>
    <row r="2309" spans="1:8" ht="15.75" customHeight="1" x14ac:dyDescent="0.25">
      <c r="A2309" s="113">
        <v>44726</v>
      </c>
      <c r="B2309" s="21" t="s">
        <v>7732</v>
      </c>
      <c r="C2309" s="13" t="s">
        <v>161</v>
      </c>
      <c r="D2309" s="766"/>
      <c r="E2309" s="22"/>
      <c r="F2309" s="19">
        <v>44651</v>
      </c>
      <c r="G2309" s="14">
        <f t="shared" si="41"/>
        <v>-44651</v>
      </c>
      <c r="H2309" s="1180"/>
    </row>
    <row r="2310" spans="1:8" ht="15.75" customHeight="1" x14ac:dyDescent="0.25">
      <c r="A2310" s="113">
        <v>44726</v>
      </c>
      <c r="B2310" s="21" t="s">
        <v>7746</v>
      </c>
      <c r="C2310" s="13" t="s">
        <v>161</v>
      </c>
      <c r="D2310" s="766"/>
      <c r="E2310" s="22"/>
      <c r="F2310" s="19">
        <v>33179</v>
      </c>
      <c r="G2310" s="14">
        <f t="shared" si="41"/>
        <v>-33179</v>
      </c>
      <c r="H2310" s="1180"/>
    </row>
    <row r="2311" spans="1:8" ht="16.5" customHeight="1" x14ac:dyDescent="0.25">
      <c r="A2311" s="113">
        <v>44726</v>
      </c>
      <c r="B2311" s="21" t="s">
        <v>7817</v>
      </c>
      <c r="C2311" s="13" t="s">
        <v>161</v>
      </c>
      <c r="D2311" s="766"/>
      <c r="E2311" s="22"/>
      <c r="F2311" s="19">
        <v>58530</v>
      </c>
      <c r="G2311" s="14">
        <f t="shared" si="41"/>
        <v>-58530</v>
      </c>
      <c r="H2311" s="1180"/>
    </row>
    <row r="2312" spans="1:8" ht="18.75" x14ac:dyDescent="0.25">
      <c r="A2312" s="113">
        <v>44726</v>
      </c>
      <c r="B2312" s="21" t="s">
        <v>7953</v>
      </c>
      <c r="C2312" s="13" t="s">
        <v>180</v>
      </c>
      <c r="D2312" s="778" t="s">
        <v>8026</v>
      </c>
      <c r="E2312" s="22">
        <v>28860</v>
      </c>
      <c r="F2312" s="19"/>
      <c r="G2312" s="14">
        <f t="shared" si="41"/>
        <v>28860</v>
      </c>
      <c r="H2312" s="749"/>
    </row>
    <row r="2313" spans="1:8" x14ac:dyDescent="0.25">
      <c r="A2313" s="113">
        <v>44727</v>
      </c>
      <c r="B2313" s="21" t="s">
        <v>1400</v>
      </c>
      <c r="C2313" s="13" t="s">
        <v>2196</v>
      </c>
      <c r="D2313" s="766">
        <v>11222</v>
      </c>
      <c r="E2313" s="22">
        <v>67780</v>
      </c>
      <c r="F2313" s="19"/>
      <c r="G2313" s="14">
        <f>E2313-F2313</f>
        <v>67780</v>
      </c>
      <c r="H2313" s="13"/>
    </row>
    <row r="2314" spans="1:8" x14ac:dyDescent="0.25">
      <c r="A2314" s="113">
        <v>44735</v>
      </c>
      <c r="B2314" s="21" t="s">
        <v>7921</v>
      </c>
      <c r="C2314" s="13" t="s">
        <v>7242</v>
      </c>
      <c r="D2314" s="766"/>
      <c r="E2314" s="22"/>
      <c r="F2314" s="19">
        <v>300000</v>
      </c>
      <c r="G2314" s="14">
        <f t="shared" ref="G2314:G2332" si="42">E2314-F2314</f>
        <v>-300000</v>
      </c>
      <c r="H2314" s="691" t="s">
        <v>7988</v>
      </c>
    </row>
    <row r="2315" spans="1:8" x14ac:dyDescent="0.25">
      <c r="A2315" s="113">
        <v>44739</v>
      </c>
      <c r="B2315" s="21" t="s">
        <v>1400</v>
      </c>
      <c r="C2315" s="13" t="s">
        <v>2196</v>
      </c>
      <c r="D2315" s="766">
        <v>11291</v>
      </c>
      <c r="E2315" s="22">
        <v>29640</v>
      </c>
      <c r="F2315" s="19"/>
      <c r="G2315" s="14">
        <f>E2315-F2315</f>
        <v>29640</v>
      </c>
      <c r="H2315" s="13"/>
    </row>
    <row r="2316" spans="1:8" x14ac:dyDescent="0.25">
      <c r="A2316" s="113">
        <v>44483</v>
      </c>
      <c r="B2316" s="21" t="s">
        <v>1400</v>
      </c>
      <c r="C2316" s="13" t="s">
        <v>1815</v>
      </c>
      <c r="D2316" s="778" t="s">
        <v>8176</v>
      </c>
      <c r="E2316" s="22">
        <v>7091</v>
      </c>
      <c r="F2316" s="19"/>
      <c r="G2316" s="14">
        <f>E2316-F2316</f>
        <v>7091</v>
      </c>
      <c r="H2316" s="13"/>
    </row>
    <row r="2317" spans="1:8" x14ac:dyDescent="0.25">
      <c r="A2317" s="113">
        <v>44483</v>
      </c>
      <c r="B2317" s="21" t="s">
        <v>1400</v>
      </c>
      <c r="C2317" s="13" t="s">
        <v>1815</v>
      </c>
      <c r="D2317" s="766"/>
      <c r="E2317" s="22"/>
      <c r="F2317" s="19">
        <v>24239</v>
      </c>
      <c r="G2317" s="14">
        <f>E2317-F2317</f>
        <v>-24239</v>
      </c>
      <c r="H2317" s="13" t="s">
        <v>8177</v>
      </c>
    </row>
    <row r="2318" spans="1:8" x14ac:dyDescent="0.25">
      <c r="A2318" s="113">
        <v>44740</v>
      </c>
      <c r="B2318" s="21" t="s">
        <v>1400</v>
      </c>
      <c r="C2318" s="13" t="s">
        <v>1815</v>
      </c>
      <c r="D2318" s="778" t="s">
        <v>8035</v>
      </c>
      <c r="E2318" s="22">
        <v>29720</v>
      </c>
      <c r="F2318" s="19"/>
      <c r="G2318" s="14">
        <f>E2318-F2318</f>
        <v>29720</v>
      </c>
      <c r="H2318" s="13"/>
    </row>
    <row r="2319" spans="1:8" x14ac:dyDescent="0.25">
      <c r="A2319" s="113">
        <v>44742</v>
      </c>
      <c r="B2319" s="21" t="s">
        <v>7921</v>
      </c>
      <c r="C2319" s="13" t="s">
        <v>166</v>
      </c>
      <c r="D2319" s="778" t="s">
        <v>8032</v>
      </c>
      <c r="E2319" s="22">
        <v>132000</v>
      </c>
      <c r="F2319" s="19"/>
      <c r="G2319" s="14">
        <f t="shared" si="42"/>
        <v>132000</v>
      </c>
      <c r="H2319" s="13"/>
    </row>
    <row r="2320" spans="1:8" x14ac:dyDescent="0.25">
      <c r="A2320" s="113">
        <v>44742</v>
      </c>
      <c r="B2320" s="21" t="s">
        <v>1400</v>
      </c>
      <c r="C2320" s="13" t="s">
        <v>166</v>
      </c>
      <c r="D2320" s="778" t="s">
        <v>8033</v>
      </c>
      <c r="E2320" s="22">
        <v>6642</v>
      </c>
      <c r="F2320" s="19"/>
      <c r="G2320" s="14">
        <f t="shared" si="42"/>
        <v>6642</v>
      </c>
      <c r="H2320" s="13"/>
    </row>
    <row r="2321" spans="1:8" x14ac:dyDescent="0.25">
      <c r="A2321" s="113">
        <v>44743</v>
      </c>
      <c r="B2321" s="21" t="s">
        <v>1400</v>
      </c>
      <c r="C2321" s="13" t="s">
        <v>166</v>
      </c>
      <c r="D2321" s="778" t="s">
        <v>8034</v>
      </c>
      <c r="E2321" s="22">
        <v>54000</v>
      </c>
      <c r="F2321" s="19"/>
      <c r="G2321" s="14">
        <f t="shared" si="42"/>
        <v>54000</v>
      </c>
      <c r="H2321" s="13"/>
    </row>
    <row r="2322" spans="1:8" x14ac:dyDescent="0.25">
      <c r="A2322" s="113">
        <v>44747</v>
      </c>
      <c r="B2322" s="21" t="s">
        <v>7953</v>
      </c>
      <c r="C2322" s="13" t="s">
        <v>5187</v>
      </c>
      <c r="D2322" s="766">
        <v>652</v>
      </c>
      <c r="E2322" s="22">
        <v>101236</v>
      </c>
      <c r="F2322" s="19"/>
      <c r="G2322" s="14">
        <f t="shared" si="42"/>
        <v>101236</v>
      </c>
      <c r="H2322" s="13"/>
    </row>
    <row r="2323" spans="1:8" x14ac:dyDescent="0.25">
      <c r="A2323" s="113">
        <v>44755</v>
      </c>
      <c r="B2323" s="21" t="s">
        <v>8043</v>
      </c>
      <c r="C2323" s="13" t="s">
        <v>7467</v>
      </c>
      <c r="D2323" s="766" t="s">
        <v>8452</v>
      </c>
      <c r="E2323" s="22">
        <v>9600</v>
      </c>
      <c r="F2323" s="19"/>
      <c r="G2323" s="14">
        <f t="shared" si="42"/>
        <v>9600</v>
      </c>
      <c r="H2323" s="13"/>
    </row>
    <row r="2324" spans="1:8" x14ac:dyDescent="0.25">
      <c r="A2324" s="113">
        <v>44737</v>
      </c>
      <c r="B2324" s="21" t="s">
        <v>7555</v>
      </c>
      <c r="C2324" s="13" t="s">
        <v>7242</v>
      </c>
      <c r="D2324" s="778" t="s">
        <v>8045</v>
      </c>
      <c r="E2324" s="22">
        <v>252840</v>
      </c>
      <c r="F2324" s="19"/>
      <c r="G2324" s="753">
        <f t="shared" si="42"/>
        <v>252840</v>
      </c>
      <c r="H2324" s="13"/>
    </row>
    <row r="2325" spans="1:8" x14ac:dyDescent="0.25">
      <c r="A2325" s="113">
        <v>44737</v>
      </c>
      <c r="B2325" s="21" t="s">
        <v>7921</v>
      </c>
      <c r="C2325" s="13" t="s">
        <v>7242</v>
      </c>
      <c r="D2325" s="778" t="s">
        <v>8046</v>
      </c>
      <c r="E2325" s="22">
        <v>635790</v>
      </c>
      <c r="F2325" s="19"/>
      <c r="G2325" s="14">
        <f t="shared" si="42"/>
        <v>635790</v>
      </c>
      <c r="H2325" s="13"/>
    </row>
    <row r="2326" spans="1:8" x14ac:dyDescent="0.25">
      <c r="A2326" s="113">
        <v>44737</v>
      </c>
      <c r="B2326" s="21" t="s">
        <v>8043</v>
      </c>
      <c r="C2326" s="13" t="s">
        <v>7242</v>
      </c>
      <c r="D2326" s="778" t="s">
        <v>8047</v>
      </c>
      <c r="E2326" s="22">
        <v>390960</v>
      </c>
      <c r="F2326" s="19"/>
      <c r="G2326" s="14">
        <f t="shared" si="42"/>
        <v>390960</v>
      </c>
      <c r="H2326" s="13"/>
    </row>
    <row r="2327" spans="1:8" x14ac:dyDescent="0.25">
      <c r="A2327" s="113">
        <v>44761</v>
      </c>
      <c r="B2327" s="21" t="s">
        <v>8043</v>
      </c>
      <c r="C2327" s="13" t="s">
        <v>161</v>
      </c>
      <c r="D2327" s="766" t="s">
        <v>8218</v>
      </c>
      <c r="E2327" s="22">
        <v>60383</v>
      </c>
      <c r="F2327" s="19"/>
      <c r="G2327" s="14">
        <f>E2327-F2327</f>
        <v>60383</v>
      </c>
      <c r="H2327" s="13"/>
    </row>
    <row r="2328" spans="1:8" x14ac:dyDescent="0.25">
      <c r="A2328" s="113">
        <v>44769</v>
      </c>
      <c r="B2328" s="21" t="s">
        <v>7555</v>
      </c>
      <c r="C2328" s="13" t="s">
        <v>7242</v>
      </c>
      <c r="D2328" s="766"/>
      <c r="E2328" s="22"/>
      <c r="F2328" s="19">
        <v>100000</v>
      </c>
      <c r="G2328" s="14">
        <f t="shared" si="42"/>
        <v>-100000</v>
      </c>
      <c r="H2328" s="691" t="s">
        <v>8068</v>
      </c>
    </row>
    <row r="2329" spans="1:8" x14ac:dyDescent="0.25">
      <c r="A2329" s="113">
        <v>44777</v>
      </c>
      <c r="B2329" s="21" t="s">
        <v>7112</v>
      </c>
      <c r="C2329" s="13" t="s">
        <v>5187</v>
      </c>
      <c r="D2329" s="766"/>
      <c r="E2329" s="22"/>
      <c r="F2329" s="19">
        <v>3700</v>
      </c>
      <c r="G2329" s="14">
        <f t="shared" si="42"/>
        <v>-3700</v>
      </c>
      <c r="H2329" s="13" t="s">
        <v>4977</v>
      </c>
    </row>
    <row r="2330" spans="1:8" x14ac:dyDescent="0.25">
      <c r="A2330" s="113">
        <v>44777</v>
      </c>
      <c r="B2330" s="21" t="s">
        <v>7953</v>
      </c>
      <c r="C2330" s="13" t="s">
        <v>5187</v>
      </c>
      <c r="D2330" s="766"/>
      <c r="E2330" s="22"/>
      <c r="F2330" s="19">
        <v>95400</v>
      </c>
      <c r="G2330" s="14">
        <f t="shared" si="42"/>
        <v>-95400</v>
      </c>
      <c r="H2330" s="691" t="s">
        <v>8102</v>
      </c>
    </row>
    <row r="2331" spans="1:8" x14ac:dyDescent="0.25">
      <c r="A2331" s="113">
        <v>44777</v>
      </c>
      <c r="B2331" s="21" t="s">
        <v>7953</v>
      </c>
      <c r="C2331" s="13" t="s">
        <v>5187</v>
      </c>
      <c r="D2331" s="766"/>
      <c r="E2331" s="22"/>
      <c r="F2331" s="19">
        <v>5836</v>
      </c>
      <c r="G2331" s="14">
        <f t="shared" si="42"/>
        <v>-5836</v>
      </c>
      <c r="H2331" s="13" t="s">
        <v>4977</v>
      </c>
    </row>
    <row r="2332" spans="1:8" x14ac:dyDescent="0.25">
      <c r="A2332" s="113">
        <v>44777</v>
      </c>
      <c r="B2332" s="21" t="s">
        <v>7953</v>
      </c>
      <c r="C2332" s="13" t="s">
        <v>7954</v>
      </c>
      <c r="D2332" s="766"/>
      <c r="E2332" s="22"/>
      <c r="F2332" s="19">
        <v>250000</v>
      </c>
      <c r="G2332" s="14">
        <f t="shared" si="42"/>
        <v>-250000</v>
      </c>
      <c r="H2332" s="13" t="s">
        <v>8130</v>
      </c>
    </row>
    <row r="2333" spans="1:8" x14ac:dyDescent="0.25">
      <c r="A2333" s="113">
        <v>44718</v>
      </c>
      <c r="B2333" s="21" t="s">
        <v>1400</v>
      </c>
      <c r="C2333" s="13" t="s">
        <v>5681</v>
      </c>
      <c r="D2333" s="778" t="s">
        <v>8105</v>
      </c>
      <c r="E2333" s="22">
        <v>337580</v>
      </c>
      <c r="F2333" s="19"/>
      <c r="G2333" s="753">
        <f t="shared" ref="G2333:G2358" si="43">E2333-F2333</f>
        <v>337580</v>
      </c>
      <c r="H2333" s="13"/>
    </row>
    <row r="2334" spans="1:8" s="731" customFormat="1" x14ac:dyDescent="0.25">
      <c r="A2334" s="113">
        <v>44765</v>
      </c>
      <c r="B2334" s="21" t="s">
        <v>6505</v>
      </c>
      <c r="C2334" s="13" t="s">
        <v>166</v>
      </c>
      <c r="D2334" s="778" t="s">
        <v>8687</v>
      </c>
      <c r="E2334" s="22">
        <v>17400</v>
      </c>
      <c r="F2334" s="19"/>
      <c r="G2334" s="753">
        <f t="shared" si="43"/>
        <v>17400</v>
      </c>
      <c r="H2334" s="754"/>
    </row>
    <row r="2335" spans="1:8" s="731" customFormat="1" x14ac:dyDescent="0.25">
      <c r="A2335" s="113">
        <v>44770</v>
      </c>
      <c r="B2335" s="21" t="s">
        <v>6505</v>
      </c>
      <c r="C2335" s="13" t="s">
        <v>166</v>
      </c>
      <c r="D2335" s="778" t="s">
        <v>8686</v>
      </c>
      <c r="E2335" s="22">
        <v>4000</v>
      </c>
      <c r="F2335" s="19"/>
      <c r="G2335" s="753">
        <f t="shared" si="43"/>
        <v>4000</v>
      </c>
      <c r="H2335" s="754"/>
    </row>
    <row r="2336" spans="1:8" x14ac:dyDescent="0.25">
      <c r="A2336" s="113">
        <v>44768</v>
      </c>
      <c r="B2336" s="21" t="s">
        <v>8043</v>
      </c>
      <c r="C2336" s="13" t="s">
        <v>8456</v>
      </c>
      <c r="D2336" s="766"/>
      <c r="E2336" s="22"/>
      <c r="F2336" s="19">
        <v>100000</v>
      </c>
      <c r="G2336" s="14">
        <f t="shared" si="43"/>
        <v>-100000</v>
      </c>
      <c r="H2336" s="13" t="s">
        <v>8084</v>
      </c>
    </row>
    <row r="2337" spans="1:8" x14ac:dyDescent="0.25">
      <c r="A2337" s="113">
        <v>44769</v>
      </c>
      <c r="B2337" s="21" t="s">
        <v>7921</v>
      </c>
      <c r="C2337" s="13" t="s">
        <v>438</v>
      </c>
      <c r="D2337" s="766">
        <v>23799</v>
      </c>
      <c r="E2337" s="22">
        <v>61200</v>
      </c>
      <c r="F2337" s="19"/>
      <c r="G2337" s="14">
        <f t="shared" si="43"/>
        <v>61200</v>
      </c>
      <c r="H2337" s="13"/>
    </row>
    <row r="2338" spans="1:8" x14ac:dyDescent="0.25">
      <c r="A2338" s="113">
        <v>44771</v>
      </c>
      <c r="B2338" s="21" t="s">
        <v>8043</v>
      </c>
      <c r="C2338" s="13" t="s">
        <v>8091</v>
      </c>
      <c r="D2338" s="766"/>
      <c r="E2338" s="22">
        <v>5250000</v>
      </c>
      <c r="F2338" s="19"/>
      <c r="G2338" s="753">
        <f t="shared" si="43"/>
        <v>5250000</v>
      </c>
      <c r="H2338" s="13"/>
    </row>
    <row r="2339" spans="1:8" ht="31.5" x14ac:dyDescent="0.25">
      <c r="A2339" s="113">
        <v>44771</v>
      </c>
      <c r="B2339" s="743" t="s">
        <v>8043</v>
      </c>
      <c r="C2339" s="750" t="s">
        <v>8091</v>
      </c>
      <c r="D2339" s="779"/>
      <c r="E2339" s="751"/>
      <c r="F2339" s="752">
        <v>2400000</v>
      </c>
      <c r="G2339" s="753">
        <f t="shared" si="43"/>
        <v>-2400000</v>
      </c>
      <c r="H2339" s="732" t="s">
        <v>8092</v>
      </c>
    </row>
    <row r="2340" spans="1:8" x14ac:dyDescent="0.25">
      <c r="A2340" s="113">
        <v>44771</v>
      </c>
      <c r="B2340" s="21" t="s">
        <v>7921</v>
      </c>
      <c r="C2340" s="13" t="s">
        <v>166</v>
      </c>
      <c r="D2340" s="766"/>
      <c r="E2340" s="22">
        <v>151650</v>
      </c>
      <c r="F2340" s="19"/>
      <c r="G2340" s="14">
        <f t="shared" si="43"/>
        <v>151650</v>
      </c>
      <c r="H2340" s="13"/>
    </row>
    <row r="2341" spans="1:8" x14ac:dyDescent="0.25">
      <c r="A2341" s="113">
        <v>44772</v>
      </c>
      <c r="B2341" s="21" t="s">
        <v>7921</v>
      </c>
      <c r="C2341" s="13" t="s">
        <v>169</v>
      </c>
      <c r="D2341" s="766"/>
      <c r="E2341" s="22">
        <v>42000</v>
      </c>
      <c r="F2341" s="19"/>
      <c r="G2341" s="14">
        <f t="shared" si="43"/>
        <v>42000</v>
      </c>
      <c r="H2341" s="13"/>
    </row>
    <row r="2342" spans="1:8" x14ac:dyDescent="0.25">
      <c r="A2342" s="113">
        <v>44775</v>
      </c>
      <c r="B2342" s="21" t="s">
        <v>7921</v>
      </c>
      <c r="C2342" s="13" t="s">
        <v>438</v>
      </c>
      <c r="D2342" s="766">
        <v>23816</v>
      </c>
      <c r="E2342" s="22">
        <v>60000</v>
      </c>
      <c r="F2342" s="19"/>
      <c r="G2342" s="14">
        <f t="shared" si="43"/>
        <v>60000</v>
      </c>
      <c r="H2342" s="13"/>
    </row>
    <row r="2343" spans="1:8" x14ac:dyDescent="0.25">
      <c r="A2343" s="113">
        <v>44775</v>
      </c>
      <c r="B2343" s="21" t="s">
        <v>8043</v>
      </c>
      <c r="C2343" s="13" t="s">
        <v>3011</v>
      </c>
      <c r="D2343" s="766"/>
      <c r="E2343" s="22">
        <v>74700</v>
      </c>
      <c r="F2343" s="19"/>
      <c r="G2343" s="14">
        <f t="shared" si="43"/>
        <v>74700</v>
      </c>
      <c r="H2343" s="13" t="s">
        <v>8302</v>
      </c>
    </row>
    <row r="2344" spans="1:8" x14ac:dyDescent="0.25">
      <c r="A2344" s="113">
        <v>44777</v>
      </c>
      <c r="B2344" s="21" t="s">
        <v>7921</v>
      </c>
      <c r="C2344" s="13" t="s">
        <v>7242</v>
      </c>
      <c r="D2344" s="766"/>
      <c r="E2344" s="22"/>
      <c r="F2344" s="19">
        <v>250000</v>
      </c>
      <c r="G2344" s="14">
        <f t="shared" si="43"/>
        <v>-250000</v>
      </c>
      <c r="H2344" s="13" t="s">
        <v>7918</v>
      </c>
    </row>
    <row r="2345" spans="1:8" x14ac:dyDescent="0.25">
      <c r="A2345" s="113">
        <v>44777</v>
      </c>
      <c r="B2345" s="21" t="s">
        <v>7921</v>
      </c>
      <c r="C2345" s="13" t="s">
        <v>164</v>
      </c>
      <c r="D2345" s="766">
        <v>392</v>
      </c>
      <c r="E2345" s="22">
        <v>44979</v>
      </c>
      <c r="F2345" s="19"/>
      <c r="G2345" s="14">
        <f t="shared" si="43"/>
        <v>44979</v>
      </c>
      <c r="H2345" s="13"/>
    </row>
    <row r="2346" spans="1:8" x14ac:dyDescent="0.25">
      <c r="A2346" s="113">
        <v>44777</v>
      </c>
      <c r="B2346" s="21" t="s">
        <v>7921</v>
      </c>
      <c r="C2346" s="13" t="s">
        <v>164</v>
      </c>
      <c r="D2346" s="766">
        <v>396</v>
      </c>
      <c r="E2346" s="22">
        <v>455</v>
      </c>
      <c r="F2346" s="19"/>
      <c r="G2346" s="14">
        <f t="shared" si="43"/>
        <v>455</v>
      </c>
      <c r="H2346" s="13"/>
    </row>
    <row r="2347" spans="1:8" x14ac:dyDescent="0.25">
      <c r="A2347" s="113">
        <v>44779</v>
      </c>
      <c r="B2347" s="21" t="s">
        <v>7921</v>
      </c>
      <c r="C2347" s="13" t="s">
        <v>164</v>
      </c>
      <c r="D2347" s="766">
        <v>425</v>
      </c>
      <c r="E2347" s="22">
        <v>13280</v>
      </c>
      <c r="F2347" s="19"/>
      <c r="G2347" s="14">
        <f t="shared" si="43"/>
        <v>13280</v>
      </c>
      <c r="H2347" s="13"/>
    </row>
    <row r="2348" spans="1:8" x14ac:dyDescent="0.25">
      <c r="A2348" s="113">
        <v>44783</v>
      </c>
      <c r="B2348" s="21" t="s">
        <v>7921</v>
      </c>
      <c r="C2348" s="13" t="s">
        <v>7242</v>
      </c>
      <c r="D2348" s="766">
        <v>14</v>
      </c>
      <c r="E2348" s="22">
        <v>296380</v>
      </c>
      <c r="F2348" s="19"/>
      <c r="G2348" s="14">
        <f t="shared" si="43"/>
        <v>296380</v>
      </c>
      <c r="H2348" s="13"/>
    </row>
    <row r="2349" spans="1:8" x14ac:dyDescent="0.25">
      <c r="A2349" s="113">
        <v>44784</v>
      </c>
      <c r="B2349" s="21" t="s">
        <v>7921</v>
      </c>
      <c r="C2349" s="13" t="s">
        <v>438</v>
      </c>
      <c r="D2349" s="766">
        <v>23826</v>
      </c>
      <c r="E2349" s="22">
        <v>61200</v>
      </c>
      <c r="F2349" s="19"/>
      <c r="G2349" s="14">
        <f t="shared" si="43"/>
        <v>61200</v>
      </c>
      <c r="H2349" s="13"/>
    </row>
    <row r="2350" spans="1:8" x14ac:dyDescent="0.25">
      <c r="A2350" s="113">
        <v>44784</v>
      </c>
      <c r="B2350" s="21" t="s">
        <v>7921</v>
      </c>
      <c r="C2350" s="13" t="s">
        <v>166</v>
      </c>
      <c r="D2350" s="766" t="s">
        <v>8219</v>
      </c>
      <c r="E2350" s="22">
        <v>46000</v>
      </c>
      <c r="F2350" s="19"/>
      <c r="G2350" s="14">
        <f t="shared" si="43"/>
        <v>46000</v>
      </c>
      <c r="H2350" s="13"/>
    </row>
    <row r="2351" spans="1:8" x14ac:dyDescent="0.25">
      <c r="A2351" s="113">
        <v>44785</v>
      </c>
      <c r="B2351" s="21" t="s">
        <v>8043</v>
      </c>
      <c r="C2351" s="13" t="s">
        <v>169</v>
      </c>
      <c r="D2351" s="766"/>
      <c r="E2351" s="22">
        <v>114000</v>
      </c>
      <c r="F2351" s="19"/>
      <c r="G2351" s="14">
        <f t="shared" si="43"/>
        <v>114000</v>
      </c>
      <c r="H2351" s="13"/>
    </row>
    <row r="2352" spans="1:8" x14ac:dyDescent="0.25">
      <c r="A2352" s="113">
        <v>44789</v>
      </c>
      <c r="B2352" s="21" t="s">
        <v>8043</v>
      </c>
      <c r="C2352" s="13" t="s">
        <v>161</v>
      </c>
      <c r="D2352" s="766" t="s">
        <v>8312</v>
      </c>
      <c r="E2352" s="22">
        <v>52499</v>
      </c>
      <c r="F2352" s="19"/>
      <c r="G2352" s="14">
        <f t="shared" si="43"/>
        <v>52499</v>
      </c>
      <c r="H2352" s="13"/>
    </row>
    <row r="2353" spans="1:8" x14ac:dyDescent="0.25">
      <c r="A2353" s="113">
        <v>44793</v>
      </c>
      <c r="B2353" s="21" t="s">
        <v>7921</v>
      </c>
      <c r="C2353" s="13" t="s">
        <v>169</v>
      </c>
      <c r="D2353" s="766">
        <v>273</v>
      </c>
      <c r="E2353" s="22">
        <v>126250</v>
      </c>
      <c r="F2353" s="19"/>
      <c r="G2353" s="753">
        <f t="shared" si="43"/>
        <v>126250</v>
      </c>
      <c r="H2353" s="13"/>
    </row>
    <row r="2354" spans="1:8" x14ac:dyDescent="0.25">
      <c r="A2354" s="113">
        <v>44793</v>
      </c>
      <c r="B2354" s="21" t="s">
        <v>7921</v>
      </c>
      <c r="C2354" s="13" t="s">
        <v>164</v>
      </c>
      <c r="D2354" s="766" t="s">
        <v>8215</v>
      </c>
      <c r="E2354" s="22">
        <v>58635</v>
      </c>
      <c r="F2354" s="19"/>
      <c r="G2354" s="14">
        <f t="shared" si="43"/>
        <v>58635</v>
      </c>
      <c r="H2354" s="13"/>
    </row>
    <row r="2355" spans="1:8" x14ac:dyDescent="0.25">
      <c r="A2355" s="113">
        <v>44793</v>
      </c>
      <c r="B2355" s="21" t="s">
        <v>1400</v>
      </c>
      <c r="C2355" s="13" t="s">
        <v>164</v>
      </c>
      <c r="D2355" s="766"/>
      <c r="E2355" s="22">
        <v>10762</v>
      </c>
      <c r="F2355" s="19"/>
      <c r="G2355" s="14">
        <f t="shared" si="43"/>
        <v>10762</v>
      </c>
      <c r="H2355" s="13" t="s">
        <v>8216</v>
      </c>
    </row>
    <row r="2356" spans="1:8" ht="15.75" customHeight="1" x14ac:dyDescent="0.25">
      <c r="A2356" s="113">
        <v>44795</v>
      </c>
      <c r="B2356" s="21" t="s">
        <v>7921</v>
      </c>
      <c r="C2356" s="13" t="s">
        <v>169</v>
      </c>
      <c r="D2356" s="766" t="s">
        <v>8329</v>
      </c>
      <c r="E2356" s="22">
        <v>10750</v>
      </c>
      <c r="F2356" s="19"/>
      <c r="G2356" s="753">
        <f t="shared" si="43"/>
        <v>10750</v>
      </c>
      <c r="H2356" s="13"/>
    </row>
    <row r="2357" spans="1:8" ht="15.75" customHeight="1" x14ac:dyDescent="0.25">
      <c r="A2357" s="113">
        <v>44795</v>
      </c>
      <c r="B2357" s="21" t="s">
        <v>7921</v>
      </c>
      <c r="C2357" s="13" t="s">
        <v>166</v>
      </c>
      <c r="D2357" s="766" t="s">
        <v>8220</v>
      </c>
      <c r="E2357" s="22">
        <v>115000</v>
      </c>
      <c r="F2357" s="19"/>
      <c r="G2357" s="14">
        <f t="shared" si="43"/>
        <v>115000</v>
      </c>
      <c r="H2357" s="13"/>
    </row>
    <row r="2358" spans="1:8" x14ac:dyDescent="0.25">
      <c r="A2358" s="113">
        <v>44796</v>
      </c>
      <c r="B2358" s="21" t="s">
        <v>7921</v>
      </c>
      <c r="C2358" s="13" t="s">
        <v>169</v>
      </c>
      <c r="D2358" s="766">
        <v>287</v>
      </c>
      <c r="E2358" s="22">
        <v>10750</v>
      </c>
      <c r="F2358" s="19"/>
      <c r="G2358" s="753">
        <f t="shared" si="43"/>
        <v>10750</v>
      </c>
      <c r="H2358" s="13"/>
    </row>
    <row r="2359" spans="1:8" x14ac:dyDescent="0.25">
      <c r="A2359" s="113">
        <v>44797</v>
      </c>
      <c r="B2359" s="21" t="s">
        <v>6955</v>
      </c>
      <c r="C2359" s="13" t="s">
        <v>169</v>
      </c>
      <c r="D2359" s="766"/>
      <c r="E2359" s="22"/>
      <c r="F2359" s="19">
        <v>19000</v>
      </c>
      <c r="G2359" s="753">
        <f t="shared" ref="G2359:G2384" si="44">E2359-F2359</f>
        <v>-19000</v>
      </c>
      <c r="H2359" s="13" t="s">
        <v>7876</v>
      </c>
    </row>
    <row r="2360" spans="1:8" x14ac:dyDescent="0.25">
      <c r="A2360" s="113">
        <v>44797</v>
      </c>
      <c r="B2360" s="21" t="s">
        <v>6518</v>
      </c>
      <c r="C2360" s="13" t="s">
        <v>169</v>
      </c>
      <c r="D2360" s="766"/>
      <c r="E2360" s="22"/>
      <c r="F2360" s="19">
        <v>16410</v>
      </c>
      <c r="G2360" s="753">
        <f t="shared" si="44"/>
        <v>-16410</v>
      </c>
      <c r="H2360" s="13" t="s">
        <v>7876</v>
      </c>
    </row>
    <row r="2361" spans="1:8" x14ac:dyDescent="0.25">
      <c r="A2361" s="113">
        <v>44797</v>
      </c>
      <c r="B2361" s="21" t="s">
        <v>7921</v>
      </c>
      <c r="C2361" s="13" t="s">
        <v>169</v>
      </c>
      <c r="D2361" s="766"/>
      <c r="E2361" s="22"/>
      <c r="F2361" s="19">
        <v>42000</v>
      </c>
      <c r="G2361" s="753">
        <f t="shared" si="44"/>
        <v>-42000</v>
      </c>
      <c r="H2361" s="13" t="s">
        <v>7876</v>
      </c>
    </row>
    <row r="2362" spans="1:8" x14ac:dyDescent="0.25">
      <c r="A2362" s="113">
        <v>44797</v>
      </c>
      <c r="B2362" s="21" t="s">
        <v>8043</v>
      </c>
      <c r="C2362" s="13" t="s">
        <v>169</v>
      </c>
      <c r="D2362" s="766"/>
      <c r="E2362" s="22"/>
      <c r="F2362" s="19">
        <v>114000</v>
      </c>
      <c r="G2362" s="753">
        <f t="shared" si="44"/>
        <v>-114000</v>
      </c>
      <c r="H2362" s="13" t="s">
        <v>7876</v>
      </c>
    </row>
    <row r="2363" spans="1:8" x14ac:dyDescent="0.25">
      <c r="A2363" s="113">
        <v>44798</v>
      </c>
      <c r="B2363" s="21" t="s">
        <v>7921</v>
      </c>
      <c r="C2363" s="13" t="s">
        <v>169</v>
      </c>
      <c r="D2363" s="766" t="s">
        <v>8221</v>
      </c>
      <c r="E2363" s="22">
        <v>5885</v>
      </c>
      <c r="F2363" s="19"/>
      <c r="G2363" s="14">
        <f t="shared" si="44"/>
        <v>5885</v>
      </c>
      <c r="H2363" s="13"/>
    </row>
    <row r="2364" spans="1:8" x14ac:dyDescent="0.25">
      <c r="A2364" s="113">
        <v>44800</v>
      </c>
      <c r="B2364" s="21" t="s">
        <v>7921</v>
      </c>
      <c r="C2364" s="13" t="s">
        <v>7242</v>
      </c>
      <c r="D2364" s="766"/>
      <c r="E2364" s="22"/>
      <c r="F2364" s="19">
        <v>30000</v>
      </c>
      <c r="G2364" s="753">
        <f t="shared" si="44"/>
        <v>-30000</v>
      </c>
      <c r="H2364" s="13" t="s">
        <v>1157</v>
      </c>
    </row>
    <row r="2365" spans="1:8" ht="18.75" x14ac:dyDescent="0.25">
      <c r="A2365" s="113">
        <v>44802</v>
      </c>
      <c r="B2365" s="21" t="s">
        <v>1400</v>
      </c>
      <c r="C2365" s="13" t="s">
        <v>2196</v>
      </c>
      <c r="D2365" s="766"/>
      <c r="E2365" s="22"/>
      <c r="F2365" s="19">
        <v>91480</v>
      </c>
      <c r="G2365" s="753">
        <f t="shared" si="44"/>
        <v>-91480</v>
      </c>
      <c r="H2365" s="755" t="s">
        <v>8211</v>
      </c>
    </row>
    <row r="2366" spans="1:8" ht="18.75" x14ac:dyDescent="0.25">
      <c r="A2366" s="113">
        <v>44802</v>
      </c>
      <c r="B2366" s="21" t="s">
        <v>6505</v>
      </c>
      <c r="C2366" s="13" t="s">
        <v>2196</v>
      </c>
      <c r="D2366" s="766"/>
      <c r="E2366" s="22"/>
      <c r="F2366" s="19">
        <v>48520</v>
      </c>
      <c r="G2366" s="753">
        <f t="shared" si="44"/>
        <v>-48520</v>
      </c>
      <c r="H2366" s="755"/>
    </row>
    <row r="2367" spans="1:8" x14ac:dyDescent="0.25">
      <c r="A2367" s="113">
        <v>44802</v>
      </c>
      <c r="B2367" s="21" t="s">
        <v>8043</v>
      </c>
      <c r="C2367" s="13" t="s">
        <v>3011</v>
      </c>
      <c r="D2367" s="766"/>
      <c r="E2367" s="22">
        <v>27000</v>
      </c>
      <c r="F2367" s="19"/>
      <c r="G2367" s="14">
        <f t="shared" si="44"/>
        <v>27000</v>
      </c>
      <c r="H2367" s="13" t="s">
        <v>8303</v>
      </c>
    </row>
    <row r="2368" spans="1:8" x14ac:dyDescent="0.25">
      <c r="A2368" s="113">
        <v>44802</v>
      </c>
      <c r="B2368" s="21" t="s">
        <v>8043</v>
      </c>
      <c r="C2368" s="13" t="s">
        <v>3011</v>
      </c>
      <c r="D2368" s="766"/>
      <c r="E2368" s="22">
        <v>129999</v>
      </c>
      <c r="F2368" s="19"/>
      <c r="G2368" s="14">
        <f t="shared" si="44"/>
        <v>129999</v>
      </c>
      <c r="H2368" s="13"/>
    </row>
    <row r="2369" spans="1:8" x14ac:dyDescent="0.25">
      <c r="A2369" s="113">
        <v>44803</v>
      </c>
      <c r="B2369" s="21" t="s">
        <v>7921</v>
      </c>
      <c r="C2369" s="13" t="s">
        <v>7242</v>
      </c>
      <c r="D2369" s="766"/>
      <c r="E2369" s="22">
        <v>-62900</v>
      </c>
      <c r="F2369" s="19"/>
      <c r="G2369" s="753">
        <f t="shared" si="44"/>
        <v>-62900</v>
      </c>
      <c r="H2369" s="13" t="s">
        <v>8213</v>
      </c>
    </row>
    <row r="2370" spans="1:8" x14ac:dyDescent="0.25">
      <c r="A2370" s="113">
        <v>44803</v>
      </c>
      <c r="B2370" s="21" t="s">
        <v>7921</v>
      </c>
      <c r="C2370" s="13" t="s">
        <v>7242</v>
      </c>
      <c r="D2370" s="766"/>
      <c r="E2370" s="22">
        <v>47040</v>
      </c>
      <c r="F2370" s="19"/>
      <c r="G2370" s="753">
        <f t="shared" si="44"/>
        <v>47040</v>
      </c>
      <c r="H2370" s="13" t="s">
        <v>8214</v>
      </c>
    </row>
    <row r="2371" spans="1:8" x14ac:dyDescent="0.25">
      <c r="A2371" s="113">
        <v>44803</v>
      </c>
      <c r="B2371" s="21" t="s">
        <v>7555</v>
      </c>
      <c r="C2371" s="13" t="s">
        <v>7242</v>
      </c>
      <c r="D2371" s="766"/>
      <c r="E2371" s="22"/>
      <c r="F2371" s="19">
        <v>2840</v>
      </c>
      <c r="G2371" s="753">
        <f t="shared" si="44"/>
        <v>-2840</v>
      </c>
      <c r="H2371" s="13" t="s">
        <v>3918</v>
      </c>
    </row>
    <row r="2372" spans="1:8" x14ac:dyDescent="0.25">
      <c r="A2372" s="113">
        <v>44803</v>
      </c>
      <c r="B2372" s="21" t="s">
        <v>7921</v>
      </c>
      <c r="C2372" s="13" t="s">
        <v>7242</v>
      </c>
      <c r="D2372" s="778">
        <v>15</v>
      </c>
      <c r="E2372" s="22">
        <v>111730</v>
      </c>
      <c r="F2372" s="19"/>
      <c r="G2372" s="753">
        <f t="shared" si="44"/>
        <v>111730</v>
      </c>
      <c r="H2372" s="13"/>
    </row>
    <row r="2373" spans="1:8" x14ac:dyDescent="0.25">
      <c r="A2373" s="113">
        <v>44803</v>
      </c>
      <c r="B2373" s="21" t="s">
        <v>7921</v>
      </c>
      <c r="C2373" s="13" t="s">
        <v>7242</v>
      </c>
      <c r="D2373" s="766"/>
      <c r="E2373" s="22"/>
      <c r="F2373" s="19">
        <v>100000</v>
      </c>
      <c r="G2373" s="14">
        <f t="shared" si="44"/>
        <v>-100000</v>
      </c>
      <c r="H2373" s="13" t="s">
        <v>8235</v>
      </c>
    </row>
    <row r="2374" spans="1:8" x14ac:dyDescent="0.25">
      <c r="A2374" s="113">
        <v>44803</v>
      </c>
      <c r="B2374" s="21" t="s">
        <v>7921</v>
      </c>
      <c r="C2374" s="13" t="s">
        <v>7242</v>
      </c>
      <c r="D2374" s="766"/>
      <c r="E2374" s="22"/>
      <c r="F2374" s="19">
        <v>100000</v>
      </c>
      <c r="G2374" s="14">
        <f t="shared" si="44"/>
        <v>-100000</v>
      </c>
      <c r="H2374" s="13" t="s">
        <v>8236</v>
      </c>
    </row>
    <row r="2375" spans="1:8" x14ac:dyDescent="0.25">
      <c r="A2375" s="113">
        <v>44803</v>
      </c>
      <c r="B2375" s="21" t="s">
        <v>7921</v>
      </c>
      <c r="C2375" s="13" t="s">
        <v>7242</v>
      </c>
      <c r="D2375" s="766"/>
      <c r="E2375" s="22"/>
      <c r="F2375" s="19">
        <v>139000</v>
      </c>
      <c r="G2375" s="14">
        <f t="shared" si="44"/>
        <v>-139000</v>
      </c>
      <c r="H2375" s="13" t="s">
        <v>8237</v>
      </c>
    </row>
    <row r="2376" spans="1:8" x14ac:dyDescent="0.25">
      <c r="A2376" s="113">
        <v>44805</v>
      </c>
      <c r="B2376" s="21" t="s">
        <v>7921</v>
      </c>
      <c r="C2376" s="13" t="s">
        <v>169</v>
      </c>
      <c r="D2376" s="766" t="s">
        <v>8330</v>
      </c>
      <c r="E2376" s="22">
        <v>68150</v>
      </c>
      <c r="F2376" s="19"/>
      <c r="G2376" s="14">
        <f t="shared" si="44"/>
        <v>68150</v>
      </c>
      <c r="H2376" s="13"/>
    </row>
    <row r="2377" spans="1:8" x14ac:dyDescent="0.25">
      <c r="A2377" s="113">
        <v>44807</v>
      </c>
      <c r="B2377" s="21" t="s">
        <v>8043</v>
      </c>
      <c r="C2377" s="13" t="s">
        <v>3011</v>
      </c>
      <c r="D2377" s="766"/>
      <c r="E2377" s="22"/>
      <c r="F2377" s="19">
        <v>22500</v>
      </c>
      <c r="G2377" s="14">
        <f t="shared" si="44"/>
        <v>-22500</v>
      </c>
      <c r="H2377" s="13" t="s">
        <v>1157</v>
      </c>
    </row>
    <row r="2378" spans="1:8" x14ac:dyDescent="0.25">
      <c r="A2378" s="113">
        <v>44811</v>
      </c>
      <c r="B2378" s="21" t="s">
        <v>10151</v>
      </c>
      <c r="C2378" s="13" t="s">
        <v>5681</v>
      </c>
      <c r="D2378" s="766"/>
      <c r="E2378" s="22"/>
      <c r="F2378" s="19">
        <v>131000</v>
      </c>
      <c r="G2378" s="14">
        <f t="shared" si="44"/>
        <v>-131000</v>
      </c>
      <c r="H2378" s="13" t="s">
        <v>3918</v>
      </c>
    </row>
    <row r="2379" spans="1:8" x14ac:dyDescent="0.25">
      <c r="A2379" s="113">
        <v>44809</v>
      </c>
      <c r="B2379" s="21" t="s">
        <v>1400</v>
      </c>
      <c r="C2379" s="13" t="s">
        <v>5681</v>
      </c>
      <c r="D2379" s="766"/>
      <c r="E2379" s="22"/>
      <c r="F2379" s="19">
        <v>150000</v>
      </c>
      <c r="G2379" s="14">
        <f t="shared" si="44"/>
        <v>-150000</v>
      </c>
      <c r="H2379" s="13" t="s">
        <v>8240</v>
      </c>
    </row>
    <row r="2380" spans="1:8" x14ac:dyDescent="0.25">
      <c r="A2380" s="113">
        <v>44809</v>
      </c>
      <c r="B2380" s="21" t="s">
        <v>8043</v>
      </c>
      <c r="C2380" s="13" t="s">
        <v>3011</v>
      </c>
      <c r="D2380" s="766"/>
      <c r="E2380" s="22">
        <v>27000</v>
      </c>
      <c r="F2380" s="19"/>
      <c r="G2380" s="14">
        <f t="shared" si="44"/>
        <v>27000</v>
      </c>
      <c r="H2380" s="13" t="s">
        <v>1157</v>
      </c>
    </row>
    <row r="2381" spans="1:8" x14ac:dyDescent="0.25">
      <c r="A2381" s="113">
        <v>44809</v>
      </c>
      <c r="B2381" s="21" t="s">
        <v>8043</v>
      </c>
      <c r="C2381" s="13" t="s">
        <v>3011</v>
      </c>
      <c r="D2381" s="766"/>
      <c r="E2381" s="22">
        <v>45323</v>
      </c>
      <c r="F2381" s="19"/>
      <c r="G2381" s="14">
        <f t="shared" si="44"/>
        <v>45323</v>
      </c>
      <c r="H2381" s="13"/>
    </row>
    <row r="2382" spans="1:8" x14ac:dyDescent="0.25">
      <c r="A2382" s="113">
        <v>44809</v>
      </c>
      <c r="B2382" s="21" t="s">
        <v>8043</v>
      </c>
      <c r="C2382" s="13" t="s">
        <v>7467</v>
      </c>
      <c r="D2382" s="766" t="s">
        <v>8313</v>
      </c>
      <c r="E2382" s="22">
        <v>59395</v>
      </c>
      <c r="F2382" s="19"/>
      <c r="G2382" s="14">
        <f t="shared" si="44"/>
        <v>59395</v>
      </c>
      <c r="H2382" s="13"/>
    </row>
    <row r="2383" spans="1:8" x14ac:dyDescent="0.25">
      <c r="A2383" s="113">
        <v>44809</v>
      </c>
      <c r="B2383" s="21" t="s">
        <v>8043</v>
      </c>
      <c r="C2383" s="13" t="s">
        <v>7467</v>
      </c>
      <c r="D2383" s="766" t="s">
        <v>8314</v>
      </c>
      <c r="E2383" s="22">
        <v>935180</v>
      </c>
      <c r="F2383" s="19"/>
      <c r="G2383" s="14">
        <f t="shared" si="44"/>
        <v>935180</v>
      </c>
      <c r="H2383" s="13"/>
    </row>
    <row r="2384" spans="1:8" x14ac:dyDescent="0.25">
      <c r="A2384" s="113">
        <v>44809</v>
      </c>
      <c r="B2384" s="21" t="s">
        <v>8043</v>
      </c>
      <c r="C2384" s="13" t="s">
        <v>7467</v>
      </c>
      <c r="D2384" s="766" t="s">
        <v>8315</v>
      </c>
      <c r="E2384" s="22">
        <v>28800</v>
      </c>
      <c r="F2384" s="19"/>
      <c r="G2384" s="14">
        <f t="shared" si="44"/>
        <v>28800</v>
      </c>
      <c r="H2384" s="13"/>
    </row>
    <row r="2385" spans="1:8" x14ac:dyDescent="0.25">
      <c r="A2385" s="113">
        <v>44809</v>
      </c>
      <c r="B2385" s="21" t="s">
        <v>8043</v>
      </c>
      <c r="C2385" s="13" t="s">
        <v>7467</v>
      </c>
      <c r="D2385" s="766" t="s">
        <v>8316</v>
      </c>
      <c r="E2385" s="22">
        <v>421212</v>
      </c>
      <c r="F2385" s="19"/>
      <c r="G2385" s="14">
        <f t="shared" ref="G2385:G2407" si="45">E2385-F2385</f>
        <v>421212</v>
      </c>
      <c r="H2385" s="13"/>
    </row>
    <row r="2386" spans="1:8" x14ac:dyDescent="0.25">
      <c r="A2386" s="113">
        <v>44809</v>
      </c>
      <c r="B2386" s="21" t="s">
        <v>8043</v>
      </c>
      <c r="C2386" s="13" t="s">
        <v>7467</v>
      </c>
      <c r="D2386" s="766" t="s">
        <v>8317</v>
      </c>
      <c r="E2386" s="22">
        <v>371865</v>
      </c>
      <c r="F2386" s="19"/>
      <c r="G2386" s="14">
        <f t="shared" si="45"/>
        <v>371865</v>
      </c>
      <c r="H2386" s="13"/>
    </row>
    <row r="2387" spans="1:8" x14ac:dyDescent="0.25">
      <c r="A2387" s="113">
        <v>44809</v>
      </c>
      <c r="B2387" s="21" t="s">
        <v>7953</v>
      </c>
      <c r="C2387" s="13" t="s">
        <v>7954</v>
      </c>
      <c r="D2387" s="766"/>
      <c r="E2387" s="22"/>
      <c r="F2387" s="19">
        <v>400000</v>
      </c>
      <c r="G2387" s="14">
        <f t="shared" si="45"/>
        <v>-400000</v>
      </c>
      <c r="H2387" s="13" t="s">
        <v>8266</v>
      </c>
    </row>
    <row r="2388" spans="1:8" x14ac:dyDescent="0.25">
      <c r="A2388" s="113">
        <v>44811</v>
      </c>
      <c r="B2388" s="21" t="s">
        <v>8043</v>
      </c>
      <c r="C2388" s="13" t="s">
        <v>8456</v>
      </c>
      <c r="D2388" s="766" t="s">
        <v>8457</v>
      </c>
      <c r="E2388" s="22">
        <v>200000</v>
      </c>
      <c r="F2388" s="19"/>
      <c r="G2388" s="14">
        <f t="shared" si="45"/>
        <v>200000</v>
      </c>
      <c r="H2388" s="13" t="s">
        <v>8520</v>
      </c>
    </row>
    <row r="2389" spans="1:8" x14ac:dyDescent="0.25">
      <c r="A2389" s="113">
        <v>44811</v>
      </c>
      <c r="B2389" s="21" t="s">
        <v>1400</v>
      </c>
      <c r="C2389" s="13" t="s">
        <v>7242</v>
      </c>
      <c r="D2389" s="766" t="s">
        <v>8366</v>
      </c>
      <c r="E2389" s="22">
        <v>854151</v>
      </c>
      <c r="F2389" s="19"/>
      <c r="G2389" s="14">
        <f t="shared" si="45"/>
        <v>854151</v>
      </c>
      <c r="H2389" s="13"/>
    </row>
    <row r="2390" spans="1:8" x14ac:dyDescent="0.25">
      <c r="A2390" s="113">
        <v>44816</v>
      </c>
      <c r="B2390" s="21" t="s">
        <v>6511</v>
      </c>
      <c r="C2390" s="13" t="s">
        <v>3011</v>
      </c>
      <c r="D2390" s="766"/>
      <c r="E2390" s="22"/>
      <c r="F2390" s="19">
        <v>4661</v>
      </c>
      <c r="G2390" s="14">
        <f t="shared" si="45"/>
        <v>-4661</v>
      </c>
      <c r="H2390" s="13" t="s">
        <v>3918</v>
      </c>
    </row>
    <row r="2391" spans="1:8" x14ac:dyDescent="0.25">
      <c r="A2391" s="113">
        <v>44816</v>
      </c>
      <c r="B2391" s="21" t="s">
        <v>8043</v>
      </c>
      <c r="C2391" s="13" t="s">
        <v>7467</v>
      </c>
      <c r="D2391" s="766" t="s">
        <v>8403</v>
      </c>
      <c r="E2391" s="22">
        <v>20800</v>
      </c>
      <c r="F2391" s="19"/>
      <c r="G2391" s="14">
        <f t="shared" si="45"/>
        <v>20800</v>
      </c>
      <c r="H2391" s="13"/>
    </row>
    <row r="2392" spans="1:8" x14ac:dyDescent="0.25">
      <c r="A2392" s="113">
        <v>44818</v>
      </c>
      <c r="B2392" s="21" t="s">
        <v>8043</v>
      </c>
      <c r="C2392" s="13" t="s">
        <v>180</v>
      </c>
      <c r="D2392" s="766" t="s">
        <v>8367</v>
      </c>
      <c r="E2392" s="22">
        <v>100800</v>
      </c>
      <c r="F2392" s="19"/>
      <c r="G2392" s="14">
        <f t="shared" si="45"/>
        <v>100800</v>
      </c>
      <c r="H2392" s="13"/>
    </row>
    <row r="2393" spans="1:8" x14ac:dyDescent="0.25">
      <c r="A2393" s="113">
        <v>44818</v>
      </c>
      <c r="B2393" s="21" t="s">
        <v>8043</v>
      </c>
      <c r="C2393" s="13" t="s">
        <v>7467</v>
      </c>
      <c r="D2393" s="766" t="s">
        <v>8318</v>
      </c>
      <c r="E2393" s="22">
        <v>274016</v>
      </c>
      <c r="F2393" s="19"/>
      <c r="G2393" s="14">
        <f t="shared" si="45"/>
        <v>274016</v>
      </c>
      <c r="H2393" s="13"/>
    </row>
    <row r="2394" spans="1:8" x14ac:dyDescent="0.25">
      <c r="A2394" s="113">
        <v>44819</v>
      </c>
      <c r="B2394" s="21" t="s">
        <v>7953</v>
      </c>
      <c r="C2394" s="13" t="s">
        <v>7467</v>
      </c>
      <c r="D2394" s="766" t="s">
        <v>8319</v>
      </c>
      <c r="E2394" s="22">
        <v>111043</v>
      </c>
      <c r="F2394" s="19"/>
      <c r="G2394" s="14">
        <f t="shared" si="45"/>
        <v>111043</v>
      </c>
      <c r="H2394" s="13"/>
    </row>
    <row r="2395" spans="1:8" x14ac:dyDescent="0.25">
      <c r="A2395" s="113">
        <v>44819</v>
      </c>
      <c r="B2395" s="21" t="s">
        <v>7921</v>
      </c>
      <c r="C2395" s="13" t="s">
        <v>8394</v>
      </c>
      <c r="D2395" s="766" t="s">
        <v>8395</v>
      </c>
      <c r="E2395" s="22">
        <v>455186</v>
      </c>
      <c r="F2395" s="19"/>
      <c r="G2395" s="14">
        <f t="shared" si="45"/>
        <v>455186</v>
      </c>
      <c r="H2395" s="13"/>
    </row>
    <row r="2396" spans="1:8" x14ac:dyDescent="0.25">
      <c r="A2396" s="113">
        <v>44819</v>
      </c>
      <c r="B2396" s="21" t="s">
        <v>8043</v>
      </c>
      <c r="C2396" s="13" t="s">
        <v>8394</v>
      </c>
      <c r="D2396" s="766" t="s">
        <v>8396</v>
      </c>
      <c r="E2396" s="22">
        <v>47092</v>
      </c>
      <c r="F2396" s="19"/>
      <c r="G2396" s="14">
        <f t="shared" si="45"/>
        <v>47092</v>
      </c>
      <c r="H2396" s="13"/>
    </row>
    <row r="2397" spans="1:8" x14ac:dyDescent="0.25">
      <c r="A2397" s="113">
        <v>44820</v>
      </c>
      <c r="B2397" s="21" t="s">
        <v>8077</v>
      </c>
      <c r="C2397" s="13" t="s">
        <v>166</v>
      </c>
      <c r="D2397" s="766" t="s">
        <v>8364</v>
      </c>
      <c r="E2397" s="22">
        <v>31200</v>
      </c>
      <c r="F2397" s="19"/>
      <c r="G2397" s="14">
        <f t="shared" si="45"/>
        <v>31200</v>
      </c>
      <c r="H2397" s="13"/>
    </row>
    <row r="2398" spans="1:8" x14ac:dyDescent="0.25">
      <c r="A2398" s="113">
        <v>44820</v>
      </c>
      <c r="B2398" s="21" t="s">
        <v>7921</v>
      </c>
      <c r="C2398" s="13" t="s">
        <v>180</v>
      </c>
      <c r="D2398" s="766" t="s">
        <v>8368</v>
      </c>
      <c r="E2398" s="22">
        <v>59880</v>
      </c>
      <c r="F2398" s="19"/>
      <c r="G2398" s="14">
        <f t="shared" si="45"/>
        <v>59880</v>
      </c>
      <c r="H2398" s="13"/>
    </row>
    <row r="2399" spans="1:8" x14ac:dyDescent="0.25">
      <c r="A2399" s="113">
        <v>44823</v>
      </c>
      <c r="B2399" s="21" t="s">
        <v>2933</v>
      </c>
      <c r="C2399" s="13" t="s">
        <v>6767</v>
      </c>
      <c r="D2399" s="766" t="s">
        <v>8401</v>
      </c>
      <c r="E2399" s="22">
        <v>76350</v>
      </c>
      <c r="F2399" s="19"/>
      <c r="G2399" s="14">
        <f t="shared" si="45"/>
        <v>76350</v>
      </c>
      <c r="H2399" s="13"/>
    </row>
    <row r="2400" spans="1:8" x14ac:dyDescent="0.25">
      <c r="A2400" s="113">
        <v>44827</v>
      </c>
      <c r="B2400" s="21" t="s">
        <v>8043</v>
      </c>
      <c r="C2400" s="13" t="s">
        <v>7467</v>
      </c>
      <c r="D2400" s="766" t="s">
        <v>8453</v>
      </c>
      <c r="E2400" s="22">
        <v>41600</v>
      </c>
      <c r="F2400" s="19"/>
      <c r="G2400" s="14">
        <f t="shared" si="45"/>
        <v>41600</v>
      </c>
      <c r="H2400" s="13"/>
    </row>
    <row r="2401" spans="1:8" x14ac:dyDescent="0.25">
      <c r="A2401" s="113">
        <v>44827</v>
      </c>
      <c r="B2401" s="21" t="s">
        <v>8043</v>
      </c>
      <c r="C2401" s="13" t="s">
        <v>7467</v>
      </c>
      <c r="D2401" s="766" t="s">
        <v>8454</v>
      </c>
      <c r="E2401" s="22">
        <v>255657</v>
      </c>
      <c r="F2401" s="19"/>
      <c r="G2401" s="14">
        <f t="shared" si="45"/>
        <v>255657</v>
      </c>
      <c r="H2401" s="13"/>
    </row>
    <row r="2402" spans="1:8" x14ac:dyDescent="0.25">
      <c r="A2402" s="113">
        <v>44827</v>
      </c>
      <c r="B2402" s="21" t="s">
        <v>8077</v>
      </c>
      <c r="C2402" s="13" t="s">
        <v>162</v>
      </c>
      <c r="D2402" s="766" t="s">
        <v>8386</v>
      </c>
      <c r="E2402" s="22">
        <v>17510</v>
      </c>
      <c r="F2402" s="19"/>
      <c r="G2402" s="14">
        <f t="shared" si="45"/>
        <v>17510</v>
      </c>
      <c r="H2402" s="13" t="s">
        <v>8388</v>
      </c>
    </row>
    <row r="2403" spans="1:8" x14ac:dyDescent="0.25">
      <c r="A2403" s="113">
        <v>44828</v>
      </c>
      <c r="B2403" s="21" t="s">
        <v>3946</v>
      </c>
      <c r="C2403" s="13" t="s">
        <v>438</v>
      </c>
      <c r="D2403" s="766" t="s">
        <v>8365</v>
      </c>
      <c r="E2403" s="22">
        <v>68000</v>
      </c>
      <c r="F2403" s="19"/>
      <c r="G2403" s="14">
        <f t="shared" si="45"/>
        <v>68000</v>
      </c>
      <c r="H2403" s="13"/>
    </row>
    <row r="2404" spans="1:8" ht="15.75" customHeight="1" x14ac:dyDescent="0.25">
      <c r="A2404" s="113">
        <v>44831</v>
      </c>
      <c r="B2404" s="21" t="s">
        <v>7921</v>
      </c>
      <c r="C2404" s="13" t="s">
        <v>7242</v>
      </c>
      <c r="D2404" s="766"/>
      <c r="E2404" s="22"/>
      <c r="F2404" s="19">
        <v>109040</v>
      </c>
      <c r="G2404" s="14">
        <f t="shared" si="45"/>
        <v>-109040</v>
      </c>
      <c r="H2404" s="756" t="s">
        <v>8370</v>
      </c>
    </row>
    <row r="2405" spans="1:8" x14ac:dyDescent="0.25">
      <c r="A2405" s="113">
        <v>44831</v>
      </c>
      <c r="B2405" s="21" t="s">
        <v>8043</v>
      </c>
      <c r="C2405" s="13" t="s">
        <v>7242</v>
      </c>
      <c r="D2405" s="766"/>
      <c r="E2405" s="22"/>
      <c r="F2405" s="19">
        <v>390960</v>
      </c>
      <c r="G2405" s="14">
        <f t="shared" si="45"/>
        <v>-390960</v>
      </c>
      <c r="H2405" s="756"/>
    </row>
    <row r="2406" spans="1:8" x14ac:dyDescent="0.25">
      <c r="A2406" s="113">
        <v>44833</v>
      </c>
      <c r="B2406" s="21" t="s">
        <v>8043</v>
      </c>
      <c r="C2406" s="13" t="s">
        <v>7467</v>
      </c>
      <c r="D2406" s="766" t="s">
        <v>8455</v>
      </c>
      <c r="E2406" s="22">
        <v>232416</v>
      </c>
      <c r="F2406" s="19"/>
      <c r="G2406" s="14">
        <f t="shared" si="45"/>
        <v>232416</v>
      </c>
      <c r="H2406" s="757"/>
    </row>
    <row r="2407" spans="1:8" x14ac:dyDescent="0.25">
      <c r="A2407" s="113">
        <v>44835</v>
      </c>
      <c r="B2407" s="21" t="s">
        <v>7921</v>
      </c>
      <c r="C2407" s="13" t="s">
        <v>7467</v>
      </c>
      <c r="D2407" s="766" t="s">
        <v>8404</v>
      </c>
      <c r="E2407" s="22">
        <v>651281</v>
      </c>
      <c r="F2407" s="19"/>
      <c r="G2407" s="14">
        <f t="shared" si="45"/>
        <v>651281</v>
      </c>
      <c r="H2407" s="13"/>
    </row>
    <row r="2408" spans="1:8" x14ac:dyDescent="0.25">
      <c r="A2408" s="113">
        <v>44835</v>
      </c>
      <c r="B2408" s="21" t="s">
        <v>7921</v>
      </c>
      <c r="C2408" s="13" t="s">
        <v>438</v>
      </c>
      <c r="D2408" s="766" t="s">
        <v>8405</v>
      </c>
      <c r="E2408" s="22">
        <v>42000</v>
      </c>
      <c r="F2408" s="19"/>
      <c r="G2408" s="14">
        <f t="shared" ref="G2408:G2430" si="46">E2408-F2408</f>
        <v>42000</v>
      </c>
      <c r="H2408" s="13"/>
    </row>
    <row r="2409" spans="1:8" x14ac:dyDescent="0.25">
      <c r="A2409" s="113">
        <v>44837</v>
      </c>
      <c r="B2409" s="21" t="s">
        <v>8077</v>
      </c>
      <c r="C2409" s="13" t="s">
        <v>8394</v>
      </c>
      <c r="D2409" s="766" t="s">
        <v>7683</v>
      </c>
      <c r="E2409" s="22">
        <v>9067</v>
      </c>
      <c r="F2409" s="19"/>
      <c r="G2409" s="14">
        <f t="shared" si="46"/>
        <v>9067</v>
      </c>
      <c r="H2409" s="13"/>
    </row>
    <row r="2410" spans="1:8" x14ac:dyDescent="0.25">
      <c r="A2410" s="113">
        <v>44837</v>
      </c>
      <c r="B2410" s="21" t="s">
        <v>8043</v>
      </c>
      <c r="C2410" s="13" t="s">
        <v>8394</v>
      </c>
      <c r="D2410" s="766" t="s">
        <v>8104</v>
      </c>
      <c r="E2410" s="22">
        <v>154641</v>
      </c>
      <c r="F2410" s="19"/>
      <c r="G2410" s="14">
        <f t="shared" si="46"/>
        <v>154641</v>
      </c>
      <c r="H2410" s="13"/>
    </row>
    <row r="2411" spans="1:8" x14ac:dyDescent="0.25">
      <c r="A2411" s="113">
        <v>44837</v>
      </c>
      <c r="B2411" s="21" t="s">
        <v>7921</v>
      </c>
      <c r="C2411" s="13" t="s">
        <v>8394</v>
      </c>
      <c r="D2411" s="766" t="s">
        <v>8397</v>
      </c>
      <c r="E2411" s="22">
        <v>118082</v>
      </c>
      <c r="F2411" s="19"/>
      <c r="G2411" s="14">
        <f t="shared" si="46"/>
        <v>118082</v>
      </c>
      <c r="H2411" s="13"/>
    </row>
    <row r="2412" spans="1:8" s="731" customFormat="1" ht="31.5" x14ac:dyDescent="0.25">
      <c r="A2412" s="113">
        <v>44837</v>
      </c>
      <c r="B2412" s="743" t="s">
        <v>7921</v>
      </c>
      <c r="C2412" s="750" t="s">
        <v>8394</v>
      </c>
      <c r="D2412" s="779"/>
      <c r="E2412" s="751"/>
      <c r="F2412" s="752">
        <v>343867</v>
      </c>
      <c r="G2412" s="753">
        <f t="shared" si="46"/>
        <v>-343867</v>
      </c>
      <c r="H2412" s="756" t="s">
        <v>8398</v>
      </c>
    </row>
    <row r="2413" spans="1:8" x14ac:dyDescent="0.25">
      <c r="A2413" s="113">
        <v>44837</v>
      </c>
      <c r="B2413" s="21" t="s">
        <v>8043</v>
      </c>
      <c r="C2413" s="750" t="s">
        <v>8394</v>
      </c>
      <c r="D2413" s="766"/>
      <c r="E2413" s="22"/>
      <c r="F2413" s="19">
        <v>167000</v>
      </c>
      <c r="G2413" s="753">
        <f t="shared" si="46"/>
        <v>-167000</v>
      </c>
      <c r="H2413" s="13" t="s">
        <v>8399</v>
      </c>
    </row>
    <row r="2414" spans="1:8" x14ac:dyDescent="0.25">
      <c r="A2414" s="113">
        <v>44838</v>
      </c>
      <c r="B2414" s="21" t="s">
        <v>7921</v>
      </c>
      <c r="C2414" s="13" t="s">
        <v>169</v>
      </c>
      <c r="D2414" s="766" t="s">
        <v>8412</v>
      </c>
      <c r="E2414" s="22">
        <v>2400</v>
      </c>
      <c r="F2414" s="19"/>
      <c r="G2414" s="753">
        <f t="shared" si="46"/>
        <v>2400</v>
      </c>
      <c r="H2414" s="13" t="s">
        <v>8413</v>
      </c>
    </row>
    <row r="2415" spans="1:8" x14ac:dyDescent="0.25">
      <c r="A2415" s="113">
        <v>44838</v>
      </c>
      <c r="B2415" s="21" t="s">
        <v>7921</v>
      </c>
      <c r="C2415" s="13" t="s">
        <v>7467</v>
      </c>
      <c r="D2415" s="766" t="s">
        <v>8495</v>
      </c>
      <c r="E2415" s="22">
        <v>14601</v>
      </c>
      <c r="F2415" s="19"/>
      <c r="G2415" s="753">
        <f t="shared" si="46"/>
        <v>14601</v>
      </c>
      <c r="H2415" s="13"/>
    </row>
    <row r="2416" spans="1:8" x14ac:dyDescent="0.25">
      <c r="A2416" s="113">
        <v>44840</v>
      </c>
      <c r="B2416" s="21" t="s">
        <v>8043</v>
      </c>
      <c r="C2416" s="13" t="s">
        <v>5187</v>
      </c>
      <c r="D2416" s="766"/>
      <c r="E2416" s="22"/>
      <c r="F2416" s="19">
        <v>300000</v>
      </c>
      <c r="G2416" s="753">
        <f t="shared" si="46"/>
        <v>-300000</v>
      </c>
      <c r="H2416" s="13" t="s">
        <v>8422</v>
      </c>
    </row>
    <row r="2417" spans="1:8" x14ac:dyDescent="0.25">
      <c r="A2417" s="113">
        <v>44841</v>
      </c>
      <c r="B2417" s="21" t="s">
        <v>8043</v>
      </c>
      <c r="C2417" s="13" t="s">
        <v>8456</v>
      </c>
      <c r="D2417" s="766" t="s">
        <v>8458</v>
      </c>
      <c r="E2417" s="22">
        <v>120000</v>
      </c>
      <c r="F2417" s="19"/>
      <c r="G2417" s="753">
        <f t="shared" si="46"/>
        <v>120000</v>
      </c>
      <c r="H2417" s="13" t="s">
        <v>8459</v>
      </c>
    </row>
    <row r="2418" spans="1:8" x14ac:dyDescent="0.25">
      <c r="A2418" s="113">
        <v>44845</v>
      </c>
      <c r="B2418" s="21" t="s">
        <v>8339</v>
      </c>
      <c r="C2418" s="13" t="s">
        <v>2196</v>
      </c>
      <c r="D2418" s="766" t="s">
        <v>8471</v>
      </c>
      <c r="E2418" s="22">
        <v>150728</v>
      </c>
      <c r="F2418" s="19"/>
      <c r="G2418" s="753">
        <f t="shared" si="46"/>
        <v>150728</v>
      </c>
      <c r="H2418" s="13" t="s">
        <v>8472</v>
      </c>
    </row>
    <row r="2419" spans="1:8" x14ac:dyDescent="0.25">
      <c r="A2419" s="113">
        <v>44846</v>
      </c>
      <c r="B2419" s="21" t="s">
        <v>8043</v>
      </c>
      <c r="C2419" s="13" t="s">
        <v>8456</v>
      </c>
      <c r="D2419" s="766" t="s">
        <v>8469</v>
      </c>
      <c r="E2419" s="22">
        <v>162000</v>
      </c>
      <c r="F2419" s="19"/>
      <c r="G2419" s="753">
        <f t="shared" si="46"/>
        <v>162000</v>
      </c>
      <c r="H2419" s="13" t="s">
        <v>8470</v>
      </c>
    </row>
    <row r="2420" spans="1:8" x14ac:dyDescent="0.25">
      <c r="A2420" s="113">
        <v>44847</v>
      </c>
      <c r="B2420" s="21" t="s">
        <v>8339</v>
      </c>
      <c r="C2420" s="13" t="s">
        <v>7242</v>
      </c>
      <c r="D2420" s="766"/>
      <c r="E2420" s="22"/>
      <c r="F2420" s="19">
        <v>300000</v>
      </c>
      <c r="G2420" s="753">
        <f t="shared" si="46"/>
        <v>-300000</v>
      </c>
      <c r="H2420" s="13" t="s">
        <v>8480</v>
      </c>
    </row>
    <row r="2421" spans="1:8" x14ac:dyDescent="0.25">
      <c r="A2421" s="113">
        <v>44848</v>
      </c>
      <c r="B2421" s="21" t="s">
        <v>8043</v>
      </c>
      <c r="C2421" s="13" t="s">
        <v>161</v>
      </c>
      <c r="D2421" s="766"/>
      <c r="E2421" s="22"/>
      <c r="F2421" s="19">
        <v>52499</v>
      </c>
      <c r="G2421" s="753">
        <f t="shared" si="46"/>
        <v>-52499</v>
      </c>
      <c r="H2421" s="13" t="s">
        <v>8477</v>
      </c>
    </row>
    <row r="2422" spans="1:8" x14ac:dyDescent="0.25">
      <c r="A2422" s="113">
        <v>44848</v>
      </c>
      <c r="B2422" s="21" t="s">
        <v>7921</v>
      </c>
      <c r="C2422" s="13" t="s">
        <v>169</v>
      </c>
      <c r="D2422" s="766"/>
      <c r="E2422" s="22"/>
      <c r="F2422" s="19">
        <v>224000</v>
      </c>
      <c r="G2422" s="753">
        <f t="shared" si="46"/>
        <v>-224000</v>
      </c>
      <c r="H2422" s="13" t="s">
        <v>8481</v>
      </c>
    </row>
    <row r="2423" spans="1:8" x14ac:dyDescent="0.25">
      <c r="A2423" s="113">
        <v>44848</v>
      </c>
      <c r="B2423" s="21" t="s">
        <v>8043</v>
      </c>
      <c r="C2423" s="13" t="s">
        <v>5187</v>
      </c>
      <c r="D2423" s="766" t="s">
        <v>8523</v>
      </c>
      <c r="E2423" s="22">
        <v>861760</v>
      </c>
      <c r="F2423" s="19"/>
      <c r="G2423" s="753">
        <f t="shared" si="46"/>
        <v>861760</v>
      </c>
      <c r="H2423" s="13"/>
    </row>
    <row r="2424" spans="1:8" x14ac:dyDescent="0.25">
      <c r="A2424" s="113">
        <v>44849</v>
      </c>
      <c r="B2424" s="21" t="s">
        <v>7921</v>
      </c>
      <c r="C2424" s="13" t="s">
        <v>169</v>
      </c>
      <c r="D2424" s="766" t="s">
        <v>8478</v>
      </c>
      <c r="E2424" s="22">
        <v>30588</v>
      </c>
      <c r="F2424" s="19"/>
      <c r="G2424" s="753">
        <f t="shared" si="46"/>
        <v>30588</v>
      </c>
      <c r="H2424" s="13" t="s">
        <v>8479</v>
      </c>
    </row>
    <row r="2425" spans="1:8" x14ac:dyDescent="0.25">
      <c r="A2425" s="113">
        <v>44851</v>
      </c>
      <c r="B2425" s="21" t="s">
        <v>7921</v>
      </c>
      <c r="C2425" s="13" t="s">
        <v>166</v>
      </c>
      <c r="D2425" s="766" t="s">
        <v>8521</v>
      </c>
      <c r="E2425" s="22">
        <v>46700</v>
      </c>
      <c r="F2425" s="19"/>
      <c r="G2425" s="753">
        <f t="shared" si="46"/>
        <v>46700</v>
      </c>
      <c r="H2425" s="13" t="s">
        <v>8522</v>
      </c>
    </row>
    <row r="2426" spans="1:8" x14ac:dyDescent="0.25">
      <c r="A2426" s="113">
        <v>44852</v>
      </c>
      <c r="B2426" s="21" t="s">
        <v>8077</v>
      </c>
      <c r="C2426" s="13" t="s">
        <v>5187</v>
      </c>
      <c r="D2426" s="766" t="s">
        <v>8524</v>
      </c>
      <c r="E2426" s="22">
        <v>63132</v>
      </c>
      <c r="F2426" s="19"/>
      <c r="G2426" s="753">
        <f t="shared" si="46"/>
        <v>63132</v>
      </c>
      <c r="H2426" s="13"/>
    </row>
    <row r="2427" spans="1:8" x14ac:dyDescent="0.25">
      <c r="A2427" s="113">
        <v>44852</v>
      </c>
      <c r="B2427" s="21" t="s">
        <v>8043</v>
      </c>
      <c r="C2427" s="13" t="s">
        <v>7467</v>
      </c>
      <c r="D2427" s="766" t="s">
        <v>8546</v>
      </c>
      <c r="E2427" s="22">
        <v>85219</v>
      </c>
      <c r="F2427" s="19"/>
      <c r="G2427" s="753">
        <f t="shared" si="46"/>
        <v>85219</v>
      </c>
      <c r="H2427" s="13"/>
    </row>
    <row r="2428" spans="1:8" x14ac:dyDescent="0.25">
      <c r="A2428" s="113">
        <v>44854</v>
      </c>
      <c r="B2428" s="21" t="s">
        <v>8043</v>
      </c>
      <c r="C2428" s="13" t="s">
        <v>7467</v>
      </c>
      <c r="D2428" s="766"/>
      <c r="E2428" s="22"/>
      <c r="F2428" s="19">
        <v>300000</v>
      </c>
      <c r="G2428" s="753">
        <f t="shared" si="46"/>
        <v>-300000</v>
      </c>
      <c r="H2428" s="13" t="s">
        <v>8509</v>
      </c>
    </row>
    <row r="2429" spans="1:8" x14ac:dyDescent="0.25">
      <c r="A2429" s="113">
        <v>44854</v>
      </c>
      <c r="B2429" s="21" t="s">
        <v>8043</v>
      </c>
      <c r="C2429" s="13" t="s">
        <v>7467</v>
      </c>
      <c r="D2429" s="766"/>
      <c r="E2429" s="22"/>
      <c r="F2429" s="19">
        <v>460000</v>
      </c>
      <c r="G2429" s="753">
        <f t="shared" si="46"/>
        <v>-460000</v>
      </c>
      <c r="H2429" s="13" t="s">
        <v>8510</v>
      </c>
    </row>
    <row r="2430" spans="1:8" x14ac:dyDescent="0.25">
      <c r="A2430" s="113">
        <v>44854</v>
      </c>
      <c r="B2430" s="21" t="s">
        <v>8043</v>
      </c>
      <c r="C2430" s="13" t="s">
        <v>8456</v>
      </c>
      <c r="D2430" s="766"/>
      <c r="E2430" s="22"/>
      <c r="F2430" s="19">
        <v>200000</v>
      </c>
      <c r="G2430" s="14">
        <f t="shared" si="46"/>
        <v>-200000</v>
      </c>
      <c r="H2430" s="13" t="s">
        <v>8511</v>
      </c>
    </row>
    <row r="2431" spans="1:8" x14ac:dyDescent="0.25">
      <c r="A2431" s="113">
        <v>44854</v>
      </c>
      <c r="B2431" s="21" t="s">
        <v>8043</v>
      </c>
      <c r="C2431" s="13" t="s">
        <v>8394</v>
      </c>
      <c r="D2431" s="766" t="s">
        <v>7684</v>
      </c>
      <c r="E2431" s="22">
        <v>77950</v>
      </c>
      <c r="F2431" s="19"/>
      <c r="G2431" s="14">
        <f t="shared" ref="G2431:G2479" si="47">E2431-F2431</f>
        <v>77950</v>
      </c>
      <c r="H2431" s="13"/>
    </row>
    <row r="2432" spans="1:8" x14ac:dyDescent="0.25">
      <c r="A2432" s="113">
        <v>44854</v>
      </c>
      <c r="B2432" s="21" t="s">
        <v>7921</v>
      </c>
      <c r="C2432" s="13" t="s">
        <v>8394</v>
      </c>
      <c r="D2432" s="766" t="s">
        <v>8525</v>
      </c>
      <c r="E2432" s="22">
        <v>113397</v>
      </c>
      <c r="F2432" s="19"/>
      <c r="G2432" s="14">
        <f t="shared" si="47"/>
        <v>113397</v>
      </c>
      <c r="H2432" s="13"/>
    </row>
    <row r="2433" spans="1:8" x14ac:dyDescent="0.25">
      <c r="A2433" s="113">
        <v>44854</v>
      </c>
      <c r="B2433" s="21" t="s">
        <v>7921</v>
      </c>
      <c r="C2433" s="13" t="s">
        <v>169</v>
      </c>
      <c r="D2433" s="766" t="s">
        <v>8526</v>
      </c>
      <c r="E2433" s="22">
        <v>4000</v>
      </c>
      <c r="F2433" s="19"/>
      <c r="G2433" s="753">
        <f t="shared" si="47"/>
        <v>4000</v>
      </c>
      <c r="H2433" s="13" t="s">
        <v>8527</v>
      </c>
    </row>
    <row r="2434" spans="1:8" x14ac:dyDescent="0.25">
      <c r="A2434" s="113">
        <v>44855</v>
      </c>
      <c r="B2434" s="21" t="s">
        <v>8339</v>
      </c>
      <c r="C2434" s="13" t="s">
        <v>7467</v>
      </c>
      <c r="D2434" s="766" t="s">
        <v>8872</v>
      </c>
      <c r="E2434" s="22">
        <v>196262</v>
      </c>
      <c r="F2434" s="19"/>
      <c r="G2434" s="14">
        <f t="shared" si="47"/>
        <v>196262</v>
      </c>
      <c r="H2434" s="13"/>
    </row>
    <row r="2435" spans="1:8" x14ac:dyDescent="0.25">
      <c r="A2435" s="113">
        <v>44858</v>
      </c>
      <c r="B2435" s="21" t="s">
        <v>8043</v>
      </c>
      <c r="C2435" s="13" t="s">
        <v>5187</v>
      </c>
      <c r="D2435" s="766"/>
      <c r="E2435" s="22"/>
      <c r="F2435" s="19">
        <v>300950</v>
      </c>
      <c r="G2435" s="14">
        <f t="shared" si="47"/>
        <v>-300950</v>
      </c>
      <c r="H2435" s="13" t="s">
        <v>8537</v>
      </c>
    </row>
    <row r="2436" spans="1:8" x14ac:dyDescent="0.25">
      <c r="A2436" s="113">
        <v>44859</v>
      </c>
      <c r="B2436" s="21" t="s">
        <v>7921</v>
      </c>
      <c r="C2436" s="13" t="s">
        <v>8394</v>
      </c>
      <c r="D2436" s="766"/>
      <c r="E2436" s="22"/>
      <c r="F2436" s="19">
        <v>200000</v>
      </c>
      <c r="G2436" s="14">
        <f t="shared" si="47"/>
        <v>-200000</v>
      </c>
      <c r="H2436" s="13" t="s">
        <v>8538</v>
      </c>
    </row>
    <row r="2437" spans="1:8" x14ac:dyDescent="0.25">
      <c r="A2437" s="113">
        <v>44859</v>
      </c>
      <c r="B2437" s="21" t="s">
        <v>7921</v>
      </c>
      <c r="C2437" s="13" t="s">
        <v>162</v>
      </c>
      <c r="D2437" s="766" t="s">
        <v>8556</v>
      </c>
      <c r="E2437" s="22">
        <v>27990</v>
      </c>
      <c r="F2437" s="19"/>
      <c r="G2437" s="14">
        <f t="shared" si="47"/>
        <v>27990</v>
      </c>
      <c r="H2437" s="13" t="s">
        <v>8557</v>
      </c>
    </row>
    <row r="2438" spans="1:8" x14ac:dyDescent="0.25">
      <c r="A2438" s="113">
        <v>44859</v>
      </c>
      <c r="B2438" s="21" t="s">
        <v>7921</v>
      </c>
      <c r="C2438" s="13" t="s">
        <v>166</v>
      </c>
      <c r="D2438" s="766"/>
      <c r="E2438" s="22"/>
      <c r="F2438" s="19">
        <v>147140</v>
      </c>
      <c r="G2438" s="14">
        <f t="shared" si="47"/>
        <v>-147140</v>
      </c>
      <c r="H2438" s="1163" t="s">
        <v>8541</v>
      </c>
    </row>
    <row r="2439" spans="1:8" x14ac:dyDescent="0.25">
      <c r="A2439" s="113">
        <v>44859</v>
      </c>
      <c r="B2439" s="21" t="s">
        <v>8077</v>
      </c>
      <c r="C2439" s="13" t="s">
        <v>166</v>
      </c>
      <c r="D2439" s="766"/>
      <c r="E2439" s="22"/>
      <c r="F2439" s="19">
        <v>31200</v>
      </c>
      <c r="G2439" s="14">
        <f t="shared" si="47"/>
        <v>-31200</v>
      </c>
      <c r="H2439" s="1163"/>
    </row>
    <row r="2440" spans="1:8" x14ac:dyDescent="0.25">
      <c r="A2440" s="113">
        <v>44859</v>
      </c>
      <c r="B2440" s="21" t="s">
        <v>8559</v>
      </c>
      <c r="C2440" s="13" t="s">
        <v>166</v>
      </c>
      <c r="D2440" s="766"/>
      <c r="E2440" s="22"/>
      <c r="F2440" s="19">
        <v>109718</v>
      </c>
      <c r="G2440" s="14">
        <f t="shared" si="47"/>
        <v>-109718</v>
      </c>
      <c r="H2440" s="1163"/>
    </row>
    <row r="2441" spans="1:8" x14ac:dyDescent="0.25">
      <c r="A2441" s="113">
        <v>44860</v>
      </c>
      <c r="B2441" s="21" t="s">
        <v>6505</v>
      </c>
      <c r="C2441" s="13" t="s">
        <v>2196</v>
      </c>
      <c r="D2441" s="766" t="s">
        <v>8584</v>
      </c>
      <c r="E2441" s="22">
        <v>23920</v>
      </c>
      <c r="F2441" s="19"/>
      <c r="G2441" s="14">
        <f t="shared" si="47"/>
        <v>23920</v>
      </c>
      <c r="H2441" s="745"/>
    </row>
    <row r="2442" spans="1:8" x14ac:dyDescent="0.25">
      <c r="A2442" s="113">
        <v>44860</v>
      </c>
      <c r="B2442" s="21" t="s">
        <v>1400</v>
      </c>
      <c r="C2442" s="13" t="s">
        <v>2196</v>
      </c>
      <c r="D2442" s="766"/>
      <c r="E2442" s="22"/>
      <c r="F2442" s="19"/>
      <c r="G2442" s="14">
        <f t="shared" si="47"/>
        <v>0</v>
      </c>
      <c r="H2442" s="13"/>
    </row>
    <row r="2443" spans="1:8" x14ac:dyDescent="0.25">
      <c r="A2443" s="113">
        <v>44860</v>
      </c>
      <c r="B2443" s="21" t="s">
        <v>8339</v>
      </c>
      <c r="C2443" s="13" t="s">
        <v>2196</v>
      </c>
      <c r="D2443" s="766"/>
      <c r="E2443" s="22"/>
      <c r="F2443" s="19">
        <v>728</v>
      </c>
      <c r="G2443" s="14">
        <f t="shared" si="47"/>
        <v>-728</v>
      </c>
      <c r="H2443" s="13" t="s">
        <v>7876</v>
      </c>
    </row>
    <row r="2444" spans="1:8" x14ac:dyDescent="0.25">
      <c r="A2444" s="113">
        <v>44860</v>
      </c>
      <c r="B2444" s="21" t="s">
        <v>8339</v>
      </c>
      <c r="C2444" s="13" t="s">
        <v>2196</v>
      </c>
      <c r="D2444" s="766"/>
      <c r="E2444" s="22"/>
      <c r="F2444" s="19">
        <v>150000</v>
      </c>
      <c r="G2444" s="14">
        <f t="shared" si="47"/>
        <v>-150000</v>
      </c>
      <c r="H2444" s="1165" t="s">
        <v>8554</v>
      </c>
    </row>
    <row r="2445" spans="1:8" x14ac:dyDescent="0.25">
      <c r="A2445" s="113">
        <v>44860</v>
      </c>
      <c r="B2445" s="21" t="s">
        <v>6505</v>
      </c>
      <c r="C2445" s="13" t="s">
        <v>2196</v>
      </c>
      <c r="D2445" s="766"/>
      <c r="E2445" s="22"/>
      <c r="F2445" s="19">
        <v>23920</v>
      </c>
      <c r="G2445" s="14">
        <f t="shared" si="47"/>
        <v>-23920</v>
      </c>
      <c r="H2445" s="1165"/>
    </row>
    <row r="2446" spans="1:8" x14ac:dyDescent="0.25">
      <c r="A2446" s="113">
        <v>44860</v>
      </c>
      <c r="B2446" s="21" t="s">
        <v>8559</v>
      </c>
      <c r="C2446" s="13" t="s">
        <v>2196</v>
      </c>
      <c r="D2446" s="766"/>
      <c r="E2446" s="22"/>
      <c r="F2446" s="19">
        <v>11080</v>
      </c>
      <c r="G2446" s="14">
        <f t="shared" si="47"/>
        <v>-11080</v>
      </c>
      <c r="H2446" s="1165"/>
    </row>
    <row r="2447" spans="1:8" x14ac:dyDescent="0.25">
      <c r="A2447" s="113">
        <v>44860</v>
      </c>
      <c r="B2447" s="21" t="s">
        <v>8559</v>
      </c>
      <c r="C2447" s="13" t="s">
        <v>166</v>
      </c>
      <c r="D2447" s="766" t="s">
        <v>8580</v>
      </c>
      <c r="E2447" s="22">
        <v>125000</v>
      </c>
      <c r="F2447" s="19"/>
      <c r="G2447" s="14">
        <f t="shared" si="47"/>
        <v>125000</v>
      </c>
      <c r="H2447" s="757" t="s">
        <v>8582</v>
      </c>
    </row>
    <row r="2448" spans="1:8" x14ac:dyDescent="0.25">
      <c r="A2448" s="113">
        <v>44860</v>
      </c>
      <c r="B2448" s="21" t="s">
        <v>7921</v>
      </c>
      <c r="C2448" s="13" t="s">
        <v>8456</v>
      </c>
      <c r="D2448" s="766" t="s">
        <v>8741</v>
      </c>
      <c r="E2448" s="22">
        <v>42000</v>
      </c>
      <c r="F2448" s="19"/>
      <c r="G2448" s="14">
        <f t="shared" si="47"/>
        <v>42000</v>
      </c>
      <c r="H2448" s="757" t="s">
        <v>8742</v>
      </c>
    </row>
    <row r="2449" spans="1:8" x14ac:dyDescent="0.25">
      <c r="A2449" s="113">
        <v>44862</v>
      </c>
      <c r="B2449" s="21" t="s">
        <v>7921</v>
      </c>
      <c r="C2449" s="13" t="s">
        <v>166</v>
      </c>
      <c r="D2449" s="766" t="s">
        <v>8581</v>
      </c>
      <c r="E2449" s="22">
        <v>25000</v>
      </c>
      <c r="F2449" s="19"/>
      <c r="G2449" s="14">
        <f t="shared" si="47"/>
        <v>25000</v>
      </c>
      <c r="H2449" s="757" t="s">
        <v>8583</v>
      </c>
    </row>
    <row r="2450" spans="1:8" x14ac:dyDescent="0.25">
      <c r="A2450" s="113">
        <v>44861</v>
      </c>
      <c r="B2450" s="21" t="s">
        <v>7953</v>
      </c>
      <c r="C2450" s="13" t="s">
        <v>7954</v>
      </c>
      <c r="D2450" s="766"/>
      <c r="E2450" s="22"/>
      <c r="F2450" s="19">
        <v>495000</v>
      </c>
      <c r="G2450" s="14">
        <f t="shared" si="47"/>
        <v>-495000</v>
      </c>
      <c r="H2450" s="13" t="s">
        <v>8550</v>
      </c>
    </row>
    <row r="2451" spans="1:8" x14ac:dyDescent="0.25">
      <c r="A2451" s="113">
        <v>44861</v>
      </c>
      <c r="B2451" s="21" t="s">
        <v>8043</v>
      </c>
      <c r="C2451" s="13" t="s">
        <v>3011</v>
      </c>
      <c r="D2451" s="766"/>
      <c r="E2451" s="22"/>
      <c r="F2451" s="19">
        <v>150000</v>
      </c>
      <c r="G2451" s="14">
        <f t="shared" si="47"/>
        <v>-150000</v>
      </c>
      <c r="H2451" s="13" t="s">
        <v>8553</v>
      </c>
    </row>
    <row r="2452" spans="1:8" x14ac:dyDescent="0.25">
      <c r="A2452" s="113">
        <v>44862</v>
      </c>
      <c r="B2452" s="21" t="s">
        <v>8339</v>
      </c>
      <c r="C2452" s="13" t="s">
        <v>7242</v>
      </c>
      <c r="D2452" s="766"/>
      <c r="E2452" s="22"/>
      <c r="F2452" s="19">
        <v>192000</v>
      </c>
      <c r="G2452" s="14">
        <f t="shared" si="47"/>
        <v>-192000</v>
      </c>
      <c r="H2452" s="13" t="s">
        <v>8555</v>
      </c>
    </row>
    <row r="2453" spans="1:8" x14ac:dyDescent="0.25">
      <c r="A2453" s="113">
        <v>44863</v>
      </c>
      <c r="B2453" s="21" t="s">
        <v>8532</v>
      </c>
      <c r="C2453" s="13" t="s">
        <v>166</v>
      </c>
      <c r="D2453" s="766" t="s">
        <v>8654</v>
      </c>
      <c r="E2453" s="22">
        <v>24000</v>
      </c>
      <c r="F2453" s="19"/>
      <c r="G2453" s="14">
        <f t="shared" si="47"/>
        <v>24000</v>
      </c>
      <c r="H2453" s="13" t="s">
        <v>8653</v>
      </c>
    </row>
    <row r="2454" spans="1:8" x14ac:dyDescent="0.25">
      <c r="A2454" s="113">
        <v>44865</v>
      </c>
      <c r="B2454" s="21" t="s">
        <v>8559</v>
      </c>
      <c r="C2454" s="13" t="s">
        <v>8394</v>
      </c>
      <c r="D2454" s="766" t="s">
        <v>7751</v>
      </c>
      <c r="E2454" s="22">
        <v>315599</v>
      </c>
      <c r="F2454" s="19"/>
      <c r="G2454" s="14">
        <f t="shared" si="47"/>
        <v>315599</v>
      </c>
      <c r="H2454" s="13"/>
    </row>
    <row r="2455" spans="1:8" x14ac:dyDescent="0.25">
      <c r="A2455" s="113">
        <v>44865</v>
      </c>
      <c r="B2455" s="21" t="s">
        <v>8043</v>
      </c>
      <c r="C2455" s="13" t="s">
        <v>8394</v>
      </c>
      <c r="D2455" s="766" t="s">
        <v>7814</v>
      </c>
      <c r="E2455" s="22">
        <v>17676</v>
      </c>
      <c r="F2455" s="19"/>
      <c r="G2455" s="14">
        <f t="shared" si="47"/>
        <v>17676</v>
      </c>
      <c r="H2455" s="13"/>
    </row>
    <row r="2456" spans="1:8" x14ac:dyDescent="0.25">
      <c r="A2456" s="113">
        <v>44865</v>
      </c>
      <c r="B2456" s="21" t="s">
        <v>7921</v>
      </c>
      <c r="C2456" s="13" t="s">
        <v>8394</v>
      </c>
      <c r="D2456" s="766" t="s">
        <v>8591</v>
      </c>
      <c r="E2456" s="22">
        <v>8421</v>
      </c>
      <c r="F2456" s="19"/>
      <c r="G2456" s="14">
        <f t="shared" si="47"/>
        <v>8421</v>
      </c>
      <c r="H2456" s="13"/>
    </row>
    <row r="2457" spans="1:8" x14ac:dyDescent="0.25">
      <c r="A2457" s="113">
        <v>44865</v>
      </c>
      <c r="B2457" s="21" t="s">
        <v>8532</v>
      </c>
      <c r="C2457" s="13" t="s">
        <v>8394</v>
      </c>
      <c r="D2457" s="766" t="s">
        <v>8046</v>
      </c>
      <c r="E2457" s="22">
        <v>112292</v>
      </c>
      <c r="F2457" s="19"/>
      <c r="G2457" s="14">
        <f t="shared" si="47"/>
        <v>112292</v>
      </c>
      <c r="H2457" s="13"/>
    </row>
    <row r="2458" spans="1:8" x14ac:dyDescent="0.25">
      <c r="A2458" s="113">
        <v>44865</v>
      </c>
      <c r="B2458" s="21" t="s">
        <v>1400</v>
      </c>
      <c r="C2458" s="13" t="s">
        <v>7242</v>
      </c>
      <c r="D2458" s="766"/>
      <c r="E2458" s="22"/>
      <c r="F2458" s="19">
        <v>50000</v>
      </c>
      <c r="G2458" s="14">
        <f t="shared" si="47"/>
        <v>-50000</v>
      </c>
      <c r="H2458" s="13" t="s">
        <v>1157</v>
      </c>
    </row>
    <row r="2459" spans="1:8" x14ac:dyDescent="0.25">
      <c r="A2459" s="113">
        <v>44866</v>
      </c>
      <c r="B2459" s="21" t="s">
        <v>6505</v>
      </c>
      <c r="C2459" s="13" t="s">
        <v>164</v>
      </c>
      <c r="D2459" s="766" t="s">
        <v>8215</v>
      </c>
      <c r="E2459" s="22">
        <v>7017</v>
      </c>
      <c r="F2459" s="19"/>
      <c r="G2459" s="14">
        <f t="shared" si="47"/>
        <v>7017</v>
      </c>
      <c r="H2459" s="13"/>
    </row>
    <row r="2460" spans="1:8" x14ac:dyDescent="0.25">
      <c r="A2460" s="113">
        <v>44866</v>
      </c>
      <c r="B2460" s="21" t="s">
        <v>8559</v>
      </c>
      <c r="C2460" s="13" t="s">
        <v>2196</v>
      </c>
      <c r="D2460" s="766" t="s">
        <v>8587</v>
      </c>
      <c r="E2460" s="22">
        <v>27000</v>
      </c>
      <c r="F2460" s="19"/>
      <c r="G2460" s="14">
        <f t="shared" si="47"/>
        <v>27000</v>
      </c>
      <c r="H2460" s="13"/>
    </row>
    <row r="2461" spans="1:8" x14ac:dyDescent="0.25">
      <c r="A2461" s="113">
        <v>44867</v>
      </c>
      <c r="B2461" s="21" t="s">
        <v>8077</v>
      </c>
      <c r="C2461" s="13" t="s">
        <v>8394</v>
      </c>
      <c r="D2461" s="766" t="s">
        <v>8047</v>
      </c>
      <c r="E2461" s="22">
        <v>4429</v>
      </c>
      <c r="F2461" s="19"/>
      <c r="G2461" s="14">
        <f t="shared" si="47"/>
        <v>4429</v>
      </c>
      <c r="H2461" s="13"/>
    </row>
    <row r="2462" spans="1:8" x14ac:dyDescent="0.25">
      <c r="A2462" s="113">
        <v>44867</v>
      </c>
      <c r="B2462" s="21" t="s">
        <v>7921</v>
      </c>
      <c r="C2462" s="13" t="s">
        <v>5187</v>
      </c>
      <c r="D2462" s="766" t="s">
        <v>8589</v>
      </c>
      <c r="E2462" s="22">
        <v>37944</v>
      </c>
      <c r="F2462" s="19"/>
      <c r="G2462" s="14">
        <f t="shared" si="47"/>
        <v>37944</v>
      </c>
      <c r="H2462" s="13" t="s">
        <v>8590</v>
      </c>
    </row>
    <row r="2463" spans="1:8" x14ac:dyDescent="0.25">
      <c r="A2463" s="113">
        <v>44868</v>
      </c>
      <c r="B2463" s="21" t="s">
        <v>8339</v>
      </c>
      <c r="C2463" s="13" t="s">
        <v>7242</v>
      </c>
      <c r="D2463" s="766" t="s">
        <v>8588</v>
      </c>
      <c r="E2463" s="22">
        <v>1054245</v>
      </c>
      <c r="F2463" s="19"/>
      <c r="G2463" s="14">
        <f t="shared" si="47"/>
        <v>1054245</v>
      </c>
      <c r="H2463" s="13"/>
    </row>
    <row r="2464" spans="1:8" x14ac:dyDescent="0.25">
      <c r="A2464" s="113">
        <v>44870</v>
      </c>
      <c r="B2464" s="21" t="s">
        <v>8339</v>
      </c>
      <c r="C2464" s="13" t="s">
        <v>7242</v>
      </c>
      <c r="D2464" s="766"/>
      <c r="E2464" s="22"/>
      <c r="F2464" s="19">
        <v>200000</v>
      </c>
      <c r="G2464" s="14">
        <f t="shared" si="47"/>
        <v>-200000</v>
      </c>
      <c r="H2464" s="13" t="s">
        <v>8624</v>
      </c>
    </row>
    <row r="2465" spans="1:8" x14ac:dyDescent="0.25">
      <c r="A2465" s="113">
        <v>44870</v>
      </c>
      <c r="B2465" s="21" t="s">
        <v>8339</v>
      </c>
      <c r="C2465" s="13" t="s">
        <v>7242</v>
      </c>
      <c r="D2465" s="766"/>
      <c r="E2465" s="22"/>
      <c r="F2465" s="19">
        <v>100000</v>
      </c>
      <c r="G2465" s="14">
        <f t="shared" si="47"/>
        <v>-100000</v>
      </c>
      <c r="H2465" s="13" t="s">
        <v>8625</v>
      </c>
    </row>
    <row r="2466" spans="1:8" x14ac:dyDescent="0.25">
      <c r="A2466" s="113">
        <v>44870</v>
      </c>
      <c r="B2466" s="21" t="s">
        <v>8339</v>
      </c>
      <c r="C2466" s="13" t="s">
        <v>7242</v>
      </c>
      <c r="D2466" s="766"/>
      <c r="E2466" s="22"/>
      <c r="F2466" s="19">
        <v>278000</v>
      </c>
      <c r="G2466" s="14">
        <f t="shared" si="47"/>
        <v>-278000</v>
      </c>
      <c r="H2466" s="713" t="s">
        <v>8635</v>
      </c>
    </row>
    <row r="2467" spans="1:8" x14ac:dyDescent="0.25">
      <c r="A2467" s="113">
        <v>44872</v>
      </c>
      <c r="B2467" s="21" t="s">
        <v>8077</v>
      </c>
      <c r="C2467" s="13" t="s">
        <v>162</v>
      </c>
      <c r="D2467" s="766" t="s">
        <v>8626</v>
      </c>
      <c r="E2467" s="22">
        <v>17510</v>
      </c>
      <c r="F2467" s="19"/>
      <c r="G2467" s="14">
        <f t="shared" si="47"/>
        <v>17510</v>
      </c>
      <c r="H2467" s="13"/>
    </row>
    <row r="2468" spans="1:8" x14ac:dyDescent="0.25">
      <c r="A2468" s="113">
        <v>44872</v>
      </c>
      <c r="B2468" s="21" t="s">
        <v>7732</v>
      </c>
      <c r="C2468" s="13" t="s">
        <v>162</v>
      </c>
      <c r="D2468" s="766"/>
      <c r="E2468" s="22"/>
      <c r="F2468" s="19">
        <v>15000</v>
      </c>
      <c r="G2468" s="14">
        <f t="shared" si="47"/>
        <v>-15000</v>
      </c>
      <c r="H2468" s="1175" t="s">
        <v>8627</v>
      </c>
    </row>
    <row r="2469" spans="1:8" x14ac:dyDescent="0.25">
      <c r="A2469" s="113">
        <v>44872</v>
      </c>
      <c r="B2469" s="21" t="s">
        <v>7817</v>
      </c>
      <c r="C2469" s="13" t="s">
        <v>162</v>
      </c>
      <c r="D2469" s="766"/>
      <c r="E2469" s="22"/>
      <c r="F2469" s="19">
        <v>35000</v>
      </c>
      <c r="G2469" s="14">
        <f t="shared" si="47"/>
        <v>-35000</v>
      </c>
      <c r="H2469" s="1175"/>
    </row>
    <row r="2470" spans="1:8" x14ac:dyDescent="0.25">
      <c r="A2470" s="113">
        <v>44872</v>
      </c>
      <c r="B2470" s="21" t="s">
        <v>7921</v>
      </c>
      <c r="C2470" s="13" t="s">
        <v>162</v>
      </c>
      <c r="D2470" s="766"/>
      <c r="E2470" s="22"/>
      <c r="F2470" s="19">
        <v>26000</v>
      </c>
      <c r="G2470" s="14">
        <f t="shared" si="47"/>
        <v>-26000</v>
      </c>
      <c r="H2470" s="1175"/>
    </row>
    <row r="2471" spans="1:8" x14ac:dyDescent="0.25">
      <c r="A2471" s="113">
        <v>44872</v>
      </c>
      <c r="B2471" s="21" t="s">
        <v>8077</v>
      </c>
      <c r="C2471" s="13" t="s">
        <v>162</v>
      </c>
      <c r="D2471" s="766"/>
      <c r="E2471" s="22"/>
      <c r="F2471" s="19">
        <v>32000</v>
      </c>
      <c r="G2471" s="14">
        <f t="shared" si="47"/>
        <v>-32000</v>
      </c>
      <c r="H2471" s="1175"/>
    </row>
    <row r="2472" spans="1:8" x14ac:dyDescent="0.25">
      <c r="A2472" s="113">
        <v>44872</v>
      </c>
      <c r="B2472" s="21" t="s">
        <v>7732</v>
      </c>
      <c r="C2472" s="13" t="s">
        <v>162</v>
      </c>
      <c r="D2472" s="766"/>
      <c r="E2472" s="22"/>
      <c r="F2472" s="19">
        <v>3000</v>
      </c>
      <c r="G2472" s="14">
        <f t="shared" si="47"/>
        <v>-3000</v>
      </c>
      <c r="H2472" s="13" t="s">
        <v>7876</v>
      </c>
    </row>
    <row r="2473" spans="1:8" x14ac:dyDescent="0.25">
      <c r="A2473" s="113">
        <v>44872</v>
      </c>
      <c r="B2473" s="21" t="s">
        <v>7817</v>
      </c>
      <c r="C2473" s="13" t="s">
        <v>162</v>
      </c>
      <c r="D2473" s="766"/>
      <c r="E2473" s="22"/>
      <c r="F2473" s="19">
        <v>1000</v>
      </c>
      <c r="G2473" s="14">
        <f t="shared" si="47"/>
        <v>-1000</v>
      </c>
      <c r="H2473" s="13" t="s">
        <v>7876</v>
      </c>
    </row>
    <row r="2474" spans="1:8" x14ac:dyDescent="0.25">
      <c r="A2474" s="113">
        <v>44872</v>
      </c>
      <c r="B2474" s="21" t="s">
        <v>7921</v>
      </c>
      <c r="C2474" s="13" t="s">
        <v>162</v>
      </c>
      <c r="D2474" s="766"/>
      <c r="E2474" s="22"/>
      <c r="F2474" s="19">
        <v>1990</v>
      </c>
      <c r="G2474" s="14">
        <f t="shared" si="47"/>
        <v>-1990</v>
      </c>
      <c r="H2474" s="13" t="s">
        <v>7876</v>
      </c>
    </row>
    <row r="2475" spans="1:8" x14ac:dyDescent="0.25">
      <c r="A2475" s="113">
        <v>44872</v>
      </c>
      <c r="B2475" s="21" t="s">
        <v>8077</v>
      </c>
      <c r="C2475" s="13" t="s">
        <v>162</v>
      </c>
      <c r="D2475" s="766"/>
      <c r="E2475" s="22"/>
      <c r="F2475" s="19">
        <v>3020</v>
      </c>
      <c r="G2475" s="14">
        <f t="shared" si="47"/>
        <v>-3020</v>
      </c>
      <c r="H2475" s="13" t="s">
        <v>7876</v>
      </c>
    </row>
    <row r="2476" spans="1:8" x14ac:dyDescent="0.25">
      <c r="A2476" s="113">
        <v>44873</v>
      </c>
      <c r="B2476" s="21" t="s">
        <v>8339</v>
      </c>
      <c r="C2476" s="13" t="s">
        <v>2196</v>
      </c>
      <c r="D2476" s="766" t="s">
        <v>8651</v>
      </c>
      <c r="E2476" s="22">
        <v>90000</v>
      </c>
      <c r="F2476" s="19"/>
      <c r="G2476" s="14">
        <f t="shared" si="47"/>
        <v>90000</v>
      </c>
      <c r="H2476" s="13" t="s">
        <v>8652</v>
      </c>
    </row>
    <row r="2477" spans="1:8" x14ac:dyDescent="0.25">
      <c r="A2477" s="113">
        <v>44876</v>
      </c>
      <c r="B2477" s="21" t="s">
        <v>7953</v>
      </c>
      <c r="C2477" s="13" t="s">
        <v>7954</v>
      </c>
      <c r="D2477" s="766"/>
      <c r="E2477" s="22"/>
      <c r="F2477" s="19">
        <v>300000</v>
      </c>
      <c r="G2477" s="14">
        <f t="shared" si="47"/>
        <v>-300000</v>
      </c>
      <c r="H2477" s="13" t="s">
        <v>8632</v>
      </c>
    </row>
    <row r="2478" spans="1:8" x14ac:dyDescent="0.25">
      <c r="A2478" s="113">
        <v>44876</v>
      </c>
      <c r="B2478" s="21" t="s">
        <v>7921</v>
      </c>
      <c r="C2478" s="13" t="s">
        <v>164</v>
      </c>
      <c r="D2478" s="766"/>
      <c r="E2478" s="22"/>
      <c r="F2478" s="19">
        <v>50000</v>
      </c>
      <c r="G2478" s="14">
        <f t="shared" si="47"/>
        <v>-50000</v>
      </c>
      <c r="H2478" s="13" t="s">
        <v>1157</v>
      </c>
    </row>
    <row r="2479" spans="1:8" x14ac:dyDescent="0.25">
      <c r="A2479" s="113">
        <v>44879</v>
      </c>
      <c r="B2479" s="21" t="s">
        <v>8339</v>
      </c>
      <c r="C2479" s="13" t="s">
        <v>169</v>
      </c>
      <c r="D2479" s="766" t="s">
        <v>8655</v>
      </c>
      <c r="E2479" s="22">
        <v>57500</v>
      </c>
      <c r="F2479" s="19"/>
      <c r="G2479" s="14">
        <f t="shared" si="47"/>
        <v>57500</v>
      </c>
      <c r="H2479" s="13" t="s">
        <v>8656</v>
      </c>
    </row>
    <row r="2480" spans="1:8" x14ac:dyDescent="0.25">
      <c r="A2480" s="113">
        <v>44880</v>
      </c>
      <c r="B2480" s="21" t="s">
        <v>8559</v>
      </c>
      <c r="C2480" s="13" t="s">
        <v>2196</v>
      </c>
      <c r="D2480" s="766" t="s">
        <v>8683</v>
      </c>
      <c r="E2480" s="22">
        <v>2530</v>
      </c>
      <c r="F2480" s="19"/>
      <c r="G2480" s="14">
        <f t="shared" ref="G2480:G2710" si="48">E2480-F2480</f>
        <v>2530</v>
      </c>
      <c r="H2480" s="13" t="s">
        <v>8684</v>
      </c>
    </row>
    <row r="2481" spans="1:8" x14ac:dyDescent="0.25">
      <c r="A2481" s="113">
        <v>44881</v>
      </c>
      <c r="B2481" s="21" t="s">
        <v>8043</v>
      </c>
      <c r="C2481" s="13" t="s">
        <v>5187</v>
      </c>
      <c r="D2481" s="766" t="s">
        <v>8674</v>
      </c>
      <c r="E2481" s="22">
        <v>93600</v>
      </c>
      <c r="F2481" s="19"/>
      <c r="G2481" s="14">
        <f t="shared" si="48"/>
        <v>93600</v>
      </c>
      <c r="H2481" s="13" t="s">
        <v>8675</v>
      </c>
    </row>
    <row r="2482" spans="1:8" x14ac:dyDescent="0.25">
      <c r="A2482" s="113">
        <v>44881</v>
      </c>
      <c r="B2482" s="21" t="s">
        <v>8043</v>
      </c>
      <c r="C2482" s="13" t="s">
        <v>5187</v>
      </c>
      <c r="D2482" s="766"/>
      <c r="E2482" s="22"/>
      <c r="F2482" s="19">
        <v>93600</v>
      </c>
      <c r="G2482" s="14">
        <f t="shared" si="48"/>
        <v>-93600</v>
      </c>
      <c r="H2482" s="13" t="s">
        <v>8677</v>
      </c>
    </row>
    <row r="2483" spans="1:8" x14ac:dyDescent="0.25">
      <c r="A2483" s="113">
        <v>44881</v>
      </c>
      <c r="B2483" s="21" t="s">
        <v>8657</v>
      </c>
      <c r="C2483" s="13" t="s">
        <v>8394</v>
      </c>
      <c r="D2483" s="766" t="s">
        <v>8045</v>
      </c>
      <c r="E2483" s="22">
        <v>472224</v>
      </c>
      <c r="F2483" s="19"/>
      <c r="G2483" s="14">
        <f t="shared" si="48"/>
        <v>472224</v>
      </c>
      <c r="H2483" s="13"/>
    </row>
    <row r="2484" spans="1:8" x14ac:dyDescent="0.25">
      <c r="A2484" s="113">
        <v>44881</v>
      </c>
      <c r="B2484" s="21" t="s">
        <v>8339</v>
      </c>
      <c r="C2484" s="13" t="s">
        <v>169</v>
      </c>
      <c r="D2484" s="766" t="s">
        <v>8732</v>
      </c>
      <c r="E2484" s="22">
        <v>13900</v>
      </c>
      <c r="F2484" s="19"/>
      <c r="G2484" s="14">
        <f t="shared" si="48"/>
        <v>13900</v>
      </c>
      <c r="H2484" s="13" t="s">
        <v>8733</v>
      </c>
    </row>
    <row r="2485" spans="1:8" x14ac:dyDescent="0.25">
      <c r="A2485" s="113">
        <v>44882</v>
      </c>
      <c r="B2485" s="21" t="s">
        <v>8532</v>
      </c>
      <c r="C2485" s="13" t="s">
        <v>166</v>
      </c>
      <c r="D2485" s="766" t="s">
        <v>8802</v>
      </c>
      <c r="E2485" s="22">
        <v>30800</v>
      </c>
      <c r="F2485" s="19"/>
      <c r="G2485" s="14">
        <f t="shared" si="48"/>
        <v>30800</v>
      </c>
      <c r="H2485" s="13"/>
    </row>
    <row r="2486" spans="1:8" x14ac:dyDescent="0.25">
      <c r="A2486" s="113">
        <v>44882</v>
      </c>
      <c r="B2486" s="21" t="s">
        <v>7817</v>
      </c>
      <c r="C2486" s="13" t="s">
        <v>161</v>
      </c>
      <c r="D2486" s="766"/>
      <c r="E2486" s="22"/>
      <c r="F2486" s="19">
        <v>9000</v>
      </c>
      <c r="G2486" s="14">
        <f t="shared" si="48"/>
        <v>-9000</v>
      </c>
      <c r="H2486" s="1175" t="s">
        <v>8676</v>
      </c>
    </row>
    <row r="2487" spans="1:8" x14ac:dyDescent="0.25">
      <c r="A2487" s="113">
        <v>44882</v>
      </c>
      <c r="B2487" s="21" t="s">
        <v>8043</v>
      </c>
      <c r="C2487" s="13" t="s">
        <v>161</v>
      </c>
      <c r="D2487" s="766"/>
      <c r="E2487" s="22"/>
      <c r="F2487" s="19">
        <v>60000</v>
      </c>
      <c r="G2487" s="14">
        <f t="shared" si="48"/>
        <v>-60000</v>
      </c>
      <c r="H2487" s="1175"/>
    </row>
    <row r="2488" spans="1:8" x14ac:dyDescent="0.25">
      <c r="A2488" s="113">
        <v>44882</v>
      </c>
      <c r="B2488" s="21" t="s">
        <v>7817</v>
      </c>
      <c r="C2488" s="13" t="s">
        <v>161</v>
      </c>
      <c r="D2488" s="766"/>
      <c r="E2488" s="22"/>
      <c r="F2488" s="19">
        <v>95</v>
      </c>
      <c r="G2488" s="14">
        <f t="shared" si="48"/>
        <v>-95</v>
      </c>
      <c r="H2488" s="1175" t="s">
        <v>4977</v>
      </c>
    </row>
    <row r="2489" spans="1:8" x14ac:dyDescent="0.25">
      <c r="A2489" s="113">
        <v>44882</v>
      </c>
      <c r="B2489" s="21" t="s">
        <v>8043</v>
      </c>
      <c r="C2489" s="13" t="s">
        <v>161</v>
      </c>
      <c r="D2489" s="766"/>
      <c r="E2489" s="22"/>
      <c r="F2489" s="19">
        <v>383</v>
      </c>
      <c r="G2489" s="14">
        <f t="shared" si="48"/>
        <v>-383</v>
      </c>
      <c r="H2489" s="1175"/>
    </row>
    <row r="2490" spans="1:8" x14ac:dyDescent="0.25">
      <c r="A2490" s="113">
        <v>44882</v>
      </c>
      <c r="B2490" s="21" t="s">
        <v>7921</v>
      </c>
      <c r="C2490" s="13" t="s">
        <v>8394</v>
      </c>
      <c r="D2490" s="766"/>
      <c r="E2490" s="22"/>
      <c r="F2490" s="19">
        <v>100000</v>
      </c>
      <c r="G2490" s="14">
        <f t="shared" si="48"/>
        <v>-100000</v>
      </c>
      <c r="H2490" s="1223" t="s">
        <v>8635</v>
      </c>
    </row>
    <row r="2491" spans="1:8" x14ac:dyDescent="0.25">
      <c r="A2491" s="113">
        <v>44882</v>
      </c>
      <c r="B2491" s="21" t="s">
        <v>8043</v>
      </c>
      <c r="C2491" s="13" t="s">
        <v>8394</v>
      </c>
      <c r="D2491" s="766"/>
      <c r="E2491" s="22"/>
      <c r="F2491" s="19">
        <v>100000</v>
      </c>
      <c r="G2491" s="14">
        <f t="shared" si="48"/>
        <v>-100000</v>
      </c>
      <c r="H2491" s="1223"/>
    </row>
    <row r="2492" spans="1:8" x14ac:dyDescent="0.25">
      <c r="A2492" s="113">
        <v>44882</v>
      </c>
      <c r="B2492" s="21" t="s">
        <v>8559</v>
      </c>
      <c r="C2492" s="13" t="s">
        <v>8394</v>
      </c>
      <c r="D2492" s="766"/>
      <c r="E2492" s="22"/>
      <c r="F2492" s="19">
        <v>200000</v>
      </c>
      <c r="G2492" s="14">
        <f t="shared" si="48"/>
        <v>-200000</v>
      </c>
      <c r="H2492" s="1223"/>
    </row>
    <row r="2493" spans="1:8" x14ac:dyDescent="0.25">
      <c r="A2493" s="113">
        <v>44882</v>
      </c>
      <c r="B2493" s="21" t="s">
        <v>8532</v>
      </c>
      <c r="C2493" s="13" t="s">
        <v>8394</v>
      </c>
      <c r="D2493" s="766"/>
      <c r="E2493" s="22"/>
      <c r="F2493" s="19">
        <v>100000</v>
      </c>
      <c r="G2493" s="14">
        <f t="shared" si="48"/>
        <v>-100000</v>
      </c>
      <c r="H2493" s="1223"/>
    </row>
    <row r="2494" spans="1:8" x14ac:dyDescent="0.25">
      <c r="A2494" s="113">
        <v>44884</v>
      </c>
      <c r="B2494" s="21" t="s">
        <v>8657</v>
      </c>
      <c r="C2494" s="13" t="s">
        <v>8394</v>
      </c>
      <c r="D2494" s="766" t="s">
        <v>8696</v>
      </c>
      <c r="E2494" s="22">
        <v>259749</v>
      </c>
      <c r="F2494" s="19"/>
      <c r="G2494" s="14">
        <f t="shared" si="48"/>
        <v>259749</v>
      </c>
      <c r="H2494" s="13"/>
    </row>
    <row r="2495" spans="1:8" x14ac:dyDescent="0.25">
      <c r="A2495" s="113">
        <v>44884</v>
      </c>
      <c r="B2495" s="21" t="s">
        <v>8657</v>
      </c>
      <c r="C2495" s="13" t="s">
        <v>166</v>
      </c>
      <c r="D2495" s="766" t="s">
        <v>8735</v>
      </c>
      <c r="E2495" s="22">
        <v>602000</v>
      </c>
      <c r="F2495" s="19"/>
      <c r="G2495" s="14">
        <f t="shared" si="48"/>
        <v>602000</v>
      </c>
      <c r="H2495" s="13" t="s">
        <v>8736</v>
      </c>
    </row>
    <row r="2496" spans="1:8" x14ac:dyDescent="0.25">
      <c r="A2496" s="113">
        <v>44884</v>
      </c>
      <c r="B2496" s="21" t="s">
        <v>8532</v>
      </c>
      <c r="C2496" s="13" t="s">
        <v>8394</v>
      </c>
      <c r="D2496" s="766" t="s">
        <v>8697</v>
      </c>
      <c r="E2496" s="22">
        <v>60270</v>
      </c>
      <c r="F2496" s="19"/>
      <c r="G2496" s="14">
        <f t="shared" si="48"/>
        <v>60270</v>
      </c>
      <c r="H2496" s="13"/>
    </row>
    <row r="2497" spans="1:8" x14ac:dyDescent="0.25">
      <c r="A2497" s="113">
        <v>44884</v>
      </c>
      <c r="B2497" s="21" t="s">
        <v>8339</v>
      </c>
      <c r="C2497" s="13" t="s">
        <v>2196</v>
      </c>
      <c r="D2497" s="766" t="s">
        <v>8740</v>
      </c>
      <c r="E2497" s="22">
        <v>40500</v>
      </c>
      <c r="F2497" s="19"/>
      <c r="G2497" s="14">
        <f t="shared" si="48"/>
        <v>40500</v>
      </c>
      <c r="H2497" s="13"/>
    </row>
    <row r="2498" spans="1:8" x14ac:dyDescent="0.25">
      <c r="A2498" s="113">
        <v>44884</v>
      </c>
      <c r="B2498" s="21" t="s">
        <v>6505</v>
      </c>
      <c r="C2498" s="13" t="s">
        <v>164</v>
      </c>
      <c r="D2498" s="766" t="s">
        <v>8215</v>
      </c>
      <c r="E2498" s="22">
        <v>2311</v>
      </c>
      <c r="F2498" s="19"/>
      <c r="G2498" s="14">
        <f t="shared" si="48"/>
        <v>2311</v>
      </c>
      <c r="H2498" s="13"/>
    </row>
    <row r="2499" spans="1:8" x14ac:dyDescent="0.25">
      <c r="A2499" s="113">
        <v>44886</v>
      </c>
      <c r="B2499" s="21" t="s">
        <v>8657</v>
      </c>
      <c r="C2499" s="13" t="s">
        <v>8394</v>
      </c>
      <c r="D2499" s="766" t="s">
        <v>8698</v>
      </c>
      <c r="E2499" s="22">
        <v>448149</v>
      </c>
      <c r="F2499" s="19"/>
      <c r="G2499" s="14">
        <f t="shared" si="48"/>
        <v>448149</v>
      </c>
      <c r="H2499" s="13"/>
    </row>
    <row r="2500" spans="1:8" x14ac:dyDescent="0.25">
      <c r="A2500" s="113">
        <v>44886</v>
      </c>
      <c r="B2500" s="21" t="s">
        <v>8043</v>
      </c>
      <c r="C2500" s="13" t="s">
        <v>8394</v>
      </c>
      <c r="D2500" s="766" t="s">
        <v>8366</v>
      </c>
      <c r="E2500" s="22">
        <v>20236</v>
      </c>
      <c r="F2500" s="19"/>
      <c r="G2500" s="14">
        <f t="shared" si="48"/>
        <v>20236</v>
      </c>
      <c r="H2500" s="13"/>
    </row>
    <row r="2501" spans="1:8" x14ac:dyDescent="0.25">
      <c r="A2501" s="113">
        <v>44887</v>
      </c>
      <c r="B2501" s="21" t="s">
        <v>8043</v>
      </c>
      <c r="C2501" s="13" t="s">
        <v>8456</v>
      </c>
      <c r="D2501" s="766"/>
      <c r="E2501" s="22"/>
      <c r="F2501" s="19">
        <v>100000</v>
      </c>
      <c r="G2501" s="14">
        <f t="shared" si="48"/>
        <v>-100000</v>
      </c>
      <c r="H2501" s="13" t="s">
        <v>1157</v>
      </c>
    </row>
    <row r="2502" spans="1:8" x14ac:dyDescent="0.25">
      <c r="A2502" s="113">
        <v>44887</v>
      </c>
      <c r="B2502" s="21" t="s">
        <v>8043</v>
      </c>
      <c r="C2502" s="13" t="s">
        <v>3011</v>
      </c>
      <c r="D2502" s="766"/>
      <c r="E2502" s="22"/>
      <c r="F2502" s="19">
        <v>50000</v>
      </c>
      <c r="G2502" s="14">
        <f t="shared" si="48"/>
        <v>-50000</v>
      </c>
      <c r="H2502" s="13" t="s">
        <v>8706</v>
      </c>
    </row>
    <row r="2503" spans="1:8" x14ac:dyDescent="0.25">
      <c r="A2503" s="113">
        <v>44888</v>
      </c>
      <c r="B2503" s="21" t="s">
        <v>8339</v>
      </c>
      <c r="C2503" s="13" t="s">
        <v>8708</v>
      </c>
      <c r="D2503" s="766"/>
      <c r="E2503" s="22">
        <v>300000</v>
      </c>
      <c r="F2503" s="19"/>
      <c r="G2503" s="14">
        <f t="shared" si="48"/>
        <v>300000</v>
      </c>
      <c r="H2503" s="13" t="s">
        <v>8709</v>
      </c>
    </row>
    <row r="2504" spans="1:8" x14ac:dyDescent="0.25">
      <c r="A2504" s="113">
        <v>44888</v>
      </c>
      <c r="B2504" s="21" t="s">
        <v>8339</v>
      </c>
      <c r="C2504" s="13" t="s">
        <v>8708</v>
      </c>
      <c r="D2504" s="766"/>
      <c r="E2504" s="22"/>
      <c r="F2504" s="19">
        <v>200000</v>
      </c>
      <c r="G2504" s="14">
        <f t="shared" si="48"/>
        <v>-200000</v>
      </c>
      <c r="H2504" s="13" t="s">
        <v>7918</v>
      </c>
    </row>
    <row r="2505" spans="1:8" x14ac:dyDescent="0.25">
      <c r="A2505" s="113">
        <v>44887</v>
      </c>
      <c r="B2505" s="21" t="s">
        <v>1400</v>
      </c>
      <c r="C2505" s="13" t="s">
        <v>7242</v>
      </c>
      <c r="D2505" s="766"/>
      <c r="E2505" s="22"/>
      <c r="F2505" s="19">
        <v>250000</v>
      </c>
      <c r="G2505" s="14">
        <f t="shared" si="48"/>
        <v>-250000</v>
      </c>
      <c r="H2505" s="13" t="s">
        <v>8718</v>
      </c>
    </row>
    <row r="2506" spans="1:8" x14ac:dyDescent="0.25">
      <c r="A2506" s="113">
        <v>44887</v>
      </c>
      <c r="B2506" s="21" t="s">
        <v>8559</v>
      </c>
      <c r="C2506" s="13" t="s">
        <v>7242</v>
      </c>
      <c r="D2506" s="766"/>
      <c r="E2506" s="22"/>
      <c r="F2506" s="19">
        <v>250000</v>
      </c>
      <c r="G2506" s="14">
        <f t="shared" si="48"/>
        <v>-250000</v>
      </c>
      <c r="H2506" s="13" t="s">
        <v>8719</v>
      </c>
    </row>
    <row r="2507" spans="1:8" x14ac:dyDescent="0.25">
      <c r="A2507" s="113">
        <v>44887</v>
      </c>
      <c r="B2507" s="21" t="s">
        <v>8043</v>
      </c>
      <c r="C2507" s="13" t="s">
        <v>5187</v>
      </c>
      <c r="D2507" s="766"/>
      <c r="E2507" s="22"/>
      <c r="F2507" s="19">
        <v>200000</v>
      </c>
      <c r="G2507" s="14">
        <f t="shared" si="48"/>
        <v>-200000</v>
      </c>
      <c r="H2507" s="13" t="s">
        <v>8720</v>
      </c>
    </row>
    <row r="2508" spans="1:8" x14ac:dyDescent="0.25">
      <c r="A2508" s="113">
        <v>44888</v>
      </c>
      <c r="B2508" s="21" t="s">
        <v>7921</v>
      </c>
      <c r="C2508" s="13" t="s">
        <v>180</v>
      </c>
      <c r="D2508" s="766"/>
      <c r="E2508" s="22"/>
      <c r="F2508" s="19">
        <v>59000</v>
      </c>
      <c r="G2508" s="14">
        <f t="shared" si="48"/>
        <v>-59000</v>
      </c>
      <c r="H2508" s="1164" t="s">
        <v>8721</v>
      </c>
    </row>
    <row r="2509" spans="1:8" x14ac:dyDescent="0.25">
      <c r="A2509" s="113">
        <v>44888</v>
      </c>
      <c r="B2509" s="21" t="s">
        <v>7953</v>
      </c>
      <c r="C2509" s="13" t="s">
        <v>180</v>
      </c>
      <c r="D2509" s="766"/>
      <c r="E2509" s="22"/>
      <c r="F2509" s="19">
        <v>28000</v>
      </c>
      <c r="G2509" s="14">
        <f t="shared" si="48"/>
        <v>-28000</v>
      </c>
      <c r="H2509" s="1164"/>
    </row>
    <row r="2510" spans="1:8" x14ac:dyDescent="0.25">
      <c r="A2510" s="113">
        <v>44888</v>
      </c>
      <c r="B2510" s="21" t="s">
        <v>8043</v>
      </c>
      <c r="C2510" s="13" t="s">
        <v>180</v>
      </c>
      <c r="D2510" s="766"/>
      <c r="E2510" s="22"/>
      <c r="F2510" s="19">
        <v>100000</v>
      </c>
      <c r="G2510" s="14">
        <f t="shared" si="48"/>
        <v>-100000</v>
      </c>
      <c r="H2510" s="1164"/>
    </row>
    <row r="2511" spans="1:8" x14ac:dyDescent="0.25">
      <c r="A2511" s="113">
        <v>44888</v>
      </c>
      <c r="B2511" s="21" t="s">
        <v>7921</v>
      </c>
      <c r="C2511" s="13" t="s">
        <v>180</v>
      </c>
      <c r="D2511" s="766"/>
      <c r="E2511" s="22"/>
      <c r="F2511" s="19">
        <v>880</v>
      </c>
      <c r="G2511" s="14">
        <f t="shared" si="48"/>
        <v>-880</v>
      </c>
      <c r="H2511" s="13" t="s">
        <v>4977</v>
      </c>
    </row>
    <row r="2512" spans="1:8" x14ac:dyDescent="0.25">
      <c r="A2512" s="113">
        <v>44888</v>
      </c>
      <c r="B2512" s="21" t="s">
        <v>7953</v>
      </c>
      <c r="C2512" s="13" t="s">
        <v>180</v>
      </c>
      <c r="D2512" s="766"/>
      <c r="E2512" s="22"/>
      <c r="F2512" s="19">
        <v>860</v>
      </c>
      <c r="G2512" s="14">
        <f t="shared" si="48"/>
        <v>-860</v>
      </c>
      <c r="H2512" s="13" t="s">
        <v>4977</v>
      </c>
    </row>
    <row r="2513" spans="1:8" x14ac:dyDescent="0.25">
      <c r="A2513" s="113">
        <v>44888</v>
      </c>
      <c r="B2513" s="21" t="s">
        <v>8043</v>
      </c>
      <c r="C2513" s="13" t="s">
        <v>180</v>
      </c>
      <c r="D2513" s="766"/>
      <c r="E2513" s="22"/>
      <c r="F2513" s="19">
        <v>800</v>
      </c>
      <c r="G2513" s="14">
        <f t="shared" si="48"/>
        <v>-800</v>
      </c>
      <c r="H2513" s="13" t="s">
        <v>4977</v>
      </c>
    </row>
    <row r="2514" spans="1:8" s="731" customFormat="1" ht="31.5" x14ac:dyDescent="0.25">
      <c r="A2514" s="113">
        <v>44888</v>
      </c>
      <c r="B2514" s="743" t="s">
        <v>8043</v>
      </c>
      <c r="C2514" s="750" t="s">
        <v>7467</v>
      </c>
      <c r="D2514" s="779"/>
      <c r="E2514" s="751"/>
      <c r="F2514" s="752">
        <v>550000</v>
      </c>
      <c r="G2514" s="753">
        <f t="shared" si="48"/>
        <v>-550000</v>
      </c>
      <c r="H2514" s="756" t="s">
        <v>8717</v>
      </c>
    </row>
    <row r="2515" spans="1:8" x14ac:dyDescent="0.25">
      <c r="A2515" s="113">
        <v>44888</v>
      </c>
      <c r="B2515" s="21" t="s">
        <v>8657</v>
      </c>
      <c r="C2515" s="13" t="s">
        <v>2196</v>
      </c>
      <c r="D2515" s="766" t="s">
        <v>8743</v>
      </c>
      <c r="E2515" s="22">
        <v>28000</v>
      </c>
      <c r="F2515" s="19"/>
      <c r="G2515" s="14">
        <f t="shared" si="48"/>
        <v>28000</v>
      </c>
      <c r="H2515" s="13" t="s">
        <v>8744</v>
      </c>
    </row>
    <row r="2516" spans="1:8" x14ac:dyDescent="0.25">
      <c r="A2516" s="113">
        <v>44888</v>
      </c>
      <c r="B2516" s="21" t="s">
        <v>8532</v>
      </c>
      <c r="C2516" s="13" t="s">
        <v>166</v>
      </c>
      <c r="D2516" s="766" t="s">
        <v>8799</v>
      </c>
      <c r="E2516" s="22">
        <v>8160</v>
      </c>
      <c r="F2516" s="19"/>
      <c r="G2516" s="14">
        <f t="shared" si="48"/>
        <v>8160</v>
      </c>
      <c r="H2516" s="13"/>
    </row>
    <row r="2517" spans="1:8" x14ac:dyDescent="0.25">
      <c r="A2517" s="113">
        <v>44888</v>
      </c>
      <c r="B2517" s="21" t="s">
        <v>8339</v>
      </c>
      <c r="C2517" s="13" t="s">
        <v>7467</v>
      </c>
      <c r="D2517" s="766" t="s">
        <v>8859</v>
      </c>
      <c r="E2517" s="22">
        <v>1450496</v>
      </c>
      <c r="F2517" s="19"/>
      <c r="G2517" s="14">
        <f t="shared" si="48"/>
        <v>1450496</v>
      </c>
      <c r="H2517" s="13"/>
    </row>
    <row r="2518" spans="1:8" x14ac:dyDescent="0.25">
      <c r="A2518" s="113">
        <v>44889</v>
      </c>
      <c r="B2518" s="21" t="s">
        <v>8657</v>
      </c>
      <c r="C2518" s="13" t="s">
        <v>8394</v>
      </c>
      <c r="D2518" s="766" t="s">
        <v>8588</v>
      </c>
      <c r="E2518" s="22">
        <v>451515</v>
      </c>
      <c r="F2518" s="19"/>
      <c r="G2518" s="14">
        <f t="shared" si="48"/>
        <v>451515</v>
      </c>
      <c r="H2518" s="13"/>
    </row>
    <row r="2519" spans="1:8" x14ac:dyDescent="0.25">
      <c r="A2519" s="113">
        <v>44889</v>
      </c>
      <c r="B2519" s="21" t="s">
        <v>8657</v>
      </c>
      <c r="C2519" s="13" t="s">
        <v>8394</v>
      </c>
      <c r="D2519" s="766" t="s">
        <v>8737</v>
      </c>
      <c r="E2519" s="22">
        <v>118979</v>
      </c>
      <c r="F2519" s="19"/>
      <c r="G2519" s="14">
        <f t="shared" si="48"/>
        <v>118979</v>
      </c>
      <c r="H2519" s="13"/>
    </row>
    <row r="2520" spans="1:8" x14ac:dyDescent="0.25">
      <c r="A2520" s="113">
        <v>44889</v>
      </c>
      <c r="B2520" s="21" t="s">
        <v>8657</v>
      </c>
      <c r="C2520" s="13" t="s">
        <v>166</v>
      </c>
      <c r="D2520" s="766" t="s">
        <v>8800</v>
      </c>
      <c r="E2520" s="22">
        <v>364000</v>
      </c>
      <c r="F2520" s="19"/>
      <c r="G2520" s="14">
        <f t="shared" si="48"/>
        <v>364000</v>
      </c>
      <c r="H2520" s="13"/>
    </row>
    <row r="2521" spans="1:8" x14ac:dyDescent="0.25">
      <c r="A2521" s="113">
        <v>44890</v>
      </c>
      <c r="B2521" s="21" t="s">
        <v>8657</v>
      </c>
      <c r="C2521" s="13" t="s">
        <v>8394</v>
      </c>
      <c r="D2521" s="766" t="s">
        <v>8738</v>
      </c>
      <c r="E2521" s="22">
        <v>206663</v>
      </c>
      <c r="F2521" s="19"/>
      <c r="G2521" s="14">
        <f t="shared" si="48"/>
        <v>206663</v>
      </c>
      <c r="H2521" s="13"/>
    </row>
    <row r="2522" spans="1:8" x14ac:dyDescent="0.25">
      <c r="A2522" s="113">
        <v>44890</v>
      </c>
      <c r="B2522" s="21" t="s">
        <v>8043</v>
      </c>
      <c r="C2522" s="13" t="s">
        <v>8394</v>
      </c>
      <c r="D2522" s="766" t="s">
        <v>8739</v>
      </c>
      <c r="E2522" s="22">
        <v>128076</v>
      </c>
      <c r="F2522" s="19"/>
      <c r="G2522" s="14">
        <f t="shared" si="48"/>
        <v>128076</v>
      </c>
      <c r="H2522" s="13"/>
    </row>
    <row r="2523" spans="1:8" x14ac:dyDescent="0.25">
      <c r="A2523" s="113">
        <v>44889</v>
      </c>
      <c r="B2523" s="21" t="s">
        <v>7921</v>
      </c>
      <c r="C2523" s="13" t="s">
        <v>8394</v>
      </c>
      <c r="D2523" s="766"/>
      <c r="E2523" s="22"/>
      <c r="F2523" s="19">
        <v>51219</v>
      </c>
      <c r="G2523" s="14">
        <f t="shared" si="48"/>
        <v>-51219</v>
      </c>
      <c r="H2523" s="1162" t="s">
        <v>8635</v>
      </c>
    </row>
    <row r="2524" spans="1:8" x14ac:dyDescent="0.25">
      <c r="A2524" s="113">
        <v>44889</v>
      </c>
      <c r="B2524" s="21" t="s">
        <v>8043</v>
      </c>
      <c r="C2524" s="13" t="s">
        <v>8394</v>
      </c>
      <c r="D2524" s="766"/>
      <c r="E2524" s="22"/>
      <c r="F2524" s="19">
        <v>50117</v>
      </c>
      <c r="G2524" s="14">
        <f t="shared" si="48"/>
        <v>-50117</v>
      </c>
      <c r="H2524" s="1162"/>
    </row>
    <row r="2525" spans="1:8" x14ac:dyDescent="0.25">
      <c r="A2525" s="113">
        <v>44889</v>
      </c>
      <c r="B2525" s="21" t="s">
        <v>8077</v>
      </c>
      <c r="C2525" s="13" t="s">
        <v>8394</v>
      </c>
      <c r="D2525" s="766"/>
      <c r="E2525" s="22"/>
      <c r="F2525" s="19">
        <v>13496</v>
      </c>
      <c r="G2525" s="14">
        <f t="shared" si="48"/>
        <v>-13496</v>
      </c>
      <c r="H2525" s="1162"/>
    </row>
    <row r="2526" spans="1:8" x14ac:dyDescent="0.25">
      <c r="A2526" s="113">
        <v>44889</v>
      </c>
      <c r="B2526" s="21" t="s">
        <v>8559</v>
      </c>
      <c r="C2526" s="13" t="s">
        <v>8394</v>
      </c>
      <c r="D2526" s="766"/>
      <c r="E2526" s="22"/>
      <c r="F2526" s="19">
        <v>115599</v>
      </c>
      <c r="G2526" s="14">
        <f t="shared" si="48"/>
        <v>-115599</v>
      </c>
      <c r="H2526" s="1162"/>
    </row>
    <row r="2527" spans="1:8" x14ac:dyDescent="0.25">
      <c r="A2527" s="113">
        <v>44889</v>
      </c>
      <c r="B2527" s="21" t="s">
        <v>8532</v>
      </c>
      <c r="C2527" s="13" t="s">
        <v>8394</v>
      </c>
      <c r="D2527" s="766"/>
      <c r="E2527" s="22"/>
      <c r="F2527" s="19">
        <v>72562</v>
      </c>
      <c r="G2527" s="14">
        <f t="shared" si="48"/>
        <v>-72562</v>
      </c>
      <c r="H2527" s="1162"/>
    </row>
    <row r="2528" spans="1:8" x14ac:dyDescent="0.25">
      <c r="A2528" s="113">
        <v>44889</v>
      </c>
      <c r="B2528" s="21" t="s">
        <v>8657</v>
      </c>
      <c r="C2528" s="13" t="s">
        <v>8394</v>
      </c>
      <c r="D2528" s="766"/>
      <c r="E2528" s="22"/>
      <c r="F2528" s="19">
        <f>500000-F2527-F2526-F2525-F2524-F2523</f>
        <v>197007</v>
      </c>
      <c r="G2528" s="14">
        <f t="shared" si="48"/>
        <v>-197007</v>
      </c>
      <c r="H2528" s="1162"/>
    </row>
    <row r="2529" spans="1:8" x14ac:dyDescent="0.25">
      <c r="A2529" s="113">
        <v>44891</v>
      </c>
      <c r="B2529" s="21" t="s">
        <v>8339</v>
      </c>
      <c r="C2529" s="13" t="s">
        <v>169</v>
      </c>
      <c r="D2529" s="766" t="s">
        <v>8734</v>
      </c>
      <c r="E2529" s="22">
        <v>4000</v>
      </c>
      <c r="F2529" s="19"/>
      <c r="G2529" s="14">
        <f t="shared" si="48"/>
        <v>4000</v>
      </c>
      <c r="H2529" s="13" t="s">
        <v>8731</v>
      </c>
    </row>
    <row r="2530" spans="1:8" x14ac:dyDescent="0.25">
      <c r="A2530" s="113">
        <v>44891</v>
      </c>
      <c r="B2530" s="21" t="s">
        <v>8339</v>
      </c>
      <c r="C2530" s="13" t="s">
        <v>2196</v>
      </c>
      <c r="D2530" s="766" t="s">
        <v>8745</v>
      </c>
      <c r="E2530" s="22">
        <v>15000</v>
      </c>
      <c r="F2530" s="19"/>
      <c r="G2530" s="14">
        <f t="shared" si="48"/>
        <v>15000</v>
      </c>
      <c r="H2530" s="13" t="s">
        <v>8747</v>
      </c>
    </row>
    <row r="2531" spans="1:8" x14ac:dyDescent="0.25">
      <c r="A2531" s="113">
        <v>44891</v>
      </c>
      <c r="B2531" s="21" t="s">
        <v>8339</v>
      </c>
      <c r="C2531" s="13" t="s">
        <v>2196</v>
      </c>
      <c r="D2531" s="766" t="s">
        <v>8746</v>
      </c>
      <c r="E2531" s="22">
        <v>25200</v>
      </c>
      <c r="F2531" s="19"/>
      <c r="G2531" s="14">
        <f t="shared" si="48"/>
        <v>25200</v>
      </c>
      <c r="H2531" s="13" t="s">
        <v>8748</v>
      </c>
    </row>
    <row r="2532" spans="1:8" x14ac:dyDescent="0.25">
      <c r="A2532" s="113">
        <v>44893</v>
      </c>
      <c r="B2532" s="51" t="s">
        <v>8339</v>
      </c>
      <c r="C2532" s="7" t="s">
        <v>166</v>
      </c>
      <c r="D2532" s="780" t="s">
        <v>8801</v>
      </c>
      <c r="E2532" s="300">
        <v>52000</v>
      </c>
      <c r="F2532" s="214"/>
      <c r="G2532" s="14">
        <f t="shared" si="48"/>
        <v>52000</v>
      </c>
    </row>
    <row r="2533" spans="1:8" x14ac:dyDescent="0.25">
      <c r="A2533" s="113">
        <v>44893</v>
      </c>
      <c r="B2533" s="51" t="s">
        <v>8657</v>
      </c>
      <c r="C2533" s="7" t="s">
        <v>8394</v>
      </c>
      <c r="D2533" s="780" t="s">
        <v>8807</v>
      </c>
      <c r="E2533" s="300">
        <v>295403</v>
      </c>
      <c r="F2533" s="214"/>
      <c r="G2533" s="14">
        <f t="shared" si="48"/>
        <v>295403</v>
      </c>
    </row>
    <row r="2534" spans="1:8" x14ac:dyDescent="0.25">
      <c r="A2534" s="113">
        <v>44895</v>
      </c>
      <c r="B2534" s="51" t="s">
        <v>8339</v>
      </c>
      <c r="C2534" s="13" t="s">
        <v>5187</v>
      </c>
      <c r="D2534" s="780" t="s">
        <v>8796</v>
      </c>
      <c r="E2534" s="300">
        <v>61900</v>
      </c>
      <c r="F2534" s="214"/>
      <c r="G2534" s="14">
        <f t="shared" si="48"/>
        <v>61900</v>
      </c>
    </row>
    <row r="2535" spans="1:8" x14ac:dyDescent="0.25">
      <c r="A2535" s="113">
        <v>44895</v>
      </c>
      <c r="B2535" s="51" t="s">
        <v>8043</v>
      </c>
      <c r="C2535" s="13" t="s">
        <v>5187</v>
      </c>
      <c r="D2535" s="780" t="s">
        <v>8795</v>
      </c>
      <c r="E2535" s="300">
        <v>19520</v>
      </c>
      <c r="F2535" s="214"/>
      <c r="G2535" s="14">
        <f t="shared" si="48"/>
        <v>19520</v>
      </c>
    </row>
    <row r="2536" spans="1:8" x14ac:dyDescent="0.25">
      <c r="A2536" s="113">
        <v>44896</v>
      </c>
      <c r="B2536" s="51" t="s">
        <v>7921</v>
      </c>
      <c r="C2536" s="7" t="s">
        <v>438</v>
      </c>
      <c r="D2536" s="780"/>
      <c r="E2536" s="300"/>
      <c r="F2536" s="214">
        <v>100000</v>
      </c>
      <c r="G2536" s="14">
        <f t="shared" si="48"/>
        <v>-100000</v>
      </c>
      <c r="H2536" s="7" t="s">
        <v>8717</v>
      </c>
    </row>
    <row r="2537" spans="1:8" x14ac:dyDescent="0.25">
      <c r="A2537" s="113">
        <v>44897</v>
      </c>
      <c r="B2537" s="51" t="s">
        <v>7921</v>
      </c>
      <c r="C2537" s="7" t="s">
        <v>438</v>
      </c>
      <c r="D2537" s="780"/>
      <c r="E2537" s="300"/>
      <c r="F2537" s="214">
        <v>100000</v>
      </c>
      <c r="G2537" s="14">
        <f t="shared" si="48"/>
        <v>-100000</v>
      </c>
      <c r="H2537" s="7" t="s">
        <v>8717</v>
      </c>
    </row>
    <row r="2538" spans="1:8" x14ac:dyDescent="0.25">
      <c r="A2538" s="113">
        <v>44896</v>
      </c>
      <c r="B2538" s="51" t="s">
        <v>8339</v>
      </c>
      <c r="C2538" s="7" t="s">
        <v>7467</v>
      </c>
      <c r="D2538" s="780" t="s">
        <v>8857</v>
      </c>
      <c r="E2538" s="300">
        <v>4000</v>
      </c>
      <c r="F2538" s="214"/>
      <c r="G2538" s="14">
        <f t="shared" si="48"/>
        <v>4000</v>
      </c>
    </row>
    <row r="2539" spans="1:8" x14ac:dyDescent="0.25">
      <c r="A2539" s="113">
        <v>44896</v>
      </c>
      <c r="B2539" s="51" t="s">
        <v>8339</v>
      </c>
      <c r="C2539" s="7" t="s">
        <v>7467</v>
      </c>
      <c r="D2539" s="780" t="s">
        <v>8858</v>
      </c>
      <c r="E2539" s="300">
        <v>100742</v>
      </c>
      <c r="F2539" s="214"/>
      <c r="G2539" s="14">
        <f t="shared" si="48"/>
        <v>100742</v>
      </c>
    </row>
    <row r="2540" spans="1:8" x14ac:dyDescent="0.25">
      <c r="A2540" s="113">
        <v>44896</v>
      </c>
      <c r="B2540" s="51" t="s">
        <v>8339</v>
      </c>
      <c r="C2540" s="7" t="s">
        <v>7467</v>
      </c>
      <c r="D2540" s="780" t="s">
        <v>8861</v>
      </c>
      <c r="E2540" s="300">
        <v>294393</v>
      </c>
      <c r="F2540" s="214"/>
      <c r="G2540" s="14">
        <f t="shared" si="48"/>
        <v>294393</v>
      </c>
    </row>
    <row r="2541" spans="1:8" x14ac:dyDescent="0.25">
      <c r="A2541" s="113">
        <v>44896</v>
      </c>
      <c r="B2541" s="51" t="s">
        <v>8657</v>
      </c>
      <c r="C2541" s="7" t="s">
        <v>2196</v>
      </c>
      <c r="D2541" s="780" t="s">
        <v>8803</v>
      </c>
      <c r="E2541" s="300">
        <v>42000</v>
      </c>
      <c r="F2541" s="214"/>
      <c r="G2541" s="14">
        <f t="shared" si="48"/>
        <v>42000</v>
      </c>
      <c r="H2541" s="13" t="s">
        <v>8805</v>
      </c>
    </row>
    <row r="2542" spans="1:8" x14ac:dyDescent="0.25">
      <c r="A2542" s="113">
        <v>44897</v>
      </c>
      <c r="B2542" s="51" t="s">
        <v>8657</v>
      </c>
      <c r="C2542" s="7" t="s">
        <v>2196</v>
      </c>
      <c r="D2542" s="780" t="s">
        <v>8804</v>
      </c>
      <c r="E2542" s="300">
        <v>10000</v>
      </c>
      <c r="F2542" s="214"/>
      <c r="G2542" s="14">
        <f t="shared" si="48"/>
        <v>10000</v>
      </c>
      <c r="H2542" s="7" t="s">
        <v>8806</v>
      </c>
    </row>
    <row r="2543" spans="1:8" x14ac:dyDescent="0.25">
      <c r="A2543" s="113">
        <v>44897</v>
      </c>
      <c r="B2543" s="51" t="s">
        <v>8559</v>
      </c>
      <c r="C2543" s="7" t="s">
        <v>7467</v>
      </c>
      <c r="D2543" s="780" t="s">
        <v>8862</v>
      </c>
      <c r="E2543" s="300">
        <v>157044</v>
      </c>
      <c r="F2543" s="214"/>
      <c r="G2543" s="14">
        <f t="shared" si="48"/>
        <v>157044</v>
      </c>
    </row>
    <row r="2544" spans="1:8" x14ac:dyDescent="0.25">
      <c r="A2544" s="113">
        <v>44897</v>
      </c>
      <c r="B2544" s="51" t="s">
        <v>8559</v>
      </c>
      <c r="C2544" s="7" t="s">
        <v>7467</v>
      </c>
      <c r="D2544" s="780" t="s">
        <v>8863</v>
      </c>
      <c r="E2544" s="300">
        <v>55248</v>
      </c>
      <c r="F2544" s="214"/>
      <c r="G2544" s="14">
        <f t="shared" si="48"/>
        <v>55248</v>
      </c>
    </row>
    <row r="2545" spans="1:8" x14ac:dyDescent="0.25">
      <c r="A2545" s="113">
        <v>44897</v>
      </c>
      <c r="B2545" s="51" t="s">
        <v>8339</v>
      </c>
      <c r="C2545" s="7" t="s">
        <v>7467</v>
      </c>
      <c r="D2545" s="780" t="s">
        <v>8864</v>
      </c>
      <c r="E2545" s="300">
        <v>56000</v>
      </c>
      <c r="F2545" s="214"/>
      <c r="G2545" s="14">
        <f t="shared" si="48"/>
        <v>56000</v>
      </c>
    </row>
    <row r="2546" spans="1:8" x14ac:dyDescent="0.25">
      <c r="A2546" s="113">
        <v>44897</v>
      </c>
      <c r="B2546" s="10" t="s">
        <v>7953</v>
      </c>
      <c r="C2546" s="11" t="s">
        <v>7954</v>
      </c>
      <c r="F2546" s="9">
        <v>200000</v>
      </c>
      <c r="G2546" s="14">
        <f t="shared" si="48"/>
        <v>-200000</v>
      </c>
      <c r="H2546" s="7" t="s">
        <v>7918</v>
      </c>
    </row>
    <row r="2547" spans="1:8" x14ac:dyDescent="0.25">
      <c r="A2547" s="113">
        <v>44898</v>
      </c>
      <c r="B2547" s="10" t="s">
        <v>8043</v>
      </c>
      <c r="C2547" s="11" t="s">
        <v>7467</v>
      </c>
      <c r="D2547" s="768" t="s">
        <v>8865</v>
      </c>
      <c r="E2547" s="8">
        <v>350364</v>
      </c>
      <c r="G2547" s="14">
        <f t="shared" si="48"/>
        <v>350364</v>
      </c>
    </row>
    <row r="2548" spans="1:8" x14ac:dyDescent="0.25">
      <c r="A2548" s="113">
        <v>44898</v>
      </c>
      <c r="B2548" s="10" t="s">
        <v>8043</v>
      </c>
      <c r="C2548" s="11" t="s">
        <v>161</v>
      </c>
      <c r="D2548" s="768" t="s">
        <v>9051</v>
      </c>
      <c r="E2548" s="8">
        <v>33213</v>
      </c>
      <c r="G2548" s="14">
        <f t="shared" si="48"/>
        <v>33213</v>
      </c>
      <c r="H2548" s="7" t="s">
        <v>9052</v>
      </c>
    </row>
    <row r="2549" spans="1:8" x14ac:dyDescent="0.25">
      <c r="A2549" s="113">
        <v>44900</v>
      </c>
      <c r="B2549" s="10" t="s">
        <v>3946</v>
      </c>
      <c r="C2549" s="13" t="s">
        <v>5187</v>
      </c>
      <c r="D2549" s="768" t="s">
        <v>8797</v>
      </c>
      <c r="E2549" s="8">
        <v>21600</v>
      </c>
      <c r="G2549" s="14">
        <f t="shared" si="48"/>
        <v>21600</v>
      </c>
      <c r="H2549" s="7" t="s">
        <v>8798</v>
      </c>
    </row>
    <row r="2550" spans="1:8" x14ac:dyDescent="0.25">
      <c r="A2550" s="113">
        <v>44900</v>
      </c>
      <c r="B2550" s="10" t="s">
        <v>8657</v>
      </c>
      <c r="C2550" s="11" t="s">
        <v>8394</v>
      </c>
      <c r="D2550" s="768" t="s">
        <v>8808</v>
      </c>
      <c r="E2550" s="8">
        <v>333027</v>
      </c>
      <c r="G2550" s="6">
        <f t="shared" si="48"/>
        <v>333027</v>
      </c>
    </row>
    <row r="2551" spans="1:8" x14ac:dyDescent="0.25">
      <c r="A2551" s="113">
        <v>44901</v>
      </c>
      <c r="B2551" s="10" t="s">
        <v>1400</v>
      </c>
      <c r="C2551" s="11" t="s">
        <v>438</v>
      </c>
      <c r="D2551" s="768" t="s">
        <v>8855</v>
      </c>
      <c r="E2551" s="8">
        <v>1900</v>
      </c>
      <c r="G2551" s="6">
        <f t="shared" si="48"/>
        <v>1900</v>
      </c>
      <c r="H2551" s="7" t="s">
        <v>8856</v>
      </c>
    </row>
    <row r="2552" spans="1:8" x14ac:dyDescent="0.25">
      <c r="A2552" s="113">
        <v>44901</v>
      </c>
      <c r="B2552" s="10" t="s">
        <v>8339</v>
      </c>
      <c r="C2552" s="11" t="s">
        <v>7467</v>
      </c>
      <c r="D2552" s="768" t="s">
        <v>8860</v>
      </c>
      <c r="E2552" s="8">
        <v>100742</v>
      </c>
      <c r="G2552" s="6">
        <f t="shared" si="48"/>
        <v>100742</v>
      </c>
    </row>
    <row r="2553" spans="1:8" x14ac:dyDescent="0.25">
      <c r="A2553" s="113">
        <v>44901</v>
      </c>
      <c r="B2553" s="10" t="s">
        <v>8339</v>
      </c>
      <c r="C2553" s="11" t="s">
        <v>7467</v>
      </c>
      <c r="D2553" s="768" t="s">
        <v>8866</v>
      </c>
      <c r="E2553" s="8">
        <v>147250</v>
      </c>
      <c r="G2553" s="6">
        <f t="shared" si="48"/>
        <v>147250</v>
      </c>
    </row>
    <row r="2554" spans="1:8" x14ac:dyDescent="0.25">
      <c r="A2554" s="113">
        <v>44902</v>
      </c>
      <c r="B2554" s="10" t="s">
        <v>1400</v>
      </c>
      <c r="C2554" s="11" t="s">
        <v>2196</v>
      </c>
      <c r="F2554" s="9">
        <v>5940</v>
      </c>
      <c r="G2554" s="6">
        <f t="shared" si="48"/>
        <v>-5940</v>
      </c>
      <c r="H2554" s="1174" t="s">
        <v>8824</v>
      </c>
    </row>
    <row r="2555" spans="1:8" x14ac:dyDescent="0.25">
      <c r="A2555" s="113">
        <v>44902</v>
      </c>
      <c r="B2555" s="10" t="s">
        <v>8339</v>
      </c>
      <c r="C2555" s="11" t="s">
        <v>2196</v>
      </c>
      <c r="F2555" s="9">
        <v>39210</v>
      </c>
      <c r="G2555" s="6">
        <f t="shared" si="48"/>
        <v>-39210</v>
      </c>
      <c r="H2555" s="1174"/>
    </row>
    <row r="2556" spans="1:8" x14ac:dyDescent="0.25">
      <c r="A2556" s="113">
        <v>44902</v>
      </c>
      <c r="B2556" s="10" t="s">
        <v>8559</v>
      </c>
      <c r="C2556" s="11" t="s">
        <v>2196</v>
      </c>
      <c r="F2556" s="9">
        <v>18450</v>
      </c>
      <c r="G2556" s="6">
        <f t="shared" si="48"/>
        <v>-18450</v>
      </c>
      <c r="H2556" s="1174"/>
    </row>
    <row r="2557" spans="1:8" x14ac:dyDescent="0.25">
      <c r="A2557" s="113">
        <v>44902</v>
      </c>
      <c r="B2557" s="10" t="s">
        <v>8657</v>
      </c>
      <c r="C2557" s="11" t="s">
        <v>2196</v>
      </c>
      <c r="F2557" s="9">
        <v>80000</v>
      </c>
      <c r="G2557" s="6">
        <f t="shared" si="48"/>
        <v>-80000</v>
      </c>
      <c r="H2557" s="1174"/>
    </row>
    <row r="2558" spans="1:8" x14ac:dyDescent="0.25">
      <c r="A2558" s="113">
        <v>44904</v>
      </c>
      <c r="B2558" s="10" t="s">
        <v>8657</v>
      </c>
      <c r="C2558" s="11" t="s">
        <v>8394</v>
      </c>
      <c r="F2558" s="9">
        <v>468530</v>
      </c>
      <c r="G2558" s="6">
        <f t="shared" si="48"/>
        <v>-468530</v>
      </c>
      <c r="H2558" s="7" t="s">
        <v>8835</v>
      </c>
    </row>
    <row r="2559" spans="1:8" x14ac:dyDescent="0.25">
      <c r="A2559" s="113">
        <v>44904</v>
      </c>
      <c r="B2559" s="10" t="s">
        <v>8657</v>
      </c>
      <c r="C2559" s="11" t="s">
        <v>7242</v>
      </c>
      <c r="F2559" s="9">
        <v>790800</v>
      </c>
      <c r="G2559" s="6">
        <f t="shared" si="48"/>
        <v>-790800</v>
      </c>
      <c r="H2559" s="7" t="s">
        <v>8836</v>
      </c>
    </row>
    <row r="2560" spans="1:8" x14ac:dyDescent="0.25">
      <c r="A2560" s="113">
        <v>44904</v>
      </c>
      <c r="B2560" s="10" t="s">
        <v>8657</v>
      </c>
      <c r="C2560" s="11" t="s">
        <v>5681</v>
      </c>
      <c r="F2560" s="9">
        <v>500000</v>
      </c>
      <c r="G2560" s="6">
        <f t="shared" si="48"/>
        <v>-500000</v>
      </c>
      <c r="H2560" s="7" t="s">
        <v>8835</v>
      </c>
    </row>
    <row r="2561" spans="1:8" x14ac:dyDescent="0.25">
      <c r="A2561" s="113">
        <v>44904</v>
      </c>
      <c r="B2561" s="10" t="s">
        <v>8657</v>
      </c>
      <c r="C2561" s="11" t="s">
        <v>5681</v>
      </c>
      <c r="F2561" s="9">
        <v>350000</v>
      </c>
      <c r="G2561" s="6">
        <f t="shared" si="48"/>
        <v>-350000</v>
      </c>
      <c r="H2561" s="7" t="s">
        <v>8835</v>
      </c>
    </row>
    <row r="2562" spans="1:8" x14ac:dyDescent="0.25">
      <c r="A2562" s="113">
        <v>44904</v>
      </c>
      <c r="B2562" s="10" t="s">
        <v>6248</v>
      </c>
      <c r="C2562" s="11" t="s">
        <v>5681</v>
      </c>
      <c r="F2562" s="9">
        <v>100</v>
      </c>
      <c r="G2562" s="6">
        <f t="shared" si="48"/>
        <v>-100</v>
      </c>
      <c r="H2562" s="7" t="s">
        <v>4977</v>
      </c>
    </row>
    <row r="2563" spans="1:8" x14ac:dyDescent="0.25">
      <c r="A2563" s="113">
        <v>44907</v>
      </c>
      <c r="B2563" s="10" t="s">
        <v>3946</v>
      </c>
      <c r="C2563" s="13" t="s">
        <v>5187</v>
      </c>
      <c r="F2563" s="9">
        <v>21600</v>
      </c>
      <c r="G2563" s="6">
        <f t="shared" si="48"/>
        <v>-21600</v>
      </c>
    </row>
    <row r="2564" spans="1:8" x14ac:dyDescent="0.25">
      <c r="A2564" s="113">
        <v>44907</v>
      </c>
      <c r="B2564" s="743" t="s">
        <v>7921</v>
      </c>
      <c r="C2564" s="750" t="s">
        <v>438</v>
      </c>
      <c r="D2564" s="779"/>
      <c r="E2564" s="751"/>
      <c r="F2564" s="752">
        <v>24400</v>
      </c>
      <c r="G2564" s="753">
        <f t="shared" si="48"/>
        <v>-24400</v>
      </c>
      <c r="H2564" s="1166" t="s">
        <v>8851</v>
      </c>
    </row>
    <row r="2565" spans="1:8" x14ac:dyDescent="0.25">
      <c r="A2565" s="113">
        <v>44907</v>
      </c>
      <c r="B2565" s="743" t="s">
        <v>3946</v>
      </c>
      <c r="C2565" s="750" t="s">
        <v>438</v>
      </c>
      <c r="D2565" s="779"/>
      <c r="E2565" s="751"/>
      <c r="F2565" s="752">
        <v>68000</v>
      </c>
      <c r="G2565" s="753">
        <f t="shared" si="48"/>
        <v>-68000</v>
      </c>
      <c r="H2565" s="1166"/>
    </row>
    <row r="2566" spans="1:8" x14ac:dyDescent="0.25">
      <c r="A2566" s="113">
        <v>44907</v>
      </c>
      <c r="B2566" s="743" t="s">
        <v>1400</v>
      </c>
      <c r="C2566" s="750" t="s">
        <v>438</v>
      </c>
      <c r="D2566" s="779"/>
      <c r="E2566" s="751"/>
      <c r="F2566" s="752">
        <v>7600</v>
      </c>
      <c r="G2566" s="753">
        <f t="shared" si="48"/>
        <v>-7600</v>
      </c>
      <c r="H2566" s="1166"/>
    </row>
    <row r="2567" spans="1:8" x14ac:dyDescent="0.25">
      <c r="A2567" s="113">
        <v>44907</v>
      </c>
      <c r="B2567" s="743" t="s">
        <v>8339</v>
      </c>
      <c r="C2567" s="750" t="s">
        <v>7242</v>
      </c>
      <c r="D2567" s="779" t="s">
        <v>8737</v>
      </c>
      <c r="E2567" s="751">
        <v>1603139</v>
      </c>
      <c r="F2567" s="752"/>
      <c r="G2567" s="753">
        <f t="shared" si="48"/>
        <v>1603139</v>
      </c>
      <c r="H2567" s="750"/>
    </row>
    <row r="2568" spans="1:8" x14ac:dyDescent="0.25">
      <c r="A2568" s="113">
        <v>44907</v>
      </c>
      <c r="B2568" s="743" t="s">
        <v>1400</v>
      </c>
      <c r="C2568" s="750" t="s">
        <v>7242</v>
      </c>
      <c r="D2568" s="779" t="s">
        <v>8738</v>
      </c>
      <c r="E2568" s="751">
        <v>38000</v>
      </c>
      <c r="F2568" s="752"/>
      <c r="G2568" s="753">
        <f t="shared" si="48"/>
        <v>38000</v>
      </c>
      <c r="H2568" s="750"/>
    </row>
    <row r="2569" spans="1:8" x14ac:dyDescent="0.25">
      <c r="A2569" s="113">
        <v>44909</v>
      </c>
      <c r="B2569" s="743" t="s">
        <v>8339</v>
      </c>
      <c r="C2569" s="13" t="s">
        <v>5187</v>
      </c>
      <c r="D2569" s="779" t="s">
        <v>8854</v>
      </c>
      <c r="E2569" s="751">
        <v>29568</v>
      </c>
      <c r="F2569" s="752"/>
      <c r="G2569" s="753">
        <f t="shared" si="48"/>
        <v>29568</v>
      </c>
      <c r="H2569" s="750"/>
    </row>
    <row r="2570" spans="1:8" x14ac:dyDescent="0.25">
      <c r="A2570" s="113">
        <v>44909</v>
      </c>
      <c r="B2570" s="743" t="s">
        <v>8043</v>
      </c>
      <c r="C2570" s="13" t="s">
        <v>5187</v>
      </c>
      <c r="D2570" s="779" t="s">
        <v>8854</v>
      </c>
      <c r="E2570" s="751">
        <v>5040</v>
      </c>
      <c r="F2570" s="752"/>
      <c r="G2570" s="753">
        <f t="shared" si="48"/>
        <v>5040</v>
      </c>
      <c r="H2570" s="750"/>
    </row>
    <row r="2571" spans="1:8" x14ac:dyDescent="0.25">
      <c r="A2571" s="113">
        <v>44909</v>
      </c>
      <c r="B2571" s="743" t="s">
        <v>8657</v>
      </c>
      <c r="C2571" s="750" t="s">
        <v>166</v>
      </c>
      <c r="D2571" s="779" t="s">
        <v>8802</v>
      </c>
      <c r="E2571" s="751">
        <v>23625</v>
      </c>
      <c r="F2571" s="752"/>
      <c r="G2571" s="753">
        <f t="shared" si="48"/>
        <v>23625</v>
      </c>
      <c r="H2571" s="750"/>
    </row>
    <row r="2572" spans="1:8" x14ac:dyDescent="0.25">
      <c r="A2572" s="113">
        <v>44910</v>
      </c>
      <c r="B2572" s="743" t="s">
        <v>6505</v>
      </c>
      <c r="C2572" s="750" t="s">
        <v>164</v>
      </c>
      <c r="D2572" s="779" t="s">
        <v>8215</v>
      </c>
      <c r="E2572" s="751">
        <v>1320</v>
      </c>
      <c r="F2572" s="752"/>
      <c r="G2572" s="753">
        <f t="shared" si="48"/>
        <v>1320</v>
      </c>
      <c r="H2572" s="750" t="s">
        <v>8907</v>
      </c>
    </row>
    <row r="2573" spans="1:8" x14ac:dyDescent="0.25">
      <c r="A2573" s="113">
        <v>44910</v>
      </c>
      <c r="B2573" s="743" t="s">
        <v>8339</v>
      </c>
      <c r="C2573" s="750" t="s">
        <v>2196</v>
      </c>
      <c r="D2573" s="779"/>
      <c r="E2573" s="751"/>
      <c r="F2573" s="752">
        <v>100000</v>
      </c>
      <c r="G2573" s="753">
        <f t="shared" si="48"/>
        <v>-100000</v>
      </c>
      <c r="H2573" s="750" t="s">
        <v>8869</v>
      </c>
    </row>
    <row r="2574" spans="1:8" x14ac:dyDescent="0.25">
      <c r="A2574" s="113">
        <v>44910</v>
      </c>
      <c r="B2574" s="743" t="s">
        <v>7921</v>
      </c>
      <c r="C2574" s="750" t="s">
        <v>164</v>
      </c>
      <c r="D2574" s="779"/>
      <c r="E2574" s="751"/>
      <c r="F2574" s="752">
        <v>67349</v>
      </c>
      <c r="G2574" s="753">
        <f t="shared" si="48"/>
        <v>-67349</v>
      </c>
      <c r="H2574" s="1171" t="s">
        <v>8869</v>
      </c>
    </row>
    <row r="2575" spans="1:8" x14ac:dyDescent="0.25">
      <c r="A2575" s="113">
        <v>44910</v>
      </c>
      <c r="B2575" s="743" t="s">
        <v>6505</v>
      </c>
      <c r="C2575" s="750" t="s">
        <v>164</v>
      </c>
      <c r="D2575" s="779"/>
      <c r="E2575" s="751"/>
      <c r="F2575" s="752">
        <v>9328</v>
      </c>
      <c r="G2575" s="753">
        <f t="shared" si="48"/>
        <v>-9328</v>
      </c>
      <c r="H2575" s="1171"/>
    </row>
    <row r="2576" spans="1:8" x14ac:dyDescent="0.25">
      <c r="A2576" s="113">
        <v>44910</v>
      </c>
      <c r="B2576" s="743" t="s">
        <v>7067</v>
      </c>
      <c r="C2576" s="750" t="s">
        <v>164</v>
      </c>
      <c r="D2576" s="779"/>
      <c r="E2576" s="751"/>
      <c r="F2576" s="752">
        <v>247</v>
      </c>
      <c r="G2576" s="753">
        <f t="shared" si="48"/>
        <v>-247</v>
      </c>
      <c r="H2576" s="1171"/>
    </row>
    <row r="2577" spans="1:8" x14ac:dyDescent="0.25">
      <c r="A2577" s="113">
        <v>44910</v>
      </c>
      <c r="B2577" s="743" t="s">
        <v>1400</v>
      </c>
      <c r="C2577" s="750" t="s">
        <v>164</v>
      </c>
      <c r="D2577" s="779"/>
      <c r="E2577" s="751"/>
      <c r="F2577" s="752">
        <v>23076</v>
      </c>
      <c r="G2577" s="753">
        <f t="shared" si="48"/>
        <v>-23076</v>
      </c>
      <c r="H2577" s="1171"/>
    </row>
    <row r="2578" spans="1:8" x14ac:dyDescent="0.25">
      <c r="A2578" s="113">
        <v>44910</v>
      </c>
      <c r="B2578" s="743" t="s">
        <v>8043</v>
      </c>
      <c r="C2578" s="750" t="s">
        <v>7467</v>
      </c>
      <c r="D2578" s="779"/>
      <c r="E2578" s="751"/>
      <c r="F2578" s="752">
        <v>300000</v>
      </c>
      <c r="G2578" s="753">
        <f t="shared" si="48"/>
        <v>-300000</v>
      </c>
      <c r="H2578" s="750" t="s">
        <v>8869</v>
      </c>
    </row>
    <row r="2579" spans="1:8" x14ac:dyDescent="0.25">
      <c r="A2579" s="113">
        <v>44910</v>
      </c>
      <c r="B2579" s="743" t="s">
        <v>8043</v>
      </c>
      <c r="C2579" s="750" t="s">
        <v>7467</v>
      </c>
      <c r="D2579" s="779"/>
      <c r="E2579" s="751"/>
      <c r="F2579" s="752">
        <v>300000</v>
      </c>
      <c r="G2579" s="753">
        <f t="shared" si="48"/>
        <v>-300000</v>
      </c>
      <c r="H2579" s="750" t="s">
        <v>8869</v>
      </c>
    </row>
    <row r="2580" spans="1:8" x14ac:dyDescent="0.25">
      <c r="A2580" s="113">
        <v>44911</v>
      </c>
      <c r="B2580" s="743" t="s">
        <v>8339</v>
      </c>
      <c r="C2580" s="750" t="s">
        <v>2196</v>
      </c>
      <c r="D2580" s="779" t="s">
        <v>8908</v>
      </c>
      <c r="E2580" s="751">
        <v>17800</v>
      </c>
      <c r="F2580" s="752"/>
      <c r="G2580" s="753">
        <f t="shared" si="48"/>
        <v>17800</v>
      </c>
      <c r="H2580" s="750" t="s">
        <v>8909</v>
      </c>
    </row>
    <row r="2581" spans="1:8" x14ac:dyDescent="0.25">
      <c r="A2581" s="113">
        <v>44911</v>
      </c>
      <c r="B2581" s="743" t="s">
        <v>8657</v>
      </c>
      <c r="C2581" s="13" t="s">
        <v>5187</v>
      </c>
      <c r="D2581" s="779"/>
      <c r="E2581" s="751"/>
      <c r="F2581" s="752">
        <v>216700</v>
      </c>
      <c r="G2581" s="753">
        <f t="shared" si="48"/>
        <v>-216700</v>
      </c>
      <c r="H2581" s="750" t="s">
        <v>9330</v>
      </c>
    </row>
    <row r="2582" spans="1:8" x14ac:dyDescent="0.25">
      <c r="A2582" s="113">
        <v>44914</v>
      </c>
      <c r="B2582" s="743" t="s">
        <v>1400</v>
      </c>
      <c r="C2582" s="750" t="s">
        <v>3011</v>
      </c>
      <c r="D2582" s="779"/>
      <c r="E2582" s="751"/>
      <c r="F2582" s="752">
        <v>14000</v>
      </c>
      <c r="G2582" s="753">
        <f t="shared" si="48"/>
        <v>-14000</v>
      </c>
      <c r="H2582" s="1170" t="s">
        <v>8896</v>
      </c>
    </row>
    <row r="2583" spans="1:8" x14ac:dyDescent="0.25">
      <c r="A2583" s="113">
        <v>44914</v>
      </c>
      <c r="B2583" s="743" t="s">
        <v>6511</v>
      </c>
      <c r="C2583" s="750" t="s">
        <v>3011</v>
      </c>
      <c r="D2583" s="779"/>
      <c r="E2583" s="751"/>
      <c r="F2583" s="752">
        <v>11000</v>
      </c>
      <c r="G2583" s="753">
        <f t="shared" si="48"/>
        <v>-11000</v>
      </c>
      <c r="H2583" s="1170"/>
    </row>
    <row r="2584" spans="1:8" x14ac:dyDescent="0.25">
      <c r="A2584" s="113">
        <v>44914</v>
      </c>
      <c r="B2584" s="743" t="s">
        <v>8043</v>
      </c>
      <c r="C2584" s="750" t="s">
        <v>3011</v>
      </c>
      <c r="D2584" s="779"/>
      <c r="E2584" s="751"/>
      <c r="F2584" s="752">
        <v>25000</v>
      </c>
      <c r="G2584" s="753">
        <f t="shared" si="48"/>
        <v>-25000</v>
      </c>
      <c r="H2584" s="1170"/>
    </row>
    <row r="2585" spans="1:8" x14ac:dyDescent="0.25">
      <c r="A2585" s="113">
        <v>44917</v>
      </c>
      <c r="B2585" s="743" t="s">
        <v>8868</v>
      </c>
      <c r="C2585" s="750" t="s">
        <v>166</v>
      </c>
      <c r="D2585" s="779" t="s">
        <v>8910</v>
      </c>
      <c r="E2585" s="751">
        <v>78000</v>
      </c>
      <c r="F2585" s="752"/>
      <c r="G2585" s="753">
        <f t="shared" si="48"/>
        <v>78000</v>
      </c>
      <c r="H2585" s="750" t="s">
        <v>8911</v>
      </c>
    </row>
    <row r="2586" spans="1:8" x14ac:dyDescent="0.25">
      <c r="A2586" s="113">
        <v>44917</v>
      </c>
      <c r="B2586" s="743" t="s">
        <v>8876</v>
      </c>
      <c r="C2586" s="750" t="s">
        <v>180</v>
      </c>
      <c r="D2586" s="779" t="s">
        <v>8939</v>
      </c>
      <c r="E2586" s="751">
        <v>247080</v>
      </c>
      <c r="F2586" s="752"/>
      <c r="G2586" s="753">
        <f t="shared" si="48"/>
        <v>247080</v>
      </c>
      <c r="H2586" s="750"/>
    </row>
    <row r="2587" spans="1:8" x14ac:dyDescent="0.25">
      <c r="A2587" s="113">
        <v>44919</v>
      </c>
      <c r="B2587" s="743" t="s">
        <v>8657</v>
      </c>
      <c r="C2587" s="750" t="s">
        <v>8394</v>
      </c>
      <c r="D2587" s="779" t="s">
        <v>8968</v>
      </c>
      <c r="E2587" s="751">
        <v>118318</v>
      </c>
      <c r="F2587" s="752"/>
      <c r="G2587" s="753">
        <f t="shared" si="48"/>
        <v>118318</v>
      </c>
      <c r="H2587" s="750"/>
    </row>
    <row r="2588" spans="1:8" x14ac:dyDescent="0.25">
      <c r="A2588" s="113">
        <v>44919</v>
      </c>
      <c r="B2588" s="743" t="s">
        <v>8868</v>
      </c>
      <c r="C2588" s="750" t="s">
        <v>180</v>
      </c>
      <c r="D2588" s="779" t="s">
        <v>8940</v>
      </c>
      <c r="E2588" s="751">
        <v>164160</v>
      </c>
      <c r="F2588" s="752"/>
      <c r="G2588" s="753">
        <f t="shared" si="48"/>
        <v>164160</v>
      </c>
      <c r="H2588" s="750"/>
    </row>
    <row r="2589" spans="1:8" x14ac:dyDescent="0.25">
      <c r="A2589" s="113">
        <v>44921</v>
      </c>
      <c r="B2589" s="743" t="s">
        <v>8868</v>
      </c>
      <c r="C2589" s="13" t="s">
        <v>5187</v>
      </c>
      <c r="D2589" s="779"/>
      <c r="E2589" s="751"/>
      <c r="F2589" s="752">
        <v>190000</v>
      </c>
      <c r="G2589" s="753">
        <f t="shared" si="48"/>
        <v>-190000</v>
      </c>
      <c r="H2589" s="750" t="s">
        <v>8943</v>
      </c>
    </row>
    <row r="2590" spans="1:8" x14ac:dyDescent="0.25">
      <c r="A2590" s="113">
        <v>44922</v>
      </c>
      <c r="B2590" s="743" t="s">
        <v>8559</v>
      </c>
      <c r="C2590" s="750" t="s">
        <v>7467</v>
      </c>
      <c r="D2590" s="779" t="s">
        <v>8966</v>
      </c>
      <c r="E2590" s="751">
        <v>33571</v>
      </c>
      <c r="F2590" s="752"/>
      <c r="G2590" s="753">
        <f t="shared" si="48"/>
        <v>33571</v>
      </c>
      <c r="H2590" s="750" t="s">
        <v>8967</v>
      </c>
    </row>
    <row r="2591" spans="1:8" x14ac:dyDescent="0.25">
      <c r="A2591" s="113">
        <v>44924</v>
      </c>
      <c r="B2591" s="743" t="s">
        <v>8043</v>
      </c>
      <c r="C2591" s="750" t="s">
        <v>7467</v>
      </c>
      <c r="D2591" s="779"/>
      <c r="E2591" s="751"/>
      <c r="F2591" s="752">
        <v>333000</v>
      </c>
      <c r="G2591" s="753">
        <f t="shared" si="48"/>
        <v>-333000</v>
      </c>
      <c r="H2591" s="750" t="s">
        <v>8956</v>
      </c>
    </row>
    <row r="2592" spans="1:8" x14ac:dyDescent="0.25">
      <c r="A2592" s="113">
        <v>44924</v>
      </c>
      <c r="B2592" s="743" t="s">
        <v>8043</v>
      </c>
      <c r="C2592" s="750" t="s">
        <v>7467</v>
      </c>
      <c r="D2592" s="779"/>
      <c r="E2592" s="751"/>
      <c r="F2592" s="752">
        <v>333000</v>
      </c>
      <c r="G2592" s="753">
        <f t="shared" si="48"/>
        <v>-333000</v>
      </c>
      <c r="H2592" s="750" t="s">
        <v>8957</v>
      </c>
    </row>
    <row r="2593" spans="1:8" x14ac:dyDescent="0.25">
      <c r="A2593" s="113">
        <v>44924</v>
      </c>
      <c r="B2593" s="743" t="s">
        <v>8043</v>
      </c>
      <c r="C2593" s="750" t="s">
        <v>7467</v>
      </c>
      <c r="D2593" s="779"/>
      <c r="E2593" s="751"/>
      <c r="F2593" s="752">
        <v>334000</v>
      </c>
      <c r="G2593" s="753">
        <f t="shared" si="48"/>
        <v>-334000</v>
      </c>
      <c r="H2593" s="750" t="s">
        <v>8958</v>
      </c>
    </row>
    <row r="2594" spans="1:8" x14ac:dyDescent="0.25">
      <c r="A2594" s="113">
        <v>44924</v>
      </c>
      <c r="B2594" s="743" t="s">
        <v>8657</v>
      </c>
      <c r="C2594" s="750" t="s">
        <v>166</v>
      </c>
      <c r="D2594" s="779" t="s">
        <v>8982</v>
      </c>
      <c r="E2594" s="751">
        <v>149500</v>
      </c>
      <c r="F2594" s="752"/>
      <c r="G2594" s="753">
        <f t="shared" si="48"/>
        <v>149500</v>
      </c>
      <c r="H2594" s="750" t="s">
        <v>8983</v>
      </c>
    </row>
    <row r="2595" spans="1:8" x14ac:dyDescent="0.25">
      <c r="A2595" s="113">
        <v>44924</v>
      </c>
      <c r="B2595" s="743" t="s">
        <v>8339</v>
      </c>
      <c r="C2595" s="750" t="s">
        <v>166</v>
      </c>
      <c r="D2595" s="779" t="s">
        <v>8965</v>
      </c>
      <c r="E2595" s="751">
        <v>17000</v>
      </c>
      <c r="F2595" s="752"/>
      <c r="G2595" s="753">
        <f t="shared" si="48"/>
        <v>17000</v>
      </c>
      <c r="H2595" s="750" t="s">
        <v>8964</v>
      </c>
    </row>
    <row r="2596" spans="1:8" x14ac:dyDescent="0.25">
      <c r="A2596" s="113">
        <v>44924</v>
      </c>
      <c r="B2596" s="743" t="s">
        <v>8657</v>
      </c>
      <c r="C2596" s="750" t="s">
        <v>8394</v>
      </c>
      <c r="D2596" s="779" t="s">
        <v>8969</v>
      </c>
      <c r="E2596" s="751">
        <v>38995</v>
      </c>
      <c r="F2596" s="752"/>
      <c r="G2596" s="753">
        <f t="shared" si="48"/>
        <v>38995</v>
      </c>
      <c r="H2596" s="750"/>
    </row>
    <row r="2597" spans="1:8" ht="25.5" x14ac:dyDescent="0.25">
      <c r="A2597" s="113">
        <v>44925</v>
      </c>
      <c r="B2597" s="743" t="s">
        <v>8868</v>
      </c>
      <c r="C2597" s="750" t="s">
        <v>7242</v>
      </c>
      <c r="D2597" s="779"/>
      <c r="E2597" s="751"/>
      <c r="F2597" s="752">
        <v>410600</v>
      </c>
      <c r="G2597" s="753">
        <f t="shared" si="48"/>
        <v>-410600</v>
      </c>
      <c r="H2597" s="76" t="s">
        <v>8963</v>
      </c>
    </row>
    <row r="2598" spans="1:8" ht="25.5" x14ac:dyDescent="0.25">
      <c r="A2598" s="113">
        <v>44925</v>
      </c>
      <c r="B2598" s="743" t="s">
        <v>8339</v>
      </c>
      <c r="C2598" s="750" t="s">
        <v>7242</v>
      </c>
      <c r="D2598" s="779"/>
      <c r="E2598" s="751"/>
      <c r="F2598" s="752">
        <v>370200</v>
      </c>
      <c r="G2598" s="753">
        <f t="shared" si="48"/>
        <v>-370200</v>
      </c>
      <c r="H2598" s="76" t="s">
        <v>8963</v>
      </c>
    </row>
    <row r="2599" spans="1:8" ht="25.5" x14ac:dyDescent="0.25">
      <c r="A2599" s="113">
        <v>44925</v>
      </c>
      <c r="B2599" s="743" t="s">
        <v>8559</v>
      </c>
      <c r="C2599" s="750" t="s">
        <v>7242</v>
      </c>
      <c r="D2599" s="779"/>
      <c r="E2599" s="751"/>
      <c r="F2599" s="752">
        <v>275600</v>
      </c>
      <c r="G2599" s="753">
        <f t="shared" si="48"/>
        <v>-275600</v>
      </c>
      <c r="H2599" s="76" t="s">
        <v>8963</v>
      </c>
    </row>
    <row r="2600" spans="1:8" x14ac:dyDescent="0.25">
      <c r="A2600" s="113">
        <v>44925</v>
      </c>
      <c r="B2600" s="743" t="s">
        <v>8339</v>
      </c>
      <c r="C2600" s="13" t="s">
        <v>8708</v>
      </c>
      <c r="D2600" s="766"/>
      <c r="E2600" s="22"/>
      <c r="F2600" s="19">
        <v>100000</v>
      </c>
      <c r="G2600" s="14">
        <f t="shared" si="48"/>
        <v>-100000</v>
      </c>
      <c r="H2600" s="13" t="s">
        <v>8981</v>
      </c>
    </row>
    <row r="2601" spans="1:8" x14ac:dyDescent="0.25">
      <c r="A2601" s="113">
        <v>44928</v>
      </c>
      <c r="B2601" s="743" t="s">
        <v>8339</v>
      </c>
      <c r="C2601" s="13" t="s">
        <v>2196</v>
      </c>
      <c r="D2601" s="766" t="s">
        <v>8984</v>
      </c>
      <c r="E2601" s="22">
        <v>16800</v>
      </c>
      <c r="F2601" s="19"/>
      <c r="G2601" s="14">
        <f t="shared" si="48"/>
        <v>16800</v>
      </c>
      <c r="H2601" s="750" t="s">
        <v>8909</v>
      </c>
    </row>
    <row r="2602" spans="1:8" x14ac:dyDescent="0.25">
      <c r="A2602" s="113">
        <v>44928</v>
      </c>
      <c r="B2602" s="743" t="s">
        <v>8339</v>
      </c>
      <c r="C2602" s="13" t="s">
        <v>2196</v>
      </c>
      <c r="D2602" s="766" t="s">
        <v>8985</v>
      </c>
      <c r="E2602" s="22">
        <v>40500</v>
      </c>
      <c r="F2602" s="19"/>
      <c r="G2602" s="14">
        <f t="shared" si="48"/>
        <v>40500</v>
      </c>
      <c r="H2602" s="750" t="s">
        <v>8986</v>
      </c>
    </row>
    <row r="2603" spans="1:8" x14ac:dyDescent="0.25">
      <c r="A2603" s="113">
        <v>44929</v>
      </c>
      <c r="B2603" s="743" t="s">
        <v>8559</v>
      </c>
      <c r="C2603" s="13" t="s">
        <v>7242</v>
      </c>
      <c r="D2603" s="766" t="s">
        <v>8739</v>
      </c>
      <c r="E2603" s="22">
        <v>704772</v>
      </c>
      <c r="F2603" s="19"/>
      <c r="G2603" s="14">
        <f t="shared" si="48"/>
        <v>704772</v>
      </c>
      <c r="H2603" s="750"/>
    </row>
    <row r="2604" spans="1:8" x14ac:dyDescent="0.25">
      <c r="A2604" s="113">
        <v>44929</v>
      </c>
      <c r="B2604" s="743" t="s">
        <v>8657</v>
      </c>
      <c r="C2604" s="13" t="s">
        <v>7242</v>
      </c>
      <c r="D2604" s="766" t="s">
        <v>8807</v>
      </c>
      <c r="E2604" s="22">
        <v>480779</v>
      </c>
      <c r="F2604" s="19"/>
      <c r="G2604" s="14">
        <f t="shared" si="48"/>
        <v>480779</v>
      </c>
      <c r="H2604" s="750"/>
    </row>
    <row r="2605" spans="1:8" x14ac:dyDescent="0.25">
      <c r="A2605" s="113">
        <v>44929</v>
      </c>
      <c r="B2605" s="743" t="s">
        <v>8868</v>
      </c>
      <c r="C2605" s="13" t="s">
        <v>7242</v>
      </c>
      <c r="D2605" s="766" t="s">
        <v>8808</v>
      </c>
      <c r="E2605" s="22">
        <v>353420</v>
      </c>
      <c r="F2605" s="19"/>
      <c r="G2605" s="14">
        <f t="shared" si="48"/>
        <v>353420</v>
      </c>
      <c r="H2605" s="750"/>
    </row>
    <row r="2606" spans="1:8" x14ac:dyDescent="0.25">
      <c r="A2606" s="113">
        <v>44929</v>
      </c>
      <c r="B2606" s="743" t="s">
        <v>8043</v>
      </c>
      <c r="C2606" s="13" t="s">
        <v>7242</v>
      </c>
      <c r="D2606" s="766" t="s">
        <v>8968</v>
      </c>
      <c r="E2606" s="22">
        <v>83410</v>
      </c>
      <c r="F2606" s="19"/>
      <c r="G2606" s="14">
        <f t="shared" si="48"/>
        <v>83410</v>
      </c>
      <c r="H2606" s="750"/>
    </row>
    <row r="2607" spans="1:8" x14ac:dyDescent="0.25">
      <c r="A2607" s="113">
        <v>44930</v>
      </c>
      <c r="B2607" s="743" t="s">
        <v>8339</v>
      </c>
      <c r="C2607" s="13" t="s">
        <v>2196</v>
      </c>
      <c r="D2607" s="766" t="s">
        <v>9041</v>
      </c>
      <c r="E2607" s="22">
        <v>9450</v>
      </c>
      <c r="F2607" s="19"/>
      <c r="G2607" s="14">
        <f t="shared" si="48"/>
        <v>9450</v>
      </c>
      <c r="H2607" s="750" t="s">
        <v>9043</v>
      </c>
    </row>
    <row r="2608" spans="1:8" x14ac:dyDescent="0.25">
      <c r="A2608" s="113">
        <v>44932</v>
      </c>
      <c r="B2608" s="743" t="s">
        <v>8339</v>
      </c>
      <c r="C2608" s="13" t="s">
        <v>7242</v>
      </c>
      <c r="D2608" s="766"/>
      <c r="E2608" s="22"/>
      <c r="F2608" s="19">
        <v>300000</v>
      </c>
      <c r="G2608" s="14">
        <f t="shared" si="48"/>
        <v>-300000</v>
      </c>
      <c r="H2608" s="13" t="s">
        <v>8988</v>
      </c>
    </row>
    <row r="2609" spans="1:8" x14ac:dyDescent="0.25">
      <c r="A2609" s="113">
        <v>44932</v>
      </c>
      <c r="B2609" s="743" t="s">
        <v>8339</v>
      </c>
      <c r="C2609" s="13" t="s">
        <v>7242</v>
      </c>
      <c r="D2609" s="766"/>
      <c r="E2609" s="22"/>
      <c r="F2609" s="19">
        <v>300000</v>
      </c>
      <c r="G2609" s="14">
        <f t="shared" si="48"/>
        <v>-300000</v>
      </c>
      <c r="H2609" s="13" t="s">
        <v>8987</v>
      </c>
    </row>
    <row r="2610" spans="1:8" x14ac:dyDescent="0.25">
      <c r="A2610" s="113">
        <v>44932</v>
      </c>
      <c r="B2610" s="743" t="s">
        <v>8339</v>
      </c>
      <c r="C2610" s="13" t="s">
        <v>7242</v>
      </c>
      <c r="D2610" s="766"/>
      <c r="E2610" s="22"/>
      <c r="F2610" s="19">
        <v>284875</v>
      </c>
      <c r="G2610" s="14">
        <f t="shared" si="48"/>
        <v>-284875</v>
      </c>
      <c r="H2610" s="13" t="s">
        <v>4977</v>
      </c>
    </row>
    <row r="2611" spans="1:8" x14ac:dyDescent="0.25">
      <c r="A2611" s="113">
        <v>44932</v>
      </c>
      <c r="B2611" s="743" t="s">
        <v>8339</v>
      </c>
      <c r="C2611" s="13" t="s">
        <v>7242</v>
      </c>
      <c r="D2611" s="766"/>
      <c r="E2611" s="22">
        <v>22990</v>
      </c>
      <c r="F2611" s="19"/>
      <c r="G2611" s="14">
        <f t="shared" si="48"/>
        <v>22990</v>
      </c>
      <c r="H2611" s="13" t="s">
        <v>4977</v>
      </c>
    </row>
    <row r="2612" spans="1:8" x14ac:dyDescent="0.25">
      <c r="A2612" s="113">
        <v>44935</v>
      </c>
      <c r="B2612" s="21" t="s">
        <v>8043</v>
      </c>
      <c r="C2612" s="13" t="s">
        <v>8456</v>
      </c>
      <c r="D2612" s="766" t="s">
        <v>8990</v>
      </c>
      <c r="E2612" s="22">
        <v>120000</v>
      </c>
      <c r="F2612" s="19"/>
      <c r="G2612" s="14">
        <f t="shared" si="48"/>
        <v>120000</v>
      </c>
      <c r="H2612" s="13"/>
    </row>
    <row r="2613" spans="1:8" x14ac:dyDescent="0.25">
      <c r="A2613" s="113">
        <v>44935</v>
      </c>
      <c r="B2613" s="21" t="s">
        <v>8868</v>
      </c>
      <c r="C2613" s="13" t="s">
        <v>2196</v>
      </c>
      <c r="D2613" s="766" t="s">
        <v>9042</v>
      </c>
      <c r="E2613" s="22">
        <v>7360</v>
      </c>
      <c r="F2613" s="19"/>
      <c r="G2613" s="14">
        <f t="shared" si="48"/>
        <v>7360</v>
      </c>
      <c r="H2613" s="13" t="s">
        <v>9044</v>
      </c>
    </row>
    <row r="2614" spans="1:8" x14ac:dyDescent="0.25">
      <c r="A2614" s="113">
        <v>44933</v>
      </c>
      <c r="B2614" s="21" t="s">
        <v>8339</v>
      </c>
      <c r="C2614" s="13" t="s">
        <v>7467</v>
      </c>
      <c r="D2614" s="766" t="s">
        <v>9053</v>
      </c>
      <c r="E2614" s="22">
        <v>33600</v>
      </c>
      <c r="F2614" s="19"/>
      <c r="G2614" s="14">
        <f t="shared" si="48"/>
        <v>33600</v>
      </c>
      <c r="H2614" s="13" t="s">
        <v>9054</v>
      </c>
    </row>
    <row r="2615" spans="1:8" x14ac:dyDescent="0.25">
      <c r="A2615" s="113">
        <v>44933</v>
      </c>
      <c r="B2615" s="21" t="s">
        <v>8043</v>
      </c>
      <c r="C2615" s="13" t="s">
        <v>8456</v>
      </c>
      <c r="D2615" s="766"/>
      <c r="E2615" s="22"/>
      <c r="F2615" s="19">
        <v>58000</v>
      </c>
      <c r="G2615" s="14">
        <f t="shared" si="48"/>
        <v>-58000</v>
      </c>
      <c r="H2615" s="1172" t="s">
        <v>8989</v>
      </c>
    </row>
    <row r="2616" spans="1:8" x14ac:dyDescent="0.25">
      <c r="A2616" s="113">
        <v>44933</v>
      </c>
      <c r="B2616" s="21" t="s">
        <v>7921</v>
      </c>
      <c r="C2616" s="13" t="s">
        <v>8456</v>
      </c>
      <c r="D2616" s="766"/>
      <c r="E2616" s="22"/>
      <c r="F2616" s="19">
        <v>42000</v>
      </c>
      <c r="G2616" s="14">
        <f t="shared" si="48"/>
        <v>-42000</v>
      </c>
      <c r="H2616" s="1173"/>
    </row>
    <row r="2617" spans="1:8" x14ac:dyDescent="0.25">
      <c r="A2617" s="113">
        <v>44935</v>
      </c>
      <c r="B2617" s="21" t="s">
        <v>7953</v>
      </c>
      <c r="C2617" s="13" t="s">
        <v>7954</v>
      </c>
      <c r="D2617" s="766"/>
      <c r="E2617" s="22">
        <v>35000</v>
      </c>
      <c r="F2617" s="19"/>
      <c r="G2617" s="14">
        <f t="shared" si="48"/>
        <v>35000</v>
      </c>
      <c r="H2617" s="13" t="s">
        <v>4977</v>
      </c>
    </row>
    <row r="2618" spans="1:8" x14ac:dyDescent="0.25">
      <c r="A2618" s="113">
        <v>44935</v>
      </c>
      <c r="B2618" s="21" t="s">
        <v>8657</v>
      </c>
      <c r="C2618" s="13" t="s">
        <v>166</v>
      </c>
      <c r="D2618" s="766" t="s">
        <v>9056</v>
      </c>
      <c r="E2618" s="22">
        <v>126500</v>
      </c>
      <c r="F2618" s="19"/>
      <c r="G2618" s="14">
        <f t="shared" si="48"/>
        <v>126500</v>
      </c>
      <c r="H2618" s="750" t="s">
        <v>9057</v>
      </c>
    </row>
    <row r="2619" spans="1:8" x14ac:dyDescent="0.25">
      <c r="A2619" s="113">
        <v>44935</v>
      </c>
      <c r="B2619" s="21" t="s">
        <v>8657</v>
      </c>
      <c r="C2619" s="13" t="s">
        <v>8394</v>
      </c>
      <c r="D2619" s="766"/>
      <c r="E2619" s="22"/>
      <c r="F2619" s="19">
        <v>1000000</v>
      </c>
      <c r="G2619" s="14">
        <f t="shared" si="48"/>
        <v>-1000000</v>
      </c>
      <c r="H2619" s="13" t="s">
        <v>9007</v>
      </c>
    </row>
    <row r="2620" spans="1:8" x14ac:dyDescent="0.25">
      <c r="A2620" s="113">
        <v>44937</v>
      </c>
      <c r="B2620" s="21" t="s">
        <v>8339</v>
      </c>
      <c r="C2620" s="13" t="s">
        <v>7467</v>
      </c>
      <c r="D2620" s="766" t="s">
        <v>9286</v>
      </c>
      <c r="E2620" s="783">
        <v>49065</v>
      </c>
      <c r="F2620" s="110"/>
      <c r="G2620" s="14">
        <f t="shared" si="48"/>
        <v>49065</v>
      </c>
      <c r="H2620" s="13" t="s">
        <v>9287</v>
      </c>
    </row>
    <row r="2621" spans="1:8" x14ac:dyDescent="0.25">
      <c r="A2621" s="113">
        <v>44938</v>
      </c>
      <c r="B2621" s="21" t="s">
        <v>8876</v>
      </c>
      <c r="C2621" s="13" t="s">
        <v>2196</v>
      </c>
      <c r="D2621" s="766" t="s">
        <v>9045</v>
      </c>
      <c r="E2621" s="783">
        <v>45500</v>
      </c>
      <c r="F2621" s="110"/>
      <c r="G2621" s="14">
        <f t="shared" si="48"/>
        <v>45500</v>
      </c>
      <c r="H2621" s="750" t="s">
        <v>9046</v>
      </c>
    </row>
    <row r="2622" spans="1:8" x14ac:dyDescent="0.25">
      <c r="A2622" s="113">
        <v>44938</v>
      </c>
      <c r="B2622" s="21" t="s">
        <v>8657</v>
      </c>
      <c r="C2622" s="13" t="s">
        <v>166</v>
      </c>
      <c r="D2622" s="766" t="s">
        <v>9055</v>
      </c>
      <c r="E2622" s="783">
        <v>126500</v>
      </c>
      <c r="F2622" s="110"/>
      <c r="G2622" s="14">
        <f t="shared" si="48"/>
        <v>126500</v>
      </c>
      <c r="H2622" s="750" t="s">
        <v>9057</v>
      </c>
    </row>
    <row r="2623" spans="1:8" x14ac:dyDescent="0.25">
      <c r="A2623" s="113">
        <v>44939</v>
      </c>
      <c r="B2623" s="21" t="s">
        <v>8876</v>
      </c>
      <c r="C2623" s="13" t="s">
        <v>169</v>
      </c>
      <c r="D2623" s="766" t="s">
        <v>9049</v>
      </c>
      <c r="E2623" s="783">
        <v>25754</v>
      </c>
      <c r="F2623" s="110"/>
      <c r="G2623" s="14">
        <f t="shared" si="48"/>
        <v>25754</v>
      </c>
      <c r="H2623" s="750" t="s">
        <v>9050</v>
      </c>
    </row>
    <row r="2624" spans="1:8" ht="16.5" thickBot="1" x14ac:dyDescent="0.3">
      <c r="A2624" s="113">
        <v>44940</v>
      </c>
      <c r="B2624" s="21" t="s">
        <v>8876</v>
      </c>
      <c r="C2624" s="13" t="s">
        <v>2196</v>
      </c>
      <c r="D2624" s="766" t="s">
        <v>9047</v>
      </c>
      <c r="E2624" s="783">
        <v>47250</v>
      </c>
      <c r="F2624" s="110"/>
      <c r="G2624" s="14">
        <f t="shared" si="48"/>
        <v>47250</v>
      </c>
      <c r="H2624" s="750" t="s">
        <v>9048</v>
      </c>
    </row>
    <row r="2625" spans="1:8" x14ac:dyDescent="0.25">
      <c r="A2625" s="113">
        <v>44942</v>
      </c>
      <c r="B2625" s="21" t="s">
        <v>6505</v>
      </c>
      <c r="C2625" s="13" t="s">
        <v>166</v>
      </c>
      <c r="D2625" s="766"/>
      <c r="E2625" s="783"/>
      <c r="F2625" s="785">
        <v>21400</v>
      </c>
      <c r="G2625" s="784">
        <f t="shared" si="48"/>
        <v>-21400</v>
      </c>
      <c r="H2625" s="1167" t="s">
        <v>9034</v>
      </c>
    </row>
    <row r="2626" spans="1:8" x14ac:dyDescent="0.25">
      <c r="A2626" s="113">
        <v>44942</v>
      </c>
      <c r="B2626" s="21" t="s">
        <v>7921</v>
      </c>
      <c r="C2626" s="13" t="s">
        <v>166</v>
      </c>
      <c r="D2626" s="766"/>
      <c r="E2626" s="783"/>
      <c r="F2626" s="142">
        <v>25000</v>
      </c>
      <c r="G2626" s="784">
        <f t="shared" si="48"/>
        <v>-25000</v>
      </c>
      <c r="H2626" s="1168"/>
    </row>
    <row r="2627" spans="1:8" x14ac:dyDescent="0.25">
      <c r="A2627" s="113">
        <v>44942</v>
      </c>
      <c r="B2627" s="21" t="s">
        <v>8339</v>
      </c>
      <c r="C2627" s="13" t="s">
        <v>166</v>
      </c>
      <c r="D2627" s="766"/>
      <c r="E2627" s="783"/>
      <c r="F2627" s="142">
        <v>69000</v>
      </c>
      <c r="G2627" s="784">
        <f t="shared" si="48"/>
        <v>-69000</v>
      </c>
      <c r="H2627" s="1168"/>
    </row>
    <row r="2628" spans="1:8" x14ac:dyDescent="0.25">
      <c r="A2628" s="113">
        <v>44942</v>
      </c>
      <c r="B2628" s="21" t="s">
        <v>8559</v>
      </c>
      <c r="C2628" s="13" t="s">
        <v>166</v>
      </c>
      <c r="D2628" s="766"/>
      <c r="E2628" s="783"/>
      <c r="F2628" s="142">
        <v>15282</v>
      </c>
      <c r="G2628" s="784">
        <f t="shared" si="48"/>
        <v>-15282</v>
      </c>
      <c r="H2628" s="1168"/>
    </row>
    <row r="2629" spans="1:8" ht="16.5" thickBot="1" x14ac:dyDescent="0.3">
      <c r="A2629" s="113">
        <v>44942</v>
      </c>
      <c r="B2629" s="21" t="s">
        <v>8532</v>
      </c>
      <c r="C2629" s="13" t="s">
        <v>166</v>
      </c>
      <c r="D2629" s="766"/>
      <c r="E2629" s="783"/>
      <c r="F2629" s="786">
        <v>47891</v>
      </c>
      <c r="G2629" s="784">
        <f t="shared" si="48"/>
        <v>-47891</v>
      </c>
      <c r="H2629" s="1169"/>
    </row>
    <row r="2630" spans="1:8" x14ac:dyDescent="0.25">
      <c r="A2630" s="113">
        <v>44942</v>
      </c>
      <c r="B2630" s="21" t="s">
        <v>8657</v>
      </c>
      <c r="C2630" s="13" t="s">
        <v>5187</v>
      </c>
      <c r="D2630" s="766"/>
      <c r="E2630" s="22"/>
      <c r="F2630" s="19">
        <v>150000</v>
      </c>
      <c r="G2630" s="784">
        <f t="shared" si="48"/>
        <v>-150000</v>
      </c>
      <c r="H2630" s="13" t="s">
        <v>9035</v>
      </c>
    </row>
    <row r="2631" spans="1:8" x14ac:dyDescent="0.25">
      <c r="A2631" s="113">
        <v>44943</v>
      </c>
      <c r="B2631" s="21" t="s">
        <v>8876</v>
      </c>
      <c r="C2631" s="13" t="s">
        <v>180</v>
      </c>
      <c r="D2631" s="766" t="s">
        <v>9064</v>
      </c>
      <c r="E2631" s="22">
        <v>263400</v>
      </c>
      <c r="F2631" s="19"/>
      <c r="G2631" s="784">
        <f t="shared" si="48"/>
        <v>263400</v>
      </c>
      <c r="H2631" s="13" t="s">
        <v>9063</v>
      </c>
    </row>
    <row r="2632" spans="1:8" x14ac:dyDescent="0.25">
      <c r="A2632" s="113">
        <v>44947</v>
      </c>
      <c r="B2632" s="21" t="s">
        <v>8876</v>
      </c>
      <c r="C2632" s="13" t="s">
        <v>166</v>
      </c>
      <c r="D2632" s="766" t="s">
        <v>9065</v>
      </c>
      <c r="E2632" s="22">
        <v>17000</v>
      </c>
      <c r="F2632" s="19"/>
      <c r="G2632" s="784">
        <f t="shared" si="48"/>
        <v>17000</v>
      </c>
      <c r="H2632" s="13" t="s">
        <v>9273</v>
      </c>
    </row>
    <row r="2633" spans="1:8" x14ac:dyDescent="0.25">
      <c r="A2633" s="113">
        <v>44947</v>
      </c>
      <c r="B2633" s="21" t="s">
        <v>8876</v>
      </c>
      <c r="C2633" s="13" t="s">
        <v>166</v>
      </c>
      <c r="D2633" s="766" t="s">
        <v>9065</v>
      </c>
      <c r="E2633" s="22">
        <v>72000</v>
      </c>
      <c r="F2633" s="19"/>
      <c r="G2633" s="784">
        <f t="shared" si="48"/>
        <v>72000</v>
      </c>
      <c r="H2633" s="13" t="s">
        <v>9274</v>
      </c>
    </row>
    <row r="2634" spans="1:8" x14ac:dyDescent="0.25">
      <c r="A2634" s="113">
        <v>44945</v>
      </c>
      <c r="B2634" s="21" t="s">
        <v>8043</v>
      </c>
      <c r="C2634" s="13" t="s">
        <v>8456</v>
      </c>
      <c r="D2634" s="766"/>
      <c r="E2634" s="22"/>
      <c r="F2634" s="19">
        <v>120000</v>
      </c>
      <c r="G2634" s="784">
        <f t="shared" si="48"/>
        <v>-120000</v>
      </c>
      <c r="H2634" s="13" t="s">
        <v>9072</v>
      </c>
    </row>
    <row r="2635" spans="1:8" x14ac:dyDescent="0.25">
      <c r="A2635" s="113">
        <v>44949</v>
      </c>
      <c r="B2635" s="21" t="s">
        <v>7921</v>
      </c>
      <c r="C2635" s="13" t="s">
        <v>169</v>
      </c>
      <c r="D2635" s="766"/>
      <c r="E2635" s="22"/>
      <c r="F2635" s="19">
        <v>34773</v>
      </c>
      <c r="G2635" s="784">
        <f t="shared" si="48"/>
        <v>-34773</v>
      </c>
      <c r="H2635" s="1172" t="s">
        <v>9075</v>
      </c>
    </row>
    <row r="2636" spans="1:8" x14ac:dyDescent="0.25">
      <c r="A2636" s="113">
        <v>44949</v>
      </c>
      <c r="B2636" s="21" t="s">
        <v>8339</v>
      </c>
      <c r="C2636" s="13" t="s">
        <v>169</v>
      </c>
      <c r="D2636" s="766"/>
      <c r="E2636" s="22"/>
      <c r="F2636" s="19">
        <v>65227</v>
      </c>
      <c r="G2636" s="784">
        <f t="shared" si="48"/>
        <v>-65227</v>
      </c>
      <c r="H2636" s="1173"/>
    </row>
    <row r="2637" spans="1:8" x14ac:dyDescent="0.25">
      <c r="A2637" s="113">
        <v>44949</v>
      </c>
      <c r="B2637" s="21" t="s">
        <v>8339</v>
      </c>
      <c r="C2637" s="13" t="s">
        <v>2196</v>
      </c>
      <c r="D2637" s="766"/>
      <c r="E2637" s="22"/>
      <c r="F2637" s="19">
        <v>100000</v>
      </c>
      <c r="G2637" s="14">
        <f t="shared" si="48"/>
        <v>-100000</v>
      </c>
      <c r="H2637" s="13" t="s">
        <v>7720</v>
      </c>
    </row>
    <row r="2638" spans="1:8" x14ac:dyDescent="0.25">
      <c r="A2638" s="113">
        <v>44950</v>
      </c>
      <c r="B2638" s="21" t="s">
        <v>8559</v>
      </c>
      <c r="C2638" s="13" t="s">
        <v>7242</v>
      </c>
      <c r="D2638" s="766" t="s">
        <v>9245</v>
      </c>
      <c r="E2638" s="22">
        <v>605640</v>
      </c>
      <c r="F2638" s="19"/>
      <c r="G2638" s="14">
        <f t="shared" si="48"/>
        <v>605640</v>
      </c>
      <c r="H2638" s="13"/>
    </row>
    <row r="2639" spans="1:8" x14ac:dyDescent="0.25">
      <c r="A2639" s="113">
        <v>44950</v>
      </c>
      <c r="B2639" s="21" t="s">
        <v>8339</v>
      </c>
      <c r="C2639" s="13" t="s">
        <v>7242</v>
      </c>
      <c r="D2639" s="766" t="s">
        <v>9246</v>
      </c>
      <c r="E2639" s="22">
        <v>274161</v>
      </c>
      <c r="F2639" s="19"/>
      <c r="G2639" s="14">
        <f t="shared" si="48"/>
        <v>274161</v>
      </c>
      <c r="H2639" s="13"/>
    </row>
    <row r="2640" spans="1:8" x14ac:dyDescent="0.25">
      <c r="A2640" s="113">
        <v>44950</v>
      </c>
      <c r="B2640" s="21" t="s">
        <v>8043</v>
      </c>
      <c r="C2640" s="13" t="s">
        <v>7242</v>
      </c>
      <c r="D2640" s="766" t="s">
        <v>8969</v>
      </c>
      <c r="E2640" s="22">
        <v>23595</v>
      </c>
      <c r="F2640" s="19"/>
      <c r="G2640" s="14">
        <f t="shared" si="48"/>
        <v>23595</v>
      </c>
      <c r="H2640" s="13"/>
    </row>
    <row r="2641" spans="1:8" x14ac:dyDescent="0.25">
      <c r="A2641" s="113">
        <v>44952</v>
      </c>
      <c r="B2641" s="21" t="s">
        <v>8876</v>
      </c>
      <c r="C2641" s="13" t="s">
        <v>2196</v>
      </c>
      <c r="D2641" s="766" t="s">
        <v>9288</v>
      </c>
      <c r="E2641" s="22">
        <v>20250</v>
      </c>
      <c r="F2641" s="19"/>
      <c r="G2641" s="14">
        <f t="shared" si="48"/>
        <v>20250</v>
      </c>
      <c r="H2641" s="750" t="s">
        <v>9289</v>
      </c>
    </row>
    <row r="2642" spans="1:8" x14ac:dyDescent="0.25">
      <c r="A2642" s="113">
        <v>44952</v>
      </c>
      <c r="B2642" s="21" t="s">
        <v>8876</v>
      </c>
      <c r="C2642" s="13" t="s">
        <v>169</v>
      </c>
      <c r="D2642" s="766" t="s">
        <v>9290</v>
      </c>
      <c r="E2642" s="22">
        <v>56500</v>
      </c>
      <c r="F2642" s="19"/>
      <c r="G2642" s="14">
        <f t="shared" si="48"/>
        <v>56500</v>
      </c>
      <c r="H2642" s="750" t="s">
        <v>9291</v>
      </c>
    </row>
    <row r="2643" spans="1:8" x14ac:dyDescent="0.25">
      <c r="A2643" s="113">
        <v>44952</v>
      </c>
      <c r="B2643" s="21" t="s">
        <v>8876</v>
      </c>
      <c r="C2643" s="13" t="s">
        <v>7467</v>
      </c>
      <c r="D2643" s="766" t="s">
        <v>9371</v>
      </c>
      <c r="E2643" s="22">
        <v>536326</v>
      </c>
      <c r="F2643" s="19"/>
      <c r="G2643" s="14">
        <f t="shared" si="48"/>
        <v>536326</v>
      </c>
      <c r="H2643" s="750"/>
    </row>
    <row r="2644" spans="1:8" x14ac:dyDescent="0.25">
      <c r="A2644" s="113">
        <v>44952</v>
      </c>
      <c r="B2644" s="21" t="s">
        <v>1400</v>
      </c>
      <c r="C2644" s="13" t="s">
        <v>164</v>
      </c>
      <c r="D2644" s="766" t="s">
        <v>8215</v>
      </c>
      <c r="E2644" s="22">
        <v>2495</v>
      </c>
      <c r="F2644" s="19"/>
      <c r="G2644" s="14">
        <f t="shared" si="48"/>
        <v>2495</v>
      </c>
      <c r="H2644" s="750" t="s">
        <v>9440</v>
      </c>
    </row>
    <row r="2645" spans="1:8" x14ac:dyDescent="0.25">
      <c r="A2645" s="113">
        <v>44953</v>
      </c>
      <c r="B2645" s="21" t="s">
        <v>8339</v>
      </c>
      <c r="C2645" s="13" t="s">
        <v>8456</v>
      </c>
      <c r="D2645" s="766" t="s">
        <v>9276</v>
      </c>
      <c r="E2645" s="22">
        <v>230000</v>
      </c>
      <c r="F2645" s="19"/>
      <c r="G2645" s="14">
        <f t="shared" si="48"/>
        <v>230000</v>
      </c>
      <c r="H2645" s="13"/>
    </row>
    <row r="2646" spans="1:8" x14ac:dyDescent="0.25">
      <c r="A2646" s="113">
        <v>44953</v>
      </c>
      <c r="B2646" s="21" t="s">
        <v>8559</v>
      </c>
      <c r="C2646" s="13" t="s">
        <v>166</v>
      </c>
      <c r="D2646" s="766" t="s">
        <v>9277</v>
      </c>
      <c r="E2646" s="22">
        <v>3495</v>
      </c>
      <c r="F2646" s="19"/>
      <c r="G2646" s="14">
        <f t="shared" si="48"/>
        <v>3495</v>
      </c>
      <c r="H2646" s="13" t="s">
        <v>9279</v>
      </c>
    </row>
    <row r="2647" spans="1:8" x14ac:dyDescent="0.25">
      <c r="A2647" s="113">
        <v>44953</v>
      </c>
      <c r="B2647" s="21" t="s">
        <v>8559</v>
      </c>
      <c r="C2647" s="13" t="s">
        <v>166</v>
      </c>
      <c r="D2647" s="766" t="s">
        <v>9278</v>
      </c>
      <c r="E2647" s="22">
        <v>3420</v>
      </c>
      <c r="F2647" s="19"/>
      <c r="G2647" s="14">
        <f t="shared" si="48"/>
        <v>3420</v>
      </c>
      <c r="H2647" s="13" t="s">
        <v>9279</v>
      </c>
    </row>
    <row r="2648" spans="1:8" x14ac:dyDescent="0.25">
      <c r="A2648" s="113">
        <v>44954</v>
      </c>
      <c r="B2648" s="21" t="s">
        <v>8657</v>
      </c>
      <c r="C2648" s="13" t="s">
        <v>5681</v>
      </c>
      <c r="D2648" s="766" t="s">
        <v>9249</v>
      </c>
      <c r="E2648" s="22">
        <v>1535000</v>
      </c>
      <c r="F2648" s="19"/>
      <c r="G2648" s="14">
        <f t="shared" si="48"/>
        <v>1535000</v>
      </c>
      <c r="H2648" s="13"/>
    </row>
    <row r="2649" spans="1:8" x14ac:dyDescent="0.25">
      <c r="A2649" s="113">
        <v>44956</v>
      </c>
      <c r="B2649" s="21" t="s">
        <v>8876</v>
      </c>
      <c r="C2649" s="13" t="s">
        <v>7467</v>
      </c>
      <c r="D2649" s="766" t="s">
        <v>9372</v>
      </c>
      <c r="E2649" s="22">
        <v>240163</v>
      </c>
      <c r="F2649" s="19"/>
      <c r="G2649" s="14">
        <f t="shared" si="48"/>
        <v>240163</v>
      </c>
      <c r="H2649" s="13"/>
    </row>
    <row r="2650" spans="1:8" x14ac:dyDescent="0.25">
      <c r="A2650" s="113">
        <v>44957</v>
      </c>
      <c r="B2650" s="21" t="s">
        <v>1400</v>
      </c>
      <c r="C2650" s="13" t="s">
        <v>7242</v>
      </c>
      <c r="D2650" s="766"/>
      <c r="E2650" s="22"/>
      <c r="F2650" s="19">
        <v>443603</v>
      </c>
      <c r="G2650" s="14">
        <f t="shared" si="48"/>
        <v>-443603</v>
      </c>
      <c r="H2650" s="1167" t="s">
        <v>10316</v>
      </c>
    </row>
    <row r="2651" spans="1:8" x14ac:dyDescent="0.25">
      <c r="A2651" s="113">
        <v>44957</v>
      </c>
      <c r="B2651" s="21" t="s">
        <v>8657</v>
      </c>
      <c r="C2651" s="13" t="s">
        <v>7242</v>
      </c>
      <c r="D2651" s="766"/>
      <c r="E2651" s="22"/>
      <c r="F2651" s="19">
        <v>443603</v>
      </c>
      <c r="G2651" s="14">
        <f t="shared" ref="G2651" si="49">E2651-F2651</f>
        <v>-443603</v>
      </c>
      <c r="H2651" s="1169"/>
    </row>
    <row r="2652" spans="1:8" s="731" customFormat="1" ht="47.25" x14ac:dyDescent="0.25">
      <c r="A2652" s="113">
        <v>44961</v>
      </c>
      <c r="B2652" s="743" t="s">
        <v>8876</v>
      </c>
      <c r="C2652" s="750" t="s">
        <v>7242</v>
      </c>
      <c r="D2652" s="779"/>
      <c r="E2652" s="751"/>
      <c r="F2652" s="752">
        <v>393200</v>
      </c>
      <c r="G2652" s="753">
        <f t="shared" si="48"/>
        <v>-393200</v>
      </c>
      <c r="H2652" s="756" t="s">
        <v>9272</v>
      </c>
    </row>
    <row r="2653" spans="1:8" x14ac:dyDescent="0.25">
      <c r="A2653" s="113">
        <v>44961</v>
      </c>
      <c r="B2653" s="21" t="s">
        <v>8339</v>
      </c>
      <c r="C2653" s="13" t="s">
        <v>8456</v>
      </c>
      <c r="D2653" s="766"/>
      <c r="E2653" s="22"/>
      <c r="F2653" s="19">
        <v>100000</v>
      </c>
      <c r="G2653" s="14">
        <f t="shared" si="48"/>
        <v>-100000</v>
      </c>
      <c r="H2653" s="13" t="s">
        <v>9300</v>
      </c>
    </row>
    <row r="2654" spans="1:8" x14ac:dyDescent="0.25">
      <c r="A2654" s="113">
        <v>44961</v>
      </c>
      <c r="B2654" s="21" t="s">
        <v>8339</v>
      </c>
      <c r="C2654" s="13" t="s">
        <v>8456</v>
      </c>
      <c r="D2654" s="766"/>
      <c r="E2654" s="22"/>
      <c r="F2654" s="19">
        <v>130000</v>
      </c>
      <c r="G2654" s="14">
        <f t="shared" si="48"/>
        <v>-130000</v>
      </c>
      <c r="H2654" s="13" t="s">
        <v>9301</v>
      </c>
    </row>
    <row r="2655" spans="1:8" x14ac:dyDescent="0.25">
      <c r="A2655" s="113">
        <v>44964</v>
      </c>
      <c r="B2655" s="21" t="s">
        <v>8657</v>
      </c>
      <c r="C2655" s="13" t="s">
        <v>166</v>
      </c>
      <c r="D2655" s="777" t="s">
        <v>9367</v>
      </c>
      <c r="E2655" s="22">
        <v>154000</v>
      </c>
      <c r="F2655" s="19"/>
      <c r="G2655" s="14">
        <f t="shared" si="48"/>
        <v>154000</v>
      </c>
      <c r="H2655" s="54" t="s">
        <v>9368</v>
      </c>
    </row>
    <row r="2656" spans="1:8" x14ac:dyDescent="0.25">
      <c r="A2656" s="113">
        <v>44965</v>
      </c>
      <c r="B2656" s="21" t="s">
        <v>8339</v>
      </c>
      <c r="C2656" s="13" t="s">
        <v>7467</v>
      </c>
      <c r="D2656" s="777" t="s">
        <v>9373</v>
      </c>
      <c r="E2656" s="22">
        <v>74889</v>
      </c>
      <c r="F2656" s="19"/>
      <c r="G2656" s="14">
        <f t="shared" si="48"/>
        <v>74889</v>
      </c>
      <c r="H2656" s="54"/>
    </row>
    <row r="2657" spans="1:8" x14ac:dyDescent="0.25">
      <c r="A2657" s="113">
        <v>44965</v>
      </c>
      <c r="B2657" s="21" t="s">
        <v>8876</v>
      </c>
      <c r="C2657" s="13" t="s">
        <v>169</v>
      </c>
      <c r="D2657" s="1212" t="s">
        <v>9307</v>
      </c>
      <c r="E2657" s="22">
        <v>56000</v>
      </c>
      <c r="F2657" s="19"/>
      <c r="G2657" s="14">
        <f t="shared" si="48"/>
        <v>56000</v>
      </c>
      <c r="H2657" s="922" t="s">
        <v>9308</v>
      </c>
    </row>
    <row r="2658" spans="1:8" x14ac:dyDescent="0.25">
      <c r="A2658" s="113">
        <v>44965</v>
      </c>
      <c r="B2658" s="21" t="s">
        <v>8043</v>
      </c>
      <c r="C2658" s="13" t="s">
        <v>169</v>
      </c>
      <c r="D2658" s="1213"/>
      <c r="E2658" s="22">
        <v>56000</v>
      </c>
      <c r="F2658" s="19"/>
      <c r="G2658" s="14">
        <f t="shared" si="48"/>
        <v>56000</v>
      </c>
      <c r="H2658" s="922" t="s">
        <v>9308</v>
      </c>
    </row>
    <row r="2659" spans="1:8" x14ac:dyDescent="0.25">
      <c r="A2659" s="113">
        <v>44965</v>
      </c>
      <c r="B2659" s="21" t="s">
        <v>8043</v>
      </c>
      <c r="C2659" s="13" t="s">
        <v>169</v>
      </c>
      <c r="D2659" s="766"/>
      <c r="E2659" s="22"/>
      <c r="F2659" s="19">
        <v>56000</v>
      </c>
      <c r="G2659" s="14">
        <f t="shared" si="48"/>
        <v>-56000</v>
      </c>
      <c r="H2659" s="1220" t="s">
        <v>9309</v>
      </c>
    </row>
    <row r="2660" spans="1:8" x14ac:dyDescent="0.25">
      <c r="A2660" s="113">
        <v>44965</v>
      </c>
      <c r="B2660" s="21" t="s">
        <v>8339</v>
      </c>
      <c r="C2660" s="13" t="s">
        <v>169</v>
      </c>
      <c r="D2660" s="766"/>
      <c r="E2660" s="22"/>
      <c r="F2660" s="19">
        <v>10173</v>
      </c>
      <c r="G2660" s="14">
        <f t="shared" si="48"/>
        <v>-10173</v>
      </c>
      <c r="H2660" s="1221"/>
    </row>
    <row r="2661" spans="1:8" x14ac:dyDescent="0.25">
      <c r="A2661" s="113">
        <v>44965</v>
      </c>
      <c r="B2661" s="21" t="s">
        <v>8876</v>
      </c>
      <c r="C2661" s="13" t="s">
        <v>169</v>
      </c>
      <c r="D2661" s="766"/>
      <c r="E2661" s="22"/>
      <c r="F2661" s="19">
        <v>23827</v>
      </c>
      <c r="G2661" s="14">
        <f t="shared" si="48"/>
        <v>-23827</v>
      </c>
      <c r="H2661" s="1222"/>
    </row>
    <row r="2662" spans="1:8" x14ac:dyDescent="0.25">
      <c r="A2662" s="113">
        <v>44965</v>
      </c>
      <c r="B2662" s="21" t="s">
        <v>8876</v>
      </c>
      <c r="C2662" s="13" t="s">
        <v>169</v>
      </c>
      <c r="D2662" s="766"/>
      <c r="E2662" s="22"/>
      <c r="F2662" s="19">
        <v>110000</v>
      </c>
      <c r="G2662" s="14">
        <f t="shared" si="48"/>
        <v>-110000</v>
      </c>
      <c r="H2662" s="13" t="s">
        <v>9310</v>
      </c>
    </row>
    <row r="2663" spans="1:8" x14ac:dyDescent="0.25">
      <c r="A2663" s="113">
        <v>44967</v>
      </c>
      <c r="B2663" s="21" t="s">
        <v>8868</v>
      </c>
      <c r="C2663" s="13" t="s">
        <v>5187</v>
      </c>
      <c r="D2663" s="1212" t="s">
        <v>9325</v>
      </c>
      <c r="E2663" s="22">
        <f>6336+15840+24960+43680</f>
        <v>90816</v>
      </c>
      <c r="F2663" s="19"/>
      <c r="G2663" s="14">
        <f t="shared" si="48"/>
        <v>90816</v>
      </c>
      <c r="H2663" s="1214" t="s">
        <v>9326</v>
      </c>
    </row>
    <row r="2664" spans="1:8" x14ac:dyDescent="0.25">
      <c r="A2664" s="113">
        <v>44967</v>
      </c>
      <c r="B2664" s="21" t="s">
        <v>8043</v>
      </c>
      <c r="C2664" s="13" t="s">
        <v>5187</v>
      </c>
      <c r="D2664" s="1213"/>
      <c r="E2664" s="22">
        <f>5032+5596</f>
        <v>10628</v>
      </c>
      <c r="F2664" s="19"/>
      <c r="G2664" s="14">
        <f t="shared" si="48"/>
        <v>10628</v>
      </c>
      <c r="H2664" s="1215"/>
    </row>
    <row r="2665" spans="1:8" x14ac:dyDescent="0.25">
      <c r="A2665" s="113">
        <v>44967</v>
      </c>
      <c r="B2665" s="21" t="s">
        <v>8876</v>
      </c>
      <c r="C2665" s="13" t="s">
        <v>5187</v>
      </c>
      <c r="D2665" s="766" t="s">
        <v>9327</v>
      </c>
      <c r="E2665" s="22">
        <v>42000</v>
      </c>
      <c r="F2665" s="19"/>
      <c r="G2665" s="14">
        <f t="shared" si="48"/>
        <v>42000</v>
      </c>
      <c r="H2665" s="13"/>
    </row>
    <row r="2666" spans="1:8" x14ac:dyDescent="0.25">
      <c r="A2666" s="113">
        <v>44967</v>
      </c>
      <c r="B2666" s="21" t="s">
        <v>8043</v>
      </c>
      <c r="C2666" s="13" t="s">
        <v>5187</v>
      </c>
      <c r="D2666" s="1212" t="s">
        <v>9350</v>
      </c>
      <c r="E2666" s="22">
        <f>15552+18000</f>
        <v>33552</v>
      </c>
      <c r="F2666" s="19"/>
      <c r="G2666" s="14">
        <f t="shared" si="48"/>
        <v>33552</v>
      </c>
      <c r="H2666" s="1214" t="s">
        <v>9326</v>
      </c>
    </row>
    <row r="2667" spans="1:8" x14ac:dyDescent="0.25">
      <c r="A2667" s="113">
        <v>44967</v>
      </c>
      <c r="B2667" s="21" t="s">
        <v>8339</v>
      </c>
      <c r="C2667" s="13" t="s">
        <v>5187</v>
      </c>
      <c r="D2667" s="1213"/>
      <c r="E2667" s="22">
        <v>28080</v>
      </c>
      <c r="F2667" s="19"/>
      <c r="G2667" s="14">
        <f t="shared" si="48"/>
        <v>28080</v>
      </c>
      <c r="H2667" s="1215"/>
    </row>
    <row r="2668" spans="1:8" ht="18.75" x14ac:dyDescent="0.25">
      <c r="A2668" s="113">
        <v>44968</v>
      </c>
      <c r="B2668" s="21" t="s">
        <v>8657</v>
      </c>
      <c r="C2668" s="13" t="s">
        <v>166</v>
      </c>
      <c r="D2668" s="926" t="s">
        <v>9435</v>
      </c>
      <c r="E2668" s="22">
        <v>192500</v>
      </c>
      <c r="F2668" s="19"/>
      <c r="G2668" s="14">
        <f t="shared" si="48"/>
        <v>192500</v>
      </c>
      <c r="H2668" s="927" t="s">
        <v>9436</v>
      </c>
    </row>
    <row r="2669" spans="1:8" x14ac:dyDescent="0.25">
      <c r="A2669" s="113">
        <v>44970</v>
      </c>
      <c r="B2669" s="21" t="s">
        <v>8868</v>
      </c>
      <c r="C2669" s="13" t="s">
        <v>5187</v>
      </c>
      <c r="D2669" s="766" t="s">
        <v>9328</v>
      </c>
      <c r="E2669" s="22">
        <v>306000</v>
      </c>
      <c r="F2669" s="19"/>
      <c r="G2669" s="14">
        <f t="shared" si="48"/>
        <v>306000</v>
      </c>
      <c r="H2669" s="13" t="s">
        <v>9329</v>
      </c>
    </row>
    <row r="2670" spans="1:8" x14ac:dyDescent="0.25">
      <c r="A2670" s="113">
        <v>44970</v>
      </c>
      <c r="B2670" s="21" t="s">
        <v>8657</v>
      </c>
      <c r="C2670" s="13" t="s">
        <v>5187</v>
      </c>
      <c r="D2670" s="766" t="s">
        <v>9325</v>
      </c>
      <c r="E2670" s="22">
        <v>175176</v>
      </c>
      <c r="F2670" s="19"/>
      <c r="G2670" s="14">
        <f t="shared" si="48"/>
        <v>175176</v>
      </c>
      <c r="H2670" s="13" t="s">
        <v>9333</v>
      </c>
    </row>
    <row r="2671" spans="1:8" x14ac:dyDescent="0.25">
      <c r="A2671" s="113">
        <v>44970</v>
      </c>
      <c r="B2671" s="21" t="s">
        <v>8657</v>
      </c>
      <c r="C2671" s="13" t="s">
        <v>5187</v>
      </c>
      <c r="D2671" s="766" t="s">
        <v>9332</v>
      </c>
      <c r="E2671" s="22">
        <v>257240</v>
      </c>
      <c r="F2671" s="19"/>
      <c r="G2671" s="14">
        <f t="shared" si="48"/>
        <v>257240</v>
      </c>
      <c r="H2671" s="13" t="s">
        <v>9334</v>
      </c>
    </row>
    <row r="2672" spans="1:8" x14ac:dyDescent="0.25">
      <c r="A2672" s="113">
        <v>44970</v>
      </c>
      <c r="B2672" s="21" t="s">
        <v>8876</v>
      </c>
      <c r="C2672" s="13" t="s">
        <v>5187</v>
      </c>
      <c r="D2672" s="766" t="s">
        <v>9349</v>
      </c>
      <c r="E2672" s="22">
        <v>6480</v>
      </c>
      <c r="F2672" s="19"/>
      <c r="G2672" s="14">
        <f t="shared" si="48"/>
        <v>6480</v>
      </c>
      <c r="H2672" s="13"/>
    </row>
    <row r="2673" spans="1:8" x14ac:dyDescent="0.25">
      <c r="A2673" s="113">
        <v>44970</v>
      </c>
      <c r="B2673" s="21" t="s">
        <v>8876</v>
      </c>
      <c r="C2673" s="13" t="s">
        <v>180</v>
      </c>
      <c r="D2673" s="766" t="s">
        <v>9363</v>
      </c>
      <c r="E2673" s="22">
        <v>39160</v>
      </c>
      <c r="F2673" s="19"/>
      <c r="G2673" s="14">
        <f t="shared" si="48"/>
        <v>39160</v>
      </c>
      <c r="H2673" s="13" t="s">
        <v>9365</v>
      </c>
    </row>
    <row r="2674" spans="1:8" x14ac:dyDescent="0.25">
      <c r="A2674" s="113">
        <v>44970</v>
      </c>
      <c r="B2674" s="21" t="s">
        <v>8876</v>
      </c>
      <c r="C2674" s="13" t="s">
        <v>180</v>
      </c>
      <c r="D2674" s="766" t="s">
        <v>9364</v>
      </c>
      <c r="E2674" s="22">
        <v>125580</v>
      </c>
      <c r="F2674" s="19"/>
      <c r="G2674" s="14">
        <f t="shared" si="48"/>
        <v>125580</v>
      </c>
      <c r="H2674" s="13" t="s">
        <v>9366</v>
      </c>
    </row>
    <row r="2675" spans="1:8" x14ac:dyDescent="0.25">
      <c r="A2675" s="113">
        <v>44971</v>
      </c>
      <c r="B2675" s="21" t="s">
        <v>8657</v>
      </c>
      <c r="C2675" s="13" t="s">
        <v>8394</v>
      </c>
      <c r="D2675" s="766"/>
      <c r="E2675" s="22"/>
      <c r="F2675" s="19">
        <v>650000</v>
      </c>
      <c r="G2675" s="14">
        <f t="shared" si="48"/>
        <v>-650000</v>
      </c>
      <c r="H2675" s="13" t="s">
        <v>9007</v>
      </c>
    </row>
    <row r="2676" spans="1:8" x14ac:dyDescent="0.25">
      <c r="A2676" s="113">
        <v>44971</v>
      </c>
      <c r="B2676" s="21" t="s">
        <v>8339</v>
      </c>
      <c r="C2676" s="13" t="s">
        <v>7242</v>
      </c>
      <c r="D2676" s="766"/>
      <c r="E2676" s="22"/>
      <c r="F2676" s="19">
        <v>400000</v>
      </c>
      <c r="G2676" s="14">
        <f t="shared" si="48"/>
        <v>-400000</v>
      </c>
      <c r="H2676" s="13" t="s">
        <v>9007</v>
      </c>
    </row>
    <row r="2677" spans="1:8" x14ac:dyDescent="0.25">
      <c r="A2677" s="113">
        <v>44971</v>
      </c>
      <c r="B2677" s="21" t="s">
        <v>8339</v>
      </c>
      <c r="C2677" s="13" t="s">
        <v>7242</v>
      </c>
      <c r="D2677" s="766"/>
      <c r="E2677" s="22"/>
      <c r="F2677" s="19">
        <v>1662</v>
      </c>
      <c r="G2677" s="14">
        <f t="shared" si="48"/>
        <v>-1662</v>
      </c>
      <c r="H2677" s="13" t="s">
        <v>9335</v>
      </c>
    </row>
    <row r="2678" spans="1:8" x14ac:dyDescent="0.25">
      <c r="A2678" s="113">
        <v>44971</v>
      </c>
      <c r="B2678" s="21" t="s">
        <v>8876</v>
      </c>
      <c r="C2678" s="13" t="s">
        <v>2196</v>
      </c>
      <c r="D2678" s="766"/>
      <c r="E2678" s="22"/>
      <c r="F2678" s="19">
        <v>100000</v>
      </c>
      <c r="G2678" s="14">
        <f t="shared" si="48"/>
        <v>-100000</v>
      </c>
      <c r="H2678" s="13" t="s">
        <v>4593</v>
      </c>
    </row>
    <row r="2679" spans="1:8" x14ac:dyDescent="0.25">
      <c r="A2679" s="113">
        <v>44971</v>
      </c>
      <c r="B2679" s="21" t="s">
        <v>8657</v>
      </c>
      <c r="C2679" s="13" t="s">
        <v>5681</v>
      </c>
      <c r="D2679" s="766"/>
      <c r="E2679" s="22"/>
      <c r="F2679" s="19">
        <v>250000</v>
      </c>
      <c r="G2679" s="14">
        <f t="shared" si="48"/>
        <v>-250000</v>
      </c>
      <c r="H2679" s="13" t="s">
        <v>9338</v>
      </c>
    </row>
    <row r="2680" spans="1:8" x14ac:dyDescent="0.25">
      <c r="A2680" s="113">
        <v>44971</v>
      </c>
      <c r="B2680" s="21" t="s">
        <v>8657</v>
      </c>
      <c r="C2680" s="13" t="s">
        <v>5681</v>
      </c>
      <c r="D2680" s="766"/>
      <c r="E2680" s="22"/>
      <c r="F2680" s="19">
        <v>60000</v>
      </c>
      <c r="G2680" s="14">
        <f t="shared" si="48"/>
        <v>-60000</v>
      </c>
      <c r="H2680" s="13" t="s">
        <v>9338</v>
      </c>
    </row>
    <row r="2681" spans="1:8" x14ac:dyDescent="0.25">
      <c r="A2681" s="113">
        <v>44971</v>
      </c>
      <c r="B2681" s="21" t="s">
        <v>8339</v>
      </c>
      <c r="C2681" s="13" t="s">
        <v>7467</v>
      </c>
      <c r="D2681" s="766"/>
      <c r="E2681" s="22"/>
      <c r="F2681" s="19">
        <v>600000</v>
      </c>
      <c r="G2681" s="14">
        <f t="shared" si="48"/>
        <v>-600000</v>
      </c>
      <c r="H2681" s="13" t="s">
        <v>9338</v>
      </c>
    </row>
    <row r="2682" spans="1:8" x14ac:dyDescent="0.25">
      <c r="A2682" s="113">
        <v>44972</v>
      </c>
      <c r="B2682" s="21" t="s">
        <v>8876</v>
      </c>
      <c r="C2682" s="13" t="s">
        <v>166</v>
      </c>
      <c r="D2682" s="766" t="s">
        <v>9369</v>
      </c>
      <c r="E2682" s="22">
        <v>26000</v>
      </c>
      <c r="F2682" s="19"/>
      <c r="G2682" s="14">
        <f t="shared" si="48"/>
        <v>26000</v>
      </c>
      <c r="H2682" s="13" t="s">
        <v>9370</v>
      </c>
    </row>
    <row r="2683" spans="1:8" x14ac:dyDescent="0.25">
      <c r="A2683" s="113">
        <v>44973</v>
      </c>
      <c r="B2683" s="21" t="s">
        <v>8339</v>
      </c>
      <c r="C2683" s="13" t="s">
        <v>7467</v>
      </c>
      <c r="D2683" s="766"/>
      <c r="E2683" s="22"/>
      <c r="F2683" s="19">
        <v>400000</v>
      </c>
      <c r="G2683" s="14">
        <f t="shared" si="48"/>
        <v>-400000</v>
      </c>
      <c r="H2683" s="13" t="s">
        <v>9348</v>
      </c>
    </row>
    <row r="2684" spans="1:8" x14ac:dyDescent="0.25">
      <c r="A2684" s="113">
        <v>44973</v>
      </c>
      <c r="B2684" s="21" t="s">
        <v>7921</v>
      </c>
      <c r="C2684" s="13" t="s">
        <v>5187</v>
      </c>
      <c r="D2684" s="766"/>
      <c r="E2684" s="22"/>
      <c r="F2684" s="19">
        <v>37944</v>
      </c>
      <c r="G2684" s="14">
        <f t="shared" si="48"/>
        <v>-37944</v>
      </c>
      <c r="H2684" s="1192" t="s">
        <v>9351</v>
      </c>
    </row>
    <row r="2685" spans="1:8" x14ac:dyDescent="0.25">
      <c r="A2685" s="113">
        <v>44973</v>
      </c>
      <c r="B2685" s="21" t="s">
        <v>8077</v>
      </c>
      <c r="C2685" s="13" t="s">
        <v>5187</v>
      </c>
      <c r="D2685" s="766"/>
      <c r="E2685" s="22"/>
      <c r="F2685" s="19">
        <v>63132</v>
      </c>
      <c r="G2685" s="14">
        <f t="shared" si="48"/>
        <v>-63132</v>
      </c>
      <c r="H2685" s="1193"/>
    </row>
    <row r="2686" spans="1:8" x14ac:dyDescent="0.25">
      <c r="A2686" s="113">
        <v>44973</v>
      </c>
      <c r="B2686" s="21" t="s">
        <v>8339</v>
      </c>
      <c r="C2686" s="13" t="s">
        <v>5187</v>
      </c>
      <c r="D2686" s="766"/>
      <c r="E2686" s="22"/>
      <c r="F2686" s="19">
        <v>98924</v>
      </c>
      <c r="G2686" s="14">
        <f t="shared" si="48"/>
        <v>-98924</v>
      </c>
      <c r="H2686" s="1194"/>
    </row>
    <row r="2687" spans="1:8" x14ac:dyDescent="0.25">
      <c r="A2687" s="113">
        <v>44978</v>
      </c>
      <c r="B2687" s="21" t="s">
        <v>8043</v>
      </c>
      <c r="C2687" s="13" t="s">
        <v>5187</v>
      </c>
      <c r="D2687" s="766"/>
      <c r="E2687" s="22"/>
      <c r="F2687" s="19">
        <v>50000</v>
      </c>
      <c r="G2687" s="14">
        <f t="shared" si="48"/>
        <v>-50000</v>
      </c>
      <c r="H2687" s="13" t="s">
        <v>9374</v>
      </c>
    </row>
    <row r="2688" spans="1:8" x14ac:dyDescent="0.25">
      <c r="A2688" s="113">
        <v>44984</v>
      </c>
      <c r="B2688" s="21" t="s">
        <v>8657</v>
      </c>
      <c r="C2688" s="13" t="s">
        <v>166</v>
      </c>
      <c r="D2688" s="766" t="s">
        <v>9437</v>
      </c>
      <c r="E2688" s="22">
        <v>47400</v>
      </c>
      <c r="F2688" s="19"/>
      <c r="G2688" s="14">
        <f t="shared" si="48"/>
        <v>47400</v>
      </c>
      <c r="H2688" s="13" t="s">
        <v>9438</v>
      </c>
    </row>
    <row r="2689" spans="1:8" x14ac:dyDescent="0.25">
      <c r="A2689" s="113">
        <v>44985</v>
      </c>
      <c r="B2689" s="21" t="s">
        <v>8657</v>
      </c>
      <c r="C2689" s="13" t="s">
        <v>166</v>
      </c>
      <c r="D2689" s="766" t="s">
        <v>9439</v>
      </c>
      <c r="E2689" s="22">
        <v>192500</v>
      </c>
      <c r="F2689" s="19"/>
      <c r="G2689" s="14">
        <f t="shared" si="48"/>
        <v>192500</v>
      </c>
      <c r="H2689" s="13"/>
    </row>
    <row r="2690" spans="1:8" x14ac:dyDescent="0.25">
      <c r="A2690" s="113">
        <v>44987</v>
      </c>
      <c r="B2690" s="21" t="s">
        <v>8559</v>
      </c>
      <c r="C2690" s="13" t="s">
        <v>7242</v>
      </c>
      <c r="D2690" s="766" t="s">
        <v>9285</v>
      </c>
      <c r="E2690" s="22">
        <v>49840</v>
      </c>
      <c r="F2690" s="19"/>
      <c r="G2690" s="14">
        <f t="shared" si="48"/>
        <v>49840</v>
      </c>
      <c r="H2690" s="13"/>
    </row>
    <row r="2691" spans="1:8" x14ac:dyDescent="0.25">
      <c r="A2691" s="113">
        <v>44987</v>
      </c>
      <c r="B2691" s="21" t="s">
        <v>8657</v>
      </c>
      <c r="C2691" s="13" t="s">
        <v>7242</v>
      </c>
      <c r="D2691" s="766" t="s">
        <v>9284</v>
      </c>
      <c r="E2691" s="22">
        <v>896955</v>
      </c>
      <c r="F2691" s="19"/>
      <c r="G2691" s="14">
        <f t="shared" si="48"/>
        <v>896955</v>
      </c>
      <c r="H2691" s="13"/>
    </row>
    <row r="2692" spans="1:8" x14ac:dyDescent="0.25">
      <c r="A2692" s="113">
        <v>44987</v>
      </c>
      <c r="B2692" s="21" t="s">
        <v>8868</v>
      </c>
      <c r="C2692" s="13" t="s">
        <v>7242</v>
      </c>
      <c r="D2692" s="766" t="s">
        <v>8312</v>
      </c>
      <c r="E2692" s="22">
        <v>61163</v>
      </c>
      <c r="F2692" s="19"/>
      <c r="G2692" s="14">
        <f t="shared" si="48"/>
        <v>61163</v>
      </c>
      <c r="H2692" s="13"/>
    </row>
    <row r="2693" spans="1:8" x14ac:dyDescent="0.25">
      <c r="A2693" s="113">
        <v>44987</v>
      </c>
      <c r="B2693" s="21" t="s">
        <v>8043</v>
      </c>
      <c r="C2693" s="13" t="s">
        <v>7242</v>
      </c>
      <c r="D2693" s="766" t="s">
        <v>9283</v>
      </c>
      <c r="E2693" s="22">
        <v>34650</v>
      </c>
      <c r="F2693" s="19"/>
      <c r="G2693" s="14">
        <f t="shared" si="48"/>
        <v>34650</v>
      </c>
      <c r="H2693" s="13"/>
    </row>
    <row r="2694" spans="1:8" x14ac:dyDescent="0.25">
      <c r="A2694" s="113">
        <v>44987</v>
      </c>
      <c r="B2694" s="21" t="s">
        <v>8657</v>
      </c>
      <c r="C2694" s="13" t="s">
        <v>7242</v>
      </c>
      <c r="D2694" s="766" t="s">
        <v>9282</v>
      </c>
      <c r="E2694" s="22">
        <v>44740</v>
      </c>
      <c r="F2694" s="19"/>
      <c r="G2694" s="14">
        <f t="shared" si="48"/>
        <v>44740</v>
      </c>
      <c r="H2694" s="13"/>
    </row>
    <row r="2695" spans="1:8" x14ac:dyDescent="0.25">
      <c r="A2695" s="113">
        <v>44987</v>
      </c>
      <c r="B2695" s="21" t="s">
        <v>8559</v>
      </c>
      <c r="C2695" s="13" t="s">
        <v>7242</v>
      </c>
      <c r="D2695" s="766" t="s">
        <v>9280</v>
      </c>
      <c r="E2695" s="22">
        <v>16940</v>
      </c>
      <c r="F2695" s="19"/>
      <c r="G2695" s="14">
        <f t="shared" si="48"/>
        <v>16940</v>
      </c>
      <c r="H2695" s="13"/>
    </row>
    <row r="2696" spans="1:8" x14ac:dyDescent="0.25">
      <c r="A2696" s="113">
        <v>44987</v>
      </c>
      <c r="B2696" s="21" t="s">
        <v>8876</v>
      </c>
      <c r="C2696" s="13" t="s">
        <v>7242</v>
      </c>
      <c r="D2696" s="766" t="s">
        <v>9281</v>
      </c>
      <c r="E2696" s="22">
        <v>610464</v>
      </c>
      <c r="F2696" s="19"/>
      <c r="G2696" s="14">
        <f t="shared" si="48"/>
        <v>610464</v>
      </c>
      <c r="H2696" s="13"/>
    </row>
    <row r="2697" spans="1:8" x14ac:dyDescent="0.25">
      <c r="A2697" s="113">
        <v>44989</v>
      </c>
      <c r="B2697" s="21" t="s">
        <v>8657</v>
      </c>
      <c r="C2697" s="13" t="s">
        <v>8394</v>
      </c>
      <c r="D2697" s="766" t="s">
        <v>9246</v>
      </c>
      <c r="E2697" s="22">
        <v>17197</v>
      </c>
      <c r="F2697" s="19"/>
      <c r="G2697" s="14">
        <f t="shared" si="48"/>
        <v>17197</v>
      </c>
      <c r="H2697" s="13"/>
    </row>
    <row r="2698" spans="1:8" x14ac:dyDescent="0.25">
      <c r="A2698" s="113">
        <v>44995</v>
      </c>
      <c r="B2698" s="21" t="s">
        <v>8657</v>
      </c>
      <c r="C2698" s="13" t="s">
        <v>8394</v>
      </c>
      <c r="D2698" s="766" t="s">
        <v>9245</v>
      </c>
      <c r="E2698" s="22">
        <v>90521</v>
      </c>
      <c r="F2698" s="19"/>
      <c r="G2698" s="14">
        <f t="shared" si="48"/>
        <v>90521</v>
      </c>
      <c r="H2698" s="13"/>
    </row>
    <row r="2699" spans="1:8" x14ac:dyDescent="0.25">
      <c r="A2699" s="113">
        <v>44995</v>
      </c>
      <c r="B2699" s="21" t="s">
        <v>8043</v>
      </c>
      <c r="C2699" s="13" t="s">
        <v>8456</v>
      </c>
      <c r="D2699" s="766" t="s">
        <v>8591</v>
      </c>
      <c r="E2699" s="22">
        <v>189000</v>
      </c>
      <c r="F2699" s="19"/>
      <c r="G2699" s="14">
        <f t="shared" ref="G2699" si="50">E2699-F2699</f>
        <v>189000</v>
      </c>
      <c r="H2699" s="54"/>
    </row>
    <row r="2700" spans="1:8" x14ac:dyDescent="0.25">
      <c r="A2700" s="113">
        <v>45000</v>
      </c>
      <c r="B2700" s="21" t="s">
        <v>8657</v>
      </c>
      <c r="C2700" s="13" t="s">
        <v>5681</v>
      </c>
      <c r="D2700" s="766" t="s">
        <v>9493</v>
      </c>
      <c r="E2700" s="22">
        <v>857600</v>
      </c>
      <c r="F2700" s="19"/>
      <c r="G2700" s="14">
        <f t="shared" ref="G2700" si="51">E2700-F2700</f>
        <v>857600</v>
      </c>
      <c r="H2700" s="54"/>
    </row>
    <row r="2701" spans="1:8" x14ac:dyDescent="0.25">
      <c r="A2701" s="113">
        <v>45001</v>
      </c>
      <c r="B2701" s="21" t="s">
        <v>8559</v>
      </c>
      <c r="C2701" s="13" t="s">
        <v>166</v>
      </c>
      <c r="D2701" s="766"/>
      <c r="E2701" s="22"/>
      <c r="F2701" s="19">
        <v>6915</v>
      </c>
      <c r="G2701" s="14">
        <f t="shared" si="48"/>
        <v>-6915</v>
      </c>
      <c r="H2701" s="1241" t="s">
        <v>9458</v>
      </c>
    </row>
    <row r="2702" spans="1:8" x14ac:dyDescent="0.25">
      <c r="A2702" s="113">
        <v>45001</v>
      </c>
      <c r="B2702" s="21" t="s">
        <v>8532</v>
      </c>
      <c r="C2702" s="13" t="s">
        <v>166</v>
      </c>
      <c r="D2702" s="766"/>
      <c r="E2702" s="22"/>
      <c r="F2702" s="19">
        <v>15069</v>
      </c>
      <c r="G2702" s="14">
        <f t="shared" si="48"/>
        <v>-15069</v>
      </c>
      <c r="H2702" s="1242"/>
    </row>
    <row r="2703" spans="1:8" x14ac:dyDescent="0.25">
      <c r="A2703" s="113">
        <v>45001</v>
      </c>
      <c r="B2703" s="21" t="s">
        <v>8657</v>
      </c>
      <c r="C2703" s="13" t="s">
        <v>166</v>
      </c>
      <c r="D2703" s="766"/>
      <c r="E2703" s="22"/>
      <c r="F2703" s="19">
        <v>848690</v>
      </c>
      <c r="G2703" s="14">
        <f t="shared" si="48"/>
        <v>-848690</v>
      </c>
      <c r="H2703" s="1242"/>
    </row>
    <row r="2704" spans="1:8" x14ac:dyDescent="0.25">
      <c r="A2704" s="113">
        <v>45001</v>
      </c>
      <c r="B2704" s="21" t="s">
        <v>8868</v>
      </c>
      <c r="C2704" s="13" t="s">
        <v>166</v>
      </c>
      <c r="D2704" s="766"/>
      <c r="E2704" s="22"/>
      <c r="F2704" s="19">
        <v>78000</v>
      </c>
      <c r="G2704" s="14">
        <f t="shared" si="48"/>
        <v>-78000</v>
      </c>
      <c r="H2704" s="1242"/>
    </row>
    <row r="2705" spans="1:8" x14ac:dyDescent="0.25">
      <c r="A2705" s="113">
        <v>45001</v>
      </c>
      <c r="B2705" s="21" t="s">
        <v>8876</v>
      </c>
      <c r="C2705" s="13" t="s">
        <v>166</v>
      </c>
      <c r="D2705" s="766"/>
      <c r="E2705" s="22"/>
      <c r="F2705" s="19">
        <v>115000</v>
      </c>
      <c r="G2705" s="14">
        <f t="shared" si="48"/>
        <v>-115000</v>
      </c>
      <c r="H2705" s="1243"/>
    </row>
    <row r="2706" spans="1:8" x14ac:dyDescent="0.25">
      <c r="A2706" s="113">
        <v>45001</v>
      </c>
      <c r="B2706" s="21" t="s">
        <v>1400</v>
      </c>
      <c r="C2706" s="13" t="s">
        <v>438</v>
      </c>
      <c r="D2706" s="766"/>
      <c r="E2706" s="22"/>
      <c r="F2706" s="19">
        <v>28596</v>
      </c>
      <c r="G2706" s="14">
        <f t="shared" si="48"/>
        <v>-28596</v>
      </c>
      <c r="H2706" s="13" t="s">
        <v>3918</v>
      </c>
    </row>
    <row r="2707" spans="1:8" x14ac:dyDescent="0.25">
      <c r="A2707" s="113">
        <v>45001</v>
      </c>
      <c r="B2707" s="21" t="s">
        <v>9409</v>
      </c>
      <c r="C2707" s="13" t="s">
        <v>169</v>
      </c>
      <c r="D2707" s="766" t="s">
        <v>9491</v>
      </c>
      <c r="E2707" s="22">
        <v>20500</v>
      </c>
      <c r="F2707" s="19"/>
      <c r="G2707" s="14">
        <f t="shared" ref="G2707" si="52">E2707-F2707</f>
        <v>20500</v>
      </c>
      <c r="H2707" s="54" t="s">
        <v>9492</v>
      </c>
    </row>
    <row r="2708" spans="1:8" x14ac:dyDescent="0.25">
      <c r="A2708" s="113">
        <v>45002</v>
      </c>
      <c r="B2708" s="21" t="s">
        <v>8876</v>
      </c>
      <c r="C2708" s="13" t="s">
        <v>180</v>
      </c>
      <c r="D2708" s="766"/>
      <c r="E2708" s="22"/>
      <c r="F2708" s="19">
        <v>411820</v>
      </c>
      <c r="G2708" s="14">
        <f t="shared" si="48"/>
        <v>-411820</v>
      </c>
      <c r="H2708" s="1216" t="s">
        <v>9479</v>
      </c>
    </row>
    <row r="2709" spans="1:8" x14ac:dyDescent="0.25">
      <c r="A2709" s="113">
        <v>45002</v>
      </c>
      <c r="B2709" s="21" t="s">
        <v>8868</v>
      </c>
      <c r="C2709" s="13" t="s">
        <v>180</v>
      </c>
      <c r="D2709" s="766"/>
      <c r="E2709" s="22"/>
      <c r="F2709" s="19">
        <v>164160</v>
      </c>
      <c r="G2709" s="14">
        <f t="shared" si="48"/>
        <v>-164160</v>
      </c>
      <c r="H2709" s="1217"/>
    </row>
    <row r="2710" spans="1:8" x14ac:dyDescent="0.25">
      <c r="A2710" s="113">
        <v>45002</v>
      </c>
      <c r="B2710" s="63" t="s">
        <v>9409</v>
      </c>
      <c r="C2710" s="13" t="s">
        <v>180</v>
      </c>
      <c r="D2710" s="766" t="s">
        <v>9489</v>
      </c>
      <c r="E2710" s="22">
        <v>670000</v>
      </c>
      <c r="F2710" s="19"/>
      <c r="G2710" s="14">
        <f t="shared" si="48"/>
        <v>670000</v>
      </c>
      <c r="H2710" s="13"/>
    </row>
    <row r="2711" spans="1:8" x14ac:dyDescent="0.25">
      <c r="A2711" s="113">
        <v>45002</v>
      </c>
      <c r="B2711" s="21" t="s">
        <v>8876</v>
      </c>
      <c r="C2711" s="13" t="s">
        <v>180</v>
      </c>
      <c r="D2711" s="766" t="s">
        <v>9490</v>
      </c>
      <c r="E2711" s="22">
        <v>117520</v>
      </c>
      <c r="F2711" s="19"/>
      <c r="G2711" s="14">
        <f t="shared" ref="G2711:G2752" si="53">E2711-F2711</f>
        <v>117520</v>
      </c>
      <c r="H2711" s="13"/>
    </row>
    <row r="2712" spans="1:8" x14ac:dyDescent="0.25">
      <c r="A2712" s="113">
        <v>45003</v>
      </c>
      <c r="B2712" s="21" t="s">
        <v>8657</v>
      </c>
      <c r="C2712" s="13" t="s">
        <v>8394</v>
      </c>
      <c r="D2712" s="766" t="s">
        <v>9285</v>
      </c>
      <c r="E2712" s="22">
        <v>20020</v>
      </c>
      <c r="F2712" s="19"/>
      <c r="G2712" s="14">
        <f t="shared" si="53"/>
        <v>20020</v>
      </c>
      <c r="H2712" s="54"/>
    </row>
    <row r="2713" spans="1:8" x14ac:dyDescent="0.25">
      <c r="A2713" s="113">
        <v>45005</v>
      </c>
      <c r="B2713" s="21" t="s">
        <v>8043</v>
      </c>
      <c r="C2713" s="13" t="s">
        <v>8394</v>
      </c>
      <c r="D2713" s="766"/>
      <c r="E2713" s="22"/>
      <c r="F2713" s="19">
        <v>128554</v>
      </c>
      <c r="G2713" s="14">
        <f t="shared" si="53"/>
        <v>-128554</v>
      </c>
      <c r="H2713" s="1216" t="s">
        <v>9007</v>
      </c>
    </row>
    <row r="2714" spans="1:8" x14ac:dyDescent="0.25">
      <c r="A2714" s="113">
        <v>45005</v>
      </c>
      <c r="B2714" s="21" t="s">
        <v>8657</v>
      </c>
      <c r="C2714" s="13" t="s">
        <v>8394</v>
      </c>
      <c r="D2714" s="766"/>
      <c r="E2714" s="22"/>
      <c r="F2714" s="19">
        <v>371446</v>
      </c>
      <c r="G2714" s="14">
        <f t="shared" si="53"/>
        <v>-371446</v>
      </c>
      <c r="H2714" s="1217"/>
    </row>
    <row r="2715" spans="1:8" x14ac:dyDescent="0.25">
      <c r="A2715" s="113">
        <v>45005</v>
      </c>
      <c r="B2715" s="21" t="s">
        <v>8876</v>
      </c>
      <c r="C2715" s="13" t="s">
        <v>169</v>
      </c>
      <c r="D2715" s="766" t="s">
        <v>9649</v>
      </c>
      <c r="E2715" s="22">
        <v>9690</v>
      </c>
      <c r="F2715" s="19"/>
      <c r="G2715" s="14">
        <f t="shared" si="53"/>
        <v>9690</v>
      </c>
      <c r="H2715" s="951"/>
    </row>
    <row r="2716" spans="1:8" x14ac:dyDescent="0.25">
      <c r="A2716" s="113">
        <v>45007</v>
      </c>
      <c r="B2716" s="21" t="s">
        <v>8043</v>
      </c>
      <c r="C2716" s="13" t="s">
        <v>8456</v>
      </c>
      <c r="D2716" s="766"/>
      <c r="E2716" s="22"/>
      <c r="F2716" s="19">
        <v>100000</v>
      </c>
      <c r="G2716" s="14">
        <f t="shared" si="53"/>
        <v>-100000</v>
      </c>
      <c r="H2716" s="13" t="s">
        <v>9526</v>
      </c>
    </row>
    <row r="2717" spans="1:8" x14ac:dyDescent="0.25">
      <c r="A2717" s="113">
        <v>45007</v>
      </c>
      <c r="B2717" s="63" t="s">
        <v>9409</v>
      </c>
      <c r="C2717" s="13" t="s">
        <v>180</v>
      </c>
      <c r="D2717" s="766" t="s">
        <v>9593</v>
      </c>
      <c r="E2717" s="22">
        <v>193000</v>
      </c>
      <c r="F2717" s="19"/>
      <c r="G2717" s="14">
        <f t="shared" si="53"/>
        <v>193000</v>
      </c>
      <c r="H2717" s="13" t="s">
        <v>9594</v>
      </c>
    </row>
    <row r="2718" spans="1:8" x14ac:dyDescent="0.25">
      <c r="A2718" s="113">
        <v>45007</v>
      </c>
      <c r="B2718" s="21" t="s">
        <v>8657</v>
      </c>
      <c r="C2718" s="13" t="s">
        <v>8394</v>
      </c>
      <c r="D2718" s="766" t="s">
        <v>9284</v>
      </c>
      <c r="E2718" s="22">
        <v>331988</v>
      </c>
      <c r="F2718" s="19"/>
      <c r="G2718" s="14">
        <f t="shared" si="53"/>
        <v>331988</v>
      </c>
      <c r="H2718" s="13"/>
    </row>
    <row r="2719" spans="1:8" x14ac:dyDescent="0.25">
      <c r="A2719" s="113">
        <v>45007</v>
      </c>
      <c r="B2719" s="21" t="s">
        <v>8657</v>
      </c>
      <c r="C2719" s="13" t="s">
        <v>8394</v>
      </c>
      <c r="D2719" s="766" t="s">
        <v>8312</v>
      </c>
      <c r="E2719" s="22">
        <v>59781</v>
      </c>
      <c r="F2719" s="19"/>
      <c r="G2719" s="14">
        <f t="shared" si="53"/>
        <v>59781</v>
      </c>
      <c r="H2719" s="13"/>
    </row>
    <row r="2720" spans="1:8" x14ac:dyDescent="0.25">
      <c r="A2720" s="113">
        <v>45008</v>
      </c>
      <c r="B2720" s="21" t="s">
        <v>8876</v>
      </c>
      <c r="C2720" s="13" t="s">
        <v>169</v>
      </c>
      <c r="D2720" s="766" t="s">
        <v>9597</v>
      </c>
      <c r="E2720" s="22">
        <v>4248</v>
      </c>
      <c r="F2720" s="19"/>
      <c r="G2720" s="14">
        <f t="shared" si="53"/>
        <v>4248</v>
      </c>
      <c r="H2720" s="13"/>
    </row>
    <row r="2721" spans="1:8" x14ac:dyDescent="0.25">
      <c r="A2721" s="113">
        <v>45008</v>
      </c>
      <c r="B2721" s="21" t="s">
        <v>9409</v>
      </c>
      <c r="C2721" s="13" t="s">
        <v>169</v>
      </c>
      <c r="D2721" s="766" t="s">
        <v>9650</v>
      </c>
      <c r="E2721" s="22">
        <v>20500</v>
      </c>
      <c r="F2721" s="19"/>
      <c r="G2721" s="14">
        <f t="shared" si="53"/>
        <v>20500</v>
      </c>
      <c r="H2721" s="13" t="s">
        <v>9651</v>
      </c>
    </row>
    <row r="2722" spans="1:8" x14ac:dyDescent="0.25">
      <c r="A2722" s="113">
        <v>45008</v>
      </c>
      <c r="B2722" s="21" t="s">
        <v>9409</v>
      </c>
      <c r="C2722" s="13" t="s">
        <v>169</v>
      </c>
      <c r="D2722" s="766"/>
      <c r="E2722" s="22">
        <v>6936</v>
      </c>
      <c r="F2722" s="19"/>
      <c r="G2722" s="14">
        <f t="shared" si="53"/>
        <v>6936</v>
      </c>
      <c r="H2722" s="13" t="s">
        <v>9847</v>
      </c>
    </row>
    <row r="2723" spans="1:8" x14ac:dyDescent="0.25">
      <c r="A2723" s="113">
        <v>45010</v>
      </c>
      <c r="B2723" s="21" t="s">
        <v>9507</v>
      </c>
      <c r="C2723" s="13" t="s">
        <v>164</v>
      </c>
      <c r="D2723" s="766" t="s">
        <v>9810</v>
      </c>
      <c r="E2723" s="22">
        <v>3303</v>
      </c>
      <c r="F2723" s="19"/>
      <c r="G2723" s="14">
        <f t="shared" si="53"/>
        <v>3303</v>
      </c>
      <c r="H2723" s="13" t="s">
        <v>9809</v>
      </c>
    </row>
    <row r="2724" spans="1:8" x14ac:dyDescent="0.25">
      <c r="A2724" s="113">
        <v>45010</v>
      </c>
      <c r="B2724" s="21" t="s">
        <v>8868</v>
      </c>
      <c r="C2724" s="13" t="s">
        <v>164</v>
      </c>
      <c r="D2724" s="766" t="s">
        <v>9811</v>
      </c>
      <c r="E2724" s="22">
        <v>2773</v>
      </c>
      <c r="F2724" s="19"/>
      <c r="G2724" s="14">
        <f t="shared" si="53"/>
        <v>2773</v>
      </c>
      <c r="H2724" s="13" t="s">
        <v>9809</v>
      </c>
    </row>
    <row r="2725" spans="1:8" x14ac:dyDescent="0.25">
      <c r="A2725" s="113">
        <v>45013</v>
      </c>
      <c r="B2725" s="21" t="s">
        <v>8876</v>
      </c>
      <c r="C2725" s="13" t="s">
        <v>7467</v>
      </c>
      <c r="D2725" s="766" t="s">
        <v>9595</v>
      </c>
      <c r="E2725" s="22">
        <v>11200</v>
      </c>
      <c r="F2725" s="19"/>
      <c r="G2725" s="14">
        <f t="shared" si="53"/>
        <v>11200</v>
      </c>
      <c r="H2725" s="13" t="s">
        <v>9596</v>
      </c>
    </row>
    <row r="2726" spans="1:8" x14ac:dyDescent="0.25">
      <c r="A2726" s="113">
        <v>45019</v>
      </c>
      <c r="B2726" s="21" t="s">
        <v>9507</v>
      </c>
      <c r="C2726" s="13" t="s">
        <v>8394</v>
      </c>
      <c r="D2726" s="1218" t="s">
        <v>9283</v>
      </c>
      <c r="E2726" s="22">
        <v>28496</v>
      </c>
      <c r="F2726" s="19"/>
      <c r="G2726" s="14">
        <f t="shared" si="53"/>
        <v>28496</v>
      </c>
      <c r="H2726" s="1214" t="s">
        <v>9326</v>
      </c>
    </row>
    <row r="2727" spans="1:8" x14ac:dyDescent="0.25">
      <c r="A2727" s="113">
        <v>45019</v>
      </c>
      <c r="B2727" s="21" t="s">
        <v>3946</v>
      </c>
      <c r="C2727" s="13" t="s">
        <v>8394</v>
      </c>
      <c r="D2727" s="1219"/>
      <c r="E2727" s="22">
        <v>8745</v>
      </c>
      <c r="F2727" s="19"/>
      <c r="G2727" s="14">
        <f t="shared" si="53"/>
        <v>8745</v>
      </c>
      <c r="H2727" s="1215"/>
    </row>
    <row r="2728" spans="1:8" ht="18.75" x14ac:dyDescent="0.25">
      <c r="A2728" s="113">
        <v>45020</v>
      </c>
      <c r="B2728" s="21" t="s">
        <v>8657</v>
      </c>
      <c r="C2728" s="13" t="s">
        <v>166</v>
      </c>
      <c r="D2728" s="777" t="s">
        <v>9647</v>
      </c>
      <c r="E2728" s="22">
        <v>115000</v>
      </c>
      <c r="F2728" s="19"/>
      <c r="G2728" s="14">
        <f t="shared" si="53"/>
        <v>115000</v>
      </c>
      <c r="H2728" s="952" t="s">
        <v>9648</v>
      </c>
    </row>
    <row r="2729" spans="1:8" x14ac:dyDescent="0.25">
      <c r="A2729" s="113">
        <v>45022</v>
      </c>
      <c r="B2729" s="21" t="s">
        <v>8876</v>
      </c>
      <c r="C2729" s="13" t="s">
        <v>8394</v>
      </c>
      <c r="D2729" s="777" t="s">
        <v>9282</v>
      </c>
      <c r="E2729" s="22">
        <v>17015</v>
      </c>
      <c r="F2729" s="19"/>
      <c r="G2729" s="14">
        <f t="shared" si="53"/>
        <v>17015</v>
      </c>
      <c r="H2729" s="54"/>
    </row>
    <row r="2730" spans="1:8" x14ac:dyDescent="0.25">
      <c r="A2730" s="113">
        <v>45022</v>
      </c>
      <c r="B2730" s="21" t="s">
        <v>8657</v>
      </c>
      <c r="C2730" s="13" t="s">
        <v>8394</v>
      </c>
      <c r="D2730" s="777" t="s">
        <v>9280</v>
      </c>
      <c r="E2730" s="22">
        <v>119264</v>
      </c>
      <c r="F2730" s="19"/>
      <c r="G2730" s="14">
        <f t="shared" si="53"/>
        <v>119264</v>
      </c>
      <c r="H2730" s="54"/>
    </row>
    <row r="2731" spans="1:8" x14ac:dyDescent="0.25">
      <c r="A2731" s="113">
        <v>45024</v>
      </c>
      <c r="B2731" s="21" t="s">
        <v>8876</v>
      </c>
      <c r="C2731" s="13" t="s">
        <v>5187</v>
      </c>
      <c r="D2731" s="1212" t="s">
        <v>9602</v>
      </c>
      <c r="E2731" s="22">
        <v>20000</v>
      </c>
      <c r="F2731" s="19"/>
      <c r="G2731" s="14">
        <f t="shared" si="53"/>
        <v>20000</v>
      </c>
      <c r="H2731" s="1214" t="s">
        <v>9326</v>
      </c>
    </row>
    <row r="2732" spans="1:8" x14ac:dyDescent="0.25">
      <c r="A2732" s="113">
        <v>45024</v>
      </c>
      <c r="B2732" s="21" t="s">
        <v>8043</v>
      </c>
      <c r="C2732" s="13" t="s">
        <v>5187</v>
      </c>
      <c r="D2732" s="1213"/>
      <c r="E2732" s="22">
        <v>15000</v>
      </c>
      <c r="F2732" s="19"/>
      <c r="G2732" s="14">
        <f t="shared" si="53"/>
        <v>15000</v>
      </c>
      <c r="H2732" s="1215"/>
    </row>
    <row r="2733" spans="1:8" x14ac:dyDescent="0.25">
      <c r="A2733" s="113">
        <v>45024</v>
      </c>
      <c r="B2733" s="21" t="s">
        <v>8876</v>
      </c>
      <c r="C2733" s="13" t="s">
        <v>5187</v>
      </c>
      <c r="D2733" s="766" t="s">
        <v>9603</v>
      </c>
      <c r="E2733" s="22">
        <v>5000</v>
      </c>
      <c r="F2733" s="19"/>
      <c r="G2733" s="14">
        <f t="shared" si="53"/>
        <v>5000</v>
      </c>
      <c r="H2733" s="13"/>
    </row>
    <row r="2734" spans="1:8" x14ac:dyDescent="0.25">
      <c r="A2734" s="113">
        <v>45024</v>
      </c>
      <c r="B2734" s="21" t="s">
        <v>8043</v>
      </c>
      <c r="C2734" s="13" t="s">
        <v>169</v>
      </c>
      <c r="D2734" s="766" t="s">
        <v>9652</v>
      </c>
      <c r="E2734" s="22">
        <v>67000</v>
      </c>
      <c r="F2734" s="19"/>
      <c r="G2734" s="14">
        <f t="shared" si="53"/>
        <v>67000</v>
      </c>
      <c r="H2734" s="54" t="s">
        <v>9653</v>
      </c>
    </row>
    <row r="2735" spans="1:8" x14ac:dyDescent="0.25">
      <c r="A2735" s="113">
        <v>45026</v>
      </c>
      <c r="B2735" s="21" t="s">
        <v>8043</v>
      </c>
      <c r="C2735" s="13" t="s">
        <v>5187</v>
      </c>
      <c r="D2735" s="766"/>
      <c r="E2735" s="22"/>
      <c r="F2735" s="19">
        <f>98270-3720</f>
        <v>94550</v>
      </c>
      <c r="G2735" s="14">
        <f t="shared" si="53"/>
        <v>-94550</v>
      </c>
      <c r="H2735" s="1244" t="s">
        <v>12277</v>
      </c>
    </row>
    <row r="2736" spans="1:8" x14ac:dyDescent="0.25">
      <c r="A2736" s="113">
        <v>45026</v>
      </c>
      <c r="B2736" s="21" t="s">
        <v>8339</v>
      </c>
      <c r="C2736" s="13" t="s">
        <v>5187</v>
      </c>
      <c r="D2736" s="766"/>
      <c r="E2736" s="22"/>
      <c r="F2736" s="19">
        <v>20624</v>
      </c>
      <c r="G2736" s="14">
        <f t="shared" si="53"/>
        <v>-20624</v>
      </c>
      <c r="H2736" s="1245"/>
    </row>
    <row r="2737" spans="1:8" x14ac:dyDescent="0.25">
      <c r="A2737" s="113">
        <v>45026</v>
      </c>
      <c r="B2737" s="21" t="s">
        <v>8876</v>
      </c>
      <c r="C2737" s="13" t="s">
        <v>5187</v>
      </c>
      <c r="D2737" s="766"/>
      <c r="E2737" s="22"/>
      <c r="F2737" s="19">
        <v>34826</v>
      </c>
      <c r="G2737" s="14">
        <f t="shared" si="53"/>
        <v>-34826</v>
      </c>
      <c r="H2737" s="1246"/>
    </row>
    <row r="2738" spans="1:8" ht="21" x14ac:dyDescent="0.25">
      <c r="A2738" s="113">
        <v>45027</v>
      </c>
      <c r="B2738" s="21" t="s">
        <v>9356</v>
      </c>
      <c r="C2738" s="13" t="s">
        <v>8394</v>
      </c>
      <c r="D2738" s="766" t="s">
        <v>9281</v>
      </c>
      <c r="E2738" s="22">
        <v>93883</v>
      </c>
      <c r="F2738" s="19"/>
      <c r="G2738" s="14">
        <f t="shared" si="53"/>
        <v>93883</v>
      </c>
      <c r="H2738" s="308"/>
    </row>
    <row r="2739" spans="1:8" x14ac:dyDescent="0.25">
      <c r="A2739" s="113">
        <v>45027</v>
      </c>
      <c r="B2739" s="21" t="s">
        <v>8657</v>
      </c>
      <c r="C2739" s="13" t="s">
        <v>8394</v>
      </c>
      <c r="D2739" s="766"/>
      <c r="E2739" s="22"/>
      <c r="F2739" s="19">
        <v>300000</v>
      </c>
      <c r="G2739" s="14">
        <f t="shared" si="53"/>
        <v>-300000</v>
      </c>
      <c r="H2739" s="13" t="s">
        <v>9007</v>
      </c>
    </row>
    <row r="2740" spans="1:8" ht="16.5" thickBot="1" x14ac:dyDescent="0.3">
      <c r="A2740" s="113">
        <v>45027</v>
      </c>
      <c r="B2740" s="21" t="s">
        <v>8339</v>
      </c>
      <c r="C2740" s="13" t="s">
        <v>7467</v>
      </c>
      <c r="D2740" s="766"/>
      <c r="E2740" s="22"/>
      <c r="F2740" s="19">
        <v>800000</v>
      </c>
      <c r="G2740" s="14">
        <f t="shared" si="53"/>
        <v>-800000</v>
      </c>
      <c r="H2740" s="13" t="s">
        <v>9643</v>
      </c>
    </row>
    <row r="2741" spans="1:8" ht="15.75" customHeight="1" x14ac:dyDescent="0.25">
      <c r="A2741" s="113">
        <v>45029</v>
      </c>
      <c r="B2741" s="21" t="s">
        <v>8657</v>
      </c>
      <c r="C2741" s="13" t="s">
        <v>5681</v>
      </c>
      <c r="D2741" s="766"/>
      <c r="E2741" s="783"/>
      <c r="F2741" s="785">
        <v>208180</v>
      </c>
      <c r="G2741" s="784">
        <f t="shared" si="53"/>
        <v>-208180</v>
      </c>
      <c r="H2741" s="1235" t="s">
        <v>9656</v>
      </c>
    </row>
    <row r="2742" spans="1:8" ht="15.75" customHeight="1" x14ac:dyDescent="0.25">
      <c r="A2742" s="113">
        <v>45029</v>
      </c>
      <c r="B2742" s="21" t="s">
        <v>7657</v>
      </c>
      <c r="C2742" s="13" t="s">
        <v>5681</v>
      </c>
      <c r="D2742" s="766"/>
      <c r="E2742" s="783"/>
      <c r="F2742" s="142">
        <v>40900</v>
      </c>
      <c r="G2742" s="784">
        <f t="shared" si="53"/>
        <v>-40900</v>
      </c>
      <c r="H2742" s="1236"/>
    </row>
    <row r="2743" spans="1:8" ht="15.75" customHeight="1" x14ac:dyDescent="0.25">
      <c r="A2743" s="113">
        <v>45029</v>
      </c>
      <c r="B2743" s="21" t="s">
        <v>7555</v>
      </c>
      <c r="C2743" s="13" t="s">
        <v>5681</v>
      </c>
      <c r="D2743" s="766"/>
      <c r="E2743" s="783"/>
      <c r="F2743" s="142">
        <v>5400</v>
      </c>
      <c r="G2743" s="784">
        <f t="shared" si="53"/>
        <v>-5400</v>
      </c>
      <c r="H2743" s="1236"/>
    </row>
    <row r="2744" spans="1:8" ht="16.5" thickBot="1" x14ac:dyDescent="0.3">
      <c r="A2744" s="113">
        <v>45029</v>
      </c>
      <c r="B2744" s="21" t="s">
        <v>8657</v>
      </c>
      <c r="C2744" s="13" t="s">
        <v>5681</v>
      </c>
      <c r="D2744" s="766"/>
      <c r="E2744" s="783"/>
      <c r="F2744" s="786">
        <v>40520</v>
      </c>
      <c r="G2744" s="784">
        <f t="shared" si="53"/>
        <v>-40520</v>
      </c>
      <c r="H2744" s="1237"/>
    </row>
    <row r="2745" spans="1:8" ht="16.5" thickBot="1" x14ac:dyDescent="0.3">
      <c r="A2745" s="113">
        <v>45031</v>
      </c>
      <c r="B2745" s="21" t="s">
        <v>10911</v>
      </c>
      <c r="C2745" s="13" t="s">
        <v>164</v>
      </c>
      <c r="D2745" s="766" t="s">
        <v>9812</v>
      </c>
      <c r="E2745" s="783">
        <v>64935</v>
      </c>
      <c r="F2745" s="19"/>
      <c r="G2745" s="784">
        <f t="shared" si="53"/>
        <v>64935</v>
      </c>
      <c r="H2745" s="13" t="s">
        <v>9813</v>
      </c>
    </row>
    <row r="2746" spans="1:8" x14ac:dyDescent="0.25">
      <c r="A2746" s="113">
        <v>45031</v>
      </c>
      <c r="B2746" s="21" t="s">
        <v>8043</v>
      </c>
      <c r="C2746" s="13" t="s">
        <v>169</v>
      </c>
      <c r="D2746" s="766"/>
      <c r="E2746" s="783"/>
      <c r="F2746" s="785">
        <v>67000</v>
      </c>
      <c r="G2746" s="784">
        <f t="shared" si="53"/>
        <v>-67000</v>
      </c>
      <c r="H2746" s="1235" t="s">
        <v>9656</v>
      </c>
    </row>
    <row r="2747" spans="1:8" x14ac:dyDescent="0.25">
      <c r="A2747" s="113">
        <v>45031</v>
      </c>
      <c r="B2747" s="21" t="s">
        <v>8876</v>
      </c>
      <c r="C2747" s="13" t="s">
        <v>169</v>
      </c>
      <c r="D2747" s="766"/>
      <c r="E2747" s="783"/>
      <c r="F2747" s="142">
        <v>18365</v>
      </c>
      <c r="G2747" s="784">
        <f t="shared" si="53"/>
        <v>-18365</v>
      </c>
      <c r="H2747" s="1236"/>
    </row>
    <row r="2748" spans="1:8" x14ac:dyDescent="0.25">
      <c r="A2748" s="113">
        <v>45031</v>
      </c>
      <c r="B2748" s="21" t="s">
        <v>9409</v>
      </c>
      <c r="C2748" s="13" t="s">
        <v>169</v>
      </c>
      <c r="D2748" s="766"/>
      <c r="E2748" s="783"/>
      <c r="F2748" s="142">
        <v>20500</v>
      </c>
      <c r="G2748" s="784">
        <f t="shared" si="53"/>
        <v>-20500</v>
      </c>
      <c r="H2748" s="1236"/>
    </row>
    <row r="2749" spans="1:8" ht="16.5" thickBot="1" x14ac:dyDescent="0.3">
      <c r="A2749" s="113">
        <v>45031</v>
      </c>
      <c r="B2749" s="21" t="s">
        <v>9409</v>
      </c>
      <c r="C2749" s="13" t="s">
        <v>169</v>
      </c>
      <c r="D2749" s="766"/>
      <c r="E2749" s="783"/>
      <c r="F2749" s="786">
        <v>4135</v>
      </c>
      <c r="G2749" s="784">
        <f t="shared" si="53"/>
        <v>-4135</v>
      </c>
      <c r="H2749" s="1237"/>
    </row>
    <row r="2750" spans="1:8" x14ac:dyDescent="0.25">
      <c r="A2750" s="113">
        <v>45034</v>
      </c>
      <c r="B2750" s="21" t="s">
        <v>9661</v>
      </c>
      <c r="C2750" s="13" t="s">
        <v>166</v>
      </c>
      <c r="D2750" s="766" t="s">
        <v>9814</v>
      </c>
      <c r="E2750" s="22">
        <v>15800</v>
      </c>
      <c r="F2750" s="112"/>
      <c r="G2750" s="14">
        <f t="shared" si="53"/>
        <v>15800</v>
      </c>
      <c r="H2750" s="13" t="s">
        <v>9818</v>
      </c>
    </row>
    <row r="2751" spans="1:8" x14ac:dyDescent="0.25">
      <c r="A2751" s="113">
        <v>45034</v>
      </c>
      <c r="B2751" s="21" t="s">
        <v>8559</v>
      </c>
      <c r="C2751" s="13" t="s">
        <v>7242</v>
      </c>
      <c r="D2751" s="766"/>
      <c r="E2751" s="22"/>
      <c r="F2751" s="112">
        <v>300000</v>
      </c>
      <c r="G2751" s="14">
        <f t="shared" si="53"/>
        <v>-300000</v>
      </c>
      <c r="H2751" s="13" t="s">
        <v>9696</v>
      </c>
    </row>
    <row r="2752" spans="1:8" ht="16.5" thickBot="1" x14ac:dyDescent="0.3">
      <c r="A2752" s="113">
        <v>45034</v>
      </c>
      <c r="B2752" s="21" t="s">
        <v>8657</v>
      </c>
      <c r="C2752" s="13" t="s">
        <v>166</v>
      </c>
      <c r="D2752" s="766"/>
      <c r="E2752" s="22"/>
      <c r="F2752" s="19">
        <v>500000</v>
      </c>
      <c r="G2752" s="14">
        <f t="shared" si="53"/>
        <v>-500000</v>
      </c>
      <c r="H2752" s="13" t="s">
        <v>9708</v>
      </c>
    </row>
    <row r="2753" spans="1:8" x14ac:dyDescent="0.25">
      <c r="A2753" s="113">
        <v>45035</v>
      </c>
      <c r="B2753" s="21" t="s">
        <v>3946</v>
      </c>
      <c r="C2753" s="13" t="s">
        <v>8394</v>
      </c>
      <c r="D2753" s="766"/>
      <c r="E2753" s="783"/>
      <c r="F2753" s="785">
        <v>8745</v>
      </c>
      <c r="G2753" s="14">
        <f t="shared" ref="G2753:G2875" si="54">E2753-F2753</f>
        <v>-8745</v>
      </c>
      <c r="H2753" s="1252" t="s">
        <v>9726</v>
      </c>
    </row>
    <row r="2754" spans="1:8" x14ac:dyDescent="0.25">
      <c r="A2754" s="113">
        <v>45035</v>
      </c>
      <c r="B2754" s="21" t="s">
        <v>8657</v>
      </c>
      <c r="C2754" s="13" t="s">
        <v>8394</v>
      </c>
      <c r="D2754" s="766"/>
      <c r="E2754" s="783"/>
      <c r="F2754" s="142">
        <v>51861</v>
      </c>
      <c r="G2754" s="14">
        <f t="shared" si="54"/>
        <v>-51861</v>
      </c>
      <c r="H2754" s="1253"/>
    </row>
    <row r="2755" spans="1:8" x14ac:dyDescent="0.25">
      <c r="A2755" s="113">
        <v>45035</v>
      </c>
      <c r="B2755" s="21" t="s">
        <v>8876</v>
      </c>
      <c r="C2755" s="13" t="s">
        <v>8394</v>
      </c>
      <c r="D2755" s="766"/>
      <c r="E2755" s="783"/>
      <c r="F2755" s="142">
        <v>17015</v>
      </c>
      <c r="G2755" s="14">
        <f t="shared" si="54"/>
        <v>-17015</v>
      </c>
      <c r="H2755" s="1253"/>
    </row>
    <row r="2756" spans="1:8" x14ac:dyDescent="0.25">
      <c r="A2756" s="113">
        <v>45035</v>
      </c>
      <c r="B2756" s="21" t="s">
        <v>9507</v>
      </c>
      <c r="C2756" s="13" t="s">
        <v>8394</v>
      </c>
      <c r="D2756" s="766"/>
      <c r="E2756" s="783"/>
      <c r="F2756" s="142">
        <v>28496</v>
      </c>
      <c r="G2756" s="14">
        <f t="shared" si="54"/>
        <v>-28496</v>
      </c>
      <c r="H2756" s="1253"/>
    </row>
    <row r="2757" spans="1:8" x14ac:dyDescent="0.25">
      <c r="A2757" s="113">
        <v>45035</v>
      </c>
      <c r="B2757" s="21" t="s">
        <v>9356</v>
      </c>
      <c r="C2757" s="13" t="s">
        <v>8394</v>
      </c>
      <c r="D2757" s="766"/>
      <c r="E2757" s="955"/>
      <c r="F2757" s="147">
        <v>93883</v>
      </c>
      <c r="G2757" s="14">
        <f t="shared" si="54"/>
        <v>-93883</v>
      </c>
      <c r="H2757" s="1254"/>
    </row>
    <row r="2758" spans="1:8" ht="18.75" x14ac:dyDescent="0.25">
      <c r="A2758" s="113">
        <v>45042</v>
      </c>
      <c r="B2758" s="21" t="s">
        <v>8876</v>
      </c>
      <c r="C2758" s="13" t="s">
        <v>5187</v>
      </c>
      <c r="D2758" s="766" t="s">
        <v>9860</v>
      </c>
      <c r="E2758" s="22">
        <v>150000</v>
      </c>
      <c r="F2758" s="19"/>
      <c r="G2758" s="14">
        <f t="shared" si="54"/>
        <v>150000</v>
      </c>
      <c r="H2758" s="954" t="s">
        <v>9861</v>
      </c>
    </row>
    <row r="2759" spans="1:8" x14ac:dyDescent="0.25">
      <c r="A2759" s="113">
        <v>45043</v>
      </c>
      <c r="B2759" s="21" t="s">
        <v>8657</v>
      </c>
      <c r="C2759" s="13" t="s">
        <v>8394</v>
      </c>
      <c r="D2759" s="766" t="s">
        <v>9736</v>
      </c>
      <c r="E2759" s="22">
        <v>410656</v>
      </c>
      <c r="F2759" s="19"/>
      <c r="G2759" s="14">
        <f t="shared" si="54"/>
        <v>410656</v>
      </c>
      <c r="H2759" s="13"/>
    </row>
    <row r="2760" spans="1:8" x14ac:dyDescent="0.25">
      <c r="A2760" s="113">
        <v>45043</v>
      </c>
      <c r="B2760" s="21" t="s">
        <v>9661</v>
      </c>
      <c r="C2760" s="13" t="s">
        <v>8394</v>
      </c>
      <c r="D2760" s="766" t="s">
        <v>9737</v>
      </c>
      <c r="E2760" s="22">
        <v>315888</v>
      </c>
      <c r="F2760" s="19"/>
      <c r="G2760" s="14">
        <f t="shared" si="54"/>
        <v>315888</v>
      </c>
      <c r="H2760" s="13"/>
    </row>
    <row r="2761" spans="1:8" x14ac:dyDescent="0.25">
      <c r="A2761" s="113">
        <v>45043</v>
      </c>
      <c r="B2761" s="21" t="s">
        <v>9661</v>
      </c>
      <c r="C2761" s="13" t="s">
        <v>8394</v>
      </c>
      <c r="D2761" s="766"/>
      <c r="E2761" s="22"/>
      <c r="F2761" s="19">
        <v>315888</v>
      </c>
      <c r="G2761" s="14">
        <f t="shared" si="54"/>
        <v>-315888</v>
      </c>
      <c r="H2761" s="1250" t="s">
        <v>9738</v>
      </c>
    </row>
    <row r="2762" spans="1:8" x14ac:dyDescent="0.25">
      <c r="A2762" s="113">
        <v>45043</v>
      </c>
      <c r="B2762" s="21" t="s">
        <v>8657</v>
      </c>
      <c r="C2762" s="13" t="s">
        <v>8394</v>
      </c>
      <c r="D2762" s="766"/>
      <c r="E2762" s="22"/>
      <c r="F2762" s="19">
        <v>447612</v>
      </c>
      <c r="G2762" s="14">
        <f t="shared" si="54"/>
        <v>-447612</v>
      </c>
      <c r="H2762" s="1251"/>
    </row>
    <row r="2763" spans="1:8" x14ac:dyDescent="0.25">
      <c r="A2763" s="113">
        <v>45045</v>
      </c>
      <c r="B2763" s="21" t="s">
        <v>8657</v>
      </c>
      <c r="C2763" s="13" t="s">
        <v>166</v>
      </c>
      <c r="D2763" s="766" t="s">
        <v>9815</v>
      </c>
      <c r="E2763" s="22">
        <v>115500</v>
      </c>
      <c r="F2763" s="19"/>
      <c r="G2763" s="14">
        <f t="shared" si="54"/>
        <v>115500</v>
      </c>
      <c r="H2763" s="953" t="s">
        <v>9816</v>
      </c>
    </row>
    <row r="2764" spans="1:8" x14ac:dyDescent="0.25">
      <c r="A2764" s="113">
        <v>45048</v>
      </c>
      <c r="B2764" s="21" t="s">
        <v>8339</v>
      </c>
      <c r="C2764" s="13" t="s">
        <v>7467</v>
      </c>
      <c r="D2764" s="766"/>
      <c r="E2764" s="22"/>
      <c r="F2764" s="19">
        <v>441500</v>
      </c>
      <c r="G2764" s="14">
        <f t="shared" si="54"/>
        <v>-441500</v>
      </c>
      <c r="H2764" s="13" t="s">
        <v>9749</v>
      </c>
    </row>
    <row r="2765" spans="1:8" x14ac:dyDescent="0.25">
      <c r="A2765" s="113">
        <v>45048</v>
      </c>
      <c r="B2765" s="21" t="s">
        <v>8657</v>
      </c>
      <c r="C2765" s="13" t="s">
        <v>8394</v>
      </c>
      <c r="D2765" s="766" t="s">
        <v>8105</v>
      </c>
      <c r="E2765" s="22">
        <v>116547</v>
      </c>
      <c r="F2765" s="19"/>
      <c r="G2765" s="14">
        <f t="shared" si="54"/>
        <v>116547</v>
      </c>
      <c r="H2765" s="13"/>
    </row>
    <row r="2766" spans="1:8" x14ac:dyDescent="0.25">
      <c r="A2766" s="113">
        <v>45048</v>
      </c>
      <c r="B2766" s="21" t="s">
        <v>9661</v>
      </c>
      <c r="C2766" s="13" t="s">
        <v>8394</v>
      </c>
      <c r="D2766" s="766" t="s">
        <v>9249</v>
      </c>
      <c r="E2766" s="22">
        <v>268519</v>
      </c>
      <c r="F2766" s="19"/>
      <c r="G2766" s="14">
        <f t="shared" si="54"/>
        <v>268519</v>
      </c>
      <c r="H2766" s="13"/>
    </row>
    <row r="2767" spans="1:8" x14ac:dyDescent="0.25">
      <c r="A2767" s="113">
        <v>45048</v>
      </c>
      <c r="B2767" s="21" t="s">
        <v>9661</v>
      </c>
      <c r="C2767" s="13" t="s">
        <v>7467</v>
      </c>
      <c r="D2767" s="766" t="s">
        <v>9820</v>
      </c>
      <c r="E2767" s="22">
        <v>441068</v>
      </c>
      <c r="F2767" s="19"/>
      <c r="G2767" s="14">
        <f t="shared" si="54"/>
        <v>441068</v>
      </c>
      <c r="H2767" s="54" t="s">
        <v>9821</v>
      </c>
    </row>
    <row r="2768" spans="1:8" x14ac:dyDescent="0.25">
      <c r="A2768" s="113">
        <v>45049</v>
      </c>
      <c r="B2768" s="21" t="s">
        <v>8657</v>
      </c>
      <c r="C2768" s="13" t="s">
        <v>8394</v>
      </c>
      <c r="D2768" s="766"/>
      <c r="E2768" s="22"/>
      <c r="F2768" s="19">
        <v>494907</v>
      </c>
      <c r="G2768" s="14">
        <f t="shared" si="54"/>
        <v>-494907</v>
      </c>
      <c r="H2768" s="1172" t="s">
        <v>9800</v>
      </c>
    </row>
    <row r="2769" spans="1:8" x14ac:dyDescent="0.25">
      <c r="A2769" s="113">
        <v>45049</v>
      </c>
      <c r="B2769" s="21" t="s">
        <v>9661</v>
      </c>
      <c r="C2769" s="13" t="s">
        <v>8394</v>
      </c>
      <c r="D2769" s="766"/>
      <c r="E2769" s="22"/>
      <c r="F2769" s="19">
        <f>730000-F2768</f>
        <v>235093</v>
      </c>
      <c r="G2769" s="14">
        <f t="shared" si="54"/>
        <v>-235093</v>
      </c>
      <c r="H2769" s="1224"/>
    </row>
    <row r="2770" spans="1:8" x14ac:dyDescent="0.25">
      <c r="A2770" s="113">
        <v>45049</v>
      </c>
      <c r="B2770" s="21" t="s">
        <v>8657</v>
      </c>
      <c r="C2770" s="13" t="s">
        <v>166</v>
      </c>
      <c r="D2770" s="766" t="s">
        <v>9817</v>
      </c>
      <c r="E2770" s="22">
        <v>95350</v>
      </c>
      <c r="F2770" s="19"/>
      <c r="G2770" s="14">
        <f t="shared" si="54"/>
        <v>95350</v>
      </c>
      <c r="H2770" s="13" t="s">
        <v>9819</v>
      </c>
    </row>
    <row r="2771" spans="1:8" x14ac:dyDescent="0.25">
      <c r="A2771" s="113">
        <v>45052</v>
      </c>
      <c r="B2771" s="21" t="s">
        <v>9356</v>
      </c>
      <c r="C2771" s="13" t="s">
        <v>169</v>
      </c>
      <c r="D2771" s="766" t="s">
        <v>9807</v>
      </c>
      <c r="E2771" s="22">
        <v>125327</v>
      </c>
      <c r="F2771" s="19"/>
      <c r="G2771" s="14">
        <f t="shared" si="54"/>
        <v>125327</v>
      </c>
      <c r="H2771" s="13" t="s">
        <v>9808</v>
      </c>
    </row>
    <row r="2772" spans="1:8" x14ac:dyDescent="0.25">
      <c r="A2772" s="113">
        <v>45055</v>
      </c>
      <c r="B2772" s="21" t="s">
        <v>8657</v>
      </c>
      <c r="C2772" s="13" t="s">
        <v>8394</v>
      </c>
      <c r="D2772" s="766" t="s">
        <v>9493</v>
      </c>
      <c r="E2772" s="22">
        <v>72367</v>
      </c>
      <c r="F2772" s="19"/>
      <c r="G2772" s="14">
        <f t="shared" si="54"/>
        <v>72367</v>
      </c>
      <c r="H2772" s="13"/>
    </row>
    <row r="2773" spans="1:8" x14ac:dyDescent="0.25">
      <c r="A2773" s="113">
        <v>45055</v>
      </c>
      <c r="B2773" s="21" t="s">
        <v>9769</v>
      </c>
      <c r="C2773" s="13" t="s">
        <v>8394</v>
      </c>
      <c r="D2773" s="766" t="s">
        <v>8556</v>
      </c>
      <c r="E2773" s="22">
        <v>1140427</v>
      </c>
      <c r="F2773" s="110"/>
      <c r="G2773" s="14">
        <f t="shared" si="54"/>
        <v>1140427</v>
      </c>
      <c r="H2773" s="13"/>
    </row>
    <row r="2774" spans="1:8" x14ac:dyDescent="0.25">
      <c r="A2774" s="113">
        <v>45055</v>
      </c>
      <c r="B2774" s="21" t="s">
        <v>9661</v>
      </c>
      <c r="C2774" s="13" t="s">
        <v>8394</v>
      </c>
      <c r="D2774" s="766" t="s">
        <v>9858</v>
      </c>
      <c r="E2774" s="22">
        <v>354608</v>
      </c>
      <c r="F2774" s="110"/>
      <c r="G2774" s="14">
        <f t="shared" si="54"/>
        <v>354608</v>
      </c>
      <c r="H2774" s="13"/>
    </row>
    <row r="2775" spans="1:8" x14ac:dyDescent="0.25">
      <c r="A2775" s="113">
        <v>45055</v>
      </c>
      <c r="B2775" s="21" t="s">
        <v>9356</v>
      </c>
      <c r="C2775" s="13" t="s">
        <v>164</v>
      </c>
      <c r="D2775" s="766"/>
      <c r="E2775" s="22">
        <v>5187</v>
      </c>
      <c r="F2775" s="110"/>
      <c r="G2775" s="14">
        <f t="shared" si="54"/>
        <v>5187</v>
      </c>
      <c r="H2775" s="13" t="s">
        <v>9809</v>
      </c>
    </row>
    <row r="2776" spans="1:8" x14ac:dyDescent="0.25">
      <c r="A2776" s="113">
        <v>45055</v>
      </c>
      <c r="B2776" s="21" t="s">
        <v>9769</v>
      </c>
      <c r="C2776" s="13" t="s">
        <v>8394</v>
      </c>
      <c r="D2776" s="766"/>
      <c r="E2776" s="22"/>
      <c r="F2776" s="110">
        <v>400000</v>
      </c>
      <c r="G2776" s="14">
        <f t="shared" si="54"/>
        <v>-400000</v>
      </c>
      <c r="H2776" s="13" t="s">
        <v>9859</v>
      </c>
    </row>
    <row r="2777" spans="1:8" ht="16.5" thickBot="1" x14ac:dyDescent="0.3">
      <c r="A2777" s="113">
        <v>45056</v>
      </c>
      <c r="B2777" s="21" t="s">
        <v>8043</v>
      </c>
      <c r="C2777" s="13" t="s">
        <v>8456</v>
      </c>
      <c r="D2777" s="766"/>
      <c r="E2777" s="22"/>
      <c r="F2777" s="110">
        <v>89000</v>
      </c>
      <c r="G2777" s="14">
        <f t="shared" si="54"/>
        <v>-89000</v>
      </c>
      <c r="H2777" s="13" t="s">
        <v>9831</v>
      </c>
    </row>
    <row r="2778" spans="1:8" x14ac:dyDescent="0.25">
      <c r="A2778" s="113">
        <v>45056</v>
      </c>
      <c r="B2778" s="21" t="s">
        <v>9409</v>
      </c>
      <c r="C2778" s="13" t="s">
        <v>169</v>
      </c>
      <c r="D2778" s="766"/>
      <c r="E2778" s="783"/>
      <c r="F2778" s="785">
        <v>23301</v>
      </c>
      <c r="G2778" s="784">
        <f t="shared" si="54"/>
        <v>-23301</v>
      </c>
      <c r="H2778" s="1172" t="s">
        <v>9848</v>
      </c>
    </row>
    <row r="2779" spans="1:8" ht="16.5" thickBot="1" x14ac:dyDescent="0.3">
      <c r="A2779" s="113">
        <v>45056</v>
      </c>
      <c r="B2779" s="21" t="s">
        <v>9356</v>
      </c>
      <c r="C2779" s="13" t="s">
        <v>169</v>
      </c>
      <c r="D2779" s="766"/>
      <c r="E2779" s="783"/>
      <c r="F2779" s="786">
        <v>124699</v>
      </c>
      <c r="G2779" s="784">
        <f t="shared" si="54"/>
        <v>-124699</v>
      </c>
      <c r="H2779" s="1173"/>
    </row>
    <row r="2780" spans="1:8" x14ac:dyDescent="0.25">
      <c r="A2780" s="113">
        <v>45056</v>
      </c>
      <c r="B2780" s="21" t="s">
        <v>8876</v>
      </c>
      <c r="C2780" s="13" t="s">
        <v>180</v>
      </c>
      <c r="D2780" s="766"/>
      <c r="E2780" s="783"/>
      <c r="F2780" s="785">
        <v>380920</v>
      </c>
      <c r="G2780" s="784">
        <f t="shared" si="54"/>
        <v>-380920</v>
      </c>
      <c r="H2780" s="1172" t="s">
        <v>9849</v>
      </c>
    </row>
    <row r="2781" spans="1:8" ht="16.5" thickBot="1" x14ac:dyDescent="0.3">
      <c r="A2781" s="113">
        <v>45056</v>
      </c>
      <c r="B2781" s="21" t="s">
        <v>9409</v>
      </c>
      <c r="C2781" s="13" t="s">
        <v>180</v>
      </c>
      <c r="D2781" s="766"/>
      <c r="E2781" s="783"/>
      <c r="F2781" s="786">
        <v>192080</v>
      </c>
      <c r="G2781" s="784">
        <f t="shared" si="54"/>
        <v>-192080</v>
      </c>
      <c r="H2781" s="1173"/>
    </row>
    <row r="2782" spans="1:8" x14ac:dyDescent="0.25">
      <c r="A2782" s="113">
        <v>45056</v>
      </c>
      <c r="B2782" s="21" t="s">
        <v>9409</v>
      </c>
      <c r="C2782" s="13" t="s">
        <v>180</v>
      </c>
      <c r="D2782" s="766"/>
      <c r="E2782" s="22"/>
      <c r="F2782" s="112">
        <v>920</v>
      </c>
      <c r="G2782" s="14">
        <f t="shared" si="54"/>
        <v>-920</v>
      </c>
      <c r="H2782" s="13" t="s">
        <v>9847</v>
      </c>
    </row>
    <row r="2783" spans="1:8" x14ac:dyDescent="0.25">
      <c r="A2783" s="113">
        <v>45056</v>
      </c>
      <c r="B2783" s="21" t="s">
        <v>8657</v>
      </c>
      <c r="C2783" s="13" t="s">
        <v>5187</v>
      </c>
      <c r="D2783" s="766"/>
      <c r="E2783" s="22"/>
      <c r="F2783" s="112">
        <v>25176</v>
      </c>
      <c r="G2783" s="14">
        <f t="shared" si="54"/>
        <v>-25176</v>
      </c>
      <c r="H2783" s="1172" t="s">
        <v>12276</v>
      </c>
    </row>
    <row r="2784" spans="1:8" x14ac:dyDescent="0.25">
      <c r="A2784" s="113">
        <v>45056</v>
      </c>
      <c r="B2784" s="21" t="s">
        <v>8876</v>
      </c>
      <c r="C2784" s="13" t="s">
        <v>5187</v>
      </c>
      <c r="D2784" s="766"/>
      <c r="E2784" s="22"/>
      <c r="F2784" s="112">
        <v>150000</v>
      </c>
      <c r="G2784" s="14">
        <f t="shared" si="54"/>
        <v>-150000</v>
      </c>
      <c r="H2784" s="1224"/>
    </row>
    <row r="2785" spans="1:8" x14ac:dyDescent="0.25">
      <c r="A2785" s="113">
        <v>45056</v>
      </c>
      <c r="B2785" s="21" t="s">
        <v>8876</v>
      </c>
      <c r="C2785" s="13" t="s">
        <v>5187</v>
      </c>
      <c r="D2785" s="766"/>
      <c r="E2785" s="22"/>
      <c r="F2785" s="112">
        <v>35000</v>
      </c>
      <c r="G2785" s="14">
        <f t="shared" si="54"/>
        <v>-35000</v>
      </c>
      <c r="H2785" s="1224"/>
    </row>
    <row r="2786" spans="1:8" x14ac:dyDescent="0.25">
      <c r="A2786" s="113">
        <v>45056</v>
      </c>
      <c r="B2786" s="21" t="s">
        <v>8876</v>
      </c>
      <c r="C2786" s="13" t="s">
        <v>5187</v>
      </c>
      <c r="D2786" s="766"/>
      <c r="E2786" s="22"/>
      <c r="F2786" s="112">
        <v>5000</v>
      </c>
      <c r="G2786" s="14">
        <f t="shared" si="54"/>
        <v>-5000</v>
      </c>
      <c r="H2786" s="1173"/>
    </row>
    <row r="2787" spans="1:8" x14ac:dyDescent="0.25">
      <c r="A2787" s="113">
        <v>45056</v>
      </c>
      <c r="B2787" s="21" t="s">
        <v>9409</v>
      </c>
      <c r="C2787" s="13" t="s">
        <v>7242</v>
      </c>
      <c r="D2787" s="766" t="s">
        <v>9736</v>
      </c>
      <c r="E2787" s="22">
        <v>164970</v>
      </c>
      <c r="F2787" s="112"/>
      <c r="G2787" s="14">
        <f t="shared" si="54"/>
        <v>164970</v>
      </c>
      <c r="H2787" s="956"/>
    </row>
    <row r="2788" spans="1:8" x14ac:dyDescent="0.25">
      <c r="A2788" s="113">
        <v>45056</v>
      </c>
      <c r="B2788" s="21" t="s">
        <v>9356</v>
      </c>
      <c r="C2788" s="13" t="s">
        <v>164</v>
      </c>
      <c r="D2788" s="766" t="s">
        <v>10228</v>
      </c>
      <c r="E2788" s="22">
        <v>5187</v>
      </c>
      <c r="F2788" s="112"/>
      <c r="G2788" s="14">
        <f t="shared" si="54"/>
        <v>5187</v>
      </c>
      <c r="H2788" s="956"/>
    </row>
    <row r="2789" spans="1:8" s="731" customFormat="1" ht="47.25" x14ac:dyDescent="0.25">
      <c r="A2789" s="113">
        <v>45056</v>
      </c>
      <c r="B2789" s="743" t="s">
        <v>11089</v>
      </c>
      <c r="C2789" s="750" t="s">
        <v>168</v>
      </c>
      <c r="D2789" s="779"/>
      <c r="E2789" s="751"/>
      <c r="F2789" s="1112">
        <f>4500000-936720</f>
        <v>3563280</v>
      </c>
      <c r="G2789" s="753">
        <f t="shared" si="54"/>
        <v>-3563280</v>
      </c>
      <c r="H2789" s="1111" t="s">
        <v>12286</v>
      </c>
    </row>
    <row r="2790" spans="1:8" s="731" customFormat="1" x14ac:dyDescent="0.25">
      <c r="A2790" s="113">
        <v>45056</v>
      </c>
      <c r="B2790" s="743" t="s">
        <v>10576</v>
      </c>
      <c r="C2790" s="750" t="s">
        <v>168</v>
      </c>
      <c r="D2790" s="779"/>
      <c r="E2790" s="751"/>
      <c r="F2790" s="1112">
        <v>217052</v>
      </c>
      <c r="G2790" s="753">
        <f t="shared" si="54"/>
        <v>-217052</v>
      </c>
      <c r="H2790" s="1111"/>
    </row>
    <row r="2791" spans="1:8" s="731" customFormat="1" x14ac:dyDescent="0.25">
      <c r="A2791" s="113">
        <v>45056</v>
      </c>
      <c r="B2791" s="743" t="s">
        <v>11617</v>
      </c>
      <c r="C2791" s="750" t="s">
        <v>168</v>
      </c>
      <c r="D2791" s="779"/>
      <c r="E2791" s="751"/>
      <c r="F2791" s="1112">
        <v>234500</v>
      </c>
      <c r="G2791" s="753">
        <f t="shared" si="54"/>
        <v>-234500</v>
      </c>
      <c r="H2791" s="1111"/>
    </row>
    <row r="2792" spans="1:8" s="731" customFormat="1" x14ac:dyDescent="0.25">
      <c r="A2792" s="113">
        <v>45056</v>
      </c>
      <c r="B2792" s="743" t="s">
        <v>11897</v>
      </c>
      <c r="C2792" s="750" t="s">
        <v>168</v>
      </c>
      <c r="D2792" s="779"/>
      <c r="E2792" s="751"/>
      <c r="F2792" s="1112">
        <v>165590</v>
      </c>
      <c r="G2792" s="753">
        <f t="shared" si="54"/>
        <v>-165590</v>
      </c>
      <c r="H2792" s="1111"/>
    </row>
    <row r="2793" spans="1:8" s="731" customFormat="1" x14ac:dyDescent="0.25">
      <c r="A2793" s="113">
        <v>45056</v>
      </c>
      <c r="B2793" s="743" t="s">
        <v>12287</v>
      </c>
      <c r="C2793" s="750" t="s">
        <v>168</v>
      </c>
      <c r="D2793" s="779"/>
      <c r="E2793" s="751"/>
      <c r="F2793" s="1112">
        <v>99840</v>
      </c>
      <c r="G2793" s="753">
        <f t="shared" si="54"/>
        <v>-99840</v>
      </c>
      <c r="H2793" s="1111"/>
    </row>
    <row r="2794" spans="1:8" s="731" customFormat="1" x14ac:dyDescent="0.25">
      <c r="A2794" s="113">
        <v>45056</v>
      </c>
      <c r="B2794" s="743" t="s">
        <v>10909</v>
      </c>
      <c r="C2794" s="750" t="s">
        <v>168</v>
      </c>
      <c r="D2794" s="779"/>
      <c r="E2794" s="751"/>
      <c r="F2794" s="1112">
        <v>18160</v>
      </c>
      <c r="G2794" s="753">
        <f t="shared" si="54"/>
        <v>-18160</v>
      </c>
      <c r="H2794" s="1111"/>
    </row>
    <row r="2795" spans="1:8" s="731" customFormat="1" x14ac:dyDescent="0.25">
      <c r="A2795" s="113">
        <v>45056</v>
      </c>
      <c r="B2795" s="21" t="s">
        <v>10232</v>
      </c>
      <c r="C2795" s="750" t="s">
        <v>168</v>
      </c>
      <c r="D2795" s="779"/>
      <c r="E2795" s="751"/>
      <c r="F2795" s="1112">
        <v>5731</v>
      </c>
      <c r="G2795" s="753">
        <f t="shared" si="54"/>
        <v>-5731</v>
      </c>
      <c r="H2795" s="1111"/>
    </row>
    <row r="2796" spans="1:8" s="731" customFormat="1" x14ac:dyDescent="0.25">
      <c r="A2796" s="113">
        <v>45056</v>
      </c>
      <c r="B2796" s="743" t="s">
        <v>12247</v>
      </c>
      <c r="C2796" s="750" t="s">
        <v>168</v>
      </c>
      <c r="D2796" s="779"/>
      <c r="E2796" s="751"/>
      <c r="F2796" s="1112">
        <v>82500</v>
      </c>
      <c r="G2796" s="753">
        <f t="shared" si="54"/>
        <v>-82500</v>
      </c>
      <c r="H2796" s="1111"/>
    </row>
    <row r="2797" spans="1:8" s="731" customFormat="1" x14ac:dyDescent="0.25">
      <c r="A2797" s="113">
        <v>45056</v>
      </c>
      <c r="B2797" s="1113"/>
      <c r="C2797" s="750" t="s">
        <v>168</v>
      </c>
      <c r="D2797" s="779"/>
      <c r="E2797" s="751"/>
      <c r="F2797" s="1112">
        <v>113347</v>
      </c>
      <c r="G2797" s="753">
        <f t="shared" si="54"/>
        <v>-113347</v>
      </c>
      <c r="H2797" s="1111"/>
    </row>
    <row r="2798" spans="1:8" x14ac:dyDescent="0.25">
      <c r="A2798" s="113">
        <v>45057</v>
      </c>
      <c r="B2798" s="21" t="s">
        <v>9356</v>
      </c>
      <c r="C2798" s="13" t="s">
        <v>169</v>
      </c>
      <c r="D2798" s="766" t="s">
        <v>9850</v>
      </c>
      <c r="E2798" s="22">
        <v>38050</v>
      </c>
      <c r="F2798" s="19"/>
      <c r="G2798" s="14">
        <f t="shared" si="54"/>
        <v>38050</v>
      </c>
      <c r="H2798" s="13" t="s">
        <v>9808</v>
      </c>
    </row>
    <row r="2799" spans="1:8" x14ac:dyDescent="0.25">
      <c r="A2799" s="113">
        <v>45059</v>
      </c>
      <c r="B2799" s="21" t="s">
        <v>9661</v>
      </c>
      <c r="C2799" s="13" t="s">
        <v>7467</v>
      </c>
      <c r="D2799" s="766" t="s">
        <v>9978</v>
      </c>
      <c r="E2799" s="22">
        <v>77980</v>
      </c>
      <c r="F2799" s="19"/>
      <c r="G2799" s="14">
        <f t="shared" si="54"/>
        <v>77980</v>
      </c>
      <c r="H2799" s="13" t="s">
        <v>9979</v>
      </c>
    </row>
    <row r="2800" spans="1:8" x14ac:dyDescent="0.25">
      <c r="A2800" s="113">
        <v>45061</v>
      </c>
      <c r="B2800" s="21" t="s">
        <v>9769</v>
      </c>
      <c r="C2800" s="13" t="s">
        <v>8394</v>
      </c>
      <c r="D2800" s="766" t="s">
        <v>9873</v>
      </c>
      <c r="E2800" s="22">
        <v>345118</v>
      </c>
      <c r="F2800" s="19"/>
      <c r="G2800" s="14">
        <f t="shared" si="54"/>
        <v>345118</v>
      </c>
      <c r="H2800" s="13"/>
    </row>
    <row r="2801" spans="1:8" x14ac:dyDescent="0.25">
      <c r="A2801" s="113">
        <v>45061</v>
      </c>
      <c r="B2801" s="21" t="s">
        <v>9661</v>
      </c>
      <c r="C2801" s="13" t="s">
        <v>8394</v>
      </c>
      <c r="D2801" s="766" t="s">
        <v>9874</v>
      </c>
      <c r="E2801" s="22">
        <v>354772</v>
      </c>
      <c r="F2801" s="19"/>
      <c r="G2801" s="14">
        <f t="shared" si="54"/>
        <v>354772</v>
      </c>
      <c r="H2801" s="13"/>
    </row>
    <row r="2802" spans="1:8" x14ac:dyDescent="0.25">
      <c r="A2802" s="113">
        <v>45061</v>
      </c>
      <c r="B2802" s="21" t="s">
        <v>9661</v>
      </c>
      <c r="C2802" s="13" t="s">
        <v>5187</v>
      </c>
      <c r="D2802" s="766" t="s">
        <v>10186</v>
      </c>
      <c r="E2802" s="22">
        <v>37560</v>
      </c>
      <c r="F2802" s="19"/>
      <c r="G2802" s="14">
        <f t="shared" si="54"/>
        <v>37560</v>
      </c>
      <c r="H2802" s="13"/>
    </row>
    <row r="2803" spans="1:8" x14ac:dyDescent="0.25">
      <c r="A2803" s="113">
        <v>45062</v>
      </c>
      <c r="B2803" s="21" t="s">
        <v>9967</v>
      </c>
      <c r="C2803" s="13" t="s">
        <v>166</v>
      </c>
      <c r="D2803" s="766" t="s">
        <v>9968</v>
      </c>
      <c r="E2803" s="22">
        <v>15800</v>
      </c>
      <c r="F2803" s="19"/>
      <c r="G2803" s="14">
        <f t="shared" si="54"/>
        <v>15800</v>
      </c>
      <c r="H2803" s="13" t="s">
        <v>9279</v>
      </c>
    </row>
    <row r="2804" spans="1:8" x14ac:dyDescent="0.25">
      <c r="A2804" s="113">
        <v>45062</v>
      </c>
      <c r="B2804" s="21" t="s">
        <v>9769</v>
      </c>
      <c r="C2804" s="13" t="s">
        <v>5187</v>
      </c>
      <c r="D2804" s="766"/>
      <c r="E2804" s="22"/>
      <c r="F2804" s="19">
        <v>250000</v>
      </c>
      <c r="G2804" s="14">
        <f t="shared" si="54"/>
        <v>-250000</v>
      </c>
      <c r="H2804" s="13" t="s">
        <v>9897</v>
      </c>
    </row>
    <row r="2805" spans="1:8" x14ac:dyDescent="0.25">
      <c r="A2805" s="113">
        <v>45062</v>
      </c>
      <c r="B2805" s="21" t="s">
        <v>9769</v>
      </c>
      <c r="C2805" s="13" t="s">
        <v>5187</v>
      </c>
      <c r="D2805" s="766"/>
      <c r="E2805" s="22"/>
      <c r="F2805" s="19">
        <v>250000</v>
      </c>
      <c r="G2805" s="14">
        <f t="shared" si="54"/>
        <v>-250000</v>
      </c>
      <c r="H2805" s="13" t="s">
        <v>9897</v>
      </c>
    </row>
    <row r="2806" spans="1:8" x14ac:dyDescent="0.25">
      <c r="A2806" s="113">
        <v>45064</v>
      </c>
      <c r="B2806" s="21" t="s">
        <v>9769</v>
      </c>
      <c r="C2806" s="13" t="s">
        <v>8394</v>
      </c>
      <c r="D2806" s="766"/>
      <c r="E2806" s="22"/>
      <c r="F2806" s="19">
        <v>250000</v>
      </c>
      <c r="G2806" s="14">
        <f t="shared" si="54"/>
        <v>-250000</v>
      </c>
      <c r="H2806" s="13" t="s">
        <v>9900</v>
      </c>
    </row>
    <row r="2807" spans="1:8" x14ac:dyDescent="0.25">
      <c r="A2807" s="113">
        <v>45064</v>
      </c>
      <c r="B2807" s="21" t="s">
        <v>9769</v>
      </c>
      <c r="C2807" s="13" t="s">
        <v>8394</v>
      </c>
      <c r="D2807" s="766"/>
      <c r="E2807" s="22"/>
      <c r="F2807" s="19">
        <v>250000</v>
      </c>
      <c r="G2807" s="14">
        <f t="shared" si="54"/>
        <v>-250000</v>
      </c>
      <c r="H2807" s="13" t="s">
        <v>9900</v>
      </c>
    </row>
    <row r="2808" spans="1:8" x14ac:dyDescent="0.25">
      <c r="A2808" s="113">
        <v>45064</v>
      </c>
      <c r="B2808" s="21" t="s">
        <v>9661</v>
      </c>
      <c r="C2808" s="13" t="s">
        <v>8394</v>
      </c>
      <c r="D2808" s="766"/>
      <c r="E2808" s="22"/>
      <c r="F2808" s="19">
        <v>250000</v>
      </c>
      <c r="G2808" s="14">
        <f t="shared" si="54"/>
        <v>-250000</v>
      </c>
      <c r="H2808" s="13" t="s">
        <v>9901</v>
      </c>
    </row>
    <row r="2809" spans="1:8" x14ac:dyDescent="0.25">
      <c r="A2809" s="113">
        <v>45064</v>
      </c>
      <c r="B2809" s="21" t="s">
        <v>9661</v>
      </c>
      <c r="C2809" s="13" t="s">
        <v>8394</v>
      </c>
      <c r="D2809" s="766"/>
      <c r="E2809" s="22"/>
      <c r="F2809" s="19">
        <v>250000</v>
      </c>
      <c r="G2809" s="14">
        <f t="shared" si="54"/>
        <v>-250000</v>
      </c>
      <c r="H2809" s="13" t="s">
        <v>9901</v>
      </c>
    </row>
    <row r="2810" spans="1:8" x14ac:dyDescent="0.25">
      <c r="A2810" s="113">
        <v>45064</v>
      </c>
      <c r="B2810" s="21" t="s">
        <v>9769</v>
      </c>
      <c r="C2810" s="13" t="s">
        <v>8394</v>
      </c>
      <c r="D2810" s="766" t="s">
        <v>9960</v>
      </c>
      <c r="E2810" s="22">
        <v>308829</v>
      </c>
      <c r="F2810" s="19"/>
      <c r="G2810" s="14">
        <f t="shared" ref="G2810:G2820" si="55">E2810-F2810</f>
        <v>308829</v>
      </c>
      <c r="H2810" s="13"/>
    </row>
    <row r="2811" spans="1:8" x14ac:dyDescent="0.25">
      <c r="A2811" s="113">
        <v>45064</v>
      </c>
      <c r="B2811" s="21" t="s">
        <v>9661</v>
      </c>
      <c r="C2811" s="13" t="s">
        <v>8394</v>
      </c>
      <c r="D2811" s="766" t="s">
        <v>8626</v>
      </c>
      <c r="E2811" s="22">
        <v>92285</v>
      </c>
      <c r="F2811" s="19"/>
      <c r="G2811" s="14">
        <f t="shared" si="55"/>
        <v>92285</v>
      </c>
      <c r="H2811" s="13"/>
    </row>
    <row r="2812" spans="1:8" x14ac:dyDescent="0.25">
      <c r="A2812" s="113">
        <v>45064</v>
      </c>
      <c r="B2812" s="21" t="s">
        <v>9661</v>
      </c>
      <c r="C2812" s="13" t="s">
        <v>166</v>
      </c>
      <c r="D2812" s="766" t="s">
        <v>9969</v>
      </c>
      <c r="E2812" s="22">
        <v>6900</v>
      </c>
      <c r="F2812" s="19"/>
      <c r="G2812" s="14">
        <f t="shared" si="55"/>
        <v>6900</v>
      </c>
      <c r="H2812" s="13" t="s">
        <v>9970</v>
      </c>
    </row>
    <row r="2813" spans="1:8" x14ac:dyDescent="0.25">
      <c r="A2813" s="113">
        <v>45065</v>
      </c>
      <c r="B2813" s="21" t="s">
        <v>9661</v>
      </c>
      <c r="C2813" s="13" t="s">
        <v>7467</v>
      </c>
      <c r="D2813" s="766" t="s">
        <v>9980</v>
      </c>
      <c r="E2813" s="22">
        <v>51648</v>
      </c>
      <c r="F2813" s="19"/>
      <c r="G2813" s="14">
        <f t="shared" si="55"/>
        <v>51648</v>
      </c>
      <c r="H2813" s="13" t="s">
        <v>9981</v>
      </c>
    </row>
    <row r="2814" spans="1:8" x14ac:dyDescent="0.25">
      <c r="A2814" s="113">
        <v>45065</v>
      </c>
      <c r="B2814" s="21" t="s">
        <v>9967</v>
      </c>
      <c r="C2814" s="13" t="s">
        <v>1803</v>
      </c>
      <c r="D2814" s="766"/>
      <c r="E2814" s="783">
        <v>12591</v>
      </c>
      <c r="F2814" s="110"/>
      <c r="G2814" s="784">
        <f>E2814-F2814</f>
        <v>12591</v>
      </c>
      <c r="H2814" s="343"/>
    </row>
    <row r="2815" spans="1:8" x14ac:dyDescent="0.25">
      <c r="A2815" s="113">
        <v>45066</v>
      </c>
      <c r="B2815" s="21" t="s">
        <v>9356</v>
      </c>
      <c r="C2815" s="13" t="s">
        <v>169</v>
      </c>
      <c r="D2815" s="766" t="s">
        <v>9860</v>
      </c>
      <c r="E2815" s="22">
        <v>9004</v>
      </c>
      <c r="F2815" s="19"/>
      <c r="G2815" s="14">
        <f t="shared" si="55"/>
        <v>9004</v>
      </c>
      <c r="H2815" s="13"/>
    </row>
    <row r="2816" spans="1:8" x14ac:dyDescent="0.25">
      <c r="A2816" s="113">
        <v>45069</v>
      </c>
      <c r="B2816" s="21" t="s">
        <v>9769</v>
      </c>
      <c r="C2816" s="13" t="s">
        <v>8394</v>
      </c>
      <c r="D2816" s="766" t="s">
        <v>9961</v>
      </c>
      <c r="E2816" s="22">
        <v>329527</v>
      </c>
      <c r="F2816" s="19"/>
      <c r="G2816" s="14">
        <f t="shared" si="55"/>
        <v>329527</v>
      </c>
      <c r="H2816" s="13"/>
    </row>
    <row r="2817" spans="1:8" x14ac:dyDescent="0.25">
      <c r="A2817" s="113">
        <v>45069</v>
      </c>
      <c r="B2817" s="21" t="s">
        <v>9661</v>
      </c>
      <c r="C2817" s="13" t="s">
        <v>8394</v>
      </c>
      <c r="D2817" s="766" t="s">
        <v>9962</v>
      </c>
      <c r="E2817" s="22">
        <v>154261</v>
      </c>
      <c r="F2817" s="19"/>
      <c r="G2817" s="14">
        <f t="shared" si="55"/>
        <v>154261</v>
      </c>
      <c r="H2817" s="13"/>
    </row>
    <row r="2818" spans="1:8" x14ac:dyDescent="0.25">
      <c r="A2818" s="113">
        <v>45069</v>
      </c>
      <c r="B2818" s="21" t="s">
        <v>9967</v>
      </c>
      <c r="C2818" s="13" t="s">
        <v>1803</v>
      </c>
      <c r="D2818" s="766"/>
      <c r="E2818" s="783">
        <v>873</v>
      </c>
      <c r="F2818" s="110"/>
      <c r="G2818" s="784">
        <f>E2818-F2818</f>
        <v>873</v>
      </c>
      <c r="H2818" s="343"/>
    </row>
    <row r="2819" spans="1:8" x14ac:dyDescent="0.25">
      <c r="A2819" s="113">
        <v>45069</v>
      </c>
      <c r="B2819" s="21" t="s">
        <v>9356</v>
      </c>
      <c r="C2819" s="13" t="s">
        <v>169</v>
      </c>
      <c r="D2819" s="766" t="s">
        <v>10190</v>
      </c>
      <c r="E2819" s="22">
        <v>7880</v>
      </c>
      <c r="F2819" s="19"/>
      <c r="G2819" s="14">
        <f t="shared" si="55"/>
        <v>7880</v>
      </c>
      <c r="H2819" s="13"/>
    </row>
    <row r="2820" spans="1:8" x14ac:dyDescent="0.25">
      <c r="A2820" s="113">
        <v>45070</v>
      </c>
      <c r="B2820" s="21" t="s">
        <v>9769</v>
      </c>
      <c r="C2820" s="13" t="s">
        <v>8394</v>
      </c>
      <c r="D2820" s="766" t="s">
        <v>9963</v>
      </c>
      <c r="E2820" s="22">
        <v>334037</v>
      </c>
      <c r="F2820" s="19"/>
      <c r="G2820" s="14">
        <f t="shared" si="55"/>
        <v>334037</v>
      </c>
      <c r="H2820" s="13"/>
    </row>
    <row r="2821" spans="1:8" x14ac:dyDescent="0.25">
      <c r="A2821" s="113">
        <v>45070</v>
      </c>
      <c r="B2821" s="21" t="s">
        <v>9356</v>
      </c>
      <c r="C2821" s="13" t="s">
        <v>164</v>
      </c>
      <c r="D2821" s="766" t="s">
        <v>10229</v>
      </c>
      <c r="E2821" s="22">
        <v>2537</v>
      </c>
      <c r="F2821" s="19"/>
      <c r="G2821" s="14">
        <f t="shared" si="54"/>
        <v>2537</v>
      </c>
      <c r="H2821" s="13"/>
    </row>
    <row r="2822" spans="1:8" x14ac:dyDescent="0.25">
      <c r="A2822" s="113">
        <v>45072</v>
      </c>
      <c r="B2822" s="21" t="s">
        <v>9661</v>
      </c>
      <c r="C2822" s="13" t="s">
        <v>7467</v>
      </c>
      <c r="D2822" s="766" t="s">
        <v>9982</v>
      </c>
      <c r="E2822" s="22">
        <v>10200</v>
      </c>
      <c r="F2822" s="19"/>
      <c r="G2822" s="14">
        <f t="shared" si="54"/>
        <v>10200</v>
      </c>
      <c r="H2822" s="13" t="s">
        <v>9983</v>
      </c>
    </row>
    <row r="2823" spans="1:8" x14ac:dyDescent="0.25">
      <c r="A2823" s="113">
        <v>45072</v>
      </c>
      <c r="B2823" s="21" t="s">
        <v>11089</v>
      </c>
      <c r="C2823" s="13" t="s">
        <v>168</v>
      </c>
      <c r="D2823" s="766"/>
      <c r="E2823" s="22"/>
      <c r="F2823" s="112">
        <v>3000000</v>
      </c>
      <c r="G2823" s="14">
        <f t="shared" ref="G2823" si="56">E2823-F2823</f>
        <v>-3000000</v>
      </c>
      <c r="H2823" s="343" t="s">
        <v>9957</v>
      </c>
    </row>
    <row r="2824" spans="1:8" x14ac:dyDescent="0.25">
      <c r="A2824" s="113">
        <v>45076</v>
      </c>
      <c r="B2824" s="21" t="s">
        <v>8559</v>
      </c>
      <c r="C2824" s="13" t="s">
        <v>7242</v>
      </c>
      <c r="D2824" s="766"/>
      <c r="E2824" s="22"/>
      <c r="F2824" s="19">
        <v>536250</v>
      </c>
      <c r="G2824" s="14">
        <f t="shared" si="54"/>
        <v>-536250</v>
      </c>
      <c r="H2824" s="13" t="s">
        <v>9954</v>
      </c>
    </row>
    <row r="2825" spans="1:8" ht="15.75" customHeight="1" x14ac:dyDescent="0.25">
      <c r="A2825" s="113">
        <v>45076</v>
      </c>
      <c r="B2825" s="21" t="s">
        <v>1400</v>
      </c>
      <c r="C2825" s="13" t="s">
        <v>7242</v>
      </c>
      <c r="D2825" s="766"/>
      <c r="E2825" s="22"/>
      <c r="F2825" s="19">
        <v>148548</v>
      </c>
      <c r="G2825" s="14">
        <f t="shared" si="54"/>
        <v>-148548</v>
      </c>
      <c r="H2825" s="1241" t="s">
        <v>10317</v>
      </c>
    </row>
    <row r="2826" spans="1:8" x14ac:dyDescent="0.25">
      <c r="A2826" s="113">
        <v>45076</v>
      </c>
      <c r="B2826" s="21" t="s">
        <v>8043</v>
      </c>
      <c r="C2826" s="13" t="s">
        <v>7242</v>
      </c>
      <c r="D2826" s="766"/>
      <c r="E2826" s="22"/>
      <c r="F2826" s="19">
        <v>141655</v>
      </c>
      <c r="G2826" s="14">
        <f t="shared" si="54"/>
        <v>-141655</v>
      </c>
      <c r="H2826" s="1242"/>
    </row>
    <row r="2827" spans="1:8" x14ac:dyDescent="0.25">
      <c r="A2827" s="113">
        <v>45076</v>
      </c>
      <c r="B2827" s="21" t="s">
        <v>8339</v>
      </c>
      <c r="C2827" s="13" t="s">
        <v>7242</v>
      </c>
      <c r="D2827" s="766"/>
      <c r="E2827" s="22"/>
      <c r="F2827" s="19">
        <v>27798</v>
      </c>
      <c r="G2827" s="14">
        <f t="shared" si="54"/>
        <v>-27798</v>
      </c>
      <c r="H2827" s="1242"/>
    </row>
    <row r="2828" spans="1:8" x14ac:dyDescent="0.25">
      <c r="A2828" s="113">
        <v>45076</v>
      </c>
      <c r="B2828" s="21" t="s">
        <v>8559</v>
      </c>
      <c r="C2828" s="13" t="s">
        <v>7242</v>
      </c>
      <c r="D2828" s="766"/>
      <c r="E2828" s="22"/>
      <c r="F2828" s="19">
        <v>65342</v>
      </c>
      <c r="G2828" s="14">
        <f t="shared" si="54"/>
        <v>-65342</v>
      </c>
      <c r="H2828" s="1242"/>
    </row>
    <row r="2829" spans="1:8" x14ac:dyDescent="0.25">
      <c r="A2829" s="113">
        <v>45076</v>
      </c>
      <c r="B2829" s="21" t="s">
        <v>8657</v>
      </c>
      <c r="C2829" s="13" t="s">
        <v>7242</v>
      </c>
      <c r="D2829" s="766"/>
      <c r="E2829" s="22"/>
      <c r="F2829" s="19">
        <v>188071</v>
      </c>
      <c r="G2829" s="14">
        <f t="shared" si="54"/>
        <v>-188071</v>
      </c>
      <c r="H2829" s="1242"/>
    </row>
    <row r="2830" spans="1:8" x14ac:dyDescent="0.25">
      <c r="A2830" s="113">
        <v>45076</v>
      </c>
      <c r="B2830" s="21" t="s">
        <v>8868</v>
      </c>
      <c r="C2830" s="13" t="s">
        <v>7242</v>
      </c>
      <c r="D2830" s="766"/>
      <c r="E2830" s="22"/>
      <c r="F2830" s="19">
        <v>3983</v>
      </c>
      <c r="G2830" s="14">
        <f t="shared" si="54"/>
        <v>-3983</v>
      </c>
      <c r="H2830" s="1242"/>
    </row>
    <row r="2831" spans="1:8" x14ac:dyDescent="0.25">
      <c r="A2831" s="113">
        <v>45076</v>
      </c>
      <c r="B2831" s="21" t="s">
        <v>8876</v>
      </c>
      <c r="C2831" s="13" t="s">
        <v>7242</v>
      </c>
      <c r="D2831" s="766"/>
      <c r="E2831" s="22"/>
      <c r="F2831" s="19">
        <v>48076</v>
      </c>
      <c r="G2831" s="14">
        <f t="shared" si="54"/>
        <v>-48076</v>
      </c>
      <c r="H2831" s="1242"/>
    </row>
    <row r="2832" spans="1:8" x14ac:dyDescent="0.25">
      <c r="A2832" s="113">
        <v>45076</v>
      </c>
      <c r="B2832" s="21" t="s">
        <v>9409</v>
      </c>
      <c r="C2832" s="13" t="s">
        <v>7242</v>
      </c>
      <c r="D2832" s="766"/>
      <c r="E2832" s="22"/>
      <c r="F2832" s="19">
        <v>48076</v>
      </c>
      <c r="G2832" s="14">
        <f t="shared" si="54"/>
        <v>-48076</v>
      </c>
      <c r="H2832" s="1243"/>
    </row>
    <row r="2833" spans="1:8" x14ac:dyDescent="0.25">
      <c r="A2833" s="113">
        <v>45076</v>
      </c>
      <c r="B2833" s="21" t="s">
        <v>8559</v>
      </c>
      <c r="C2833" s="13" t="s">
        <v>7242</v>
      </c>
      <c r="D2833" s="766" t="s">
        <v>9737</v>
      </c>
      <c r="E2833" s="22">
        <v>100000</v>
      </c>
      <c r="F2833" s="19"/>
      <c r="G2833" s="14">
        <f t="shared" si="54"/>
        <v>100000</v>
      </c>
      <c r="H2833" s="13"/>
    </row>
    <row r="2834" spans="1:8" x14ac:dyDescent="0.25">
      <c r="A2834" s="113">
        <v>45076</v>
      </c>
      <c r="B2834" s="21" t="s">
        <v>9967</v>
      </c>
      <c r="C2834" s="13" t="s">
        <v>1803</v>
      </c>
      <c r="D2834" s="766"/>
      <c r="E2834" s="783">
        <v>31540</v>
      </c>
      <c r="F2834" s="110"/>
      <c r="G2834" s="784">
        <f>E2834-F2834</f>
        <v>31540</v>
      </c>
      <c r="H2834" s="343"/>
    </row>
    <row r="2835" spans="1:8" x14ac:dyDescent="0.25">
      <c r="A2835" s="113">
        <v>45070</v>
      </c>
      <c r="B2835" s="21" t="s">
        <v>8339</v>
      </c>
      <c r="C2835" s="13" t="s">
        <v>7242</v>
      </c>
      <c r="D2835" s="766"/>
      <c r="E2835" s="22"/>
      <c r="F2835" s="19">
        <v>200000</v>
      </c>
      <c r="G2835" s="14">
        <f t="shared" si="54"/>
        <v>-200000</v>
      </c>
      <c r="H2835" s="13" t="s">
        <v>9955</v>
      </c>
    </row>
    <row r="2836" spans="1:8" x14ac:dyDescent="0.25">
      <c r="A2836" s="113">
        <v>45070</v>
      </c>
      <c r="B2836" s="21" t="s">
        <v>8559</v>
      </c>
      <c r="C2836" s="13" t="s">
        <v>7242</v>
      </c>
      <c r="D2836" s="766"/>
      <c r="E2836" s="22"/>
      <c r="F2836" s="19">
        <v>50000</v>
      </c>
      <c r="G2836" s="14">
        <f t="shared" si="54"/>
        <v>-50000</v>
      </c>
      <c r="H2836" s="13" t="s">
        <v>9956</v>
      </c>
    </row>
    <row r="2837" spans="1:8" x14ac:dyDescent="0.25">
      <c r="A2837" s="113">
        <v>45071</v>
      </c>
      <c r="B2837" s="21" t="s">
        <v>9769</v>
      </c>
      <c r="C2837" s="13" t="s">
        <v>166</v>
      </c>
      <c r="D2837" s="766" t="s">
        <v>9971</v>
      </c>
      <c r="E2837" s="22">
        <v>44000</v>
      </c>
      <c r="F2837" s="19"/>
      <c r="G2837" s="14">
        <f t="shared" si="54"/>
        <v>44000</v>
      </c>
      <c r="H2837" s="13" t="s">
        <v>9972</v>
      </c>
    </row>
    <row r="2838" spans="1:8" x14ac:dyDescent="0.25">
      <c r="A2838" s="113">
        <v>45072</v>
      </c>
      <c r="B2838" s="21" t="s">
        <v>9661</v>
      </c>
      <c r="C2838" s="13" t="s">
        <v>166</v>
      </c>
      <c r="D2838" s="766" t="s">
        <v>9973</v>
      </c>
      <c r="E2838" s="22">
        <v>9200</v>
      </c>
      <c r="F2838" s="19"/>
      <c r="G2838" s="14">
        <f t="shared" si="54"/>
        <v>9200</v>
      </c>
      <c r="H2838" s="13" t="s">
        <v>9970</v>
      </c>
    </row>
    <row r="2839" spans="1:8" x14ac:dyDescent="0.25">
      <c r="A2839" s="113">
        <v>45073</v>
      </c>
      <c r="B2839" s="21" t="s">
        <v>9769</v>
      </c>
      <c r="C2839" s="13" t="s">
        <v>8394</v>
      </c>
      <c r="D2839" s="766" t="s">
        <v>10147</v>
      </c>
      <c r="E2839" s="22">
        <v>114314</v>
      </c>
      <c r="F2839" s="19"/>
      <c r="G2839" s="14">
        <f t="shared" si="54"/>
        <v>114314</v>
      </c>
      <c r="H2839" s="13"/>
    </row>
    <row r="2840" spans="1:8" x14ac:dyDescent="0.25">
      <c r="A2840" s="113">
        <v>45073</v>
      </c>
      <c r="B2840" s="21" t="s">
        <v>9661</v>
      </c>
      <c r="C2840" s="13" t="s">
        <v>5187</v>
      </c>
      <c r="D2840" s="766" t="s">
        <v>10184</v>
      </c>
      <c r="E2840" s="22">
        <v>68320</v>
      </c>
      <c r="F2840" s="19"/>
      <c r="G2840" s="14">
        <f t="shared" si="54"/>
        <v>68320</v>
      </c>
      <c r="H2840" s="13"/>
    </row>
    <row r="2841" spans="1:8" x14ac:dyDescent="0.25">
      <c r="A2841" s="113">
        <v>45073</v>
      </c>
      <c r="B2841" s="21" t="s">
        <v>9661</v>
      </c>
      <c r="C2841" s="13" t="s">
        <v>5187</v>
      </c>
      <c r="D2841" s="766" t="s">
        <v>10185</v>
      </c>
      <c r="E2841" s="22">
        <v>75000</v>
      </c>
      <c r="F2841" s="19"/>
      <c r="G2841" s="14">
        <f t="shared" si="54"/>
        <v>75000</v>
      </c>
      <c r="H2841" s="13"/>
    </row>
    <row r="2842" spans="1:8" x14ac:dyDescent="0.25">
      <c r="A2842" s="113">
        <v>45073</v>
      </c>
      <c r="B2842" s="21" t="s">
        <v>8657</v>
      </c>
      <c r="C2842" s="13" t="s">
        <v>5187</v>
      </c>
      <c r="D2842" s="766" t="s">
        <v>10187</v>
      </c>
      <c r="E2842" s="22">
        <v>217008</v>
      </c>
      <c r="F2842" s="19"/>
      <c r="G2842" s="14">
        <f t="shared" si="54"/>
        <v>217008</v>
      </c>
      <c r="H2842" s="13"/>
    </row>
    <row r="2843" spans="1:8" x14ac:dyDescent="0.25">
      <c r="A2843" s="113">
        <v>45073</v>
      </c>
      <c r="B2843" s="21" t="s">
        <v>10911</v>
      </c>
      <c r="C2843" s="13" t="s">
        <v>5187</v>
      </c>
      <c r="D2843" s="766" t="s">
        <v>10188</v>
      </c>
      <c r="E2843" s="22">
        <v>15000</v>
      </c>
      <c r="F2843" s="19"/>
      <c r="G2843" s="14">
        <f t="shared" si="54"/>
        <v>15000</v>
      </c>
      <c r="H2843" s="13"/>
    </row>
    <row r="2844" spans="1:8" x14ac:dyDescent="0.25">
      <c r="A2844" s="113">
        <v>45073</v>
      </c>
      <c r="B2844" s="21" t="s">
        <v>8876</v>
      </c>
      <c r="C2844" s="13" t="s">
        <v>5187</v>
      </c>
      <c r="D2844" s="766" t="s">
        <v>10190</v>
      </c>
      <c r="E2844" s="22">
        <v>15600</v>
      </c>
      <c r="F2844" s="19"/>
      <c r="G2844" s="14">
        <f t="shared" si="54"/>
        <v>15600</v>
      </c>
      <c r="H2844" s="13"/>
    </row>
    <row r="2845" spans="1:8" x14ac:dyDescent="0.25">
      <c r="A2845" s="113">
        <v>45073</v>
      </c>
      <c r="B2845" s="21" t="s">
        <v>8876</v>
      </c>
      <c r="C2845" s="13" t="s">
        <v>5187</v>
      </c>
      <c r="D2845" s="766" t="s">
        <v>10189</v>
      </c>
      <c r="E2845" s="22">
        <v>960</v>
      </c>
      <c r="F2845" s="19"/>
      <c r="G2845" s="14">
        <f t="shared" si="54"/>
        <v>960</v>
      </c>
      <c r="H2845" s="13"/>
    </row>
    <row r="2846" spans="1:8" x14ac:dyDescent="0.25">
      <c r="A2846" s="113">
        <v>45073</v>
      </c>
      <c r="B2846" s="21" t="s">
        <v>9986</v>
      </c>
      <c r="C2846" s="13" t="s">
        <v>169</v>
      </c>
      <c r="D2846" s="766" t="s">
        <v>10191</v>
      </c>
      <c r="E2846" s="22">
        <v>7092</v>
      </c>
      <c r="F2846" s="19"/>
      <c r="G2846" s="14">
        <f t="shared" si="54"/>
        <v>7092</v>
      </c>
      <c r="H2846" s="13"/>
    </row>
    <row r="2847" spans="1:8" x14ac:dyDescent="0.25">
      <c r="A2847" s="113">
        <v>45075</v>
      </c>
      <c r="B2847" s="21" t="s">
        <v>8043</v>
      </c>
      <c r="C2847" s="13" t="s">
        <v>8091</v>
      </c>
      <c r="D2847" s="766"/>
      <c r="E2847" s="22"/>
      <c r="F2847" s="19">
        <v>1500000</v>
      </c>
      <c r="G2847" s="14">
        <f t="shared" si="54"/>
        <v>-1500000</v>
      </c>
      <c r="H2847" s="13" t="s">
        <v>9959</v>
      </c>
    </row>
    <row r="2848" spans="1:8" x14ac:dyDescent="0.25">
      <c r="A2848" s="113">
        <v>45075</v>
      </c>
      <c r="B2848" s="21" t="s">
        <v>8657</v>
      </c>
      <c r="C2848" s="13" t="s">
        <v>166</v>
      </c>
      <c r="D2848" s="766"/>
      <c r="E2848" s="22"/>
      <c r="F2848" s="19">
        <v>600000</v>
      </c>
      <c r="G2848" s="14">
        <f t="shared" si="54"/>
        <v>-600000</v>
      </c>
      <c r="H2848" s="13" t="s">
        <v>9959</v>
      </c>
    </row>
    <row r="2849" spans="1:8" x14ac:dyDescent="0.25">
      <c r="A2849" s="113">
        <v>45075</v>
      </c>
      <c r="B2849" s="21" t="s">
        <v>9661</v>
      </c>
      <c r="C2849" s="13" t="s">
        <v>166</v>
      </c>
      <c r="D2849" s="766" t="s">
        <v>9975</v>
      </c>
      <c r="E2849" s="22">
        <v>4600</v>
      </c>
      <c r="F2849" s="19"/>
      <c r="G2849" s="14">
        <f t="shared" si="54"/>
        <v>4600</v>
      </c>
      <c r="H2849" s="13" t="s">
        <v>9970</v>
      </c>
    </row>
    <row r="2850" spans="1:8" x14ac:dyDescent="0.25">
      <c r="A2850" s="113">
        <v>45075</v>
      </c>
      <c r="B2850" s="21" t="s">
        <v>9769</v>
      </c>
      <c r="C2850" s="13" t="s">
        <v>180</v>
      </c>
      <c r="D2850" s="766" t="s">
        <v>9976</v>
      </c>
      <c r="E2850" s="22">
        <v>1849080</v>
      </c>
      <c r="F2850" s="19"/>
      <c r="G2850" s="14">
        <f t="shared" si="54"/>
        <v>1849080</v>
      </c>
      <c r="H2850" s="13" t="s">
        <v>9977</v>
      </c>
    </row>
    <row r="2851" spans="1:8" x14ac:dyDescent="0.25">
      <c r="A2851" s="113">
        <v>45075</v>
      </c>
      <c r="B2851" s="21" t="s">
        <v>9661</v>
      </c>
      <c r="C2851" s="13" t="s">
        <v>7467</v>
      </c>
      <c r="D2851" s="766" t="s">
        <v>9984</v>
      </c>
      <c r="E2851" s="22">
        <v>32000</v>
      </c>
      <c r="F2851" s="19"/>
      <c r="G2851" s="14">
        <f t="shared" si="54"/>
        <v>32000</v>
      </c>
      <c r="H2851" s="13" t="s">
        <v>9985</v>
      </c>
    </row>
    <row r="2852" spans="1:8" x14ac:dyDescent="0.25">
      <c r="A2852" s="113">
        <v>45075</v>
      </c>
      <c r="B2852" s="21" t="s">
        <v>9986</v>
      </c>
      <c r="C2852" s="13" t="s">
        <v>7467</v>
      </c>
      <c r="D2852" s="766" t="s">
        <v>9987</v>
      </c>
      <c r="E2852" s="22">
        <v>25630</v>
      </c>
      <c r="F2852" s="19"/>
      <c r="G2852" s="14">
        <f t="shared" si="54"/>
        <v>25630</v>
      </c>
      <c r="H2852" s="13" t="s">
        <v>9988</v>
      </c>
    </row>
    <row r="2853" spans="1:8" x14ac:dyDescent="0.25">
      <c r="A2853" s="113">
        <v>45075</v>
      </c>
      <c r="B2853" s="21" t="s">
        <v>9661</v>
      </c>
      <c r="C2853" s="13" t="s">
        <v>8394</v>
      </c>
      <c r="D2853" s="766" t="s">
        <v>10148</v>
      </c>
      <c r="E2853" s="22">
        <v>197917</v>
      </c>
      <c r="F2853" s="19"/>
      <c r="G2853" s="14">
        <f t="shared" si="54"/>
        <v>197917</v>
      </c>
      <c r="H2853" s="13"/>
    </row>
    <row r="2854" spans="1:8" x14ac:dyDescent="0.25">
      <c r="A2854" s="113">
        <v>45076</v>
      </c>
      <c r="B2854" s="21" t="s">
        <v>10151</v>
      </c>
      <c r="C2854" s="13" t="s">
        <v>8394</v>
      </c>
      <c r="D2854" s="766" t="s">
        <v>9964</v>
      </c>
      <c r="E2854" s="22">
        <v>69785</v>
      </c>
      <c r="F2854" s="19"/>
      <c r="G2854" s="14">
        <f t="shared" si="54"/>
        <v>69785</v>
      </c>
      <c r="H2854" s="13"/>
    </row>
    <row r="2855" spans="1:8" x14ac:dyDescent="0.25">
      <c r="A2855" s="113">
        <v>45076</v>
      </c>
      <c r="B2855" s="21" t="s">
        <v>8657</v>
      </c>
      <c r="C2855" s="13" t="s">
        <v>8394</v>
      </c>
      <c r="D2855" s="766" t="s">
        <v>9965</v>
      </c>
      <c r="E2855" s="22">
        <v>44259</v>
      </c>
      <c r="F2855" s="19"/>
      <c r="G2855" s="14">
        <f t="shared" si="54"/>
        <v>44259</v>
      </c>
      <c r="H2855" s="13"/>
    </row>
    <row r="2856" spans="1:8" x14ac:dyDescent="0.25">
      <c r="A2856" s="113">
        <v>45076</v>
      </c>
      <c r="B2856" s="21" t="s">
        <v>9661</v>
      </c>
      <c r="C2856" s="13" t="s">
        <v>8394</v>
      </c>
      <c r="D2856" s="766" t="s">
        <v>9966</v>
      </c>
      <c r="E2856" s="22">
        <v>63065</v>
      </c>
      <c r="F2856" s="19"/>
      <c r="G2856" s="14">
        <f t="shared" si="54"/>
        <v>63065</v>
      </c>
      <c r="H2856" s="13"/>
    </row>
    <row r="2857" spans="1:8" x14ac:dyDescent="0.25">
      <c r="A2857" s="113">
        <v>45077</v>
      </c>
      <c r="B2857" s="21" t="s">
        <v>9661</v>
      </c>
      <c r="C2857" s="13" t="s">
        <v>166</v>
      </c>
      <c r="D2857" s="766" t="s">
        <v>9974</v>
      </c>
      <c r="E2857" s="22">
        <v>11500</v>
      </c>
      <c r="F2857" s="19"/>
      <c r="G2857" s="14">
        <f t="shared" si="54"/>
        <v>11500</v>
      </c>
      <c r="H2857" s="13" t="s">
        <v>9970</v>
      </c>
    </row>
    <row r="2858" spans="1:8" x14ac:dyDescent="0.25">
      <c r="A2858" s="113">
        <v>45076</v>
      </c>
      <c r="B2858" s="21" t="s">
        <v>9769</v>
      </c>
      <c r="C2858" s="13" t="s">
        <v>8394</v>
      </c>
      <c r="D2858" s="766"/>
      <c r="E2858" s="22"/>
      <c r="F2858" s="19">
        <v>500000</v>
      </c>
      <c r="G2858" s="14">
        <f t="shared" si="54"/>
        <v>-500000</v>
      </c>
      <c r="H2858" s="13" t="s">
        <v>9989</v>
      </c>
    </row>
    <row r="2859" spans="1:8" x14ac:dyDescent="0.25">
      <c r="A2859" s="113">
        <v>45078</v>
      </c>
      <c r="B2859" s="21" t="s">
        <v>9967</v>
      </c>
      <c r="C2859" s="13" t="s">
        <v>1803</v>
      </c>
      <c r="D2859" s="766"/>
      <c r="E2859" s="783">
        <v>4215</v>
      </c>
      <c r="F2859" s="110"/>
      <c r="G2859" s="784">
        <f>E2859-F2859</f>
        <v>4215</v>
      </c>
      <c r="H2859" s="343"/>
    </row>
    <row r="2860" spans="1:8" x14ac:dyDescent="0.25">
      <c r="A2860" s="113">
        <v>45078</v>
      </c>
      <c r="B2860" s="21" t="s">
        <v>9769</v>
      </c>
      <c r="C2860" s="13" t="s">
        <v>8394</v>
      </c>
      <c r="D2860" s="766" t="s">
        <v>10149</v>
      </c>
      <c r="E2860" s="22">
        <v>272244</v>
      </c>
      <c r="F2860" s="19"/>
      <c r="G2860" s="14">
        <f t="shared" si="54"/>
        <v>272244</v>
      </c>
      <c r="H2860" s="13"/>
    </row>
    <row r="2861" spans="1:8" x14ac:dyDescent="0.25">
      <c r="A2861" s="113">
        <v>45078</v>
      </c>
      <c r="B2861" s="21" t="s">
        <v>9356</v>
      </c>
      <c r="C2861" s="13" t="s">
        <v>8394</v>
      </c>
      <c r="D2861" s="766" t="s">
        <v>10150</v>
      </c>
      <c r="E2861" s="22">
        <v>101572</v>
      </c>
      <c r="F2861" s="19"/>
      <c r="G2861" s="14">
        <f t="shared" si="54"/>
        <v>101572</v>
      </c>
      <c r="H2861" s="13"/>
    </row>
    <row r="2862" spans="1:8" x14ac:dyDescent="0.25">
      <c r="A2862" s="113">
        <v>45079</v>
      </c>
      <c r="B2862" s="21" t="s">
        <v>9661</v>
      </c>
      <c r="C2862" s="13" t="s">
        <v>166</v>
      </c>
      <c r="D2862" s="766" t="s">
        <v>10261</v>
      </c>
      <c r="E2862" s="22">
        <v>16100</v>
      </c>
      <c r="F2862" s="19"/>
      <c r="G2862" s="14">
        <f t="shared" si="54"/>
        <v>16100</v>
      </c>
      <c r="H2862" s="13"/>
    </row>
    <row r="2863" spans="1:8" x14ac:dyDescent="0.25">
      <c r="A2863" s="113">
        <v>45079</v>
      </c>
      <c r="B2863" s="21" t="s">
        <v>9967</v>
      </c>
      <c r="C2863" s="13" t="s">
        <v>1803</v>
      </c>
      <c r="D2863" s="766"/>
      <c r="E2863" s="783">
        <v>14792</v>
      </c>
      <c r="F2863" s="110"/>
      <c r="G2863" s="784">
        <f>E2863-F2863</f>
        <v>14792</v>
      </c>
      <c r="H2863" s="343"/>
    </row>
    <row r="2864" spans="1:8" x14ac:dyDescent="0.25">
      <c r="A2864" s="113">
        <v>45080</v>
      </c>
      <c r="B2864" s="21" t="s">
        <v>10151</v>
      </c>
      <c r="C2864" s="13" t="s">
        <v>8394</v>
      </c>
      <c r="D2864" s="766" t="s">
        <v>10152</v>
      </c>
      <c r="E2864" s="22">
        <v>352684</v>
      </c>
      <c r="F2864" s="19"/>
      <c r="G2864" s="14">
        <f t="shared" si="54"/>
        <v>352684</v>
      </c>
      <c r="H2864" s="13"/>
    </row>
    <row r="2865" spans="1:8" x14ac:dyDescent="0.25">
      <c r="A2865" s="113">
        <v>45080</v>
      </c>
      <c r="B2865" s="21" t="s">
        <v>9661</v>
      </c>
      <c r="C2865" s="13" t="s">
        <v>8394</v>
      </c>
      <c r="D2865" s="766" t="s">
        <v>8384</v>
      </c>
      <c r="E2865" s="22">
        <v>71932</v>
      </c>
      <c r="F2865" s="19"/>
      <c r="G2865" s="14">
        <f t="shared" si="54"/>
        <v>71932</v>
      </c>
      <c r="H2865" s="13"/>
    </row>
    <row r="2866" spans="1:8" x14ac:dyDescent="0.25">
      <c r="A2866" s="113">
        <v>45080</v>
      </c>
      <c r="B2866" s="21" t="s">
        <v>8657</v>
      </c>
      <c r="C2866" s="13" t="s">
        <v>8394</v>
      </c>
      <c r="D2866" s="766" t="s">
        <v>8385</v>
      </c>
      <c r="E2866" s="22">
        <v>19825</v>
      </c>
      <c r="F2866" s="19"/>
      <c r="G2866" s="14">
        <f t="shared" si="54"/>
        <v>19825</v>
      </c>
      <c r="H2866" s="13"/>
    </row>
    <row r="2867" spans="1:8" x14ac:dyDescent="0.25">
      <c r="A2867" s="113">
        <v>45082</v>
      </c>
      <c r="B2867" s="21" t="s">
        <v>9661</v>
      </c>
      <c r="C2867" s="13" t="s">
        <v>8394</v>
      </c>
      <c r="D2867" s="766" t="s">
        <v>10153</v>
      </c>
      <c r="E2867" s="22">
        <v>106851</v>
      </c>
      <c r="F2867" s="19"/>
      <c r="G2867" s="14">
        <f t="shared" si="54"/>
        <v>106851</v>
      </c>
      <c r="H2867" s="13"/>
    </row>
    <row r="2868" spans="1:8" x14ac:dyDescent="0.25">
      <c r="A2868" s="113">
        <v>45083</v>
      </c>
      <c r="B2868" s="21" t="s">
        <v>9356</v>
      </c>
      <c r="C2868" s="13" t="s">
        <v>7467</v>
      </c>
      <c r="D2868" s="766" t="s">
        <v>10265</v>
      </c>
      <c r="E2868" s="22">
        <v>59395</v>
      </c>
      <c r="F2868" s="19"/>
      <c r="G2868" s="14">
        <f t="shared" si="54"/>
        <v>59395</v>
      </c>
      <c r="H2868" s="13"/>
    </row>
    <row r="2869" spans="1:8" x14ac:dyDescent="0.25">
      <c r="A2869" s="113">
        <v>45083</v>
      </c>
      <c r="B2869" s="21" t="s">
        <v>8657</v>
      </c>
      <c r="C2869" s="13" t="s">
        <v>5681</v>
      </c>
      <c r="D2869" s="766"/>
      <c r="E2869" s="22"/>
      <c r="F2869" s="19">
        <v>200000</v>
      </c>
      <c r="G2869" s="14">
        <f t="shared" si="54"/>
        <v>-200000</v>
      </c>
      <c r="H2869" s="13" t="s">
        <v>1157</v>
      </c>
    </row>
    <row r="2870" spans="1:8" x14ac:dyDescent="0.25">
      <c r="A2870" s="113">
        <v>45083</v>
      </c>
      <c r="B2870" s="21" t="s">
        <v>9769</v>
      </c>
      <c r="C2870" s="13" t="s">
        <v>180</v>
      </c>
      <c r="D2870" s="766"/>
      <c r="E2870" s="22"/>
      <c r="F2870" s="19">
        <v>1800000</v>
      </c>
      <c r="G2870" s="14">
        <f t="shared" si="54"/>
        <v>-1800000</v>
      </c>
      <c r="H2870" s="13" t="s">
        <v>1157</v>
      </c>
    </row>
    <row r="2871" spans="1:8" x14ac:dyDescent="0.25">
      <c r="A2871" s="113">
        <v>45084</v>
      </c>
      <c r="B2871" s="21" t="s">
        <v>10151</v>
      </c>
      <c r="C2871" s="13" t="s">
        <v>8394</v>
      </c>
      <c r="D2871" s="766" t="s">
        <v>10154</v>
      </c>
      <c r="E2871" s="22">
        <v>131823</v>
      </c>
      <c r="F2871" s="19"/>
      <c r="G2871" s="14">
        <f t="shared" si="54"/>
        <v>131823</v>
      </c>
      <c r="H2871" s="54"/>
    </row>
    <row r="2872" spans="1:8" x14ac:dyDescent="0.25">
      <c r="A2872" s="113">
        <v>45084</v>
      </c>
      <c r="B2872" s="21" t="s">
        <v>9967</v>
      </c>
      <c r="C2872" s="13" t="s">
        <v>1803</v>
      </c>
      <c r="D2872" s="766"/>
      <c r="E2872" s="783">
        <v>10679</v>
      </c>
      <c r="F2872" s="110"/>
      <c r="G2872" s="784">
        <f>E2872-F2872</f>
        <v>10679</v>
      </c>
      <c r="H2872" s="343"/>
    </row>
    <row r="2873" spans="1:8" x14ac:dyDescent="0.25">
      <c r="A2873" s="113">
        <v>45085</v>
      </c>
      <c r="B2873" s="21" t="s">
        <v>9661</v>
      </c>
      <c r="C2873" s="13" t="s">
        <v>8394</v>
      </c>
      <c r="D2873" s="766" t="s">
        <v>8386</v>
      </c>
      <c r="E2873" s="22">
        <v>146079</v>
      </c>
      <c r="F2873" s="110"/>
      <c r="G2873" s="14">
        <f t="shared" si="54"/>
        <v>146079</v>
      </c>
      <c r="H2873" s="54"/>
    </row>
    <row r="2874" spans="1:8" ht="16.5" thickBot="1" x14ac:dyDescent="0.3">
      <c r="A2874" s="113">
        <v>45085</v>
      </c>
      <c r="B2874" s="958" t="s">
        <v>8657</v>
      </c>
      <c r="C2874" s="13" t="s">
        <v>8394</v>
      </c>
      <c r="D2874" s="959" t="s">
        <v>10155</v>
      </c>
      <c r="E2874" s="960">
        <v>201282</v>
      </c>
      <c r="F2874" s="214"/>
      <c r="G2874" s="961">
        <f t="shared" si="54"/>
        <v>201282</v>
      </c>
      <c r="H2874" s="54"/>
    </row>
    <row r="2875" spans="1:8" x14ac:dyDescent="0.25">
      <c r="A2875" s="957">
        <v>45086</v>
      </c>
      <c r="B2875" s="958" t="s">
        <v>7953</v>
      </c>
      <c r="C2875" s="55" t="s">
        <v>7467</v>
      </c>
      <c r="D2875" s="959"/>
      <c r="E2875" s="960"/>
      <c r="F2875" s="785">
        <v>111043</v>
      </c>
      <c r="G2875" s="961">
        <f t="shared" si="54"/>
        <v>-111043</v>
      </c>
      <c r="H2875" s="1247" t="s">
        <v>10127</v>
      </c>
    </row>
    <row r="2876" spans="1:8" x14ac:dyDescent="0.25">
      <c r="A2876" s="113">
        <v>45086</v>
      </c>
      <c r="B2876" s="21" t="s">
        <v>8043</v>
      </c>
      <c r="C2876" s="13" t="s">
        <v>7467</v>
      </c>
      <c r="D2876" s="766"/>
      <c r="E2876" s="783"/>
      <c r="F2876" s="142">
        <v>176124</v>
      </c>
      <c r="G2876" s="784">
        <f t="shared" ref="G2876:G2943" si="57">E2876-F2876</f>
        <v>-176124</v>
      </c>
      <c r="H2876" s="1249"/>
    </row>
    <row r="2877" spans="1:8" x14ac:dyDescent="0.25">
      <c r="A2877" s="113">
        <v>45086</v>
      </c>
      <c r="B2877" s="21" t="s">
        <v>8339</v>
      </c>
      <c r="C2877" s="13" t="s">
        <v>7467</v>
      </c>
      <c r="D2877" s="766"/>
      <c r="E2877" s="783"/>
      <c r="F2877" s="142">
        <v>265939</v>
      </c>
      <c r="G2877" s="784">
        <f t="shared" si="57"/>
        <v>-265939</v>
      </c>
      <c r="H2877" s="1249"/>
    </row>
    <row r="2878" spans="1:8" x14ac:dyDescent="0.25">
      <c r="A2878" s="113">
        <v>45086</v>
      </c>
      <c r="B2878" s="21" t="s">
        <v>8559</v>
      </c>
      <c r="C2878" s="13" t="s">
        <v>7467</v>
      </c>
      <c r="D2878" s="766"/>
      <c r="E2878" s="783"/>
      <c r="F2878" s="142">
        <v>245863</v>
      </c>
      <c r="G2878" s="784">
        <f t="shared" si="57"/>
        <v>-245863</v>
      </c>
      <c r="H2878" s="1249"/>
    </row>
    <row r="2879" spans="1:8" ht="16.5" thickBot="1" x14ac:dyDescent="0.3">
      <c r="A2879" s="113">
        <v>45086</v>
      </c>
      <c r="B2879" s="21" t="s">
        <v>8876</v>
      </c>
      <c r="C2879" s="13" t="s">
        <v>7467</v>
      </c>
      <c r="D2879" s="766"/>
      <c r="E2879" s="783"/>
      <c r="F2879" s="786">
        <v>201031</v>
      </c>
      <c r="G2879" s="784">
        <f t="shared" si="57"/>
        <v>-201031</v>
      </c>
      <c r="H2879" s="1248"/>
    </row>
    <row r="2880" spans="1:8" ht="18.75" x14ac:dyDescent="0.25">
      <c r="A2880" s="113">
        <v>45086</v>
      </c>
      <c r="B2880" s="21" t="s">
        <v>10122</v>
      </c>
      <c r="C2880" s="13" t="s">
        <v>5187</v>
      </c>
      <c r="D2880" s="766"/>
      <c r="E2880" s="783"/>
      <c r="F2880" s="214">
        <v>80000</v>
      </c>
      <c r="G2880" s="784">
        <f t="shared" si="57"/>
        <v>-80000</v>
      </c>
      <c r="H2880" s="1108" t="s">
        <v>12146</v>
      </c>
    </row>
    <row r="2881" spans="1:8" x14ac:dyDescent="0.25">
      <c r="A2881" s="113">
        <v>45089</v>
      </c>
      <c r="B2881" s="21" t="s">
        <v>8657</v>
      </c>
      <c r="C2881" s="13" t="s">
        <v>8394</v>
      </c>
      <c r="D2881" s="766" t="s">
        <v>10156</v>
      </c>
      <c r="E2881" s="22">
        <v>100747</v>
      </c>
      <c r="F2881" s="112"/>
      <c r="G2881" s="784">
        <f t="shared" si="57"/>
        <v>100747</v>
      </c>
      <c r="H2881" s="13"/>
    </row>
    <row r="2882" spans="1:8" x14ac:dyDescent="0.25">
      <c r="A2882" s="113">
        <v>45089</v>
      </c>
      <c r="B2882" s="21" t="s">
        <v>9769</v>
      </c>
      <c r="C2882" s="13" t="s">
        <v>8394</v>
      </c>
      <c r="D2882" s="766"/>
      <c r="E2882" s="22"/>
      <c r="F2882" s="19">
        <v>1050000</v>
      </c>
      <c r="G2882" s="784">
        <f t="shared" si="57"/>
        <v>-1050000</v>
      </c>
      <c r="H2882" s="1232" t="s">
        <v>10127</v>
      </c>
    </row>
    <row r="2883" spans="1:8" x14ac:dyDescent="0.25">
      <c r="A2883" s="113">
        <v>45089</v>
      </c>
      <c r="B2883" s="21" t="s">
        <v>9661</v>
      </c>
      <c r="C2883" s="13" t="s">
        <v>8394</v>
      </c>
      <c r="D2883" s="766"/>
      <c r="E2883" s="22"/>
      <c r="F2883" s="19">
        <v>100000</v>
      </c>
      <c r="G2883" s="14">
        <f t="shared" si="57"/>
        <v>-100000</v>
      </c>
      <c r="H2883" s="1233"/>
    </row>
    <row r="2884" spans="1:8" x14ac:dyDescent="0.25">
      <c r="A2884" s="113">
        <v>45089</v>
      </c>
      <c r="B2884" s="21" t="s">
        <v>8657</v>
      </c>
      <c r="C2884" s="13" t="s">
        <v>8394</v>
      </c>
      <c r="D2884" s="766"/>
      <c r="E2884" s="22"/>
      <c r="F2884" s="19">
        <v>350000</v>
      </c>
      <c r="G2884" s="14">
        <f t="shared" si="57"/>
        <v>-350000</v>
      </c>
      <c r="H2884" s="1234"/>
    </row>
    <row r="2885" spans="1:8" x14ac:dyDescent="0.25">
      <c r="A2885" s="113">
        <v>45090</v>
      </c>
      <c r="B2885" s="21" t="s">
        <v>9967</v>
      </c>
      <c r="C2885" s="13" t="s">
        <v>169</v>
      </c>
      <c r="D2885" s="766" t="s">
        <v>10192</v>
      </c>
      <c r="E2885" s="22">
        <v>23382</v>
      </c>
      <c r="F2885" s="19"/>
      <c r="G2885" s="14">
        <f t="shared" si="57"/>
        <v>23382</v>
      </c>
      <c r="H2885" s="13"/>
    </row>
    <row r="2886" spans="1:8" x14ac:dyDescent="0.25">
      <c r="A2886" s="113">
        <v>45091</v>
      </c>
      <c r="B2886" s="21" t="s">
        <v>8657</v>
      </c>
      <c r="C2886" s="13" t="s">
        <v>5681</v>
      </c>
      <c r="D2886" s="766"/>
      <c r="E2886" s="22"/>
      <c r="F2886" s="19">
        <v>342000</v>
      </c>
      <c r="G2886" s="14">
        <f t="shared" si="57"/>
        <v>-342000</v>
      </c>
      <c r="H2886" s="13" t="s">
        <v>10177</v>
      </c>
    </row>
    <row r="2887" spans="1:8" x14ac:dyDescent="0.25">
      <c r="A2887" s="113">
        <v>45091</v>
      </c>
      <c r="B2887" s="21" t="s">
        <v>9356</v>
      </c>
      <c r="C2887" s="13" t="s">
        <v>7467</v>
      </c>
      <c r="D2887" s="766" t="s">
        <v>10266</v>
      </c>
      <c r="E2887" s="22">
        <v>94595</v>
      </c>
      <c r="F2887" s="110"/>
      <c r="G2887" s="14">
        <f t="shared" si="57"/>
        <v>94595</v>
      </c>
      <c r="H2887" s="13"/>
    </row>
    <row r="2888" spans="1:8" x14ac:dyDescent="0.25">
      <c r="A2888" s="113">
        <v>45091</v>
      </c>
      <c r="B2888" s="21" t="s">
        <v>9967</v>
      </c>
      <c r="C2888" s="13" t="s">
        <v>1803</v>
      </c>
      <c r="D2888" s="766"/>
      <c r="E2888" s="783">
        <v>1177</v>
      </c>
      <c r="F2888" s="110"/>
      <c r="G2888" s="784">
        <f>E2888-F2888</f>
        <v>1177</v>
      </c>
      <c r="H2888" s="343"/>
    </row>
    <row r="2889" spans="1:8" x14ac:dyDescent="0.25">
      <c r="A2889" s="113">
        <v>45092</v>
      </c>
      <c r="B2889" s="21" t="s">
        <v>8657</v>
      </c>
      <c r="C2889" s="13" t="s">
        <v>8394</v>
      </c>
      <c r="D2889" s="766" t="s">
        <v>10257</v>
      </c>
      <c r="E2889" s="22">
        <v>72442</v>
      </c>
      <c r="F2889" s="110"/>
      <c r="G2889" s="14">
        <f t="shared" si="57"/>
        <v>72442</v>
      </c>
      <c r="H2889" s="13"/>
    </row>
    <row r="2890" spans="1:8" x14ac:dyDescent="0.25">
      <c r="A2890" s="113">
        <v>45092</v>
      </c>
      <c r="B2890" s="21" t="s">
        <v>10151</v>
      </c>
      <c r="C2890" s="13" t="s">
        <v>8394</v>
      </c>
      <c r="D2890" s="766" t="s">
        <v>10258</v>
      </c>
      <c r="E2890" s="22">
        <v>10332</v>
      </c>
      <c r="F2890" s="110"/>
      <c r="G2890" s="14">
        <f t="shared" si="57"/>
        <v>10332</v>
      </c>
      <c r="H2890" s="13"/>
    </row>
    <row r="2891" spans="1:8" x14ac:dyDescent="0.25">
      <c r="A2891" s="113">
        <v>45092</v>
      </c>
      <c r="B2891" s="21" t="s">
        <v>9967</v>
      </c>
      <c r="C2891" s="13" t="s">
        <v>168</v>
      </c>
      <c r="D2891" s="766" t="s">
        <v>10262</v>
      </c>
      <c r="E2891" s="22">
        <v>82924</v>
      </c>
      <c r="F2891" s="110"/>
      <c r="G2891" s="14">
        <f t="shared" si="57"/>
        <v>82924</v>
      </c>
      <c r="H2891" s="13"/>
    </row>
    <row r="2892" spans="1:8" x14ac:dyDescent="0.25">
      <c r="A2892" s="113">
        <v>45093</v>
      </c>
      <c r="B2892" s="21" t="s">
        <v>9356</v>
      </c>
      <c r="C2892" s="13" t="s">
        <v>7467</v>
      </c>
      <c r="D2892" s="766" t="s">
        <v>10267</v>
      </c>
      <c r="E2892" s="22">
        <v>118790</v>
      </c>
      <c r="F2892" s="110"/>
      <c r="G2892" s="14">
        <f t="shared" si="57"/>
        <v>118790</v>
      </c>
      <c r="H2892" s="13"/>
    </row>
    <row r="2893" spans="1:8" ht="16.5" thickBot="1" x14ac:dyDescent="0.3">
      <c r="A2893" s="113">
        <v>45094</v>
      </c>
      <c r="B2893" s="21" t="s">
        <v>9967</v>
      </c>
      <c r="C2893" s="13" t="s">
        <v>164</v>
      </c>
      <c r="D2893" s="766" t="s">
        <v>10231</v>
      </c>
      <c r="E2893" s="22">
        <v>3287</v>
      </c>
      <c r="F2893" s="110"/>
      <c r="G2893" s="14">
        <f t="shared" si="57"/>
        <v>3287</v>
      </c>
      <c r="H2893" s="13"/>
    </row>
    <row r="2894" spans="1:8" x14ac:dyDescent="0.25">
      <c r="A2894" s="113">
        <v>45094</v>
      </c>
      <c r="B2894" s="21" t="s">
        <v>9409</v>
      </c>
      <c r="C2894" s="13" t="s">
        <v>180</v>
      </c>
      <c r="D2894" s="766"/>
      <c r="E2894" s="783"/>
      <c r="F2894" s="785">
        <v>670000</v>
      </c>
      <c r="G2894" s="784">
        <f t="shared" si="57"/>
        <v>-670000</v>
      </c>
      <c r="H2894" s="1220" t="s">
        <v>10233</v>
      </c>
    </row>
    <row r="2895" spans="1:8" x14ac:dyDescent="0.25">
      <c r="A2895" s="113">
        <v>45094</v>
      </c>
      <c r="B2895" s="21" t="s">
        <v>9769</v>
      </c>
      <c r="C2895" s="13" t="s">
        <v>180</v>
      </c>
      <c r="D2895" s="766"/>
      <c r="E2895" s="783"/>
      <c r="F2895" s="142">
        <v>49080</v>
      </c>
      <c r="G2895" s="784">
        <f t="shared" si="57"/>
        <v>-49080</v>
      </c>
      <c r="H2895" s="1221"/>
    </row>
    <row r="2896" spans="1:8" x14ac:dyDescent="0.25">
      <c r="A2896" s="113">
        <v>45094</v>
      </c>
      <c r="B2896" s="21" t="s">
        <v>10296</v>
      </c>
      <c r="C2896" s="13" t="s">
        <v>180</v>
      </c>
      <c r="D2896" s="766"/>
      <c r="E2896" s="783"/>
      <c r="F2896" s="147">
        <v>151960</v>
      </c>
      <c r="G2896" s="784">
        <f t="shared" si="57"/>
        <v>-151960</v>
      </c>
      <c r="H2896" s="1221"/>
    </row>
    <row r="2897" spans="1:8" ht="16.5" thickBot="1" x14ac:dyDescent="0.3">
      <c r="A2897" s="113">
        <v>45094</v>
      </c>
      <c r="B2897" s="21" t="s">
        <v>10232</v>
      </c>
      <c r="C2897" s="13" t="s">
        <v>180</v>
      </c>
      <c r="D2897" s="766"/>
      <c r="E2897" s="783"/>
      <c r="F2897" s="786">
        <f>875000-F2896-F2895-F2894</f>
        <v>3960</v>
      </c>
      <c r="G2897" s="784">
        <f t="shared" si="57"/>
        <v>-3960</v>
      </c>
      <c r="H2897" s="1222"/>
    </row>
    <row r="2898" spans="1:8" x14ac:dyDescent="0.25">
      <c r="A2898" s="113">
        <v>45094</v>
      </c>
      <c r="B2898" s="21" t="s">
        <v>9986</v>
      </c>
      <c r="C2898" s="13" t="s">
        <v>169</v>
      </c>
      <c r="D2898" s="766" t="s">
        <v>10249</v>
      </c>
      <c r="E2898" s="783">
        <v>95762</v>
      </c>
      <c r="F2898" s="214"/>
      <c r="G2898" s="784">
        <f t="shared" si="57"/>
        <v>95762</v>
      </c>
      <c r="H2898" s="343"/>
    </row>
    <row r="2899" spans="1:8" x14ac:dyDescent="0.25">
      <c r="A2899" s="113">
        <v>45094</v>
      </c>
      <c r="B2899" s="21" t="s">
        <v>9986</v>
      </c>
      <c r="C2899" s="13" t="s">
        <v>164</v>
      </c>
      <c r="D2899" s="766" t="s">
        <v>10681</v>
      </c>
      <c r="E2899" s="22">
        <v>5855</v>
      </c>
      <c r="F2899" s="19"/>
      <c r="G2899" s="14">
        <f>E2899-F2899</f>
        <v>5855</v>
      </c>
      <c r="H2899" s="13"/>
    </row>
    <row r="2900" spans="1:8" x14ac:dyDescent="0.25">
      <c r="A2900" s="113">
        <v>45094</v>
      </c>
      <c r="B2900" s="21" t="s">
        <v>9356</v>
      </c>
      <c r="C2900" s="13" t="s">
        <v>8394</v>
      </c>
      <c r="D2900" s="766" t="s">
        <v>10259</v>
      </c>
      <c r="E2900" s="783">
        <v>194536</v>
      </c>
      <c r="F2900" s="110"/>
      <c r="G2900" s="784">
        <f t="shared" si="57"/>
        <v>194536</v>
      </c>
      <c r="H2900" s="343"/>
    </row>
    <row r="2901" spans="1:8" x14ac:dyDescent="0.25">
      <c r="A2901" s="113">
        <v>45096</v>
      </c>
      <c r="B2901" s="21" t="s">
        <v>8657</v>
      </c>
      <c r="C2901" s="13" t="s">
        <v>8394</v>
      </c>
      <c r="D2901" s="766" t="s">
        <v>10260</v>
      </c>
      <c r="E2901" s="783">
        <v>23532</v>
      </c>
      <c r="F2901" s="110"/>
      <c r="G2901" s="784">
        <f t="shared" si="57"/>
        <v>23532</v>
      </c>
      <c r="H2901" s="343"/>
    </row>
    <row r="2902" spans="1:8" x14ac:dyDescent="0.25">
      <c r="A2902" s="113">
        <v>45096</v>
      </c>
      <c r="B2902" s="21" t="s">
        <v>9967</v>
      </c>
      <c r="C2902" s="13" t="s">
        <v>164</v>
      </c>
      <c r="D2902" s="766" t="s">
        <v>10230</v>
      </c>
      <c r="E2902" s="22">
        <v>1786</v>
      </c>
      <c r="F2902" s="110"/>
      <c r="G2902" s="14">
        <f t="shared" si="57"/>
        <v>1786</v>
      </c>
      <c r="H2902" s="13"/>
    </row>
    <row r="2903" spans="1:8" x14ac:dyDescent="0.25">
      <c r="A2903" s="113">
        <v>45096</v>
      </c>
      <c r="B2903" s="21" t="s">
        <v>9832</v>
      </c>
      <c r="C2903" s="13" t="s">
        <v>168</v>
      </c>
      <c r="D2903" s="766" t="s">
        <v>10263</v>
      </c>
      <c r="E2903" s="22"/>
      <c r="F2903" s="110"/>
      <c r="G2903" s="14">
        <f t="shared" si="57"/>
        <v>0</v>
      </c>
      <c r="H2903" s="13"/>
    </row>
    <row r="2904" spans="1:8" x14ac:dyDescent="0.25">
      <c r="A2904" s="113">
        <v>45096</v>
      </c>
      <c r="B2904" s="21" t="s">
        <v>9986</v>
      </c>
      <c r="C2904" s="13" t="s">
        <v>168</v>
      </c>
      <c r="D2904" s="766" t="s">
        <v>10264</v>
      </c>
      <c r="E2904" s="22">
        <v>399840</v>
      </c>
      <c r="F2904" s="110"/>
      <c r="G2904" s="14">
        <f t="shared" si="57"/>
        <v>399840</v>
      </c>
      <c r="H2904" s="13"/>
    </row>
    <row r="2905" spans="1:8" x14ac:dyDescent="0.25">
      <c r="A2905" s="113">
        <v>45096</v>
      </c>
      <c r="B2905" s="21" t="s">
        <v>9986</v>
      </c>
      <c r="C2905" s="13" t="s">
        <v>169</v>
      </c>
      <c r="D2905" s="766" t="s">
        <v>10250</v>
      </c>
      <c r="E2905" s="22">
        <v>5187</v>
      </c>
      <c r="F2905" s="110"/>
      <c r="G2905" s="14">
        <f t="shared" si="57"/>
        <v>5187</v>
      </c>
      <c r="H2905" s="13"/>
    </row>
    <row r="2906" spans="1:8" x14ac:dyDescent="0.25">
      <c r="A2906" s="113">
        <v>45096</v>
      </c>
      <c r="B2906" s="21" t="s">
        <v>9967</v>
      </c>
      <c r="C2906" s="13" t="s">
        <v>169</v>
      </c>
      <c r="D2906" s="766" t="s">
        <v>10251</v>
      </c>
      <c r="E2906" s="22">
        <v>23382</v>
      </c>
      <c r="F2906" s="112"/>
      <c r="G2906" s="14">
        <f t="shared" si="57"/>
        <v>23382</v>
      </c>
      <c r="H2906" s="13"/>
    </row>
    <row r="2907" spans="1:8" x14ac:dyDescent="0.25">
      <c r="A2907" s="113">
        <v>45096</v>
      </c>
      <c r="B2907" s="21" t="s">
        <v>9356</v>
      </c>
      <c r="C2907" s="13" t="s">
        <v>169</v>
      </c>
      <c r="D2907" s="766" t="s">
        <v>10252</v>
      </c>
      <c r="E2907" s="22">
        <v>616374</v>
      </c>
      <c r="F2907" s="111"/>
      <c r="G2907" s="14">
        <f t="shared" si="57"/>
        <v>616374</v>
      </c>
      <c r="H2907" s="13"/>
    </row>
    <row r="2908" spans="1:8" ht="16.5" thickBot="1" x14ac:dyDescent="0.3">
      <c r="A2908" s="113">
        <v>45096</v>
      </c>
      <c r="B2908" s="21" t="s">
        <v>9832</v>
      </c>
      <c r="C2908" s="13" t="s">
        <v>168</v>
      </c>
      <c r="D2908" s="766" t="s">
        <v>10263</v>
      </c>
      <c r="E2908" s="783">
        <v>1523704</v>
      </c>
      <c r="F2908" s="214"/>
      <c r="G2908" s="784">
        <f t="shared" si="57"/>
        <v>1523704</v>
      </c>
      <c r="H2908" s="54"/>
    </row>
    <row r="2909" spans="1:8" x14ac:dyDescent="0.25">
      <c r="A2909" s="113">
        <v>45096</v>
      </c>
      <c r="B2909" s="21" t="s">
        <v>9356</v>
      </c>
      <c r="C2909" s="13" t="s">
        <v>169</v>
      </c>
      <c r="D2909" s="766"/>
      <c r="E2909" s="783"/>
      <c r="F2909" s="785">
        <v>55562</v>
      </c>
      <c r="G2909" s="784">
        <f t="shared" si="57"/>
        <v>-55562</v>
      </c>
      <c r="H2909" s="1220" t="s">
        <v>10256</v>
      </c>
    </row>
    <row r="2910" spans="1:8" x14ac:dyDescent="0.25">
      <c r="A2910" s="113">
        <v>45096</v>
      </c>
      <c r="B2910" s="21" t="s">
        <v>9967</v>
      </c>
      <c r="C2910" s="13" t="s">
        <v>169</v>
      </c>
      <c r="D2910" s="766"/>
      <c r="E2910" s="783"/>
      <c r="F2910" s="152">
        <v>23382</v>
      </c>
      <c r="G2910" s="784">
        <f t="shared" si="57"/>
        <v>-23382</v>
      </c>
      <c r="H2910" s="1221"/>
    </row>
    <row r="2911" spans="1:8" ht="16.5" thickBot="1" x14ac:dyDescent="0.3">
      <c r="A2911" s="113">
        <v>45096</v>
      </c>
      <c r="B2911" s="21" t="s">
        <v>9986</v>
      </c>
      <c r="C2911" s="13" t="s">
        <v>169</v>
      </c>
      <c r="D2911" s="766"/>
      <c r="E2911" s="783"/>
      <c r="F2911" s="296">
        <v>102854</v>
      </c>
      <c r="G2911" s="784">
        <f t="shared" si="57"/>
        <v>-102854</v>
      </c>
      <c r="H2911" s="1222"/>
    </row>
    <row r="2912" spans="1:8" ht="16.5" thickBot="1" x14ac:dyDescent="0.3">
      <c r="A2912" s="113">
        <v>45097</v>
      </c>
      <c r="B2912" s="21" t="s">
        <v>9356</v>
      </c>
      <c r="C2912" s="13" t="s">
        <v>169</v>
      </c>
      <c r="D2912" s="766"/>
      <c r="E2912" s="783"/>
      <c r="F2912" s="301">
        <v>250000</v>
      </c>
      <c r="G2912" s="784">
        <f t="shared" si="57"/>
        <v>-250000</v>
      </c>
      <c r="H2912" s="13" t="s">
        <v>10219</v>
      </c>
    </row>
    <row r="2913" spans="1:8" ht="16.5" thickBot="1" x14ac:dyDescent="0.3">
      <c r="A2913" s="113">
        <v>45097</v>
      </c>
      <c r="B2913" s="21" t="s">
        <v>9356</v>
      </c>
      <c r="C2913" s="13" t="s">
        <v>169</v>
      </c>
      <c r="D2913" s="766"/>
      <c r="E2913" s="783"/>
      <c r="F2913" s="301">
        <v>250000</v>
      </c>
      <c r="G2913" s="784">
        <f t="shared" si="57"/>
        <v>-250000</v>
      </c>
      <c r="H2913" s="13" t="s">
        <v>10219</v>
      </c>
    </row>
    <row r="2914" spans="1:8" x14ac:dyDescent="0.25">
      <c r="A2914" s="113">
        <v>45096</v>
      </c>
      <c r="B2914" s="21" t="s">
        <v>1400</v>
      </c>
      <c r="C2914" s="13" t="s">
        <v>164</v>
      </c>
      <c r="D2914" s="766"/>
      <c r="E2914" s="22"/>
      <c r="F2914" s="112">
        <v>7264</v>
      </c>
      <c r="G2914" s="14">
        <f t="shared" si="57"/>
        <v>-7264</v>
      </c>
      <c r="H2914" s="1172" t="s">
        <v>10235</v>
      </c>
    </row>
    <row r="2915" spans="1:8" x14ac:dyDescent="0.25">
      <c r="A2915" s="113">
        <v>45096</v>
      </c>
      <c r="B2915" s="21" t="s">
        <v>6505</v>
      </c>
      <c r="C2915" s="13" t="s">
        <v>164</v>
      </c>
      <c r="D2915" s="766"/>
      <c r="E2915" s="22"/>
      <c r="F2915" s="19">
        <v>1320</v>
      </c>
      <c r="G2915" s="14">
        <f t="shared" si="57"/>
        <v>-1320</v>
      </c>
      <c r="H2915" s="1224"/>
    </row>
    <row r="2916" spans="1:8" x14ac:dyDescent="0.25">
      <c r="A2916" s="113">
        <v>45096</v>
      </c>
      <c r="B2916" s="21" t="s">
        <v>8868</v>
      </c>
      <c r="C2916" s="13" t="s">
        <v>164</v>
      </c>
      <c r="D2916" s="766"/>
      <c r="E2916" s="22"/>
      <c r="F2916" s="19">
        <v>2773</v>
      </c>
      <c r="G2916" s="14">
        <f t="shared" si="57"/>
        <v>-2773</v>
      </c>
      <c r="H2916" s="1224"/>
    </row>
    <row r="2917" spans="1:8" x14ac:dyDescent="0.25">
      <c r="A2917" s="113">
        <v>45096</v>
      </c>
      <c r="B2917" s="21" t="s">
        <v>9356</v>
      </c>
      <c r="C2917" s="13" t="s">
        <v>164</v>
      </c>
      <c r="D2917" s="766"/>
      <c r="E2917" s="22"/>
      <c r="F2917" s="19">
        <v>12911</v>
      </c>
      <c r="G2917" s="14">
        <f t="shared" si="57"/>
        <v>-12911</v>
      </c>
      <c r="H2917" s="1224"/>
    </row>
    <row r="2918" spans="1:8" x14ac:dyDescent="0.25">
      <c r="A2918" s="113">
        <v>45096</v>
      </c>
      <c r="B2918" s="21" t="s">
        <v>9507</v>
      </c>
      <c r="C2918" s="13" t="s">
        <v>164</v>
      </c>
      <c r="D2918" s="766"/>
      <c r="E2918" s="22"/>
      <c r="F2918" s="19">
        <v>3303</v>
      </c>
      <c r="G2918" s="14">
        <f t="shared" si="57"/>
        <v>-3303</v>
      </c>
      <c r="H2918" s="1224"/>
    </row>
    <row r="2919" spans="1:8" x14ac:dyDescent="0.25">
      <c r="A2919" s="113">
        <v>45096</v>
      </c>
      <c r="B2919" s="21" t="s">
        <v>10911</v>
      </c>
      <c r="C2919" s="13" t="s">
        <v>164</v>
      </c>
      <c r="D2919" s="766"/>
      <c r="E2919" s="22"/>
      <c r="F2919" s="19">
        <v>64935</v>
      </c>
      <c r="G2919" s="14">
        <f t="shared" si="57"/>
        <v>-64935</v>
      </c>
      <c r="H2919" s="1224"/>
    </row>
    <row r="2920" spans="1:8" x14ac:dyDescent="0.25">
      <c r="A2920" s="113">
        <v>45096</v>
      </c>
      <c r="B2920" s="21" t="s">
        <v>9967</v>
      </c>
      <c r="C2920" s="13" t="s">
        <v>164</v>
      </c>
      <c r="D2920" s="766"/>
      <c r="E2920" s="22"/>
      <c r="F2920" s="19">
        <v>5073</v>
      </c>
      <c r="G2920" s="14">
        <f t="shared" si="57"/>
        <v>-5073</v>
      </c>
      <c r="H2920" s="1224"/>
    </row>
    <row r="2921" spans="1:8" x14ac:dyDescent="0.25">
      <c r="A2921" s="113">
        <v>45096</v>
      </c>
      <c r="B2921" s="21" t="s">
        <v>9986</v>
      </c>
      <c r="C2921" s="13" t="s">
        <v>164</v>
      </c>
      <c r="D2921" s="766"/>
      <c r="E2921" s="22"/>
      <c r="F2921" s="110">
        <f>100000-F2920-F2919-3485-F2917-F2916-F2915-F2914</f>
        <v>2239</v>
      </c>
      <c r="G2921" s="14">
        <f t="shared" si="57"/>
        <v>-2239</v>
      </c>
      <c r="H2921" s="1173"/>
    </row>
    <row r="2922" spans="1:8" x14ac:dyDescent="0.25">
      <c r="A2922" s="113">
        <v>45097</v>
      </c>
      <c r="B2922" s="21" t="s">
        <v>9967</v>
      </c>
      <c r="C2922" s="13" t="s">
        <v>168</v>
      </c>
      <c r="D2922" s="766" t="s">
        <v>10425</v>
      </c>
      <c r="E2922" s="783">
        <v>48749</v>
      </c>
      <c r="F2922" s="214"/>
      <c r="G2922" s="14">
        <f t="shared" si="57"/>
        <v>48749</v>
      </c>
      <c r="H2922" s="343" t="s">
        <v>10426</v>
      </c>
    </row>
    <row r="2923" spans="1:8" x14ac:dyDescent="0.25">
      <c r="A2923" s="113">
        <v>45097</v>
      </c>
      <c r="B2923" s="21" t="s">
        <v>9769</v>
      </c>
      <c r="C2923" s="13" t="s">
        <v>166</v>
      </c>
      <c r="D2923" s="766" t="s">
        <v>10469</v>
      </c>
      <c r="E2923" s="783">
        <v>22000</v>
      </c>
      <c r="F2923" s="214"/>
      <c r="G2923" s="14">
        <f t="shared" ref="G2923" si="58">E2923-F2923</f>
        <v>22000</v>
      </c>
      <c r="H2923" s="343" t="s">
        <v>10470</v>
      </c>
    </row>
    <row r="2924" spans="1:8" x14ac:dyDescent="0.25">
      <c r="A2924" s="113">
        <v>45099</v>
      </c>
      <c r="B2924" s="21" t="s">
        <v>8868</v>
      </c>
      <c r="C2924" s="13" t="s">
        <v>168</v>
      </c>
      <c r="D2924" s="766" t="s">
        <v>10427</v>
      </c>
      <c r="E2924" s="783">
        <v>214220</v>
      </c>
      <c r="F2924" s="214"/>
      <c r="G2924" s="14">
        <f t="shared" si="57"/>
        <v>214220</v>
      </c>
      <c r="H2924" s="343" t="s">
        <v>10428</v>
      </c>
    </row>
    <row r="2925" spans="1:8" x14ac:dyDescent="0.25">
      <c r="A2925" s="113">
        <v>45099</v>
      </c>
      <c r="B2925" s="21" t="s">
        <v>9661</v>
      </c>
      <c r="C2925" s="13" t="s">
        <v>8394</v>
      </c>
      <c r="D2925" s="766"/>
      <c r="E2925" s="783"/>
      <c r="F2925" s="214">
        <v>500000</v>
      </c>
      <c r="G2925" s="784">
        <f t="shared" si="57"/>
        <v>-500000</v>
      </c>
      <c r="H2925" s="1225" t="s">
        <v>10127</v>
      </c>
    </row>
    <row r="2926" spans="1:8" x14ac:dyDescent="0.25">
      <c r="A2926" s="113">
        <v>45099</v>
      </c>
      <c r="B2926" s="21" t="s">
        <v>9769</v>
      </c>
      <c r="C2926" s="13" t="s">
        <v>8394</v>
      </c>
      <c r="D2926" s="766"/>
      <c r="E2926" s="783"/>
      <c r="F2926" s="214">
        <v>500000</v>
      </c>
      <c r="G2926" s="784">
        <f t="shared" si="57"/>
        <v>-500000</v>
      </c>
      <c r="H2926" s="1226"/>
    </row>
    <row r="2927" spans="1:8" x14ac:dyDescent="0.25">
      <c r="A2927" s="113">
        <v>45101</v>
      </c>
      <c r="B2927" s="21" t="s">
        <v>8657</v>
      </c>
      <c r="C2927" s="13" t="s">
        <v>5681</v>
      </c>
      <c r="D2927" s="766"/>
      <c r="E2927" s="22"/>
      <c r="F2927" s="112">
        <v>200000</v>
      </c>
      <c r="G2927" s="14">
        <f t="shared" si="57"/>
        <v>-200000</v>
      </c>
      <c r="H2927" s="13" t="s">
        <v>10288</v>
      </c>
    </row>
    <row r="2928" spans="1:8" x14ac:dyDescent="0.25">
      <c r="A2928" s="113">
        <v>45101</v>
      </c>
      <c r="B2928" s="21" t="s">
        <v>8868</v>
      </c>
      <c r="C2928" s="13" t="s">
        <v>168</v>
      </c>
      <c r="D2928" s="766" t="s">
        <v>10429</v>
      </c>
      <c r="E2928" s="22">
        <v>13500</v>
      </c>
      <c r="F2928" s="112"/>
      <c r="G2928" s="14">
        <f t="shared" si="57"/>
        <v>13500</v>
      </c>
      <c r="H2928" s="54" t="s">
        <v>10430</v>
      </c>
    </row>
    <row r="2929" spans="1:8" x14ac:dyDescent="0.25">
      <c r="A2929" s="113">
        <v>45103</v>
      </c>
      <c r="B2929" s="21" t="s">
        <v>10296</v>
      </c>
      <c r="C2929" s="13" t="s">
        <v>180</v>
      </c>
      <c r="D2929" s="766" t="s">
        <v>10475</v>
      </c>
      <c r="E2929" s="22">
        <v>151960</v>
      </c>
      <c r="F2929" s="112"/>
      <c r="G2929" s="14">
        <f t="shared" si="57"/>
        <v>151960</v>
      </c>
      <c r="H2929" s="54" t="s">
        <v>10476</v>
      </c>
    </row>
    <row r="2930" spans="1:8" x14ac:dyDescent="0.25">
      <c r="A2930" s="113">
        <v>45103</v>
      </c>
      <c r="B2930" s="21" t="s">
        <v>9967</v>
      </c>
      <c r="C2930" s="13" t="s">
        <v>1803</v>
      </c>
      <c r="D2930" s="766"/>
      <c r="E2930" s="22"/>
      <c r="F2930" s="112">
        <v>65000</v>
      </c>
      <c r="G2930" s="14">
        <f t="shared" si="57"/>
        <v>-65000</v>
      </c>
      <c r="H2930" s="54" t="s">
        <v>10219</v>
      </c>
    </row>
    <row r="2931" spans="1:8" ht="15.75" customHeight="1" x14ac:dyDescent="0.25">
      <c r="A2931" s="113">
        <v>45104</v>
      </c>
      <c r="B2931" s="21" t="s">
        <v>8876</v>
      </c>
      <c r="C2931" s="13" t="s">
        <v>7242</v>
      </c>
      <c r="D2931" s="766"/>
      <c r="E2931" s="22"/>
      <c r="F2931" s="19">
        <v>169188</v>
      </c>
      <c r="G2931" s="14">
        <f t="shared" si="57"/>
        <v>-169188</v>
      </c>
      <c r="H2931" s="1241" t="s">
        <v>10398</v>
      </c>
    </row>
    <row r="2932" spans="1:8" ht="15.75" customHeight="1" x14ac:dyDescent="0.25">
      <c r="A2932" s="113">
        <v>45104</v>
      </c>
      <c r="B2932" s="21" t="s">
        <v>9409</v>
      </c>
      <c r="C2932" s="13" t="s">
        <v>7242</v>
      </c>
      <c r="D2932" s="766"/>
      <c r="E2932" s="22"/>
      <c r="F2932" s="19">
        <v>116894</v>
      </c>
      <c r="G2932" s="14">
        <f t="shared" si="57"/>
        <v>-116894</v>
      </c>
      <c r="H2932" s="1242"/>
    </row>
    <row r="2933" spans="1:8" x14ac:dyDescent="0.25">
      <c r="A2933" s="113">
        <v>45104</v>
      </c>
      <c r="B2933" s="21"/>
      <c r="C2933" s="13" t="s">
        <v>7242</v>
      </c>
      <c r="D2933" s="766"/>
      <c r="E2933" s="22"/>
      <c r="F2933" s="19">
        <v>13918</v>
      </c>
      <c r="G2933" s="14">
        <f t="shared" si="57"/>
        <v>-13918</v>
      </c>
      <c r="H2933" s="1243"/>
    </row>
    <row r="2934" spans="1:8" x14ac:dyDescent="0.25">
      <c r="A2934" s="113">
        <v>45098</v>
      </c>
      <c r="B2934" s="21" t="s">
        <v>10151</v>
      </c>
      <c r="C2934" s="13" t="s">
        <v>8394</v>
      </c>
      <c r="D2934" s="766" t="s">
        <v>10320</v>
      </c>
      <c r="E2934" s="22">
        <v>461789</v>
      </c>
      <c r="F2934" s="19"/>
      <c r="G2934" s="14">
        <f t="shared" si="57"/>
        <v>461789</v>
      </c>
      <c r="H2934" s="13"/>
    </row>
    <row r="2935" spans="1:8" x14ac:dyDescent="0.25">
      <c r="A2935" s="113">
        <v>45099</v>
      </c>
      <c r="B2935" s="21" t="s">
        <v>10151</v>
      </c>
      <c r="C2935" s="13" t="s">
        <v>7467</v>
      </c>
      <c r="D2935" s="766" t="s">
        <v>10442</v>
      </c>
      <c r="E2935" s="22">
        <v>149260</v>
      </c>
      <c r="F2935" s="19"/>
      <c r="G2935" s="14">
        <f t="shared" si="57"/>
        <v>149260</v>
      </c>
      <c r="H2935" s="13" t="s">
        <v>10443</v>
      </c>
    </row>
    <row r="2936" spans="1:8" x14ac:dyDescent="0.25">
      <c r="A2936" s="113">
        <v>45100</v>
      </c>
      <c r="B2936" s="21" t="s">
        <v>8868</v>
      </c>
      <c r="C2936" s="13" t="s">
        <v>8394</v>
      </c>
      <c r="D2936" s="766" t="s">
        <v>10321</v>
      </c>
      <c r="E2936" s="22">
        <v>243048</v>
      </c>
      <c r="F2936" s="19"/>
      <c r="G2936" s="14">
        <f t="shared" si="57"/>
        <v>243048</v>
      </c>
      <c r="H2936" s="13"/>
    </row>
    <row r="2937" spans="1:8" x14ac:dyDescent="0.25">
      <c r="A2937" s="113">
        <v>45100</v>
      </c>
      <c r="B2937" s="21" t="s">
        <v>9769</v>
      </c>
      <c r="C2937" s="13" t="s">
        <v>8394</v>
      </c>
      <c r="D2937" s="766" t="s">
        <v>10322</v>
      </c>
      <c r="E2937" s="22">
        <v>113981</v>
      </c>
      <c r="F2937" s="19"/>
      <c r="G2937" s="14">
        <f t="shared" si="57"/>
        <v>113981</v>
      </c>
      <c r="H2937" s="13"/>
    </row>
    <row r="2938" spans="1:8" x14ac:dyDescent="0.25">
      <c r="A2938" s="113">
        <v>45111</v>
      </c>
      <c r="B2938" s="21" t="s">
        <v>10471</v>
      </c>
      <c r="C2938" s="13" t="s">
        <v>166</v>
      </c>
      <c r="D2938" s="766" t="s">
        <v>10472</v>
      </c>
      <c r="E2938" s="783">
        <v>13260</v>
      </c>
      <c r="F2938" s="214"/>
      <c r="G2938" s="14">
        <f t="shared" si="57"/>
        <v>13260</v>
      </c>
      <c r="H2938" s="343" t="s">
        <v>9279</v>
      </c>
    </row>
    <row r="2939" spans="1:8" x14ac:dyDescent="0.25">
      <c r="A2939" s="113">
        <v>45112</v>
      </c>
      <c r="B2939" s="21" t="s">
        <v>8657</v>
      </c>
      <c r="C2939" s="13" t="s">
        <v>8394</v>
      </c>
      <c r="D2939" s="766"/>
      <c r="E2939" s="22"/>
      <c r="F2939" s="19">
        <v>100000</v>
      </c>
      <c r="G2939" s="14">
        <f t="shared" si="57"/>
        <v>-100000</v>
      </c>
      <c r="H2939" s="1255" t="s">
        <v>10325</v>
      </c>
    </row>
    <row r="2940" spans="1:8" x14ac:dyDescent="0.25">
      <c r="A2940" s="113">
        <v>45112</v>
      </c>
      <c r="B2940" s="21" t="s">
        <v>8868</v>
      </c>
      <c r="C2940" s="13" t="s">
        <v>8394</v>
      </c>
      <c r="D2940" s="766"/>
      <c r="E2940" s="22"/>
      <c r="F2940" s="19">
        <v>200000</v>
      </c>
      <c r="G2940" s="14">
        <f t="shared" si="57"/>
        <v>-200000</v>
      </c>
      <c r="H2940" s="1256"/>
    </row>
    <row r="2941" spans="1:8" x14ac:dyDescent="0.25">
      <c r="A2941" s="113">
        <v>45112</v>
      </c>
      <c r="B2941" s="21" t="s">
        <v>9356</v>
      </c>
      <c r="C2941" s="13" t="s">
        <v>8394</v>
      </c>
      <c r="D2941" s="766"/>
      <c r="E2941" s="22"/>
      <c r="F2941" s="19">
        <v>270000</v>
      </c>
      <c r="G2941" s="14">
        <f t="shared" si="57"/>
        <v>-270000</v>
      </c>
      <c r="H2941" s="1256"/>
    </row>
    <row r="2942" spans="1:8" x14ac:dyDescent="0.25">
      <c r="A2942" s="113">
        <v>45112</v>
      </c>
      <c r="B2942" s="21" t="s">
        <v>9661</v>
      </c>
      <c r="C2942" s="13" t="s">
        <v>8394</v>
      </c>
      <c r="D2942" s="766"/>
      <c r="E2942" s="22"/>
      <c r="F2942" s="19">
        <v>430000</v>
      </c>
      <c r="G2942" s="14">
        <f t="shared" si="57"/>
        <v>-430000</v>
      </c>
      <c r="H2942" s="1256"/>
    </row>
    <row r="2943" spans="1:8" x14ac:dyDescent="0.25">
      <c r="A2943" s="113">
        <v>45112</v>
      </c>
      <c r="B2943" s="21" t="s">
        <v>10151</v>
      </c>
      <c r="C2943" s="13" t="s">
        <v>8394</v>
      </c>
      <c r="D2943" s="766"/>
      <c r="E2943" s="22"/>
      <c r="F2943" s="19">
        <v>50000</v>
      </c>
      <c r="G2943" s="14">
        <f t="shared" si="57"/>
        <v>-50000</v>
      </c>
      <c r="H2943" s="1257"/>
    </row>
    <row r="2944" spans="1:8" x14ac:dyDescent="0.25">
      <c r="A2944" s="113">
        <v>45113</v>
      </c>
      <c r="B2944" s="21" t="s">
        <v>10471</v>
      </c>
      <c r="C2944" s="13" t="s">
        <v>164</v>
      </c>
      <c r="D2944" s="766" t="s">
        <v>10682</v>
      </c>
      <c r="E2944" s="22">
        <v>2840</v>
      </c>
      <c r="F2944" s="19"/>
      <c r="G2944" s="14">
        <f t="shared" ref="G2944" si="59">E2944-F2944</f>
        <v>2840</v>
      </c>
      <c r="H2944" s="13"/>
    </row>
    <row r="2945" spans="1:8" x14ac:dyDescent="0.25">
      <c r="A2945" s="113">
        <v>45110</v>
      </c>
      <c r="B2945" s="21" t="s">
        <v>10151</v>
      </c>
      <c r="C2945" s="13" t="s">
        <v>8394</v>
      </c>
      <c r="D2945" s="766" t="s">
        <v>10431</v>
      </c>
      <c r="E2945" s="22">
        <v>333836</v>
      </c>
      <c r="F2945" s="19"/>
      <c r="G2945" s="14">
        <f t="shared" ref="G2945:G3033" si="60">E2945-F2945</f>
        <v>333836</v>
      </c>
      <c r="H2945" s="13"/>
    </row>
    <row r="2946" spans="1:8" x14ac:dyDescent="0.25">
      <c r="A2946" s="113">
        <v>45114</v>
      </c>
      <c r="B2946" s="21" t="s">
        <v>8868</v>
      </c>
      <c r="C2946" s="13" t="s">
        <v>8394</v>
      </c>
      <c r="D2946" s="766" t="s">
        <v>10432</v>
      </c>
      <c r="E2946" s="22">
        <v>86737</v>
      </c>
      <c r="F2946" s="19"/>
      <c r="G2946" s="14">
        <f t="shared" si="60"/>
        <v>86737</v>
      </c>
      <c r="H2946" s="13"/>
    </row>
    <row r="2947" spans="1:8" x14ac:dyDescent="0.25">
      <c r="A2947" s="113">
        <v>45114</v>
      </c>
      <c r="B2947" s="21" t="s">
        <v>10296</v>
      </c>
      <c r="C2947" s="13" t="s">
        <v>8394</v>
      </c>
      <c r="D2947" s="766" t="s">
        <v>10433</v>
      </c>
      <c r="E2947" s="22">
        <v>164549</v>
      </c>
      <c r="F2947" s="19"/>
      <c r="G2947" s="14">
        <f t="shared" si="60"/>
        <v>164549</v>
      </c>
      <c r="H2947" s="13"/>
    </row>
    <row r="2948" spans="1:8" x14ac:dyDescent="0.25">
      <c r="A2948" s="113">
        <v>45114</v>
      </c>
      <c r="B2948" s="21" t="s">
        <v>10151</v>
      </c>
      <c r="C2948" s="13" t="s">
        <v>7467</v>
      </c>
      <c r="D2948" s="766" t="s">
        <v>10441</v>
      </c>
      <c r="E2948" s="22">
        <v>35200</v>
      </c>
      <c r="F2948" s="19"/>
      <c r="G2948" s="14">
        <f t="shared" si="60"/>
        <v>35200</v>
      </c>
      <c r="H2948" s="13" t="s">
        <v>10444</v>
      </c>
    </row>
    <row r="2949" spans="1:8" x14ac:dyDescent="0.25">
      <c r="A2949" s="113">
        <v>45114</v>
      </c>
      <c r="B2949" s="21" t="s">
        <v>9356</v>
      </c>
      <c r="C2949" s="13" t="s">
        <v>169</v>
      </c>
      <c r="D2949" s="777" t="s">
        <v>8968</v>
      </c>
      <c r="E2949" s="783">
        <v>7580</v>
      </c>
      <c r="F2949" s="19"/>
      <c r="G2949" s="14">
        <f t="shared" si="60"/>
        <v>7580</v>
      </c>
      <c r="H2949" s="55"/>
    </row>
    <row r="2950" spans="1:8" x14ac:dyDescent="0.25">
      <c r="A2950" s="113">
        <v>45118</v>
      </c>
      <c r="B2950" s="21" t="s">
        <v>10471</v>
      </c>
      <c r="C2950" s="13" t="s">
        <v>166</v>
      </c>
      <c r="D2950" s="1207" t="s">
        <v>10473</v>
      </c>
      <c r="E2950" s="783">
        <v>130000</v>
      </c>
      <c r="F2950" s="19"/>
      <c r="G2950" s="14">
        <f t="shared" si="60"/>
        <v>130000</v>
      </c>
      <c r="H2950" s="343" t="s">
        <v>9279</v>
      </c>
    </row>
    <row r="2951" spans="1:8" x14ac:dyDescent="0.25">
      <c r="A2951" s="113">
        <v>45118</v>
      </c>
      <c r="B2951" s="21" t="s">
        <v>8868</v>
      </c>
      <c r="C2951" s="13" t="s">
        <v>166</v>
      </c>
      <c r="D2951" s="1208"/>
      <c r="E2951" s="783">
        <v>115000</v>
      </c>
      <c r="F2951" s="19"/>
      <c r="G2951" s="14">
        <f t="shared" si="60"/>
        <v>115000</v>
      </c>
      <c r="H2951" s="343" t="s">
        <v>10474</v>
      </c>
    </row>
    <row r="2952" spans="1:8" x14ac:dyDescent="0.25">
      <c r="A2952" s="113">
        <v>45119</v>
      </c>
      <c r="B2952" s="21" t="s">
        <v>9769</v>
      </c>
      <c r="C2952" s="13" t="s">
        <v>8394</v>
      </c>
      <c r="D2952" s="766" t="s">
        <v>10434</v>
      </c>
      <c r="E2952" s="22">
        <v>407933</v>
      </c>
      <c r="F2952" s="19"/>
      <c r="G2952" s="14">
        <f t="shared" si="60"/>
        <v>407933</v>
      </c>
      <c r="H2952" s="13"/>
    </row>
    <row r="2953" spans="1:8" x14ac:dyDescent="0.25">
      <c r="A2953" s="113">
        <v>45119</v>
      </c>
      <c r="B2953" s="21" t="s">
        <v>8868</v>
      </c>
      <c r="C2953" s="13" t="s">
        <v>8394</v>
      </c>
      <c r="D2953" s="766" t="s">
        <v>10435</v>
      </c>
      <c r="E2953" s="22">
        <v>94569</v>
      </c>
      <c r="F2953" s="19"/>
      <c r="G2953" s="14">
        <f t="shared" si="60"/>
        <v>94569</v>
      </c>
      <c r="H2953" s="13"/>
    </row>
    <row r="2954" spans="1:8" x14ac:dyDescent="0.25">
      <c r="A2954" s="113">
        <v>45120</v>
      </c>
      <c r="B2954" s="21" t="s">
        <v>9967</v>
      </c>
      <c r="C2954" s="13" t="s">
        <v>1803</v>
      </c>
      <c r="D2954" s="766" t="s">
        <v>10678</v>
      </c>
      <c r="E2954" s="22">
        <v>7782</v>
      </c>
      <c r="F2954" s="19"/>
      <c r="G2954" s="14">
        <f t="shared" si="60"/>
        <v>7782</v>
      </c>
      <c r="H2954" s="975"/>
    </row>
    <row r="2955" spans="1:8" x14ac:dyDescent="0.25">
      <c r="A2955" s="113">
        <v>45120</v>
      </c>
      <c r="B2955" s="21" t="s">
        <v>10232</v>
      </c>
      <c r="C2955" s="13" t="s">
        <v>11324</v>
      </c>
      <c r="D2955" s="766"/>
      <c r="E2955" s="22">
        <v>4226000</v>
      </c>
      <c r="F2955" s="19"/>
      <c r="G2955" s="14">
        <f t="shared" si="60"/>
        <v>4226000</v>
      </c>
      <c r="H2955" s="975"/>
    </row>
    <row r="2956" spans="1:8" x14ac:dyDescent="0.25">
      <c r="A2956" s="113">
        <v>45120</v>
      </c>
      <c r="B2956" s="21" t="s">
        <v>10232</v>
      </c>
      <c r="C2956" s="13" t="s">
        <v>11324</v>
      </c>
      <c r="D2956" s="766"/>
      <c r="E2956" s="22"/>
      <c r="F2956" s="19">
        <v>975000</v>
      </c>
      <c r="G2956" s="14">
        <f t="shared" si="60"/>
        <v>-975000</v>
      </c>
      <c r="H2956" s="975" t="s">
        <v>10446</v>
      </c>
    </row>
    <row r="2957" spans="1:8" x14ac:dyDescent="0.25">
      <c r="A2957" s="113">
        <v>45120</v>
      </c>
      <c r="B2957" s="21" t="s">
        <v>1400</v>
      </c>
      <c r="C2957" s="13" t="s">
        <v>5681</v>
      </c>
      <c r="D2957" s="766"/>
      <c r="E2957" s="22"/>
      <c r="F2957" s="19">
        <v>200000</v>
      </c>
      <c r="G2957" s="14">
        <f t="shared" si="60"/>
        <v>-200000</v>
      </c>
      <c r="H2957" s="975" t="s">
        <v>10424</v>
      </c>
    </row>
    <row r="2958" spans="1:8" x14ac:dyDescent="0.25">
      <c r="A2958" s="113">
        <v>45124</v>
      </c>
      <c r="B2958" s="21" t="s">
        <v>10151</v>
      </c>
      <c r="C2958" s="13" t="s">
        <v>8394</v>
      </c>
      <c r="D2958" s="766" t="s">
        <v>10539</v>
      </c>
      <c r="E2958" s="22">
        <v>306968</v>
      </c>
      <c r="F2958" s="19"/>
      <c r="G2958" s="14">
        <f t="shared" si="60"/>
        <v>306968</v>
      </c>
      <c r="H2958" s="975"/>
    </row>
    <row r="2959" spans="1:8" x14ac:dyDescent="0.25">
      <c r="A2959" s="113">
        <v>45124</v>
      </c>
      <c r="B2959" s="21" t="s">
        <v>10296</v>
      </c>
      <c r="C2959" s="13" t="s">
        <v>8394</v>
      </c>
      <c r="D2959" s="766" t="s">
        <v>10540</v>
      </c>
      <c r="E2959" s="22">
        <v>100000</v>
      </c>
      <c r="F2959" s="19"/>
      <c r="G2959" s="14">
        <f t="shared" si="60"/>
        <v>100000</v>
      </c>
      <c r="H2959" s="975"/>
    </row>
    <row r="2960" spans="1:8" x14ac:dyDescent="0.25">
      <c r="A2960" s="113">
        <v>45124</v>
      </c>
      <c r="B2960" s="21" t="s">
        <v>9356</v>
      </c>
      <c r="C2960" s="13" t="s">
        <v>8394</v>
      </c>
      <c r="D2960" s="766" t="s">
        <v>9051</v>
      </c>
      <c r="E2960" s="22">
        <v>140886</v>
      </c>
      <c r="F2960" s="19"/>
      <c r="G2960" s="14">
        <f t="shared" si="60"/>
        <v>140886</v>
      </c>
      <c r="H2960" s="975"/>
    </row>
    <row r="2961" spans="1:10" x14ac:dyDescent="0.25">
      <c r="A2961" s="113">
        <v>45124</v>
      </c>
      <c r="B2961" s="21" t="s">
        <v>9661</v>
      </c>
      <c r="C2961" s="13" t="s">
        <v>166</v>
      </c>
      <c r="D2961" s="766"/>
      <c r="E2961" s="22"/>
      <c r="F2961" s="19">
        <v>64100</v>
      </c>
      <c r="G2961" s="14">
        <f t="shared" si="60"/>
        <v>-64100</v>
      </c>
      <c r="H2961" s="1233" t="s">
        <v>10480</v>
      </c>
      <c r="J2961" s="128"/>
    </row>
    <row r="2962" spans="1:10" x14ac:dyDescent="0.25">
      <c r="A2962" s="113">
        <v>45124</v>
      </c>
      <c r="B2962" s="21" t="s">
        <v>9769</v>
      </c>
      <c r="C2962" s="13" t="s">
        <v>166</v>
      </c>
      <c r="D2962" s="766"/>
      <c r="E2962" s="22"/>
      <c r="F2962" s="19">
        <v>66000</v>
      </c>
      <c r="G2962" s="14">
        <f t="shared" si="60"/>
        <v>-66000</v>
      </c>
      <c r="H2962" s="1233"/>
    </row>
    <row r="2963" spans="1:10" x14ac:dyDescent="0.25">
      <c r="A2963" s="113">
        <v>45124</v>
      </c>
      <c r="B2963" s="21" t="s">
        <v>9967</v>
      </c>
      <c r="C2963" s="13" t="s">
        <v>166</v>
      </c>
      <c r="D2963" s="766"/>
      <c r="E2963" s="22"/>
      <c r="F2963" s="19">
        <v>15800</v>
      </c>
      <c r="G2963" s="14">
        <f t="shared" si="60"/>
        <v>-15800</v>
      </c>
      <c r="H2963" s="1233"/>
    </row>
    <row r="2964" spans="1:10" x14ac:dyDescent="0.25">
      <c r="A2964" s="113">
        <v>45124</v>
      </c>
      <c r="B2964" s="21" t="s">
        <v>10471</v>
      </c>
      <c r="C2964" s="13" t="s">
        <v>166</v>
      </c>
      <c r="D2964" s="766"/>
      <c r="E2964" s="22"/>
      <c r="F2964" s="19">
        <v>13260</v>
      </c>
      <c r="G2964" s="14">
        <f t="shared" si="60"/>
        <v>-13260</v>
      </c>
      <c r="H2964" s="1233"/>
    </row>
    <row r="2965" spans="1:10" x14ac:dyDescent="0.25">
      <c r="A2965" s="113">
        <v>45124</v>
      </c>
      <c r="B2965" s="21" t="s">
        <v>8657</v>
      </c>
      <c r="C2965" s="13" t="s">
        <v>166</v>
      </c>
      <c r="D2965" s="766"/>
      <c r="E2965" s="22"/>
      <c r="F2965" s="19">
        <v>290840</v>
      </c>
      <c r="G2965" s="14">
        <f t="shared" si="60"/>
        <v>-290840</v>
      </c>
      <c r="H2965" s="1234"/>
    </row>
    <row r="2966" spans="1:10" x14ac:dyDescent="0.25">
      <c r="A2966" s="113">
        <v>45124</v>
      </c>
      <c r="B2966" s="983" t="s">
        <v>10379</v>
      </c>
      <c r="C2966" s="13" t="s">
        <v>168</v>
      </c>
      <c r="D2966" s="766" t="s">
        <v>10496</v>
      </c>
      <c r="E2966" s="22">
        <v>100000</v>
      </c>
      <c r="F2966" s="19"/>
      <c r="G2966" s="14">
        <f t="shared" si="60"/>
        <v>100000</v>
      </c>
      <c r="H2966" s="13" t="s">
        <v>10497</v>
      </c>
    </row>
    <row r="2967" spans="1:10" x14ac:dyDescent="0.25">
      <c r="A2967" s="113">
        <v>45124</v>
      </c>
      <c r="B2967" s="21" t="s">
        <v>10471</v>
      </c>
      <c r="C2967" s="13" t="s">
        <v>168</v>
      </c>
      <c r="D2967" s="766" t="s">
        <v>10524</v>
      </c>
      <c r="E2967" s="22">
        <v>1039700</v>
      </c>
      <c r="F2967" s="19"/>
      <c r="G2967" s="14">
        <f t="shared" si="60"/>
        <v>1039700</v>
      </c>
      <c r="H2967" s="13"/>
    </row>
    <row r="2968" spans="1:10" x14ac:dyDescent="0.25">
      <c r="A2968" s="113">
        <v>45124</v>
      </c>
      <c r="B2968" s="21" t="s">
        <v>10471</v>
      </c>
      <c r="C2968" s="13" t="s">
        <v>168</v>
      </c>
      <c r="D2968" s="766"/>
      <c r="E2968" s="22"/>
      <c r="F2968" s="19">
        <v>1039700</v>
      </c>
      <c r="G2968" s="14">
        <f t="shared" si="60"/>
        <v>-1039700</v>
      </c>
      <c r="H2968" s="13" t="s">
        <v>10525</v>
      </c>
    </row>
    <row r="2969" spans="1:10" x14ac:dyDescent="0.25">
      <c r="A2969" s="113">
        <v>45124</v>
      </c>
      <c r="B2969" s="21" t="s">
        <v>10232</v>
      </c>
      <c r="C2969" s="13" t="s">
        <v>180</v>
      </c>
      <c r="D2969" s="766" t="s">
        <v>10569</v>
      </c>
      <c r="E2969" s="22">
        <v>278840</v>
      </c>
      <c r="F2969" s="19"/>
      <c r="G2969" s="14">
        <f t="shared" si="60"/>
        <v>278840</v>
      </c>
      <c r="H2969" s="13"/>
    </row>
    <row r="2970" spans="1:10" x14ac:dyDescent="0.25">
      <c r="A2970" s="113">
        <v>45125</v>
      </c>
      <c r="B2970" s="21" t="s">
        <v>10296</v>
      </c>
      <c r="C2970" s="13" t="s">
        <v>1803</v>
      </c>
      <c r="D2970" s="766" t="s">
        <v>10679</v>
      </c>
      <c r="E2970" s="22">
        <v>286220</v>
      </c>
      <c r="F2970" s="19"/>
      <c r="G2970" s="14">
        <f t="shared" si="60"/>
        <v>286220</v>
      </c>
      <c r="H2970" s="13"/>
    </row>
    <row r="2971" spans="1:10" x14ac:dyDescent="0.25">
      <c r="A2971" s="113">
        <v>45125</v>
      </c>
      <c r="B2971" s="21" t="s">
        <v>9507</v>
      </c>
      <c r="C2971" s="13" t="s">
        <v>168</v>
      </c>
      <c r="D2971" s="766" t="s">
        <v>10526</v>
      </c>
      <c r="E2971" s="22">
        <v>9820</v>
      </c>
      <c r="F2971" s="19"/>
      <c r="G2971" s="14">
        <f t="shared" si="60"/>
        <v>9820</v>
      </c>
      <c r="H2971" s="13" t="s">
        <v>10528</v>
      </c>
    </row>
    <row r="2972" spans="1:10" x14ac:dyDescent="0.25">
      <c r="A2972" s="113">
        <v>45125</v>
      </c>
      <c r="B2972" s="21" t="s">
        <v>10471</v>
      </c>
      <c r="C2972" s="13" t="s">
        <v>168</v>
      </c>
      <c r="D2972" s="766" t="s">
        <v>9595</v>
      </c>
      <c r="E2972" s="22">
        <v>91053</v>
      </c>
      <c r="F2972" s="19"/>
      <c r="G2972" s="14">
        <f t="shared" si="60"/>
        <v>91053</v>
      </c>
      <c r="H2972" s="13" t="s">
        <v>10529</v>
      </c>
    </row>
    <row r="2973" spans="1:10" ht="16.5" thickBot="1" x14ac:dyDescent="0.3">
      <c r="A2973" s="113">
        <v>45125</v>
      </c>
      <c r="B2973" s="983" t="s">
        <v>10379</v>
      </c>
      <c r="C2973" s="13" t="s">
        <v>168</v>
      </c>
      <c r="D2973" s="766" t="s">
        <v>10527</v>
      </c>
      <c r="E2973" s="22">
        <v>92000</v>
      </c>
      <c r="F2973" s="110"/>
      <c r="G2973" s="14">
        <f t="shared" si="60"/>
        <v>92000</v>
      </c>
      <c r="H2973" s="13" t="s">
        <v>10530</v>
      </c>
    </row>
    <row r="2974" spans="1:10" x14ac:dyDescent="0.25">
      <c r="A2974" s="113">
        <v>45125</v>
      </c>
      <c r="B2974" s="21" t="s">
        <v>8868</v>
      </c>
      <c r="C2974" s="13" t="s">
        <v>166</v>
      </c>
      <c r="D2974" s="766"/>
      <c r="E2974" s="783"/>
      <c r="F2974" s="785">
        <v>115000</v>
      </c>
      <c r="G2974" s="784">
        <f t="shared" si="60"/>
        <v>-115000</v>
      </c>
      <c r="H2974" s="1172" t="s">
        <v>10510</v>
      </c>
    </row>
    <row r="2975" spans="1:10" ht="16.5" thickBot="1" x14ac:dyDescent="0.3">
      <c r="A2975" s="113">
        <v>45125</v>
      </c>
      <c r="B2975" s="21" t="s">
        <v>10471</v>
      </c>
      <c r="C2975" s="13" t="s">
        <v>166</v>
      </c>
      <c r="D2975" s="766"/>
      <c r="E2975" s="783"/>
      <c r="F2975" s="786">
        <v>130000</v>
      </c>
      <c r="G2975" s="784">
        <f t="shared" si="60"/>
        <v>-130000</v>
      </c>
      <c r="H2975" s="1173"/>
    </row>
    <row r="2976" spans="1:10" x14ac:dyDescent="0.25">
      <c r="A2976" s="113">
        <v>45126</v>
      </c>
      <c r="B2976" s="983" t="s">
        <v>10379</v>
      </c>
      <c r="C2976" s="13" t="s">
        <v>180</v>
      </c>
      <c r="D2976" s="766" t="s">
        <v>10570</v>
      </c>
      <c r="E2976" s="22">
        <v>18720</v>
      </c>
      <c r="F2976" s="112"/>
      <c r="G2976" s="14">
        <f t="shared" si="60"/>
        <v>18720</v>
      </c>
      <c r="H2976" s="13"/>
    </row>
    <row r="2977" spans="1:8" x14ac:dyDescent="0.25">
      <c r="A2977" s="113">
        <v>45127</v>
      </c>
      <c r="B2977" s="21" t="s">
        <v>8868</v>
      </c>
      <c r="C2977" s="13" t="s">
        <v>8394</v>
      </c>
      <c r="D2977" s="766" t="s">
        <v>10531</v>
      </c>
      <c r="E2977" s="22">
        <v>30441</v>
      </c>
      <c r="F2977" s="19"/>
      <c r="G2977" s="14">
        <f t="shared" si="60"/>
        <v>30441</v>
      </c>
      <c r="H2977" s="13"/>
    </row>
    <row r="2978" spans="1:8" x14ac:dyDescent="0.25">
      <c r="A2978" s="113">
        <v>45127</v>
      </c>
      <c r="B2978" s="21" t="s">
        <v>10151</v>
      </c>
      <c r="C2978" s="13" t="s">
        <v>8394</v>
      </c>
      <c r="D2978" s="766" t="s">
        <v>10532</v>
      </c>
      <c r="E2978" s="22">
        <v>70032</v>
      </c>
      <c r="F2978" s="19"/>
      <c r="G2978" s="14">
        <f t="shared" si="60"/>
        <v>70032</v>
      </c>
      <c r="H2978" s="13"/>
    </row>
    <row r="2979" spans="1:8" x14ac:dyDescent="0.25">
      <c r="A2979" s="113">
        <v>45127</v>
      </c>
      <c r="B2979" s="21" t="s">
        <v>9769</v>
      </c>
      <c r="C2979" s="13" t="s">
        <v>8394</v>
      </c>
      <c r="D2979" s="766" t="s">
        <v>10533</v>
      </c>
      <c r="E2979" s="22">
        <v>145910</v>
      </c>
      <c r="F2979" s="19"/>
      <c r="G2979" s="14">
        <f t="shared" si="60"/>
        <v>145910</v>
      </c>
      <c r="H2979" s="13"/>
    </row>
    <row r="2980" spans="1:8" ht="16.5" thickBot="1" x14ac:dyDescent="0.3">
      <c r="A2980" s="113">
        <v>45127</v>
      </c>
      <c r="B2980" s="21" t="s">
        <v>9356</v>
      </c>
      <c r="C2980" s="13" t="s">
        <v>8394</v>
      </c>
      <c r="D2980" s="766" t="s">
        <v>10534</v>
      </c>
      <c r="E2980" s="22">
        <v>78349</v>
      </c>
      <c r="F2980" s="110"/>
      <c r="G2980" s="14">
        <f t="shared" si="60"/>
        <v>78349</v>
      </c>
      <c r="H2980" s="13"/>
    </row>
    <row r="2981" spans="1:8" x14ac:dyDescent="0.25">
      <c r="A2981" s="113">
        <v>45127</v>
      </c>
      <c r="B2981" s="21" t="s">
        <v>8657</v>
      </c>
      <c r="C2981" s="13" t="s">
        <v>8394</v>
      </c>
      <c r="D2981" s="766"/>
      <c r="E2981" s="783"/>
      <c r="F2981" s="785">
        <v>12087</v>
      </c>
      <c r="G2981" s="784">
        <f t="shared" si="60"/>
        <v>-12087</v>
      </c>
      <c r="H2981" s="1209" t="s">
        <v>10551</v>
      </c>
    </row>
    <row r="2982" spans="1:8" x14ac:dyDescent="0.25">
      <c r="A2982" s="113">
        <v>45127</v>
      </c>
      <c r="B2982" s="21" t="s">
        <v>8868</v>
      </c>
      <c r="C2982" s="13" t="s">
        <v>8394</v>
      </c>
      <c r="D2982" s="766"/>
      <c r="E2982" s="783"/>
      <c r="F2982" s="142">
        <v>182717</v>
      </c>
      <c r="G2982" s="784">
        <f t="shared" si="60"/>
        <v>-182717</v>
      </c>
      <c r="H2982" s="1210"/>
    </row>
    <row r="2983" spans="1:8" x14ac:dyDescent="0.25">
      <c r="A2983" s="113">
        <v>45127</v>
      </c>
      <c r="B2983" s="21" t="s">
        <v>9356</v>
      </c>
      <c r="C2983" s="13" t="s">
        <v>8394</v>
      </c>
      <c r="D2983" s="766"/>
      <c r="E2983" s="783"/>
      <c r="F2983" s="142">
        <v>190000</v>
      </c>
      <c r="G2983" s="784">
        <f t="shared" si="60"/>
        <v>-190000</v>
      </c>
      <c r="H2983" s="1210"/>
    </row>
    <row r="2984" spans="1:8" x14ac:dyDescent="0.25">
      <c r="A2984" s="113">
        <v>45127</v>
      </c>
      <c r="B2984" s="21" t="s">
        <v>9661</v>
      </c>
      <c r="C2984" s="13" t="s">
        <v>8394</v>
      </c>
      <c r="D2984" s="766"/>
      <c r="E2984" s="783"/>
      <c r="F2984" s="142">
        <v>45196</v>
      </c>
      <c r="G2984" s="784">
        <f t="shared" si="60"/>
        <v>-45196</v>
      </c>
      <c r="H2984" s="1210"/>
    </row>
    <row r="2985" spans="1:8" x14ac:dyDescent="0.25">
      <c r="A2985" s="113">
        <v>45127</v>
      </c>
      <c r="B2985" s="21" t="s">
        <v>9769</v>
      </c>
      <c r="C2985" s="13" t="s">
        <v>8394</v>
      </c>
      <c r="D2985" s="766"/>
      <c r="E2985" s="783"/>
      <c r="F2985" s="142">
        <v>190000</v>
      </c>
      <c r="G2985" s="784">
        <f t="shared" si="60"/>
        <v>-190000</v>
      </c>
      <c r="H2985" s="1210"/>
    </row>
    <row r="2986" spans="1:8" x14ac:dyDescent="0.25">
      <c r="A2986" s="113">
        <v>45127</v>
      </c>
      <c r="B2986" s="21" t="s">
        <v>10151</v>
      </c>
      <c r="C2986" s="13" t="s">
        <v>8394</v>
      </c>
      <c r="D2986" s="766"/>
      <c r="E2986" s="783"/>
      <c r="F2986" s="142">
        <v>190000</v>
      </c>
      <c r="G2986" s="784">
        <f t="shared" si="60"/>
        <v>-190000</v>
      </c>
      <c r="H2986" s="1210"/>
    </row>
    <row r="2987" spans="1:8" ht="16.5" thickBot="1" x14ac:dyDescent="0.3">
      <c r="A2987" s="113">
        <v>45127</v>
      </c>
      <c r="B2987" s="21" t="s">
        <v>10296</v>
      </c>
      <c r="C2987" s="13" t="s">
        <v>8394</v>
      </c>
      <c r="D2987" s="766"/>
      <c r="E2987" s="783"/>
      <c r="F2987" s="786">
        <v>190000</v>
      </c>
      <c r="G2987" s="784">
        <f t="shared" si="60"/>
        <v>-190000</v>
      </c>
      <c r="H2987" s="1211"/>
    </row>
    <row r="2988" spans="1:8" ht="21" x14ac:dyDescent="0.25">
      <c r="A2988" s="113">
        <v>45127</v>
      </c>
      <c r="B2988" s="21" t="s">
        <v>10571</v>
      </c>
      <c r="C2988" s="13" t="s">
        <v>180</v>
      </c>
      <c r="D2988" s="766" t="s">
        <v>10572</v>
      </c>
      <c r="E2988" s="783">
        <v>120960</v>
      </c>
      <c r="F2988" s="214"/>
      <c r="G2988" s="784">
        <f t="shared" si="60"/>
        <v>120960</v>
      </c>
      <c r="H2988" s="976"/>
    </row>
    <row r="2989" spans="1:8" x14ac:dyDescent="0.25">
      <c r="A2989" s="113">
        <v>45128</v>
      </c>
      <c r="B2989" s="21" t="s">
        <v>10471</v>
      </c>
      <c r="C2989" s="13" t="s">
        <v>166</v>
      </c>
      <c r="D2989" s="766" t="s">
        <v>10803</v>
      </c>
      <c r="E2989" s="22">
        <v>27640</v>
      </c>
      <c r="F2989" s="112"/>
      <c r="G2989" s="14">
        <f t="shared" ref="G2989" si="61">E2989-F2989</f>
        <v>27640</v>
      </c>
      <c r="H2989" s="13" t="s">
        <v>10538</v>
      </c>
    </row>
    <row r="2990" spans="1:8" x14ac:dyDescent="0.25">
      <c r="A2990" s="113">
        <v>45128</v>
      </c>
      <c r="B2990" s="21" t="s">
        <v>8868</v>
      </c>
      <c r="C2990" s="13" t="s">
        <v>166</v>
      </c>
      <c r="D2990" s="766" t="s">
        <v>10537</v>
      </c>
      <c r="E2990" s="22">
        <v>22500</v>
      </c>
      <c r="F2990" s="112"/>
      <c r="G2990" s="14">
        <f t="shared" si="60"/>
        <v>22500</v>
      </c>
      <c r="H2990" s="13" t="s">
        <v>10538</v>
      </c>
    </row>
    <row r="2991" spans="1:8" x14ac:dyDescent="0.25">
      <c r="A2991" s="113">
        <v>45129</v>
      </c>
      <c r="B2991" s="21" t="s">
        <v>10296</v>
      </c>
      <c r="C2991" s="13" t="s">
        <v>168</v>
      </c>
      <c r="D2991" s="766" t="s">
        <v>10568</v>
      </c>
      <c r="E2991" s="22">
        <v>188000</v>
      </c>
      <c r="F2991" s="112"/>
      <c r="G2991" s="14">
        <f t="shared" si="60"/>
        <v>188000</v>
      </c>
      <c r="H2991" s="13"/>
    </row>
    <row r="2992" spans="1:8" x14ac:dyDescent="0.25">
      <c r="A2992" s="113">
        <v>45131</v>
      </c>
      <c r="B2992" s="21" t="s">
        <v>9356</v>
      </c>
      <c r="C2992" s="13" t="s">
        <v>169</v>
      </c>
      <c r="D2992" s="766" t="s">
        <v>10573</v>
      </c>
      <c r="E2992" s="22">
        <v>76250</v>
      </c>
      <c r="F2992" s="19"/>
      <c r="G2992" s="14">
        <f t="shared" si="60"/>
        <v>76250</v>
      </c>
      <c r="H2992" s="13"/>
    </row>
    <row r="2993" spans="1:8" x14ac:dyDescent="0.25">
      <c r="A2993" s="113">
        <v>45131</v>
      </c>
      <c r="B2993" s="21" t="s">
        <v>8876</v>
      </c>
      <c r="C2993" s="13" t="s">
        <v>7467</v>
      </c>
      <c r="D2993" s="766"/>
      <c r="E2993" s="22"/>
      <c r="F2993" s="19">
        <v>385000</v>
      </c>
      <c r="G2993" s="14">
        <f t="shared" si="60"/>
        <v>-385000</v>
      </c>
      <c r="H2993" s="13" t="s">
        <v>10586</v>
      </c>
    </row>
    <row r="2994" spans="1:8" x14ac:dyDescent="0.25">
      <c r="A2994" s="113">
        <v>45132</v>
      </c>
      <c r="B2994" s="21" t="s">
        <v>9967</v>
      </c>
      <c r="C2994" s="13" t="s">
        <v>1803</v>
      </c>
      <c r="D2994" s="766" t="s">
        <v>10680</v>
      </c>
      <c r="E2994" s="22">
        <v>54431</v>
      </c>
      <c r="F2994" s="19"/>
      <c r="G2994" s="14">
        <f t="shared" si="60"/>
        <v>54431</v>
      </c>
      <c r="H2994" s="13"/>
    </row>
    <row r="2995" spans="1:8" x14ac:dyDescent="0.25">
      <c r="A2995" s="113">
        <v>45132</v>
      </c>
      <c r="B2995" s="21" t="s">
        <v>10471</v>
      </c>
      <c r="C2995" s="13" t="s">
        <v>168</v>
      </c>
      <c r="D2995" s="766" t="s">
        <v>9984</v>
      </c>
      <c r="E2995" s="22">
        <v>24000</v>
      </c>
      <c r="F2995" s="19"/>
      <c r="G2995" s="14">
        <f t="shared" si="60"/>
        <v>24000</v>
      </c>
      <c r="H2995" s="13"/>
    </row>
    <row r="2996" spans="1:8" x14ac:dyDescent="0.25">
      <c r="A2996" s="113">
        <v>45132</v>
      </c>
      <c r="B2996" s="21" t="s">
        <v>10296</v>
      </c>
      <c r="C2996" s="13" t="s">
        <v>168</v>
      </c>
      <c r="D2996" s="766" t="s">
        <v>10620</v>
      </c>
      <c r="E2996" s="22"/>
      <c r="F2996" s="19"/>
      <c r="G2996" s="14">
        <f t="shared" si="60"/>
        <v>0</v>
      </c>
      <c r="H2996" s="13"/>
    </row>
    <row r="2997" spans="1:8" x14ac:dyDescent="0.25">
      <c r="A2997" s="113">
        <v>45132</v>
      </c>
      <c r="B2997" s="21" t="s">
        <v>8559</v>
      </c>
      <c r="C2997" s="13" t="s">
        <v>168</v>
      </c>
      <c r="D2997" s="766" t="s">
        <v>10621</v>
      </c>
      <c r="E2997" s="22">
        <v>83200</v>
      </c>
      <c r="F2997" s="19"/>
      <c r="G2997" s="14">
        <f t="shared" si="60"/>
        <v>83200</v>
      </c>
      <c r="H2997" s="13"/>
    </row>
    <row r="2998" spans="1:8" x14ac:dyDescent="0.25">
      <c r="A2998" s="113">
        <v>45133</v>
      </c>
      <c r="B2998" s="21" t="s">
        <v>9356</v>
      </c>
      <c r="C2998" s="13" t="s">
        <v>7467</v>
      </c>
      <c r="D2998" s="766" t="s">
        <v>10623</v>
      </c>
      <c r="E2998" s="22">
        <v>136390</v>
      </c>
      <c r="F2998" s="19"/>
      <c r="G2998" s="14">
        <f t="shared" si="60"/>
        <v>136390</v>
      </c>
      <c r="H2998" s="13"/>
    </row>
    <row r="2999" spans="1:8" x14ac:dyDescent="0.25">
      <c r="A2999" s="113">
        <v>45133</v>
      </c>
      <c r="B2999" s="21" t="s">
        <v>9986</v>
      </c>
      <c r="C2999" s="13" t="s">
        <v>7467</v>
      </c>
      <c r="D2999" s="766" t="s">
        <v>10624</v>
      </c>
      <c r="E2999" s="22">
        <v>10125</v>
      </c>
      <c r="F2999" s="19"/>
      <c r="G2999" s="14">
        <f t="shared" si="60"/>
        <v>10125</v>
      </c>
      <c r="H2999" s="13"/>
    </row>
    <row r="3000" spans="1:8" x14ac:dyDescent="0.25">
      <c r="A3000" s="113">
        <v>45133</v>
      </c>
      <c r="B3000" s="21" t="s">
        <v>9507</v>
      </c>
      <c r="C3000" s="13" t="s">
        <v>8394</v>
      </c>
      <c r="D3000" s="766" t="s">
        <v>10625</v>
      </c>
      <c r="E3000" s="22">
        <v>28019</v>
      </c>
      <c r="F3000" s="19"/>
      <c r="G3000" s="14">
        <f t="shared" si="60"/>
        <v>28019</v>
      </c>
      <c r="H3000" s="13"/>
    </row>
    <row r="3001" spans="1:8" x14ac:dyDescent="0.25">
      <c r="A3001" s="113">
        <v>45133</v>
      </c>
      <c r="B3001" s="21" t="s">
        <v>9356</v>
      </c>
      <c r="C3001" s="13" t="s">
        <v>8394</v>
      </c>
      <c r="D3001" s="766" t="s">
        <v>10626</v>
      </c>
      <c r="E3001" s="22">
        <v>92172</v>
      </c>
      <c r="F3001" s="19"/>
      <c r="G3001" s="14">
        <f t="shared" si="60"/>
        <v>92172</v>
      </c>
      <c r="H3001" s="13"/>
    </row>
    <row r="3002" spans="1:8" x14ac:dyDescent="0.25">
      <c r="A3002" s="113">
        <v>45136</v>
      </c>
      <c r="B3002" s="21" t="s">
        <v>10232</v>
      </c>
      <c r="C3002" s="13" t="s">
        <v>8394</v>
      </c>
      <c r="D3002" s="766" t="s">
        <v>10627</v>
      </c>
      <c r="E3002" s="22">
        <v>149586</v>
      </c>
      <c r="F3002" s="19"/>
      <c r="G3002" s="14">
        <f t="shared" si="60"/>
        <v>149586</v>
      </c>
      <c r="H3002" s="13"/>
    </row>
    <row r="3003" spans="1:8" x14ac:dyDescent="0.25">
      <c r="A3003" s="113">
        <v>45138</v>
      </c>
      <c r="B3003" s="983" t="s">
        <v>10379</v>
      </c>
      <c r="C3003" s="13" t="s">
        <v>166</v>
      </c>
      <c r="D3003" s="766" t="s">
        <v>10804</v>
      </c>
      <c r="E3003" s="22">
        <v>13755</v>
      </c>
      <c r="F3003" s="19"/>
      <c r="G3003" s="14">
        <f t="shared" si="60"/>
        <v>13755</v>
      </c>
      <c r="H3003" s="13"/>
    </row>
    <row r="3004" spans="1:8" x14ac:dyDescent="0.25">
      <c r="A3004" s="113">
        <v>45138</v>
      </c>
      <c r="B3004" s="983" t="s">
        <v>9832</v>
      </c>
      <c r="C3004" s="13" t="s">
        <v>168</v>
      </c>
      <c r="D3004" s="766" t="s">
        <v>11804</v>
      </c>
      <c r="E3004" s="22">
        <v>1741376</v>
      </c>
      <c r="F3004" s="19"/>
      <c r="G3004" s="14">
        <f t="shared" si="60"/>
        <v>1741376</v>
      </c>
      <c r="H3004" s="13"/>
    </row>
    <row r="3005" spans="1:8" x14ac:dyDescent="0.25">
      <c r="A3005" s="113">
        <v>45139</v>
      </c>
      <c r="B3005" s="21" t="s">
        <v>10571</v>
      </c>
      <c r="C3005" s="13" t="s">
        <v>169</v>
      </c>
      <c r="D3005" s="766" t="s">
        <v>9363</v>
      </c>
      <c r="E3005" s="22">
        <v>7580</v>
      </c>
      <c r="F3005" s="19"/>
      <c r="G3005" s="14">
        <f t="shared" si="60"/>
        <v>7580</v>
      </c>
      <c r="H3005" s="13"/>
    </row>
    <row r="3006" spans="1:8" x14ac:dyDescent="0.25">
      <c r="A3006" s="113">
        <v>45139</v>
      </c>
      <c r="B3006" s="21" t="s">
        <v>10151</v>
      </c>
      <c r="C3006" s="13" t="s">
        <v>8394</v>
      </c>
      <c r="D3006" s="766"/>
      <c r="E3006" s="22"/>
      <c r="F3006" s="19">
        <v>895000</v>
      </c>
      <c r="G3006" s="14">
        <f t="shared" si="60"/>
        <v>-895000</v>
      </c>
      <c r="H3006" s="13" t="s">
        <v>10485</v>
      </c>
    </row>
    <row r="3007" spans="1:8" x14ac:dyDescent="0.25">
      <c r="A3007" s="113">
        <v>45139</v>
      </c>
      <c r="B3007" s="21" t="s">
        <v>10232</v>
      </c>
      <c r="C3007" s="13" t="s">
        <v>180</v>
      </c>
      <c r="D3007" s="766" t="s">
        <v>10725</v>
      </c>
      <c r="E3007" s="22">
        <v>99200</v>
      </c>
      <c r="F3007" s="19"/>
      <c r="G3007" s="14">
        <f t="shared" si="60"/>
        <v>99200</v>
      </c>
      <c r="H3007" s="13"/>
    </row>
    <row r="3008" spans="1:8" x14ac:dyDescent="0.25">
      <c r="A3008" s="113">
        <v>45140</v>
      </c>
      <c r="B3008" s="21" t="s">
        <v>10471</v>
      </c>
      <c r="C3008" s="13" t="s">
        <v>164</v>
      </c>
      <c r="D3008" s="766" t="s">
        <v>10683</v>
      </c>
      <c r="E3008" s="22">
        <v>34252</v>
      </c>
      <c r="F3008" s="19"/>
      <c r="G3008" s="14">
        <f t="shared" si="60"/>
        <v>34252</v>
      </c>
      <c r="H3008" s="13"/>
    </row>
    <row r="3009" spans="1:8" x14ac:dyDescent="0.25">
      <c r="A3009" s="113">
        <v>45141</v>
      </c>
      <c r="B3009" s="21" t="s">
        <v>10571</v>
      </c>
      <c r="C3009" s="13" t="s">
        <v>7467</v>
      </c>
      <c r="D3009" s="766" t="s">
        <v>10685</v>
      </c>
      <c r="E3009" s="22">
        <v>752630</v>
      </c>
      <c r="F3009" s="19"/>
      <c r="G3009" s="14">
        <f t="shared" si="60"/>
        <v>752630</v>
      </c>
      <c r="H3009" s="13"/>
    </row>
    <row r="3010" spans="1:8" x14ac:dyDescent="0.25">
      <c r="A3010" s="113">
        <v>45141</v>
      </c>
      <c r="B3010" s="21" t="s">
        <v>10909</v>
      </c>
      <c r="C3010" s="13" t="s">
        <v>1803</v>
      </c>
      <c r="D3010" s="766" t="s">
        <v>9966</v>
      </c>
      <c r="E3010" s="22">
        <v>75050</v>
      </c>
      <c r="F3010" s="19"/>
      <c r="G3010" s="14">
        <f t="shared" si="60"/>
        <v>75050</v>
      </c>
      <c r="H3010" s="13"/>
    </row>
    <row r="3011" spans="1:8" x14ac:dyDescent="0.25">
      <c r="A3011" s="113">
        <v>45141</v>
      </c>
      <c r="B3011" s="21" t="s">
        <v>10232</v>
      </c>
      <c r="C3011" s="13" t="s">
        <v>8394</v>
      </c>
      <c r="D3011" s="766" t="s">
        <v>10687</v>
      </c>
      <c r="E3011" s="22">
        <v>447395</v>
      </c>
      <c r="F3011" s="19"/>
      <c r="G3011" s="14">
        <f t="shared" si="60"/>
        <v>447395</v>
      </c>
      <c r="H3011" s="13"/>
    </row>
    <row r="3012" spans="1:8" x14ac:dyDescent="0.25">
      <c r="A3012" s="113">
        <v>45141</v>
      </c>
      <c r="B3012" s="21" t="s">
        <v>10151</v>
      </c>
      <c r="C3012" s="13" t="s">
        <v>8394</v>
      </c>
      <c r="D3012" s="766" t="s">
        <v>10688</v>
      </c>
      <c r="E3012" s="22">
        <v>51609</v>
      </c>
      <c r="F3012" s="19"/>
      <c r="G3012" s="14">
        <f t="shared" si="60"/>
        <v>51609</v>
      </c>
      <c r="H3012" s="13"/>
    </row>
    <row r="3013" spans="1:8" x14ac:dyDescent="0.25">
      <c r="A3013" s="113">
        <v>45141</v>
      </c>
      <c r="B3013" s="21" t="s">
        <v>9356</v>
      </c>
      <c r="C3013" s="13" t="s">
        <v>8394</v>
      </c>
      <c r="D3013" s="766" t="s">
        <v>10689</v>
      </c>
      <c r="E3013" s="22">
        <v>24550</v>
      </c>
      <c r="F3013" s="19"/>
      <c r="G3013" s="14">
        <f t="shared" si="60"/>
        <v>24550</v>
      </c>
      <c r="H3013" s="13"/>
    </row>
    <row r="3014" spans="1:8" x14ac:dyDescent="0.25">
      <c r="A3014" s="113">
        <v>45141</v>
      </c>
      <c r="B3014" s="21" t="s">
        <v>10571</v>
      </c>
      <c r="C3014" s="13" t="s">
        <v>8394</v>
      </c>
      <c r="D3014" s="766" t="s">
        <v>10690</v>
      </c>
      <c r="E3014" s="22">
        <v>11574</v>
      </c>
      <c r="F3014" s="19"/>
      <c r="G3014" s="14">
        <f t="shared" si="60"/>
        <v>11574</v>
      </c>
      <c r="H3014" s="13"/>
    </row>
    <row r="3015" spans="1:8" x14ac:dyDescent="0.25">
      <c r="A3015" s="113">
        <v>45141</v>
      </c>
      <c r="B3015" s="983" t="s">
        <v>10379</v>
      </c>
      <c r="C3015" s="13" t="s">
        <v>8394</v>
      </c>
      <c r="D3015" s="766" t="s">
        <v>10691</v>
      </c>
      <c r="E3015" s="22">
        <v>118168</v>
      </c>
      <c r="F3015" s="19"/>
      <c r="G3015" s="14">
        <f t="shared" si="60"/>
        <v>118168</v>
      </c>
      <c r="H3015" s="13"/>
    </row>
    <row r="3016" spans="1:8" x14ac:dyDescent="0.25">
      <c r="A3016" s="113">
        <v>45142</v>
      </c>
      <c r="B3016" s="21" t="s">
        <v>10471</v>
      </c>
      <c r="C3016" s="13" t="s">
        <v>164</v>
      </c>
      <c r="D3016" s="766" t="s">
        <v>10684</v>
      </c>
      <c r="E3016" s="22">
        <v>14831</v>
      </c>
      <c r="F3016" s="19"/>
      <c r="G3016" s="14">
        <f t="shared" si="60"/>
        <v>14831</v>
      </c>
      <c r="H3016" s="13"/>
    </row>
    <row r="3017" spans="1:8" x14ac:dyDescent="0.25">
      <c r="A3017" s="113">
        <v>45142</v>
      </c>
      <c r="B3017" s="21" t="s">
        <v>9986</v>
      </c>
      <c r="C3017" s="13" t="s">
        <v>169</v>
      </c>
      <c r="D3017" s="766" t="s">
        <v>10808</v>
      </c>
      <c r="E3017" s="22">
        <v>32035</v>
      </c>
      <c r="F3017" s="19"/>
      <c r="G3017" s="14">
        <f t="shared" si="60"/>
        <v>32035</v>
      </c>
      <c r="H3017" s="13"/>
    </row>
    <row r="3018" spans="1:8" x14ac:dyDescent="0.25">
      <c r="A3018" s="113">
        <v>45143</v>
      </c>
      <c r="B3018" s="21" t="s">
        <v>10296</v>
      </c>
      <c r="C3018" s="13" t="s">
        <v>1803</v>
      </c>
      <c r="D3018" s="766"/>
      <c r="E3018" s="22"/>
      <c r="F3018" s="19">
        <v>16490</v>
      </c>
      <c r="G3018" s="14">
        <f t="shared" si="60"/>
        <v>-16490</v>
      </c>
      <c r="H3018" s="13" t="s">
        <v>4470</v>
      </c>
    </row>
    <row r="3019" spans="1:8" x14ac:dyDescent="0.25">
      <c r="A3019" s="113">
        <v>45143</v>
      </c>
      <c r="B3019" s="21" t="s">
        <v>9356</v>
      </c>
      <c r="C3019" s="13" t="s">
        <v>7467</v>
      </c>
      <c r="D3019" s="766" t="s">
        <v>10686</v>
      </c>
      <c r="E3019" s="22">
        <v>153990</v>
      </c>
      <c r="F3019" s="19"/>
      <c r="G3019" s="14">
        <f t="shared" si="60"/>
        <v>153990</v>
      </c>
      <c r="H3019" s="13"/>
    </row>
    <row r="3020" spans="1:8" x14ac:dyDescent="0.25">
      <c r="A3020" s="113">
        <v>45143</v>
      </c>
      <c r="B3020" s="21" t="s">
        <v>10232</v>
      </c>
      <c r="C3020" s="13" t="s">
        <v>8394</v>
      </c>
      <c r="D3020" s="766" t="s">
        <v>10692</v>
      </c>
      <c r="E3020" s="22">
        <v>119072</v>
      </c>
      <c r="F3020" s="19"/>
      <c r="G3020" s="14">
        <f t="shared" si="60"/>
        <v>119072</v>
      </c>
      <c r="H3020" s="13"/>
    </row>
    <row r="3021" spans="1:8" x14ac:dyDescent="0.25">
      <c r="A3021" s="113">
        <v>45143</v>
      </c>
      <c r="B3021" s="21" t="s">
        <v>10296</v>
      </c>
      <c r="C3021" s="13" t="s">
        <v>1803</v>
      </c>
      <c r="D3021" s="766"/>
      <c r="E3021" s="22"/>
      <c r="F3021" s="19">
        <v>231000</v>
      </c>
      <c r="G3021" s="14">
        <f t="shared" si="60"/>
        <v>-231000</v>
      </c>
      <c r="H3021" s="13" t="s">
        <v>10219</v>
      </c>
    </row>
    <row r="3022" spans="1:8" x14ac:dyDescent="0.25">
      <c r="A3022" s="113">
        <v>45147</v>
      </c>
      <c r="B3022" s="21" t="s">
        <v>10471</v>
      </c>
      <c r="C3022" s="13" t="s">
        <v>168</v>
      </c>
      <c r="D3022" s="766" t="s">
        <v>10744</v>
      </c>
      <c r="E3022" s="22">
        <v>88971</v>
      </c>
      <c r="F3022" s="19"/>
      <c r="G3022" s="14">
        <f t="shared" si="60"/>
        <v>88971</v>
      </c>
      <c r="H3022" s="13"/>
    </row>
    <row r="3023" spans="1:8" x14ac:dyDescent="0.25">
      <c r="A3023" s="113">
        <v>45148</v>
      </c>
      <c r="B3023" s="21" t="s">
        <v>10151</v>
      </c>
      <c r="C3023" s="13" t="s">
        <v>8394</v>
      </c>
      <c r="D3023" s="766" t="s">
        <v>10832</v>
      </c>
      <c r="E3023" s="22">
        <v>49067</v>
      </c>
      <c r="F3023" s="19"/>
      <c r="G3023" s="14">
        <f t="shared" si="60"/>
        <v>49067</v>
      </c>
      <c r="H3023" s="13"/>
    </row>
    <row r="3024" spans="1:8" x14ac:dyDescent="0.25">
      <c r="A3024" s="113">
        <v>45149</v>
      </c>
      <c r="B3024" s="983" t="s">
        <v>10379</v>
      </c>
      <c r="C3024" s="13" t="s">
        <v>8394</v>
      </c>
      <c r="D3024" s="766" t="s">
        <v>10833</v>
      </c>
      <c r="E3024" s="22">
        <v>70850</v>
      </c>
      <c r="F3024" s="19"/>
      <c r="G3024" s="14">
        <f t="shared" si="60"/>
        <v>70850</v>
      </c>
      <c r="H3024" s="13"/>
    </row>
    <row r="3025" spans="1:8" x14ac:dyDescent="0.25">
      <c r="A3025" s="113">
        <v>45149</v>
      </c>
      <c r="B3025" s="21" t="s">
        <v>10151</v>
      </c>
      <c r="C3025" s="13" t="s">
        <v>166</v>
      </c>
      <c r="D3025" s="766" t="s">
        <v>10839</v>
      </c>
      <c r="E3025" s="22">
        <v>20300</v>
      </c>
      <c r="F3025" s="19"/>
      <c r="G3025" s="14">
        <f t="shared" si="60"/>
        <v>20300</v>
      </c>
      <c r="H3025" s="54"/>
    </row>
    <row r="3026" spans="1:8" x14ac:dyDescent="0.25">
      <c r="A3026" s="113">
        <v>45149</v>
      </c>
      <c r="B3026" s="21" t="s">
        <v>10232</v>
      </c>
      <c r="C3026" s="13" t="s">
        <v>7467</v>
      </c>
      <c r="D3026" s="766" t="s">
        <v>10844</v>
      </c>
      <c r="E3026" s="22">
        <v>67956</v>
      </c>
      <c r="F3026" s="19"/>
      <c r="G3026" s="14">
        <f t="shared" si="60"/>
        <v>67956</v>
      </c>
      <c r="H3026" s="54"/>
    </row>
    <row r="3027" spans="1:8" x14ac:dyDescent="0.25">
      <c r="A3027" s="113">
        <v>45150</v>
      </c>
      <c r="B3027" s="21" t="s">
        <v>10151</v>
      </c>
      <c r="C3027" s="13" t="s">
        <v>8394</v>
      </c>
      <c r="D3027" s="766" t="s">
        <v>10834</v>
      </c>
      <c r="E3027" s="22">
        <v>30498</v>
      </c>
      <c r="F3027" s="19"/>
      <c r="G3027" s="14">
        <f t="shared" si="60"/>
        <v>30498</v>
      </c>
      <c r="H3027" s="54"/>
    </row>
    <row r="3028" spans="1:8" x14ac:dyDescent="0.25">
      <c r="A3028" s="113">
        <v>45150</v>
      </c>
      <c r="B3028" s="21" t="s">
        <v>10151</v>
      </c>
      <c r="C3028" s="13" t="s">
        <v>164</v>
      </c>
      <c r="D3028" s="766" t="s">
        <v>11043</v>
      </c>
      <c r="E3028" s="22">
        <v>6023</v>
      </c>
      <c r="F3028" s="19"/>
      <c r="G3028" s="14">
        <f t="shared" si="60"/>
        <v>6023</v>
      </c>
      <c r="H3028" s="54"/>
    </row>
    <row r="3029" spans="1:8" x14ac:dyDescent="0.25">
      <c r="A3029" s="113">
        <v>45153</v>
      </c>
      <c r="B3029" s="21" t="s">
        <v>7921</v>
      </c>
      <c r="C3029" s="13" t="s">
        <v>7467</v>
      </c>
      <c r="D3029" s="766"/>
      <c r="E3029" s="22"/>
      <c r="F3029" s="19">
        <v>665882</v>
      </c>
      <c r="G3029" s="14">
        <f t="shared" si="60"/>
        <v>-665882</v>
      </c>
      <c r="H3029" s="1247" t="s">
        <v>10752</v>
      </c>
    </row>
    <row r="3030" spans="1:8" x14ac:dyDescent="0.25">
      <c r="A3030" s="113">
        <v>45153</v>
      </c>
      <c r="B3030" s="21" t="s">
        <v>8876</v>
      </c>
      <c r="C3030" s="13" t="s">
        <v>7467</v>
      </c>
      <c r="D3030" s="766"/>
      <c r="E3030" s="22"/>
      <c r="F3030" s="19">
        <v>201658</v>
      </c>
      <c r="G3030" s="14">
        <f t="shared" si="60"/>
        <v>-201658</v>
      </c>
      <c r="H3030" s="1249"/>
    </row>
    <row r="3031" spans="1:8" x14ac:dyDescent="0.25">
      <c r="A3031" s="113">
        <v>45153</v>
      </c>
      <c r="B3031" s="21" t="s">
        <v>9661</v>
      </c>
      <c r="C3031" s="13" t="s">
        <v>7467</v>
      </c>
      <c r="D3031" s="766"/>
      <c r="E3031" s="22"/>
      <c r="F3031" s="19">
        <v>482460</v>
      </c>
      <c r="G3031" s="14">
        <f t="shared" si="60"/>
        <v>-482460</v>
      </c>
      <c r="H3031" s="1248"/>
    </row>
    <row r="3032" spans="1:8" ht="16.5" thickBot="1" x14ac:dyDescent="0.3">
      <c r="A3032" s="113">
        <v>45153</v>
      </c>
      <c r="B3032" s="21" t="s">
        <v>8657</v>
      </c>
      <c r="C3032" s="13" t="s">
        <v>5681</v>
      </c>
      <c r="D3032" s="766"/>
      <c r="E3032" s="22"/>
      <c r="F3032" s="110">
        <v>200000</v>
      </c>
      <c r="G3032" s="14">
        <f t="shared" si="60"/>
        <v>-200000</v>
      </c>
      <c r="H3032" s="13" t="s">
        <v>10753</v>
      </c>
    </row>
    <row r="3033" spans="1:8" x14ac:dyDescent="0.25">
      <c r="A3033" s="113">
        <v>45154</v>
      </c>
      <c r="B3033" s="21" t="s">
        <v>8868</v>
      </c>
      <c r="C3033" s="13" t="s">
        <v>8394</v>
      </c>
      <c r="D3033" s="766"/>
      <c r="E3033" s="783"/>
      <c r="F3033" s="785">
        <v>72078</v>
      </c>
      <c r="G3033" s="784">
        <f t="shared" si="60"/>
        <v>-72078</v>
      </c>
      <c r="H3033" s="1238" t="s">
        <v>10848</v>
      </c>
    </row>
    <row r="3034" spans="1:8" x14ac:dyDescent="0.25">
      <c r="A3034" s="113">
        <v>45154</v>
      </c>
      <c r="B3034" s="21" t="s">
        <v>9356</v>
      </c>
      <c r="C3034" s="13" t="s">
        <v>8394</v>
      </c>
      <c r="D3034" s="766"/>
      <c r="E3034" s="783"/>
      <c r="F3034" s="142">
        <v>150000</v>
      </c>
      <c r="G3034" s="784">
        <f t="shared" ref="G3034:G3171" si="62">E3034-F3034</f>
        <v>-150000</v>
      </c>
      <c r="H3034" s="1239"/>
    </row>
    <row r="3035" spans="1:8" x14ac:dyDescent="0.25">
      <c r="A3035" s="113">
        <v>45154</v>
      </c>
      <c r="B3035" s="21" t="s">
        <v>9769</v>
      </c>
      <c r="C3035" s="13" t="s">
        <v>8394</v>
      </c>
      <c r="D3035" s="766"/>
      <c r="E3035" s="783"/>
      <c r="F3035" s="142">
        <v>372320</v>
      </c>
      <c r="G3035" s="784">
        <f t="shared" si="62"/>
        <v>-372320</v>
      </c>
      <c r="H3035" s="1239"/>
    </row>
    <row r="3036" spans="1:8" x14ac:dyDescent="0.25">
      <c r="A3036" s="113">
        <v>45154</v>
      </c>
      <c r="B3036" s="21" t="s">
        <v>10151</v>
      </c>
      <c r="C3036" s="13" t="s">
        <v>8394</v>
      </c>
      <c r="D3036" s="766"/>
      <c r="E3036" s="783"/>
      <c r="F3036" s="142">
        <v>300000</v>
      </c>
      <c r="G3036" s="784">
        <f t="shared" si="62"/>
        <v>-300000</v>
      </c>
      <c r="H3036" s="1239"/>
    </row>
    <row r="3037" spans="1:8" x14ac:dyDescent="0.25">
      <c r="A3037" s="113">
        <v>45154</v>
      </c>
      <c r="B3037" s="983" t="s">
        <v>10379</v>
      </c>
      <c r="C3037" s="13" t="s">
        <v>8394</v>
      </c>
      <c r="D3037" s="766"/>
      <c r="E3037" s="783"/>
      <c r="F3037" s="142">
        <v>100000</v>
      </c>
      <c r="G3037" s="784">
        <f t="shared" si="62"/>
        <v>-100000</v>
      </c>
      <c r="H3037" s="1239"/>
    </row>
    <row r="3038" spans="1:8" x14ac:dyDescent="0.25">
      <c r="A3038" s="266">
        <v>45154</v>
      </c>
      <c r="B3038" s="978" t="s">
        <v>10232</v>
      </c>
      <c r="C3038" s="54" t="s">
        <v>8394</v>
      </c>
      <c r="D3038" s="777"/>
      <c r="E3038" s="955"/>
      <c r="F3038" s="147">
        <v>5602</v>
      </c>
      <c r="G3038" s="979">
        <f t="shared" si="62"/>
        <v>-5602</v>
      </c>
      <c r="H3038" s="1240"/>
    </row>
    <row r="3039" spans="1:8" ht="23.25" x14ac:dyDescent="0.25">
      <c r="A3039" s="113">
        <v>45154</v>
      </c>
      <c r="B3039" s="21" t="s">
        <v>10296</v>
      </c>
      <c r="C3039" s="13" t="s">
        <v>169</v>
      </c>
      <c r="D3039" s="766" t="s">
        <v>10809</v>
      </c>
      <c r="E3039" s="22">
        <v>117640</v>
      </c>
      <c r="F3039" s="19"/>
      <c r="G3039" s="14">
        <f t="shared" ref="G3039:G3040" si="63">E3039-F3039</f>
        <v>117640</v>
      </c>
      <c r="H3039" s="304"/>
    </row>
    <row r="3040" spans="1:8" ht="23.25" x14ac:dyDescent="0.25">
      <c r="A3040" s="113">
        <v>45154</v>
      </c>
      <c r="B3040" s="21" t="s">
        <v>10296</v>
      </c>
      <c r="C3040" s="13" t="s">
        <v>169</v>
      </c>
      <c r="D3040" s="766" t="s">
        <v>10810</v>
      </c>
      <c r="E3040" s="22">
        <v>12252</v>
      </c>
      <c r="F3040" s="19"/>
      <c r="G3040" s="14">
        <f t="shared" si="63"/>
        <v>12252</v>
      </c>
      <c r="H3040" s="304"/>
    </row>
    <row r="3041" spans="1:8" ht="23.25" x14ac:dyDescent="0.25">
      <c r="A3041" s="113">
        <v>45154</v>
      </c>
      <c r="B3041" s="21" t="s">
        <v>10471</v>
      </c>
      <c r="C3041" s="13" t="s">
        <v>166</v>
      </c>
      <c r="D3041" s="766" t="s">
        <v>10805</v>
      </c>
      <c r="E3041" s="22">
        <v>7000</v>
      </c>
      <c r="F3041" s="19"/>
      <c r="G3041" s="14">
        <f t="shared" si="62"/>
        <v>7000</v>
      </c>
      <c r="H3041" s="304"/>
    </row>
    <row r="3042" spans="1:8" ht="23.25" x14ac:dyDescent="0.25">
      <c r="A3042" s="113">
        <v>45154</v>
      </c>
      <c r="B3042" s="21" t="s">
        <v>10296</v>
      </c>
      <c r="C3042" s="13" t="s">
        <v>164</v>
      </c>
      <c r="D3042" s="766" t="s">
        <v>10840</v>
      </c>
      <c r="E3042" s="22">
        <v>6055</v>
      </c>
      <c r="F3042" s="19"/>
      <c r="G3042" s="14">
        <f t="shared" si="62"/>
        <v>6055</v>
      </c>
      <c r="H3042" s="980"/>
    </row>
    <row r="3043" spans="1:8" ht="23.25" x14ac:dyDescent="0.25">
      <c r="A3043" s="113">
        <v>45154</v>
      </c>
      <c r="B3043" s="21" t="s">
        <v>9967</v>
      </c>
      <c r="C3043" s="13" t="s">
        <v>164</v>
      </c>
      <c r="D3043" s="766" t="s">
        <v>10841</v>
      </c>
      <c r="E3043" s="22">
        <v>1260</v>
      </c>
      <c r="F3043" s="19"/>
      <c r="G3043" s="14">
        <f t="shared" si="62"/>
        <v>1260</v>
      </c>
      <c r="H3043" s="980"/>
    </row>
    <row r="3044" spans="1:8" ht="15.75" customHeight="1" x14ac:dyDescent="0.25">
      <c r="A3044" s="113">
        <v>45156</v>
      </c>
      <c r="B3044" s="21" t="s">
        <v>10151</v>
      </c>
      <c r="C3044" s="13" t="s">
        <v>166</v>
      </c>
      <c r="D3044" s="1228" t="s">
        <v>10806</v>
      </c>
      <c r="E3044" s="22">
        <v>20300</v>
      </c>
      <c r="F3044" s="19"/>
      <c r="G3044" s="14">
        <f t="shared" si="62"/>
        <v>20300</v>
      </c>
      <c r="H3044" s="1225" t="s">
        <v>9326</v>
      </c>
    </row>
    <row r="3045" spans="1:8" ht="15.75" customHeight="1" x14ac:dyDescent="0.25">
      <c r="A3045" s="113">
        <v>45156</v>
      </c>
      <c r="B3045" s="983" t="s">
        <v>10379</v>
      </c>
      <c r="C3045" s="13" t="s">
        <v>166</v>
      </c>
      <c r="D3045" s="1228"/>
      <c r="E3045" s="22">
        <v>45000</v>
      </c>
      <c r="F3045" s="19"/>
      <c r="G3045" s="14">
        <f t="shared" si="62"/>
        <v>45000</v>
      </c>
      <c r="H3045" s="1226"/>
    </row>
    <row r="3046" spans="1:8" x14ac:dyDescent="0.25">
      <c r="A3046" s="113">
        <v>45156</v>
      </c>
      <c r="B3046" s="21" t="s">
        <v>8657</v>
      </c>
      <c r="C3046" s="13" t="s">
        <v>166</v>
      </c>
      <c r="D3046" s="766"/>
      <c r="E3046" s="22"/>
      <c r="F3046" s="19">
        <v>64845</v>
      </c>
      <c r="G3046" s="14">
        <f t="shared" si="62"/>
        <v>-64845</v>
      </c>
      <c r="H3046" s="1232" t="s">
        <v>10843</v>
      </c>
    </row>
    <row r="3047" spans="1:8" x14ac:dyDescent="0.25">
      <c r="A3047" s="113">
        <v>45156</v>
      </c>
      <c r="B3047" s="21" t="s">
        <v>8868</v>
      </c>
      <c r="C3047" s="13" t="s">
        <v>166</v>
      </c>
      <c r="D3047" s="766"/>
      <c r="E3047" s="22"/>
      <c r="F3047" s="19">
        <v>22500</v>
      </c>
      <c r="G3047" s="14">
        <f t="shared" si="62"/>
        <v>-22500</v>
      </c>
      <c r="H3047" s="1233"/>
    </row>
    <row r="3048" spans="1:8" x14ac:dyDescent="0.25">
      <c r="A3048" s="113">
        <v>45156</v>
      </c>
      <c r="B3048" s="21" t="s">
        <v>10151</v>
      </c>
      <c r="C3048" s="13" t="s">
        <v>166</v>
      </c>
      <c r="D3048" s="766"/>
      <c r="E3048" s="22"/>
      <c r="F3048" s="19">
        <v>19260</v>
      </c>
      <c r="G3048" s="14">
        <f t="shared" si="62"/>
        <v>-19260</v>
      </c>
      <c r="H3048" s="1233"/>
    </row>
    <row r="3049" spans="1:8" x14ac:dyDescent="0.25">
      <c r="A3049" s="113">
        <v>45156</v>
      </c>
      <c r="B3049" s="21" t="s">
        <v>10471</v>
      </c>
      <c r="C3049" s="13" t="s">
        <v>166</v>
      </c>
      <c r="D3049" s="766"/>
      <c r="E3049" s="22"/>
      <c r="F3049" s="19">
        <v>34640</v>
      </c>
      <c r="G3049" s="14">
        <f t="shared" si="62"/>
        <v>-34640</v>
      </c>
      <c r="H3049" s="1233"/>
    </row>
    <row r="3050" spans="1:8" x14ac:dyDescent="0.25">
      <c r="A3050" s="113">
        <v>45156</v>
      </c>
      <c r="B3050" s="983" t="s">
        <v>10379</v>
      </c>
      <c r="C3050" s="13" t="s">
        <v>166</v>
      </c>
      <c r="D3050" s="766"/>
      <c r="E3050" s="22"/>
      <c r="F3050" s="19">
        <v>58755</v>
      </c>
      <c r="G3050" s="14">
        <f t="shared" si="62"/>
        <v>-58755</v>
      </c>
      <c r="H3050" s="1234"/>
    </row>
    <row r="3051" spans="1:8" x14ac:dyDescent="0.25">
      <c r="A3051" s="113">
        <v>45156</v>
      </c>
      <c r="B3051" s="21" t="s">
        <v>9967</v>
      </c>
      <c r="C3051" s="13" t="s">
        <v>168</v>
      </c>
      <c r="D3051" s="766" t="s">
        <v>10851</v>
      </c>
      <c r="E3051" s="22">
        <v>16864</v>
      </c>
      <c r="F3051" s="19"/>
      <c r="G3051" s="14">
        <f t="shared" si="62"/>
        <v>16864</v>
      </c>
      <c r="H3051" s="981"/>
    </row>
    <row r="3052" spans="1:8" x14ac:dyDescent="0.25">
      <c r="A3052" s="113">
        <v>45156</v>
      </c>
      <c r="B3052" s="21" t="s">
        <v>7807</v>
      </c>
      <c r="C3052" s="13" t="s">
        <v>168</v>
      </c>
      <c r="D3052" s="766" t="s">
        <v>10850</v>
      </c>
      <c r="E3052" s="22">
        <v>10980</v>
      </c>
      <c r="F3052" s="19"/>
      <c r="G3052" s="14">
        <f t="shared" si="62"/>
        <v>10980</v>
      </c>
      <c r="H3052" s="981"/>
    </row>
    <row r="3053" spans="1:8" x14ac:dyDescent="0.25">
      <c r="A3053" s="113">
        <v>45157</v>
      </c>
      <c r="B3053" s="21" t="s">
        <v>9409</v>
      </c>
      <c r="C3053" s="13" t="s">
        <v>164</v>
      </c>
      <c r="D3053" s="766" t="s">
        <v>10842</v>
      </c>
      <c r="E3053" s="22">
        <v>4370</v>
      </c>
      <c r="F3053" s="19"/>
      <c r="G3053" s="14">
        <f t="shared" si="62"/>
        <v>4370</v>
      </c>
      <c r="H3053" s="982"/>
    </row>
    <row r="3054" spans="1:8" x14ac:dyDescent="0.25">
      <c r="A3054" s="113">
        <v>45159</v>
      </c>
      <c r="B3054" s="21" t="s">
        <v>10151</v>
      </c>
      <c r="C3054" s="13" t="s">
        <v>8394</v>
      </c>
      <c r="D3054" s="766" t="s">
        <v>10835</v>
      </c>
      <c r="E3054" s="22">
        <v>25073</v>
      </c>
      <c r="F3054" s="19"/>
      <c r="G3054" s="14">
        <f t="shared" si="62"/>
        <v>25073</v>
      </c>
      <c r="H3054" s="13"/>
    </row>
    <row r="3055" spans="1:8" x14ac:dyDescent="0.25">
      <c r="A3055" s="113">
        <v>45159</v>
      </c>
      <c r="B3055" s="983" t="s">
        <v>10379</v>
      </c>
      <c r="C3055" s="13" t="s">
        <v>8394</v>
      </c>
      <c r="D3055" s="766" t="s">
        <v>10836</v>
      </c>
      <c r="E3055" s="22">
        <v>246912</v>
      </c>
      <c r="F3055" s="19"/>
      <c r="G3055" s="14">
        <f t="shared" si="62"/>
        <v>246912</v>
      </c>
      <c r="H3055" s="13"/>
    </row>
    <row r="3056" spans="1:8" x14ac:dyDescent="0.25">
      <c r="A3056" s="113">
        <v>45159</v>
      </c>
      <c r="B3056" s="21" t="s">
        <v>10296</v>
      </c>
      <c r="C3056" s="13" t="s">
        <v>8394</v>
      </c>
      <c r="D3056" s="766" t="s">
        <v>10837</v>
      </c>
      <c r="E3056" s="22">
        <v>37586</v>
      </c>
      <c r="F3056" s="19"/>
      <c r="G3056" s="14">
        <f t="shared" si="62"/>
        <v>37586</v>
      </c>
      <c r="H3056" s="13"/>
    </row>
    <row r="3057" spans="1:8" x14ac:dyDescent="0.25">
      <c r="A3057" s="113">
        <v>45159</v>
      </c>
      <c r="B3057" s="21" t="s">
        <v>10232</v>
      </c>
      <c r="C3057" s="54" t="s">
        <v>8394</v>
      </c>
      <c r="D3057" s="766" t="s">
        <v>10838</v>
      </c>
      <c r="E3057" s="22">
        <v>197733</v>
      </c>
      <c r="F3057" s="110"/>
      <c r="G3057" s="14">
        <f t="shared" si="62"/>
        <v>197733</v>
      </c>
      <c r="H3057" s="13"/>
    </row>
    <row r="3058" spans="1:8" x14ac:dyDescent="0.25">
      <c r="A3058" s="113">
        <v>45159</v>
      </c>
      <c r="B3058" s="983" t="s">
        <v>10379</v>
      </c>
      <c r="C3058" s="13" t="s">
        <v>166</v>
      </c>
      <c r="D3058" s="984" t="s">
        <v>10937</v>
      </c>
      <c r="E3058" s="783">
        <v>28250</v>
      </c>
      <c r="F3058" s="214"/>
      <c r="G3058" s="784">
        <f t="shared" si="62"/>
        <v>28250</v>
      </c>
      <c r="H3058" s="54"/>
    </row>
    <row r="3059" spans="1:8" x14ac:dyDescent="0.25">
      <c r="A3059" s="113">
        <v>45160</v>
      </c>
      <c r="B3059" s="983" t="s">
        <v>10379</v>
      </c>
      <c r="C3059" s="7" t="s">
        <v>164</v>
      </c>
      <c r="D3059" s="984" t="s">
        <v>11044</v>
      </c>
      <c r="E3059" s="783">
        <v>7210</v>
      </c>
      <c r="F3059" s="214"/>
      <c r="G3059" s="784">
        <f t="shared" si="62"/>
        <v>7210</v>
      </c>
      <c r="H3059" s="54"/>
    </row>
    <row r="3060" spans="1:8" x14ac:dyDescent="0.25">
      <c r="A3060" s="113">
        <v>45161</v>
      </c>
      <c r="B3060" s="983" t="s">
        <v>10576</v>
      </c>
      <c r="C3060" s="7" t="s">
        <v>180</v>
      </c>
      <c r="D3060" s="984" t="s">
        <v>10927</v>
      </c>
      <c r="E3060" s="783">
        <v>268800</v>
      </c>
      <c r="F3060" s="214"/>
      <c r="G3060" s="784">
        <f t="shared" si="62"/>
        <v>268800</v>
      </c>
      <c r="H3060" s="54"/>
    </row>
    <row r="3061" spans="1:8" x14ac:dyDescent="0.25">
      <c r="A3061" s="113">
        <v>45161</v>
      </c>
      <c r="B3061" s="983" t="s">
        <v>10576</v>
      </c>
      <c r="C3061" s="7" t="s">
        <v>180</v>
      </c>
      <c r="D3061" s="984" t="s">
        <v>10928</v>
      </c>
      <c r="E3061" s="783">
        <v>1415820</v>
      </c>
      <c r="F3061" s="214"/>
      <c r="G3061" s="784">
        <f t="shared" si="62"/>
        <v>1415820</v>
      </c>
      <c r="H3061" s="54"/>
    </row>
    <row r="3062" spans="1:8" x14ac:dyDescent="0.25">
      <c r="A3062" s="113">
        <v>45161</v>
      </c>
      <c r="B3062" s="983" t="s">
        <v>10576</v>
      </c>
      <c r="C3062" s="7" t="s">
        <v>168</v>
      </c>
      <c r="D3062" s="984" t="s">
        <v>10929</v>
      </c>
      <c r="E3062" s="783">
        <v>104470</v>
      </c>
      <c r="F3062" s="214"/>
      <c r="G3062" s="784">
        <f t="shared" si="62"/>
        <v>104470</v>
      </c>
      <c r="H3062" s="54"/>
    </row>
    <row r="3063" spans="1:8" x14ac:dyDescent="0.25">
      <c r="A3063" s="113">
        <v>45161</v>
      </c>
      <c r="B3063" s="983" t="s">
        <v>10379</v>
      </c>
      <c r="C3063" s="7" t="s">
        <v>168</v>
      </c>
      <c r="D3063" s="984" t="s">
        <v>10930</v>
      </c>
      <c r="E3063" s="783">
        <v>14520</v>
      </c>
      <c r="F3063" s="214"/>
      <c r="G3063" s="784">
        <f t="shared" si="62"/>
        <v>14520</v>
      </c>
      <c r="H3063" s="54"/>
    </row>
    <row r="3064" spans="1:8" ht="16.5" thickBot="1" x14ac:dyDescent="0.3">
      <c r="A3064" s="113">
        <v>45161</v>
      </c>
      <c r="B3064" s="983" t="s">
        <v>10571</v>
      </c>
      <c r="C3064" s="7" t="s">
        <v>168</v>
      </c>
      <c r="D3064" s="984" t="s">
        <v>10931</v>
      </c>
      <c r="E3064" s="783">
        <v>22800</v>
      </c>
      <c r="F3064" s="214"/>
      <c r="G3064" s="784">
        <f t="shared" si="62"/>
        <v>22800</v>
      </c>
      <c r="H3064" s="54"/>
    </row>
    <row r="3065" spans="1:8" x14ac:dyDescent="0.25">
      <c r="A3065" s="113">
        <v>45161</v>
      </c>
      <c r="B3065" s="983" t="s">
        <v>9507</v>
      </c>
      <c r="C3065" s="985" t="s">
        <v>8394</v>
      </c>
      <c r="D3065" s="984"/>
      <c r="E3065" s="783"/>
      <c r="F3065" s="785">
        <v>28019</v>
      </c>
      <c r="G3065" s="784">
        <f t="shared" si="62"/>
        <v>-28019</v>
      </c>
      <c r="H3065" s="1238" t="s">
        <v>10848</v>
      </c>
    </row>
    <row r="3066" spans="1:8" x14ac:dyDescent="0.25">
      <c r="A3066" s="113">
        <v>45161</v>
      </c>
      <c r="B3066" s="983" t="s">
        <v>10296</v>
      </c>
      <c r="C3066" s="140" t="s">
        <v>8394</v>
      </c>
      <c r="D3066" s="984"/>
      <c r="E3066" s="783"/>
      <c r="F3066" s="142">
        <v>112135</v>
      </c>
      <c r="G3066" s="784">
        <f t="shared" si="62"/>
        <v>-112135</v>
      </c>
      <c r="H3066" s="1239"/>
    </row>
    <row r="3067" spans="1:8" x14ac:dyDescent="0.25">
      <c r="A3067" s="113">
        <v>45161</v>
      </c>
      <c r="B3067" s="21" t="s">
        <v>9356</v>
      </c>
      <c r="C3067" s="140" t="s">
        <v>8394</v>
      </c>
      <c r="D3067" s="984"/>
      <c r="E3067" s="783"/>
      <c r="F3067" s="142">
        <v>22065</v>
      </c>
      <c r="G3067" s="784">
        <f t="shared" si="62"/>
        <v>-22065</v>
      </c>
      <c r="H3067" s="1239"/>
    </row>
    <row r="3068" spans="1:8" x14ac:dyDescent="0.25">
      <c r="A3068" s="113">
        <v>45161</v>
      </c>
      <c r="B3068" s="983" t="s">
        <v>10151</v>
      </c>
      <c r="C3068" s="140" t="s">
        <v>8394</v>
      </c>
      <c r="D3068" s="984"/>
      <c r="E3068" s="783"/>
      <c r="F3068" s="142">
        <v>300000</v>
      </c>
      <c r="G3068" s="784">
        <f t="shared" si="62"/>
        <v>-300000</v>
      </c>
      <c r="H3068" s="1239"/>
    </row>
    <row r="3069" spans="1:8" x14ac:dyDescent="0.25">
      <c r="A3069" s="113">
        <v>45161</v>
      </c>
      <c r="B3069" s="983" t="s">
        <v>10379</v>
      </c>
      <c r="C3069" s="140" t="s">
        <v>8394</v>
      </c>
      <c r="D3069" s="984"/>
      <c r="E3069" s="783"/>
      <c r="F3069" s="142">
        <v>200000</v>
      </c>
      <c r="G3069" s="784">
        <f t="shared" si="62"/>
        <v>-200000</v>
      </c>
      <c r="H3069" s="1239"/>
    </row>
    <row r="3070" spans="1:8" ht="16.5" thickBot="1" x14ac:dyDescent="0.3">
      <c r="A3070" s="113">
        <v>45161</v>
      </c>
      <c r="B3070" s="983" t="s">
        <v>10232</v>
      </c>
      <c r="C3070" s="986" t="s">
        <v>8394</v>
      </c>
      <c r="D3070" s="984"/>
      <c r="E3070" s="783"/>
      <c r="F3070" s="786">
        <v>337781</v>
      </c>
      <c r="G3070" s="784">
        <f t="shared" si="62"/>
        <v>-337781</v>
      </c>
      <c r="H3070" s="1240"/>
    </row>
    <row r="3071" spans="1:8" ht="17.25" customHeight="1" x14ac:dyDescent="0.25">
      <c r="A3071" s="113">
        <v>45161</v>
      </c>
      <c r="B3071" s="983" t="s">
        <v>10571</v>
      </c>
      <c r="C3071" s="7" t="s">
        <v>7467</v>
      </c>
      <c r="D3071" s="984" t="s">
        <v>10943</v>
      </c>
      <c r="E3071" s="783">
        <v>334758</v>
      </c>
      <c r="F3071" s="214"/>
      <c r="G3071" s="784">
        <f t="shared" si="62"/>
        <v>334758</v>
      </c>
      <c r="H3071" s="304"/>
    </row>
    <row r="3072" spans="1:8" ht="17.25" customHeight="1" x14ac:dyDescent="0.25">
      <c r="A3072" s="113">
        <v>45162</v>
      </c>
      <c r="B3072" s="983" t="s">
        <v>10296</v>
      </c>
      <c r="C3072" s="7" t="s">
        <v>7467</v>
      </c>
      <c r="D3072" s="984" t="s">
        <v>10944</v>
      </c>
      <c r="E3072" s="783">
        <v>82636</v>
      </c>
      <c r="F3072" s="214"/>
      <c r="G3072" s="784">
        <f t="shared" si="62"/>
        <v>82636</v>
      </c>
      <c r="H3072" s="304"/>
    </row>
    <row r="3073" spans="1:8" ht="17.25" customHeight="1" x14ac:dyDescent="0.25">
      <c r="A3073" s="113">
        <v>45162</v>
      </c>
      <c r="B3073" s="983" t="s">
        <v>10379</v>
      </c>
      <c r="C3073" s="13" t="s">
        <v>166</v>
      </c>
      <c r="D3073" s="984" t="s">
        <v>11198</v>
      </c>
      <c r="E3073" s="783">
        <v>3350</v>
      </c>
      <c r="F3073" s="214"/>
      <c r="G3073" s="784">
        <f t="shared" si="62"/>
        <v>3350</v>
      </c>
      <c r="H3073" s="304"/>
    </row>
    <row r="3074" spans="1:8" ht="17.25" customHeight="1" x14ac:dyDescent="0.25">
      <c r="A3074" s="113">
        <v>45162</v>
      </c>
      <c r="B3074" s="983" t="s">
        <v>10571</v>
      </c>
      <c r="C3074" s="13" t="s">
        <v>166</v>
      </c>
      <c r="D3074" s="984" t="s">
        <v>11790</v>
      </c>
      <c r="E3074" s="783">
        <v>45000</v>
      </c>
      <c r="F3074" s="214"/>
      <c r="G3074" s="784">
        <f t="shared" si="62"/>
        <v>45000</v>
      </c>
      <c r="H3074" s="304"/>
    </row>
    <row r="3075" spans="1:8" ht="17.25" customHeight="1" x14ac:dyDescent="0.25">
      <c r="A3075" s="113">
        <v>45163</v>
      </c>
      <c r="B3075" s="983" t="s">
        <v>10379</v>
      </c>
      <c r="C3075" s="7" t="s">
        <v>164</v>
      </c>
      <c r="D3075" s="984" t="s">
        <v>11045</v>
      </c>
      <c r="E3075" s="783">
        <v>7714</v>
      </c>
      <c r="F3075" s="214"/>
      <c r="G3075" s="784">
        <f t="shared" si="62"/>
        <v>7714</v>
      </c>
      <c r="H3075" s="304"/>
    </row>
    <row r="3076" spans="1:8" x14ac:dyDescent="0.25">
      <c r="A3076" s="113">
        <v>45163</v>
      </c>
      <c r="B3076" s="21" t="s">
        <v>10471</v>
      </c>
      <c r="C3076" s="13" t="s">
        <v>166</v>
      </c>
      <c r="D3076" s="766" t="s">
        <v>10852</v>
      </c>
      <c r="E3076" s="22">
        <v>12500</v>
      </c>
      <c r="F3076" s="111"/>
      <c r="G3076" s="784">
        <f t="shared" si="62"/>
        <v>12500</v>
      </c>
      <c r="H3076" s="13"/>
    </row>
    <row r="3077" spans="1:8" x14ac:dyDescent="0.25">
      <c r="A3077" s="113">
        <v>45163</v>
      </c>
      <c r="B3077" s="21" t="s">
        <v>10571</v>
      </c>
      <c r="C3077" s="55" t="s">
        <v>168</v>
      </c>
      <c r="D3077" s="766" t="s">
        <v>10932</v>
      </c>
      <c r="E3077" s="783">
        <v>13500</v>
      </c>
      <c r="F3077" s="214"/>
      <c r="G3077" s="784">
        <f t="shared" si="62"/>
        <v>13500</v>
      </c>
      <c r="H3077" s="54"/>
    </row>
    <row r="3078" spans="1:8" ht="16.5" thickBot="1" x14ac:dyDescent="0.3">
      <c r="A3078" s="113">
        <v>45163</v>
      </c>
      <c r="B3078" s="21" t="s">
        <v>9356</v>
      </c>
      <c r="C3078" s="55" t="s">
        <v>2196</v>
      </c>
      <c r="D3078" s="766" t="s">
        <v>10941</v>
      </c>
      <c r="E3078" s="783">
        <v>105000</v>
      </c>
      <c r="F3078" s="214"/>
      <c r="G3078" s="784">
        <f t="shared" si="62"/>
        <v>105000</v>
      </c>
      <c r="H3078" s="54" t="s">
        <v>10942</v>
      </c>
    </row>
    <row r="3079" spans="1:8" x14ac:dyDescent="0.25">
      <c r="A3079" s="113">
        <v>45164</v>
      </c>
      <c r="B3079" s="21" t="s">
        <v>9356</v>
      </c>
      <c r="C3079" s="13" t="s">
        <v>169</v>
      </c>
      <c r="D3079" s="766"/>
      <c r="E3079" s="783"/>
      <c r="F3079" s="785">
        <v>200204</v>
      </c>
      <c r="G3079" s="784">
        <f t="shared" si="62"/>
        <v>-200204</v>
      </c>
      <c r="H3079" s="1229" t="s">
        <v>10856</v>
      </c>
    </row>
    <row r="3080" spans="1:8" x14ac:dyDescent="0.25">
      <c r="A3080" s="113">
        <v>45164</v>
      </c>
      <c r="B3080" s="21" t="s">
        <v>9967</v>
      </c>
      <c r="C3080" s="13" t="s">
        <v>169</v>
      </c>
      <c r="D3080" s="766"/>
      <c r="E3080" s="783"/>
      <c r="F3080" s="142">
        <v>23382</v>
      </c>
      <c r="G3080" s="784">
        <f t="shared" si="62"/>
        <v>-23382</v>
      </c>
      <c r="H3080" s="1230"/>
    </row>
    <row r="3081" spans="1:8" x14ac:dyDescent="0.25">
      <c r="A3081" s="113">
        <v>45164</v>
      </c>
      <c r="B3081" s="21" t="s">
        <v>9986</v>
      </c>
      <c r="C3081" s="13" t="s">
        <v>169</v>
      </c>
      <c r="D3081" s="766"/>
      <c r="E3081" s="783"/>
      <c r="F3081" s="142">
        <v>37222</v>
      </c>
      <c r="G3081" s="784">
        <f t="shared" si="62"/>
        <v>-37222</v>
      </c>
      <c r="H3081" s="1230"/>
    </row>
    <row r="3082" spans="1:8" x14ac:dyDescent="0.25">
      <c r="A3082" s="113">
        <v>45164</v>
      </c>
      <c r="B3082" s="21" t="s">
        <v>10296</v>
      </c>
      <c r="C3082" s="13" t="s">
        <v>169</v>
      </c>
      <c r="D3082" s="766"/>
      <c r="E3082" s="783"/>
      <c r="F3082" s="142">
        <v>129892</v>
      </c>
      <c r="G3082" s="784">
        <f t="shared" si="62"/>
        <v>-129892</v>
      </c>
      <c r="H3082" s="1230"/>
    </row>
    <row r="3083" spans="1:8" ht="16.5" thickBot="1" x14ac:dyDescent="0.3">
      <c r="A3083" s="113">
        <v>45164</v>
      </c>
      <c r="B3083" s="21" t="s">
        <v>10571</v>
      </c>
      <c r="C3083" s="13" t="s">
        <v>169</v>
      </c>
      <c r="D3083" s="766"/>
      <c r="E3083" s="783"/>
      <c r="F3083" s="786">
        <v>7300</v>
      </c>
      <c r="G3083" s="784">
        <f t="shared" si="62"/>
        <v>-7300</v>
      </c>
      <c r="H3083" s="1231"/>
    </row>
    <row r="3084" spans="1:8" ht="16.5" thickBot="1" x14ac:dyDescent="0.3">
      <c r="A3084" s="113">
        <v>45164</v>
      </c>
      <c r="B3084" s="21" t="s">
        <v>10571</v>
      </c>
      <c r="C3084" s="13" t="s">
        <v>169</v>
      </c>
      <c r="D3084" s="766"/>
      <c r="E3084" s="22"/>
      <c r="F3084" s="111">
        <v>280</v>
      </c>
      <c r="G3084" s="14">
        <f t="shared" si="62"/>
        <v>-280</v>
      </c>
      <c r="H3084" s="13" t="s">
        <v>4977</v>
      </c>
    </row>
    <row r="3085" spans="1:8" x14ac:dyDescent="0.25">
      <c r="A3085" s="113">
        <v>45164</v>
      </c>
      <c r="B3085" s="21" t="s">
        <v>9967</v>
      </c>
      <c r="C3085" s="13" t="s">
        <v>1803</v>
      </c>
      <c r="D3085" s="766"/>
      <c r="E3085" s="783"/>
      <c r="F3085" s="785">
        <v>73080</v>
      </c>
      <c r="G3085" s="784">
        <f t="shared" si="62"/>
        <v>-73080</v>
      </c>
      <c r="H3085" s="1235" t="s">
        <v>10876</v>
      </c>
    </row>
    <row r="3086" spans="1:8" x14ac:dyDescent="0.25">
      <c r="A3086" s="113">
        <v>45164</v>
      </c>
      <c r="B3086" s="21" t="s">
        <v>10296</v>
      </c>
      <c r="C3086" s="13" t="s">
        <v>1803</v>
      </c>
      <c r="D3086" s="766"/>
      <c r="E3086" s="783"/>
      <c r="F3086" s="142">
        <v>4870</v>
      </c>
      <c r="G3086" s="784">
        <f t="shared" si="62"/>
        <v>-4870</v>
      </c>
      <c r="H3086" s="1236"/>
    </row>
    <row r="3087" spans="1:8" ht="16.5" thickBot="1" x14ac:dyDescent="0.3">
      <c r="A3087" s="113">
        <v>45164</v>
      </c>
      <c r="B3087" s="21" t="s">
        <v>10909</v>
      </c>
      <c r="C3087" s="13" t="s">
        <v>1803</v>
      </c>
      <c r="D3087" s="766"/>
      <c r="E3087" s="955"/>
      <c r="F3087" s="786">
        <v>75050</v>
      </c>
      <c r="G3087" s="979">
        <f t="shared" si="62"/>
        <v>-75050</v>
      </c>
      <c r="H3087" s="1237"/>
    </row>
    <row r="3088" spans="1:8" ht="21" x14ac:dyDescent="0.25">
      <c r="A3088" s="113">
        <v>45164</v>
      </c>
      <c r="B3088" s="21" t="s">
        <v>10571</v>
      </c>
      <c r="C3088" s="13" t="s">
        <v>169</v>
      </c>
      <c r="D3088" s="766" t="s">
        <v>10946</v>
      </c>
      <c r="E3088" s="955">
        <v>178080</v>
      </c>
      <c r="F3088" s="19"/>
      <c r="G3088" s="979">
        <f t="shared" si="62"/>
        <v>178080</v>
      </c>
      <c r="H3088" s="1046"/>
    </row>
    <row r="3089" spans="1:8" ht="21" x14ac:dyDescent="0.25">
      <c r="A3089" s="113">
        <v>45164</v>
      </c>
      <c r="B3089" s="21" t="s">
        <v>9356</v>
      </c>
      <c r="C3089" s="13" t="s">
        <v>169</v>
      </c>
      <c r="D3089" s="766" t="s">
        <v>9332</v>
      </c>
      <c r="E3089" s="955">
        <v>73333</v>
      </c>
      <c r="F3089" s="19"/>
      <c r="G3089" s="979">
        <f t="shared" si="62"/>
        <v>73333</v>
      </c>
      <c r="H3089" s="1046"/>
    </row>
    <row r="3090" spans="1:8" ht="17.25" customHeight="1" x14ac:dyDescent="0.25">
      <c r="A3090" s="113">
        <v>45166</v>
      </c>
      <c r="B3090" s="21" t="s">
        <v>10379</v>
      </c>
      <c r="C3090" s="13" t="s">
        <v>8394</v>
      </c>
      <c r="D3090" s="766" t="s">
        <v>10933</v>
      </c>
      <c r="E3090" s="783">
        <v>37567</v>
      </c>
      <c r="F3090" s="19"/>
      <c r="G3090" s="784">
        <f t="shared" si="62"/>
        <v>37567</v>
      </c>
      <c r="H3090" s="1046"/>
    </row>
    <row r="3091" spans="1:8" ht="17.25" customHeight="1" x14ac:dyDescent="0.25">
      <c r="A3091" s="113">
        <v>45166</v>
      </c>
      <c r="B3091" s="21" t="s">
        <v>9356</v>
      </c>
      <c r="C3091" s="13" t="s">
        <v>8394</v>
      </c>
      <c r="D3091" s="766" t="s">
        <v>10934</v>
      </c>
      <c r="E3091" s="783">
        <v>29368</v>
      </c>
      <c r="F3091" s="19"/>
      <c r="G3091" s="784">
        <f t="shared" si="62"/>
        <v>29368</v>
      </c>
      <c r="H3091" s="1046"/>
    </row>
    <row r="3092" spans="1:8" ht="17.25" customHeight="1" x14ac:dyDescent="0.25">
      <c r="A3092" s="113">
        <v>45166</v>
      </c>
      <c r="B3092" s="21" t="s">
        <v>10232</v>
      </c>
      <c r="C3092" s="13" t="s">
        <v>8394</v>
      </c>
      <c r="D3092" s="766" t="s">
        <v>10935</v>
      </c>
      <c r="E3092" s="22">
        <v>275805</v>
      </c>
      <c r="F3092" s="19"/>
      <c r="G3092" s="14">
        <f t="shared" si="62"/>
        <v>275805</v>
      </c>
      <c r="H3092" s="1046"/>
    </row>
    <row r="3093" spans="1:8" ht="17.25" customHeight="1" x14ac:dyDescent="0.25">
      <c r="A3093" s="113">
        <v>45166</v>
      </c>
      <c r="B3093" s="21" t="s">
        <v>10576</v>
      </c>
      <c r="C3093" s="13" t="s">
        <v>8394</v>
      </c>
      <c r="D3093" s="766" t="s">
        <v>10936</v>
      </c>
      <c r="E3093" s="22">
        <v>1759647</v>
      </c>
      <c r="F3093" s="19"/>
      <c r="G3093" s="14">
        <f t="shared" si="62"/>
        <v>1759647</v>
      </c>
      <c r="H3093" s="1046"/>
    </row>
    <row r="3094" spans="1:8" ht="17.25" customHeight="1" x14ac:dyDescent="0.25">
      <c r="A3094" s="113">
        <v>45167</v>
      </c>
      <c r="B3094" s="21" t="s">
        <v>10379</v>
      </c>
      <c r="C3094" s="13" t="s">
        <v>166</v>
      </c>
      <c r="D3094" s="766" t="s">
        <v>10938</v>
      </c>
      <c r="E3094" s="283">
        <v>32000</v>
      </c>
      <c r="F3094" s="112"/>
      <c r="G3094" s="961">
        <f t="shared" si="62"/>
        <v>32000</v>
      </c>
      <c r="H3094" s="1046"/>
    </row>
    <row r="3095" spans="1:8" ht="17.25" customHeight="1" x14ac:dyDescent="0.25">
      <c r="A3095" s="113">
        <v>45167</v>
      </c>
      <c r="B3095" s="21" t="s">
        <v>10471</v>
      </c>
      <c r="C3095" s="13" t="s">
        <v>166</v>
      </c>
      <c r="D3095" s="766" t="s">
        <v>10939</v>
      </c>
      <c r="E3095" s="283">
        <v>76455</v>
      </c>
      <c r="F3095" s="112"/>
      <c r="G3095" s="961">
        <f t="shared" si="62"/>
        <v>76455</v>
      </c>
      <c r="H3095" s="1046"/>
    </row>
    <row r="3096" spans="1:8" ht="17.25" customHeight="1" x14ac:dyDescent="0.25">
      <c r="A3096" s="113">
        <v>45167</v>
      </c>
      <c r="B3096" s="21" t="s">
        <v>10571</v>
      </c>
      <c r="C3096" s="13" t="s">
        <v>169</v>
      </c>
      <c r="D3096" s="766" t="s">
        <v>10947</v>
      </c>
      <c r="E3096" s="283">
        <v>85500</v>
      </c>
      <c r="F3096" s="112"/>
      <c r="G3096" s="961">
        <f t="shared" si="62"/>
        <v>85500</v>
      </c>
      <c r="H3096" s="1046"/>
    </row>
    <row r="3097" spans="1:8" ht="17.25" customHeight="1" x14ac:dyDescent="0.25">
      <c r="A3097" s="113">
        <v>45167</v>
      </c>
      <c r="B3097" s="21" t="s">
        <v>10576</v>
      </c>
      <c r="C3097" s="13" t="s">
        <v>169</v>
      </c>
      <c r="D3097" s="766" t="s">
        <v>10948</v>
      </c>
      <c r="E3097" s="283">
        <v>85500</v>
      </c>
      <c r="F3097" s="112"/>
      <c r="G3097" s="961">
        <f t="shared" si="62"/>
        <v>85500</v>
      </c>
      <c r="H3097" s="1046"/>
    </row>
    <row r="3098" spans="1:8" ht="17.25" customHeight="1" x14ac:dyDescent="0.25">
      <c r="A3098" s="113">
        <v>45168</v>
      </c>
      <c r="B3098" s="21" t="s">
        <v>10232</v>
      </c>
      <c r="C3098" s="13" t="s">
        <v>168</v>
      </c>
      <c r="D3098" s="766" t="s">
        <v>11013</v>
      </c>
      <c r="E3098" s="283">
        <v>529131</v>
      </c>
      <c r="F3098" s="112"/>
      <c r="G3098" s="961">
        <f t="shared" si="62"/>
        <v>529131</v>
      </c>
      <c r="H3098" s="1046"/>
    </row>
    <row r="3099" spans="1:8" x14ac:dyDescent="0.25">
      <c r="A3099" s="113">
        <v>45168</v>
      </c>
      <c r="B3099" s="21" t="s">
        <v>8043</v>
      </c>
      <c r="C3099" s="13" t="s">
        <v>8091</v>
      </c>
      <c r="D3099" s="766"/>
      <c r="E3099" s="283"/>
      <c r="F3099" s="112">
        <v>800000</v>
      </c>
      <c r="G3099" s="961">
        <f t="shared" si="62"/>
        <v>-800000</v>
      </c>
      <c r="H3099" s="13" t="s">
        <v>10721</v>
      </c>
    </row>
    <row r="3100" spans="1:8" x14ac:dyDescent="0.25">
      <c r="A3100" s="113">
        <v>45168</v>
      </c>
      <c r="B3100" s="21" t="s">
        <v>8043</v>
      </c>
      <c r="C3100" s="13" t="s">
        <v>8091</v>
      </c>
      <c r="D3100" s="766"/>
      <c r="E3100" s="22"/>
      <c r="F3100" s="19">
        <v>200000</v>
      </c>
      <c r="G3100" s="14">
        <f t="shared" si="62"/>
        <v>-200000</v>
      </c>
      <c r="H3100" s="13" t="s">
        <v>10917</v>
      </c>
    </row>
    <row r="3101" spans="1:8" x14ac:dyDescent="0.25">
      <c r="A3101" s="113">
        <v>45168</v>
      </c>
      <c r="B3101" s="21" t="s">
        <v>8043</v>
      </c>
      <c r="C3101" s="13" t="s">
        <v>8091</v>
      </c>
      <c r="D3101" s="766"/>
      <c r="E3101" s="22"/>
      <c r="F3101" s="19">
        <v>202000</v>
      </c>
      <c r="G3101" s="14">
        <f t="shared" si="62"/>
        <v>-202000</v>
      </c>
      <c r="H3101" s="13" t="s">
        <v>10918</v>
      </c>
    </row>
    <row r="3102" spans="1:8" x14ac:dyDescent="0.25">
      <c r="A3102" s="113">
        <v>45168</v>
      </c>
      <c r="B3102" s="21" t="s">
        <v>8043</v>
      </c>
      <c r="C3102" s="13" t="s">
        <v>8091</v>
      </c>
      <c r="D3102" s="766"/>
      <c r="E3102" s="22"/>
      <c r="F3102" s="19">
        <v>148000</v>
      </c>
      <c r="G3102" s="14">
        <f t="shared" si="62"/>
        <v>-148000</v>
      </c>
      <c r="H3102" s="13" t="s">
        <v>10919</v>
      </c>
    </row>
    <row r="3103" spans="1:8" x14ac:dyDescent="0.25">
      <c r="A3103" s="113">
        <v>45168</v>
      </c>
      <c r="B3103" s="21" t="s">
        <v>10909</v>
      </c>
      <c r="C3103" s="13" t="s">
        <v>12496</v>
      </c>
      <c r="D3103" s="766"/>
      <c r="E3103" s="22"/>
      <c r="F3103" s="19">
        <v>2500000</v>
      </c>
      <c r="G3103" s="14">
        <f t="shared" si="62"/>
        <v>-2500000</v>
      </c>
      <c r="H3103" s="13" t="s">
        <v>12498</v>
      </c>
    </row>
    <row r="3104" spans="1:8" x14ac:dyDescent="0.25">
      <c r="A3104" s="113">
        <v>45168</v>
      </c>
      <c r="B3104" s="21" t="s">
        <v>10571</v>
      </c>
      <c r="C3104" s="13" t="s">
        <v>7467</v>
      </c>
      <c r="D3104" s="766" t="s">
        <v>10930</v>
      </c>
      <c r="E3104" s="22">
        <v>32000</v>
      </c>
      <c r="F3104" s="19"/>
      <c r="G3104" s="14">
        <f t="shared" si="62"/>
        <v>32000</v>
      </c>
      <c r="H3104" s="13"/>
    </row>
    <row r="3105" spans="1:8" x14ac:dyDescent="0.25">
      <c r="A3105" s="113">
        <v>45169</v>
      </c>
      <c r="B3105" s="21" t="s">
        <v>9356</v>
      </c>
      <c r="C3105" s="13" t="s">
        <v>7467</v>
      </c>
      <c r="D3105" s="766" t="s">
        <v>11014</v>
      </c>
      <c r="E3105" s="22">
        <v>119294</v>
      </c>
      <c r="F3105" s="19"/>
      <c r="G3105" s="14">
        <f t="shared" si="62"/>
        <v>119294</v>
      </c>
      <c r="H3105" s="13"/>
    </row>
    <row r="3106" spans="1:8" x14ac:dyDescent="0.25">
      <c r="A3106" s="113">
        <v>45169</v>
      </c>
      <c r="B3106" s="21" t="s">
        <v>10576</v>
      </c>
      <c r="C3106" s="13" t="s">
        <v>8394</v>
      </c>
      <c r="D3106" s="766"/>
      <c r="E3106" s="22"/>
      <c r="F3106" s="19">
        <v>657900</v>
      </c>
      <c r="G3106" s="14">
        <f t="shared" si="62"/>
        <v>-657900</v>
      </c>
      <c r="H3106" s="13" t="s">
        <v>10237</v>
      </c>
    </row>
    <row r="3107" spans="1:8" x14ac:dyDescent="0.25">
      <c r="A3107" s="113">
        <v>45169</v>
      </c>
      <c r="B3107" s="21" t="s">
        <v>10471</v>
      </c>
      <c r="C3107" s="13" t="s">
        <v>166</v>
      </c>
      <c r="D3107" s="766" t="s">
        <v>10940</v>
      </c>
      <c r="E3107" s="22">
        <v>25300</v>
      </c>
      <c r="F3107" s="19"/>
      <c r="G3107" s="14">
        <f t="shared" si="62"/>
        <v>25300</v>
      </c>
      <c r="H3107" s="13"/>
    </row>
    <row r="3108" spans="1:8" x14ac:dyDescent="0.25">
      <c r="A3108" s="113">
        <v>45169</v>
      </c>
      <c r="B3108" s="21" t="s">
        <v>10471</v>
      </c>
      <c r="C3108" s="13" t="s">
        <v>164</v>
      </c>
      <c r="D3108" s="766" t="s">
        <v>10945</v>
      </c>
      <c r="E3108" s="22">
        <v>8079</v>
      </c>
      <c r="F3108" s="19"/>
      <c r="G3108" s="14">
        <f t="shared" si="62"/>
        <v>8079</v>
      </c>
      <c r="H3108" s="13"/>
    </row>
    <row r="3109" spans="1:8" x14ac:dyDescent="0.25">
      <c r="A3109" s="113">
        <v>45173</v>
      </c>
      <c r="B3109" s="21" t="s">
        <v>9356</v>
      </c>
      <c r="C3109" s="13" t="s">
        <v>7467</v>
      </c>
      <c r="D3109" s="766" t="s">
        <v>11015</v>
      </c>
      <c r="E3109" s="22">
        <v>119296</v>
      </c>
      <c r="F3109" s="19"/>
      <c r="G3109" s="14">
        <f t="shared" si="62"/>
        <v>119296</v>
      </c>
      <c r="H3109" s="54"/>
    </row>
    <row r="3110" spans="1:8" x14ac:dyDescent="0.25">
      <c r="A3110" s="113">
        <v>45174</v>
      </c>
      <c r="B3110" s="21" t="s">
        <v>10232</v>
      </c>
      <c r="C3110" s="13" t="s">
        <v>164</v>
      </c>
      <c r="D3110" s="766" t="s">
        <v>11046</v>
      </c>
      <c r="E3110" s="22">
        <v>9551</v>
      </c>
      <c r="F3110" s="19"/>
      <c r="G3110" s="14">
        <f t="shared" si="62"/>
        <v>9551</v>
      </c>
      <c r="H3110" s="54"/>
    </row>
    <row r="3111" spans="1:8" x14ac:dyDescent="0.25">
      <c r="A3111" s="113">
        <v>45174</v>
      </c>
      <c r="B3111" s="21" t="s">
        <v>10232</v>
      </c>
      <c r="C3111" s="13" t="s">
        <v>180</v>
      </c>
      <c r="D3111" s="766"/>
      <c r="E3111" s="22"/>
      <c r="F3111" s="19">
        <v>374080</v>
      </c>
      <c r="G3111" s="14">
        <f t="shared" si="62"/>
        <v>-374080</v>
      </c>
      <c r="H3111" s="1172" t="s">
        <v>11006</v>
      </c>
    </row>
    <row r="3112" spans="1:8" x14ac:dyDescent="0.25">
      <c r="A3112" s="113">
        <v>45174</v>
      </c>
      <c r="B3112" s="21" t="s">
        <v>10571</v>
      </c>
      <c r="C3112" s="13" t="s">
        <v>180</v>
      </c>
      <c r="D3112" s="766"/>
      <c r="E3112" s="22"/>
      <c r="F3112" s="19">
        <v>120960</v>
      </c>
      <c r="G3112" s="14">
        <f t="shared" si="62"/>
        <v>-120960</v>
      </c>
      <c r="H3112" s="1224"/>
    </row>
    <row r="3113" spans="1:8" x14ac:dyDescent="0.25">
      <c r="A3113" s="113">
        <v>45174</v>
      </c>
      <c r="B3113" s="21" t="s">
        <v>10379</v>
      </c>
      <c r="C3113" s="13" t="s">
        <v>180</v>
      </c>
      <c r="D3113" s="766"/>
      <c r="E3113" s="22"/>
      <c r="F3113" s="19">
        <v>4960</v>
      </c>
      <c r="G3113" s="14">
        <f t="shared" si="62"/>
        <v>-4960</v>
      </c>
      <c r="H3113" s="1173"/>
    </row>
    <row r="3114" spans="1:8" x14ac:dyDescent="0.25">
      <c r="A3114" s="113">
        <v>45173</v>
      </c>
      <c r="B3114" s="21" t="s">
        <v>11007</v>
      </c>
      <c r="C3114" s="13" t="s">
        <v>166</v>
      </c>
      <c r="D3114" s="766" t="s">
        <v>11037</v>
      </c>
      <c r="E3114" s="22">
        <v>23500</v>
      </c>
      <c r="F3114" s="19"/>
      <c r="G3114" s="14">
        <f t="shared" si="62"/>
        <v>23500</v>
      </c>
      <c r="H3114" s="956" t="s">
        <v>11039</v>
      </c>
    </row>
    <row r="3115" spans="1:8" x14ac:dyDescent="0.25">
      <c r="A3115" s="113">
        <v>45173</v>
      </c>
      <c r="B3115" s="21" t="s">
        <v>9356</v>
      </c>
      <c r="C3115" s="13" t="s">
        <v>169</v>
      </c>
      <c r="D3115" s="766" t="s">
        <v>11040</v>
      </c>
      <c r="E3115" s="22">
        <v>439558</v>
      </c>
      <c r="F3115" s="19"/>
      <c r="G3115" s="14">
        <f t="shared" si="62"/>
        <v>439558</v>
      </c>
      <c r="H3115" s="956"/>
    </row>
    <row r="3116" spans="1:8" x14ac:dyDescent="0.25">
      <c r="A3116" s="113">
        <v>45173</v>
      </c>
      <c r="B3116" s="21" t="s">
        <v>9769</v>
      </c>
      <c r="C3116" s="13" t="s">
        <v>5187</v>
      </c>
      <c r="D3116" s="766" t="s">
        <v>12264</v>
      </c>
      <c r="E3116" s="22">
        <v>613647</v>
      </c>
      <c r="F3116" s="19"/>
      <c r="G3116" s="14">
        <f t="shared" si="62"/>
        <v>613647</v>
      </c>
      <c r="H3116" s="956"/>
    </row>
    <row r="3117" spans="1:8" x14ac:dyDescent="0.25">
      <c r="A3117" s="113">
        <v>45173</v>
      </c>
      <c r="B3117" s="21" t="s">
        <v>8876</v>
      </c>
      <c r="C3117" s="13" t="s">
        <v>5187</v>
      </c>
      <c r="D3117" s="766" t="s">
        <v>12261</v>
      </c>
      <c r="E3117" s="22">
        <v>19540</v>
      </c>
      <c r="F3117" s="19"/>
      <c r="G3117" s="14">
        <f t="shared" si="62"/>
        <v>19540</v>
      </c>
      <c r="H3117" s="956"/>
    </row>
    <row r="3118" spans="1:8" x14ac:dyDescent="0.25">
      <c r="A3118" s="113">
        <v>45173</v>
      </c>
      <c r="B3118" s="21" t="s">
        <v>10296</v>
      </c>
      <c r="C3118" s="13" t="s">
        <v>5187</v>
      </c>
      <c r="D3118" s="766" t="s">
        <v>12263</v>
      </c>
      <c r="E3118" s="22">
        <v>127320</v>
      </c>
      <c r="F3118" s="19"/>
      <c r="G3118" s="14">
        <f t="shared" si="62"/>
        <v>127320</v>
      </c>
      <c r="H3118" s="956"/>
    </row>
    <row r="3119" spans="1:8" x14ac:dyDescent="0.25">
      <c r="A3119" s="113">
        <v>45173</v>
      </c>
      <c r="B3119" s="21" t="s">
        <v>10296</v>
      </c>
      <c r="C3119" s="13" t="s">
        <v>5187</v>
      </c>
      <c r="D3119" s="766" t="s">
        <v>12262</v>
      </c>
      <c r="E3119" s="22">
        <v>40720</v>
      </c>
      <c r="F3119" s="19"/>
      <c r="G3119" s="14">
        <f t="shared" si="62"/>
        <v>40720</v>
      </c>
      <c r="H3119" s="956"/>
    </row>
    <row r="3120" spans="1:8" x14ac:dyDescent="0.25">
      <c r="A3120" s="113">
        <v>45173</v>
      </c>
      <c r="B3120" s="21" t="s">
        <v>10122</v>
      </c>
      <c r="C3120" s="13" t="s">
        <v>5187</v>
      </c>
      <c r="D3120" s="766" t="s">
        <v>12145</v>
      </c>
      <c r="E3120" s="22">
        <v>80000</v>
      </c>
      <c r="F3120" s="19"/>
      <c r="G3120" s="14">
        <f t="shared" si="62"/>
        <v>80000</v>
      </c>
      <c r="H3120" s="956"/>
    </row>
    <row r="3121" spans="1:10" x14ac:dyDescent="0.25">
      <c r="A3121" s="113">
        <v>45173</v>
      </c>
      <c r="B3121" s="21" t="s">
        <v>10296</v>
      </c>
      <c r="C3121" s="13" t="s">
        <v>5187</v>
      </c>
      <c r="D3121" s="766" t="s">
        <v>12260</v>
      </c>
      <c r="E3121" s="22">
        <v>48600</v>
      </c>
      <c r="F3121" s="19"/>
      <c r="G3121" s="14">
        <f t="shared" si="62"/>
        <v>48600</v>
      </c>
      <c r="H3121" s="956"/>
    </row>
    <row r="3122" spans="1:10" x14ac:dyDescent="0.25">
      <c r="A3122" s="113">
        <v>45173</v>
      </c>
      <c r="B3122" s="21" t="s">
        <v>8876</v>
      </c>
      <c r="C3122" s="13" t="s">
        <v>5187</v>
      </c>
      <c r="D3122" s="766" t="s">
        <v>12259</v>
      </c>
      <c r="E3122" s="22">
        <v>30240</v>
      </c>
      <c r="F3122" s="19"/>
      <c r="G3122" s="14">
        <f t="shared" si="62"/>
        <v>30240</v>
      </c>
      <c r="H3122" s="956"/>
    </row>
    <row r="3123" spans="1:10" x14ac:dyDescent="0.25">
      <c r="A3123" s="113">
        <v>45173</v>
      </c>
      <c r="B3123" s="21" t="s">
        <v>8876</v>
      </c>
      <c r="C3123" s="13" t="s">
        <v>5187</v>
      </c>
      <c r="D3123" s="766" t="s">
        <v>12258</v>
      </c>
      <c r="E3123" s="22">
        <v>13120</v>
      </c>
      <c r="F3123" s="19"/>
      <c r="G3123" s="14">
        <f t="shared" si="62"/>
        <v>13120</v>
      </c>
      <c r="H3123" s="956"/>
    </row>
    <row r="3124" spans="1:10" x14ac:dyDescent="0.25">
      <c r="A3124" s="113">
        <v>45173</v>
      </c>
      <c r="B3124" s="21" t="s">
        <v>10576</v>
      </c>
      <c r="C3124" s="13" t="s">
        <v>168</v>
      </c>
      <c r="D3124" s="766"/>
      <c r="E3124" s="22"/>
      <c r="F3124" s="19">
        <v>500000</v>
      </c>
      <c r="G3124" s="14">
        <f t="shared" si="62"/>
        <v>-500000</v>
      </c>
      <c r="H3124" s="956" t="s">
        <v>10996</v>
      </c>
    </row>
    <row r="3125" spans="1:10" x14ac:dyDescent="0.25">
      <c r="A3125" s="113">
        <v>45173</v>
      </c>
      <c r="B3125" s="21" t="s">
        <v>10576</v>
      </c>
      <c r="C3125" s="13" t="s">
        <v>168</v>
      </c>
      <c r="D3125" s="766"/>
      <c r="E3125" s="22"/>
      <c r="F3125" s="19">
        <v>500000</v>
      </c>
      <c r="G3125" s="14">
        <f t="shared" si="62"/>
        <v>-500000</v>
      </c>
      <c r="H3125" s="956" t="s">
        <v>10997</v>
      </c>
    </row>
    <row r="3126" spans="1:10" x14ac:dyDescent="0.25">
      <c r="A3126" s="113">
        <v>45175</v>
      </c>
      <c r="B3126" s="21" t="s">
        <v>9356</v>
      </c>
      <c r="C3126" s="13" t="s">
        <v>169</v>
      </c>
      <c r="D3126" s="766" t="s">
        <v>11041</v>
      </c>
      <c r="E3126" s="22">
        <v>13278</v>
      </c>
      <c r="F3126" s="19"/>
      <c r="G3126" s="14">
        <f t="shared" si="62"/>
        <v>13278</v>
      </c>
      <c r="H3126" s="956"/>
    </row>
    <row r="3127" spans="1:10" x14ac:dyDescent="0.25">
      <c r="A3127" s="113">
        <v>45175</v>
      </c>
      <c r="B3127" s="21" t="s">
        <v>9986</v>
      </c>
      <c r="C3127" s="13" t="s">
        <v>169</v>
      </c>
      <c r="D3127" s="766" t="s">
        <v>11042</v>
      </c>
      <c r="E3127" s="22">
        <v>189003</v>
      </c>
      <c r="F3127" s="19"/>
      <c r="G3127" s="14">
        <f t="shared" si="62"/>
        <v>189003</v>
      </c>
      <c r="H3127" s="956"/>
    </row>
    <row r="3128" spans="1:10" x14ac:dyDescent="0.25">
      <c r="A3128" s="113">
        <v>45175</v>
      </c>
      <c r="B3128" s="21" t="s">
        <v>10379</v>
      </c>
      <c r="C3128" s="13" t="s">
        <v>166</v>
      </c>
      <c r="D3128" s="766" t="s">
        <v>11038</v>
      </c>
      <c r="E3128" s="22">
        <v>35715</v>
      </c>
      <c r="F3128" s="19"/>
      <c r="G3128" s="14">
        <f t="shared" si="62"/>
        <v>35715</v>
      </c>
      <c r="H3128" s="956"/>
    </row>
    <row r="3129" spans="1:10" x14ac:dyDescent="0.25">
      <c r="A3129" s="113">
        <v>45175</v>
      </c>
      <c r="B3129" s="21" t="s">
        <v>9356</v>
      </c>
      <c r="C3129" s="13" t="s">
        <v>169</v>
      </c>
      <c r="D3129" s="766"/>
      <c r="E3129" s="22"/>
      <c r="F3129" s="19">
        <v>36500</v>
      </c>
      <c r="G3129" s="14">
        <f t="shared" si="62"/>
        <v>-36500</v>
      </c>
      <c r="H3129" s="13" t="s">
        <v>10978</v>
      </c>
    </row>
    <row r="3130" spans="1:10" x14ac:dyDescent="0.25">
      <c r="A3130" s="113">
        <v>45175</v>
      </c>
      <c r="B3130" s="21" t="s">
        <v>10232</v>
      </c>
      <c r="C3130" s="13" t="s">
        <v>8394</v>
      </c>
      <c r="D3130" s="766" t="s">
        <v>11017</v>
      </c>
      <c r="E3130" s="22">
        <v>107536</v>
      </c>
      <c r="F3130" s="19"/>
      <c r="G3130" s="14">
        <f t="shared" si="62"/>
        <v>107536</v>
      </c>
      <c r="H3130" s="13"/>
    </row>
    <row r="3131" spans="1:10" x14ac:dyDescent="0.25">
      <c r="A3131" s="113">
        <v>45175</v>
      </c>
      <c r="B3131" s="21" t="s">
        <v>10909</v>
      </c>
      <c r="C3131" s="13" t="s">
        <v>12282</v>
      </c>
      <c r="D3131" s="766"/>
      <c r="E3131" s="22"/>
      <c r="F3131" s="19">
        <v>938219</v>
      </c>
      <c r="G3131" s="14">
        <f t="shared" si="62"/>
        <v>-938219</v>
      </c>
      <c r="H3131" s="13" t="s">
        <v>11229</v>
      </c>
    </row>
    <row r="3132" spans="1:10" x14ac:dyDescent="0.25">
      <c r="A3132" s="113">
        <v>45175</v>
      </c>
      <c r="B3132" s="21" t="s">
        <v>10909</v>
      </c>
      <c r="C3132" s="13" t="s">
        <v>12282</v>
      </c>
      <c r="D3132" s="766" t="s">
        <v>11793</v>
      </c>
      <c r="E3132" s="22">
        <v>808745</v>
      </c>
      <c r="F3132" s="19"/>
      <c r="G3132" s="14">
        <f t="shared" si="62"/>
        <v>808745</v>
      </c>
      <c r="H3132" s="13"/>
    </row>
    <row r="3133" spans="1:10" ht="16.5" customHeight="1" x14ac:dyDescent="0.25">
      <c r="A3133" s="113">
        <v>45178</v>
      </c>
      <c r="B3133" s="21" t="s">
        <v>9356</v>
      </c>
      <c r="C3133" s="13" t="s">
        <v>7467</v>
      </c>
      <c r="D3133" s="766" t="s">
        <v>11016</v>
      </c>
      <c r="E3133" s="22">
        <v>222592</v>
      </c>
      <c r="F3133" s="19"/>
      <c r="G3133" s="14">
        <f t="shared" si="62"/>
        <v>222592</v>
      </c>
      <c r="H3133" s="13"/>
      <c r="J3133" s="128"/>
    </row>
    <row r="3134" spans="1:10" x14ac:dyDescent="0.25">
      <c r="A3134" s="113">
        <v>45178</v>
      </c>
      <c r="B3134" s="21" t="s">
        <v>10576</v>
      </c>
      <c r="C3134" s="13" t="s">
        <v>8394</v>
      </c>
      <c r="D3134" s="766"/>
      <c r="E3134" s="22"/>
      <c r="F3134" s="19">
        <v>1000000</v>
      </c>
      <c r="G3134" s="14">
        <f t="shared" si="62"/>
        <v>-1000000</v>
      </c>
      <c r="H3134" s="13" t="s">
        <v>11019</v>
      </c>
    </row>
    <row r="3135" spans="1:10" x14ac:dyDescent="0.25">
      <c r="A3135" s="113">
        <v>45178</v>
      </c>
      <c r="B3135" s="21" t="s">
        <v>9986</v>
      </c>
      <c r="C3135" s="13" t="s">
        <v>164</v>
      </c>
      <c r="D3135" s="766" t="s">
        <v>11047</v>
      </c>
      <c r="E3135" s="22">
        <v>6010</v>
      </c>
      <c r="F3135" s="19"/>
      <c r="G3135" s="14">
        <f t="shared" si="62"/>
        <v>6010</v>
      </c>
      <c r="H3135" s="13"/>
    </row>
    <row r="3136" spans="1:10" x14ac:dyDescent="0.25">
      <c r="A3136" s="113">
        <v>45178</v>
      </c>
      <c r="B3136" s="21" t="s">
        <v>10576</v>
      </c>
      <c r="C3136" s="13" t="s">
        <v>7467</v>
      </c>
      <c r="D3136" s="766" t="s">
        <v>11073</v>
      </c>
      <c r="E3136" s="22">
        <v>804137</v>
      </c>
      <c r="F3136" s="19"/>
      <c r="G3136" s="14">
        <f t="shared" si="62"/>
        <v>804137</v>
      </c>
      <c r="H3136" s="13"/>
    </row>
    <row r="3137" spans="1:8" x14ac:dyDescent="0.25">
      <c r="A3137" s="113">
        <v>45180</v>
      </c>
      <c r="B3137" s="21" t="s">
        <v>9356</v>
      </c>
      <c r="C3137" s="13" t="s">
        <v>7467</v>
      </c>
      <c r="D3137" s="766" t="s">
        <v>11074</v>
      </c>
      <c r="E3137" s="22">
        <v>119296</v>
      </c>
      <c r="F3137" s="19"/>
      <c r="G3137" s="14">
        <f t="shared" si="62"/>
        <v>119296</v>
      </c>
      <c r="H3137" s="13"/>
    </row>
    <row r="3138" spans="1:8" x14ac:dyDescent="0.25">
      <c r="A3138" s="113">
        <v>45180</v>
      </c>
      <c r="B3138" s="21" t="s">
        <v>10576</v>
      </c>
      <c r="C3138" s="13" t="s">
        <v>7467</v>
      </c>
      <c r="D3138" s="766" t="s">
        <v>11077</v>
      </c>
      <c r="E3138" s="22">
        <v>891939</v>
      </c>
      <c r="F3138" s="19"/>
      <c r="G3138" s="14">
        <f t="shared" si="62"/>
        <v>891939</v>
      </c>
      <c r="H3138" s="13"/>
    </row>
    <row r="3139" spans="1:8" x14ac:dyDescent="0.25">
      <c r="A3139" s="113">
        <v>45180</v>
      </c>
      <c r="B3139" s="21" t="s">
        <v>11075</v>
      </c>
      <c r="C3139" s="13" t="s">
        <v>7467</v>
      </c>
      <c r="D3139" s="766" t="s">
        <v>11076</v>
      </c>
      <c r="E3139" s="22">
        <v>235504</v>
      </c>
      <c r="F3139" s="19"/>
      <c r="G3139" s="14">
        <f t="shared" si="62"/>
        <v>235504</v>
      </c>
      <c r="H3139" s="13"/>
    </row>
    <row r="3140" spans="1:8" x14ac:dyDescent="0.25">
      <c r="A3140" s="113">
        <v>45180</v>
      </c>
      <c r="B3140" s="21" t="s">
        <v>10379</v>
      </c>
      <c r="C3140" s="13" t="s">
        <v>166</v>
      </c>
      <c r="D3140" s="766" t="s">
        <v>11122</v>
      </c>
      <c r="E3140" s="22">
        <v>14940</v>
      </c>
      <c r="F3140" s="19"/>
      <c r="G3140" s="14">
        <f t="shared" si="62"/>
        <v>14940</v>
      </c>
      <c r="H3140" s="13"/>
    </row>
    <row r="3141" spans="1:8" x14ac:dyDescent="0.25">
      <c r="A3141" s="113">
        <v>45181</v>
      </c>
      <c r="B3141" s="21" t="s">
        <v>10576</v>
      </c>
      <c r="C3141" s="13" t="s">
        <v>168</v>
      </c>
      <c r="D3141" s="766" t="s">
        <v>11121</v>
      </c>
      <c r="E3141" s="22">
        <v>38500</v>
      </c>
      <c r="F3141" s="19"/>
      <c r="G3141" s="14">
        <f t="shared" si="62"/>
        <v>38500</v>
      </c>
      <c r="H3141" s="13"/>
    </row>
    <row r="3142" spans="1:8" x14ac:dyDescent="0.25">
      <c r="A3142" s="113">
        <v>45182</v>
      </c>
      <c r="B3142" s="21" t="s">
        <v>10576</v>
      </c>
      <c r="C3142" s="13" t="s">
        <v>168</v>
      </c>
      <c r="D3142" s="766" t="s">
        <v>11225</v>
      </c>
      <c r="E3142" s="22">
        <v>1600</v>
      </c>
      <c r="F3142" s="19"/>
      <c r="G3142" s="14">
        <f t="shared" si="62"/>
        <v>1600</v>
      </c>
      <c r="H3142" s="13"/>
    </row>
    <row r="3143" spans="1:8" x14ac:dyDescent="0.25">
      <c r="A3143" s="113">
        <v>45182</v>
      </c>
      <c r="B3143" s="21" t="s">
        <v>10576</v>
      </c>
      <c r="C3143" s="13" t="s">
        <v>168</v>
      </c>
      <c r="D3143" s="766" t="s">
        <v>11226</v>
      </c>
      <c r="E3143" s="22">
        <v>15000</v>
      </c>
      <c r="F3143" s="19"/>
      <c r="G3143" s="14">
        <f t="shared" si="62"/>
        <v>15000</v>
      </c>
      <c r="H3143" s="13"/>
    </row>
    <row r="3144" spans="1:8" x14ac:dyDescent="0.25">
      <c r="A3144" s="113">
        <v>45183</v>
      </c>
      <c r="B3144" s="21" t="s">
        <v>9356</v>
      </c>
      <c r="C3144" s="13" t="s">
        <v>164</v>
      </c>
      <c r="D3144" s="766" t="s">
        <v>10945</v>
      </c>
      <c r="E3144" s="22">
        <v>20807</v>
      </c>
      <c r="F3144" s="19"/>
      <c r="G3144" s="14">
        <f t="shared" si="62"/>
        <v>20807</v>
      </c>
      <c r="H3144" s="13"/>
    </row>
    <row r="3145" spans="1:8" x14ac:dyDescent="0.25">
      <c r="A3145" s="113">
        <v>45184</v>
      </c>
      <c r="B3145" s="21" t="s">
        <v>9356</v>
      </c>
      <c r="C3145" s="13" t="s">
        <v>7467</v>
      </c>
      <c r="D3145" s="766" t="s">
        <v>11204</v>
      </c>
      <c r="E3145" s="22">
        <v>103296</v>
      </c>
      <c r="F3145" s="19"/>
      <c r="G3145" s="14">
        <f t="shared" si="62"/>
        <v>103296</v>
      </c>
      <c r="H3145" s="13"/>
    </row>
    <row r="3146" spans="1:8" x14ac:dyDescent="0.25">
      <c r="A3146" s="113">
        <v>45184</v>
      </c>
      <c r="B3146" s="21" t="s">
        <v>10576</v>
      </c>
      <c r="C3146" s="13" t="s">
        <v>7467</v>
      </c>
      <c r="D3146" s="766" t="s">
        <v>11205</v>
      </c>
      <c r="E3146" s="22">
        <v>804137</v>
      </c>
      <c r="F3146" s="19"/>
      <c r="G3146" s="14">
        <f t="shared" si="62"/>
        <v>804137</v>
      </c>
      <c r="H3146" s="13"/>
    </row>
    <row r="3147" spans="1:8" x14ac:dyDescent="0.25">
      <c r="A3147" s="113">
        <v>45185</v>
      </c>
      <c r="B3147" s="21" t="s">
        <v>10232</v>
      </c>
      <c r="C3147" s="13" t="s">
        <v>8394</v>
      </c>
      <c r="D3147" s="766" t="s">
        <v>11161</v>
      </c>
      <c r="E3147" s="22">
        <v>772607</v>
      </c>
      <c r="F3147" s="19"/>
      <c r="G3147" s="14">
        <f t="shared" si="62"/>
        <v>772607</v>
      </c>
      <c r="H3147" s="13"/>
    </row>
    <row r="3148" spans="1:8" x14ac:dyDescent="0.25">
      <c r="A3148" s="113">
        <v>45185</v>
      </c>
      <c r="B3148" s="21" t="s">
        <v>9356</v>
      </c>
      <c r="C3148" s="13" t="s">
        <v>8394</v>
      </c>
      <c r="D3148" s="766" t="s">
        <v>11162</v>
      </c>
      <c r="E3148" s="22">
        <v>86838</v>
      </c>
      <c r="F3148" s="19"/>
      <c r="G3148" s="14">
        <f t="shared" si="62"/>
        <v>86838</v>
      </c>
      <c r="H3148" s="13"/>
    </row>
    <row r="3149" spans="1:8" x14ac:dyDescent="0.25">
      <c r="A3149" s="113">
        <v>45187</v>
      </c>
      <c r="B3149" s="21" t="s">
        <v>11199</v>
      </c>
      <c r="C3149" s="13" t="s">
        <v>166</v>
      </c>
      <c r="D3149" s="777" t="s">
        <v>11200</v>
      </c>
      <c r="E3149" s="22">
        <v>30250</v>
      </c>
      <c r="F3149" s="19"/>
      <c r="G3149" s="14">
        <f t="shared" si="62"/>
        <v>30250</v>
      </c>
      <c r="H3149" s="13"/>
    </row>
    <row r="3150" spans="1:8" x14ac:dyDescent="0.25">
      <c r="A3150" s="113">
        <v>45187</v>
      </c>
      <c r="B3150" s="21" t="s">
        <v>10576</v>
      </c>
      <c r="C3150" s="13" t="s">
        <v>7467</v>
      </c>
      <c r="D3150" s="777" t="s">
        <v>11206</v>
      </c>
      <c r="E3150" s="22">
        <v>1011740</v>
      </c>
      <c r="F3150" s="19"/>
      <c r="G3150" s="14">
        <f t="shared" si="62"/>
        <v>1011740</v>
      </c>
      <c r="H3150" s="13"/>
    </row>
    <row r="3151" spans="1:8" x14ac:dyDescent="0.25">
      <c r="A3151" s="113">
        <v>45187</v>
      </c>
      <c r="B3151" s="21" t="s">
        <v>10909</v>
      </c>
      <c r="C3151" s="13" t="s">
        <v>168</v>
      </c>
      <c r="D3151" s="777" t="s">
        <v>11227</v>
      </c>
      <c r="E3151" s="22">
        <v>34690</v>
      </c>
      <c r="F3151" s="19"/>
      <c r="G3151" s="14">
        <f t="shared" si="62"/>
        <v>34690</v>
      </c>
      <c r="H3151" s="13"/>
    </row>
    <row r="3152" spans="1:8" x14ac:dyDescent="0.25">
      <c r="A3152" s="113">
        <v>45187</v>
      </c>
      <c r="B3152" s="21" t="s">
        <v>10909</v>
      </c>
      <c r="C3152" s="13" t="s">
        <v>168</v>
      </c>
      <c r="D3152" s="777" t="s">
        <v>11228</v>
      </c>
      <c r="E3152" s="22">
        <v>49170</v>
      </c>
      <c r="F3152" s="19"/>
      <c r="G3152" s="14">
        <f t="shared" si="62"/>
        <v>49170</v>
      </c>
      <c r="H3152" s="13"/>
    </row>
    <row r="3153" spans="1:8" x14ac:dyDescent="0.25">
      <c r="A3153" s="113">
        <v>45190</v>
      </c>
      <c r="B3153" s="21" t="s">
        <v>10379</v>
      </c>
      <c r="C3153" s="13" t="s">
        <v>8394</v>
      </c>
      <c r="D3153" s="1212" t="s">
        <v>11163</v>
      </c>
      <c r="E3153" s="22">
        <v>35941</v>
      </c>
      <c r="F3153" s="19"/>
      <c r="G3153" s="14">
        <f t="shared" si="62"/>
        <v>35941</v>
      </c>
      <c r="H3153" s="13"/>
    </row>
    <row r="3154" spans="1:8" x14ac:dyDescent="0.25">
      <c r="A3154" s="113">
        <v>45190</v>
      </c>
      <c r="B3154" s="21" t="s">
        <v>11075</v>
      </c>
      <c r="C3154" s="13" t="s">
        <v>8394</v>
      </c>
      <c r="D3154" s="1213"/>
      <c r="E3154" s="22">
        <v>158865</v>
      </c>
      <c r="F3154" s="19"/>
      <c r="G3154" s="14">
        <f t="shared" si="62"/>
        <v>158865</v>
      </c>
      <c r="H3154" s="13"/>
    </row>
    <row r="3155" spans="1:8" x14ac:dyDescent="0.25">
      <c r="A3155" s="113">
        <v>45190</v>
      </c>
      <c r="B3155" s="21" t="s">
        <v>10576</v>
      </c>
      <c r="C3155" s="13" t="s">
        <v>8394</v>
      </c>
      <c r="D3155" s="766" t="s">
        <v>11164</v>
      </c>
      <c r="E3155" s="22">
        <v>909670</v>
      </c>
      <c r="F3155" s="19"/>
      <c r="G3155" s="14">
        <f t="shared" si="62"/>
        <v>909670</v>
      </c>
      <c r="H3155" s="13"/>
    </row>
    <row r="3156" spans="1:8" x14ac:dyDescent="0.25">
      <c r="A3156" s="113">
        <v>45190</v>
      </c>
      <c r="B3156" s="21" t="s">
        <v>9356</v>
      </c>
      <c r="C3156" s="13" t="s">
        <v>8394</v>
      </c>
      <c r="D3156" s="1212" t="s">
        <v>11165</v>
      </c>
      <c r="E3156" s="22">
        <v>3870</v>
      </c>
      <c r="F3156" s="19"/>
      <c r="G3156" s="14">
        <f t="shared" si="62"/>
        <v>3870</v>
      </c>
      <c r="H3156" s="13"/>
    </row>
    <row r="3157" spans="1:8" x14ac:dyDescent="0.25">
      <c r="A3157" s="113">
        <v>45190</v>
      </c>
      <c r="B3157" s="21" t="s">
        <v>11075</v>
      </c>
      <c r="C3157" s="13" t="s">
        <v>8394</v>
      </c>
      <c r="D3157" s="1213"/>
      <c r="E3157" s="22">
        <v>44691</v>
      </c>
      <c r="F3157" s="19"/>
      <c r="G3157" s="14">
        <f t="shared" si="62"/>
        <v>44691</v>
      </c>
      <c r="H3157" s="13"/>
    </row>
    <row r="3158" spans="1:8" x14ac:dyDescent="0.25">
      <c r="A3158" s="113">
        <v>45190</v>
      </c>
      <c r="B3158" s="21" t="s">
        <v>10909</v>
      </c>
      <c r="C3158" s="13" t="s">
        <v>7954</v>
      </c>
      <c r="D3158" s="766"/>
      <c r="E3158" s="22">
        <v>1375000</v>
      </c>
      <c r="F3158" s="19"/>
      <c r="G3158" s="14">
        <f t="shared" si="62"/>
        <v>1375000</v>
      </c>
      <c r="H3158" s="13" t="s">
        <v>11141</v>
      </c>
    </row>
    <row r="3159" spans="1:8" x14ac:dyDescent="0.25">
      <c r="A3159" s="113">
        <v>45190</v>
      </c>
      <c r="B3159" s="21" t="s">
        <v>9356</v>
      </c>
      <c r="C3159" s="13" t="s">
        <v>7467</v>
      </c>
      <c r="D3159" s="766" t="s">
        <v>11208</v>
      </c>
      <c r="E3159" s="22">
        <v>113296</v>
      </c>
      <c r="F3159" s="110"/>
      <c r="G3159" s="14">
        <f t="shared" si="62"/>
        <v>113296</v>
      </c>
      <c r="H3159" s="13"/>
    </row>
    <row r="3160" spans="1:8" x14ac:dyDescent="0.25">
      <c r="A3160" s="113">
        <v>45190</v>
      </c>
      <c r="B3160" s="21" t="s">
        <v>9832</v>
      </c>
      <c r="C3160" s="13" t="s">
        <v>168</v>
      </c>
      <c r="D3160" s="766" t="s">
        <v>11805</v>
      </c>
      <c r="E3160" s="22">
        <v>1554800</v>
      </c>
      <c r="F3160" s="110"/>
      <c r="G3160" s="14">
        <f t="shared" si="62"/>
        <v>1554800</v>
      </c>
      <c r="H3160" s="13"/>
    </row>
    <row r="3161" spans="1:8" x14ac:dyDescent="0.25">
      <c r="A3161" s="113">
        <v>45190</v>
      </c>
      <c r="B3161" s="30"/>
      <c r="C3161" s="13" t="s">
        <v>7242</v>
      </c>
      <c r="D3161" s="766"/>
      <c r="E3161" s="22">
        <v>13918</v>
      </c>
      <c r="F3161" s="110"/>
      <c r="G3161" s="14">
        <f t="shared" si="62"/>
        <v>13918</v>
      </c>
      <c r="H3161" s="13" t="s">
        <v>11146</v>
      </c>
    </row>
    <row r="3162" spans="1:8" x14ac:dyDescent="0.25">
      <c r="A3162" s="113">
        <v>45191</v>
      </c>
      <c r="B3162" s="21" t="s">
        <v>9356</v>
      </c>
      <c r="C3162" s="13" t="s">
        <v>7467</v>
      </c>
      <c r="D3162" s="766" t="s">
        <v>11209</v>
      </c>
      <c r="E3162" s="22">
        <v>16000</v>
      </c>
      <c r="F3162" s="110"/>
      <c r="G3162" s="1051">
        <f t="shared" si="62"/>
        <v>16000</v>
      </c>
      <c r="H3162" s="54"/>
    </row>
    <row r="3163" spans="1:8" x14ac:dyDescent="0.25">
      <c r="A3163" s="113">
        <v>45191</v>
      </c>
      <c r="B3163" s="21" t="s">
        <v>10232</v>
      </c>
      <c r="C3163" s="13" t="s">
        <v>7467</v>
      </c>
      <c r="D3163" s="766" t="s">
        <v>11207</v>
      </c>
      <c r="E3163" s="22">
        <v>684336</v>
      </c>
      <c r="F3163" s="110"/>
      <c r="G3163" s="1051">
        <f t="shared" si="62"/>
        <v>684336</v>
      </c>
      <c r="H3163" s="54"/>
    </row>
    <row r="3164" spans="1:8" x14ac:dyDescent="0.25">
      <c r="A3164" s="113">
        <v>45191</v>
      </c>
      <c r="B3164" s="21" t="s">
        <v>10151</v>
      </c>
      <c r="C3164" s="13" t="s">
        <v>7467</v>
      </c>
      <c r="D3164" s="766" t="s">
        <v>11212</v>
      </c>
      <c r="E3164" s="783">
        <v>43900</v>
      </c>
      <c r="F3164" s="214"/>
      <c r="G3164" s="1051">
        <f t="shared" si="62"/>
        <v>43900</v>
      </c>
      <c r="H3164" s="54"/>
    </row>
    <row r="3165" spans="1:8" x14ac:dyDescent="0.25">
      <c r="A3165" s="113">
        <v>45191</v>
      </c>
      <c r="B3165" s="21" t="s">
        <v>9356</v>
      </c>
      <c r="C3165" s="13" t="s">
        <v>7467</v>
      </c>
      <c r="D3165" s="766" t="s">
        <v>11211</v>
      </c>
      <c r="E3165" s="783">
        <v>67648</v>
      </c>
      <c r="F3165" s="214"/>
      <c r="G3165" s="1051">
        <f>E3165-F3165</f>
        <v>67648</v>
      </c>
      <c r="H3165" s="54"/>
    </row>
    <row r="3166" spans="1:8" x14ac:dyDescent="0.25">
      <c r="A3166" s="113">
        <v>45191</v>
      </c>
      <c r="B3166" s="21" t="s">
        <v>10576</v>
      </c>
      <c r="C3166" s="13" t="s">
        <v>7467</v>
      </c>
      <c r="D3166" s="766" t="s">
        <v>11210</v>
      </c>
      <c r="E3166" s="783">
        <v>804137</v>
      </c>
      <c r="F3166" s="214"/>
      <c r="G3166" s="1051">
        <f t="shared" si="62"/>
        <v>804137</v>
      </c>
      <c r="H3166" s="54"/>
    </row>
    <row r="3167" spans="1:8" x14ac:dyDescent="0.25">
      <c r="A3167" s="113">
        <v>45192</v>
      </c>
      <c r="B3167" s="21" t="s">
        <v>10232</v>
      </c>
      <c r="C3167" s="13" t="s">
        <v>164</v>
      </c>
      <c r="D3167" s="766" t="s">
        <v>11490</v>
      </c>
      <c r="E3167" s="783">
        <v>5649</v>
      </c>
      <c r="F3167" s="214"/>
      <c r="G3167" s="1051">
        <f t="shared" si="62"/>
        <v>5649</v>
      </c>
      <c r="H3167" s="54"/>
    </row>
    <row r="3168" spans="1:8" x14ac:dyDescent="0.25">
      <c r="A3168" s="113">
        <v>45192</v>
      </c>
      <c r="B3168" s="21" t="s">
        <v>9832</v>
      </c>
      <c r="C3168" s="13" t="s">
        <v>168</v>
      </c>
      <c r="D3168" s="766" t="s">
        <v>11806</v>
      </c>
      <c r="E3168" s="783">
        <v>90200</v>
      </c>
      <c r="F3168" s="214"/>
      <c r="G3168" s="1051">
        <f t="shared" si="62"/>
        <v>90200</v>
      </c>
      <c r="H3168" s="54"/>
    </row>
    <row r="3169" spans="1:8" x14ac:dyDescent="0.25">
      <c r="A3169" s="113">
        <v>45194</v>
      </c>
      <c r="B3169" s="21" t="s">
        <v>11007</v>
      </c>
      <c r="C3169" s="13" t="s">
        <v>166</v>
      </c>
      <c r="D3169" s="766" t="s">
        <v>11791</v>
      </c>
      <c r="E3169" s="783">
        <v>11750</v>
      </c>
      <c r="F3169" s="214"/>
      <c r="G3169" s="1051">
        <f t="shared" si="62"/>
        <v>11750</v>
      </c>
      <c r="H3169" s="54"/>
    </row>
    <row r="3170" spans="1:8" ht="16.5" thickBot="1" x14ac:dyDescent="0.3">
      <c r="A3170" s="113">
        <v>45196</v>
      </c>
      <c r="B3170" s="21" t="s">
        <v>10232</v>
      </c>
      <c r="C3170" s="13" t="s">
        <v>164</v>
      </c>
      <c r="D3170" s="766" t="s">
        <v>11491</v>
      </c>
      <c r="E3170" s="783">
        <v>12678</v>
      </c>
      <c r="F3170" s="214"/>
      <c r="G3170" s="1051">
        <f t="shared" si="62"/>
        <v>12678</v>
      </c>
      <c r="H3170" s="54"/>
    </row>
    <row r="3171" spans="1:8" x14ac:dyDescent="0.25">
      <c r="A3171" s="113">
        <v>45188</v>
      </c>
      <c r="B3171" s="21" t="s">
        <v>9409</v>
      </c>
      <c r="C3171" s="13" t="s">
        <v>164</v>
      </c>
      <c r="D3171" s="766"/>
      <c r="E3171" s="783"/>
      <c r="F3171" s="785">
        <v>4370</v>
      </c>
      <c r="G3171" s="784">
        <f t="shared" si="62"/>
        <v>-4370</v>
      </c>
      <c r="H3171" s="1258" t="s">
        <v>11173</v>
      </c>
    </row>
    <row r="3172" spans="1:8" x14ac:dyDescent="0.25">
      <c r="A3172" s="113">
        <v>45188</v>
      </c>
      <c r="B3172" s="21" t="s">
        <v>9967</v>
      </c>
      <c r="C3172" s="13" t="s">
        <v>164</v>
      </c>
      <c r="D3172" s="766"/>
      <c r="E3172" s="783"/>
      <c r="F3172" s="142">
        <v>1260</v>
      </c>
      <c r="G3172" s="784">
        <f t="shared" ref="G3172:G3273" si="64">E3172-F3172</f>
        <v>-1260</v>
      </c>
      <c r="H3172" s="1259"/>
    </row>
    <row r="3173" spans="1:8" x14ac:dyDescent="0.25">
      <c r="A3173" s="113">
        <v>45188</v>
      </c>
      <c r="B3173" s="21" t="s">
        <v>9986</v>
      </c>
      <c r="C3173" s="13" t="s">
        <v>164</v>
      </c>
      <c r="D3173" s="766"/>
      <c r="E3173" s="783"/>
      <c r="F3173" s="142">
        <v>9626</v>
      </c>
      <c r="G3173" s="784">
        <f t="shared" si="64"/>
        <v>-9626</v>
      </c>
      <c r="H3173" s="1259"/>
    </row>
    <row r="3174" spans="1:8" x14ac:dyDescent="0.25">
      <c r="A3174" s="113">
        <v>45188</v>
      </c>
      <c r="B3174" s="21" t="s">
        <v>10151</v>
      </c>
      <c r="C3174" s="13" t="s">
        <v>164</v>
      </c>
      <c r="D3174" s="766"/>
      <c r="E3174" s="783"/>
      <c r="F3174" s="142">
        <v>6023</v>
      </c>
      <c r="G3174" s="784">
        <f t="shared" si="64"/>
        <v>-6023</v>
      </c>
      <c r="H3174" s="1259"/>
    </row>
    <row r="3175" spans="1:8" x14ac:dyDescent="0.25">
      <c r="A3175" s="113">
        <v>45188</v>
      </c>
      <c r="B3175" s="21" t="s">
        <v>10296</v>
      </c>
      <c r="C3175" s="13" t="s">
        <v>164</v>
      </c>
      <c r="D3175" s="766"/>
      <c r="E3175" s="783"/>
      <c r="F3175" s="142">
        <v>6055</v>
      </c>
      <c r="G3175" s="784">
        <f t="shared" si="64"/>
        <v>-6055</v>
      </c>
      <c r="H3175" s="1259"/>
    </row>
    <row r="3176" spans="1:8" x14ac:dyDescent="0.25">
      <c r="A3176" s="113">
        <v>45188</v>
      </c>
      <c r="B3176" s="21" t="s">
        <v>10471</v>
      </c>
      <c r="C3176" s="13" t="s">
        <v>164</v>
      </c>
      <c r="D3176" s="766"/>
      <c r="E3176" s="783"/>
      <c r="F3176" s="142">
        <v>60002</v>
      </c>
      <c r="G3176" s="784">
        <f t="shared" si="64"/>
        <v>-60002</v>
      </c>
      <c r="H3176" s="1259"/>
    </row>
    <row r="3177" spans="1:8" x14ac:dyDescent="0.25">
      <c r="A3177" s="113">
        <v>45188</v>
      </c>
      <c r="B3177" s="21" t="s">
        <v>10232</v>
      </c>
      <c r="C3177" s="13" t="s">
        <v>164</v>
      </c>
      <c r="D3177" s="766"/>
      <c r="E3177" s="783"/>
      <c r="F3177" s="142">
        <v>9551</v>
      </c>
      <c r="G3177" s="784">
        <f t="shared" si="64"/>
        <v>-9551</v>
      </c>
      <c r="H3177" s="1259"/>
    </row>
    <row r="3178" spans="1:8" x14ac:dyDescent="0.25">
      <c r="A3178" s="113">
        <v>45188</v>
      </c>
      <c r="B3178" s="21" t="s">
        <v>9356</v>
      </c>
      <c r="C3178" s="13" t="s">
        <v>164</v>
      </c>
      <c r="D3178" s="766"/>
      <c r="E3178" s="783"/>
      <c r="F3178" s="142">
        <v>20807</v>
      </c>
      <c r="G3178" s="784">
        <f t="shared" si="64"/>
        <v>-20807</v>
      </c>
      <c r="H3178" s="1259"/>
    </row>
    <row r="3179" spans="1:8" ht="16.5" thickBot="1" x14ac:dyDescent="0.3">
      <c r="A3179" s="113">
        <v>45188</v>
      </c>
      <c r="B3179" s="21" t="s">
        <v>10379</v>
      </c>
      <c r="C3179" s="13" t="s">
        <v>164</v>
      </c>
      <c r="D3179" s="766"/>
      <c r="E3179" s="783"/>
      <c r="F3179" s="786">
        <v>14924</v>
      </c>
      <c r="G3179" s="784">
        <f t="shared" si="64"/>
        <v>-14924</v>
      </c>
      <c r="H3179" s="1260"/>
    </row>
    <row r="3180" spans="1:8" x14ac:dyDescent="0.25">
      <c r="A3180" s="113">
        <v>45188</v>
      </c>
      <c r="B3180" s="21" t="s">
        <v>9356</v>
      </c>
      <c r="C3180" s="13" t="s">
        <v>169</v>
      </c>
      <c r="D3180" s="766" t="s">
        <v>11202</v>
      </c>
      <c r="E3180" s="22">
        <v>44544</v>
      </c>
      <c r="F3180" s="110"/>
      <c r="G3180" s="784">
        <f t="shared" si="64"/>
        <v>44544</v>
      </c>
      <c r="H3180" s="956"/>
    </row>
    <row r="3181" spans="1:8" ht="16.5" thickBot="1" x14ac:dyDescent="0.3">
      <c r="A3181" s="113">
        <v>45191</v>
      </c>
      <c r="B3181" s="21" t="s">
        <v>10576</v>
      </c>
      <c r="C3181" s="13" t="s">
        <v>180</v>
      </c>
      <c r="D3181" s="766"/>
      <c r="E3181" s="22"/>
      <c r="F3181" s="110">
        <v>1000000</v>
      </c>
      <c r="G3181" s="14">
        <f t="shared" si="64"/>
        <v>-1000000</v>
      </c>
      <c r="H3181" s="13" t="s">
        <v>11160</v>
      </c>
    </row>
    <row r="3182" spans="1:8" x14ac:dyDescent="0.25">
      <c r="A3182" s="113">
        <v>45190</v>
      </c>
      <c r="B3182" s="21" t="s">
        <v>9986</v>
      </c>
      <c r="C3182" s="13" t="s">
        <v>169</v>
      </c>
      <c r="D3182" s="766"/>
      <c r="E3182" s="783"/>
      <c r="F3182" s="785">
        <v>100000</v>
      </c>
      <c r="G3182" s="784">
        <f t="shared" si="64"/>
        <v>-100000</v>
      </c>
      <c r="H3182" s="1172" t="s">
        <v>11172</v>
      </c>
    </row>
    <row r="3183" spans="1:8" x14ac:dyDescent="0.25">
      <c r="A3183" s="113">
        <v>45190</v>
      </c>
      <c r="B3183" s="21" t="s">
        <v>10571</v>
      </c>
      <c r="C3183" s="13" t="s">
        <v>169</v>
      </c>
      <c r="D3183" s="766"/>
      <c r="E3183" s="783"/>
      <c r="F3183" s="142">
        <v>100000</v>
      </c>
      <c r="G3183" s="784">
        <f t="shared" si="64"/>
        <v>-100000</v>
      </c>
      <c r="H3183" s="1224"/>
    </row>
    <row r="3184" spans="1:8" ht="16.5" thickBot="1" x14ac:dyDescent="0.3">
      <c r="A3184" s="113">
        <v>45190</v>
      </c>
      <c r="B3184" s="21" t="s">
        <v>9356</v>
      </c>
      <c r="C3184" s="13" t="s">
        <v>169</v>
      </c>
      <c r="D3184" s="766"/>
      <c r="E3184" s="783"/>
      <c r="F3184" s="786">
        <v>300000</v>
      </c>
      <c r="G3184" s="784">
        <f t="shared" si="64"/>
        <v>-300000</v>
      </c>
      <c r="H3184" s="1173"/>
    </row>
    <row r="3185" spans="1:8" x14ac:dyDescent="0.25">
      <c r="A3185" s="113">
        <v>45190</v>
      </c>
      <c r="B3185" s="21" t="s">
        <v>10232</v>
      </c>
      <c r="C3185" s="13" t="s">
        <v>8394</v>
      </c>
      <c r="D3185" s="766"/>
      <c r="E3185" s="22"/>
      <c r="F3185" s="112">
        <v>500000</v>
      </c>
      <c r="G3185" s="784">
        <f t="shared" si="64"/>
        <v>-500000</v>
      </c>
      <c r="H3185" s="13" t="s">
        <v>11168</v>
      </c>
    </row>
    <row r="3186" spans="1:8" x14ac:dyDescent="0.25">
      <c r="A3186" s="113">
        <v>45192</v>
      </c>
      <c r="B3186" s="21" t="s">
        <v>9356</v>
      </c>
      <c r="C3186" s="13" t="s">
        <v>7467</v>
      </c>
      <c r="D3186" s="766" t="s">
        <v>11252</v>
      </c>
      <c r="E3186" s="22">
        <v>16000</v>
      </c>
      <c r="F3186" s="112"/>
      <c r="G3186" s="784">
        <f t="shared" si="64"/>
        <v>16000</v>
      </c>
      <c r="H3186" s="13"/>
    </row>
    <row r="3187" spans="1:8" x14ac:dyDescent="0.25">
      <c r="A3187" s="113">
        <v>45194</v>
      </c>
      <c r="B3187" s="21" t="s">
        <v>10232</v>
      </c>
      <c r="C3187" s="13" t="s">
        <v>180</v>
      </c>
      <c r="D3187" s="766" t="s">
        <v>11201</v>
      </c>
      <c r="E3187" s="22">
        <v>18060</v>
      </c>
      <c r="F3187" s="112"/>
      <c r="G3187" s="784">
        <f t="shared" si="64"/>
        <v>18060</v>
      </c>
      <c r="H3187" s="13"/>
    </row>
    <row r="3188" spans="1:8" x14ac:dyDescent="0.25">
      <c r="A3188" s="113">
        <v>45194</v>
      </c>
      <c r="B3188" s="21" t="s">
        <v>9967</v>
      </c>
      <c r="C3188" s="13" t="s">
        <v>169</v>
      </c>
      <c r="D3188" s="766" t="s">
        <v>11203</v>
      </c>
      <c r="E3188" s="22">
        <v>15350</v>
      </c>
      <c r="F3188" s="112"/>
      <c r="G3188" s="784">
        <f t="shared" si="64"/>
        <v>15350</v>
      </c>
      <c r="H3188" s="13"/>
    </row>
    <row r="3189" spans="1:8" x14ac:dyDescent="0.25">
      <c r="A3189" s="113">
        <v>45194</v>
      </c>
      <c r="B3189" s="21" t="s">
        <v>10232</v>
      </c>
      <c r="C3189" s="13" t="s">
        <v>11324</v>
      </c>
      <c r="D3189" s="766"/>
      <c r="E3189" s="22"/>
      <c r="F3189" s="111">
        <v>1000000</v>
      </c>
      <c r="G3189" s="784">
        <f t="shared" si="64"/>
        <v>-1000000</v>
      </c>
      <c r="H3189" s="13" t="s">
        <v>11325</v>
      </c>
    </row>
    <row r="3190" spans="1:8" ht="16.5" thickBot="1" x14ac:dyDescent="0.3">
      <c r="A3190" s="113">
        <v>45194</v>
      </c>
      <c r="B3190" s="21" t="s">
        <v>10571</v>
      </c>
      <c r="C3190" s="13" t="s">
        <v>7467</v>
      </c>
      <c r="D3190" s="766"/>
      <c r="E3190" s="22"/>
      <c r="F3190" s="111">
        <v>500000</v>
      </c>
      <c r="G3190" s="784">
        <f t="shared" si="64"/>
        <v>-500000</v>
      </c>
      <c r="H3190" s="13" t="s">
        <v>11174</v>
      </c>
    </row>
    <row r="3191" spans="1:8" x14ac:dyDescent="0.25">
      <c r="A3191" s="113">
        <v>45195</v>
      </c>
      <c r="B3191" s="21" t="s">
        <v>10151</v>
      </c>
      <c r="C3191" s="13" t="s">
        <v>8394</v>
      </c>
      <c r="D3191" s="766"/>
      <c r="E3191" s="783"/>
      <c r="F3191" s="785">
        <v>158496</v>
      </c>
      <c r="G3191" s="784">
        <f t="shared" si="64"/>
        <v>-158496</v>
      </c>
      <c r="H3191" s="1172" t="s">
        <v>11224</v>
      </c>
    </row>
    <row r="3192" spans="1:8" x14ac:dyDescent="0.25">
      <c r="A3192" s="113">
        <v>45195</v>
      </c>
      <c r="B3192" s="21" t="s">
        <v>10571</v>
      </c>
      <c r="C3192" s="13" t="s">
        <v>8394</v>
      </c>
      <c r="D3192" s="766"/>
      <c r="E3192" s="783"/>
      <c r="F3192" s="152">
        <v>11574</v>
      </c>
      <c r="G3192" s="784">
        <f t="shared" si="64"/>
        <v>-11574</v>
      </c>
      <c r="H3192" s="1224"/>
    </row>
    <row r="3193" spans="1:8" x14ac:dyDescent="0.25">
      <c r="A3193" s="113">
        <v>45195</v>
      </c>
      <c r="B3193" s="21" t="s">
        <v>9356</v>
      </c>
      <c r="C3193" s="13" t="s">
        <v>8394</v>
      </c>
      <c r="D3193" s="766"/>
      <c r="E3193" s="783"/>
      <c r="F3193" s="152">
        <v>120076</v>
      </c>
      <c r="G3193" s="784">
        <f t="shared" si="64"/>
        <v>-120076</v>
      </c>
      <c r="H3193" s="1224"/>
    </row>
    <row r="3194" spans="1:8" x14ac:dyDescent="0.25">
      <c r="A3194" s="113">
        <v>45195</v>
      </c>
      <c r="B3194" s="21" t="s">
        <v>10379</v>
      </c>
      <c r="C3194" s="13" t="s">
        <v>8394</v>
      </c>
      <c r="D3194" s="766"/>
      <c r="E3194" s="783"/>
      <c r="F3194" s="152">
        <v>209438</v>
      </c>
      <c r="G3194" s="784">
        <f t="shared" si="64"/>
        <v>-209438</v>
      </c>
      <c r="H3194" s="1224"/>
    </row>
    <row r="3195" spans="1:8" x14ac:dyDescent="0.25">
      <c r="A3195" s="113">
        <v>45195</v>
      </c>
      <c r="B3195" s="21" t="s">
        <v>11075</v>
      </c>
      <c r="C3195" s="13" t="s">
        <v>8394</v>
      </c>
      <c r="D3195" s="766"/>
      <c r="E3195" s="783"/>
      <c r="F3195" s="152">
        <v>203556</v>
      </c>
      <c r="G3195" s="784">
        <f t="shared" si="64"/>
        <v>-203556</v>
      </c>
      <c r="H3195" s="1224"/>
    </row>
    <row r="3196" spans="1:8" ht="16.5" customHeight="1" thickBot="1" x14ac:dyDescent="0.3">
      <c r="A3196" s="113">
        <v>45195</v>
      </c>
      <c r="B3196" s="21" t="s">
        <v>10576</v>
      </c>
      <c r="C3196" s="13" t="s">
        <v>8394</v>
      </c>
      <c r="D3196" s="766"/>
      <c r="E3196" s="783"/>
      <c r="F3196" s="296">
        <v>296860</v>
      </c>
      <c r="G3196" s="784">
        <f t="shared" si="64"/>
        <v>-296860</v>
      </c>
      <c r="H3196" s="1173"/>
    </row>
    <row r="3197" spans="1:8" x14ac:dyDescent="0.25">
      <c r="A3197" s="113">
        <v>45195</v>
      </c>
      <c r="B3197" s="21" t="s">
        <v>10571</v>
      </c>
      <c r="C3197" s="13" t="s">
        <v>7467</v>
      </c>
      <c r="D3197" s="766"/>
      <c r="E3197" s="783"/>
      <c r="F3197" s="785">
        <v>586928</v>
      </c>
      <c r="G3197" s="784">
        <f t="shared" si="64"/>
        <v>-586928</v>
      </c>
      <c r="H3197" s="1220" t="s">
        <v>11213</v>
      </c>
    </row>
    <row r="3198" spans="1:8" x14ac:dyDescent="0.25">
      <c r="A3198" s="113">
        <v>45195</v>
      </c>
      <c r="B3198" s="21" t="s">
        <v>9661</v>
      </c>
      <c r="C3198" s="13" t="s">
        <v>7467</v>
      </c>
      <c r="D3198" s="766"/>
      <c r="E3198" s="783"/>
      <c r="F3198" s="142">
        <v>130436</v>
      </c>
      <c r="G3198" s="784">
        <f t="shared" si="64"/>
        <v>-130436</v>
      </c>
      <c r="H3198" s="1221"/>
    </row>
    <row r="3199" spans="1:8" ht="16.5" thickBot="1" x14ac:dyDescent="0.3">
      <c r="A3199" s="113">
        <v>45195</v>
      </c>
      <c r="B3199" s="21" t="s">
        <v>10296</v>
      </c>
      <c r="C3199" s="13" t="s">
        <v>7467</v>
      </c>
      <c r="D3199" s="766"/>
      <c r="E3199" s="783"/>
      <c r="F3199" s="786">
        <v>82636</v>
      </c>
      <c r="G3199" s="784">
        <f t="shared" si="64"/>
        <v>-82636</v>
      </c>
      <c r="H3199" s="1222"/>
    </row>
    <row r="3200" spans="1:8" x14ac:dyDescent="0.25">
      <c r="A3200" s="113">
        <v>45195</v>
      </c>
      <c r="B3200" s="21" t="s">
        <v>10232</v>
      </c>
      <c r="C3200" s="13" t="s">
        <v>7467</v>
      </c>
      <c r="D3200" s="766" t="s">
        <v>11253</v>
      </c>
      <c r="E3200" s="783">
        <v>716336</v>
      </c>
      <c r="F3200" s="214"/>
      <c r="G3200" s="784">
        <f t="shared" si="64"/>
        <v>716336</v>
      </c>
      <c r="H3200" s="343"/>
    </row>
    <row r="3201" spans="1:8" ht="16.5" thickBot="1" x14ac:dyDescent="0.3">
      <c r="A3201" s="113">
        <v>45197</v>
      </c>
      <c r="B3201" s="21" t="s">
        <v>11075</v>
      </c>
      <c r="C3201" s="13" t="s">
        <v>7467</v>
      </c>
      <c r="D3201" s="766" t="s">
        <v>11254</v>
      </c>
      <c r="E3201" s="783">
        <v>147702</v>
      </c>
      <c r="F3201" s="214"/>
      <c r="G3201" s="784">
        <f t="shared" si="64"/>
        <v>147702</v>
      </c>
      <c r="H3201" s="343"/>
    </row>
    <row r="3202" spans="1:8" x14ac:dyDescent="0.25">
      <c r="A3202" s="113">
        <v>45195</v>
      </c>
      <c r="B3202" s="21" t="s">
        <v>10571</v>
      </c>
      <c r="C3202" s="13" t="s">
        <v>7467</v>
      </c>
      <c r="D3202" s="766"/>
      <c r="E3202" s="783"/>
      <c r="F3202" s="785">
        <v>32460</v>
      </c>
      <c r="G3202" s="784">
        <f t="shared" si="64"/>
        <v>-32460</v>
      </c>
      <c r="H3202" s="1172" t="s">
        <v>11172</v>
      </c>
    </row>
    <row r="3203" spans="1:8" x14ac:dyDescent="0.25">
      <c r="A3203" s="113">
        <v>45195</v>
      </c>
      <c r="B3203" s="21" t="s">
        <v>10151</v>
      </c>
      <c r="C3203" s="13" t="s">
        <v>7467</v>
      </c>
      <c r="D3203" s="766"/>
      <c r="E3203" s="783"/>
      <c r="F3203" s="152">
        <v>228360</v>
      </c>
      <c r="G3203" s="784">
        <f t="shared" si="64"/>
        <v>-228360</v>
      </c>
      <c r="H3203" s="1224"/>
    </row>
    <row r="3204" spans="1:8" x14ac:dyDescent="0.25">
      <c r="A3204" s="113">
        <v>45195</v>
      </c>
      <c r="B3204" s="21" t="s">
        <v>9986</v>
      </c>
      <c r="C3204" s="13" t="s">
        <v>7467</v>
      </c>
      <c r="D3204" s="766"/>
      <c r="E3204" s="783"/>
      <c r="F3204" s="152">
        <v>35755</v>
      </c>
      <c r="G3204" s="784">
        <f t="shared" si="64"/>
        <v>-35755</v>
      </c>
      <c r="H3204" s="1224"/>
    </row>
    <row r="3205" spans="1:8" ht="16.5" thickBot="1" x14ac:dyDescent="0.3">
      <c r="A3205" s="113">
        <v>45195</v>
      </c>
      <c r="B3205" s="21" t="s">
        <v>11075</v>
      </c>
      <c r="C3205" s="13" t="s">
        <v>7467</v>
      </c>
      <c r="D3205" s="766"/>
      <c r="E3205" s="783"/>
      <c r="F3205" s="296">
        <f>500000-F3204-F3203-F3202</f>
        <v>203425</v>
      </c>
      <c r="G3205" s="784">
        <f t="shared" si="64"/>
        <v>-203425</v>
      </c>
      <c r="H3205" s="1173"/>
    </row>
    <row r="3206" spans="1:8" x14ac:dyDescent="0.25">
      <c r="A3206" s="113">
        <v>45197</v>
      </c>
      <c r="B3206" s="21" t="s">
        <v>10576</v>
      </c>
      <c r="C3206" s="13" t="s">
        <v>8394</v>
      </c>
      <c r="D3206" s="766" t="s">
        <v>11258</v>
      </c>
      <c r="E3206" s="783">
        <v>198542</v>
      </c>
      <c r="F3206" s="214"/>
      <c r="G3206" s="784">
        <f t="shared" si="64"/>
        <v>198542</v>
      </c>
      <c r="H3206" s="956"/>
    </row>
    <row r="3207" spans="1:8" ht="21" x14ac:dyDescent="0.25">
      <c r="A3207" s="113">
        <v>45197</v>
      </c>
      <c r="B3207" s="21" t="s">
        <v>11075</v>
      </c>
      <c r="C3207" s="13" t="s">
        <v>7467</v>
      </c>
      <c r="D3207" s="766"/>
      <c r="E3207" s="783"/>
      <c r="F3207" s="214">
        <v>50000</v>
      </c>
      <c r="G3207" s="784">
        <f t="shared" si="64"/>
        <v>-50000</v>
      </c>
      <c r="H3207" s="1052" t="s">
        <v>11264</v>
      </c>
    </row>
    <row r="3208" spans="1:8" x14ac:dyDescent="0.25">
      <c r="A3208" s="113">
        <v>45197</v>
      </c>
      <c r="B3208" s="21" t="s">
        <v>10576</v>
      </c>
      <c r="C3208" s="13" t="s">
        <v>8394</v>
      </c>
      <c r="D3208" s="766" t="s">
        <v>11259</v>
      </c>
      <c r="E3208" s="783">
        <v>43188</v>
      </c>
      <c r="F3208" s="214"/>
      <c r="G3208" s="784">
        <f t="shared" si="64"/>
        <v>43188</v>
      </c>
      <c r="H3208" s="956"/>
    </row>
    <row r="3209" spans="1:8" x14ac:dyDescent="0.25">
      <c r="A3209" s="113">
        <v>45197</v>
      </c>
      <c r="B3209" s="21" t="s">
        <v>11075</v>
      </c>
      <c r="C3209" s="13" t="s">
        <v>8394</v>
      </c>
      <c r="D3209" s="766" t="s">
        <v>11260</v>
      </c>
      <c r="E3209" s="783">
        <v>137198</v>
      </c>
      <c r="F3209" s="214"/>
      <c r="G3209" s="784">
        <f t="shared" si="64"/>
        <v>137198</v>
      </c>
      <c r="H3209" s="956"/>
    </row>
    <row r="3210" spans="1:8" x14ac:dyDescent="0.25">
      <c r="A3210" s="113">
        <v>45197</v>
      </c>
      <c r="B3210" s="21" t="s">
        <v>9356</v>
      </c>
      <c r="C3210" s="13" t="s">
        <v>8394</v>
      </c>
      <c r="D3210" s="766" t="s">
        <v>11261</v>
      </c>
      <c r="E3210" s="783">
        <v>3763</v>
      </c>
      <c r="F3210" s="214"/>
      <c r="G3210" s="784">
        <f t="shared" si="64"/>
        <v>3763</v>
      </c>
      <c r="H3210" s="956"/>
    </row>
    <row r="3211" spans="1:8" x14ac:dyDescent="0.25">
      <c r="A3211" s="113">
        <v>45199</v>
      </c>
      <c r="B3211" s="21" t="s">
        <v>10576</v>
      </c>
      <c r="C3211" s="13" t="s">
        <v>168</v>
      </c>
      <c r="D3211" s="766" t="s">
        <v>11262</v>
      </c>
      <c r="E3211" s="783">
        <v>3780</v>
      </c>
      <c r="F3211" s="214"/>
      <c r="G3211" s="784">
        <f t="shared" si="64"/>
        <v>3780</v>
      </c>
      <c r="H3211" s="956"/>
    </row>
    <row r="3212" spans="1:8" x14ac:dyDescent="0.25">
      <c r="A3212" s="113">
        <v>45201</v>
      </c>
      <c r="B3212" s="21" t="s">
        <v>9986</v>
      </c>
      <c r="C3212" s="13" t="s">
        <v>169</v>
      </c>
      <c r="D3212" s="766"/>
      <c r="E3212" s="783">
        <v>13532</v>
      </c>
      <c r="F3212" s="214"/>
      <c r="G3212" s="784">
        <f t="shared" si="64"/>
        <v>13532</v>
      </c>
      <c r="H3212" s="956"/>
    </row>
    <row r="3213" spans="1:8" x14ac:dyDescent="0.25">
      <c r="A3213" s="113">
        <v>45201</v>
      </c>
      <c r="B3213" s="21" t="s">
        <v>10576</v>
      </c>
      <c r="C3213" s="13" t="s">
        <v>5187</v>
      </c>
      <c r="D3213" s="766" t="s">
        <v>12265</v>
      </c>
      <c r="E3213" s="783">
        <v>198000</v>
      </c>
      <c r="F3213" s="214"/>
      <c r="G3213" s="784">
        <f t="shared" si="64"/>
        <v>198000</v>
      </c>
      <c r="H3213" s="956"/>
    </row>
    <row r="3214" spans="1:8" x14ac:dyDescent="0.25">
      <c r="A3214" s="113">
        <v>45201</v>
      </c>
      <c r="B3214" s="21" t="s">
        <v>10296</v>
      </c>
      <c r="C3214" s="13" t="s">
        <v>5187</v>
      </c>
      <c r="D3214" s="766" t="s">
        <v>12259</v>
      </c>
      <c r="E3214" s="783">
        <v>151948</v>
      </c>
      <c r="F3214" s="214"/>
      <c r="G3214" s="784">
        <f t="shared" si="64"/>
        <v>151948</v>
      </c>
      <c r="H3214" s="956"/>
    </row>
    <row r="3215" spans="1:8" x14ac:dyDescent="0.25">
      <c r="A3215" s="113">
        <v>45202</v>
      </c>
      <c r="B3215" s="21" t="s">
        <v>10151</v>
      </c>
      <c r="C3215" s="13" t="s">
        <v>8394</v>
      </c>
      <c r="D3215" s="766" t="s">
        <v>11345</v>
      </c>
      <c r="E3215" s="783">
        <v>75140</v>
      </c>
      <c r="F3215" s="214"/>
      <c r="G3215" s="784">
        <f t="shared" si="64"/>
        <v>75140</v>
      </c>
      <c r="H3215" s="956"/>
    </row>
    <row r="3216" spans="1:8" x14ac:dyDescent="0.25">
      <c r="A3216" s="113">
        <v>45202</v>
      </c>
      <c r="B3216" s="21" t="s">
        <v>10576</v>
      </c>
      <c r="C3216" s="13" t="s">
        <v>7467</v>
      </c>
      <c r="D3216" s="766" t="s">
        <v>11255</v>
      </c>
      <c r="E3216" s="22">
        <v>64000</v>
      </c>
      <c r="F3216" s="112"/>
      <c r="G3216" s="784">
        <f t="shared" si="64"/>
        <v>64000</v>
      </c>
      <c r="H3216" s="13"/>
    </row>
    <row r="3217" spans="1:8" ht="16.5" thickBot="1" x14ac:dyDescent="0.3">
      <c r="A3217" s="113">
        <v>45202</v>
      </c>
      <c r="B3217" s="21" t="s">
        <v>10232</v>
      </c>
      <c r="C3217" s="13" t="s">
        <v>7467</v>
      </c>
      <c r="D3217" s="766" t="s">
        <v>11256</v>
      </c>
      <c r="E3217" s="22">
        <v>683270</v>
      </c>
      <c r="F3217" s="111"/>
      <c r="G3217" s="784">
        <f t="shared" si="64"/>
        <v>683270</v>
      </c>
      <c r="H3217" s="13"/>
    </row>
    <row r="3218" spans="1:8" x14ac:dyDescent="0.25">
      <c r="A3218" s="113">
        <v>45202</v>
      </c>
      <c r="B3218" s="21" t="s">
        <v>8559</v>
      </c>
      <c r="C3218" s="13" t="s">
        <v>168</v>
      </c>
      <c r="D3218" s="766"/>
      <c r="E3218" s="783"/>
      <c r="F3218" s="785">
        <v>83200</v>
      </c>
      <c r="G3218" s="784">
        <f t="shared" si="64"/>
        <v>-83200</v>
      </c>
      <c r="H3218" s="1172" t="s">
        <v>11172</v>
      </c>
    </row>
    <row r="3219" spans="1:8" x14ac:dyDescent="0.25">
      <c r="A3219" s="113">
        <v>45202</v>
      </c>
      <c r="B3219" s="21" t="s">
        <v>8868</v>
      </c>
      <c r="C3219" s="13" t="s">
        <v>168</v>
      </c>
      <c r="D3219" s="766"/>
      <c r="E3219" s="783"/>
      <c r="F3219" s="152">
        <v>227720</v>
      </c>
      <c r="G3219" s="784">
        <f t="shared" si="64"/>
        <v>-227720</v>
      </c>
      <c r="H3219" s="1224"/>
    </row>
    <row r="3220" spans="1:8" x14ac:dyDescent="0.25">
      <c r="A3220" s="113">
        <v>45202</v>
      </c>
      <c r="B3220" s="21" t="s">
        <v>9507</v>
      </c>
      <c r="C3220" s="13" t="s">
        <v>168</v>
      </c>
      <c r="D3220" s="766"/>
      <c r="E3220" s="783"/>
      <c r="F3220" s="152">
        <v>9820</v>
      </c>
      <c r="G3220" s="784">
        <f t="shared" si="64"/>
        <v>-9820</v>
      </c>
      <c r="H3220" s="1224"/>
    </row>
    <row r="3221" spans="1:8" ht="16.5" thickBot="1" x14ac:dyDescent="0.3">
      <c r="A3221" s="113">
        <v>45202</v>
      </c>
      <c r="B3221" s="21" t="s">
        <v>10296</v>
      </c>
      <c r="C3221" s="13" t="s">
        <v>168</v>
      </c>
      <c r="D3221" s="766"/>
      <c r="E3221" s="783"/>
      <c r="F3221" s="296">
        <v>179260</v>
      </c>
      <c r="G3221" s="784">
        <f t="shared" si="64"/>
        <v>-179260</v>
      </c>
      <c r="H3221" s="1173"/>
    </row>
    <row r="3222" spans="1:8" x14ac:dyDescent="0.25">
      <c r="A3222" s="113">
        <v>45202</v>
      </c>
      <c r="B3222" s="21" t="s">
        <v>9356</v>
      </c>
      <c r="C3222" s="13" t="s">
        <v>7467</v>
      </c>
      <c r="D3222" s="766"/>
      <c r="E3222" s="22"/>
      <c r="F3222" s="112">
        <v>200000</v>
      </c>
      <c r="G3222" s="14">
        <f t="shared" si="64"/>
        <v>-200000</v>
      </c>
      <c r="H3222" s="13" t="s">
        <v>11174</v>
      </c>
    </row>
    <row r="3223" spans="1:8" x14ac:dyDescent="0.25">
      <c r="A3223" s="113">
        <v>45203</v>
      </c>
      <c r="B3223" s="21" t="s">
        <v>10576</v>
      </c>
      <c r="C3223" s="13" t="s">
        <v>180</v>
      </c>
      <c r="D3223" s="766"/>
      <c r="E3223" s="22"/>
      <c r="F3223" s="19">
        <v>500000</v>
      </c>
      <c r="G3223" s="14">
        <f t="shared" si="64"/>
        <v>-500000</v>
      </c>
      <c r="H3223" s="13" t="s">
        <v>11174</v>
      </c>
    </row>
    <row r="3224" spans="1:8" x14ac:dyDescent="0.25">
      <c r="A3224" s="113">
        <v>45204</v>
      </c>
      <c r="B3224" s="21" t="s">
        <v>9986</v>
      </c>
      <c r="C3224" s="13" t="s">
        <v>169</v>
      </c>
      <c r="D3224" s="766" t="s">
        <v>11358</v>
      </c>
      <c r="E3224" s="22">
        <v>149219</v>
      </c>
      <c r="F3224" s="19"/>
      <c r="G3224" s="14">
        <f t="shared" si="64"/>
        <v>149219</v>
      </c>
      <c r="H3224" s="13"/>
    </row>
    <row r="3225" spans="1:8" x14ac:dyDescent="0.25">
      <c r="A3225" s="113">
        <v>45205</v>
      </c>
      <c r="B3225" s="21" t="s">
        <v>10232</v>
      </c>
      <c r="C3225" s="13" t="s">
        <v>7467</v>
      </c>
      <c r="D3225" s="766" t="s">
        <v>11353</v>
      </c>
      <c r="E3225" s="22">
        <v>461969</v>
      </c>
      <c r="F3225" s="19"/>
      <c r="G3225" s="14">
        <f t="shared" si="64"/>
        <v>461969</v>
      </c>
      <c r="H3225" s="13"/>
    </row>
    <row r="3226" spans="1:8" x14ac:dyDescent="0.25">
      <c r="A3226" s="113">
        <v>45205</v>
      </c>
      <c r="B3226" s="21" t="s">
        <v>10576</v>
      </c>
      <c r="C3226" s="13" t="s">
        <v>7467</v>
      </c>
      <c r="D3226" s="766" t="s">
        <v>11354</v>
      </c>
      <c r="E3226" s="22">
        <v>461969</v>
      </c>
      <c r="F3226" s="19"/>
      <c r="G3226" s="14">
        <f t="shared" si="64"/>
        <v>461969</v>
      </c>
      <c r="H3226" s="13"/>
    </row>
    <row r="3227" spans="1:8" x14ac:dyDescent="0.25">
      <c r="A3227" s="113">
        <v>45206</v>
      </c>
      <c r="B3227" s="21" t="s">
        <v>9986</v>
      </c>
      <c r="C3227" s="13" t="s">
        <v>164</v>
      </c>
      <c r="D3227" s="766" t="s">
        <v>11272</v>
      </c>
      <c r="E3227" s="22">
        <v>11352</v>
      </c>
      <c r="F3227" s="19"/>
      <c r="G3227" s="14">
        <f t="shared" si="64"/>
        <v>11352</v>
      </c>
      <c r="H3227" s="13"/>
    </row>
    <row r="3228" spans="1:8" x14ac:dyDescent="0.25">
      <c r="A3228" s="113">
        <v>45206</v>
      </c>
      <c r="B3228" s="21" t="s">
        <v>10232</v>
      </c>
      <c r="C3228" s="13" t="s">
        <v>168</v>
      </c>
      <c r="D3228" s="766" t="s">
        <v>11330</v>
      </c>
      <c r="E3228" s="22">
        <v>44000</v>
      </c>
      <c r="F3228" s="19"/>
      <c r="G3228" s="14">
        <f t="shared" si="64"/>
        <v>44000</v>
      </c>
      <c r="H3228" s="13"/>
    </row>
    <row r="3229" spans="1:8" x14ac:dyDescent="0.25">
      <c r="A3229" s="113">
        <v>45206</v>
      </c>
      <c r="B3229" s="21" t="s">
        <v>10232</v>
      </c>
      <c r="C3229" s="13" t="s">
        <v>8394</v>
      </c>
      <c r="D3229" s="766" t="s">
        <v>11346</v>
      </c>
      <c r="E3229" s="22">
        <v>324466</v>
      </c>
      <c r="F3229" s="19"/>
      <c r="G3229" s="14">
        <f t="shared" si="64"/>
        <v>324466</v>
      </c>
      <c r="H3229" s="13"/>
    </row>
    <row r="3230" spans="1:8" x14ac:dyDescent="0.25">
      <c r="A3230" s="113">
        <v>45206</v>
      </c>
      <c r="B3230" s="21" t="s">
        <v>10576</v>
      </c>
      <c r="C3230" s="13" t="s">
        <v>8394</v>
      </c>
      <c r="D3230" s="766" t="s">
        <v>11347</v>
      </c>
      <c r="E3230" s="22">
        <v>61576</v>
      </c>
      <c r="F3230" s="19"/>
      <c r="G3230" s="14">
        <f t="shared" si="64"/>
        <v>61576</v>
      </c>
      <c r="H3230" s="13"/>
    </row>
    <row r="3231" spans="1:8" x14ac:dyDescent="0.25">
      <c r="A3231" s="113">
        <v>45206</v>
      </c>
      <c r="B3231" s="21" t="s">
        <v>10379</v>
      </c>
      <c r="C3231" s="13" t="s">
        <v>8394</v>
      </c>
      <c r="D3231" s="766" t="s">
        <v>11348</v>
      </c>
      <c r="E3231" s="22">
        <v>17368</v>
      </c>
      <c r="F3231" s="19"/>
      <c r="G3231" s="14">
        <f t="shared" si="64"/>
        <v>17368</v>
      </c>
      <c r="H3231" s="13"/>
    </row>
    <row r="3232" spans="1:8" x14ac:dyDescent="0.25">
      <c r="A3232" s="113">
        <v>45208</v>
      </c>
      <c r="B3232" s="21" t="s">
        <v>10232</v>
      </c>
      <c r="C3232" s="13" t="s">
        <v>168</v>
      </c>
      <c r="D3232" s="766" t="s">
        <v>11355</v>
      </c>
      <c r="E3232" s="22">
        <v>44000</v>
      </c>
      <c r="F3232" s="19"/>
      <c r="G3232" s="14">
        <f t="shared" si="64"/>
        <v>44000</v>
      </c>
      <c r="H3232" s="13"/>
    </row>
    <row r="3233" spans="1:8" x14ac:dyDescent="0.25">
      <c r="A3233" s="113">
        <v>45208</v>
      </c>
      <c r="B3233" s="21" t="s">
        <v>10909</v>
      </c>
      <c r="C3233" s="13" t="s">
        <v>168</v>
      </c>
      <c r="D3233" s="766" t="s">
        <v>11356</v>
      </c>
      <c r="E3233" s="22">
        <v>53000</v>
      </c>
      <c r="F3233" s="19"/>
      <c r="G3233" s="14">
        <f t="shared" si="64"/>
        <v>53000</v>
      </c>
      <c r="H3233" s="13"/>
    </row>
    <row r="3234" spans="1:8" x14ac:dyDescent="0.25">
      <c r="A3234" s="113">
        <v>45208</v>
      </c>
      <c r="B3234" s="21" t="s">
        <v>11075</v>
      </c>
      <c r="C3234" s="13" t="s">
        <v>8394</v>
      </c>
      <c r="D3234" s="766" t="s">
        <v>11349</v>
      </c>
      <c r="E3234" s="22">
        <v>57660</v>
      </c>
      <c r="F3234" s="19"/>
      <c r="G3234" s="14">
        <f t="shared" si="64"/>
        <v>57660</v>
      </c>
      <c r="H3234" s="13"/>
    </row>
    <row r="3235" spans="1:8" x14ac:dyDescent="0.25">
      <c r="A3235" s="113">
        <v>45208</v>
      </c>
      <c r="B3235" s="21" t="s">
        <v>10909</v>
      </c>
      <c r="C3235" s="13" t="s">
        <v>8394</v>
      </c>
      <c r="D3235" s="766" t="s">
        <v>11350</v>
      </c>
      <c r="E3235" s="22">
        <v>352873</v>
      </c>
      <c r="F3235" s="19"/>
      <c r="G3235" s="14">
        <f t="shared" si="64"/>
        <v>352873</v>
      </c>
      <c r="H3235" s="13"/>
    </row>
    <row r="3236" spans="1:8" x14ac:dyDescent="0.25">
      <c r="A3236" s="113">
        <v>45209</v>
      </c>
      <c r="B3236" s="21" t="s">
        <v>10232</v>
      </c>
      <c r="C3236" s="13" t="s">
        <v>11324</v>
      </c>
      <c r="D3236" s="766"/>
      <c r="E3236" s="22"/>
      <c r="F3236" s="19">
        <v>1000000</v>
      </c>
      <c r="G3236" s="14">
        <f t="shared" si="64"/>
        <v>-1000000</v>
      </c>
      <c r="H3236" s="13" t="s">
        <v>11326</v>
      </c>
    </row>
    <row r="3237" spans="1:8" x14ac:dyDescent="0.25">
      <c r="A3237" s="113">
        <v>45209</v>
      </c>
      <c r="B3237" s="21" t="s">
        <v>10909</v>
      </c>
      <c r="C3237" s="13" t="s">
        <v>5187</v>
      </c>
      <c r="D3237" s="766" t="s">
        <v>12268</v>
      </c>
      <c r="E3237" s="22">
        <v>291621.59999999998</v>
      </c>
      <c r="F3237" s="19"/>
      <c r="G3237" s="14">
        <f t="shared" si="64"/>
        <v>291621.59999999998</v>
      </c>
      <c r="H3237" s="13" t="s">
        <v>12272</v>
      </c>
    </row>
    <row r="3238" spans="1:8" x14ac:dyDescent="0.25">
      <c r="A3238" s="113">
        <v>45209</v>
      </c>
      <c r="B3238" s="21" t="s">
        <v>10909</v>
      </c>
      <c r="C3238" s="13" t="s">
        <v>5187</v>
      </c>
      <c r="D3238" s="766" t="s">
        <v>12269</v>
      </c>
      <c r="E3238" s="22">
        <v>87097.5</v>
      </c>
      <c r="F3238" s="19"/>
      <c r="G3238" s="14">
        <f t="shared" si="64"/>
        <v>87097.5</v>
      </c>
      <c r="H3238" s="13" t="s">
        <v>12272</v>
      </c>
    </row>
    <row r="3239" spans="1:8" x14ac:dyDescent="0.25">
      <c r="A3239" s="113">
        <v>45209</v>
      </c>
      <c r="B3239" s="21" t="s">
        <v>10909</v>
      </c>
      <c r="C3239" s="13" t="s">
        <v>5187</v>
      </c>
      <c r="D3239" s="766" t="s">
        <v>12270</v>
      </c>
      <c r="E3239" s="22">
        <v>214930.8</v>
      </c>
      <c r="F3239" s="19"/>
      <c r="G3239" s="14">
        <f t="shared" si="64"/>
        <v>214930.8</v>
      </c>
      <c r="H3239" s="13" t="s">
        <v>12272</v>
      </c>
    </row>
    <row r="3240" spans="1:8" x14ac:dyDescent="0.25">
      <c r="A3240" s="113">
        <v>45209</v>
      </c>
      <c r="B3240" s="21" t="s">
        <v>10909</v>
      </c>
      <c r="C3240" s="13" t="s">
        <v>5187</v>
      </c>
      <c r="D3240" s="766" t="s">
        <v>12271</v>
      </c>
      <c r="E3240" s="22">
        <v>253933.2</v>
      </c>
      <c r="F3240" s="19"/>
      <c r="G3240" s="14">
        <f t="shared" si="64"/>
        <v>253933.2</v>
      </c>
      <c r="H3240" s="13" t="s">
        <v>12272</v>
      </c>
    </row>
    <row r="3241" spans="1:8" x14ac:dyDescent="0.25">
      <c r="A3241" s="113">
        <v>45210</v>
      </c>
      <c r="B3241" s="21" t="s">
        <v>10909</v>
      </c>
      <c r="C3241" s="13" t="s">
        <v>5187</v>
      </c>
      <c r="D3241" s="766"/>
      <c r="E3241" s="22"/>
      <c r="F3241" s="19">
        <v>300000</v>
      </c>
      <c r="G3241" s="14">
        <f t="shared" si="64"/>
        <v>-300000</v>
      </c>
      <c r="H3241" s="13" t="s">
        <v>11326</v>
      </c>
    </row>
    <row r="3242" spans="1:8" x14ac:dyDescent="0.25">
      <c r="A3242" s="113">
        <v>45210</v>
      </c>
      <c r="B3242" s="21" t="s">
        <v>10909</v>
      </c>
      <c r="C3242" s="13" t="s">
        <v>5187</v>
      </c>
      <c r="D3242" s="766"/>
      <c r="E3242" s="22"/>
      <c r="F3242" s="19">
        <v>300000</v>
      </c>
      <c r="G3242" s="14">
        <f t="shared" si="64"/>
        <v>-300000</v>
      </c>
      <c r="H3242" s="13" t="s">
        <v>11323</v>
      </c>
    </row>
    <row r="3243" spans="1:8" x14ac:dyDescent="0.25">
      <c r="A3243" s="113">
        <v>45210</v>
      </c>
      <c r="B3243" s="21" t="s">
        <v>10576</v>
      </c>
      <c r="C3243" s="13" t="s">
        <v>5187</v>
      </c>
      <c r="D3243" s="766"/>
      <c r="E3243" s="22"/>
      <c r="F3243" s="19">
        <v>198000</v>
      </c>
      <c r="G3243" s="14">
        <f t="shared" si="64"/>
        <v>-198000</v>
      </c>
      <c r="H3243" s="13" t="s">
        <v>11321</v>
      </c>
    </row>
    <row r="3244" spans="1:8" x14ac:dyDescent="0.25">
      <c r="A3244" s="113">
        <v>45210</v>
      </c>
      <c r="B3244" s="21" t="s">
        <v>10909</v>
      </c>
      <c r="C3244" s="13" t="s">
        <v>5187</v>
      </c>
      <c r="D3244" s="766"/>
      <c r="E3244" s="22"/>
      <c r="F3244" s="19">
        <v>200000</v>
      </c>
      <c r="G3244" s="14">
        <f t="shared" si="64"/>
        <v>-200000</v>
      </c>
      <c r="H3244" s="13" t="s">
        <v>12266</v>
      </c>
    </row>
    <row r="3245" spans="1:8" x14ac:dyDescent="0.25">
      <c r="A3245" s="113">
        <v>45211</v>
      </c>
      <c r="B3245" s="21" t="s">
        <v>9769</v>
      </c>
      <c r="C3245" s="13" t="s">
        <v>8900</v>
      </c>
      <c r="D3245" s="766"/>
      <c r="E3245" s="22">
        <v>300000</v>
      </c>
      <c r="F3245" s="19"/>
      <c r="G3245" s="14">
        <f t="shared" si="64"/>
        <v>300000</v>
      </c>
      <c r="H3245" s="13" t="s">
        <v>11328</v>
      </c>
    </row>
    <row r="3246" spans="1:8" x14ac:dyDescent="0.25">
      <c r="A3246" s="113">
        <v>45211</v>
      </c>
      <c r="B3246" s="21" t="s">
        <v>9769</v>
      </c>
      <c r="C3246" s="13" t="s">
        <v>8900</v>
      </c>
      <c r="D3246" s="766"/>
      <c r="E3246" s="22"/>
      <c r="F3246" s="19">
        <v>100000</v>
      </c>
      <c r="G3246" s="14">
        <f t="shared" si="64"/>
        <v>-100000</v>
      </c>
      <c r="H3246" s="13" t="s">
        <v>4977</v>
      </c>
    </row>
    <row r="3247" spans="1:8" x14ac:dyDescent="0.25">
      <c r="A3247" s="113">
        <v>45211</v>
      </c>
      <c r="B3247" s="21" t="s">
        <v>7807</v>
      </c>
      <c r="C3247" s="13" t="s">
        <v>11329</v>
      </c>
      <c r="D3247" s="766"/>
      <c r="E3247" s="22">
        <v>1061510</v>
      </c>
      <c r="F3247" s="19"/>
      <c r="G3247" s="14">
        <f t="shared" si="64"/>
        <v>1061510</v>
      </c>
      <c r="H3247" s="13" t="s">
        <v>11328</v>
      </c>
    </row>
    <row r="3248" spans="1:8" x14ac:dyDescent="0.25">
      <c r="A3248" s="113">
        <v>45211</v>
      </c>
      <c r="B3248" s="21" t="s">
        <v>10576</v>
      </c>
      <c r="C3248" s="13" t="s">
        <v>9080</v>
      </c>
      <c r="D3248" s="766"/>
      <c r="E3248" s="22">
        <v>885000</v>
      </c>
      <c r="F3248" s="19"/>
      <c r="G3248" s="14">
        <f t="shared" si="64"/>
        <v>885000</v>
      </c>
      <c r="H3248" s="13" t="s">
        <v>11328</v>
      </c>
    </row>
    <row r="3249" spans="1:8" x14ac:dyDescent="0.25">
      <c r="A3249" s="113">
        <v>45211</v>
      </c>
      <c r="B3249" s="21" t="s">
        <v>10576</v>
      </c>
      <c r="C3249" s="13" t="s">
        <v>8091</v>
      </c>
      <c r="D3249" s="766"/>
      <c r="E3249" s="22">
        <v>4000000</v>
      </c>
      <c r="F3249" s="19"/>
      <c r="G3249" s="14">
        <f t="shared" si="64"/>
        <v>4000000</v>
      </c>
      <c r="H3249" s="13" t="s">
        <v>11328</v>
      </c>
    </row>
    <row r="3250" spans="1:8" x14ac:dyDescent="0.25">
      <c r="A3250" s="113">
        <v>45211</v>
      </c>
      <c r="B3250" s="21" t="s">
        <v>10909</v>
      </c>
      <c r="C3250" s="13" t="s">
        <v>8394</v>
      </c>
      <c r="D3250" s="766" t="s">
        <v>11351</v>
      </c>
      <c r="E3250" s="22">
        <v>131554</v>
      </c>
      <c r="F3250" s="19"/>
      <c r="G3250" s="14">
        <f t="shared" si="64"/>
        <v>131554</v>
      </c>
      <c r="H3250" s="13"/>
    </row>
    <row r="3251" spans="1:8" x14ac:dyDescent="0.25">
      <c r="A3251" s="113">
        <v>45212</v>
      </c>
      <c r="B3251" s="21" t="s">
        <v>10576</v>
      </c>
      <c r="C3251" s="13" t="s">
        <v>8394</v>
      </c>
      <c r="D3251" s="766" t="s">
        <v>11352</v>
      </c>
      <c r="E3251" s="22">
        <v>64949</v>
      </c>
      <c r="F3251" s="19"/>
      <c r="G3251" s="14">
        <f t="shared" si="64"/>
        <v>64949</v>
      </c>
      <c r="H3251" s="13"/>
    </row>
    <row r="3252" spans="1:8" x14ac:dyDescent="0.25">
      <c r="A3252" s="113">
        <v>45212</v>
      </c>
      <c r="B3252" s="21" t="s">
        <v>11446</v>
      </c>
      <c r="C3252" s="13" t="s">
        <v>166</v>
      </c>
      <c r="D3252" s="766" t="s">
        <v>11357</v>
      </c>
      <c r="E3252" s="22">
        <v>43750</v>
      </c>
      <c r="F3252" s="19"/>
      <c r="G3252" s="14">
        <f t="shared" si="64"/>
        <v>43750</v>
      </c>
      <c r="H3252" s="13"/>
    </row>
    <row r="3253" spans="1:8" x14ac:dyDescent="0.25">
      <c r="A3253" s="113">
        <v>45213</v>
      </c>
      <c r="B3253" s="21" t="s">
        <v>7807</v>
      </c>
      <c r="C3253" s="13" t="s">
        <v>11329</v>
      </c>
      <c r="D3253" s="766"/>
      <c r="E3253" s="22"/>
      <c r="F3253" s="19">
        <v>700000</v>
      </c>
      <c r="G3253" s="14">
        <f t="shared" si="64"/>
        <v>-700000</v>
      </c>
      <c r="H3253" s="13" t="s">
        <v>11361</v>
      </c>
    </row>
    <row r="3254" spans="1:8" x14ac:dyDescent="0.25">
      <c r="A3254" s="113">
        <v>45213</v>
      </c>
      <c r="B3254" s="21" t="s">
        <v>2652</v>
      </c>
      <c r="C3254" s="13" t="s">
        <v>5681</v>
      </c>
      <c r="D3254" s="766"/>
      <c r="E3254" s="22">
        <v>9700</v>
      </c>
      <c r="F3254" s="19"/>
      <c r="G3254" s="14">
        <f t="shared" si="64"/>
        <v>9700</v>
      </c>
      <c r="H3254" s="13" t="s">
        <v>11370</v>
      </c>
    </row>
    <row r="3255" spans="1:8" x14ac:dyDescent="0.25">
      <c r="A3255" s="113">
        <v>45213</v>
      </c>
      <c r="B3255" s="21" t="s">
        <v>1400</v>
      </c>
      <c r="C3255" s="13" t="s">
        <v>5681</v>
      </c>
      <c r="D3255" s="766"/>
      <c r="E3255" s="22"/>
      <c r="F3255" s="19">
        <v>8180</v>
      </c>
      <c r="G3255" s="14">
        <f t="shared" si="64"/>
        <v>-8180</v>
      </c>
      <c r="H3255" s="13" t="s">
        <v>11370</v>
      </c>
    </row>
    <row r="3256" spans="1:8" x14ac:dyDescent="0.25">
      <c r="A3256" s="113">
        <v>45213</v>
      </c>
      <c r="B3256" s="21" t="s">
        <v>8657</v>
      </c>
      <c r="C3256" s="13" t="s">
        <v>5681</v>
      </c>
      <c r="D3256" s="766"/>
      <c r="E3256" s="22"/>
      <c r="F3256" s="19">
        <f>53900-12000</f>
        <v>41900</v>
      </c>
      <c r="G3256" s="14">
        <f t="shared" si="64"/>
        <v>-41900</v>
      </c>
      <c r="H3256" s="13" t="s">
        <v>11370</v>
      </c>
    </row>
    <row r="3257" spans="1:8" x14ac:dyDescent="0.25">
      <c r="A3257" s="113">
        <v>45213</v>
      </c>
      <c r="B3257" s="21" t="s">
        <v>10151</v>
      </c>
      <c r="C3257" s="13" t="s">
        <v>5681</v>
      </c>
      <c r="D3257" s="766" t="s">
        <v>8556</v>
      </c>
      <c r="E3257" s="22">
        <v>105000</v>
      </c>
      <c r="F3257" s="19"/>
      <c r="G3257" s="14">
        <f t="shared" si="64"/>
        <v>105000</v>
      </c>
      <c r="H3257" s="13"/>
    </row>
    <row r="3258" spans="1:8" x14ac:dyDescent="0.25">
      <c r="A3258" s="113">
        <v>45213</v>
      </c>
      <c r="B3258" s="21" t="s">
        <v>10151</v>
      </c>
      <c r="C3258" s="13" t="s">
        <v>5681</v>
      </c>
      <c r="D3258" s="766" t="s">
        <v>9858</v>
      </c>
      <c r="E3258" s="22">
        <v>35400</v>
      </c>
      <c r="F3258" s="19"/>
      <c r="G3258" s="14">
        <f t="shared" si="64"/>
        <v>35400</v>
      </c>
      <c r="H3258" s="13"/>
    </row>
    <row r="3259" spans="1:8" x14ac:dyDescent="0.25">
      <c r="A3259" s="113">
        <v>45213</v>
      </c>
      <c r="B3259" s="21" t="s">
        <v>9769</v>
      </c>
      <c r="C3259" s="13" t="s">
        <v>5681</v>
      </c>
      <c r="D3259" s="766" t="s">
        <v>9873</v>
      </c>
      <c r="E3259" s="22">
        <v>57000</v>
      </c>
      <c r="F3259" s="19"/>
      <c r="G3259" s="14">
        <f t="shared" si="64"/>
        <v>57000</v>
      </c>
      <c r="H3259" s="13"/>
    </row>
    <row r="3260" spans="1:8" x14ac:dyDescent="0.25">
      <c r="A3260" s="113">
        <v>45213</v>
      </c>
      <c r="B3260" s="21" t="s">
        <v>10379</v>
      </c>
      <c r="C3260" s="13" t="s">
        <v>5681</v>
      </c>
      <c r="D3260" s="766" t="s">
        <v>9874</v>
      </c>
      <c r="E3260" s="22">
        <v>390000</v>
      </c>
      <c r="F3260" s="19"/>
      <c r="G3260" s="14">
        <f t="shared" si="64"/>
        <v>390000</v>
      </c>
      <c r="H3260" s="13"/>
    </row>
    <row r="3261" spans="1:8" x14ac:dyDescent="0.25">
      <c r="A3261" s="113">
        <v>45213</v>
      </c>
      <c r="B3261" s="21" t="s">
        <v>10571</v>
      </c>
      <c r="C3261" s="13" t="s">
        <v>5681</v>
      </c>
      <c r="D3261" s="766" t="s">
        <v>9960</v>
      </c>
      <c r="E3261" s="22">
        <v>93900</v>
      </c>
      <c r="F3261" s="19"/>
      <c r="G3261" s="14">
        <f t="shared" si="64"/>
        <v>93900</v>
      </c>
      <c r="H3261" s="13"/>
    </row>
    <row r="3262" spans="1:8" x14ac:dyDescent="0.25">
      <c r="A3262" s="113">
        <v>45213</v>
      </c>
      <c r="B3262" s="21" t="s">
        <v>8868</v>
      </c>
      <c r="C3262" s="13" t="s">
        <v>5681</v>
      </c>
      <c r="D3262" s="766" t="s">
        <v>8626</v>
      </c>
      <c r="E3262" s="22">
        <v>15600</v>
      </c>
      <c r="F3262" s="19"/>
      <c r="G3262" s="14">
        <f t="shared" si="64"/>
        <v>15600</v>
      </c>
      <c r="H3262" s="13"/>
    </row>
    <row r="3263" spans="1:8" x14ac:dyDescent="0.25">
      <c r="A3263" s="113">
        <v>45213</v>
      </c>
      <c r="B3263" s="21" t="s">
        <v>9356</v>
      </c>
      <c r="C3263" s="13" t="s">
        <v>5681</v>
      </c>
      <c r="D3263" s="766" t="s">
        <v>9961</v>
      </c>
      <c r="E3263" s="22">
        <v>529000</v>
      </c>
      <c r="F3263" s="19"/>
      <c r="G3263" s="14">
        <f t="shared" si="64"/>
        <v>529000</v>
      </c>
      <c r="H3263" s="13"/>
    </row>
    <row r="3264" spans="1:8" x14ac:dyDescent="0.25">
      <c r="A3264" s="113">
        <v>45213</v>
      </c>
      <c r="B3264" s="21" t="s">
        <v>10471</v>
      </c>
      <c r="C3264" s="13" t="s">
        <v>5681</v>
      </c>
      <c r="D3264" s="766" t="s">
        <v>9962</v>
      </c>
      <c r="E3264" s="22">
        <v>6000</v>
      </c>
      <c r="F3264" s="19"/>
      <c r="G3264" s="14">
        <f t="shared" si="64"/>
        <v>6000</v>
      </c>
      <c r="H3264" s="13"/>
    </row>
    <row r="3265" spans="1:8" x14ac:dyDescent="0.25">
      <c r="A3265" s="113">
        <v>45213</v>
      </c>
      <c r="B3265" s="21" t="s">
        <v>10232</v>
      </c>
      <c r="C3265" s="13" t="s">
        <v>5681</v>
      </c>
      <c r="D3265" s="766" t="s">
        <v>9963</v>
      </c>
      <c r="E3265" s="22">
        <v>72682</v>
      </c>
      <c r="F3265" s="19"/>
      <c r="G3265" s="14">
        <f t="shared" si="64"/>
        <v>72682</v>
      </c>
      <c r="H3265" s="13"/>
    </row>
    <row r="3266" spans="1:8" x14ac:dyDescent="0.25">
      <c r="A3266" s="113">
        <v>45213</v>
      </c>
      <c r="B3266" s="21" t="s">
        <v>10232</v>
      </c>
      <c r="C3266" s="13" t="s">
        <v>5681</v>
      </c>
      <c r="D3266" s="766" t="s">
        <v>10147</v>
      </c>
      <c r="E3266" s="22">
        <v>14170</v>
      </c>
      <c r="F3266" s="19"/>
      <c r="G3266" s="14">
        <f t="shared" si="64"/>
        <v>14170</v>
      </c>
      <c r="H3266" s="13"/>
    </row>
    <row r="3267" spans="1:8" x14ac:dyDescent="0.25">
      <c r="A3267" s="113">
        <v>45213</v>
      </c>
      <c r="B3267" s="21" t="s">
        <v>10576</v>
      </c>
      <c r="C3267" s="13" t="s">
        <v>8394</v>
      </c>
      <c r="D3267" s="766" t="s">
        <v>11371</v>
      </c>
      <c r="E3267" s="22">
        <v>102465</v>
      </c>
      <c r="F3267" s="19"/>
      <c r="G3267" s="14">
        <f t="shared" si="64"/>
        <v>102465</v>
      </c>
      <c r="H3267" s="13"/>
    </row>
    <row r="3268" spans="1:8" x14ac:dyDescent="0.25">
      <c r="A3268" s="113">
        <v>45213</v>
      </c>
      <c r="B3268" s="21" t="s">
        <v>9986</v>
      </c>
      <c r="C3268" s="13" t="s">
        <v>169</v>
      </c>
      <c r="D3268" s="766" t="s">
        <v>11372</v>
      </c>
      <c r="E3268" s="22">
        <v>206226</v>
      </c>
      <c r="F3268" s="19"/>
      <c r="G3268" s="14">
        <f t="shared" si="64"/>
        <v>206226</v>
      </c>
      <c r="H3268" s="13"/>
    </row>
    <row r="3269" spans="1:8" x14ac:dyDescent="0.25">
      <c r="A3269" s="113">
        <v>45213</v>
      </c>
      <c r="B3269" s="21" t="s">
        <v>10232</v>
      </c>
      <c r="C3269" s="13" t="s">
        <v>7467</v>
      </c>
      <c r="D3269" s="766" t="s">
        <v>11411</v>
      </c>
      <c r="E3269" s="22">
        <v>48000</v>
      </c>
      <c r="F3269" s="19"/>
      <c r="G3269" s="14">
        <f t="shared" si="64"/>
        <v>48000</v>
      </c>
      <c r="H3269" s="13"/>
    </row>
    <row r="3270" spans="1:8" x14ac:dyDescent="0.25">
      <c r="A3270" s="113">
        <v>45213</v>
      </c>
      <c r="B3270" s="21" t="s">
        <v>10576</v>
      </c>
      <c r="C3270" s="13" t="s">
        <v>7467</v>
      </c>
      <c r="D3270" s="766" t="s">
        <v>11412</v>
      </c>
      <c r="E3270" s="22">
        <v>374168</v>
      </c>
      <c r="F3270" s="19"/>
      <c r="G3270" s="14">
        <f t="shared" si="64"/>
        <v>374168</v>
      </c>
      <c r="H3270" s="13"/>
    </row>
    <row r="3271" spans="1:8" x14ac:dyDescent="0.25">
      <c r="A3271" s="113">
        <v>45213</v>
      </c>
      <c r="B3271" s="21" t="s">
        <v>9986</v>
      </c>
      <c r="C3271" s="13" t="s">
        <v>164</v>
      </c>
      <c r="D3271" s="766" t="s">
        <v>11208</v>
      </c>
      <c r="E3271" s="22">
        <v>29554</v>
      </c>
      <c r="F3271" s="19"/>
      <c r="G3271" s="14">
        <f t="shared" si="64"/>
        <v>29554</v>
      </c>
      <c r="H3271" s="13"/>
    </row>
    <row r="3272" spans="1:8" x14ac:dyDescent="0.25">
      <c r="A3272" s="113">
        <v>45215</v>
      </c>
      <c r="B3272" s="21" t="s">
        <v>10576</v>
      </c>
      <c r="C3272" s="13" t="s">
        <v>8091</v>
      </c>
      <c r="D3272" s="766"/>
      <c r="E3272" s="22"/>
      <c r="F3272" s="19">
        <v>1000000</v>
      </c>
      <c r="G3272" s="14">
        <f t="shared" si="64"/>
        <v>-1000000</v>
      </c>
      <c r="H3272" s="13" t="s">
        <v>11378</v>
      </c>
    </row>
    <row r="3273" spans="1:8" x14ac:dyDescent="0.25">
      <c r="A3273" s="113">
        <v>45216</v>
      </c>
      <c r="B3273" s="21" t="s">
        <v>10151</v>
      </c>
      <c r="C3273" s="13" t="s">
        <v>8394</v>
      </c>
      <c r="D3273" s="766"/>
      <c r="E3273" s="22"/>
      <c r="F3273" s="19">
        <v>75140</v>
      </c>
      <c r="G3273" s="14">
        <f t="shared" si="64"/>
        <v>-75140</v>
      </c>
      <c r="H3273" s="1172" t="s">
        <v>11395</v>
      </c>
    </row>
    <row r="3274" spans="1:8" x14ac:dyDescent="0.25">
      <c r="A3274" s="113">
        <v>45216</v>
      </c>
      <c r="B3274" s="21" t="s">
        <v>9356</v>
      </c>
      <c r="C3274" s="13" t="s">
        <v>8394</v>
      </c>
      <c r="D3274" s="766"/>
      <c r="E3274" s="22"/>
      <c r="F3274" s="19">
        <v>3763</v>
      </c>
      <c r="G3274" s="14">
        <f t="shared" ref="G3274:G3370" si="65">E3274-F3274</f>
        <v>-3763</v>
      </c>
      <c r="H3274" s="1224"/>
    </row>
    <row r="3275" spans="1:8" x14ac:dyDescent="0.25">
      <c r="A3275" s="113">
        <v>45216</v>
      </c>
      <c r="B3275" s="21" t="s">
        <v>10379</v>
      </c>
      <c r="C3275" s="13" t="s">
        <v>8394</v>
      </c>
      <c r="D3275" s="766"/>
      <c r="E3275" s="22"/>
      <c r="F3275" s="19">
        <v>17368</v>
      </c>
      <c r="G3275" s="14">
        <f t="shared" si="65"/>
        <v>-17368</v>
      </c>
      <c r="H3275" s="1224"/>
    </row>
    <row r="3276" spans="1:8" x14ac:dyDescent="0.25">
      <c r="A3276" s="113">
        <v>45216</v>
      </c>
      <c r="B3276" s="21" t="s">
        <v>11075</v>
      </c>
      <c r="C3276" s="13" t="s">
        <v>8394</v>
      </c>
      <c r="D3276" s="766"/>
      <c r="E3276" s="22"/>
      <c r="F3276" s="19">
        <v>194858</v>
      </c>
      <c r="G3276" s="14">
        <f t="shared" si="65"/>
        <v>-194858</v>
      </c>
      <c r="H3276" s="1224"/>
    </row>
    <row r="3277" spans="1:8" x14ac:dyDescent="0.25">
      <c r="A3277" s="113">
        <v>45216</v>
      </c>
      <c r="B3277" s="21" t="s">
        <v>10232</v>
      </c>
      <c r="C3277" s="13" t="s">
        <v>8394</v>
      </c>
      <c r="D3277" s="766"/>
      <c r="E3277" s="22"/>
      <c r="F3277" s="19">
        <v>650000</v>
      </c>
      <c r="G3277" s="14">
        <f t="shared" si="65"/>
        <v>-650000</v>
      </c>
      <c r="H3277" s="1224"/>
    </row>
    <row r="3278" spans="1:8" x14ac:dyDescent="0.25">
      <c r="A3278" s="113">
        <v>45216</v>
      </c>
      <c r="B3278" s="21" t="s">
        <v>10909</v>
      </c>
      <c r="C3278" s="13" t="s">
        <v>8394</v>
      </c>
      <c r="D3278" s="766"/>
      <c r="E3278" s="22"/>
      <c r="F3278" s="19">
        <v>308871</v>
      </c>
      <c r="G3278" s="14">
        <f t="shared" si="65"/>
        <v>-308871</v>
      </c>
      <c r="H3278" s="1224"/>
    </row>
    <row r="3279" spans="1:8" x14ac:dyDescent="0.25">
      <c r="A3279" s="113">
        <v>45216</v>
      </c>
      <c r="B3279" s="21" t="s">
        <v>10576</v>
      </c>
      <c r="C3279" s="13" t="s">
        <v>8394</v>
      </c>
      <c r="D3279" s="766"/>
      <c r="E3279" s="22"/>
      <c r="F3279" s="19">
        <v>250000</v>
      </c>
      <c r="G3279" s="14">
        <f t="shared" si="65"/>
        <v>-250000</v>
      </c>
      <c r="H3279" s="1173"/>
    </row>
    <row r="3280" spans="1:8" x14ac:dyDescent="0.25">
      <c r="A3280" s="113">
        <v>45216</v>
      </c>
      <c r="B3280" s="21" t="s">
        <v>10576</v>
      </c>
      <c r="C3280" s="13" t="s">
        <v>169</v>
      </c>
      <c r="D3280" s="766" t="s">
        <v>11416</v>
      </c>
      <c r="E3280" s="22">
        <v>161000</v>
      </c>
      <c r="F3280" s="19"/>
      <c r="G3280" s="14">
        <f t="shared" si="65"/>
        <v>161000</v>
      </c>
      <c r="H3280" s="956"/>
    </row>
    <row r="3281" spans="1:8" x14ac:dyDescent="0.25">
      <c r="A3281" s="113">
        <v>45216</v>
      </c>
      <c r="B3281" s="21" t="s">
        <v>9986</v>
      </c>
      <c r="C3281" s="13" t="s">
        <v>166</v>
      </c>
      <c r="D3281" s="766" t="s">
        <v>8404</v>
      </c>
      <c r="E3281" s="22">
        <v>23330</v>
      </c>
      <c r="F3281" s="19"/>
      <c r="G3281" s="14">
        <f t="shared" si="65"/>
        <v>23330</v>
      </c>
      <c r="H3281" s="956"/>
    </row>
    <row r="3282" spans="1:8" x14ac:dyDescent="0.25">
      <c r="A3282" s="113">
        <v>45217</v>
      </c>
      <c r="B3282" s="21" t="s">
        <v>9769</v>
      </c>
      <c r="C3282" s="13" t="s">
        <v>8900</v>
      </c>
      <c r="D3282" s="766"/>
      <c r="E3282" s="22"/>
      <c r="F3282" s="19">
        <v>200000</v>
      </c>
      <c r="G3282" s="14">
        <f t="shared" si="65"/>
        <v>-200000</v>
      </c>
      <c r="H3282" s="13" t="s">
        <v>11397</v>
      </c>
    </row>
    <row r="3283" spans="1:8" x14ac:dyDescent="0.25">
      <c r="A3283" s="113">
        <v>45217</v>
      </c>
      <c r="B3283" s="21" t="s">
        <v>10232</v>
      </c>
      <c r="C3283" s="13" t="s">
        <v>7467</v>
      </c>
      <c r="D3283" s="766" t="s">
        <v>11413</v>
      </c>
      <c r="E3283" s="22">
        <v>374168</v>
      </c>
      <c r="F3283" s="19"/>
      <c r="G3283" s="14">
        <f t="shared" si="65"/>
        <v>374168</v>
      </c>
      <c r="H3283" s="13"/>
    </row>
    <row r="3284" spans="1:8" x14ac:dyDescent="0.25">
      <c r="A3284" s="113">
        <v>45217</v>
      </c>
      <c r="B3284" s="21" t="s">
        <v>10576</v>
      </c>
      <c r="C3284" s="13" t="s">
        <v>7467</v>
      </c>
      <c r="D3284" s="766" t="s">
        <v>11414</v>
      </c>
      <c r="E3284" s="22">
        <v>374168</v>
      </c>
      <c r="F3284" s="19"/>
      <c r="G3284" s="14">
        <f t="shared" si="65"/>
        <v>374168</v>
      </c>
      <c r="H3284" s="13"/>
    </row>
    <row r="3285" spans="1:8" x14ac:dyDescent="0.25">
      <c r="A3285" s="113">
        <v>45217</v>
      </c>
      <c r="B3285" s="21" t="s">
        <v>9967</v>
      </c>
      <c r="C3285" s="13" t="s">
        <v>164</v>
      </c>
      <c r="D3285" s="766" t="s">
        <v>11226</v>
      </c>
      <c r="E3285" s="22">
        <v>5520</v>
      </c>
      <c r="F3285" s="19"/>
      <c r="G3285" s="14">
        <f t="shared" si="65"/>
        <v>5520</v>
      </c>
      <c r="H3285" s="13"/>
    </row>
    <row r="3286" spans="1:8" x14ac:dyDescent="0.25">
      <c r="A3286" s="113">
        <v>45219</v>
      </c>
      <c r="B3286" s="21" t="s">
        <v>9986</v>
      </c>
      <c r="C3286" s="13" t="s">
        <v>166</v>
      </c>
      <c r="D3286" s="766" t="s">
        <v>11417</v>
      </c>
      <c r="E3286" s="22">
        <v>18575</v>
      </c>
      <c r="F3286" s="19"/>
      <c r="G3286" s="14">
        <f t="shared" si="65"/>
        <v>18575</v>
      </c>
      <c r="H3286" s="13"/>
    </row>
    <row r="3287" spans="1:8" x14ac:dyDescent="0.25">
      <c r="A3287" s="113">
        <v>45219</v>
      </c>
      <c r="B3287" s="21" t="s">
        <v>10232</v>
      </c>
      <c r="C3287" s="13" t="s">
        <v>8394</v>
      </c>
      <c r="D3287" s="766" t="s">
        <v>11444</v>
      </c>
      <c r="E3287" s="22">
        <v>306092</v>
      </c>
      <c r="F3287" s="19"/>
      <c r="G3287" s="14">
        <f t="shared" si="65"/>
        <v>306092</v>
      </c>
      <c r="H3287" s="13"/>
    </row>
    <row r="3288" spans="1:8" x14ac:dyDescent="0.25">
      <c r="A3288" s="113">
        <v>45219</v>
      </c>
      <c r="B3288" s="21" t="s">
        <v>9986</v>
      </c>
      <c r="C3288" s="13" t="s">
        <v>166</v>
      </c>
      <c r="D3288" s="766" t="s">
        <v>11792</v>
      </c>
      <c r="E3288" s="22">
        <v>11875</v>
      </c>
      <c r="F3288" s="19"/>
      <c r="G3288" s="14">
        <f t="shared" si="65"/>
        <v>11875</v>
      </c>
      <c r="H3288" s="13"/>
    </row>
    <row r="3289" spans="1:8" x14ac:dyDescent="0.25">
      <c r="A3289" s="113">
        <v>45219</v>
      </c>
      <c r="B3289" s="21" t="s">
        <v>10909</v>
      </c>
      <c r="C3289" s="13" t="s">
        <v>169</v>
      </c>
      <c r="D3289" s="766" t="s">
        <v>12715</v>
      </c>
      <c r="E3289" s="22">
        <v>76000</v>
      </c>
      <c r="F3289" s="19"/>
      <c r="G3289" s="14">
        <f t="shared" si="65"/>
        <v>76000</v>
      </c>
    </row>
    <row r="3290" spans="1:8" x14ac:dyDescent="0.25">
      <c r="A3290" s="113">
        <v>45220</v>
      </c>
      <c r="B3290" s="21" t="s">
        <v>10909</v>
      </c>
      <c r="C3290" s="13" t="s">
        <v>8394</v>
      </c>
      <c r="D3290" s="766" t="s">
        <v>11445</v>
      </c>
      <c r="E3290" s="22">
        <v>120971</v>
      </c>
      <c r="F3290" s="19"/>
      <c r="G3290" s="14">
        <f t="shared" si="65"/>
        <v>120971</v>
      </c>
    </row>
    <row r="3291" spans="1:8" x14ac:dyDescent="0.25">
      <c r="A3291" s="113">
        <v>45220</v>
      </c>
      <c r="B3291" s="21" t="s">
        <v>11446</v>
      </c>
      <c r="C3291" s="13" t="s">
        <v>8394</v>
      </c>
      <c r="D3291" s="1227" t="s">
        <v>11447</v>
      </c>
      <c r="E3291" s="22">
        <v>20103</v>
      </c>
      <c r="F3291" s="19"/>
      <c r="G3291" s="14">
        <f t="shared" si="65"/>
        <v>20103</v>
      </c>
      <c r="H3291" s="13"/>
    </row>
    <row r="3292" spans="1:8" x14ac:dyDescent="0.25">
      <c r="A3292" s="113">
        <v>45220</v>
      </c>
      <c r="B3292" s="21" t="s">
        <v>11199</v>
      </c>
      <c r="C3292" s="13" t="s">
        <v>8394</v>
      </c>
      <c r="D3292" s="1227"/>
      <c r="E3292" s="22">
        <v>4390</v>
      </c>
      <c r="F3292" s="19"/>
      <c r="G3292" s="14">
        <f t="shared" si="65"/>
        <v>4390</v>
      </c>
      <c r="H3292" s="13"/>
    </row>
    <row r="3293" spans="1:8" x14ac:dyDescent="0.25">
      <c r="A3293" s="113">
        <v>45220</v>
      </c>
      <c r="B3293" s="21" t="s">
        <v>10576</v>
      </c>
      <c r="C3293" s="13" t="s">
        <v>8394</v>
      </c>
      <c r="D3293" s="766" t="s">
        <v>11494</v>
      </c>
      <c r="E3293" s="22">
        <v>294107</v>
      </c>
      <c r="F3293" s="19"/>
      <c r="G3293" s="14">
        <f t="shared" si="65"/>
        <v>294107</v>
      </c>
      <c r="H3293" s="13"/>
    </row>
    <row r="3294" spans="1:8" x14ac:dyDescent="0.25">
      <c r="A3294" s="113">
        <v>45220</v>
      </c>
      <c r="B3294" s="21" t="s">
        <v>10232</v>
      </c>
      <c r="C3294" s="13" t="s">
        <v>168</v>
      </c>
      <c r="D3294" s="766" t="s">
        <v>11479</v>
      </c>
      <c r="E3294" s="22">
        <v>90200</v>
      </c>
      <c r="F3294" s="19"/>
      <c r="G3294" s="14">
        <f t="shared" si="65"/>
        <v>90200</v>
      </c>
      <c r="H3294" s="13"/>
    </row>
    <row r="3295" spans="1:8" x14ac:dyDescent="0.25">
      <c r="A3295" s="113">
        <v>45220</v>
      </c>
      <c r="B3295" s="21" t="s">
        <v>10909</v>
      </c>
      <c r="C3295" s="13" t="s">
        <v>180</v>
      </c>
      <c r="D3295" s="766" t="s">
        <v>11488</v>
      </c>
      <c r="E3295" s="22">
        <v>148500</v>
      </c>
      <c r="F3295" s="19"/>
      <c r="G3295" s="14">
        <f t="shared" si="65"/>
        <v>148500</v>
      </c>
      <c r="H3295" s="13"/>
    </row>
    <row r="3296" spans="1:8" x14ac:dyDescent="0.25">
      <c r="A3296" s="113">
        <v>45220</v>
      </c>
      <c r="B3296" s="21" t="s">
        <v>10232</v>
      </c>
      <c r="C3296" s="13" t="s">
        <v>180</v>
      </c>
      <c r="D3296" s="766" t="s">
        <v>11489</v>
      </c>
      <c r="E3296" s="22">
        <v>89600</v>
      </c>
      <c r="F3296" s="19"/>
      <c r="G3296" s="14">
        <f t="shared" si="65"/>
        <v>89600</v>
      </c>
      <c r="H3296" s="13"/>
    </row>
    <row r="3297" spans="1:8" x14ac:dyDescent="0.25">
      <c r="A3297" s="113">
        <v>45223</v>
      </c>
      <c r="B3297" s="21" t="s">
        <v>11446</v>
      </c>
      <c r="C3297" s="13" t="s">
        <v>8394</v>
      </c>
      <c r="D3297" s="766" t="s">
        <v>11495</v>
      </c>
      <c r="E3297" s="22">
        <v>186677</v>
      </c>
      <c r="F3297" s="19"/>
      <c r="G3297" s="14">
        <f t="shared" si="65"/>
        <v>186677</v>
      </c>
      <c r="H3297" s="13"/>
    </row>
    <row r="3298" spans="1:8" x14ac:dyDescent="0.25">
      <c r="A3298" s="113">
        <v>45223</v>
      </c>
      <c r="B3298" s="21" t="s">
        <v>10471</v>
      </c>
      <c r="C3298" s="13" t="s">
        <v>168</v>
      </c>
      <c r="D3298" s="766" t="s">
        <v>11480</v>
      </c>
      <c r="E3298" s="22">
        <v>55094</v>
      </c>
      <c r="F3298" s="19"/>
      <c r="G3298" s="14">
        <f t="shared" si="65"/>
        <v>55094</v>
      </c>
      <c r="H3298" s="13"/>
    </row>
    <row r="3299" spans="1:8" x14ac:dyDescent="0.25">
      <c r="A3299" s="113">
        <v>45223</v>
      </c>
      <c r="B3299" s="21" t="s">
        <v>10909</v>
      </c>
      <c r="C3299" s="13" t="s">
        <v>12282</v>
      </c>
      <c r="D3299" s="766" t="s">
        <v>11481</v>
      </c>
      <c r="E3299" s="22">
        <v>602000</v>
      </c>
      <c r="F3299" s="19"/>
      <c r="G3299" s="14">
        <f t="shared" si="65"/>
        <v>602000</v>
      </c>
      <c r="H3299" s="13" t="s">
        <v>11482</v>
      </c>
    </row>
    <row r="3300" spans="1:8" x14ac:dyDescent="0.25">
      <c r="A3300" s="113">
        <v>45223</v>
      </c>
      <c r="B3300" s="21" t="s">
        <v>9986</v>
      </c>
      <c r="C3300" s="13" t="s">
        <v>166</v>
      </c>
      <c r="D3300" s="766" t="s">
        <v>11483</v>
      </c>
      <c r="E3300" s="22">
        <v>20485</v>
      </c>
      <c r="F3300" s="19"/>
      <c r="G3300" s="14">
        <f t="shared" si="65"/>
        <v>20485</v>
      </c>
      <c r="H3300" s="13"/>
    </row>
    <row r="3301" spans="1:8" x14ac:dyDescent="0.25">
      <c r="A3301" s="113">
        <v>45224</v>
      </c>
      <c r="B3301" s="21" t="s">
        <v>11446</v>
      </c>
      <c r="C3301" s="13" t="s">
        <v>166</v>
      </c>
      <c r="D3301" s="766" t="s">
        <v>11484</v>
      </c>
      <c r="E3301" s="22">
        <v>101145</v>
      </c>
      <c r="F3301" s="19"/>
      <c r="G3301" s="14">
        <f t="shared" si="65"/>
        <v>101145</v>
      </c>
      <c r="H3301" s="13"/>
    </row>
    <row r="3302" spans="1:8" x14ac:dyDescent="0.25">
      <c r="A3302" s="113">
        <v>45224</v>
      </c>
      <c r="B3302" s="21" t="s">
        <v>10571</v>
      </c>
      <c r="C3302" s="13" t="s">
        <v>168</v>
      </c>
      <c r="D3302" s="766" t="s">
        <v>11590</v>
      </c>
      <c r="E3302" s="22">
        <v>55000</v>
      </c>
      <c r="F3302" s="19"/>
      <c r="G3302" s="14">
        <f t="shared" si="65"/>
        <v>55000</v>
      </c>
      <c r="H3302" s="13" t="s">
        <v>11591</v>
      </c>
    </row>
    <row r="3303" spans="1:8" x14ac:dyDescent="0.25">
      <c r="A3303" s="113">
        <v>45225</v>
      </c>
      <c r="B3303" s="21" t="s">
        <v>11446</v>
      </c>
      <c r="C3303" s="13" t="s">
        <v>8394</v>
      </c>
      <c r="D3303" s="766" t="s">
        <v>11496</v>
      </c>
      <c r="E3303" s="22">
        <v>251153</v>
      </c>
      <c r="F3303" s="19"/>
      <c r="G3303" s="14">
        <f t="shared" si="65"/>
        <v>251153</v>
      </c>
      <c r="H3303" s="13"/>
    </row>
    <row r="3304" spans="1:8" x14ac:dyDescent="0.25">
      <c r="A3304" s="113">
        <v>45225</v>
      </c>
      <c r="B3304" s="21" t="s">
        <v>10296</v>
      </c>
      <c r="C3304" s="13" t="s">
        <v>8394</v>
      </c>
      <c r="D3304" s="766" t="s">
        <v>11497</v>
      </c>
      <c r="E3304" s="22">
        <v>25780</v>
      </c>
      <c r="F3304" s="19"/>
      <c r="G3304" s="14">
        <f t="shared" si="65"/>
        <v>25780</v>
      </c>
      <c r="H3304" s="13"/>
    </row>
    <row r="3305" spans="1:8" x14ac:dyDescent="0.25">
      <c r="A3305" s="113">
        <v>45225</v>
      </c>
      <c r="B3305" s="21" t="s">
        <v>10471</v>
      </c>
      <c r="C3305" s="13" t="s">
        <v>166</v>
      </c>
      <c r="D3305" s="766" t="s">
        <v>11485</v>
      </c>
      <c r="E3305" s="22">
        <v>18060</v>
      </c>
      <c r="F3305" s="19"/>
      <c r="G3305" s="14">
        <f t="shared" si="65"/>
        <v>18060</v>
      </c>
      <c r="H3305" s="13"/>
    </row>
    <row r="3306" spans="1:8" x14ac:dyDescent="0.25">
      <c r="A3306" s="113">
        <v>45225</v>
      </c>
      <c r="B3306" s="21" t="s">
        <v>10232</v>
      </c>
      <c r="C3306" s="13" t="s">
        <v>166</v>
      </c>
      <c r="D3306" s="766" t="s">
        <v>11486</v>
      </c>
      <c r="E3306" s="22">
        <v>15980</v>
      </c>
      <c r="F3306" s="19"/>
      <c r="G3306" s="14">
        <f t="shared" si="65"/>
        <v>15980</v>
      </c>
      <c r="H3306" s="13"/>
    </row>
    <row r="3307" spans="1:8" x14ac:dyDescent="0.25">
      <c r="A3307" s="113">
        <v>45225</v>
      </c>
      <c r="B3307" s="21" t="s">
        <v>10471</v>
      </c>
      <c r="C3307" s="13" t="s">
        <v>166</v>
      </c>
      <c r="D3307" s="766" t="s">
        <v>11487</v>
      </c>
      <c r="E3307" s="22">
        <v>8670</v>
      </c>
      <c r="F3307" s="19"/>
      <c r="G3307" s="14">
        <f t="shared" si="65"/>
        <v>8670</v>
      </c>
      <c r="H3307" s="13"/>
    </row>
    <row r="3308" spans="1:8" x14ac:dyDescent="0.25">
      <c r="A3308" s="113">
        <v>45225</v>
      </c>
      <c r="B3308" s="21" t="s">
        <v>10909</v>
      </c>
      <c r="C3308" s="13" t="s">
        <v>5187</v>
      </c>
      <c r="D3308" s="766" t="s">
        <v>12267</v>
      </c>
      <c r="E3308" s="22">
        <v>416400</v>
      </c>
      <c r="F3308" s="19"/>
      <c r="G3308" s="14">
        <f t="shared" si="65"/>
        <v>416400</v>
      </c>
      <c r="H3308" s="13"/>
    </row>
    <row r="3309" spans="1:8" x14ac:dyDescent="0.25">
      <c r="A3309" s="113">
        <v>45225</v>
      </c>
      <c r="B3309" s="21" t="s">
        <v>10232</v>
      </c>
      <c r="C3309" s="13" t="s">
        <v>164</v>
      </c>
      <c r="D3309" s="766" t="s">
        <v>11492</v>
      </c>
      <c r="E3309" s="22">
        <v>7240</v>
      </c>
      <c r="F3309" s="19"/>
      <c r="G3309" s="14">
        <f t="shared" si="65"/>
        <v>7240</v>
      </c>
      <c r="H3309" s="13"/>
    </row>
    <row r="3310" spans="1:8" x14ac:dyDescent="0.25">
      <c r="A3310" s="113">
        <v>45226</v>
      </c>
      <c r="B3310" s="21" t="s">
        <v>10576</v>
      </c>
      <c r="C3310" s="13" t="s">
        <v>8394</v>
      </c>
      <c r="D3310" s="766" t="s">
        <v>11498</v>
      </c>
      <c r="E3310" s="22">
        <v>82305</v>
      </c>
      <c r="F3310" s="19"/>
      <c r="G3310" s="14">
        <f t="shared" si="65"/>
        <v>82305</v>
      </c>
      <c r="H3310" s="13"/>
    </row>
    <row r="3311" spans="1:8" x14ac:dyDescent="0.25">
      <c r="A3311" s="113">
        <v>45226</v>
      </c>
      <c r="B3311" s="21" t="s">
        <v>10909</v>
      </c>
      <c r="C3311" s="13" t="s">
        <v>8394</v>
      </c>
      <c r="D3311" s="766" t="s">
        <v>11499</v>
      </c>
      <c r="E3311" s="22">
        <v>43922</v>
      </c>
      <c r="F3311" s="19"/>
      <c r="G3311" s="14">
        <f t="shared" si="65"/>
        <v>43922</v>
      </c>
      <c r="H3311" s="13"/>
    </row>
    <row r="3312" spans="1:8" x14ac:dyDescent="0.25">
      <c r="A3312" s="113">
        <v>45227</v>
      </c>
      <c r="B3312" s="21" t="s">
        <v>11446</v>
      </c>
      <c r="C3312" s="13" t="s">
        <v>164</v>
      </c>
      <c r="D3312" s="766" t="s">
        <v>11493</v>
      </c>
      <c r="E3312" s="22">
        <v>40947</v>
      </c>
      <c r="F3312" s="22"/>
      <c r="G3312" s="14">
        <f t="shared" si="65"/>
        <v>40947</v>
      </c>
      <c r="H3312" s="13"/>
    </row>
    <row r="3313" spans="1:10" x14ac:dyDescent="0.25">
      <c r="A3313" s="113">
        <v>45227</v>
      </c>
      <c r="B3313" s="21" t="s">
        <v>10379</v>
      </c>
      <c r="C3313" s="13" t="s">
        <v>5681</v>
      </c>
      <c r="D3313" s="766"/>
      <c r="E3313" s="22"/>
      <c r="F3313" s="19">
        <v>200000</v>
      </c>
      <c r="G3313" s="14">
        <f t="shared" si="65"/>
        <v>-200000</v>
      </c>
      <c r="H3313" s="13" t="s">
        <v>11500</v>
      </c>
    </row>
    <row r="3314" spans="1:10" x14ac:dyDescent="0.25">
      <c r="A3314" s="113">
        <v>45227</v>
      </c>
      <c r="B3314" s="21" t="s">
        <v>10151</v>
      </c>
      <c r="C3314" s="13" t="s">
        <v>5681</v>
      </c>
      <c r="D3314" s="766"/>
      <c r="E3314" s="22"/>
      <c r="F3314" s="19">
        <v>9400</v>
      </c>
      <c r="G3314" s="14">
        <f t="shared" si="65"/>
        <v>-9400</v>
      </c>
      <c r="H3314" s="13" t="s">
        <v>11370</v>
      </c>
    </row>
    <row r="3315" spans="1:10" x14ac:dyDescent="0.25">
      <c r="A3315" s="113">
        <v>45227</v>
      </c>
      <c r="B3315" s="21" t="s">
        <v>9769</v>
      </c>
      <c r="C3315" s="13" t="s">
        <v>5681</v>
      </c>
      <c r="D3315" s="766"/>
      <c r="E3315" s="22"/>
      <c r="F3315" s="19">
        <v>57000</v>
      </c>
      <c r="G3315" s="14">
        <f t="shared" si="65"/>
        <v>-57000</v>
      </c>
      <c r="H3315" s="13" t="s">
        <v>11370</v>
      </c>
      <c r="J3315" s="128"/>
    </row>
    <row r="3316" spans="1:10" x14ac:dyDescent="0.25">
      <c r="A3316" s="113">
        <v>45227</v>
      </c>
      <c r="B3316" s="21" t="s">
        <v>10471</v>
      </c>
      <c r="C3316" s="13" t="s">
        <v>5681</v>
      </c>
      <c r="D3316" s="766"/>
      <c r="E3316" s="22"/>
      <c r="F3316" s="19">
        <v>1500</v>
      </c>
      <c r="G3316" s="14">
        <f t="shared" si="65"/>
        <v>-1500</v>
      </c>
      <c r="H3316" s="13" t="s">
        <v>11370</v>
      </c>
    </row>
    <row r="3317" spans="1:10" x14ac:dyDescent="0.25">
      <c r="A3317" s="113">
        <v>45229</v>
      </c>
      <c r="B3317" s="21" t="s">
        <v>10232</v>
      </c>
      <c r="C3317" s="13" t="s">
        <v>7467</v>
      </c>
      <c r="D3317" s="766" t="s">
        <v>11573</v>
      </c>
      <c r="E3317" s="22">
        <v>437436</v>
      </c>
      <c r="F3317" s="19"/>
      <c r="G3317" s="14">
        <f t="shared" si="65"/>
        <v>437436</v>
      </c>
      <c r="H3317" s="13"/>
    </row>
    <row r="3318" spans="1:10" x14ac:dyDescent="0.25">
      <c r="A3318" s="113">
        <v>45229</v>
      </c>
      <c r="B3318" s="21" t="s">
        <v>11446</v>
      </c>
      <c r="C3318" s="13" t="s">
        <v>8394</v>
      </c>
      <c r="D3318" s="766" t="s">
        <v>11588</v>
      </c>
      <c r="E3318" s="22">
        <v>83101</v>
      </c>
      <c r="F3318" s="19"/>
      <c r="G3318" s="14">
        <f t="shared" si="65"/>
        <v>83101</v>
      </c>
      <c r="H3318" s="13"/>
    </row>
    <row r="3319" spans="1:10" x14ac:dyDescent="0.25">
      <c r="A3319" s="113">
        <v>45230</v>
      </c>
      <c r="B3319" s="21" t="s">
        <v>11075</v>
      </c>
      <c r="C3319" s="13" t="s">
        <v>7467</v>
      </c>
      <c r="D3319" s="766" t="s">
        <v>11574</v>
      </c>
      <c r="E3319" s="22">
        <v>43900</v>
      </c>
      <c r="F3319" s="19"/>
      <c r="G3319" s="14">
        <f t="shared" si="65"/>
        <v>43900</v>
      </c>
      <c r="H3319" s="13"/>
    </row>
    <row r="3320" spans="1:10" x14ac:dyDescent="0.25">
      <c r="A3320" s="113">
        <v>45230</v>
      </c>
      <c r="B3320" s="21" t="s">
        <v>10232</v>
      </c>
      <c r="C3320" s="13" t="s">
        <v>8394</v>
      </c>
      <c r="D3320" s="766" t="s">
        <v>11589</v>
      </c>
      <c r="E3320" s="22">
        <v>48244</v>
      </c>
      <c r="F3320" s="19"/>
      <c r="G3320" s="14">
        <f t="shared" si="65"/>
        <v>48244</v>
      </c>
      <c r="H3320" s="13"/>
    </row>
    <row r="3321" spans="1:10" x14ac:dyDescent="0.25">
      <c r="A3321" s="113">
        <v>45230</v>
      </c>
      <c r="B3321" s="21" t="s">
        <v>9986</v>
      </c>
      <c r="C3321" s="13" t="s">
        <v>166</v>
      </c>
      <c r="D3321" s="766" t="s">
        <v>11784</v>
      </c>
      <c r="E3321" s="22">
        <v>13200</v>
      </c>
      <c r="F3321" s="19"/>
      <c r="G3321" s="14">
        <f t="shared" si="65"/>
        <v>13200</v>
      </c>
      <c r="H3321" s="13"/>
    </row>
    <row r="3322" spans="1:10" x14ac:dyDescent="0.25">
      <c r="A3322" s="113">
        <v>45231</v>
      </c>
      <c r="B3322" s="21" t="s">
        <v>9356</v>
      </c>
      <c r="C3322" s="13" t="s">
        <v>7467</v>
      </c>
      <c r="D3322" s="766"/>
      <c r="E3322" s="22"/>
      <c r="F3322" s="19">
        <v>350000</v>
      </c>
      <c r="G3322" s="14">
        <f t="shared" si="65"/>
        <v>-350000</v>
      </c>
      <c r="H3322" s="13" t="s">
        <v>11540</v>
      </c>
    </row>
    <row r="3323" spans="1:10" x14ac:dyDescent="0.25">
      <c r="A3323" s="113">
        <v>45231</v>
      </c>
      <c r="B3323" s="21" t="s">
        <v>9356</v>
      </c>
      <c r="C3323" s="13" t="s">
        <v>7467</v>
      </c>
      <c r="D3323" s="766"/>
      <c r="E3323" s="22"/>
      <c r="F3323" s="19">
        <v>350000</v>
      </c>
      <c r="G3323" s="14">
        <f t="shared" si="65"/>
        <v>-350000</v>
      </c>
      <c r="H3323" s="13" t="s">
        <v>11541</v>
      </c>
    </row>
    <row r="3324" spans="1:10" x14ac:dyDescent="0.25">
      <c r="A3324" s="113">
        <v>45231</v>
      </c>
      <c r="B3324" s="21" t="s">
        <v>10576</v>
      </c>
      <c r="C3324" s="13" t="s">
        <v>7467</v>
      </c>
      <c r="D3324" s="766" t="s">
        <v>11576</v>
      </c>
      <c r="E3324" s="22">
        <v>168867</v>
      </c>
      <c r="F3324" s="19"/>
      <c r="G3324" s="14">
        <f t="shared" si="65"/>
        <v>168867</v>
      </c>
      <c r="H3324" s="13"/>
    </row>
    <row r="3325" spans="1:10" x14ac:dyDescent="0.25">
      <c r="A3325" s="113">
        <v>45231</v>
      </c>
      <c r="B3325" s="21" t="s">
        <v>9967</v>
      </c>
      <c r="C3325" s="13" t="s">
        <v>164</v>
      </c>
      <c r="D3325" s="766" t="s">
        <v>11592</v>
      </c>
      <c r="E3325" s="22">
        <v>3140</v>
      </c>
      <c r="F3325" s="110"/>
      <c r="G3325" s="14">
        <f t="shared" si="65"/>
        <v>3140</v>
      </c>
      <c r="H3325" s="13"/>
    </row>
    <row r="3326" spans="1:10" x14ac:dyDescent="0.25">
      <c r="A3326" s="113">
        <v>45232</v>
      </c>
      <c r="B3326" s="21" t="s">
        <v>11075</v>
      </c>
      <c r="C3326" s="13" t="s">
        <v>8394</v>
      </c>
      <c r="D3326" s="766" t="s">
        <v>11652</v>
      </c>
      <c r="E3326" s="22">
        <v>75122</v>
      </c>
      <c r="F3326" s="110"/>
      <c r="G3326" s="14">
        <f t="shared" si="65"/>
        <v>75122</v>
      </c>
      <c r="H3326" s="13"/>
    </row>
    <row r="3327" spans="1:10" ht="16.5" thickBot="1" x14ac:dyDescent="0.3">
      <c r="A3327" s="113">
        <v>45233</v>
      </c>
      <c r="B3327" s="21" t="s">
        <v>9356</v>
      </c>
      <c r="C3327" s="13" t="s">
        <v>7467</v>
      </c>
      <c r="D3327" s="766"/>
      <c r="E3327" s="22"/>
      <c r="F3327" s="110">
        <v>350000</v>
      </c>
      <c r="G3327" s="14">
        <f t="shared" si="65"/>
        <v>-350000</v>
      </c>
      <c r="H3327" s="13" t="s">
        <v>11547</v>
      </c>
    </row>
    <row r="3328" spans="1:10" x14ac:dyDescent="0.25">
      <c r="A3328" s="113">
        <v>45233</v>
      </c>
      <c r="B3328" s="21" t="s">
        <v>9356</v>
      </c>
      <c r="C3328" s="13" t="s">
        <v>7467</v>
      </c>
      <c r="D3328" s="766"/>
      <c r="E3328" s="783"/>
      <c r="F3328" s="785">
        <f>350000-F3329</f>
        <v>176319</v>
      </c>
      <c r="G3328" s="784">
        <f t="shared" si="65"/>
        <v>-176319</v>
      </c>
      <c r="H3328" s="1220" t="s">
        <v>11578</v>
      </c>
    </row>
    <row r="3329" spans="1:8" ht="16.5" thickBot="1" x14ac:dyDescent="0.3">
      <c r="A3329" s="113">
        <v>45233</v>
      </c>
      <c r="B3329" s="21" t="s">
        <v>11075</v>
      </c>
      <c r="C3329" s="13" t="s">
        <v>7467</v>
      </c>
      <c r="D3329" s="766"/>
      <c r="E3329" s="783"/>
      <c r="F3329" s="786">
        <v>173681</v>
      </c>
      <c r="G3329" s="784">
        <f t="shared" si="65"/>
        <v>-173681</v>
      </c>
      <c r="H3329" s="1222"/>
    </row>
    <row r="3330" spans="1:8" x14ac:dyDescent="0.25">
      <c r="A3330" s="113">
        <v>45233</v>
      </c>
      <c r="B3330" s="21" t="s">
        <v>10576</v>
      </c>
      <c r="C3330" s="13" t="s">
        <v>9080</v>
      </c>
      <c r="D3330" s="766"/>
      <c r="E3330" s="22"/>
      <c r="F3330" s="112">
        <v>400000</v>
      </c>
      <c r="G3330" s="14">
        <f t="shared" si="65"/>
        <v>-400000</v>
      </c>
      <c r="H3330" s="13" t="s">
        <v>11549</v>
      </c>
    </row>
    <row r="3331" spans="1:8" x14ac:dyDescent="0.25">
      <c r="A3331" s="113">
        <v>45233</v>
      </c>
      <c r="B3331" s="21" t="s">
        <v>10576</v>
      </c>
      <c r="C3331" s="13" t="s">
        <v>9080</v>
      </c>
      <c r="D3331" s="766"/>
      <c r="E3331" s="22"/>
      <c r="F3331" s="19">
        <v>485000</v>
      </c>
      <c r="G3331" s="14">
        <f t="shared" si="65"/>
        <v>-485000</v>
      </c>
      <c r="H3331" s="13" t="s">
        <v>11550</v>
      </c>
    </row>
    <row r="3332" spans="1:8" x14ac:dyDescent="0.25">
      <c r="A3332" s="113">
        <v>45233</v>
      </c>
      <c r="B3332" s="21" t="s">
        <v>10576</v>
      </c>
      <c r="C3332" s="13" t="s">
        <v>7467</v>
      </c>
      <c r="D3332" s="766" t="s">
        <v>11577</v>
      </c>
      <c r="E3332" s="22">
        <v>224668</v>
      </c>
      <c r="F3332" s="19"/>
      <c r="G3332" s="14">
        <f t="shared" si="65"/>
        <v>224668</v>
      </c>
      <c r="H3332" s="13"/>
    </row>
    <row r="3333" spans="1:8" x14ac:dyDescent="0.25">
      <c r="A3333" s="113">
        <v>45233</v>
      </c>
      <c r="B3333" s="21" t="s">
        <v>10232</v>
      </c>
      <c r="C3333" s="13" t="s">
        <v>7467</v>
      </c>
      <c r="D3333" s="766" t="s">
        <v>11575</v>
      </c>
      <c r="E3333" s="22">
        <v>32000</v>
      </c>
      <c r="F3333" s="19"/>
      <c r="G3333" s="14">
        <f t="shared" si="65"/>
        <v>32000</v>
      </c>
      <c r="H3333" s="13"/>
    </row>
    <row r="3334" spans="1:8" x14ac:dyDescent="0.25">
      <c r="A3334" s="113">
        <v>45233</v>
      </c>
      <c r="B3334" s="21" t="s">
        <v>10909</v>
      </c>
      <c r="C3334" s="13" t="s">
        <v>166</v>
      </c>
      <c r="D3334" s="766" t="s">
        <v>11785</v>
      </c>
      <c r="E3334" s="22">
        <v>9240</v>
      </c>
      <c r="F3334" s="19"/>
      <c r="G3334" s="14">
        <f t="shared" si="65"/>
        <v>9240</v>
      </c>
      <c r="H3334" s="13"/>
    </row>
    <row r="3335" spans="1:8" x14ac:dyDescent="0.25">
      <c r="A3335" s="113">
        <v>45233</v>
      </c>
      <c r="B3335" s="21" t="s">
        <v>10909</v>
      </c>
      <c r="C3335" s="13" t="s">
        <v>12496</v>
      </c>
      <c r="D3335" s="766" t="s">
        <v>12497</v>
      </c>
      <c r="E3335" s="22">
        <v>1724483</v>
      </c>
      <c r="F3335" s="19"/>
      <c r="G3335" s="14">
        <f t="shared" si="65"/>
        <v>1724483</v>
      </c>
      <c r="H3335" s="13"/>
    </row>
    <row r="3336" spans="1:8" x14ac:dyDescent="0.25">
      <c r="A3336" s="113">
        <v>45234</v>
      </c>
      <c r="B3336" s="21" t="s">
        <v>10576</v>
      </c>
      <c r="C3336" s="13" t="s">
        <v>8394</v>
      </c>
      <c r="D3336" s="766"/>
      <c r="E3336" s="22"/>
      <c r="F3336" s="19">
        <v>1300000</v>
      </c>
      <c r="G3336" s="14">
        <f t="shared" si="65"/>
        <v>-1300000</v>
      </c>
      <c r="H3336" s="13" t="s">
        <v>11436</v>
      </c>
    </row>
    <row r="3337" spans="1:8" x14ac:dyDescent="0.25">
      <c r="A3337" s="113">
        <v>45234</v>
      </c>
      <c r="B3337" s="21" t="s">
        <v>10576</v>
      </c>
      <c r="C3337" s="13" t="s">
        <v>8394</v>
      </c>
      <c r="D3337" s="766" t="s">
        <v>11653</v>
      </c>
      <c r="E3337" s="22">
        <v>85030</v>
      </c>
      <c r="F3337" s="19"/>
      <c r="G3337" s="14">
        <f t="shared" si="65"/>
        <v>85030</v>
      </c>
      <c r="H3337" s="13"/>
    </row>
    <row r="3338" spans="1:8" x14ac:dyDescent="0.25">
      <c r="A3338" s="113">
        <v>45234</v>
      </c>
      <c r="B3338" s="21" t="s">
        <v>11446</v>
      </c>
      <c r="C3338" s="13" t="s">
        <v>8394</v>
      </c>
      <c r="D3338" s="766" t="s">
        <v>11654</v>
      </c>
      <c r="E3338" s="22">
        <v>33426</v>
      </c>
      <c r="F3338" s="19"/>
      <c r="G3338" s="14">
        <f t="shared" si="65"/>
        <v>33426</v>
      </c>
      <c r="H3338" s="13"/>
    </row>
    <row r="3339" spans="1:8" x14ac:dyDescent="0.25">
      <c r="A3339" s="113">
        <v>45234</v>
      </c>
      <c r="B3339" s="21" t="s">
        <v>11271</v>
      </c>
      <c r="C3339" s="13" t="s">
        <v>168</v>
      </c>
      <c r="D3339" s="766" t="s">
        <v>11658</v>
      </c>
      <c r="E3339" s="22">
        <v>19640</v>
      </c>
      <c r="F3339" s="19"/>
      <c r="G3339" s="14">
        <f t="shared" si="65"/>
        <v>19640</v>
      </c>
      <c r="H3339" s="13"/>
    </row>
    <row r="3340" spans="1:8" x14ac:dyDescent="0.25">
      <c r="A3340" s="113">
        <v>45236</v>
      </c>
      <c r="B3340" s="21" t="s">
        <v>10232</v>
      </c>
      <c r="C3340" s="13" t="s">
        <v>7467</v>
      </c>
      <c r="D3340" s="766" t="s">
        <v>11649</v>
      </c>
      <c r="E3340" s="22">
        <v>32000</v>
      </c>
      <c r="F3340" s="19"/>
      <c r="G3340" s="14">
        <f t="shared" si="65"/>
        <v>32000</v>
      </c>
      <c r="H3340" s="13"/>
    </row>
    <row r="3341" spans="1:8" x14ac:dyDescent="0.25">
      <c r="A3341" s="113">
        <v>45236</v>
      </c>
      <c r="B3341" s="21" t="s">
        <v>11446</v>
      </c>
      <c r="C3341" s="13" t="s">
        <v>166</v>
      </c>
      <c r="D3341" s="766" t="s">
        <v>11786</v>
      </c>
      <c r="E3341" s="22">
        <v>36420</v>
      </c>
      <c r="F3341" s="19"/>
      <c r="G3341" s="14">
        <f t="shared" si="65"/>
        <v>36420</v>
      </c>
      <c r="H3341" s="13"/>
    </row>
    <row r="3342" spans="1:8" x14ac:dyDescent="0.25">
      <c r="A3342" s="113">
        <v>45237</v>
      </c>
      <c r="B3342" s="21" t="s">
        <v>10909</v>
      </c>
      <c r="C3342" s="13" t="s">
        <v>7467</v>
      </c>
      <c r="D3342" s="766" t="s">
        <v>11650</v>
      </c>
      <c r="E3342" s="22">
        <v>32600</v>
      </c>
      <c r="F3342" s="19"/>
      <c r="G3342" s="14">
        <f t="shared" si="65"/>
        <v>32600</v>
      </c>
      <c r="H3342" s="13"/>
    </row>
    <row r="3343" spans="1:8" x14ac:dyDescent="0.25">
      <c r="A3343" s="113">
        <v>45237</v>
      </c>
      <c r="B3343" s="21" t="s">
        <v>10232</v>
      </c>
      <c r="C3343" s="13" t="s">
        <v>8394</v>
      </c>
      <c r="D3343" s="766" t="s">
        <v>11655</v>
      </c>
      <c r="E3343" s="22">
        <v>203960</v>
      </c>
      <c r="F3343" s="19"/>
      <c r="G3343" s="14">
        <f t="shared" si="65"/>
        <v>203960</v>
      </c>
      <c r="H3343" s="13"/>
    </row>
    <row r="3344" spans="1:8" x14ac:dyDescent="0.25">
      <c r="A3344" s="113">
        <v>45237</v>
      </c>
      <c r="B3344" s="21" t="s">
        <v>10909</v>
      </c>
      <c r="C3344" s="13" t="s">
        <v>8394</v>
      </c>
      <c r="D3344" s="766" t="s">
        <v>11656</v>
      </c>
      <c r="E3344" s="22">
        <v>20685</v>
      </c>
      <c r="F3344" s="19"/>
      <c r="G3344" s="14">
        <f t="shared" si="65"/>
        <v>20685</v>
      </c>
      <c r="H3344" s="13"/>
    </row>
    <row r="3345" spans="1:8" x14ac:dyDescent="0.25">
      <c r="A3345" s="113">
        <v>45237</v>
      </c>
      <c r="B3345" s="21" t="s">
        <v>10576</v>
      </c>
      <c r="C3345" s="13" t="s">
        <v>168</v>
      </c>
      <c r="D3345" s="766" t="s">
        <v>11708</v>
      </c>
      <c r="E3345" s="22">
        <v>74282</v>
      </c>
      <c r="F3345" s="19"/>
      <c r="G3345" s="14">
        <f t="shared" si="65"/>
        <v>74282</v>
      </c>
      <c r="H3345" s="13"/>
    </row>
    <row r="3346" spans="1:8" x14ac:dyDescent="0.25">
      <c r="A3346" s="113">
        <v>45237</v>
      </c>
      <c r="B3346" s="21" t="s">
        <v>10232</v>
      </c>
      <c r="C3346" s="13" t="s">
        <v>7467</v>
      </c>
      <c r="D3346" s="766"/>
      <c r="E3346" s="22"/>
      <c r="F3346" s="19">
        <v>350000</v>
      </c>
      <c r="G3346" s="14">
        <f t="shared" si="65"/>
        <v>-350000</v>
      </c>
      <c r="H3346" s="13" t="s">
        <v>11648</v>
      </c>
    </row>
    <row r="3347" spans="1:8" x14ac:dyDescent="0.25">
      <c r="A3347" s="113">
        <v>45237</v>
      </c>
      <c r="B3347" s="21" t="s">
        <v>10232</v>
      </c>
      <c r="C3347" s="13" t="s">
        <v>7467</v>
      </c>
      <c r="D3347" s="766"/>
      <c r="E3347" s="22"/>
      <c r="F3347" s="19">
        <v>350000</v>
      </c>
      <c r="G3347" s="14">
        <f t="shared" si="65"/>
        <v>-350000</v>
      </c>
      <c r="H3347" s="13" t="s">
        <v>11647</v>
      </c>
    </row>
    <row r="3348" spans="1:8" x14ac:dyDescent="0.25">
      <c r="A3348" s="113">
        <v>45237</v>
      </c>
      <c r="B3348" s="21" t="s">
        <v>9986</v>
      </c>
      <c r="C3348" s="13" t="s">
        <v>166</v>
      </c>
      <c r="D3348" s="766" t="s">
        <v>11787</v>
      </c>
      <c r="E3348" s="22">
        <v>4515</v>
      </c>
      <c r="F3348" s="19"/>
      <c r="G3348" s="14">
        <f t="shared" si="65"/>
        <v>4515</v>
      </c>
      <c r="H3348" s="13"/>
    </row>
    <row r="3349" spans="1:8" x14ac:dyDescent="0.25">
      <c r="A3349" s="113">
        <v>45237</v>
      </c>
      <c r="B3349" s="21" t="s">
        <v>11271</v>
      </c>
      <c r="C3349" s="13" t="s">
        <v>164</v>
      </c>
      <c r="D3349" s="766" t="s">
        <v>11916</v>
      </c>
      <c r="E3349" s="22">
        <v>1420</v>
      </c>
      <c r="F3349" s="19"/>
      <c r="G3349" s="14">
        <f t="shared" si="65"/>
        <v>1420</v>
      </c>
      <c r="H3349" s="13"/>
    </row>
    <row r="3350" spans="1:8" x14ac:dyDescent="0.25">
      <c r="A3350" s="113">
        <v>45238</v>
      </c>
      <c r="B3350" s="21" t="s">
        <v>10232</v>
      </c>
      <c r="C3350" s="13" t="s">
        <v>164</v>
      </c>
      <c r="D3350" s="766" t="s">
        <v>11923</v>
      </c>
      <c r="E3350" s="22">
        <v>6739</v>
      </c>
      <c r="F3350" s="19"/>
      <c r="G3350" s="14">
        <f t="shared" si="65"/>
        <v>6739</v>
      </c>
      <c r="H3350" s="13"/>
    </row>
    <row r="3351" spans="1:8" x14ac:dyDescent="0.25">
      <c r="A3351" s="113">
        <v>45240</v>
      </c>
      <c r="B3351" s="21" t="s">
        <v>11271</v>
      </c>
      <c r="C3351" s="13" t="s">
        <v>8394</v>
      </c>
      <c r="D3351" s="766" t="s">
        <v>11657</v>
      </c>
      <c r="E3351" s="22">
        <v>13416</v>
      </c>
      <c r="F3351" s="19"/>
      <c r="G3351" s="14">
        <f t="shared" si="65"/>
        <v>13416</v>
      </c>
      <c r="H3351" s="13"/>
    </row>
    <row r="3352" spans="1:8" x14ac:dyDescent="0.25">
      <c r="A3352" s="113">
        <v>45240</v>
      </c>
      <c r="B3352" s="21" t="s">
        <v>10909</v>
      </c>
      <c r="C3352" s="13" t="s">
        <v>12496</v>
      </c>
      <c r="D3352" s="766" t="s">
        <v>8591</v>
      </c>
      <c r="E3352" s="22">
        <v>836282</v>
      </c>
      <c r="F3352" s="19"/>
      <c r="G3352" s="14">
        <f t="shared" si="65"/>
        <v>836282</v>
      </c>
      <c r="H3352" s="13"/>
    </row>
    <row r="3353" spans="1:8" x14ac:dyDescent="0.25">
      <c r="A3353" s="113">
        <v>45240</v>
      </c>
      <c r="B3353" s="21" t="s">
        <v>9986</v>
      </c>
      <c r="C3353" s="13" t="s">
        <v>164</v>
      </c>
      <c r="D3353" s="766" t="s">
        <v>11659</v>
      </c>
      <c r="E3353" s="22">
        <v>168</v>
      </c>
      <c r="F3353" s="19"/>
      <c r="G3353" s="14">
        <f t="shared" si="65"/>
        <v>168</v>
      </c>
      <c r="H3353" s="13"/>
    </row>
    <row r="3354" spans="1:8" x14ac:dyDescent="0.25">
      <c r="A3354" s="113">
        <v>45240</v>
      </c>
      <c r="B3354" s="21" t="s">
        <v>11446</v>
      </c>
      <c r="C3354" s="13" t="s">
        <v>166</v>
      </c>
      <c r="D3354" s="766" t="s">
        <v>11788</v>
      </c>
      <c r="E3354" s="22">
        <v>20875</v>
      </c>
      <c r="F3354" s="19"/>
      <c r="G3354" s="14">
        <f t="shared" si="65"/>
        <v>20875</v>
      </c>
      <c r="H3354" s="13"/>
    </row>
    <row r="3355" spans="1:8" x14ac:dyDescent="0.25">
      <c r="A3355" s="113">
        <v>45241</v>
      </c>
      <c r="B3355" s="21" t="s">
        <v>9832</v>
      </c>
      <c r="C3355" s="13" t="s">
        <v>168</v>
      </c>
      <c r="D3355" s="766" t="s">
        <v>11807</v>
      </c>
      <c r="E3355" s="22">
        <v>98400</v>
      </c>
      <c r="F3355" s="110"/>
      <c r="G3355" s="14">
        <f t="shared" si="65"/>
        <v>98400</v>
      </c>
      <c r="H3355" s="13"/>
    </row>
    <row r="3356" spans="1:8" x14ac:dyDescent="0.25">
      <c r="A3356" s="113">
        <v>45241</v>
      </c>
      <c r="B3356" s="21" t="s">
        <v>10296</v>
      </c>
      <c r="C3356" s="13" t="s">
        <v>7467</v>
      </c>
      <c r="D3356" s="766" t="s">
        <v>11651</v>
      </c>
      <c r="E3356" s="22">
        <v>43900</v>
      </c>
      <c r="F3356" s="19"/>
      <c r="G3356" s="14">
        <f t="shared" si="65"/>
        <v>43900</v>
      </c>
      <c r="H3356" s="13"/>
    </row>
    <row r="3357" spans="1:8" x14ac:dyDescent="0.25">
      <c r="A3357" s="113">
        <v>45241</v>
      </c>
      <c r="B3357" s="21" t="s">
        <v>10576</v>
      </c>
      <c r="C3357" s="13" t="s">
        <v>168</v>
      </c>
      <c r="D3357" s="766" t="s">
        <v>11709</v>
      </c>
      <c r="E3357" s="22">
        <v>386760</v>
      </c>
      <c r="F3357" s="19"/>
      <c r="G3357" s="14">
        <f t="shared" si="65"/>
        <v>386760</v>
      </c>
      <c r="H3357" s="13"/>
    </row>
    <row r="3358" spans="1:8" x14ac:dyDescent="0.25">
      <c r="A3358" s="113">
        <v>45241</v>
      </c>
      <c r="B3358" s="21" t="s">
        <v>10576</v>
      </c>
      <c r="C3358" s="13" t="s">
        <v>180</v>
      </c>
      <c r="D3358" s="766" t="s">
        <v>11719</v>
      </c>
      <c r="E3358" s="22">
        <v>62400</v>
      </c>
      <c r="F3358" s="19"/>
      <c r="G3358" s="14">
        <f t="shared" si="65"/>
        <v>62400</v>
      </c>
      <c r="H3358" s="13"/>
    </row>
    <row r="3359" spans="1:8" x14ac:dyDescent="0.25">
      <c r="A3359" s="113">
        <v>45243</v>
      </c>
      <c r="B3359" s="21" t="s">
        <v>10576</v>
      </c>
      <c r="C3359" s="13" t="s">
        <v>8394</v>
      </c>
      <c r="D3359" s="766" t="s">
        <v>11714</v>
      </c>
      <c r="E3359" s="22">
        <v>61469</v>
      </c>
      <c r="F3359" s="19"/>
      <c r="G3359" s="14">
        <f t="shared" si="65"/>
        <v>61469</v>
      </c>
      <c r="H3359" s="13"/>
    </row>
    <row r="3360" spans="1:8" x14ac:dyDescent="0.25">
      <c r="A3360" s="113">
        <v>45243</v>
      </c>
      <c r="B3360" s="21" t="s">
        <v>11446</v>
      </c>
      <c r="C3360" s="13" t="s">
        <v>164</v>
      </c>
      <c r="D3360" s="766" t="s">
        <v>11917</v>
      </c>
      <c r="E3360" s="22">
        <v>11157</v>
      </c>
      <c r="F3360" s="19"/>
      <c r="G3360" s="14">
        <f t="shared" si="65"/>
        <v>11157</v>
      </c>
      <c r="H3360" s="13"/>
    </row>
    <row r="3361" spans="1:8" x14ac:dyDescent="0.25">
      <c r="A3361" s="113">
        <v>45243</v>
      </c>
      <c r="B3361" s="21" t="s">
        <v>10909</v>
      </c>
      <c r="C3361" s="13" t="s">
        <v>5187</v>
      </c>
      <c r="D3361" s="766" t="s">
        <v>12273</v>
      </c>
      <c r="E3361" s="22">
        <v>135900</v>
      </c>
      <c r="F3361" s="19"/>
      <c r="G3361" s="14">
        <f t="shared" si="65"/>
        <v>135900</v>
      </c>
      <c r="H3361" s="13" t="s">
        <v>12275</v>
      </c>
    </row>
    <row r="3362" spans="1:8" x14ac:dyDescent="0.25">
      <c r="A3362" s="113">
        <v>45243</v>
      </c>
      <c r="B3362" s="21" t="s">
        <v>10909</v>
      </c>
      <c r="C3362" s="13" t="s">
        <v>12496</v>
      </c>
      <c r="D3362" s="766" t="s">
        <v>8046</v>
      </c>
      <c r="E3362" s="22">
        <v>417642</v>
      </c>
      <c r="F3362" s="19"/>
      <c r="G3362" s="14">
        <f t="shared" si="65"/>
        <v>417642</v>
      </c>
      <c r="H3362" s="13"/>
    </row>
    <row r="3363" spans="1:8" ht="17.25" customHeight="1" x14ac:dyDescent="0.25">
      <c r="A3363" s="113">
        <v>45243</v>
      </c>
      <c r="B3363" s="21" t="s">
        <v>10909</v>
      </c>
      <c r="C3363" s="13" t="s">
        <v>12496</v>
      </c>
      <c r="D3363" s="766" t="s">
        <v>8047</v>
      </c>
      <c r="E3363" s="22">
        <v>20015</v>
      </c>
      <c r="F3363" s="19"/>
      <c r="G3363" s="14">
        <f t="shared" si="65"/>
        <v>20015</v>
      </c>
      <c r="H3363" s="13"/>
    </row>
    <row r="3364" spans="1:8" ht="17.25" customHeight="1" x14ac:dyDescent="0.25">
      <c r="A3364" s="113">
        <v>45243</v>
      </c>
      <c r="B3364" s="21" t="s">
        <v>10909</v>
      </c>
      <c r="C3364" s="13" t="s">
        <v>12496</v>
      </c>
      <c r="D3364" s="766"/>
      <c r="E3364" s="22"/>
      <c r="F3364" s="19">
        <v>20000</v>
      </c>
      <c r="G3364" s="14">
        <f t="shared" si="65"/>
        <v>-20000</v>
      </c>
      <c r="H3364" s="13" t="s">
        <v>10775</v>
      </c>
    </row>
    <row r="3365" spans="1:8" x14ac:dyDescent="0.25">
      <c r="A3365" s="113">
        <v>45243</v>
      </c>
      <c r="B3365" s="21" t="s">
        <v>10909</v>
      </c>
      <c r="C3365" s="13" t="s">
        <v>5187</v>
      </c>
      <c r="D3365" s="766" t="s">
        <v>12274</v>
      </c>
      <c r="E3365" s="22">
        <v>213854.4</v>
      </c>
      <c r="F3365" s="19"/>
      <c r="G3365" s="14">
        <f t="shared" si="65"/>
        <v>213854.4</v>
      </c>
      <c r="H3365" s="13" t="s">
        <v>12275</v>
      </c>
    </row>
    <row r="3366" spans="1:8" x14ac:dyDescent="0.25">
      <c r="A3366" s="113">
        <v>45243</v>
      </c>
      <c r="B3366" s="21" t="s">
        <v>10909</v>
      </c>
      <c r="C3366" s="13" t="s">
        <v>5187</v>
      </c>
      <c r="D3366" s="766"/>
      <c r="E3366" s="22"/>
      <c r="F3366" s="19">
        <v>100000</v>
      </c>
      <c r="G3366" s="14">
        <f t="shared" si="65"/>
        <v>-100000</v>
      </c>
      <c r="H3366" s="13" t="s">
        <v>1157</v>
      </c>
    </row>
    <row r="3367" spans="1:8" x14ac:dyDescent="0.25">
      <c r="A3367" s="113">
        <v>45244</v>
      </c>
      <c r="B3367" s="21" t="s">
        <v>10232</v>
      </c>
      <c r="C3367" s="13" t="s">
        <v>168</v>
      </c>
      <c r="D3367" s="766" t="s">
        <v>11710</v>
      </c>
      <c r="E3367" s="22">
        <v>59680</v>
      </c>
      <c r="F3367" s="19"/>
      <c r="G3367" s="14">
        <f t="shared" si="65"/>
        <v>59680</v>
      </c>
      <c r="H3367" s="13"/>
    </row>
    <row r="3368" spans="1:8" x14ac:dyDescent="0.25">
      <c r="A3368" s="113">
        <v>45244</v>
      </c>
      <c r="B3368" s="21" t="s">
        <v>10576</v>
      </c>
      <c r="C3368" s="13" t="s">
        <v>168</v>
      </c>
      <c r="D3368" s="766" t="s">
        <v>11711</v>
      </c>
      <c r="E3368" s="22">
        <v>67140</v>
      </c>
      <c r="F3368" s="19"/>
      <c r="G3368" s="14">
        <f t="shared" si="65"/>
        <v>67140</v>
      </c>
      <c r="H3368" s="13"/>
    </row>
    <row r="3369" spans="1:8" x14ac:dyDescent="0.25">
      <c r="A3369" s="113">
        <v>45244</v>
      </c>
      <c r="B3369" s="21" t="s">
        <v>10576</v>
      </c>
      <c r="C3369" s="13" t="s">
        <v>7467</v>
      </c>
      <c r="D3369" s="766" t="s">
        <v>11745</v>
      </c>
      <c r="E3369" s="22">
        <v>152867</v>
      </c>
      <c r="F3369" s="19"/>
      <c r="G3369" s="14">
        <f t="shared" si="65"/>
        <v>152867</v>
      </c>
      <c r="H3369" s="13"/>
    </row>
    <row r="3370" spans="1:8" x14ac:dyDescent="0.25">
      <c r="A3370" s="113">
        <v>45245</v>
      </c>
      <c r="B3370" s="21" t="s">
        <v>10576</v>
      </c>
      <c r="C3370" s="13" t="s">
        <v>7467</v>
      </c>
      <c r="D3370" s="766"/>
      <c r="E3370" s="22"/>
      <c r="F3370" s="19">
        <v>350000</v>
      </c>
      <c r="G3370" s="14">
        <f t="shared" si="65"/>
        <v>-350000</v>
      </c>
      <c r="H3370" s="13" t="s">
        <v>11679</v>
      </c>
    </row>
    <row r="3371" spans="1:8" x14ac:dyDescent="0.25">
      <c r="A3371" s="113">
        <v>45245</v>
      </c>
      <c r="B3371" s="21" t="s">
        <v>10576</v>
      </c>
      <c r="C3371" s="13" t="s">
        <v>7467</v>
      </c>
      <c r="D3371" s="766"/>
      <c r="E3371" s="22"/>
      <c r="F3371" s="19">
        <v>350000</v>
      </c>
      <c r="G3371" s="14">
        <f t="shared" ref="G3371:G3456" si="66">E3371-F3371</f>
        <v>-350000</v>
      </c>
      <c r="H3371" s="13" t="s">
        <v>11680</v>
      </c>
    </row>
    <row r="3372" spans="1:8" x14ac:dyDescent="0.25">
      <c r="A3372" s="113">
        <v>45245</v>
      </c>
      <c r="B3372" s="21" t="s">
        <v>10576</v>
      </c>
      <c r="C3372" s="13" t="s">
        <v>8091</v>
      </c>
      <c r="D3372" s="766"/>
      <c r="E3372" s="22"/>
      <c r="F3372" s="19">
        <v>500000</v>
      </c>
      <c r="G3372" s="14">
        <f t="shared" si="66"/>
        <v>-500000</v>
      </c>
      <c r="H3372" s="13" t="s">
        <v>11681</v>
      </c>
    </row>
    <row r="3373" spans="1:8" x14ac:dyDescent="0.25">
      <c r="A3373" s="113">
        <v>45245</v>
      </c>
      <c r="B3373" s="21" t="s">
        <v>10576</v>
      </c>
      <c r="C3373" s="13" t="s">
        <v>8091</v>
      </c>
      <c r="D3373" s="766"/>
      <c r="E3373" s="22"/>
      <c r="F3373" s="19">
        <v>500000</v>
      </c>
      <c r="G3373" s="14">
        <f t="shared" si="66"/>
        <v>-500000</v>
      </c>
      <c r="H3373" s="13" t="s">
        <v>11682</v>
      </c>
    </row>
    <row r="3374" spans="1:8" x14ac:dyDescent="0.25">
      <c r="A3374" s="113">
        <v>45245</v>
      </c>
      <c r="B3374" s="21" t="s">
        <v>10576</v>
      </c>
      <c r="C3374" s="13" t="s">
        <v>8091</v>
      </c>
      <c r="D3374" s="766"/>
      <c r="E3374" s="22"/>
      <c r="F3374" s="19">
        <v>500000</v>
      </c>
      <c r="G3374" s="14">
        <f t="shared" si="66"/>
        <v>-500000</v>
      </c>
      <c r="H3374" s="13" t="s">
        <v>11683</v>
      </c>
    </row>
    <row r="3375" spans="1:8" x14ac:dyDescent="0.25">
      <c r="A3375" s="113">
        <v>45245</v>
      </c>
      <c r="B3375" s="21" t="s">
        <v>10909</v>
      </c>
      <c r="C3375" s="13" t="s">
        <v>166</v>
      </c>
      <c r="D3375" s="766" t="s">
        <v>11789</v>
      </c>
      <c r="E3375" s="22">
        <v>7990</v>
      </c>
      <c r="F3375" s="19"/>
      <c r="G3375" s="14">
        <f t="shared" si="66"/>
        <v>7990</v>
      </c>
      <c r="H3375" s="13"/>
    </row>
    <row r="3376" spans="1:8" x14ac:dyDescent="0.25">
      <c r="A3376" s="113">
        <v>45245</v>
      </c>
      <c r="B3376" s="21" t="s">
        <v>11446</v>
      </c>
      <c r="C3376" s="13" t="s">
        <v>5681</v>
      </c>
      <c r="D3376" s="766" t="s">
        <v>10148</v>
      </c>
      <c r="E3376" s="22">
        <v>188300</v>
      </c>
      <c r="F3376" s="19"/>
      <c r="G3376" s="14">
        <f t="shared" si="66"/>
        <v>188300</v>
      </c>
      <c r="H3376" s="13"/>
    </row>
    <row r="3377" spans="1:8" x14ac:dyDescent="0.25">
      <c r="A3377" s="113">
        <v>45246</v>
      </c>
      <c r="B3377" s="21" t="s">
        <v>10232</v>
      </c>
      <c r="C3377" s="13" t="s">
        <v>168</v>
      </c>
      <c r="D3377" s="766" t="s">
        <v>11712</v>
      </c>
      <c r="E3377" s="22">
        <v>24200</v>
      </c>
      <c r="F3377" s="19"/>
      <c r="G3377" s="14">
        <f t="shared" si="66"/>
        <v>24200</v>
      </c>
      <c r="H3377" s="13"/>
    </row>
    <row r="3378" spans="1:8" x14ac:dyDescent="0.25">
      <c r="A3378" s="113">
        <v>45246</v>
      </c>
      <c r="B3378" s="21" t="s">
        <v>10576</v>
      </c>
      <c r="C3378" s="13" t="s">
        <v>8394</v>
      </c>
      <c r="D3378" s="766" t="s">
        <v>11715</v>
      </c>
      <c r="E3378" s="22">
        <v>93159</v>
      </c>
      <c r="F3378" s="19"/>
      <c r="G3378" s="14">
        <f t="shared" si="66"/>
        <v>93159</v>
      </c>
      <c r="H3378" s="13"/>
    </row>
    <row r="3379" spans="1:8" x14ac:dyDescent="0.25">
      <c r="A3379" s="113">
        <v>45246</v>
      </c>
      <c r="B3379" s="21" t="s">
        <v>10576</v>
      </c>
      <c r="C3379" s="13" t="s">
        <v>7467</v>
      </c>
      <c r="D3379" s="766" t="s">
        <v>11226</v>
      </c>
      <c r="E3379" s="22">
        <v>34290</v>
      </c>
      <c r="F3379" s="19"/>
      <c r="G3379" s="14">
        <f t="shared" si="66"/>
        <v>34290</v>
      </c>
      <c r="H3379" s="13"/>
    </row>
    <row r="3380" spans="1:8" x14ac:dyDescent="0.25">
      <c r="A3380" s="113">
        <v>45246</v>
      </c>
      <c r="B3380" s="21" t="s">
        <v>10909</v>
      </c>
      <c r="C3380" s="13" t="s">
        <v>5187</v>
      </c>
      <c r="D3380" s="766"/>
      <c r="E3380" s="22"/>
      <c r="F3380" s="19">
        <v>300000</v>
      </c>
      <c r="G3380" s="14">
        <f t="shared" si="66"/>
        <v>-300000</v>
      </c>
      <c r="H3380" s="13" t="s">
        <v>12146</v>
      </c>
    </row>
    <row r="3381" spans="1:8" x14ac:dyDescent="0.25">
      <c r="A3381" s="113">
        <v>45246</v>
      </c>
      <c r="B3381" s="21" t="s">
        <v>10909</v>
      </c>
      <c r="C3381" s="13" t="s">
        <v>5187</v>
      </c>
      <c r="D3381" s="766"/>
      <c r="E3381" s="22"/>
      <c r="F3381" s="19">
        <v>197000</v>
      </c>
      <c r="G3381" s="14">
        <f t="shared" si="66"/>
        <v>-197000</v>
      </c>
      <c r="H3381" s="13" t="s">
        <v>12146</v>
      </c>
    </row>
    <row r="3382" spans="1:8" x14ac:dyDescent="0.25">
      <c r="A3382" s="113">
        <v>45247</v>
      </c>
      <c r="B3382" s="21" t="s">
        <v>10576</v>
      </c>
      <c r="C3382" s="13" t="s">
        <v>7467</v>
      </c>
      <c r="D3382" s="766" t="s">
        <v>11746</v>
      </c>
      <c r="E3382" s="22">
        <v>212768</v>
      </c>
      <c r="F3382" s="19"/>
      <c r="G3382" s="14">
        <f t="shared" si="66"/>
        <v>212768</v>
      </c>
      <c r="H3382" s="13"/>
    </row>
    <row r="3383" spans="1:8" x14ac:dyDescent="0.25">
      <c r="A3383" s="113">
        <v>45247</v>
      </c>
      <c r="B3383" s="21" t="s">
        <v>10576</v>
      </c>
      <c r="C3383" s="13" t="s">
        <v>7467</v>
      </c>
      <c r="D3383" s="766"/>
      <c r="E3383" s="22"/>
      <c r="F3383" s="19">
        <v>500000</v>
      </c>
      <c r="G3383" s="14">
        <f t="shared" si="66"/>
        <v>-500000</v>
      </c>
      <c r="H3383" s="13" t="s">
        <v>11706</v>
      </c>
    </row>
    <row r="3384" spans="1:8" x14ac:dyDescent="0.25">
      <c r="A3384" s="113">
        <v>45247</v>
      </c>
      <c r="B3384" s="21" t="s">
        <v>10576</v>
      </c>
      <c r="C3384" s="13" t="s">
        <v>7467</v>
      </c>
      <c r="D3384" s="766"/>
      <c r="E3384" s="22"/>
      <c r="F3384" s="19">
        <v>500000</v>
      </c>
      <c r="G3384" s="14">
        <f t="shared" si="66"/>
        <v>-500000</v>
      </c>
      <c r="H3384" s="13" t="s">
        <v>11707</v>
      </c>
    </row>
    <row r="3385" spans="1:8" x14ac:dyDescent="0.25">
      <c r="A3385" s="113">
        <v>45247</v>
      </c>
      <c r="B3385" s="21" t="s">
        <v>11716</v>
      </c>
      <c r="C3385" s="13" t="s">
        <v>8394</v>
      </c>
      <c r="D3385" s="766" t="s">
        <v>11717</v>
      </c>
      <c r="E3385" s="22">
        <v>49822</v>
      </c>
      <c r="F3385" s="19"/>
      <c r="G3385" s="14">
        <f t="shared" si="66"/>
        <v>49822</v>
      </c>
      <c r="H3385" s="13"/>
    </row>
    <row r="3386" spans="1:8" x14ac:dyDescent="0.25">
      <c r="A3386" s="113">
        <v>45247</v>
      </c>
      <c r="B3386" s="21" t="s">
        <v>11617</v>
      </c>
      <c r="C3386" s="13" t="s">
        <v>8394</v>
      </c>
      <c r="D3386" s="766" t="s">
        <v>11718</v>
      </c>
      <c r="E3386" s="22">
        <v>106322</v>
      </c>
      <c r="F3386" s="19"/>
      <c r="G3386" s="14">
        <f t="shared" si="66"/>
        <v>106322</v>
      </c>
      <c r="H3386" s="13"/>
    </row>
    <row r="3387" spans="1:8" x14ac:dyDescent="0.25">
      <c r="A3387" s="113">
        <v>45248</v>
      </c>
      <c r="B3387" s="21" t="s">
        <v>10232</v>
      </c>
      <c r="C3387" s="13" t="s">
        <v>11324</v>
      </c>
      <c r="D3387" s="766"/>
      <c r="E3387" s="22"/>
      <c r="F3387" s="19">
        <v>495000</v>
      </c>
      <c r="G3387" s="14">
        <f>E3387-F3387</f>
        <v>-495000</v>
      </c>
      <c r="H3387" s="13" t="s">
        <v>11749</v>
      </c>
    </row>
    <row r="3388" spans="1:8" x14ac:dyDescent="0.25">
      <c r="A3388" s="113">
        <v>45248</v>
      </c>
      <c r="B3388" s="21" t="s">
        <v>10232</v>
      </c>
      <c r="C3388" s="13" t="s">
        <v>11324</v>
      </c>
      <c r="D3388" s="766"/>
      <c r="E3388" s="22"/>
      <c r="F3388" s="19">
        <v>490000</v>
      </c>
      <c r="G3388" s="14">
        <f>E3388-F3388</f>
        <v>-490000</v>
      </c>
      <c r="H3388" s="13" t="s">
        <v>11749</v>
      </c>
    </row>
    <row r="3389" spans="1:8" x14ac:dyDescent="0.25">
      <c r="A3389" s="113">
        <v>45248</v>
      </c>
      <c r="B3389" s="21" t="s">
        <v>10576</v>
      </c>
      <c r="C3389" s="13" t="s">
        <v>168</v>
      </c>
      <c r="D3389" s="766" t="s">
        <v>11780</v>
      </c>
      <c r="E3389" s="22">
        <v>78000</v>
      </c>
      <c r="F3389" s="110"/>
      <c r="G3389" s="14">
        <f>E3389-F3389</f>
        <v>78000</v>
      </c>
      <c r="H3389" s="13"/>
    </row>
    <row r="3390" spans="1:8" x14ac:dyDescent="0.25">
      <c r="A3390" s="113">
        <v>45248</v>
      </c>
      <c r="B3390" s="21" t="s">
        <v>10232</v>
      </c>
      <c r="C3390" s="13" t="s">
        <v>168</v>
      </c>
      <c r="D3390" s="766"/>
      <c r="E3390" s="22"/>
      <c r="F3390" s="110">
        <v>500000</v>
      </c>
      <c r="G3390" s="14">
        <f t="shared" ref="G3390:G3397" si="67">E3390-F3390</f>
        <v>-500000</v>
      </c>
      <c r="H3390" s="13" t="s">
        <v>11749</v>
      </c>
    </row>
    <row r="3391" spans="1:8" x14ac:dyDescent="0.25">
      <c r="A3391" s="113">
        <v>45248</v>
      </c>
      <c r="B3391" s="21" t="s">
        <v>10576</v>
      </c>
      <c r="C3391" s="13" t="s">
        <v>168</v>
      </c>
      <c r="D3391" s="766"/>
      <c r="E3391" s="22"/>
      <c r="F3391" s="110">
        <v>500000</v>
      </c>
      <c r="G3391" s="14">
        <f t="shared" si="67"/>
        <v>-500000</v>
      </c>
      <c r="H3391" s="13" t="s">
        <v>11749</v>
      </c>
    </row>
    <row r="3392" spans="1:8" x14ac:dyDescent="0.25">
      <c r="A3392" s="113">
        <v>45248</v>
      </c>
      <c r="B3392" s="21" t="s">
        <v>11897</v>
      </c>
      <c r="C3392" s="13" t="s">
        <v>168</v>
      </c>
      <c r="D3392" s="766"/>
      <c r="E3392" s="22"/>
      <c r="F3392" s="110">
        <v>500000</v>
      </c>
      <c r="G3392" s="14">
        <f t="shared" si="67"/>
        <v>-500000</v>
      </c>
      <c r="H3392" s="13" t="s">
        <v>11749</v>
      </c>
    </row>
    <row r="3393" spans="1:8" x14ac:dyDescent="0.25">
      <c r="A3393" s="113">
        <v>45248</v>
      </c>
      <c r="B3393" s="21" t="s">
        <v>11897</v>
      </c>
      <c r="C3393" s="13" t="s">
        <v>168</v>
      </c>
      <c r="D3393" s="766"/>
      <c r="E3393" s="22"/>
      <c r="F3393" s="110">
        <v>250000</v>
      </c>
      <c r="G3393" s="14">
        <f t="shared" si="67"/>
        <v>-250000</v>
      </c>
      <c r="H3393" s="1220" t="s">
        <v>12284</v>
      </c>
    </row>
    <row r="3394" spans="1:8" x14ac:dyDescent="0.25">
      <c r="A3394" s="113">
        <v>45248</v>
      </c>
      <c r="B3394" s="21" t="s">
        <v>11617</v>
      </c>
      <c r="C3394" s="13" t="s">
        <v>168</v>
      </c>
      <c r="D3394" s="766"/>
      <c r="E3394" s="22"/>
      <c r="F3394" s="110">
        <v>250000</v>
      </c>
      <c r="G3394" s="14">
        <f t="shared" si="67"/>
        <v>-250000</v>
      </c>
      <c r="H3394" s="1222"/>
    </row>
    <row r="3395" spans="1:8" x14ac:dyDescent="0.25">
      <c r="A3395" s="113">
        <v>45248</v>
      </c>
      <c r="B3395" s="21" t="s">
        <v>10909</v>
      </c>
      <c r="C3395" s="13" t="s">
        <v>168</v>
      </c>
      <c r="D3395" s="766"/>
      <c r="E3395" s="22"/>
      <c r="F3395" s="110">
        <v>400000</v>
      </c>
      <c r="G3395" s="14">
        <f t="shared" si="67"/>
        <v>-400000</v>
      </c>
      <c r="H3395" s="13" t="s">
        <v>11749</v>
      </c>
    </row>
    <row r="3396" spans="1:8" x14ac:dyDescent="0.25">
      <c r="A3396" s="113">
        <v>45248</v>
      </c>
      <c r="B3396" s="21" t="s">
        <v>10232</v>
      </c>
      <c r="C3396" s="13" t="s">
        <v>168</v>
      </c>
      <c r="D3396" s="766"/>
      <c r="E3396" s="22"/>
      <c r="F3396" s="110">
        <v>300000</v>
      </c>
      <c r="G3396" s="14">
        <f t="shared" si="67"/>
        <v>-300000</v>
      </c>
      <c r="H3396" s="13" t="s">
        <v>11749</v>
      </c>
    </row>
    <row r="3397" spans="1:8" x14ac:dyDescent="0.25">
      <c r="A3397" s="113">
        <v>45248</v>
      </c>
      <c r="B3397" s="21" t="s">
        <v>9986</v>
      </c>
      <c r="C3397" s="13" t="s">
        <v>168</v>
      </c>
      <c r="D3397" s="766"/>
      <c r="E3397" s="22"/>
      <c r="F3397" s="110">
        <v>300000</v>
      </c>
      <c r="G3397" s="14">
        <f t="shared" si="67"/>
        <v>-300000</v>
      </c>
      <c r="H3397" s="13" t="s">
        <v>11749</v>
      </c>
    </row>
    <row r="3398" spans="1:8" ht="16.5" thickBot="1" x14ac:dyDescent="0.3">
      <c r="A3398" s="113">
        <v>45250</v>
      </c>
      <c r="B3398" s="21" t="s">
        <v>10232</v>
      </c>
      <c r="C3398" s="13" t="s">
        <v>7467</v>
      </c>
      <c r="D3398" s="766" t="s">
        <v>11747</v>
      </c>
      <c r="E3398" s="22">
        <v>221300</v>
      </c>
      <c r="F3398" s="110"/>
      <c r="G3398" s="14">
        <f t="shared" si="66"/>
        <v>221300</v>
      </c>
      <c r="H3398" s="13"/>
    </row>
    <row r="3399" spans="1:8" x14ac:dyDescent="0.25">
      <c r="A3399" s="113">
        <v>45250</v>
      </c>
      <c r="B3399" s="21" t="s">
        <v>9356</v>
      </c>
      <c r="C3399" s="13" t="s">
        <v>169</v>
      </c>
      <c r="D3399" s="766"/>
      <c r="E3399" s="783"/>
      <c r="F3399" s="785">
        <v>234213</v>
      </c>
      <c r="G3399" s="784">
        <f t="shared" si="66"/>
        <v>-234213</v>
      </c>
      <c r="H3399" s="13" t="s">
        <v>11760</v>
      </c>
    </row>
    <row r="3400" spans="1:8" x14ac:dyDescent="0.25">
      <c r="A3400" s="113">
        <v>45250</v>
      </c>
      <c r="B3400" s="21" t="s">
        <v>10571</v>
      </c>
      <c r="C3400" s="13" t="s">
        <v>169</v>
      </c>
      <c r="D3400" s="766"/>
      <c r="E3400" s="783"/>
      <c r="F3400" s="142">
        <v>163580</v>
      </c>
      <c r="G3400" s="784">
        <f t="shared" si="66"/>
        <v>-163580</v>
      </c>
      <c r="H3400" s="13" t="s">
        <v>11760</v>
      </c>
    </row>
    <row r="3401" spans="1:8" ht="16.5" thickBot="1" x14ac:dyDescent="0.3">
      <c r="A3401" s="113">
        <v>45250</v>
      </c>
      <c r="B3401" s="21" t="s">
        <v>9986</v>
      </c>
      <c r="C3401" s="13" t="s">
        <v>169</v>
      </c>
      <c r="D3401" s="766"/>
      <c r="E3401" s="783"/>
      <c r="F3401" s="786">
        <v>102207</v>
      </c>
      <c r="G3401" s="784">
        <f t="shared" si="66"/>
        <v>-102207</v>
      </c>
      <c r="H3401" s="13" t="s">
        <v>11760</v>
      </c>
    </row>
    <row r="3402" spans="1:8" x14ac:dyDescent="0.25">
      <c r="A3402" s="113">
        <v>45251</v>
      </c>
      <c r="B3402" s="21" t="s">
        <v>10232</v>
      </c>
      <c r="C3402" s="13" t="s">
        <v>180</v>
      </c>
      <c r="D3402" s="766"/>
      <c r="E3402" s="783"/>
      <c r="F3402" s="785">
        <v>107660</v>
      </c>
      <c r="G3402" s="784">
        <f t="shared" si="66"/>
        <v>-107660</v>
      </c>
      <c r="H3402" s="13" t="s">
        <v>11775</v>
      </c>
    </row>
    <row r="3403" spans="1:8" x14ac:dyDescent="0.25">
      <c r="A3403" s="113">
        <v>45251</v>
      </c>
      <c r="B3403" s="21" t="s">
        <v>10576</v>
      </c>
      <c r="C3403" s="13" t="s">
        <v>180</v>
      </c>
      <c r="D3403" s="766"/>
      <c r="E3403" s="783"/>
      <c r="F3403" s="142">
        <v>247020</v>
      </c>
      <c r="G3403" s="784">
        <f t="shared" si="66"/>
        <v>-247020</v>
      </c>
      <c r="H3403" s="13" t="s">
        <v>11775</v>
      </c>
    </row>
    <row r="3404" spans="1:8" ht="16.5" thickBot="1" x14ac:dyDescent="0.3">
      <c r="A3404" s="113">
        <v>45251</v>
      </c>
      <c r="B3404" s="21" t="s">
        <v>10909</v>
      </c>
      <c r="C3404" s="13" t="s">
        <v>180</v>
      </c>
      <c r="D3404" s="766"/>
      <c r="E3404" s="783"/>
      <c r="F3404" s="786">
        <v>145320</v>
      </c>
      <c r="G3404" s="784">
        <f t="shared" si="66"/>
        <v>-145320</v>
      </c>
      <c r="H3404" s="13" t="s">
        <v>11775</v>
      </c>
    </row>
    <row r="3405" spans="1:8" x14ac:dyDescent="0.25">
      <c r="A3405" s="113">
        <v>45251</v>
      </c>
      <c r="B3405" s="21" t="s">
        <v>10909</v>
      </c>
      <c r="C3405" s="13" t="s">
        <v>8394</v>
      </c>
      <c r="D3405" s="766" t="s">
        <v>11781</v>
      </c>
      <c r="E3405" s="22">
        <v>49712</v>
      </c>
      <c r="F3405" s="112"/>
      <c r="G3405" s="784">
        <f t="shared" si="66"/>
        <v>49712</v>
      </c>
      <c r="H3405" s="13"/>
    </row>
    <row r="3406" spans="1:8" x14ac:dyDescent="0.25">
      <c r="A3406" s="113">
        <v>45251</v>
      </c>
      <c r="B3406" s="21" t="s">
        <v>11446</v>
      </c>
      <c r="C3406" s="13" t="s">
        <v>8394</v>
      </c>
      <c r="D3406" s="766" t="s">
        <v>11782</v>
      </c>
      <c r="E3406" s="22">
        <v>40419</v>
      </c>
      <c r="F3406" s="112"/>
      <c r="G3406" s="784">
        <f t="shared" si="66"/>
        <v>40419</v>
      </c>
      <c r="H3406" s="13"/>
    </row>
    <row r="3407" spans="1:8" x14ac:dyDescent="0.25">
      <c r="A3407" s="113">
        <v>45251</v>
      </c>
      <c r="B3407" s="21" t="s">
        <v>11511</v>
      </c>
      <c r="C3407" s="13" t="s">
        <v>8394</v>
      </c>
      <c r="D3407" s="766" t="s">
        <v>11783</v>
      </c>
      <c r="E3407" s="22">
        <v>73043</v>
      </c>
      <c r="F3407" s="112"/>
      <c r="G3407" s="784">
        <f t="shared" si="66"/>
        <v>73043</v>
      </c>
      <c r="H3407" s="13"/>
    </row>
    <row r="3408" spans="1:8" x14ac:dyDescent="0.25">
      <c r="A3408" s="113">
        <v>45251</v>
      </c>
      <c r="B3408" s="21" t="s">
        <v>10576</v>
      </c>
      <c r="C3408" s="13" t="s">
        <v>7467</v>
      </c>
      <c r="D3408" s="766" t="s">
        <v>11801</v>
      </c>
      <c r="E3408" s="22">
        <v>59900</v>
      </c>
      <c r="F3408" s="112"/>
      <c r="G3408" s="784">
        <f t="shared" si="66"/>
        <v>59900</v>
      </c>
      <c r="H3408" s="13"/>
    </row>
    <row r="3409" spans="1:8" x14ac:dyDescent="0.25">
      <c r="A3409" s="113">
        <v>45251</v>
      </c>
      <c r="B3409" s="21" t="s">
        <v>9832</v>
      </c>
      <c r="C3409" s="13" t="s">
        <v>168</v>
      </c>
      <c r="D3409" s="766" t="s">
        <v>11808</v>
      </c>
      <c r="E3409" s="22">
        <v>1554800</v>
      </c>
      <c r="F3409" s="110"/>
      <c r="G3409" s="14">
        <f t="shared" si="66"/>
        <v>1554800</v>
      </c>
      <c r="H3409" s="13"/>
    </row>
    <row r="3410" spans="1:8" x14ac:dyDescent="0.25">
      <c r="A3410" s="113">
        <v>45251</v>
      </c>
      <c r="B3410" s="21" t="s">
        <v>10909</v>
      </c>
      <c r="C3410" s="13" t="s">
        <v>166</v>
      </c>
      <c r="D3410" s="766" t="s">
        <v>12058</v>
      </c>
      <c r="E3410" s="22">
        <v>45000</v>
      </c>
      <c r="F3410" s="111"/>
      <c r="G3410" s="14">
        <f t="shared" si="66"/>
        <v>45000</v>
      </c>
      <c r="H3410" s="13"/>
    </row>
    <row r="3411" spans="1:8" x14ac:dyDescent="0.25">
      <c r="A3411" s="113">
        <v>45251</v>
      </c>
      <c r="B3411" s="21" t="s">
        <v>11446</v>
      </c>
      <c r="C3411" s="13" t="s">
        <v>166</v>
      </c>
      <c r="D3411" s="766" t="s">
        <v>12059</v>
      </c>
      <c r="E3411" s="22">
        <v>10965</v>
      </c>
      <c r="F3411" s="111"/>
      <c r="G3411" s="14">
        <f t="shared" si="66"/>
        <v>10965</v>
      </c>
      <c r="H3411" s="13"/>
    </row>
    <row r="3412" spans="1:8" x14ac:dyDescent="0.25">
      <c r="A3412" s="113">
        <v>45252</v>
      </c>
      <c r="B3412" s="21" t="s">
        <v>10232</v>
      </c>
      <c r="C3412" s="13" t="s">
        <v>8394</v>
      </c>
      <c r="D3412" s="766"/>
      <c r="E3412" s="22"/>
      <c r="F3412" s="112">
        <v>1000000</v>
      </c>
      <c r="G3412" s="14">
        <f t="shared" si="66"/>
        <v>-1000000</v>
      </c>
      <c r="H3412" s="13" t="s">
        <v>11689</v>
      </c>
    </row>
    <row r="3413" spans="1:8" x14ac:dyDescent="0.25">
      <c r="A3413" s="113">
        <v>45252</v>
      </c>
      <c r="B3413" s="21" t="s">
        <v>10576</v>
      </c>
      <c r="C3413" s="13" t="s">
        <v>7467</v>
      </c>
      <c r="D3413" s="766"/>
      <c r="E3413" s="22"/>
      <c r="F3413" s="19">
        <v>850000</v>
      </c>
      <c r="G3413" s="14">
        <f t="shared" si="66"/>
        <v>-850000</v>
      </c>
      <c r="H3413" s="13" t="s">
        <v>11800</v>
      </c>
    </row>
    <row r="3414" spans="1:8" x14ac:dyDescent="0.25">
      <c r="A3414" s="113">
        <v>45254</v>
      </c>
      <c r="B3414" s="21" t="s">
        <v>10909</v>
      </c>
      <c r="C3414" s="13" t="s">
        <v>169</v>
      </c>
      <c r="D3414" s="766" t="s">
        <v>11827</v>
      </c>
      <c r="E3414" s="22">
        <v>4500</v>
      </c>
      <c r="F3414" s="19"/>
      <c r="G3414" s="14">
        <f t="shared" si="66"/>
        <v>4500</v>
      </c>
      <c r="H3414" s="13"/>
    </row>
    <row r="3415" spans="1:8" x14ac:dyDescent="0.25">
      <c r="A3415" s="113">
        <v>45254</v>
      </c>
      <c r="B3415" s="21" t="s">
        <v>10571</v>
      </c>
      <c r="C3415" s="13" t="s">
        <v>7242</v>
      </c>
      <c r="D3415" s="766" t="s">
        <v>9873</v>
      </c>
      <c r="E3415" s="22">
        <v>233085</v>
      </c>
      <c r="F3415" s="19"/>
      <c r="G3415" s="14">
        <f t="shared" si="66"/>
        <v>233085</v>
      </c>
      <c r="H3415" s="13"/>
    </row>
    <row r="3416" spans="1:8" x14ac:dyDescent="0.25">
      <c r="A3416" s="113">
        <v>45255</v>
      </c>
      <c r="B3416" s="21" t="s">
        <v>10909</v>
      </c>
      <c r="C3416" s="13" t="s">
        <v>12496</v>
      </c>
      <c r="D3416" s="766" t="s">
        <v>8696</v>
      </c>
      <c r="E3416" s="22">
        <v>196267</v>
      </c>
      <c r="F3416" s="19"/>
      <c r="G3416" s="14">
        <f t="shared" si="66"/>
        <v>196267</v>
      </c>
      <c r="H3416" s="13"/>
    </row>
    <row r="3417" spans="1:8" x14ac:dyDescent="0.25">
      <c r="A3417" s="113">
        <v>45255</v>
      </c>
      <c r="B3417" s="21" t="s">
        <v>11716</v>
      </c>
      <c r="C3417" s="13" t="s">
        <v>8394</v>
      </c>
      <c r="D3417" s="766" t="s">
        <v>11824</v>
      </c>
      <c r="E3417" s="22">
        <v>6351</v>
      </c>
      <c r="F3417" s="19"/>
      <c r="G3417" s="14">
        <f t="shared" si="66"/>
        <v>6351</v>
      </c>
      <c r="H3417" s="13"/>
    </row>
    <row r="3418" spans="1:8" x14ac:dyDescent="0.25">
      <c r="A3418" s="113">
        <v>45255</v>
      </c>
      <c r="B3418" s="21" t="s">
        <v>10232</v>
      </c>
      <c r="C3418" s="13" t="s">
        <v>8394</v>
      </c>
      <c r="D3418" s="766" t="s">
        <v>11825</v>
      </c>
      <c r="E3418" s="22">
        <v>10508</v>
      </c>
      <c r="F3418" s="19"/>
      <c r="G3418" s="14">
        <f t="shared" si="66"/>
        <v>10508</v>
      </c>
      <c r="H3418" s="13"/>
    </row>
    <row r="3419" spans="1:8" x14ac:dyDescent="0.25">
      <c r="A3419" s="113">
        <v>45255</v>
      </c>
      <c r="B3419" s="21" t="s">
        <v>11617</v>
      </c>
      <c r="C3419" s="13" t="s">
        <v>8394</v>
      </c>
      <c r="D3419" s="766" t="s">
        <v>11826</v>
      </c>
      <c r="E3419" s="22">
        <v>42998</v>
      </c>
      <c r="F3419" s="19"/>
      <c r="G3419" s="14">
        <f t="shared" si="66"/>
        <v>42998</v>
      </c>
      <c r="H3419" s="13"/>
    </row>
    <row r="3420" spans="1:8" x14ac:dyDescent="0.25">
      <c r="A3420" s="113">
        <v>45257</v>
      </c>
      <c r="B3420" s="21" t="s">
        <v>10909</v>
      </c>
      <c r="C3420" s="13" t="s">
        <v>180</v>
      </c>
      <c r="D3420" s="766" t="s">
        <v>11823</v>
      </c>
      <c r="E3420" s="22">
        <v>124800</v>
      </c>
      <c r="F3420" s="19"/>
      <c r="G3420" s="14">
        <f t="shared" si="66"/>
        <v>124800</v>
      </c>
      <c r="H3420" s="13"/>
    </row>
    <row r="3421" spans="1:8" x14ac:dyDescent="0.25">
      <c r="A3421" s="113">
        <v>45257</v>
      </c>
      <c r="B3421" s="21" t="s">
        <v>10576</v>
      </c>
      <c r="C3421" s="13" t="s">
        <v>164</v>
      </c>
      <c r="D3421" s="766" t="s">
        <v>11918</v>
      </c>
      <c r="E3421" s="22">
        <v>5887</v>
      </c>
      <c r="F3421" s="19"/>
      <c r="G3421" s="14">
        <f t="shared" si="66"/>
        <v>5887</v>
      </c>
      <c r="H3421" s="13"/>
    </row>
    <row r="3422" spans="1:8" x14ac:dyDescent="0.25">
      <c r="A3422" s="113">
        <v>45258</v>
      </c>
      <c r="B3422" s="21" t="s">
        <v>11446</v>
      </c>
      <c r="C3422" s="13" t="s">
        <v>166</v>
      </c>
      <c r="D3422" s="766" t="s">
        <v>12060</v>
      </c>
      <c r="E3422" s="22">
        <v>2920</v>
      </c>
      <c r="F3422" s="19"/>
      <c r="G3422" s="14">
        <f t="shared" si="66"/>
        <v>2920</v>
      </c>
      <c r="H3422" s="13"/>
    </row>
    <row r="3423" spans="1:8" x14ac:dyDescent="0.25">
      <c r="A3423" s="113">
        <v>45258</v>
      </c>
      <c r="B3423" s="21" t="s">
        <v>10909</v>
      </c>
      <c r="C3423" s="13" t="s">
        <v>166</v>
      </c>
      <c r="D3423" s="766" t="s">
        <v>12066</v>
      </c>
      <c r="E3423" s="22">
        <v>21300</v>
      </c>
      <c r="F3423" s="19"/>
      <c r="G3423" s="14">
        <f t="shared" si="66"/>
        <v>21300</v>
      </c>
      <c r="H3423" s="13"/>
    </row>
    <row r="3424" spans="1:8" x14ac:dyDescent="0.25">
      <c r="A3424" s="113">
        <v>45259</v>
      </c>
      <c r="B3424" s="21" t="s">
        <v>11</v>
      </c>
      <c r="C3424" s="13" t="s">
        <v>2386</v>
      </c>
      <c r="D3424" s="766" t="s">
        <v>12257</v>
      </c>
      <c r="E3424" s="22">
        <v>18551</v>
      </c>
      <c r="F3424" s="19"/>
      <c r="G3424" s="14">
        <f t="shared" si="66"/>
        <v>18551</v>
      </c>
      <c r="H3424" s="13"/>
    </row>
    <row r="3425" spans="1:8" x14ac:dyDescent="0.25">
      <c r="A3425" s="113">
        <v>45260</v>
      </c>
      <c r="B3425" s="21" t="s">
        <v>11446</v>
      </c>
      <c r="C3425" s="13" t="s">
        <v>166</v>
      </c>
      <c r="D3425" s="766" t="s">
        <v>12061</v>
      </c>
      <c r="E3425" s="22">
        <v>12900</v>
      </c>
      <c r="F3425" s="19"/>
      <c r="G3425" s="14">
        <f t="shared" si="66"/>
        <v>12900</v>
      </c>
      <c r="H3425" s="13"/>
    </row>
    <row r="3426" spans="1:8" x14ac:dyDescent="0.25">
      <c r="A3426" s="113">
        <v>45258</v>
      </c>
      <c r="B3426" s="21" t="s">
        <v>10576</v>
      </c>
      <c r="C3426" s="13" t="s">
        <v>168</v>
      </c>
      <c r="D3426" s="766"/>
      <c r="E3426" s="22"/>
      <c r="F3426" s="19">
        <v>500000</v>
      </c>
      <c r="G3426" s="14">
        <f t="shared" si="66"/>
        <v>-500000</v>
      </c>
      <c r="H3426" s="13" t="s">
        <v>11812</v>
      </c>
    </row>
    <row r="3427" spans="1:8" x14ac:dyDescent="0.25">
      <c r="A3427" s="113">
        <v>45258</v>
      </c>
      <c r="B3427" s="21" t="s">
        <v>10576</v>
      </c>
      <c r="C3427" s="13" t="s">
        <v>168</v>
      </c>
      <c r="D3427" s="766"/>
      <c r="E3427" s="22"/>
      <c r="F3427" s="19">
        <v>500000</v>
      </c>
      <c r="G3427" s="14">
        <f t="shared" si="66"/>
        <v>-500000</v>
      </c>
      <c r="H3427" s="13" t="s">
        <v>11812</v>
      </c>
    </row>
    <row r="3428" spans="1:8" x14ac:dyDescent="0.25">
      <c r="A3428" s="113">
        <v>45258</v>
      </c>
      <c r="B3428" s="21" t="s">
        <v>10576</v>
      </c>
      <c r="C3428" s="13" t="s">
        <v>168</v>
      </c>
      <c r="D3428" s="766"/>
      <c r="E3428" s="22"/>
      <c r="F3428" s="19">
        <v>500000</v>
      </c>
      <c r="G3428" s="14">
        <f t="shared" si="66"/>
        <v>-500000</v>
      </c>
      <c r="H3428" s="13" t="s">
        <v>11812</v>
      </c>
    </row>
    <row r="3429" spans="1:8" x14ac:dyDescent="0.25">
      <c r="A3429" s="113">
        <v>45258</v>
      </c>
      <c r="B3429" s="21" t="s">
        <v>10576</v>
      </c>
      <c r="C3429" s="13" t="s">
        <v>168</v>
      </c>
      <c r="D3429" s="766"/>
      <c r="E3429" s="22"/>
      <c r="F3429" s="19">
        <v>500000</v>
      </c>
      <c r="G3429" s="14">
        <f t="shared" si="66"/>
        <v>-500000</v>
      </c>
      <c r="H3429" s="13" t="s">
        <v>11812</v>
      </c>
    </row>
    <row r="3430" spans="1:8" x14ac:dyDescent="0.25">
      <c r="A3430" s="113">
        <v>45260</v>
      </c>
      <c r="B3430" s="21" t="s">
        <v>11617</v>
      </c>
      <c r="C3430" s="13" t="s">
        <v>8394</v>
      </c>
      <c r="D3430" s="766" t="s">
        <v>11912</v>
      </c>
      <c r="E3430" s="22">
        <v>30958</v>
      </c>
      <c r="F3430" s="19"/>
      <c r="G3430" s="14">
        <f t="shared" si="66"/>
        <v>30958</v>
      </c>
      <c r="H3430" s="13"/>
    </row>
    <row r="3431" spans="1:8" x14ac:dyDescent="0.25">
      <c r="A3431" s="113">
        <v>45260</v>
      </c>
      <c r="B3431" s="21" t="s">
        <v>10909</v>
      </c>
      <c r="C3431" s="13" t="s">
        <v>12282</v>
      </c>
      <c r="D3431" s="766" t="s">
        <v>11952</v>
      </c>
      <c r="E3431" s="22">
        <v>189553</v>
      </c>
      <c r="F3431" s="19"/>
      <c r="G3431" s="14">
        <f t="shared" si="66"/>
        <v>189553</v>
      </c>
      <c r="H3431" s="13"/>
    </row>
    <row r="3432" spans="1:8" x14ac:dyDescent="0.25">
      <c r="A3432" s="113">
        <v>45262</v>
      </c>
      <c r="B3432" s="21" t="s">
        <v>10576</v>
      </c>
      <c r="C3432" s="13" t="s">
        <v>7467</v>
      </c>
      <c r="D3432" s="766"/>
      <c r="E3432" s="22"/>
      <c r="F3432" s="19">
        <v>1000000</v>
      </c>
      <c r="G3432" s="14">
        <f t="shared" si="66"/>
        <v>-1000000</v>
      </c>
      <c r="H3432" s="13" t="s">
        <v>11378</v>
      </c>
    </row>
    <row r="3433" spans="1:8" x14ac:dyDescent="0.25">
      <c r="A3433" s="113">
        <v>45262</v>
      </c>
      <c r="B3433" s="21" t="s">
        <v>10576</v>
      </c>
      <c r="C3433" s="13" t="s">
        <v>7467</v>
      </c>
      <c r="D3433" s="766"/>
      <c r="E3433" s="22"/>
      <c r="F3433" s="19">
        <v>600000</v>
      </c>
      <c r="G3433" s="14">
        <f t="shared" si="66"/>
        <v>-600000</v>
      </c>
      <c r="H3433" s="13" t="s">
        <v>11174</v>
      </c>
    </row>
    <row r="3434" spans="1:8" x14ac:dyDescent="0.25">
      <c r="A3434" s="113">
        <v>45262</v>
      </c>
      <c r="B3434" s="21" t="s">
        <v>11617</v>
      </c>
      <c r="C3434" s="13" t="s">
        <v>180</v>
      </c>
      <c r="D3434" s="766" t="s">
        <v>11922</v>
      </c>
      <c r="E3434" s="22">
        <v>52800</v>
      </c>
      <c r="F3434" s="19"/>
      <c r="G3434" s="14">
        <f t="shared" si="66"/>
        <v>52800</v>
      </c>
      <c r="H3434" s="13"/>
    </row>
    <row r="3435" spans="1:8" x14ac:dyDescent="0.25">
      <c r="A3435" s="113">
        <v>45264</v>
      </c>
      <c r="B3435" s="21" t="s">
        <v>10576</v>
      </c>
      <c r="C3435" s="13" t="s">
        <v>168</v>
      </c>
      <c r="D3435" s="766" t="s">
        <v>11924</v>
      </c>
      <c r="E3435" s="22">
        <v>2952685</v>
      </c>
      <c r="F3435" s="19"/>
      <c r="G3435" s="14">
        <f t="shared" si="66"/>
        <v>2952685</v>
      </c>
      <c r="H3435" s="13"/>
    </row>
    <row r="3436" spans="1:8" x14ac:dyDescent="0.25">
      <c r="A3436" s="113">
        <v>45264</v>
      </c>
      <c r="B3436" s="21" t="s">
        <v>10909</v>
      </c>
      <c r="C3436" s="13" t="s">
        <v>168</v>
      </c>
      <c r="D3436" s="766" t="s">
        <v>11926</v>
      </c>
      <c r="E3436" s="22">
        <v>45000</v>
      </c>
      <c r="F3436" s="19"/>
      <c r="G3436" s="14">
        <f t="shared" si="66"/>
        <v>45000</v>
      </c>
      <c r="H3436" s="13"/>
    </row>
    <row r="3437" spans="1:8" x14ac:dyDescent="0.25">
      <c r="A3437" s="113">
        <v>45264</v>
      </c>
      <c r="B3437" s="21" t="s">
        <v>11446</v>
      </c>
      <c r="C3437" s="13" t="s">
        <v>166</v>
      </c>
      <c r="D3437" s="766" t="s">
        <v>12062</v>
      </c>
      <c r="E3437" s="22">
        <v>17500</v>
      </c>
      <c r="F3437" s="19"/>
      <c r="G3437" s="14">
        <f t="shared" si="66"/>
        <v>17500</v>
      </c>
      <c r="H3437" s="13"/>
    </row>
    <row r="3438" spans="1:8" x14ac:dyDescent="0.25">
      <c r="A3438" s="113">
        <v>45265</v>
      </c>
      <c r="B3438" s="21" t="s">
        <v>10232</v>
      </c>
      <c r="C3438" s="13" t="s">
        <v>7467</v>
      </c>
      <c r="D3438" s="766" t="s">
        <v>11929</v>
      </c>
      <c r="E3438" s="22">
        <v>144334</v>
      </c>
      <c r="F3438" s="19"/>
      <c r="G3438" s="14">
        <f t="shared" si="66"/>
        <v>144334</v>
      </c>
      <c r="H3438" s="13"/>
    </row>
    <row r="3439" spans="1:8" x14ac:dyDescent="0.25">
      <c r="A3439" s="113">
        <v>45265</v>
      </c>
      <c r="B3439" s="21" t="s">
        <v>10909</v>
      </c>
      <c r="C3439" s="13" t="s">
        <v>12496</v>
      </c>
      <c r="D3439" s="766" t="s">
        <v>8698</v>
      </c>
      <c r="E3439" s="22">
        <v>113438</v>
      </c>
      <c r="F3439" s="19"/>
      <c r="G3439" s="14">
        <f t="shared" si="66"/>
        <v>113438</v>
      </c>
      <c r="H3439" s="13"/>
    </row>
    <row r="3440" spans="1:8" x14ac:dyDescent="0.25">
      <c r="A3440" s="113">
        <v>45266</v>
      </c>
      <c r="B3440" s="21" t="s">
        <v>10232</v>
      </c>
      <c r="C3440" s="13" t="s">
        <v>8394</v>
      </c>
      <c r="D3440" s="766" t="s">
        <v>11913</v>
      </c>
      <c r="E3440" s="22">
        <v>40849</v>
      </c>
      <c r="F3440" s="19"/>
      <c r="G3440" s="14">
        <f t="shared" si="66"/>
        <v>40849</v>
      </c>
      <c r="H3440" s="13"/>
    </row>
    <row r="3441" spans="1:8" x14ac:dyDescent="0.25">
      <c r="A3441" s="113">
        <v>45266</v>
      </c>
      <c r="B3441" s="21" t="s">
        <v>11617</v>
      </c>
      <c r="C3441" s="13" t="s">
        <v>8394</v>
      </c>
      <c r="D3441" s="766" t="s">
        <v>11914</v>
      </c>
      <c r="E3441" s="22">
        <v>18196</v>
      </c>
      <c r="F3441" s="19"/>
      <c r="G3441" s="14">
        <f t="shared" si="66"/>
        <v>18196</v>
      </c>
      <c r="H3441" s="13"/>
    </row>
    <row r="3442" spans="1:8" x14ac:dyDescent="0.25">
      <c r="A3442" s="113">
        <v>45267</v>
      </c>
      <c r="B3442" s="21" t="s">
        <v>11617</v>
      </c>
      <c r="C3442" s="13" t="s">
        <v>164</v>
      </c>
      <c r="D3442" s="766" t="s">
        <v>11920</v>
      </c>
      <c r="E3442" s="22">
        <v>16400</v>
      </c>
      <c r="F3442" s="19"/>
      <c r="G3442" s="14">
        <f t="shared" si="66"/>
        <v>16400</v>
      </c>
      <c r="H3442" s="13"/>
    </row>
    <row r="3443" spans="1:8" x14ac:dyDescent="0.25">
      <c r="A3443" s="113">
        <v>45267</v>
      </c>
      <c r="B3443" s="21" t="s">
        <v>10909</v>
      </c>
      <c r="C3443" s="13" t="s">
        <v>168</v>
      </c>
      <c r="D3443" s="766" t="s">
        <v>11925</v>
      </c>
      <c r="E3443" s="22">
        <v>55000</v>
      </c>
      <c r="F3443" s="19"/>
      <c r="G3443" s="14">
        <f t="shared" si="66"/>
        <v>55000</v>
      </c>
      <c r="H3443" s="13"/>
    </row>
    <row r="3444" spans="1:8" x14ac:dyDescent="0.25">
      <c r="A3444" s="113">
        <v>45267</v>
      </c>
      <c r="B3444" s="21" t="s">
        <v>11617</v>
      </c>
      <c r="C3444" s="13" t="s">
        <v>166</v>
      </c>
      <c r="D3444" s="766" t="s">
        <v>11951</v>
      </c>
      <c r="E3444" s="22">
        <v>25430</v>
      </c>
      <c r="F3444" s="19"/>
      <c r="G3444" s="14">
        <f t="shared" si="66"/>
        <v>25430</v>
      </c>
      <c r="H3444" s="13"/>
    </row>
    <row r="3445" spans="1:8" x14ac:dyDescent="0.25">
      <c r="A3445" s="113">
        <v>45267</v>
      </c>
      <c r="B3445" s="21" t="s">
        <v>11617</v>
      </c>
      <c r="C3445" s="13" t="s">
        <v>180</v>
      </c>
      <c r="D3445" s="766" t="s">
        <v>11968</v>
      </c>
      <c r="E3445" s="22">
        <v>214720</v>
      </c>
      <c r="F3445" s="19"/>
      <c r="G3445" s="14">
        <f t="shared" si="66"/>
        <v>214720</v>
      </c>
      <c r="H3445" s="13"/>
    </row>
    <row r="3446" spans="1:8" x14ac:dyDescent="0.25">
      <c r="A3446" s="113">
        <v>45268</v>
      </c>
      <c r="B3446" s="21" t="s">
        <v>9967</v>
      </c>
      <c r="C3446" s="13" t="s">
        <v>164</v>
      </c>
      <c r="D3446" s="766" t="s">
        <v>11919</v>
      </c>
      <c r="E3446" s="22">
        <v>6047</v>
      </c>
      <c r="F3446" s="19"/>
      <c r="G3446" s="14">
        <f t="shared" si="66"/>
        <v>6047</v>
      </c>
      <c r="H3446" s="13"/>
    </row>
    <row r="3447" spans="1:8" x14ac:dyDescent="0.25">
      <c r="A3447" s="113">
        <v>45269</v>
      </c>
      <c r="B3447" s="21" t="s">
        <v>7807</v>
      </c>
      <c r="C3447" s="13" t="s">
        <v>11329</v>
      </c>
      <c r="D3447" s="766"/>
      <c r="E3447" s="22"/>
      <c r="F3447" s="19">
        <v>340000</v>
      </c>
      <c r="G3447" s="14">
        <f t="shared" si="66"/>
        <v>-340000</v>
      </c>
      <c r="H3447" s="13" t="s">
        <v>11378</v>
      </c>
    </row>
    <row r="3448" spans="1:8" x14ac:dyDescent="0.25">
      <c r="A3448" s="113">
        <v>45269</v>
      </c>
      <c r="B3448" s="21" t="s">
        <v>7807</v>
      </c>
      <c r="C3448" s="13" t="s">
        <v>11329</v>
      </c>
      <c r="D3448" s="766"/>
      <c r="E3448" s="22"/>
      <c r="F3448" s="19">
        <v>21510</v>
      </c>
      <c r="G3448" s="14">
        <f t="shared" si="66"/>
        <v>-21510</v>
      </c>
      <c r="H3448" s="13" t="s">
        <v>4977</v>
      </c>
    </row>
    <row r="3449" spans="1:8" x14ac:dyDescent="0.25">
      <c r="A3449" s="113">
        <v>45272</v>
      </c>
      <c r="B3449" s="21" t="s">
        <v>11617</v>
      </c>
      <c r="C3449" s="13" t="s">
        <v>8394</v>
      </c>
      <c r="D3449" s="766" t="s">
        <v>11915</v>
      </c>
      <c r="E3449" s="22">
        <v>32566</v>
      </c>
      <c r="F3449" s="19"/>
      <c r="G3449" s="14">
        <f t="shared" si="66"/>
        <v>32566</v>
      </c>
      <c r="H3449" s="13"/>
    </row>
    <row r="3450" spans="1:8" x14ac:dyDescent="0.25">
      <c r="A3450" s="113">
        <v>45272</v>
      </c>
      <c r="B3450" s="21" t="s">
        <v>10909</v>
      </c>
      <c r="C3450" s="13" t="s">
        <v>168</v>
      </c>
      <c r="D3450" s="766" t="s">
        <v>11927</v>
      </c>
      <c r="E3450" s="22">
        <v>55000</v>
      </c>
      <c r="F3450" s="19"/>
      <c r="G3450" s="14">
        <f t="shared" si="66"/>
        <v>55000</v>
      </c>
      <c r="H3450" s="13"/>
    </row>
    <row r="3451" spans="1:8" x14ac:dyDescent="0.25">
      <c r="A3451" s="113">
        <v>45272</v>
      </c>
      <c r="B3451" s="21" t="s">
        <v>10909</v>
      </c>
      <c r="C3451" s="13" t="s">
        <v>168</v>
      </c>
      <c r="D3451" s="766" t="s">
        <v>11928</v>
      </c>
      <c r="E3451" s="22">
        <v>45000</v>
      </c>
      <c r="F3451" s="19"/>
      <c r="G3451" s="14">
        <f t="shared" si="66"/>
        <v>45000</v>
      </c>
      <c r="H3451" s="13"/>
    </row>
    <row r="3452" spans="1:8" x14ac:dyDescent="0.25">
      <c r="A3452" s="113">
        <v>45274</v>
      </c>
      <c r="B3452" s="21" t="s">
        <v>11446</v>
      </c>
      <c r="C3452" s="13" t="s">
        <v>166</v>
      </c>
      <c r="D3452" s="766" t="s">
        <v>12063</v>
      </c>
      <c r="E3452" s="22">
        <v>4380</v>
      </c>
      <c r="F3452" s="19"/>
      <c r="G3452" s="14">
        <f t="shared" si="66"/>
        <v>4380</v>
      </c>
      <c r="H3452" s="13"/>
    </row>
    <row r="3453" spans="1:8" x14ac:dyDescent="0.25">
      <c r="A3453" s="113">
        <v>45275</v>
      </c>
      <c r="B3453" s="21" t="s">
        <v>11617</v>
      </c>
      <c r="C3453" s="13" t="s">
        <v>164</v>
      </c>
      <c r="D3453" s="766" t="s">
        <v>11921</v>
      </c>
      <c r="E3453" s="22">
        <v>5396</v>
      </c>
      <c r="F3453" s="19"/>
      <c r="G3453" s="14">
        <f t="shared" si="66"/>
        <v>5396</v>
      </c>
      <c r="H3453" s="13"/>
    </row>
    <row r="3454" spans="1:8" x14ac:dyDescent="0.25">
      <c r="A3454" s="113">
        <v>45275</v>
      </c>
      <c r="B3454" s="21" t="s">
        <v>11617</v>
      </c>
      <c r="C3454" s="13" t="s">
        <v>166</v>
      </c>
      <c r="D3454" s="766" t="s">
        <v>12064</v>
      </c>
      <c r="E3454" s="22">
        <v>9125</v>
      </c>
      <c r="F3454" s="19"/>
      <c r="G3454" s="14">
        <f t="shared" si="66"/>
        <v>9125</v>
      </c>
      <c r="H3454" s="13"/>
    </row>
    <row r="3455" spans="1:8" x14ac:dyDescent="0.25">
      <c r="A3455" s="113">
        <v>45275</v>
      </c>
      <c r="B3455" s="21" t="s">
        <v>11897</v>
      </c>
      <c r="C3455" s="13" t="s">
        <v>180</v>
      </c>
      <c r="D3455" s="766"/>
      <c r="E3455" s="22"/>
      <c r="F3455" s="19">
        <v>1500000</v>
      </c>
      <c r="G3455" s="14">
        <f t="shared" si="66"/>
        <v>-1500000</v>
      </c>
      <c r="H3455" s="13" t="s">
        <v>11933</v>
      </c>
    </row>
    <row r="3456" spans="1:8" x14ac:dyDescent="0.25">
      <c r="A3456" s="113">
        <v>45275</v>
      </c>
      <c r="B3456" s="21" t="s">
        <v>10232</v>
      </c>
      <c r="C3456" s="13" t="s">
        <v>8394</v>
      </c>
      <c r="D3456" s="766"/>
      <c r="E3456" s="22"/>
      <c r="F3456" s="19">
        <v>250000</v>
      </c>
      <c r="G3456" s="14">
        <f t="shared" si="66"/>
        <v>-250000</v>
      </c>
      <c r="H3456" s="13" t="s">
        <v>11933</v>
      </c>
    </row>
    <row r="3457" spans="1:8" x14ac:dyDescent="0.25">
      <c r="A3457" s="113">
        <v>45275</v>
      </c>
      <c r="B3457" s="21" t="s">
        <v>10576</v>
      </c>
      <c r="C3457" s="13" t="s">
        <v>8394</v>
      </c>
      <c r="D3457" s="766"/>
      <c r="E3457" s="22"/>
      <c r="F3457" s="19">
        <v>250000</v>
      </c>
      <c r="G3457" s="14">
        <f t="shared" ref="G3457:G3597" si="68">E3457-F3457</f>
        <v>-250000</v>
      </c>
      <c r="H3457" s="13" t="s">
        <v>11933</v>
      </c>
    </row>
    <row r="3458" spans="1:8" x14ac:dyDescent="0.25">
      <c r="A3458" s="113">
        <v>45275</v>
      </c>
      <c r="B3458" s="21" t="s">
        <v>10909</v>
      </c>
      <c r="C3458" s="13" t="s">
        <v>8394</v>
      </c>
      <c r="D3458" s="766"/>
      <c r="E3458" s="22"/>
      <c r="F3458" s="19">
        <v>250000</v>
      </c>
      <c r="G3458" s="14">
        <f t="shared" si="68"/>
        <v>-250000</v>
      </c>
      <c r="H3458" s="13" t="s">
        <v>11933</v>
      </c>
    </row>
    <row r="3459" spans="1:8" x14ac:dyDescent="0.25">
      <c r="A3459" s="113">
        <v>45275</v>
      </c>
      <c r="B3459" s="21" t="s">
        <v>11446</v>
      </c>
      <c r="C3459" s="13" t="s">
        <v>8394</v>
      </c>
      <c r="D3459" s="766"/>
      <c r="E3459" s="22"/>
      <c r="F3459" s="19">
        <v>250000</v>
      </c>
      <c r="G3459" s="14">
        <f t="shared" si="68"/>
        <v>-250000</v>
      </c>
      <c r="H3459" s="13" t="s">
        <v>11933</v>
      </c>
    </row>
    <row r="3460" spans="1:8" ht="16.5" thickBot="1" x14ac:dyDescent="0.3">
      <c r="A3460" s="113">
        <v>45275</v>
      </c>
      <c r="B3460" s="21" t="s">
        <v>10232</v>
      </c>
      <c r="C3460" s="13" t="s">
        <v>7467</v>
      </c>
      <c r="D3460" s="766"/>
      <c r="E3460" s="22"/>
      <c r="F3460" s="110">
        <v>1000000</v>
      </c>
      <c r="G3460" s="14">
        <f t="shared" si="68"/>
        <v>-1000000</v>
      </c>
      <c r="H3460" s="13" t="s">
        <v>11933</v>
      </c>
    </row>
    <row r="3461" spans="1:8" x14ac:dyDescent="0.25">
      <c r="A3461" s="113">
        <v>45276</v>
      </c>
      <c r="B3461" s="21" t="s">
        <v>9967</v>
      </c>
      <c r="C3461" s="13" t="s">
        <v>164</v>
      </c>
      <c r="D3461" s="766"/>
      <c r="E3461" s="783"/>
      <c r="F3461" s="785">
        <v>14707</v>
      </c>
      <c r="G3461" s="784">
        <f t="shared" si="68"/>
        <v>-14707</v>
      </c>
      <c r="H3461" s="13" t="s">
        <v>11958</v>
      </c>
    </row>
    <row r="3462" spans="1:8" x14ac:dyDescent="0.25">
      <c r="A3462" s="113">
        <v>45276</v>
      </c>
      <c r="B3462" s="21" t="s">
        <v>9986</v>
      </c>
      <c r="C3462" s="13" t="s">
        <v>164</v>
      </c>
      <c r="D3462" s="766"/>
      <c r="E3462" s="783"/>
      <c r="F3462" s="142">
        <v>41074</v>
      </c>
      <c r="G3462" s="784">
        <f t="shared" si="68"/>
        <v>-41074</v>
      </c>
      <c r="H3462" s="13" t="s">
        <v>11958</v>
      </c>
    </row>
    <row r="3463" spans="1:8" x14ac:dyDescent="0.25">
      <c r="A3463" s="113">
        <v>45276</v>
      </c>
      <c r="B3463" s="21" t="s">
        <v>10232</v>
      </c>
      <c r="C3463" s="13" t="s">
        <v>164</v>
      </c>
      <c r="D3463" s="766"/>
      <c r="E3463" s="783"/>
      <c r="F3463" s="142">
        <v>32306</v>
      </c>
      <c r="G3463" s="784">
        <f t="shared" si="68"/>
        <v>-32306</v>
      </c>
      <c r="H3463" s="13" t="s">
        <v>11958</v>
      </c>
    </row>
    <row r="3464" spans="1:8" x14ac:dyDescent="0.25">
      <c r="A3464" s="113">
        <v>45276</v>
      </c>
      <c r="B3464" s="21" t="s">
        <v>10576</v>
      </c>
      <c r="C3464" s="13" t="s">
        <v>164</v>
      </c>
      <c r="D3464" s="766"/>
      <c r="E3464" s="783"/>
      <c r="F3464" s="142">
        <v>5887</v>
      </c>
      <c r="G3464" s="784">
        <f t="shared" si="68"/>
        <v>-5887</v>
      </c>
      <c r="H3464" s="13" t="s">
        <v>11958</v>
      </c>
    </row>
    <row r="3465" spans="1:8" x14ac:dyDescent="0.25">
      <c r="A3465" s="113">
        <v>45276</v>
      </c>
      <c r="B3465" s="21" t="s">
        <v>11446</v>
      </c>
      <c r="C3465" s="13" t="s">
        <v>164</v>
      </c>
      <c r="D3465" s="766"/>
      <c r="E3465" s="783"/>
      <c r="F3465" s="142">
        <v>52104</v>
      </c>
      <c r="G3465" s="784">
        <f t="shared" si="68"/>
        <v>-52104</v>
      </c>
      <c r="H3465" s="13" t="s">
        <v>11958</v>
      </c>
    </row>
    <row r="3466" spans="1:8" x14ac:dyDescent="0.25">
      <c r="A3466" s="113">
        <v>45276</v>
      </c>
      <c r="B3466" s="21" t="s">
        <v>11271</v>
      </c>
      <c r="C3466" s="13" t="s">
        <v>164</v>
      </c>
      <c r="D3466" s="766"/>
      <c r="E3466" s="783"/>
      <c r="F3466" s="142">
        <v>1420</v>
      </c>
      <c r="G3466" s="784">
        <f t="shared" si="68"/>
        <v>-1420</v>
      </c>
      <c r="H3466" s="13" t="s">
        <v>11958</v>
      </c>
    </row>
    <row r="3467" spans="1:8" ht="16.5" thickBot="1" x14ac:dyDescent="0.3">
      <c r="A3467" s="113">
        <v>45276</v>
      </c>
      <c r="B3467" s="21" t="s">
        <v>11617</v>
      </c>
      <c r="C3467" s="13" t="s">
        <v>164</v>
      </c>
      <c r="D3467" s="766"/>
      <c r="E3467" s="783"/>
      <c r="F3467" s="786">
        <v>12502</v>
      </c>
      <c r="G3467" s="784">
        <f t="shared" si="68"/>
        <v>-12502</v>
      </c>
      <c r="H3467" s="13" t="s">
        <v>11958</v>
      </c>
    </row>
    <row r="3468" spans="1:8" x14ac:dyDescent="0.25">
      <c r="A3468" s="113">
        <v>45276</v>
      </c>
      <c r="B3468" s="21" t="s">
        <v>11897</v>
      </c>
      <c r="C3468" s="13" t="s">
        <v>180</v>
      </c>
      <c r="D3468" s="766" t="s">
        <v>11969</v>
      </c>
      <c r="E3468" s="22">
        <v>1343560</v>
      </c>
      <c r="F3468" s="112"/>
      <c r="G3468" s="784">
        <f t="shared" si="68"/>
        <v>1343560</v>
      </c>
      <c r="H3468" s="13"/>
    </row>
    <row r="3469" spans="1:8" x14ac:dyDescent="0.25">
      <c r="A3469" s="113">
        <v>45276</v>
      </c>
      <c r="B3469" s="21" t="s">
        <v>11617</v>
      </c>
      <c r="C3469" s="13" t="s">
        <v>164</v>
      </c>
      <c r="D3469" s="766" t="s">
        <v>12056</v>
      </c>
      <c r="E3469" s="22">
        <v>1113</v>
      </c>
      <c r="F3469" s="112"/>
      <c r="G3469" s="784">
        <f t="shared" si="68"/>
        <v>1113</v>
      </c>
      <c r="H3469" s="13"/>
    </row>
    <row r="3470" spans="1:8" x14ac:dyDescent="0.25">
      <c r="A3470" s="113">
        <v>45278</v>
      </c>
      <c r="B3470" s="21" t="s">
        <v>11617</v>
      </c>
      <c r="C3470" s="13" t="s">
        <v>166</v>
      </c>
      <c r="D3470" s="766" t="s">
        <v>12065</v>
      </c>
      <c r="E3470" s="22">
        <v>6580</v>
      </c>
      <c r="F3470" s="112"/>
      <c r="G3470" s="784">
        <f t="shared" si="68"/>
        <v>6580</v>
      </c>
      <c r="H3470" s="13"/>
    </row>
    <row r="3471" spans="1:8" x14ac:dyDescent="0.25">
      <c r="A3471" s="113">
        <v>45280</v>
      </c>
      <c r="B3471" s="21" t="s">
        <v>10909</v>
      </c>
      <c r="C3471" s="13" t="s">
        <v>1198</v>
      </c>
      <c r="D3471" s="766" t="s">
        <v>11997</v>
      </c>
      <c r="E3471" s="22">
        <v>44000</v>
      </c>
      <c r="F3471" s="112"/>
      <c r="G3471" s="784">
        <f t="shared" si="68"/>
        <v>44000</v>
      </c>
      <c r="H3471" s="13"/>
    </row>
    <row r="3472" spans="1:8" x14ac:dyDescent="0.25">
      <c r="A3472" s="113">
        <v>45282</v>
      </c>
      <c r="B3472" s="21" t="s">
        <v>11897</v>
      </c>
      <c r="C3472" s="13" t="s">
        <v>180</v>
      </c>
      <c r="D3472" s="766" t="s">
        <v>12057</v>
      </c>
      <c r="E3472" s="22">
        <v>987960</v>
      </c>
      <c r="F3472" s="112"/>
      <c r="G3472" s="784">
        <f t="shared" si="68"/>
        <v>987960</v>
      </c>
      <c r="H3472" s="13"/>
    </row>
    <row r="3473" spans="1:8" x14ac:dyDescent="0.25">
      <c r="A3473" s="113">
        <v>45283</v>
      </c>
      <c r="B3473" s="21" t="s">
        <v>10909</v>
      </c>
      <c r="C3473" s="13" t="s">
        <v>12282</v>
      </c>
      <c r="D3473" s="766"/>
      <c r="E3473" s="22"/>
      <c r="F3473" s="19">
        <v>189553</v>
      </c>
      <c r="G3473" s="784">
        <f t="shared" si="68"/>
        <v>-189553</v>
      </c>
      <c r="H3473" s="13" t="s">
        <v>11986</v>
      </c>
    </row>
    <row r="3474" spans="1:8" x14ac:dyDescent="0.25">
      <c r="A3474" s="113">
        <v>45285</v>
      </c>
      <c r="B3474" s="21" t="s">
        <v>11617</v>
      </c>
      <c r="C3474" s="13" t="s">
        <v>8394</v>
      </c>
      <c r="D3474" s="766" t="s">
        <v>12051</v>
      </c>
      <c r="E3474" s="22">
        <v>717268</v>
      </c>
      <c r="F3474" s="19"/>
      <c r="G3474" s="784">
        <f t="shared" si="68"/>
        <v>717268</v>
      </c>
      <c r="H3474" s="13"/>
    </row>
    <row r="3475" spans="1:8" x14ac:dyDescent="0.25">
      <c r="A3475" s="113">
        <v>45285</v>
      </c>
      <c r="B3475" s="21" t="s">
        <v>10909</v>
      </c>
      <c r="C3475" s="13" t="s">
        <v>12282</v>
      </c>
      <c r="D3475" s="766"/>
      <c r="E3475" s="22"/>
      <c r="F3475" s="19">
        <v>472526</v>
      </c>
      <c r="G3475" s="784">
        <f t="shared" si="68"/>
        <v>-472526</v>
      </c>
      <c r="H3475" s="13" t="s">
        <v>11986</v>
      </c>
    </row>
    <row r="3476" spans="1:8" x14ac:dyDescent="0.25">
      <c r="A3476" s="113">
        <v>45286</v>
      </c>
      <c r="B3476" s="21" t="s">
        <v>10909</v>
      </c>
      <c r="C3476" s="13" t="s">
        <v>5187</v>
      </c>
      <c r="D3476" s="766" t="s">
        <v>12278</v>
      </c>
      <c r="E3476" s="22">
        <v>11148</v>
      </c>
      <c r="F3476" s="19"/>
      <c r="G3476" s="784">
        <f t="shared" si="68"/>
        <v>11148</v>
      </c>
      <c r="H3476" s="13" t="s">
        <v>12279</v>
      </c>
    </row>
    <row r="3477" spans="1:8" x14ac:dyDescent="0.25">
      <c r="A3477" s="113">
        <v>45286</v>
      </c>
      <c r="B3477" s="21" t="s">
        <v>10232</v>
      </c>
      <c r="C3477" s="13" t="s">
        <v>168</v>
      </c>
      <c r="D3477" s="766" t="s">
        <v>12054</v>
      </c>
      <c r="E3477" s="22">
        <v>14520</v>
      </c>
      <c r="F3477" s="19"/>
      <c r="G3477" s="784">
        <f t="shared" si="68"/>
        <v>14520</v>
      </c>
      <c r="H3477" s="13"/>
    </row>
    <row r="3478" spans="1:8" x14ac:dyDescent="0.25">
      <c r="A3478" s="113">
        <v>45286</v>
      </c>
      <c r="B3478" s="21" t="s">
        <v>11617</v>
      </c>
      <c r="C3478" s="13" t="s">
        <v>168</v>
      </c>
      <c r="D3478" s="766" t="s">
        <v>12055</v>
      </c>
      <c r="E3478" s="22">
        <v>382500</v>
      </c>
      <c r="F3478" s="19"/>
      <c r="G3478" s="784">
        <f t="shared" si="68"/>
        <v>382500</v>
      </c>
      <c r="H3478" s="13"/>
    </row>
    <row r="3479" spans="1:8" x14ac:dyDescent="0.25">
      <c r="A3479" s="113">
        <v>45286</v>
      </c>
      <c r="B3479" s="21" t="s">
        <v>9356</v>
      </c>
      <c r="C3479" s="13" t="s">
        <v>5681</v>
      </c>
      <c r="D3479" s="766"/>
      <c r="E3479" s="22"/>
      <c r="F3479" s="19">
        <v>500000</v>
      </c>
      <c r="G3479" s="784">
        <f t="shared" si="68"/>
        <v>-500000</v>
      </c>
      <c r="H3479" s="13" t="s">
        <v>12003</v>
      </c>
    </row>
    <row r="3480" spans="1:8" ht="16.5" thickBot="1" x14ac:dyDescent="0.3">
      <c r="A3480" s="113">
        <v>45286</v>
      </c>
      <c r="B3480" s="21" t="s">
        <v>9986</v>
      </c>
      <c r="C3480" s="13" t="s">
        <v>169</v>
      </c>
      <c r="D3480" s="766"/>
      <c r="E3480" s="22"/>
      <c r="F3480" s="110">
        <v>250000</v>
      </c>
      <c r="G3480" s="14">
        <f t="shared" si="68"/>
        <v>-250000</v>
      </c>
      <c r="H3480" s="13" t="s">
        <v>12003</v>
      </c>
    </row>
    <row r="3481" spans="1:8" x14ac:dyDescent="0.25">
      <c r="A3481" s="113">
        <v>45286</v>
      </c>
      <c r="B3481" s="21" t="s">
        <v>9986</v>
      </c>
      <c r="C3481" s="13" t="s">
        <v>166</v>
      </c>
      <c r="D3481" s="766"/>
      <c r="E3481" s="783"/>
      <c r="F3481" s="785">
        <v>91980</v>
      </c>
      <c r="G3481" s="784">
        <f t="shared" si="68"/>
        <v>-91980</v>
      </c>
      <c r="H3481" s="1168" t="s">
        <v>12067</v>
      </c>
    </row>
    <row r="3482" spans="1:8" x14ac:dyDescent="0.25">
      <c r="A3482" s="113">
        <v>45286</v>
      </c>
      <c r="B3482" s="21" t="s">
        <v>10151</v>
      </c>
      <c r="C3482" s="13" t="s">
        <v>166</v>
      </c>
      <c r="D3482" s="766"/>
      <c r="E3482" s="783"/>
      <c r="F3482" s="142">
        <v>21340</v>
      </c>
      <c r="G3482" s="784">
        <f t="shared" si="68"/>
        <v>-21340</v>
      </c>
      <c r="H3482" s="1168"/>
    </row>
    <row r="3483" spans="1:8" x14ac:dyDescent="0.25">
      <c r="A3483" s="113">
        <v>45286</v>
      </c>
      <c r="B3483" s="21" t="s">
        <v>10471</v>
      </c>
      <c r="C3483" s="13" t="s">
        <v>166</v>
      </c>
      <c r="D3483" s="766"/>
      <c r="E3483" s="783"/>
      <c r="F3483" s="142">
        <v>140985</v>
      </c>
      <c r="G3483" s="784">
        <f t="shared" si="68"/>
        <v>-140985</v>
      </c>
      <c r="H3483" s="1168"/>
    </row>
    <row r="3484" spans="1:8" x14ac:dyDescent="0.25">
      <c r="A3484" s="113">
        <v>45286</v>
      </c>
      <c r="B3484" s="21" t="s">
        <v>10232</v>
      </c>
      <c r="C3484" s="13" t="s">
        <v>166</v>
      </c>
      <c r="D3484" s="766"/>
      <c r="E3484" s="783"/>
      <c r="F3484" s="142">
        <v>15980</v>
      </c>
      <c r="G3484" s="784">
        <f t="shared" si="68"/>
        <v>-15980</v>
      </c>
      <c r="H3484" s="1168"/>
    </row>
    <row r="3485" spans="1:8" x14ac:dyDescent="0.25">
      <c r="A3485" s="113">
        <v>45286</v>
      </c>
      <c r="B3485" s="21" t="s">
        <v>10571</v>
      </c>
      <c r="C3485" s="13" t="s">
        <v>166</v>
      </c>
      <c r="D3485" s="766"/>
      <c r="E3485" s="783"/>
      <c r="F3485" s="142">
        <v>45000</v>
      </c>
      <c r="G3485" s="784">
        <f t="shared" si="68"/>
        <v>-45000</v>
      </c>
      <c r="H3485" s="1168"/>
    </row>
    <row r="3486" spans="1:8" x14ac:dyDescent="0.25">
      <c r="A3486" s="113">
        <v>45286</v>
      </c>
      <c r="B3486" s="21" t="s">
        <v>10379</v>
      </c>
      <c r="C3486" s="13" t="s">
        <v>166</v>
      </c>
      <c r="D3486" s="766"/>
      <c r="E3486" s="783"/>
      <c r="F3486" s="142">
        <v>114255</v>
      </c>
      <c r="G3486" s="784">
        <f t="shared" si="68"/>
        <v>-114255</v>
      </c>
      <c r="H3486" s="1168"/>
    </row>
    <row r="3487" spans="1:8" x14ac:dyDescent="0.25">
      <c r="A3487" s="113">
        <v>45286</v>
      </c>
      <c r="B3487" s="21" t="s">
        <v>10909</v>
      </c>
      <c r="C3487" s="13" t="s">
        <v>166</v>
      </c>
      <c r="D3487" s="766"/>
      <c r="E3487" s="783"/>
      <c r="F3487" s="142">
        <v>83530</v>
      </c>
      <c r="G3487" s="784">
        <f t="shared" si="68"/>
        <v>-83530</v>
      </c>
      <c r="H3487" s="1168"/>
    </row>
    <row r="3488" spans="1:8" x14ac:dyDescent="0.25">
      <c r="A3488" s="113">
        <v>45286</v>
      </c>
      <c r="B3488" s="21" t="s">
        <v>11007</v>
      </c>
      <c r="C3488" s="13" t="s">
        <v>166</v>
      </c>
      <c r="D3488" s="766"/>
      <c r="E3488" s="783"/>
      <c r="F3488" s="142">
        <v>65500</v>
      </c>
      <c r="G3488" s="784">
        <f t="shared" si="68"/>
        <v>-65500</v>
      </c>
      <c r="H3488" s="1168"/>
    </row>
    <row r="3489" spans="1:8" x14ac:dyDescent="0.25">
      <c r="A3489" s="113">
        <v>45286</v>
      </c>
      <c r="B3489" s="21" t="s">
        <v>11446</v>
      </c>
      <c r="C3489" s="13" t="s">
        <v>166</v>
      </c>
      <c r="D3489" s="766"/>
      <c r="E3489" s="783"/>
      <c r="F3489" s="142">
        <v>250855</v>
      </c>
      <c r="G3489" s="784">
        <f t="shared" si="68"/>
        <v>-250855</v>
      </c>
      <c r="H3489" s="1168"/>
    </row>
    <row r="3490" spans="1:8" x14ac:dyDescent="0.25">
      <c r="A3490" s="113">
        <v>45286</v>
      </c>
      <c r="B3490" s="21" t="s">
        <v>11617</v>
      </c>
      <c r="C3490" s="13" t="s">
        <v>166</v>
      </c>
      <c r="D3490" s="766"/>
      <c r="E3490" s="783"/>
      <c r="F3490" s="142">
        <v>41135</v>
      </c>
      <c r="G3490" s="784">
        <f t="shared" si="68"/>
        <v>-41135</v>
      </c>
      <c r="H3490" s="1168"/>
    </row>
    <row r="3491" spans="1:8" ht="16.5" thickBot="1" x14ac:dyDescent="0.3">
      <c r="A3491" s="113">
        <v>45286</v>
      </c>
      <c r="B3491" s="30"/>
      <c r="C3491" s="13" t="s">
        <v>166</v>
      </c>
      <c r="D3491" s="766"/>
      <c r="E3491" s="783"/>
      <c r="F3491" s="786">
        <v>205140</v>
      </c>
      <c r="G3491" s="784">
        <f t="shared" si="68"/>
        <v>-205140</v>
      </c>
      <c r="H3491" s="1169"/>
    </row>
    <row r="3492" spans="1:8" x14ac:dyDescent="0.25">
      <c r="A3492" s="113">
        <v>45286</v>
      </c>
      <c r="B3492" s="21" t="s">
        <v>10909</v>
      </c>
      <c r="C3492" s="13" t="s">
        <v>166</v>
      </c>
      <c r="D3492" s="766" t="s">
        <v>9812</v>
      </c>
      <c r="E3492" s="783">
        <v>3500</v>
      </c>
      <c r="F3492" s="214"/>
      <c r="G3492" s="784">
        <f t="shared" si="68"/>
        <v>3500</v>
      </c>
      <c r="H3492" s="1107"/>
    </row>
    <row r="3493" spans="1:8" x14ac:dyDescent="0.25">
      <c r="A3493" s="113">
        <v>45287</v>
      </c>
      <c r="B3493" s="21" t="s">
        <v>11897</v>
      </c>
      <c r="C3493" s="13" t="s">
        <v>12038</v>
      </c>
      <c r="D3493" s="766"/>
      <c r="E3493" s="22">
        <v>1044000</v>
      </c>
      <c r="F3493" s="112"/>
      <c r="G3493" s="14">
        <f>E3493-F3493</f>
        <v>1044000</v>
      </c>
      <c r="H3493" s="13"/>
    </row>
    <row r="3494" spans="1:8" x14ac:dyDescent="0.25">
      <c r="A3494" s="113">
        <v>45287</v>
      </c>
      <c r="B3494" s="21" t="s">
        <v>10909</v>
      </c>
      <c r="C3494" s="13" t="s">
        <v>8394</v>
      </c>
      <c r="D3494" s="766" t="s">
        <v>12052</v>
      </c>
      <c r="E3494" s="22">
        <v>26569</v>
      </c>
      <c r="F3494" s="19"/>
      <c r="G3494" s="14">
        <f>E3494-F3494</f>
        <v>26569</v>
      </c>
      <c r="H3494" s="13"/>
    </row>
    <row r="3495" spans="1:8" x14ac:dyDescent="0.25">
      <c r="A3495" s="113">
        <v>45287</v>
      </c>
      <c r="B3495" s="21" t="s">
        <v>11446</v>
      </c>
      <c r="C3495" s="13" t="s">
        <v>8394</v>
      </c>
      <c r="D3495" s="766" t="s">
        <v>12053</v>
      </c>
      <c r="E3495" s="22">
        <v>15289</v>
      </c>
      <c r="F3495" s="19"/>
      <c r="G3495" s="14">
        <f>E3495-F3495</f>
        <v>15289</v>
      </c>
      <c r="H3495" s="13"/>
    </row>
    <row r="3496" spans="1:8" x14ac:dyDescent="0.25">
      <c r="A3496" s="113">
        <v>45287</v>
      </c>
      <c r="B3496" s="21" t="s">
        <v>11897</v>
      </c>
      <c r="C3496" s="13" t="s">
        <v>12038</v>
      </c>
      <c r="D3496" s="766"/>
      <c r="E3496" s="22"/>
      <c r="F3496" s="19">
        <v>1000000</v>
      </c>
      <c r="G3496" s="14">
        <f>E3496-F3496</f>
        <v>-1000000</v>
      </c>
      <c r="H3496" s="13" t="s">
        <v>12037</v>
      </c>
    </row>
    <row r="3497" spans="1:8" x14ac:dyDescent="0.25">
      <c r="A3497" s="113">
        <v>45287</v>
      </c>
      <c r="B3497" s="30"/>
      <c r="C3497" s="13" t="s">
        <v>1803</v>
      </c>
      <c r="D3497" s="766"/>
      <c r="E3497" s="22"/>
      <c r="F3497" s="19">
        <v>250000</v>
      </c>
      <c r="G3497" s="14">
        <f t="shared" si="68"/>
        <v>-250000</v>
      </c>
      <c r="H3497" s="13" t="s">
        <v>12026</v>
      </c>
    </row>
    <row r="3498" spans="1:8" x14ac:dyDescent="0.25">
      <c r="A3498" s="113">
        <v>45288</v>
      </c>
      <c r="B3498" s="21" t="s">
        <v>10576</v>
      </c>
      <c r="C3498" s="13" t="s">
        <v>7467</v>
      </c>
      <c r="D3498" s="766"/>
      <c r="E3498" s="22"/>
      <c r="F3498" s="19">
        <v>1500000</v>
      </c>
      <c r="G3498" s="14">
        <f t="shared" si="68"/>
        <v>-1500000</v>
      </c>
      <c r="H3498" s="13" t="s">
        <v>12037</v>
      </c>
    </row>
    <row r="3499" spans="1:8" x14ac:dyDescent="0.25">
      <c r="A3499" s="113">
        <v>45288</v>
      </c>
      <c r="B3499" s="21" t="s">
        <v>10909</v>
      </c>
      <c r="C3499" s="13" t="s">
        <v>166</v>
      </c>
      <c r="D3499" s="766" t="s">
        <v>12139</v>
      </c>
      <c r="E3499" s="22">
        <v>7000</v>
      </c>
      <c r="F3499" s="19"/>
      <c r="G3499" s="14">
        <f t="shared" si="68"/>
        <v>7000</v>
      </c>
      <c r="H3499" s="13"/>
    </row>
    <row r="3500" spans="1:8" x14ac:dyDescent="0.25">
      <c r="A3500" s="113">
        <v>45289</v>
      </c>
      <c r="B3500" s="21" t="s">
        <v>10576</v>
      </c>
      <c r="C3500" s="13" t="s">
        <v>8091</v>
      </c>
      <c r="D3500" s="766"/>
      <c r="E3500" s="22"/>
      <c r="F3500" s="19">
        <v>1000000</v>
      </c>
      <c r="G3500" s="14">
        <f t="shared" si="68"/>
        <v>-1000000</v>
      </c>
      <c r="H3500" s="13" t="s">
        <v>12037</v>
      </c>
    </row>
    <row r="3501" spans="1:8" x14ac:dyDescent="0.25">
      <c r="A3501" s="113">
        <v>45289</v>
      </c>
      <c r="B3501" s="21" t="s">
        <v>11617</v>
      </c>
      <c r="C3501" s="13" t="s">
        <v>180</v>
      </c>
      <c r="D3501" s="766"/>
      <c r="E3501" s="22"/>
      <c r="F3501" s="19">
        <v>250000</v>
      </c>
      <c r="G3501" s="14">
        <f t="shared" si="68"/>
        <v>-250000</v>
      </c>
      <c r="H3501" s="13" t="s">
        <v>12026</v>
      </c>
    </row>
    <row r="3502" spans="1:8" x14ac:dyDescent="0.25">
      <c r="A3502" s="113">
        <v>45289</v>
      </c>
      <c r="B3502" s="21" t="s">
        <v>10232</v>
      </c>
      <c r="C3502" s="13" t="s">
        <v>7467</v>
      </c>
      <c r="D3502" s="766"/>
      <c r="E3502" s="22"/>
      <c r="F3502" s="19">
        <v>1000000</v>
      </c>
      <c r="G3502" s="14">
        <f t="shared" si="68"/>
        <v>-1000000</v>
      </c>
      <c r="H3502" s="13" t="s">
        <v>12037</v>
      </c>
    </row>
    <row r="3503" spans="1:8" x14ac:dyDescent="0.25">
      <c r="A3503" s="113">
        <v>45289</v>
      </c>
      <c r="B3503" s="21" t="s">
        <v>11897</v>
      </c>
      <c r="C3503" s="13" t="s">
        <v>8091</v>
      </c>
      <c r="D3503" s="766"/>
      <c r="E3503" s="22">
        <v>2000000</v>
      </c>
      <c r="F3503" s="19"/>
      <c r="G3503" s="14">
        <f t="shared" si="68"/>
        <v>2000000</v>
      </c>
      <c r="H3503" s="54" t="s">
        <v>12339</v>
      </c>
    </row>
    <row r="3504" spans="1:8" x14ac:dyDescent="0.25">
      <c r="A3504" s="113">
        <v>45289</v>
      </c>
      <c r="B3504" s="21" t="s">
        <v>11897</v>
      </c>
      <c r="C3504" s="13" t="s">
        <v>8091</v>
      </c>
      <c r="D3504" s="766"/>
      <c r="E3504" s="22"/>
      <c r="F3504" s="19">
        <v>1000000</v>
      </c>
      <c r="G3504" s="14">
        <f t="shared" si="68"/>
        <v>-1000000</v>
      </c>
      <c r="H3504" s="54" t="s">
        <v>12035</v>
      </c>
    </row>
    <row r="3505" spans="1:8" x14ac:dyDescent="0.25">
      <c r="A3505" s="113">
        <v>45289</v>
      </c>
      <c r="B3505" s="21" t="s">
        <v>11897</v>
      </c>
      <c r="C3505" s="13" t="s">
        <v>8091</v>
      </c>
      <c r="D3505" s="766"/>
      <c r="E3505" s="22"/>
      <c r="F3505" s="19">
        <v>250000</v>
      </c>
      <c r="G3505" s="14">
        <f t="shared" si="68"/>
        <v>-250000</v>
      </c>
      <c r="H3505" s="54" t="s">
        <v>12036</v>
      </c>
    </row>
    <row r="3506" spans="1:8" x14ac:dyDescent="0.25">
      <c r="A3506" s="113">
        <v>45289</v>
      </c>
      <c r="B3506" s="21" t="s">
        <v>11897</v>
      </c>
      <c r="C3506" s="13" t="s">
        <v>8091</v>
      </c>
      <c r="D3506" s="766"/>
      <c r="E3506" s="22"/>
      <c r="F3506" s="19">
        <v>250000</v>
      </c>
      <c r="G3506" s="14">
        <f t="shared" si="68"/>
        <v>-250000</v>
      </c>
      <c r="H3506" s="54" t="s">
        <v>12036</v>
      </c>
    </row>
    <row r="3507" spans="1:8" x14ac:dyDescent="0.25">
      <c r="A3507" s="113">
        <v>45293</v>
      </c>
      <c r="B3507" s="21" t="s">
        <v>9832</v>
      </c>
      <c r="C3507" s="13" t="s">
        <v>180</v>
      </c>
      <c r="D3507" s="766"/>
      <c r="E3507" s="22">
        <v>199500</v>
      </c>
      <c r="F3507" s="19"/>
      <c r="G3507" s="14">
        <f t="shared" si="68"/>
        <v>199500</v>
      </c>
      <c r="H3507" s="54"/>
    </row>
    <row r="3508" spans="1:8" x14ac:dyDescent="0.25">
      <c r="A3508" s="113">
        <v>45294</v>
      </c>
      <c r="B3508" s="21" t="s">
        <v>10571</v>
      </c>
      <c r="C3508" s="13" t="s">
        <v>5681</v>
      </c>
      <c r="D3508" s="766"/>
      <c r="E3508" s="22"/>
      <c r="F3508" s="19">
        <v>60000</v>
      </c>
      <c r="G3508" s="14">
        <f t="shared" si="68"/>
        <v>-60000</v>
      </c>
      <c r="H3508" s="1247" t="s">
        <v>12003</v>
      </c>
    </row>
    <row r="3509" spans="1:8" x14ac:dyDescent="0.25">
      <c r="A3509" s="113">
        <v>45294</v>
      </c>
      <c r="B3509" s="21" t="s">
        <v>10379</v>
      </c>
      <c r="C3509" s="13" t="s">
        <v>5681</v>
      </c>
      <c r="D3509" s="766"/>
      <c r="E3509" s="22"/>
      <c r="F3509" s="19">
        <v>190000</v>
      </c>
      <c r="G3509" s="14">
        <f t="shared" si="68"/>
        <v>-190000</v>
      </c>
      <c r="H3509" s="1248"/>
    </row>
    <row r="3510" spans="1:8" x14ac:dyDescent="0.25">
      <c r="A3510" s="113">
        <v>45294</v>
      </c>
      <c r="B3510" s="21" t="s">
        <v>10909</v>
      </c>
      <c r="C3510" s="13" t="s">
        <v>12496</v>
      </c>
      <c r="D3510" s="766"/>
      <c r="E3510" s="22"/>
      <c r="F3510" s="19">
        <v>500000</v>
      </c>
      <c r="G3510" s="14">
        <f t="shared" si="68"/>
        <v>-500000</v>
      </c>
      <c r="H3510" s="54" t="s">
        <v>12036</v>
      </c>
    </row>
    <row r="3511" spans="1:8" ht="18.75" x14ac:dyDescent="0.25">
      <c r="A3511" s="113">
        <v>45294</v>
      </c>
      <c r="B3511" s="21" t="s">
        <v>11089</v>
      </c>
      <c r="C3511" s="13" t="s">
        <v>180</v>
      </c>
      <c r="D3511" s="766" t="s">
        <v>12143</v>
      </c>
      <c r="E3511" s="22">
        <v>1154145</v>
      </c>
      <c r="F3511" s="19"/>
      <c r="G3511" s="14">
        <f t="shared" si="68"/>
        <v>1154145</v>
      </c>
      <c r="H3511" s="927" t="s">
        <v>12144</v>
      </c>
    </row>
    <row r="3512" spans="1:8" x14ac:dyDescent="0.25">
      <c r="A3512" s="113">
        <v>45295</v>
      </c>
      <c r="B3512" s="21" t="s">
        <v>11089</v>
      </c>
      <c r="C3512" s="13" t="s">
        <v>180</v>
      </c>
      <c r="D3512" s="766"/>
      <c r="E3512" s="22"/>
      <c r="F3512" s="19">
        <v>1154145</v>
      </c>
      <c r="G3512" s="14">
        <f t="shared" si="68"/>
        <v>-1154145</v>
      </c>
      <c r="H3512" s="13" t="s">
        <v>12135</v>
      </c>
    </row>
    <row r="3513" spans="1:8" x14ac:dyDescent="0.25">
      <c r="A3513" s="113">
        <v>45295</v>
      </c>
      <c r="B3513" s="21" t="s">
        <v>8559</v>
      </c>
      <c r="C3513" s="13" t="s">
        <v>164</v>
      </c>
      <c r="D3513" s="766" t="s">
        <v>12493</v>
      </c>
      <c r="E3513" s="22">
        <v>111994</v>
      </c>
      <c r="F3513" s="19"/>
      <c r="G3513" s="14">
        <f t="shared" si="68"/>
        <v>111994</v>
      </c>
      <c r="H3513" s="54"/>
    </row>
    <row r="3514" spans="1:8" x14ac:dyDescent="0.25">
      <c r="A3514" s="113">
        <v>45295</v>
      </c>
      <c r="B3514" s="21" t="s">
        <v>11897</v>
      </c>
      <c r="C3514" s="13" t="s">
        <v>7242</v>
      </c>
      <c r="D3514" s="766"/>
      <c r="E3514" s="22"/>
      <c r="F3514" s="19">
        <v>750000</v>
      </c>
      <c r="G3514" s="14">
        <f t="shared" si="68"/>
        <v>-750000</v>
      </c>
      <c r="H3514" s="54" t="s">
        <v>12137</v>
      </c>
    </row>
    <row r="3515" spans="1:8" x14ac:dyDescent="0.25">
      <c r="A3515" s="113">
        <v>45295</v>
      </c>
      <c r="B3515" s="21" t="s">
        <v>10232</v>
      </c>
      <c r="C3515" s="13" t="s">
        <v>8394</v>
      </c>
      <c r="D3515" s="766"/>
      <c r="E3515" s="22"/>
      <c r="F3515" s="19">
        <v>250000</v>
      </c>
      <c r="G3515" s="14">
        <f t="shared" si="68"/>
        <v>-250000</v>
      </c>
      <c r="H3515" s="1220" t="s">
        <v>12138</v>
      </c>
    </row>
    <row r="3516" spans="1:8" x14ac:dyDescent="0.25">
      <c r="A3516" s="113">
        <v>45295</v>
      </c>
      <c r="B3516" s="21" t="s">
        <v>11446</v>
      </c>
      <c r="C3516" s="13" t="s">
        <v>8394</v>
      </c>
      <c r="D3516" s="766"/>
      <c r="E3516" s="22"/>
      <c r="F3516" s="19">
        <v>250000</v>
      </c>
      <c r="G3516" s="14">
        <f t="shared" si="68"/>
        <v>-250000</v>
      </c>
      <c r="H3516" s="1221"/>
    </row>
    <row r="3517" spans="1:8" x14ac:dyDescent="0.25">
      <c r="A3517" s="113">
        <v>45295</v>
      </c>
      <c r="B3517" s="21" t="s">
        <v>11617</v>
      </c>
      <c r="C3517" s="13" t="s">
        <v>8394</v>
      </c>
      <c r="D3517" s="766"/>
      <c r="E3517" s="22"/>
      <c r="F3517" s="19">
        <v>500000</v>
      </c>
      <c r="G3517" s="14">
        <f t="shared" si="68"/>
        <v>-500000</v>
      </c>
      <c r="H3517" s="1222"/>
    </row>
    <row r="3518" spans="1:8" x14ac:dyDescent="0.25">
      <c r="A3518" s="113">
        <v>45295</v>
      </c>
      <c r="B3518" s="21" t="s">
        <v>11897</v>
      </c>
      <c r="C3518" s="13" t="s">
        <v>180</v>
      </c>
      <c r="D3518" s="766" t="s">
        <v>12141</v>
      </c>
      <c r="E3518" s="22">
        <v>94520</v>
      </c>
      <c r="F3518" s="19"/>
      <c r="G3518" s="14">
        <f t="shared" si="68"/>
        <v>94520</v>
      </c>
      <c r="H3518" s="343"/>
    </row>
    <row r="3519" spans="1:8" x14ac:dyDescent="0.25">
      <c r="A3519" s="113">
        <v>45295</v>
      </c>
      <c r="B3519" s="21" t="s">
        <v>10909</v>
      </c>
      <c r="C3519" s="13" t="s">
        <v>168</v>
      </c>
      <c r="D3519" s="766" t="s">
        <v>12244</v>
      </c>
      <c r="E3519" s="22">
        <v>8400</v>
      </c>
      <c r="F3519" s="19"/>
      <c r="G3519" s="14">
        <f t="shared" si="68"/>
        <v>8400</v>
      </c>
      <c r="H3519" s="343"/>
    </row>
    <row r="3520" spans="1:8" x14ac:dyDescent="0.25">
      <c r="A3520" s="113">
        <v>45297</v>
      </c>
      <c r="B3520" s="21" t="s">
        <v>11897</v>
      </c>
      <c r="C3520" s="13" t="s">
        <v>180</v>
      </c>
      <c r="D3520" s="766" t="s">
        <v>12142</v>
      </c>
      <c r="E3520" s="22">
        <v>9630</v>
      </c>
      <c r="F3520" s="19"/>
      <c r="G3520" s="14">
        <f t="shared" si="68"/>
        <v>9630</v>
      </c>
      <c r="H3520" s="343"/>
    </row>
    <row r="3521" spans="1:8" x14ac:dyDescent="0.25">
      <c r="A3521" s="113">
        <v>45299</v>
      </c>
      <c r="B3521" s="21" t="s">
        <v>9832</v>
      </c>
      <c r="C3521" s="13" t="s">
        <v>166</v>
      </c>
      <c r="D3521" s="766" t="s">
        <v>12140</v>
      </c>
      <c r="E3521" s="22">
        <v>33840</v>
      </c>
      <c r="F3521" s="19"/>
      <c r="G3521" s="14">
        <f t="shared" si="68"/>
        <v>33840</v>
      </c>
      <c r="H3521" s="13"/>
    </row>
    <row r="3522" spans="1:8" x14ac:dyDescent="0.25">
      <c r="A3522" s="113">
        <v>45299</v>
      </c>
      <c r="B3522" s="21" t="s">
        <v>11617</v>
      </c>
      <c r="C3522" s="13" t="s">
        <v>168</v>
      </c>
      <c r="D3522" s="766" t="s">
        <v>12245</v>
      </c>
      <c r="E3522" s="22">
        <v>102000</v>
      </c>
      <c r="F3522" s="19"/>
      <c r="G3522" s="14">
        <f t="shared" si="68"/>
        <v>102000</v>
      </c>
      <c r="H3522" s="13"/>
    </row>
    <row r="3523" spans="1:8" x14ac:dyDescent="0.25">
      <c r="A3523" s="113">
        <v>45299</v>
      </c>
      <c r="B3523" s="21" t="s">
        <v>12247</v>
      </c>
      <c r="C3523" s="13" t="s">
        <v>168</v>
      </c>
      <c r="D3523" s="766" t="s">
        <v>12246</v>
      </c>
      <c r="E3523" s="22">
        <v>82500</v>
      </c>
      <c r="F3523" s="19"/>
      <c r="G3523" s="14">
        <f t="shared" si="68"/>
        <v>82500</v>
      </c>
      <c r="H3523" s="13"/>
    </row>
    <row r="3524" spans="1:8" x14ac:dyDescent="0.25">
      <c r="A3524" s="113">
        <v>45299</v>
      </c>
      <c r="B3524" s="21"/>
      <c r="C3524" s="13" t="s">
        <v>164</v>
      </c>
      <c r="D3524" s="766" t="s">
        <v>12491</v>
      </c>
      <c r="E3524" s="22">
        <v>34317</v>
      </c>
      <c r="F3524" s="19"/>
      <c r="G3524" s="14">
        <f t="shared" si="68"/>
        <v>34317</v>
      </c>
      <c r="H3524" s="54"/>
    </row>
    <row r="3525" spans="1:8" x14ac:dyDescent="0.25">
      <c r="A3525" s="113">
        <v>45300</v>
      </c>
      <c r="B3525" s="21" t="s">
        <v>10296</v>
      </c>
      <c r="C3525" s="13" t="s">
        <v>8394</v>
      </c>
      <c r="D3525" s="766"/>
      <c r="E3525" s="22"/>
      <c r="F3525" s="19">
        <v>25780</v>
      </c>
      <c r="G3525" s="14">
        <f t="shared" ref="G3525:G3561" si="69">E3525-F3525</f>
        <v>-25780</v>
      </c>
      <c r="H3525" s="1172" t="s">
        <v>12311</v>
      </c>
    </row>
    <row r="3526" spans="1:8" x14ac:dyDescent="0.25">
      <c r="A3526" s="113">
        <v>45300</v>
      </c>
      <c r="B3526" s="21" t="s">
        <v>10232</v>
      </c>
      <c r="C3526" s="13" t="s">
        <v>8394</v>
      </c>
      <c r="D3526" s="766"/>
      <c r="E3526" s="22"/>
      <c r="F3526" s="19">
        <v>10470</v>
      </c>
      <c r="G3526" s="14">
        <f t="shared" si="69"/>
        <v>-10470</v>
      </c>
      <c r="H3526" s="1224"/>
    </row>
    <row r="3527" spans="1:8" x14ac:dyDescent="0.25">
      <c r="A3527" s="113">
        <v>45300</v>
      </c>
      <c r="B3527" s="21" t="s">
        <v>10576</v>
      </c>
      <c r="C3527" s="13" t="s">
        <v>8394</v>
      </c>
      <c r="D3527" s="766"/>
      <c r="E3527" s="22"/>
      <c r="F3527" s="19">
        <v>1347</v>
      </c>
      <c r="G3527" s="14">
        <f t="shared" si="69"/>
        <v>-1347</v>
      </c>
      <c r="H3527" s="1224"/>
    </row>
    <row r="3528" spans="1:8" x14ac:dyDescent="0.25">
      <c r="A3528" s="113">
        <v>45300</v>
      </c>
      <c r="B3528" s="21" t="s">
        <v>10909</v>
      </c>
      <c r="C3528" s="13" t="s">
        <v>8394</v>
      </c>
      <c r="D3528" s="766"/>
      <c r="E3528" s="22"/>
      <c r="F3528" s="19">
        <v>187415</v>
      </c>
      <c r="G3528" s="14">
        <f t="shared" si="69"/>
        <v>-187415</v>
      </c>
      <c r="H3528" s="1224"/>
    </row>
    <row r="3529" spans="1:8" x14ac:dyDescent="0.25">
      <c r="A3529" s="113">
        <v>45300</v>
      </c>
      <c r="B3529" s="21" t="s">
        <v>11007</v>
      </c>
      <c r="C3529" s="13" t="s">
        <v>8394</v>
      </c>
      <c r="D3529" s="766"/>
      <c r="E3529" s="22"/>
      <c r="F3529" s="19">
        <v>4390</v>
      </c>
      <c r="G3529" s="14">
        <f t="shared" si="69"/>
        <v>-4390</v>
      </c>
      <c r="H3529" s="1224"/>
    </row>
    <row r="3530" spans="1:8" x14ac:dyDescent="0.25">
      <c r="A3530" s="113">
        <v>45300</v>
      </c>
      <c r="B3530" s="21" t="s">
        <v>11075</v>
      </c>
      <c r="C3530" s="13" t="s">
        <v>8394</v>
      </c>
      <c r="D3530" s="766"/>
      <c r="E3530" s="22"/>
      <c r="F3530" s="19">
        <v>75122</v>
      </c>
      <c r="G3530" s="14">
        <f t="shared" si="69"/>
        <v>-75122</v>
      </c>
      <c r="H3530" s="1224"/>
    </row>
    <row r="3531" spans="1:8" x14ac:dyDescent="0.25">
      <c r="A3531" s="113">
        <v>45300</v>
      </c>
      <c r="B3531" s="21" t="s">
        <v>11446</v>
      </c>
      <c r="C3531" s="13" t="s">
        <v>8394</v>
      </c>
      <c r="D3531" s="766"/>
      <c r="E3531" s="22"/>
      <c r="F3531" s="19">
        <v>130168</v>
      </c>
      <c r="G3531" s="14">
        <f t="shared" si="69"/>
        <v>-130168</v>
      </c>
      <c r="H3531" s="1224"/>
    </row>
    <row r="3532" spans="1:8" x14ac:dyDescent="0.25">
      <c r="A3532" s="113">
        <v>45300</v>
      </c>
      <c r="B3532" s="21" t="s">
        <v>11271</v>
      </c>
      <c r="C3532" s="13" t="s">
        <v>8394</v>
      </c>
      <c r="D3532" s="766"/>
      <c r="E3532" s="22"/>
      <c r="F3532" s="19">
        <v>13416</v>
      </c>
      <c r="G3532" s="14">
        <f t="shared" si="69"/>
        <v>-13416</v>
      </c>
      <c r="H3532" s="1224"/>
    </row>
    <row r="3533" spans="1:8" x14ac:dyDescent="0.25">
      <c r="A3533" s="113">
        <v>45300</v>
      </c>
      <c r="B3533" s="21" t="s">
        <v>11716</v>
      </c>
      <c r="C3533" s="13" t="s">
        <v>8394</v>
      </c>
      <c r="D3533" s="766"/>
      <c r="E3533" s="22"/>
      <c r="F3533" s="19">
        <v>56173</v>
      </c>
      <c r="G3533" s="14">
        <f t="shared" si="69"/>
        <v>-56173</v>
      </c>
      <c r="H3533" s="1224"/>
    </row>
    <row r="3534" spans="1:8" x14ac:dyDescent="0.25">
      <c r="A3534" s="113">
        <v>45300</v>
      </c>
      <c r="B3534" s="21" t="s">
        <v>11511</v>
      </c>
      <c r="C3534" s="13" t="s">
        <v>8394</v>
      </c>
      <c r="D3534" s="766"/>
      <c r="E3534" s="22"/>
      <c r="F3534" s="19">
        <v>73043</v>
      </c>
      <c r="G3534" s="14">
        <f t="shared" si="69"/>
        <v>-73043</v>
      </c>
      <c r="H3534" s="1224"/>
    </row>
    <row r="3535" spans="1:8" x14ac:dyDescent="0.25">
      <c r="A3535" s="113">
        <v>45300</v>
      </c>
      <c r="B3535" s="21" t="s">
        <v>11617</v>
      </c>
      <c r="C3535" s="13" t="s">
        <v>8394</v>
      </c>
      <c r="D3535" s="766"/>
      <c r="E3535" s="22"/>
      <c r="F3535" s="19">
        <v>322676</v>
      </c>
      <c r="G3535" s="14">
        <f t="shared" si="69"/>
        <v>-322676</v>
      </c>
      <c r="H3535" s="1173"/>
    </row>
    <row r="3536" spans="1:8" x14ac:dyDescent="0.25">
      <c r="A3536" s="113">
        <v>45300</v>
      </c>
      <c r="B3536" s="21" t="s">
        <v>9832</v>
      </c>
      <c r="C3536" s="13" t="s">
        <v>164</v>
      </c>
      <c r="D3536" s="766" t="s">
        <v>12495</v>
      </c>
      <c r="E3536" s="22">
        <v>30000</v>
      </c>
      <c r="F3536" s="19"/>
      <c r="G3536" s="14">
        <f t="shared" si="69"/>
        <v>30000</v>
      </c>
      <c r="H3536" s="956"/>
    </row>
    <row r="3537" spans="1:8" x14ac:dyDescent="0.25">
      <c r="A3537" s="113">
        <v>45301</v>
      </c>
      <c r="B3537" s="21" t="s">
        <v>10909</v>
      </c>
      <c r="C3537" s="13" t="s">
        <v>166</v>
      </c>
      <c r="D3537" s="766" t="s">
        <v>12479</v>
      </c>
      <c r="E3537" s="22">
        <v>10500</v>
      </c>
      <c r="F3537" s="19"/>
      <c r="G3537" s="14">
        <f t="shared" si="69"/>
        <v>10500</v>
      </c>
      <c r="H3537" s="956"/>
    </row>
    <row r="3538" spans="1:8" x14ac:dyDescent="0.25">
      <c r="A3538" s="113">
        <v>45301</v>
      </c>
      <c r="B3538" s="21" t="s">
        <v>11897</v>
      </c>
      <c r="C3538" s="13" t="s">
        <v>168</v>
      </c>
      <c r="D3538" s="766" t="s">
        <v>12248</v>
      </c>
      <c r="E3538" s="22">
        <v>239352</v>
      </c>
      <c r="F3538" s="19"/>
      <c r="G3538" s="14">
        <f t="shared" si="69"/>
        <v>239352</v>
      </c>
      <c r="H3538" s="13"/>
    </row>
    <row r="3539" spans="1:8" x14ac:dyDescent="0.25">
      <c r="A3539" s="113">
        <v>45301</v>
      </c>
      <c r="B3539" s="21" t="s">
        <v>11897</v>
      </c>
      <c r="C3539" s="13" t="s">
        <v>168</v>
      </c>
      <c r="D3539" s="766" t="s">
        <v>12249</v>
      </c>
      <c r="E3539" s="22">
        <v>115501</v>
      </c>
      <c r="F3539" s="19"/>
      <c r="G3539" s="14">
        <f t="shared" si="69"/>
        <v>115501</v>
      </c>
      <c r="H3539" s="13"/>
    </row>
    <row r="3540" spans="1:8" ht="16.5" thickBot="1" x14ac:dyDescent="0.3">
      <c r="A3540" s="113">
        <v>45302</v>
      </c>
      <c r="B3540" s="21" t="s">
        <v>11897</v>
      </c>
      <c r="C3540" s="13" t="s">
        <v>7242</v>
      </c>
      <c r="D3540" s="766"/>
      <c r="E3540" s="22"/>
      <c r="F3540" s="110">
        <v>306300</v>
      </c>
      <c r="G3540" s="14">
        <f t="shared" si="69"/>
        <v>-306300</v>
      </c>
      <c r="H3540" s="13" t="s">
        <v>12165</v>
      </c>
    </row>
    <row r="3541" spans="1:8" x14ac:dyDescent="0.25">
      <c r="A3541" s="113">
        <v>45303</v>
      </c>
      <c r="B3541" s="21" t="s">
        <v>9967</v>
      </c>
      <c r="C3541" s="13" t="s">
        <v>168</v>
      </c>
      <c r="D3541" s="766"/>
      <c r="E3541" s="783"/>
      <c r="F3541" s="785">
        <v>148537</v>
      </c>
      <c r="G3541" s="784">
        <f t="shared" si="69"/>
        <v>-148537</v>
      </c>
      <c r="H3541" s="1220" t="s">
        <v>12283</v>
      </c>
    </row>
    <row r="3542" spans="1:8" x14ac:dyDescent="0.25">
      <c r="A3542" s="113">
        <v>45303</v>
      </c>
      <c r="B3542" s="21" t="s">
        <v>10296</v>
      </c>
      <c r="C3542" s="13" t="s">
        <v>168</v>
      </c>
      <c r="D3542" s="766"/>
      <c r="E3542" s="783"/>
      <c r="F3542" s="142">
        <v>8740</v>
      </c>
      <c r="G3542" s="784">
        <f t="shared" si="69"/>
        <v>-8740</v>
      </c>
      <c r="H3542" s="1221"/>
    </row>
    <row r="3543" spans="1:8" x14ac:dyDescent="0.25">
      <c r="A3543" s="113">
        <v>45303</v>
      </c>
      <c r="B3543" s="21" t="s">
        <v>10571</v>
      </c>
      <c r="C3543" s="13" t="s">
        <v>168</v>
      </c>
      <c r="D3543" s="766"/>
      <c r="E3543" s="783"/>
      <c r="F3543" s="142">
        <v>91300</v>
      </c>
      <c r="G3543" s="784">
        <f t="shared" si="69"/>
        <v>-91300</v>
      </c>
      <c r="H3543" s="1221"/>
    </row>
    <row r="3544" spans="1:8" x14ac:dyDescent="0.25">
      <c r="A3544" s="113">
        <v>45303</v>
      </c>
      <c r="B3544" s="21" t="s">
        <v>7807</v>
      </c>
      <c r="C3544" s="13" t="s">
        <v>168</v>
      </c>
      <c r="D3544" s="766"/>
      <c r="E3544" s="783"/>
      <c r="F3544" s="142">
        <v>10980</v>
      </c>
      <c r="G3544" s="784">
        <f t="shared" si="69"/>
        <v>-10980</v>
      </c>
      <c r="H3544" s="1221"/>
    </row>
    <row r="3545" spans="1:8" x14ac:dyDescent="0.25">
      <c r="A3545" s="113">
        <v>45303</v>
      </c>
      <c r="B3545" s="21" t="s">
        <v>10379</v>
      </c>
      <c r="C3545" s="13" t="s">
        <v>168</v>
      </c>
      <c r="D3545" s="766"/>
      <c r="E3545" s="783"/>
      <c r="F3545" s="142">
        <v>206520</v>
      </c>
      <c r="G3545" s="784">
        <f t="shared" si="69"/>
        <v>-206520</v>
      </c>
      <c r="H3545" s="1221"/>
    </row>
    <row r="3546" spans="1:8" x14ac:dyDescent="0.25">
      <c r="A3546" s="113">
        <v>45303</v>
      </c>
      <c r="B3546" s="21" t="s">
        <v>11271</v>
      </c>
      <c r="C3546" s="13" t="s">
        <v>168</v>
      </c>
      <c r="D3546" s="766"/>
      <c r="E3546" s="783"/>
      <c r="F3546" s="142">
        <v>19640</v>
      </c>
      <c r="G3546" s="784">
        <f t="shared" si="69"/>
        <v>-19640</v>
      </c>
      <c r="H3546" s="1221"/>
    </row>
    <row r="3547" spans="1:8" x14ac:dyDescent="0.25">
      <c r="A3547" s="113">
        <v>45303</v>
      </c>
      <c r="B3547" s="21" t="s">
        <v>10471</v>
      </c>
      <c r="C3547" s="13" t="s">
        <v>168</v>
      </c>
      <c r="D3547" s="766"/>
      <c r="E3547" s="783"/>
      <c r="F3547" s="142">
        <v>259118</v>
      </c>
      <c r="G3547" s="784">
        <f t="shared" si="69"/>
        <v>-259118</v>
      </c>
      <c r="H3547" s="1221"/>
    </row>
    <row r="3548" spans="1:8" ht="16.5" thickBot="1" x14ac:dyDescent="0.3">
      <c r="A3548" s="113">
        <v>45303</v>
      </c>
      <c r="B3548" s="21" t="s">
        <v>10576</v>
      </c>
      <c r="C3548" s="13" t="s">
        <v>168</v>
      </c>
      <c r="D3548" s="766"/>
      <c r="E3548" s="783"/>
      <c r="F3548" s="786">
        <v>5165</v>
      </c>
      <c r="G3548" s="784">
        <f t="shared" si="69"/>
        <v>-5165</v>
      </c>
      <c r="H3548" s="1222"/>
    </row>
    <row r="3549" spans="1:8" x14ac:dyDescent="0.25">
      <c r="A3549" s="113">
        <v>45304</v>
      </c>
      <c r="B3549" s="21" t="s">
        <v>11897</v>
      </c>
      <c r="C3549" s="13" t="s">
        <v>7467</v>
      </c>
      <c r="D3549" s="766" t="s">
        <v>12242</v>
      </c>
      <c r="E3549" s="22">
        <v>816740</v>
      </c>
      <c r="F3549" s="19"/>
      <c r="G3549" s="14">
        <f t="shared" si="69"/>
        <v>816740</v>
      </c>
      <c r="H3549" s="13"/>
    </row>
    <row r="3550" spans="1:8" x14ac:dyDescent="0.25">
      <c r="A3550" s="113">
        <v>45304</v>
      </c>
      <c r="B3550" s="21" t="s">
        <v>11897</v>
      </c>
      <c r="C3550" s="13" t="s">
        <v>168</v>
      </c>
      <c r="D3550" s="766" t="s">
        <v>12250</v>
      </c>
      <c r="E3550" s="22">
        <v>328130</v>
      </c>
      <c r="F3550" s="19"/>
      <c r="G3550" s="14">
        <f t="shared" si="69"/>
        <v>328130</v>
      </c>
      <c r="H3550" s="13"/>
    </row>
    <row r="3551" spans="1:8" x14ac:dyDescent="0.25">
      <c r="A3551" s="113">
        <v>45304</v>
      </c>
      <c r="B3551" s="21" t="s">
        <v>11897</v>
      </c>
      <c r="C3551" s="13" t="s">
        <v>168</v>
      </c>
      <c r="D3551" s="766" t="s">
        <v>11917</v>
      </c>
      <c r="E3551" s="22">
        <v>151031</v>
      </c>
      <c r="F3551" s="19"/>
      <c r="G3551" s="14">
        <f t="shared" si="69"/>
        <v>151031</v>
      </c>
      <c r="H3551" s="13"/>
    </row>
    <row r="3552" spans="1:8" x14ac:dyDescent="0.25">
      <c r="A3552" s="113">
        <v>45304</v>
      </c>
      <c r="B3552" s="21" t="s">
        <v>11897</v>
      </c>
      <c r="C3552" s="13" t="s">
        <v>180</v>
      </c>
      <c r="D3552" s="766" t="s">
        <v>12254</v>
      </c>
      <c r="E3552" s="22">
        <v>408700</v>
      </c>
      <c r="F3552" s="19"/>
      <c r="G3552" s="14">
        <f t="shared" si="69"/>
        <v>408700</v>
      </c>
      <c r="H3552" s="13"/>
    </row>
    <row r="3553" spans="1:8" x14ac:dyDescent="0.25">
      <c r="A3553" s="113">
        <v>45305</v>
      </c>
      <c r="B3553" s="21" t="s">
        <v>11897</v>
      </c>
      <c r="C3553" s="13" t="s">
        <v>4725</v>
      </c>
      <c r="D3553" s="766"/>
      <c r="E3553" s="22"/>
      <c r="F3553" s="19">
        <v>550000</v>
      </c>
      <c r="G3553" s="14">
        <f t="shared" si="69"/>
        <v>-550000</v>
      </c>
      <c r="H3553" s="13" t="s">
        <v>12184</v>
      </c>
    </row>
    <row r="3554" spans="1:8" x14ac:dyDescent="0.25">
      <c r="A3554" s="113">
        <v>45305</v>
      </c>
      <c r="B3554" s="21" t="s">
        <v>11897</v>
      </c>
      <c r="C3554" s="13" t="s">
        <v>7467</v>
      </c>
      <c r="D3554" s="766" t="s">
        <v>12243</v>
      </c>
      <c r="E3554" s="22">
        <v>831940</v>
      </c>
      <c r="F3554" s="19"/>
      <c r="G3554" s="14">
        <f t="shared" si="69"/>
        <v>831940</v>
      </c>
      <c r="H3554" s="13"/>
    </row>
    <row r="3555" spans="1:8" x14ac:dyDescent="0.25">
      <c r="A3555" s="113">
        <v>45305</v>
      </c>
      <c r="B3555" s="21" t="s">
        <v>11897</v>
      </c>
      <c r="C3555" s="13" t="s">
        <v>168</v>
      </c>
      <c r="D3555" s="766" t="s">
        <v>12251</v>
      </c>
      <c r="E3555" s="22">
        <v>57332</v>
      </c>
      <c r="F3555" s="19"/>
      <c r="G3555" s="14">
        <f t="shared" si="69"/>
        <v>57332</v>
      </c>
      <c r="H3555" s="13"/>
    </row>
    <row r="3556" spans="1:8" x14ac:dyDescent="0.25">
      <c r="A3556" s="113">
        <v>45307</v>
      </c>
      <c r="B3556" s="21" t="s">
        <v>10909</v>
      </c>
      <c r="C3556" s="13" t="s">
        <v>180</v>
      </c>
      <c r="D3556" s="766" t="s">
        <v>12255</v>
      </c>
      <c r="E3556" s="22">
        <v>36300</v>
      </c>
      <c r="F3556" s="19"/>
      <c r="G3556" s="14">
        <f t="shared" si="69"/>
        <v>36300</v>
      </c>
      <c r="H3556" s="13"/>
    </row>
    <row r="3557" spans="1:8" x14ac:dyDescent="0.25">
      <c r="A3557" s="113">
        <v>45307</v>
      </c>
      <c r="B3557" s="21" t="s">
        <v>10909</v>
      </c>
      <c r="C3557" s="13" t="s">
        <v>12496</v>
      </c>
      <c r="D3557" s="766" t="s">
        <v>8968</v>
      </c>
      <c r="E3557" s="22">
        <v>57719</v>
      </c>
      <c r="F3557" s="19"/>
      <c r="G3557" s="14">
        <f t="shared" si="69"/>
        <v>57719</v>
      </c>
      <c r="H3557" s="13"/>
    </row>
    <row r="3558" spans="1:8" x14ac:dyDescent="0.25">
      <c r="A3558" s="113">
        <v>45309</v>
      </c>
      <c r="B3558" s="21" t="s">
        <v>11897</v>
      </c>
      <c r="C3558" s="13" t="s">
        <v>168</v>
      </c>
      <c r="D3558" s="766" t="s">
        <v>12252</v>
      </c>
      <c r="E3558" s="22">
        <v>24244</v>
      </c>
      <c r="F3558" s="19"/>
      <c r="G3558" s="14">
        <f t="shared" si="69"/>
        <v>24244</v>
      </c>
      <c r="H3558" s="13"/>
    </row>
    <row r="3559" spans="1:8" x14ac:dyDescent="0.25">
      <c r="A3559" s="113">
        <v>45309</v>
      </c>
      <c r="B3559" s="21" t="s">
        <v>10909</v>
      </c>
      <c r="C3559" s="13" t="s">
        <v>168</v>
      </c>
      <c r="D3559" s="766" t="s">
        <v>12253</v>
      </c>
      <c r="E3559" s="22">
        <v>28900</v>
      </c>
      <c r="F3559" s="19"/>
      <c r="G3559" s="14">
        <f t="shared" si="69"/>
        <v>28900</v>
      </c>
      <c r="H3559" s="13"/>
    </row>
    <row r="3560" spans="1:8" x14ac:dyDescent="0.25">
      <c r="A3560" s="113">
        <v>45309</v>
      </c>
      <c r="B3560" s="21" t="s">
        <v>10909</v>
      </c>
      <c r="C3560" s="13" t="s">
        <v>166</v>
      </c>
      <c r="D3560" s="766" t="s">
        <v>12480</v>
      </c>
      <c r="E3560" s="22">
        <v>5100</v>
      </c>
      <c r="F3560" s="19"/>
      <c r="G3560" s="14">
        <f t="shared" si="69"/>
        <v>5100</v>
      </c>
      <c r="H3560" s="13"/>
    </row>
    <row r="3561" spans="1:8" x14ac:dyDescent="0.25">
      <c r="A3561" s="113">
        <v>45310</v>
      </c>
      <c r="B3561" s="21" t="s">
        <v>10909</v>
      </c>
      <c r="C3561" s="13" t="s">
        <v>166</v>
      </c>
      <c r="D3561" s="766" t="s">
        <v>12481</v>
      </c>
      <c r="E3561" s="22">
        <v>7000</v>
      </c>
      <c r="F3561" s="19"/>
      <c r="G3561" s="14">
        <f t="shared" si="69"/>
        <v>7000</v>
      </c>
      <c r="H3561" s="13"/>
    </row>
    <row r="3562" spans="1:8" x14ac:dyDescent="0.25">
      <c r="A3562" s="113">
        <v>45310</v>
      </c>
      <c r="B3562" s="30"/>
      <c r="C3562" s="13" t="s">
        <v>5187</v>
      </c>
      <c r="D3562" s="766"/>
      <c r="E3562" s="22"/>
      <c r="F3562" s="19">
        <v>400000</v>
      </c>
      <c r="G3562" s="14">
        <f t="shared" si="68"/>
        <v>-400000</v>
      </c>
      <c r="H3562" s="13" t="s">
        <v>12149</v>
      </c>
    </row>
    <row r="3563" spans="1:8" x14ac:dyDescent="0.25">
      <c r="A3563" s="113">
        <v>45310</v>
      </c>
      <c r="B3563" s="21" t="s">
        <v>11897</v>
      </c>
      <c r="C3563" s="13" t="s">
        <v>4725</v>
      </c>
      <c r="D3563" s="766"/>
      <c r="E3563" s="22">
        <v>1680000</v>
      </c>
      <c r="F3563" s="19"/>
      <c r="G3563" s="14">
        <f t="shared" si="68"/>
        <v>1680000</v>
      </c>
      <c r="H3563" s="13"/>
    </row>
    <row r="3564" spans="1:8" x14ac:dyDescent="0.25">
      <c r="A3564" s="113">
        <v>45310</v>
      </c>
      <c r="B3564" s="21" t="s">
        <v>11897</v>
      </c>
      <c r="C3564" s="13" t="s">
        <v>4725</v>
      </c>
      <c r="D3564" s="766"/>
      <c r="E3564" s="22"/>
      <c r="F3564" s="19">
        <v>600000</v>
      </c>
      <c r="G3564" s="14">
        <f t="shared" si="68"/>
        <v>-600000</v>
      </c>
      <c r="H3564" s="13" t="s">
        <v>12150</v>
      </c>
    </row>
    <row r="3565" spans="1:8" x14ac:dyDescent="0.25">
      <c r="A3565" s="113">
        <v>45310</v>
      </c>
      <c r="B3565" s="21" t="s">
        <v>8043</v>
      </c>
      <c r="C3565" s="13" t="s">
        <v>3011</v>
      </c>
      <c r="D3565" s="766"/>
      <c r="E3565" s="22"/>
      <c r="F3565" s="19">
        <v>56522</v>
      </c>
      <c r="G3565" s="14">
        <f t="shared" si="68"/>
        <v>-56522</v>
      </c>
      <c r="H3565" s="13" t="s">
        <v>4977</v>
      </c>
    </row>
    <row r="3566" spans="1:8" x14ac:dyDescent="0.25">
      <c r="A3566" s="113">
        <v>45310</v>
      </c>
      <c r="B3566" s="21" t="s">
        <v>8043</v>
      </c>
      <c r="C3566" s="13" t="s">
        <v>8456</v>
      </c>
      <c r="D3566" s="766"/>
      <c r="E3566" s="22"/>
      <c r="F3566" s="19">
        <v>24000</v>
      </c>
      <c r="G3566" s="14">
        <f t="shared" si="68"/>
        <v>-24000</v>
      </c>
      <c r="H3566" s="13" t="s">
        <v>4977</v>
      </c>
    </row>
    <row r="3567" spans="1:8" x14ac:dyDescent="0.25">
      <c r="A3567" s="113">
        <v>45310</v>
      </c>
      <c r="B3567" s="21" t="s">
        <v>2933</v>
      </c>
      <c r="C3567" s="13" t="s">
        <v>10112</v>
      </c>
      <c r="D3567" s="766"/>
      <c r="E3567" s="22"/>
      <c r="F3567" s="19">
        <v>76350</v>
      </c>
      <c r="G3567" s="14">
        <f t="shared" si="68"/>
        <v>-76350</v>
      </c>
      <c r="H3567" s="13" t="s">
        <v>4977</v>
      </c>
    </row>
    <row r="3568" spans="1:8" x14ac:dyDescent="0.25">
      <c r="A3568" s="113">
        <v>45310</v>
      </c>
      <c r="B3568" s="21" t="s">
        <v>8043</v>
      </c>
      <c r="C3568" s="13" t="s">
        <v>161</v>
      </c>
      <c r="D3568" s="766"/>
      <c r="E3568" s="22"/>
      <c r="F3568" s="19">
        <v>33213</v>
      </c>
      <c r="G3568" s="14">
        <f t="shared" si="68"/>
        <v>-33213</v>
      </c>
      <c r="H3568" s="13" t="s">
        <v>4977</v>
      </c>
    </row>
    <row r="3569" spans="1:8" x14ac:dyDescent="0.25">
      <c r="A3569" s="113">
        <v>45310</v>
      </c>
      <c r="B3569" s="21" t="s">
        <v>1400</v>
      </c>
      <c r="C3569" s="13" t="s">
        <v>1815</v>
      </c>
      <c r="D3569" s="766"/>
      <c r="E3569" s="22"/>
      <c r="F3569" s="19">
        <v>101800</v>
      </c>
      <c r="G3569" s="14">
        <f t="shared" si="68"/>
        <v>-101800</v>
      </c>
      <c r="H3569" s="13" t="s">
        <v>4977</v>
      </c>
    </row>
    <row r="3570" spans="1:8" x14ac:dyDescent="0.25">
      <c r="A3570" s="113">
        <v>45310</v>
      </c>
      <c r="B3570" s="21" t="s">
        <v>4721</v>
      </c>
      <c r="C3570" s="13" t="s">
        <v>1815</v>
      </c>
      <c r="D3570" s="766"/>
      <c r="E3570" s="22"/>
      <c r="F3570" s="19">
        <v>99334</v>
      </c>
      <c r="G3570" s="14">
        <f t="shared" si="68"/>
        <v>-99334</v>
      </c>
      <c r="H3570" s="13" t="s">
        <v>4977</v>
      </c>
    </row>
    <row r="3571" spans="1:8" x14ac:dyDescent="0.25">
      <c r="A3571" s="113">
        <v>45310</v>
      </c>
      <c r="B3571" s="21" t="s">
        <v>10232</v>
      </c>
      <c r="C3571" s="13" t="s">
        <v>11324</v>
      </c>
      <c r="D3571" s="766"/>
      <c r="E3571" s="22"/>
      <c r="F3571" s="19">
        <v>120000</v>
      </c>
      <c r="G3571" s="14">
        <f t="shared" si="68"/>
        <v>-120000</v>
      </c>
      <c r="H3571" s="13" t="s">
        <v>12280</v>
      </c>
    </row>
    <row r="3572" spans="1:8" x14ac:dyDescent="0.25">
      <c r="A3572" s="113">
        <v>45311</v>
      </c>
      <c r="B3572" s="21" t="s">
        <v>11897</v>
      </c>
      <c r="C3572" s="13" t="s">
        <v>7467</v>
      </c>
      <c r="D3572" s="766" t="s">
        <v>11806</v>
      </c>
      <c r="E3572" s="22">
        <v>774131</v>
      </c>
      <c r="F3572" s="19"/>
      <c r="G3572" s="14">
        <f t="shared" si="68"/>
        <v>774131</v>
      </c>
      <c r="H3572" s="13"/>
    </row>
    <row r="3573" spans="1:8" x14ac:dyDescent="0.25">
      <c r="A3573" s="113">
        <v>45313</v>
      </c>
      <c r="B3573" s="21" t="s">
        <v>11897</v>
      </c>
      <c r="C3573" s="13" t="s">
        <v>180</v>
      </c>
      <c r="D3573" s="766"/>
      <c r="E3573" s="22"/>
      <c r="F3573" s="19">
        <v>1119250</v>
      </c>
      <c r="G3573" s="14">
        <f t="shared" si="68"/>
        <v>-1119250</v>
      </c>
      <c r="H3573" s="13" t="s">
        <v>12256</v>
      </c>
    </row>
    <row r="3574" spans="1:8" x14ac:dyDescent="0.25">
      <c r="A3574" s="113">
        <v>45313</v>
      </c>
      <c r="B3574" s="21" t="s">
        <v>12207</v>
      </c>
      <c r="C3574" s="13" t="s">
        <v>180</v>
      </c>
      <c r="D3574" s="766" t="s">
        <v>12312</v>
      </c>
      <c r="E3574" s="22">
        <v>33710</v>
      </c>
      <c r="F3574" s="19"/>
      <c r="G3574" s="14">
        <f t="shared" si="68"/>
        <v>33710</v>
      </c>
      <c r="H3574" s="13" t="s">
        <v>342</v>
      </c>
    </row>
    <row r="3575" spans="1:8" x14ac:dyDescent="0.25">
      <c r="A3575" s="113">
        <v>45313</v>
      </c>
      <c r="B3575" s="21" t="s">
        <v>12207</v>
      </c>
      <c r="C3575" s="13" t="s">
        <v>180</v>
      </c>
      <c r="D3575" s="766" t="s">
        <v>12313</v>
      </c>
      <c r="E3575" s="22">
        <v>712701</v>
      </c>
      <c r="F3575" s="19"/>
      <c r="G3575" s="14">
        <f t="shared" si="68"/>
        <v>712701</v>
      </c>
      <c r="H3575" s="13" t="s">
        <v>12314</v>
      </c>
    </row>
    <row r="3576" spans="1:8" x14ac:dyDescent="0.25">
      <c r="A3576" s="113">
        <v>45313</v>
      </c>
      <c r="B3576" s="21" t="s">
        <v>12207</v>
      </c>
      <c r="C3576" s="13" t="s">
        <v>8394</v>
      </c>
      <c r="D3576" s="766" t="s">
        <v>12391</v>
      </c>
      <c r="E3576" s="22">
        <v>128444</v>
      </c>
      <c r="F3576" s="19"/>
      <c r="G3576" s="14">
        <f t="shared" si="68"/>
        <v>128444</v>
      </c>
      <c r="H3576" s="13"/>
    </row>
    <row r="3577" spans="1:8" x14ac:dyDescent="0.25">
      <c r="A3577" s="113">
        <v>45313</v>
      </c>
      <c r="B3577" s="21" t="s">
        <v>12207</v>
      </c>
      <c r="C3577" s="13" t="s">
        <v>166</v>
      </c>
      <c r="D3577" s="766" t="s">
        <v>12482</v>
      </c>
      <c r="E3577" s="22">
        <v>140000</v>
      </c>
      <c r="F3577" s="19"/>
      <c r="G3577" s="14">
        <f t="shared" si="68"/>
        <v>140000</v>
      </c>
      <c r="H3577" s="13"/>
    </row>
    <row r="3578" spans="1:8" x14ac:dyDescent="0.25">
      <c r="A3578" s="113">
        <v>45314</v>
      </c>
      <c r="B3578" s="21" t="s">
        <v>12207</v>
      </c>
      <c r="C3578" s="13" t="s">
        <v>166</v>
      </c>
      <c r="D3578" s="766" t="s">
        <v>12483</v>
      </c>
      <c r="E3578" s="22">
        <v>140000</v>
      </c>
      <c r="F3578" s="19"/>
      <c r="G3578" s="14">
        <f t="shared" si="68"/>
        <v>140000</v>
      </c>
      <c r="H3578" s="13"/>
    </row>
    <row r="3579" spans="1:8" x14ac:dyDescent="0.25">
      <c r="A3579" s="113">
        <v>45314</v>
      </c>
      <c r="B3579" s="21" t="s">
        <v>11897</v>
      </c>
      <c r="C3579" s="13" t="s">
        <v>7467</v>
      </c>
      <c r="D3579" s="766" t="s">
        <v>12315</v>
      </c>
      <c r="E3579" s="22">
        <v>816740</v>
      </c>
      <c r="F3579" s="19"/>
      <c r="G3579" s="14">
        <f t="shared" si="68"/>
        <v>816740</v>
      </c>
      <c r="H3579" s="13"/>
    </row>
    <row r="3580" spans="1:8" x14ac:dyDescent="0.25">
      <c r="A3580" s="113">
        <v>45315</v>
      </c>
      <c r="B3580" s="21" t="s">
        <v>11897</v>
      </c>
      <c r="C3580" s="13" t="s">
        <v>7467</v>
      </c>
      <c r="D3580" s="766" t="s">
        <v>12316</v>
      </c>
      <c r="E3580" s="22">
        <v>45600</v>
      </c>
      <c r="F3580" s="19"/>
      <c r="G3580" s="14">
        <f t="shared" si="68"/>
        <v>45600</v>
      </c>
      <c r="H3580" s="13"/>
    </row>
    <row r="3581" spans="1:8" x14ac:dyDescent="0.25">
      <c r="A3581" s="113">
        <v>45315</v>
      </c>
      <c r="B3581" s="21" t="s">
        <v>12207</v>
      </c>
      <c r="C3581" s="13" t="s">
        <v>166</v>
      </c>
      <c r="D3581" s="766" t="s">
        <v>12484</v>
      </c>
      <c r="E3581" s="22">
        <v>140000</v>
      </c>
      <c r="F3581" s="19"/>
      <c r="G3581" s="14">
        <f t="shared" si="68"/>
        <v>140000</v>
      </c>
      <c r="H3581" s="13"/>
    </row>
    <row r="3582" spans="1:8" x14ac:dyDescent="0.25">
      <c r="A3582" s="113">
        <v>45315</v>
      </c>
      <c r="B3582" s="21" t="s">
        <v>10232</v>
      </c>
      <c r="C3582" s="13" t="s">
        <v>7467</v>
      </c>
      <c r="D3582" s="766"/>
      <c r="E3582" s="22"/>
      <c r="F3582" s="19">
        <v>1000000</v>
      </c>
      <c r="G3582" s="14">
        <f t="shared" si="68"/>
        <v>-1000000</v>
      </c>
      <c r="H3582" s="13" t="s">
        <v>12036</v>
      </c>
    </row>
    <row r="3583" spans="1:8" x14ac:dyDescent="0.25">
      <c r="A3583" s="113">
        <v>45315</v>
      </c>
      <c r="B3583" s="21" t="s">
        <v>12207</v>
      </c>
      <c r="C3583" s="13" t="s">
        <v>8900</v>
      </c>
      <c r="D3583" s="766"/>
      <c r="E3583" s="22">
        <v>312552</v>
      </c>
      <c r="F3583" s="19"/>
      <c r="G3583" s="14">
        <f t="shared" si="68"/>
        <v>312552</v>
      </c>
      <c r="H3583" s="13"/>
    </row>
    <row r="3584" spans="1:8" x14ac:dyDescent="0.25">
      <c r="A3584" s="113">
        <v>45315</v>
      </c>
      <c r="B3584" s="21" t="s">
        <v>12207</v>
      </c>
      <c r="C3584" s="13" t="s">
        <v>8900</v>
      </c>
      <c r="D3584" s="766"/>
      <c r="E3584" s="22"/>
      <c r="F3584" s="19">
        <v>150000</v>
      </c>
      <c r="G3584" s="14">
        <f t="shared" si="68"/>
        <v>-150000</v>
      </c>
      <c r="H3584" s="13" t="s">
        <v>12304</v>
      </c>
    </row>
    <row r="3585" spans="1:8" x14ac:dyDescent="0.25">
      <c r="A3585" s="113">
        <v>45315</v>
      </c>
      <c r="B3585" s="21" t="s">
        <v>11897</v>
      </c>
      <c r="C3585" s="13" t="s">
        <v>8394</v>
      </c>
      <c r="D3585" s="766" t="s">
        <v>12392</v>
      </c>
      <c r="E3585" s="22">
        <v>2308000</v>
      </c>
      <c r="F3585" s="19"/>
      <c r="G3585" s="14">
        <f t="shared" si="68"/>
        <v>2308000</v>
      </c>
      <c r="H3585" s="13"/>
    </row>
    <row r="3586" spans="1:8" x14ac:dyDescent="0.25">
      <c r="A3586" s="113">
        <v>45315</v>
      </c>
      <c r="B3586" s="21" t="s">
        <v>10909</v>
      </c>
      <c r="C3586" s="13" t="s">
        <v>8394</v>
      </c>
      <c r="D3586" s="766" t="s">
        <v>12393</v>
      </c>
      <c r="E3586" s="22">
        <v>20637</v>
      </c>
      <c r="F3586" s="19"/>
      <c r="G3586" s="14">
        <f t="shared" si="68"/>
        <v>20637</v>
      </c>
      <c r="H3586" s="13"/>
    </row>
    <row r="3587" spans="1:8" x14ac:dyDescent="0.25">
      <c r="A3587" s="113">
        <v>45315</v>
      </c>
      <c r="B3587" s="21" t="s">
        <v>9832</v>
      </c>
      <c r="C3587" s="13" t="s">
        <v>8394</v>
      </c>
      <c r="D3587" s="766" t="s">
        <v>12394</v>
      </c>
      <c r="E3587" s="22">
        <v>15317</v>
      </c>
      <c r="F3587" s="19"/>
      <c r="G3587" s="14">
        <f t="shared" si="68"/>
        <v>15317</v>
      </c>
      <c r="H3587" s="13"/>
    </row>
    <row r="3588" spans="1:8" x14ac:dyDescent="0.25">
      <c r="A3588" s="113">
        <v>45316</v>
      </c>
      <c r="B3588" s="21" t="s">
        <v>10232</v>
      </c>
      <c r="C3588" s="13" t="s">
        <v>164</v>
      </c>
      <c r="D3588" s="766" t="s">
        <v>12494</v>
      </c>
      <c r="E3588" s="22">
        <v>6729</v>
      </c>
      <c r="F3588" s="19"/>
      <c r="G3588" s="14">
        <f t="shared" si="68"/>
        <v>6729</v>
      </c>
      <c r="H3588" s="13"/>
    </row>
    <row r="3589" spans="1:8" x14ac:dyDescent="0.25">
      <c r="A3589" s="113">
        <v>45316</v>
      </c>
      <c r="B3589" s="21" t="s">
        <v>10909</v>
      </c>
      <c r="C3589" s="13" t="s">
        <v>12496</v>
      </c>
      <c r="D3589" s="766" t="s">
        <v>9245</v>
      </c>
      <c r="E3589" s="22">
        <v>27608</v>
      </c>
      <c r="F3589" s="19"/>
      <c r="G3589" s="14">
        <f t="shared" si="68"/>
        <v>27608</v>
      </c>
      <c r="H3589" s="13"/>
    </row>
    <row r="3590" spans="1:8" x14ac:dyDescent="0.25">
      <c r="A3590" s="113">
        <v>45316</v>
      </c>
      <c r="B3590" s="21" t="s">
        <v>11897</v>
      </c>
      <c r="C3590" s="13" t="s">
        <v>6847</v>
      </c>
      <c r="D3590" s="766"/>
      <c r="E3590" s="22">
        <v>903164</v>
      </c>
      <c r="F3590" s="19"/>
      <c r="G3590" s="14">
        <f t="shared" si="68"/>
        <v>903164</v>
      </c>
      <c r="H3590" s="13"/>
    </row>
    <row r="3591" spans="1:8" x14ac:dyDescent="0.25">
      <c r="A3591" s="113">
        <v>45316</v>
      </c>
      <c r="B3591" s="21" t="s">
        <v>11897</v>
      </c>
      <c r="C3591" s="13" t="s">
        <v>6847</v>
      </c>
      <c r="D3591" s="766"/>
      <c r="E3591" s="22"/>
      <c r="F3591" s="19">
        <v>500000</v>
      </c>
      <c r="G3591" s="14">
        <f t="shared" si="68"/>
        <v>-500000</v>
      </c>
      <c r="H3591" s="13" t="s">
        <v>12036</v>
      </c>
    </row>
    <row r="3592" spans="1:8" x14ac:dyDescent="0.25">
      <c r="A3592" s="113">
        <v>45316</v>
      </c>
      <c r="B3592" s="21" t="s">
        <v>11897</v>
      </c>
      <c r="C3592" s="13" t="s">
        <v>8394</v>
      </c>
      <c r="D3592" s="766"/>
      <c r="E3592" s="22"/>
      <c r="F3592" s="19">
        <v>1000000</v>
      </c>
      <c r="G3592" s="14">
        <f t="shared" si="68"/>
        <v>-1000000</v>
      </c>
      <c r="H3592" s="13" t="s">
        <v>12318</v>
      </c>
    </row>
    <row r="3593" spans="1:8" x14ac:dyDescent="0.25">
      <c r="A3593" s="113">
        <v>45317</v>
      </c>
      <c r="B3593" s="21" t="s">
        <v>10909</v>
      </c>
      <c r="C3593" s="13" t="s">
        <v>7954</v>
      </c>
      <c r="D3593" s="766"/>
      <c r="E3593" s="22"/>
      <c r="F3593" s="19">
        <v>500000</v>
      </c>
      <c r="G3593" s="14">
        <f t="shared" si="68"/>
        <v>-500000</v>
      </c>
      <c r="H3593" s="13" t="s">
        <v>12336</v>
      </c>
    </row>
    <row r="3594" spans="1:8" x14ac:dyDescent="0.25">
      <c r="A3594" s="113">
        <v>45317</v>
      </c>
      <c r="B3594" s="21" t="s">
        <v>10909</v>
      </c>
      <c r="C3594" s="13" t="s">
        <v>166</v>
      </c>
      <c r="D3594" s="766" t="s">
        <v>12485</v>
      </c>
      <c r="E3594" s="22">
        <v>22950</v>
      </c>
      <c r="F3594" s="19"/>
      <c r="G3594" s="14">
        <f t="shared" si="68"/>
        <v>22950</v>
      </c>
      <c r="H3594" s="13"/>
    </row>
    <row r="3595" spans="1:8" x14ac:dyDescent="0.25">
      <c r="A3595" s="113">
        <v>45317</v>
      </c>
      <c r="B3595" s="21" t="s">
        <v>10576</v>
      </c>
      <c r="C3595" s="13" t="s">
        <v>8091</v>
      </c>
      <c r="D3595" s="766"/>
      <c r="E3595" s="22"/>
      <c r="F3595" s="19">
        <v>500000</v>
      </c>
      <c r="G3595" s="14">
        <f t="shared" si="68"/>
        <v>-500000</v>
      </c>
      <c r="H3595" s="13" t="s">
        <v>12338</v>
      </c>
    </row>
    <row r="3596" spans="1:8" x14ac:dyDescent="0.25">
      <c r="A3596" s="113">
        <v>45320</v>
      </c>
      <c r="B3596" s="21" t="s">
        <v>9832</v>
      </c>
      <c r="C3596" s="13" t="s">
        <v>180</v>
      </c>
      <c r="D3596" s="766"/>
      <c r="E3596" s="22"/>
      <c r="F3596" s="19">
        <v>491000</v>
      </c>
      <c r="G3596" s="14">
        <f t="shared" si="68"/>
        <v>-491000</v>
      </c>
      <c r="H3596" s="13" t="s">
        <v>12361</v>
      </c>
    </row>
    <row r="3597" spans="1:8" x14ac:dyDescent="0.25">
      <c r="A3597" s="113">
        <v>45320</v>
      </c>
      <c r="B3597" s="21" t="s">
        <v>11897</v>
      </c>
      <c r="C3597" s="13" t="s">
        <v>7467</v>
      </c>
      <c r="D3597" s="766"/>
      <c r="E3597" s="22"/>
      <c r="F3597" s="19">
        <v>650000</v>
      </c>
      <c r="G3597" s="14">
        <f t="shared" si="68"/>
        <v>-650000</v>
      </c>
      <c r="H3597" s="13" t="s">
        <v>12362</v>
      </c>
    </row>
    <row r="3598" spans="1:8" x14ac:dyDescent="0.25">
      <c r="A3598" s="113">
        <v>45320</v>
      </c>
      <c r="B3598" s="21" t="s">
        <v>10576</v>
      </c>
      <c r="C3598" s="13" t="s">
        <v>7467</v>
      </c>
      <c r="D3598" s="766"/>
      <c r="E3598" s="22"/>
      <c r="F3598" s="19">
        <v>700000</v>
      </c>
      <c r="G3598" s="14">
        <f t="shared" ref="G3598:G3691" si="70">E3598-F3598</f>
        <v>-700000</v>
      </c>
      <c r="H3598" s="13" t="s">
        <v>12362</v>
      </c>
    </row>
    <row r="3599" spans="1:8" x14ac:dyDescent="0.25">
      <c r="A3599" s="113">
        <v>45320</v>
      </c>
      <c r="B3599" s="21" t="s">
        <v>8559</v>
      </c>
      <c r="C3599" s="13" t="s">
        <v>7467</v>
      </c>
      <c r="D3599" s="766" t="s">
        <v>12390</v>
      </c>
      <c r="E3599" s="22">
        <v>174312</v>
      </c>
      <c r="F3599" s="19"/>
      <c r="G3599" s="14">
        <f t="shared" si="70"/>
        <v>174312</v>
      </c>
      <c r="H3599" s="13"/>
    </row>
    <row r="3600" spans="1:8" x14ac:dyDescent="0.25">
      <c r="A3600" s="113">
        <v>45320</v>
      </c>
      <c r="B3600" s="21" t="s">
        <v>11617</v>
      </c>
      <c r="C3600" s="13" t="s">
        <v>180</v>
      </c>
      <c r="D3600" s="766" t="s">
        <v>12489</v>
      </c>
      <c r="E3600" s="22">
        <v>127710</v>
      </c>
      <c r="F3600" s="19"/>
      <c r="G3600" s="14">
        <f t="shared" si="70"/>
        <v>127710</v>
      </c>
      <c r="H3600" s="13"/>
    </row>
    <row r="3601" spans="1:8" x14ac:dyDescent="0.25">
      <c r="A3601" s="113">
        <v>45321</v>
      </c>
      <c r="B3601" s="21" t="s">
        <v>12207</v>
      </c>
      <c r="C3601" s="13" t="s">
        <v>180</v>
      </c>
      <c r="D3601" s="766" t="s">
        <v>12490</v>
      </c>
      <c r="E3601" s="22">
        <v>63855</v>
      </c>
      <c r="F3601" s="19"/>
      <c r="G3601" s="14">
        <f t="shared" si="70"/>
        <v>63855</v>
      </c>
      <c r="H3601" s="13"/>
    </row>
    <row r="3602" spans="1:8" x14ac:dyDescent="0.25">
      <c r="A3602" s="113">
        <v>45321</v>
      </c>
      <c r="B3602" s="21" t="s">
        <v>11897</v>
      </c>
      <c r="C3602" s="13" t="s">
        <v>7467</v>
      </c>
      <c r="D3602" s="766" t="s">
        <v>12385</v>
      </c>
      <c r="E3602" s="22">
        <v>789331</v>
      </c>
      <c r="F3602" s="19"/>
      <c r="G3602" s="14">
        <f t="shared" si="70"/>
        <v>789331</v>
      </c>
      <c r="H3602" s="13"/>
    </row>
    <row r="3603" spans="1:8" x14ac:dyDescent="0.25">
      <c r="A3603" s="113">
        <v>45321</v>
      </c>
      <c r="B3603" s="21" t="s">
        <v>12207</v>
      </c>
      <c r="C3603" s="13" t="s">
        <v>166</v>
      </c>
      <c r="D3603" s="766" t="s">
        <v>12486</v>
      </c>
      <c r="E3603" s="22">
        <v>140000</v>
      </c>
      <c r="F3603" s="19"/>
      <c r="G3603" s="14">
        <f t="shared" si="70"/>
        <v>140000</v>
      </c>
      <c r="H3603" s="13"/>
    </row>
    <row r="3604" spans="1:8" x14ac:dyDescent="0.25">
      <c r="A3604" s="113">
        <v>45321</v>
      </c>
      <c r="B3604" s="21" t="s">
        <v>12207</v>
      </c>
      <c r="C3604" s="13" t="s">
        <v>166</v>
      </c>
      <c r="D3604" s="766" t="s">
        <v>12487</v>
      </c>
      <c r="E3604" s="22">
        <v>140000</v>
      </c>
      <c r="F3604" s="19"/>
      <c r="G3604" s="14">
        <f t="shared" si="70"/>
        <v>140000</v>
      </c>
      <c r="H3604" s="13"/>
    </row>
    <row r="3605" spans="1:8" x14ac:dyDescent="0.25">
      <c r="A3605" s="113">
        <v>45321</v>
      </c>
      <c r="B3605" s="21" t="s">
        <v>11897</v>
      </c>
      <c r="C3605" s="13" t="s">
        <v>12388</v>
      </c>
      <c r="D3605" s="766" t="s">
        <v>12389</v>
      </c>
      <c r="E3605" s="22">
        <v>169119</v>
      </c>
      <c r="F3605" s="19"/>
      <c r="G3605" s="14">
        <f t="shared" si="70"/>
        <v>169119</v>
      </c>
      <c r="H3605" s="13"/>
    </row>
    <row r="3606" spans="1:8" x14ac:dyDescent="0.25">
      <c r="A3606" s="113">
        <v>45321</v>
      </c>
      <c r="B3606" s="21" t="s">
        <v>11897</v>
      </c>
      <c r="C3606" s="13" t="s">
        <v>169</v>
      </c>
      <c r="D3606" s="766" t="s">
        <v>11211</v>
      </c>
      <c r="E3606" s="22">
        <v>73000</v>
      </c>
      <c r="F3606" s="19"/>
      <c r="G3606" s="14">
        <f t="shared" si="70"/>
        <v>73000</v>
      </c>
      <c r="H3606" s="13"/>
    </row>
    <row r="3607" spans="1:8" x14ac:dyDescent="0.25">
      <c r="A3607" s="113">
        <v>45322</v>
      </c>
      <c r="B3607" s="30"/>
      <c r="C3607" s="13" t="s">
        <v>169</v>
      </c>
      <c r="D3607" s="766"/>
      <c r="E3607" s="22"/>
      <c r="F3607" s="19">
        <v>300000</v>
      </c>
      <c r="G3607" s="14">
        <f t="shared" si="70"/>
        <v>-300000</v>
      </c>
      <c r="H3607" s="13" t="s">
        <v>11171</v>
      </c>
    </row>
    <row r="3608" spans="1:8" x14ac:dyDescent="0.25">
      <c r="A3608" s="113">
        <v>45322</v>
      </c>
      <c r="B3608" s="21" t="s">
        <v>11897</v>
      </c>
      <c r="C3608" s="13" t="s">
        <v>166</v>
      </c>
      <c r="D3608" s="766" t="s">
        <v>12488</v>
      </c>
      <c r="E3608" s="22">
        <v>56000</v>
      </c>
      <c r="F3608" s="19"/>
      <c r="G3608" s="14">
        <f t="shared" si="70"/>
        <v>56000</v>
      </c>
      <c r="H3608" s="13"/>
    </row>
    <row r="3609" spans="1:8" x14ac:dyDescent="0.25">
      <c r="A3609" s="113">
        <v>45323</v>
      </c>
      <c r="B3609" s="21" t="s">
        <v>11897</v>
      </c>
      <c r="C3609" s="13" t="s">
        <v>8394</v>
      </c>
      <c r="D3609" s="766" t="s">
        <v>12474</v>
      </c>
      <c r="E3609" s="22">
        <v>294353</v>
      </c>
      <c r="F3609" s="19"/>
      <c r="G3609" s="14">
        <f t="shared" si="70"/>
        <v>294353</v>
      </c>
      <c r="H3609" s="13"/>
    </row>
    <row r="3610" spans="1:8" x14ac:dyDescent="0.25">
      <c r="A3610" s="113">
        <v>45323</v>
      </c>
      <c r="B3610" s="21" t="s">
        <v>9832</v>
      </c>
      <c r="C3610" s="13" t="s">
        <v>8394</v>
      </c>
      <c r="D3610" s="766" t="s">
        <v>12475</v>
      </c>
      <c r="E3610" s="22">
        <v>186369</v>
      </c>
      <c r="F3610" s="19"/>
      <c r="G3610" s="14">
        <f t="shared" si="70"/>
        <v>186369</v>
      </c>
      <c r="H3610" s="13"/>
    </row>
    <row r="3611" spans="1:8" x14ac:dyDescent="0.25">
      <c r="A3611" s="113">
        <v>45324</v>
      </c>
      <c r="B3611" s="21" t="s">
        <v>4721</v>
      </c>
      <c r="C3611" s="13" t="s">
        <v>8394</v>
      </c>
      <c r="D3611" s="766" t="s">
        <v>12476</v>
      </c>
      <c r="E3611" s="22">
        <v>162620</v>
      </c>
      <c r="F3611" s="19"/>
      <c r="G3611" s="14">
        <f t="shared" si="70"/>
        <v>162620</v>
      </c>
      <c r="H3611" s="13"/>
    </row>
    <row r="3612" spans="1:8" x14ac:dyDescent="0.25">
      <c r="A3612" s="113">
        <v>45324</v>
      </c>
      <c r="B3612" s="21" t="s">
        <v>10909</v>
      </c>
      <c r="C3612" s="13" t="s">
        <v>164</v>
      </c>
      <c r="D3612" s="766" t="s">
        <v>12492</v>
      </c>
      <c r="E3612" s="22">
        <v>756</v>
      </c>
      <c r="F3612" s="19"/>
      <c r="G3612" s="14">
        <f t="shared" si="70"/>
        <v>756</v>
      </c>
      <c r="H3612" s="13"/>
    </row>
    <row r="3613" spans="1:8" x14ac:dyDescent="0.25">
      <c r="A3613" s="113">
        <v>45324</v>
      </c>
      <c r="B3613" s="21" t="s">
        <v>12207</v>
      </c>
      <c r="C3613" s="13" t="s">
        <v>8394</v>
      </c>
      <c r="D3613" s="766" t="s">
        <v>12477</v>
      </c>
      <c r="E3613" s="22">
        <v>220142</v>
      </c>
      <c r="F3613" s="19"/>
      <c r="G3613" s="14">
        <f t="shared" si="70"/>
        <v>220142</v>
      </c>
      <c r="H3613" s="13"/>
    </row>
    <row r="3614" spans="1:8" x14ac:dyDescent="0.25">
      <c r="A3614" s="113">
        <v>45324</v>
      </c>
      <c r="B3614" s="21" t="s">
        <v>9832</v>
      </c>
      <c r="C3614" s="13" t="s">
        <v>7467</v>
      </c>
      <c r="D3614" s="766" t="s">
        <v>12386</v>
      </c>
      <c r="E3614" s="22">
        <v>138352</v>
      </c>
      <c r="F3614" s="19"/>
      <c r="G3614" s="14">
        <f t="shared" si="70"/>
        <v>138352</v>
      </c>
      <c r="H3614" s="13"/>
    </row>
    <row r="3615" spans="1:8" x14ac:dyDescent="0.25">
      <c r="A3615" s="113">
        <v>45324</v>
      </c>
      <c r="B3615" s="21" t="s">
        <v>9832</v>
      </c>
      <c r="C3615" s="13" t="s">
        <v>7467</v>
      </c>
      <c r="D3615" s="766" t="s">
        <v>12387</v>
      </c>
      <c r="E3615" s="22">
        <v>131702</v>
      </c>
      <c r="F3615" s="19"/>
      <c r="G3615" s="14">
        <f t="shared" si="70"/>
        <v>131702</v>
      </c>
      <c r="H3615" s="13"/>
    </row>
    <row r="3616" spans="1:8" x14ac:dyDescent="0.25">
      <c r="A3616" s="113">
        <v>45325</v>
      </c>
      <c r="B3616" s="21" t="s">
        <v>11897</v>
      </c>
      <c r="C3616" s="13" t="s">
        <v>1198</v>
      </c>
      <c r="D3616" s="766"/>
      <c r="E3616" s="22"/>
      <c r="F3616" s="19">
        <v>158688</v>
      </c>
      <c r="G3616" s="14">
        <f t="shared" si="70"/>
        <v>-158688</v>
      </c>
      <c r="H3616" s="13" t="s">
        <v>1157</v>
      </c>
    </row>
    <row r="3617" spans="1:8" x14ac:dyDescent="0.25">
      <c r="A3617" s="113">
        <v>45329</v>
      </c>
      <c r="B3617" s="21" t="s">
        <v>11897</v>
      </c>
      <c r="C3617" s="13" t="s">
        <v>7467</v>
      </c>
      <c r="D3617" s="766" t="s">
        <v>12499</v>
      </c>
      <c r="E3617" s="22">
        <v>704112</v>
      </c>
      <c r="F3617" s="19"/>
      <c r="G3617" s="14">
        <f t="shared" si="70"/>
        <v>704112</v>
      </c>
      <c r="H3617" s="13"/>
    </row>
    <row r="3618" spans="1:8" x14ac:dyDescent="0.25">
      <c r="A3618" s="113">
        <v>45329</v>
      </c>
      <c r="B3618" s="21" t="s">
        <v>12207</v>
      </c>
      <c r="C3618" s="13" t="s">
        <v>8900</v>
      </c>
      <c r="D3618" s="766"/>
      <c r="E3618" s="22"/>
      <c r="F3618" s="19">
        <v>162500</v>
      </c>
      <c r="G3618" s="14">
        <f t="shared" si="70"/>
        <v>-162500</v>
      </c>
      <c r="H3618" s="13" t="s">
        <v>12036</v>
      </c>
    </row>
    <row r="3619" spans="1:8" x14ac:dyDescent="0.25">
      <c r="A3619" s="113">
        <v>45329</v>
      </c>
      <c r="B3619" s="21" t="s">
        <v>12207</v>
      </c>
      <c r="C3619" s="13" t="s">
        <v>8900</v>
      </c>
      <c r="D3619" s="766"/>
      <c r="E3619" s="22"/>
      <c r="F3619" s="19">
        <v>52</v>
      </c>
      <c r="G3619" s="14">
        <f t="shared" si="70"/>
        <v>-52</v>
      </c>
      <c r="H3619" s="13" t="s">
        <v>3918</v>
      </c>
    </row>
    <row r="3620" spans="1:8" x14ac:dyDescent="0.25">
      <c r="A3620" s="113">
        <v>45329</v>
      </c>
      <c r="B3620" s="21" t="s">
        <v>11897</v>
      </c>
      <c r="C3620" s="13" t="s">
        <v>1198</v>
      </c>
      <c r="D3620" s="766" t="s">
        <v>12478</v>
      </c>
      <c r="E3620" s="22">
        <v>158688</v>
      </c>
      <c r="F3620" s="19"/>
      <c r="G3620" s="14">
        <f t="shared" si="70"/>
        <v>158688</v>
      </c>
      <c r="H3620" s="13"/>
    </row>
    <row r="3621" spans="1:8" x14ac:dyDescent="0.25">
      <c r="A3621" s="113">
        <v>45331</v>
      </c>
      <c r="B3621" s="21" t="s">
        <v>11897</v>
      </c>
      <c r="C3621" s="13" t="s">
        <v>12038</v>
      </c>
      <c r="D3621" s="766"/>
      <c r="E3621" s="22">
        <v>850000</v>
      </c>
      <c r="F3621" s="19"/>
      <c r="G3621" s="14">
        <f t="shared" si="70"/>
        <v>850000</v>
      </c>
      <c r="H3621" s="13" t="s">
        <v>12449</v>
      </c>
    </row>
    <row r="3622" spans="1:8" x14ac:dyDescent="0.25">
      <c r="A3622" s="113">
        <v>45331</v>
      </c>
      <c r="B3622" s="21" t="s">
        <v>10909</v>
      </c>
      <c r="C3622" s="13" t="s">
        <v>166</v>
      </c>
      <c r="D3622" s="766" t="s">
        <v>12685</v>
      </c>
      <c r="E3622" s="22">
        <v>8000</v>
      </c>
      <c r="F3622" s="19"/>
      <c r="G3622" s="14">
        <f t="shared" si="70"/>
        <v>8000</v>
      </c>
      <c r="H3622" s="13"/>
    </row>
    <row r="3623" spans="1:8" x14ac:dyDescent="0.25">
      <c r="A3623" s="113">
        <v>45332</v>
      </c>
      <c r="B3623" s="21" t="s">
        <v>11897</v>
      </c>
      <c r="C3623" s="13" t="s">
        <v>12038</v>
      </c>
      <c r="D3623" s="766"/>
      <c r="E3623" s="22"/>
      <c r="F3623" s="19">
        <v>500000</v>
      </c>
      <c r="G3623" s="14">
        <f t="shared" si="70"/>
        <v>-500000</v>
      </c>
      <c r="H3623" s="13" t="s">
        <v>12036</v>
      </c>
    </row>
    <row r="3624" spans="1:8" x14ac:dyDescent="0.25">
      <c r="A3624" s="113">
        <v>45334</v>
      </c>
      <c r="B3624" s="21" t="s">
        <v>11897</v>
      </c>
      <c r="C3624" s="13" t="s">
        <v>8091</v>
      </c>
      <c r="D3624" s="766"/>
      <c r="E3624" s="22"/>
      <c r="F3624" s="19">
        <v>500000</v>
      </c>
      <c r="G3624" s="14">
        <f t="shared" si="70"/>
        <v>-500000</v>
      </c>
      <c r="H3624" s="13" t="s">
        <v>12470</v>
      </c>
    </row>
    <row r="3625" spans="1:8" x14ac:dyDescent="0.25">
      <c r="A3625" s="113">
        <v>45335</v>
      </c>
      <c r="B3625" s="21" t="s">
        <v>11897</v>
      </c>
      <c r="C3625" s="13" t="s">
        <v>7467</v>
      </c>
      <c r="D3625" s="766" t="s">
        <v>12500</v>
      </c>
      <c r="E3625" s="22">
        <v>688912</v>
      </c>
      <c r="F3625" s="19"/>
      <c r="G3625" s="14">
        <f t="shared" si="70"/>
        <v>688912</v>
      </c>
      <c r="H3625" s="13"/>
    </row>
    <row r="3626" spans="1:8" x14ac:dyDescent="0.25">
      <c r="A3626" s="113">
        <v>45335</v>
      </c>
      <c r="B3626" s="21" t="s">
        <v>8559</v>
      </c>
      <c r="C3626" s="13" t="s">
        <v>7467</v>
      </c>
      <c r="D3626" s="766" t="s">
        <v>12501</v>
      </c>
      <c r="E3626" s="22">
        <v>52109</v>
      </c>
      <c r="F3626" s="19"/>
      <c r="G3626" s="14">
        <f t="shared" si="70"/>
        <v>52109</v>
      </c>
      <c r="H3626" s="13"/>
    </row>
    <row r="3627" spans="1:8" x14ac:dyDescent="0.25">
      <c r="A3627" s="113">
        <v>45335</v>
      </c>
      <c r="B3627" s="21" t="s">
        <v>11897</v>
      </c>
      <c r="C3627" s="13" t="s">
        <v>7467</v>
      </c>
      <c r="D3627" s="766" t="s">
        <v>11262</v>
      </c>
      <c r="E3627" s="22">
        <v>90000</v>
      </c>
      <c r="F3627" s="19"/>
      <c r="G3627" s="14">
        <f t="shared" si="70"/>
        <v>90000</v>
      </c>
      <c r="H3627" s="13"/>
    </row>
    <row r="3628" spans="1:8" x14ac:dyDescent="0.25">
      <c r="A3628" s="113">
        <v>45336</v>
      </c>
      <c r="B3628" s="21" t="s">
        <v>11897</v>
      </c>
      <c r="C3628" s="13" t="s">
        <v>8394</v>
      </c>
      <c r="D3628" s="766"/>
      <c r="E3628" s="22"/>
      <c r="F3628" s="19">
        <v>1000000</v>
      </c>
      <c r="G3628" s="14">
        <f t="shared" si="70"/>
        <v>-1000000</v>
      </c>
      <c r="H3628" s="13" t="s">
        <v>12318</v>
      </c>
    </row>
    <row r="3629" spans="1:8" x14ac:dyDescent="0.25">
      <c r="A3629" s="113">
        <v>45336</v>
      </c>
      <c r="B3629" s="21" t="s">
        <v>8559</v>
      </c>
      <c r="C3629" s="13" t="s">
        <v>8394</v>
      </c>
      <c r="D3629" s="766" t="s">
        <v>12602</v>
      </c>
      <c r="E3629" s="22">
        <v>38932</v>
      </c>
      <c r="F3629" s="19"/>
      <c r="G3629" s="14">
        <f t="shared" si="70"/>
        <v>38932</v>
      </c>
      <c r="H3629" s="13"/>
    </row>
    <row r="3630" spans="1:8" x14ac:dyDescent="0.25">
      <c r="A3630" s="113">
        <v>45337</v>
      </c>
      <c r="B3630" s="21" t="s">
        <v>11897</v>
      </c>
      <c r="C3630" s="13" t="s">
        <v>8394</v>
      </c>
      <c r="D3630" s="766" t="s">
        <v>12603</v>
      </c>
      <c r="E3630" s="22">
        <v>23692</v>
      </c>
      <c r="F3630" s="19"/>
      <c r="G3630" s="14">
        <f t="shared" si="70"/>
        <v>23692</v>
      </c>
      <c r="H3630" s="13"/>
    </row>
    <row r="3631" spans="1:8" x14ac:dyDescent="0.25">
      <c r="A3631" s="113">
        <v>45337</v>
      </c>
      <c r="B3631" s="21" t="s">
        <v>11511</v>
      </c>
      <c r="C3631" s="13" t="s">
        <v>8394</v>
      </c>
      <c r="D3631" s="766" t="s">
        <v>12604</v>
      </c>
      <c r="E3631" s="22">
        <v>59502</v>
      </c>
      <c r="F3631" s="19"/>
      <c r="G3631" s="14">
        <f t="shared" si="70"/>
        <v>59502</v>
      </c>
      <c r="H3631" s="13"/>
    </row>
    <row r="3632" spans="1:8" x14ac:dyDescent="0.25">
      <c r="A3632" s="113">
        <v>45337</v>
      </c>
      <c r="B3632" s="21" t="s">
        <v>12207</v>
      </c>
      <c r="C3632" s="13" t="s">
        <v>8394</v>
      </c>
      <c r="D3632" s="766" t="s">
        <v>12605</v>
      </c>
      <c r="E3632" s="22">
        <v>136842</v>
      </c>
      <c r="F3632" s="19"/>
      <c r="G3632" s="14">
        <f t="shared" si="70"/>
        <v>136842</v>
      </c>
      <c r="H3632" s="13"/>
    </row>
    <row r="3633" spans="1:8" x14ac:dyDescent="0.25">
      <c r="A3633" s="113">
        <v>45337</v>
      </c>
      <c r="B3633" s="21" t="s">
        <v>12247</v>
      </c>
      <c r="C3633" s="13" t="s">
        <v>12388</v>
      </c>
      <c r="D3633" s="766" t="s">
        <v>12611</v>
      </c>
      <c r="E3633" s="22">
        <v>27500</v>
      </c>
      <c r="F3633" s="19"/>
      <c r="G3633" s="14">
        <f t="shared" si="70"/>
        <v>27500</v>
      </c>
      <c r="H3633" s="13"/>
    </row>
    <row r="3634" spans="1:8" x14ac:dyDescent="0.25">
      <c r="A3634" s="113">
        <v>45338</v>
      </c>
      <c r="B3634" s="21" t="s">
        <v>11897</v>
      </c>
      <c r="C3634" s="13" t="s">
        <v>7467</v>
      </c>
      <c r="D3634" s="766" t="s">
        <v>12608</v>
      </c>
      <c r="E3634" s="22">
        <v>549168</v>
      </c>
      <c r="F3634" s="19"/>
      <c r="G3634" s="14">
        <f t="shared" si="70"/>
        <v>549168</v>
      </c>
      <c r="H3634" s="13"/>
    </row>
    <row r="3635" spans="1:8" x14ac:dyDescent="0.25">
      <c r="A3635" s="113">
        <v>45338</v>
      </c>
      <c r="B3635" s="21" t="s">
        <v>11897</v>
      </c>
      <c r="C3635" s="13" t="s">
        <v>7467</v>
      </c>
      <c r="D3635" s="766" t="s">
        <v>12609</v>
      </c>
      <c r="E3635" s="22">
        <v>336414</v>
      </c>
      <c r="F3635" s="19"/>
      <c r="G3635" s="14">
        <f t="shared" si="70"/>
        <v>336414</v>
      </c>
      <c r="H3635" s="13"/>
    </row>
    <row r="3636" spans="1:8" x14ac:dyDescent="0.25">
      <c r="A3636" s="113">
        <v>45339</v>
      </c>
      <c r="B3636" s="21" t="s">
        <v>11897</v>
      </c>
      <c r="C3636" s="13" t="s">
        <v>8394</v>
      </c>
      <c r="D3636" s="766" t="s">
        <v>12606</v>
      </c>
      <c r="E3636" s="22">
        <v>23879</v>
      </c>
      <c r="F3636" s="19"/>
      <c r="G3636" s="14">
        <f t="shared" si="70"/>
        <v>23879</v>
      </c>
      <c r="H3636" s="13"/>
    </row>
    <row r="3637" spans="1:8" x14ac:dyDescent="0.25">
      <c r="A3637" s="113">
        <v>45339</v>
      </c>
      <c r="B3637" s="21" t="s">
        <v>11716</v>
      </c>
      <c r="C3637" s="13" t="s">
        <v>8394</v>
      </c>
      <c r="D3637" s="766" t="s">
        <v>12607</v>
      </c>
      <c r="E3637" s="22">
        <v>6768</v>
      </c>
      <c r="F3637" s="19"/>
      <c r="G3637" s="14">
        <f t="shared" si="70"/>
        <v>6768</v>
      </c>
      <c r="H3637" s="13"/>
    </row>
    <row r="3638" spans="1:8" x14ac:dyDescent="0.25">
      <c r="A3638" s="113">
        <v>45339</v>
      </c>
      <c r="B3638" s="21" t="s">
        <v>11897</v>
      </c>
      <c r="C3638" s="13" t="s">
        <v>7242</v>
      </c>
      <c r="D3638" s="766"/>
      <c r="E3638" s="22"/>
      <c r="F3638" s="19">
        <v>400000</v>
      </c>
      <c r="G3638" s="14">
        <f t="shared" si="70"/>
        <v>-400000</v>
      </c>
      <c r="H3638" s="13" t="s">
        <v>12318</v>
      </c>
    </row>
    <row r="3639" spans="1:8" x14ac:dyDescent="0.25">
      <c r="A3639" s="113">
        <v>45339</v>
      </c>
      <c r="B3639" s="21" t="s">
        <v>9832</v>
      </c>
      <c r="C3639" s="13" t="s">
        <v>12388</v>
      </c>
      <c r="D3639" s="766"/>
      <c r="E3639" s="22"/>
      <c r="F3639" s="19">
        <v>480000</v>
      </c>
      <c r="G3639" s="14">
        <f t="shared" si="70"/>
        <v>-480000</v>
      </c>
      <c r="H3639" s="13" t="s">
        <v>12544</v>
      </c>
    </row>
    <row r="3640" spans="1:8" x14ac:dyDescent="0.25">
      <c r="A3640" s="113">
        <v>45339</v>
      </c>
      <c r="B3640" s="21" t="s">
        <v>9832</v>
      </c>
      <c r="C3640" s="13" t="s">
        <v>12388</v>
      </c>
      <c r="D3640" s="766"/>
      <c r="E3640" s="22"/>
      <c r="F3640" s="19">
        <v>370000</v>
      </c>
      <c r="G3640" s="14">
        <f t="shared" si="70"/>
        <v>-370000</v>
      </c>
      <c r="H3640" s="13" t="s">
        <v>12544</v>
      </c>
    </row>
    <row r="3641" spans="1:8" x14ac:dyDescent="0.25">
      <c r="A3641" s="113">
        <v>45339</v>
      </c>
      <c r="B3641" s="21" t="s">
        <v>9832</v>
      </c>
      <c r="C3641" s="13" t="s">
        <v>12388</v>
      </c>
      <c r="D3641" s="766"/>
      <c r="E3641" s="22"/>
      <c r="F3641" s="19">
        <v>704800</v>
      </c>
      <c r="G3641" s="14">
        <f t="shared" si="70"/>
        <v>-704800</v>
      </c>
      <c r="H3641" s="13" t="s">
        <v>12545</v>
      </c>
    </row>
    <row r="3642" spans="1:8" x14ac:dyDescent="0.25">
      <c r="A3642" s="113">
        <v>45339</v>
      </c>
      <c r="B3642" s="21" t="s">
        <v>9832</v>
      </c>
      <c r="C3642" s="13" t="s">
        <v>180</v>
      </c>
      <c r="D3642" s="766" t="s">
        <v>12684</v>
      </c>
      <c r="E3642" s="22">
        <v>427400</v>
      </c>
      <c r="F3642" s="19"/>
      <c r="G3642" s="14">
        <f t="shared" si="70"/>
        <v>427400</v>
      </c>
      <c r="H3642" s="13"/>
    </row>
    <row r="3643" spans="1:8" x14ac:dyDescent="0.25">
      <c r="A3643" s="113">
        <v>45341</v>
      </c>
      <c r="B3643" s="736"/>
      <c r="C3643" s="13" t="s">
        <v>5187</v>
      </c>
      <c r="D3643" s="766"/>
      <c r="E3643" s="22"/>
      <c r="F3643" s="19">
        <v>300000</v>
      </c>
      <c r="G3643" s="14">
        <f t="shared" si="70"/>
        <v>-300000</v>
      </c>
      <c r="H3643" s="13" t="s">
        <v>10721</v>
      </c>
    </row>
    <row r="3644" spans="1:8" x14ac:dyDescent="0.25">
      <c r="A3644" s="113">
        <v>45342</v>
      </c>
      <c r="B3644" s="21" t="s">
        <v>9832</v>
      </c>
      <c r="C3644" s="13" t="s">
        <v>12388</v>
      </c>
      <c r="D3644" s="766" t="s">
        <v>12610</v>
      </c>
      <c r="E3644" s="22">
        <v>1554800</v>
      </c>
      <c r="F3644" s="19"/>
      <c r="G3644" s="14">
        <f t="shared" si="70"/>
        <v>1554800</v>
      </c>
      <c r="H3644" s="13"/>
    </row>
    <row r="3645" spans="1:8" x14ac:dyDescent="0.25">
      <c r="A3645" s="113">
        <v>45342</v>
      </c>
      <c r="B3645" s="21" t="s">
        <v>10909</v>
      </c>
      <c r="C3645" s="13" t="s">
        <v>166</v>
      </c>
      <c r="D3645" s="766" t="s">
        <v>12686</v>
      </c>
      <c r="E3645" s="22">
        <v>3300</v>
      </c>
      <c r="F3645" s="19"/>
      <c r="G3645" s="14">
        <f t="shared" si="70"/>
        <v>3300</v>
      </c>
      <c r="H3645" s="13"/>
    </row>
    <row r="3646" spans="1:8" x14ac:dyDescent="0.25">
      <c r="A3646" s="113">
        <v>45343</v>
      </c>
      <c r="B3646" s="21" t="s">
        <v>10909</v>
      </c>
      <c r="C3646" s="13" t="s">
        <v>7954</v>
      </c>
      <c r="D3646" s="766"/>
      <c r="E3646" s="22"/>
      <c r="F3646" s="19">
        <v>275000</v>
      </c>
      <c r="G3646" s="14">
        <f t="shared" si="70"/>
        <v>-275000</v>
      </c>
      <c r="H3646" s="13" t="s">
        <v>12036</v>
      </c>
    </row>
    <row r="3647" spans="1:8" x14ac:dyDescent="0.25">
      <c r="A3647" s="113">
        <v>45343</v>
      </c>
      <c r="B3647" s="21" t="s">
        <v>11897</v>
      </c>
      <c r="C3647" s="13" t="s">
        <v>7467</v>
      </c>
      <c r="D3647" s="766"/>
      <c r="E3647" s="22"/>
      <c r="F3647" s="19">
        <v>1000000</v>
      </c>
      <c r="G3647" s="14">
        <f t="shared" si="70"/>
        <v>-1000000</v>
      </c>
      <c r="H3647" s="13" t="s">
        <v>12566</v>
      </c>
    </row>
    <row r="3648" spans="1:8" x14ac:dyDescent="0.25">
      <c r="A3648" s="113">
        <v>45343</v>
      </c>
      <c r="B3648" s="21" t="s">
        <v>12634</v>
      </c>
      <c r="C3648" s="13" t="s">
        <v>7467</v>
      </c>
      <c r="D3648" s="766" t="s">
        <v>12670</v>
      </c>
      <c r="E3648" s="22">
        <v>45459</v>
      </c>
      <c r="F3648" s="110"/>
      <c r="G3648" s="14">
        <f t="shared" si="70"/>
        <v>45459</v>
      </c>
      <c r="H3648" s="13"/>
    </row>
    <row r="3649" spans="1:8" ht="16.5" thickBot="1" x14ac:dyDescent="0.3">
      <c r="A3649" s="113">
        <v>45346</v>
      </c>
      <c r="B3649" s="21" t="s">
        <v>11897</v>
      </c>
      <c r="C3649" s="13" t="s">
        <v>8394</v>
      </c>
      <c r="D3649" s="766"/>
      <c r="E3649" s="22"/>
      <c r="F3649" s="110">
        <v>500000</v>
      </c>
      <c r="G3649" s="14">
        <f t="shared" si="70"/>
        <v>-500000</v>
      </c>
      <c r="H3649" s="13" t="s">
        <v>12318</v>
      </c>
    </row>
    <row r="3650" spans="1:8" x14ac:dyDescent="0.25">
      <c r="A3650" s="113">
        <v>45346</v>
      </c>
      <c r="B3650" s="21" t="s">
        <v>10379</v>
      </c>
      <c r="C3650" s="13" t="s">
        <v>180</v>
      </c>
      <c r="D3650" s="766"/>
      <c r="E3650" s="783"/>
      <c r="F3650" s="785">
        <v>13760</v>
      </c>
      <c r="G3650" s="784">
        <f t="shared" si="70"/>
        <v>-13760</v>
      </c>
      <c r="H3650" s="1220" t="s">
        <v>12584</v>
      </c>
    </row>
    <row r="3651" spans="1:8" x14ac:dyDescent="0.25">
      <c r="A3651" s="113">
        <v>45346</v>
      </c>
      <c r="B3651" s="21" t="s">
        <v>10909</v>
      </c>
      <c r="C3651" s="13" t="s">
        <v>180</v>
      </c>
      <c r="D3651" s="766"/>
      <c r="E3651" s="783"/>
      <c r="F3651" s="142">
        <v>164280</v>
      </c>
      <c r="G3651" s="784">
        <f t="shared" si="70"/>
        <v>-164280</v>
      </c>
      <c r="H3651" s="1221"/>
    </row>
    <row r="3652" spans="1:8" x14ac:dyDescent="0.25">
      <c r="A3652" s="113">
        <v>45346</v>
      </c>
      <c r="B3652" s="21" t="s">
        <v>11617</v>
      </c>
      <c r="C3652" s="13" t="s">
        <v>180</v>
      </c>
      <c r="D3652" s="766"/>
      <c r="E3652" s="783"/>
      <c r="F3652" s="142">
        <v>145230</v>
      </c>
      <c r="G3652" s="784">
        <f t="shared" si="70"/>
        <v>-145230</v>
      </c>
      <c r="H3652" s="1221"/>
    </row>
    <row r="3653" spans="1:8" ht="16.5" thickBot="1" x14ac:dyDescent="0.3">
      <c r="A3653" s="113">
        <v>45346</v>
      </c>
      <c r="B3653" s="21" t="s">
        <v>11897</v>
      </c>
      <c r="C3653" s="13" t="s">
        <v>180</v>
      </c>
      <c r="D3653" s="766"/>
      <c r="E3653" s="783"/>
      <c r="F3653" s="786">
        <v>176730</v>
      </c>
      <c r="G3653" s="784">
        <f t="shared" si="70"/>
        <v>-176730</v>
      </c>
      <c r="H3653" s="1222"/>
    </row>
    <row r="3654" spans="1:8" x14ac:dyDescent="0.25">
      <c r="A3654" s="113">
        <v>45341</v>
      </c>
      <c r="B3654" s="736"/>
      <c r="C3654" s="13" t="s">
        <v>166</v>
      </c>
      <c r="D3654" s="766"/>
      <c r="E3654" s="22"/>
      <c r="F3654" s="112">
        <v>653892</v>
      </c>
      <c r="G3654" s="14">
        <f t="shared" si="70"/>
        <v>-653892</v>
      </c>
      <c r="H3654" s="13" t="s">
        <v>12576</v>
      </c>
    </row>
    <row r="3655" spans="1:8" x14ac:dyDescent="0.25">
      <c r="A3655" s="113">
        <v>45342</v>
      </c>
      <c r="B3655" s="21" t="s">
        <v>8559</v>
      </c>
      <c r="C3655" s="13" t="s">
        <v>164</v>
      </c>
      <c r="D3655" s="766" t="s">
        <v>12717</v>
      </c>
      <c r="E3655" s="22">
        <v>75279</v>
      </c>
      <c r="F3655" s="112"/>
      <c r="G3655" s="14">
        <f t="shared" si="70"/>
        <v>75279</v>
      </c>
      <c r="H3655" s="13"/>
    </row>
    <row r="3656" spans="1:8" x14ac:dyDescent="0.25">
      <c r="A3656" s="113">
        <v>45346</v>
      </c>
      <c r="B3656" s="63" t="s">
        <v>9832</v>
      </c>
      <c r="C3656" s="13" t="s">
        <v>164</v>
      </c>
      <c r="D3656" s="766" t="s">
        <v>12718</v>
      </c>
      <c r="E3656" s="22">
        <v>4290</v>
      </c>
      <c r="F3656" s="112"/>
      <c r="G3656" s="14">
        <f t="shared" si="70"/>
        <v>4290</v>
      </c>
      <c r="H3656" s="13"/>
    </row>
    <row r="3657" spans="1:8" x14ac:dyDescent="0.25">
      <c r="A3657" s="113">
        <v>45348</v>
      </c>
      <c r="B3657" s="21" t="s">
        <v>10909</v>
      </c>
      <c r="C3657" s="13" t="s">
        <v>12496</v>
      </c>
      <c r="D3657" s="766" t="s">
        <v>9245</v>
      </c>
      <c r="E3657" s="22">
        <v>27608</v>
      </c>
      <c r="F3657" s="112"/>
      <c r="G3657" s="14">
        <f t="shared" si="70"/>
        <v>27608</v>
      </c>
      <c r="H3657" s="13"/>
    </row>
    <row r="3658" spans="1:8" x14ac:dyDescent="0.25">
      <c r="A3658" s="113">
        <v>45348</v>
      </c>
      <c r="B3658" s="21" t="s">
        <v>12207</v>
      </c>
      <c r="C3658" s="13" t="s">
        <v>8394</v>
      </c>
      <c r="D3658" s="766" t="s">
        <v>12666</v>
      </c>
      <c r="E3658" s="22">
        <v>64376</v>
      </c>
      <c r="F3658" s="112"/>
      <c r="G3658" s="14">
        <f t="shared" si="70"/>
        <v>64376</v>
      </c>
      <c r="H3658" s="13"/>
    </row>
    <row r="3659" spans="1:8" x14ac:dyDescent="0.25">
      <c r="A3659" s="113">
        <v>45348</v>
      </c>
      <c r="B3659" s="21" t="s">
        <v>9832</v>
      </c>
      <c r="C3659" s="13" t="s">
        <v>8394</v>
      </c>
      <c r="D3659" s="766" t="s">
        <v>12667</v>
      </c>
      <c r="E3659" s="22">
        <v>40701</v>
      </c>
      <c r="F3659" s="112"/>
      <c r="G3659" s="14">
        <f t="shared" si="70"/>
        <v>40701</v>
      </c>
      <c r="H3659" s="13"/>
    </row>
    <row r="3660" spans="1:8" x14ac:dyDescent="0.25">
      <c r="A3660" s="113">
        <v>45348</v>
      </c>
      <c r="B3660" s="21" t="s">
        <v>10232</v>
      </c>
      <c r="C3660" s="13" t="s">
        <v>11324</v>
      </c>
      <c r="D3660" s="766"/>
      <c r="E3660" s="22"/>
      <c r="F3660" s="19">
        <v>146000</v>
      </c>
      <c r="G3660" s="14">
        <f>E3660-F3660</f>
        <v>-146000</v>
      </c>
      <c r="H3660" s="13" t="s">
        <v>12590</v>
      </c>
    </row>
    <row r="3661" spans="1:8" x14ac:dyDescent="0.25">
      <c r="A3661" s="113">
        <v>45348</v>
      </c>
      <c r="B3661" s="21" t="s">
        <v>11897</v>
      </c>
      <c r="C3661" s="13" t="s">
        <v>169</v>
      </c>
      <c r="D3661" s="766" t="s">
        <v>12500</v>
      </c>
      <c r="E3661" s="22">
        <v>82734</v>
      </c>
      <c r="F3661" s="19"/>
      <c r="G3661" s="14">
        <f t="shared" ref="G3661:G3663" si="71">E3661-F3661</f>
        <v>82734</v>
      </c>
      <c r="H3661" s="13"/>
    </row>
    <row r="3662" spans="1:8" x14ac:dyDescent="0.25">
      <c r="A3662" s="113">
        <v>45348</v>
      </c>
      <c r="B3662" s="21" t="s">
        <v>9832</v>
      </c>
      <c r="C3662" s="13" t="s">
        <v>164</v>
      </c>
      <c r="D3662" s="766" t="s">
        <v>12719</v>
      </c>
      <c r="E3662" s="22">
        <v>2660</v>
      </c>
      <c r="F3662" s="19"/>
      <c r="G3662" s="14">
        <f t="shared" si="71"/>
        <v>2660</v>
      </c>
      <c r="H3662" s="13"/>
    </row>
    <row r="3663" spans="1:8" x14ac:dyDescent="0.25">
      <c r="A3663" s="113">
        <v>45348</v>
      </c>
      <c r="B3663" s="21" t="s">
        <v>9832</v>
      </c>
      <c r="C3663" s="13" t="s">
        <v>164</v>
      </c>
      <c r="D3663" s="766" t="s">
        <v>12720</v>
      </c>
      <c r="E3663" s="22">
        <v>3588</v>
      </c>
      <c r="F3663" s="19"/>
      <c r="G3663" s="14">
        <f t="shared" si="71"/>
        <v>3588</v>
      </c>
      <c r="H3663" s="13"/>
    </row>
    <row r="3664" spans="1:8" x14ac:dyDescent="0.25">
      <c r="A3664" s="113">
        <v>45349</v>
      </c>
      <c r="B3664" s="21" t="s">
        <v>10909</v>
      </c>
      <c r="C3664" s="13" t="s">
        <v>12496</v>
      </c>
      <c r="D3664" s="766"/>
      <c r="E3664" s="22"/>
      <c r="F3664" s="19">
        <v>200000</v>
      </c>
      <c r="G3664" s="14">
        <f t="shared" si="70"/>
        <v>-200000</v>
      </c>
      <c r="H3664" s="13" t="s">
        <v>12597</v>
      </c>
    </row>
    <row r="3665" spans="1:8" x14ac:dyDescent="0.25">
      <c r="A3665" s="113">
        <v>45349</v>
      </c>
      <c r="B3665" s="21" t="s">
        <v>11897</v>
      </c>
      <c r="C3665" s="13" t="s">
        <v>7467</v>
      </c>
      <c r="D3665" s="766"/>
      <c r="E3665" s="22"/>
      <c r="F3665" s="19">
        <v>1000000</v>
      </c>
      <c r="G3665" s="14">
        <f t="shared" si="70"/>
        <v>-1000000</v>
      </c>
      <c r="H3665" s="13" t="s">
        <v>12613</v>
      </c>
    </row>
    <row r="3666" spans="1:8" x14ac:dyDescent="0.25">
      <c r="A3666" s="113">
        <v>45349</v>
      </c>
      <c r="B3666" s="21" t="s">
        <v>11897</v>
      </c>
      <c r="C3666" s="13" t="s">
        <v>7467</v>
      </c>
      <c r="D3666" s="766" t="s">
        <v>12671</v>
      </c>
      <c r="E3666" s="22">
        <v>123660</v>
      </c>
      <c r="F3666" s="19"/>
      <c r="G3666" s="14">
        <f t="shared" si="70"/>
        <v>123660</v>
      </c>
      <c r="H3666" s="13"/>
    </row>
    <row r="3667" spans="1:8" x14ac:dyDescent="0.25">
      <c r="A3667" s="113">
        <v>45349</v>
      </c>
      <c r="B3667" s="21" t="s">
        <v>11897</v>
      </c>
      <c r="C3667" s="13" t="s">
        <v>7467</v>
      </c>
      <c r="D3667" s="766" t="s">
        <v>12672</v>
      </c>
      <c r="E3667" s="22">
        <v>270563</v>
      </c>
      <c r="F3667" s="19"/>
      <c r="G3667" s="14">
        <f t="shared" si="70"/>
        <v>270563</v>
      </c>
      <c r="H3667" s="13"/>
    </row>
    <row r="3668" spans="1:8" x14ac:dyDescent="0.25">
      <c r="A3668" s="113">
        <v>45350</v>
      </c>
      <c r="B3668" s="21" t="s">
        <v>11897</v>
      </c>
      <c r="C3668" s="13" t="s">
        <v>169</v>
      </c>
      <c r="D3668" s="766" t="s">
        <v>11262</v>
      </c>
      <c r="E3668" s="22">
        <v>4657</v>
      </c>
      <c r="F3668" s="19"/>
      <c r="G3668" s="14">
        <f t="shared" si="70"/>
        <v>4657</v>
      </c>
      <c r="H3668" s="13"/>
    </row>
    <row r="3669" spans="1:8" x14ac:dyDescent="0.25">
      <c r="A3669" s="113">
        <v>45351</v>
      </c>
      <c r="B3669" s="21" t="s">
        <v>11897</v>
      </c>
      <c r="C3669" s="13" t="s">
        <v>8394</v>
      </c>
      <c r="D3669" s="766" t="s">
        <v>12668</v>
      </c>
      <c r="E3669" s="22">
        <v>25644</v>
      </c>
      <c r="F3669" s="19"/>
      <c r="G3669" s="14">
        <f t="shared" si="70"/>
        <v>25644</v>
      </c>
      <c r="H3669" s="13"/>
    </row>
    <row r="3670" spans="1:8" x14ac:dyDescent="0.25">
      <c r="A3670" s="113">
        <v>45351</v>
      </c>
      <c r="B3670" s="21" t="s">
        <v>12207</v>
      </c>
      <c r="C3670" s="13" t="s">
        <v>8394</v>
      </c>
      <c r="D3670" s="766" t="s">
        <v>12669</v>
      </c>
      <c r="E3670" s="22">
        <v>20455</v>
      </c>
      <c r="F3670" s="19"/>
      <c r="G3670" s="14">
        <f t="shared" si="70"/>
        <v>20455</v>
      </c>
      <c r="H3670" s="13"/>
    </row>
    <row r="3671" spans="1:8" x14ac:dyDescent="0.25">
      <c r="A3671" s="113">
        <v>45351</v>
      </c>
      <c r="B3671" s="21" t="s">
        <v>10909</v>
      </c>
      <c r="C3671" s="13" t="s">
        <v>166</v>
      </c>
      <c r="D3671" s="766" t="s">
        <v>12687</v>
      </c>
      <c r="E3671" s="22">
        <v>1460</v>
      </c>
      <c r="F3671" s="19"/>
      <c r="G3671" s="14">
        <f t="shared" si="70"/>
        <v>1460</v>
      </c>
      <c r="H3671" s="13"/>
    </row>
    <row r="3672" spans="1:8" x14ac:dyDescent="0.25">
      <c r="A3672" s="113">
        <v>45355</v>
      </c>
      <c r="B3672" s="21" t="s">
        <v>11897</v>
      </c>
      <c r="C3672" s="13" t="s">
        <v>7467</v>
      </c>
      <c r="D3672" s="766" t="s">
        <v>12673</v>
      </c>
      <c r="E3672" s="22">
        <v>30400</v>
      </c>
      <c r="F3672" s="19"/>
      <c r="G3672" s="14">
        <f t="shared" si="70"/>
        <v>30400</v>
      </c>
      <c r="H3672" s="13"/>
    </row>
    <row r="3673" spans="1:8" x14ac:dyDescent="0.25">
      <c r="A3673" s="113">
        <v>45357</v>
      </c>
      <c r="B3673" s="21" t="s">
        <v>10571</v>
      </c>
      <c r="C3673" s="13" t="s">
        <v>12388</v>
      </c>
      <c r="D3673" s="766" t="s">
        <v>12716</v>
      </c>
      <c r="E3673" s="22">
        <v>22000</v>
      </c>
      <c r="F3673" s="19"/>
      <c r="G3673" s="14">
        <f t="shared" si="70"/>
        <v>22000</v>
      </c>
      <c r="H3673" s="13"/>
    </row>
    <row r="3674" spans="1:8" x14ac:dyDescent="0.25">
      <c r="A3674" s="113">
        <v>45357</v>
      </c>
      <c r="B3674" s="21" t="s">
        <v>9832</v>
      </c>
      <c r="C3674" s="13" t="s">
        <v>164</v>
      </c>
      <c r="D3674" s="766"/>
      <c r="E3674" s="22"/>
      <c r="F3674" s="19">
        <v>2776</v>
      </c>
      <c r="G3674" s="14">
        <f t="shared" si="70"/>
        <v>-2776</v>
      </c>
      <c r="H3674" s="13" t="s">
        <v>4470</v>
      </c>
    </row>
    <row r="3675" spans="1:8" x14ac:dyDescent="0.25">
      <c r="A3675" s="113">
        <v>45358</v>
      </c>
      <c r="B3675" s="21" t="s">
        <v>10909</v>
      </c>
      <c r="C3675" s="13" t="s">
        <v>166</v>
      </c>
      <c r="D3675" s="766" t="s">
        <v>12688</v>
      </c>
      <c r="E3675" s="22">
        <v>34680</v>
      </c>
      <c r="F3675" s="19"/>
      <c r="G3675" s="14">
        <f t="shared" si="70"/>
        <v>34680</v>
      </c>
      <c r="H3675" s="13"/>
    </row>
    <row r="3676" spans="1:8" x14ac:dyDescent="0.25">
      <c r="A3676" s="113">
        <v>45358</v>
      </c>
      <c r="B3676" s="21" t="s">
        <v>8559</v>
      </c>
      <c r="C3676" s="13" t="s">
        <v>166</v>
      </c>
      <c r="D3676" s="766" t="s">
        <v>12877</v>
      </c>
      <c r="E3676" s="22">
        <v>3390</v>
      </c>
      <c r="F3676" s="19"/>
      <c r="G3676" s="14">
        <f t="shared" si="70"/>
        <v>3390</v>
      </c>
      <c r="H3676" s="13"/>
    </row>
    <row r="3677" spans="1:8" x14ac:dyDescent="0.25">
      <c r="A3677" s="113">
        <v>45362</v>
      </c>
      <c r="B3677" s="21" t="s">
        <v>8559</v>
      </c>
      <c r="C3677" s="13" t="s">
        <v>8394</v>
      </c>
      <c r="D3677" s="766" t="s">
        <v>12777</v>
      </c>
      <c r="E3677" s="22">
        <v>35310</v>
      </c>
      <c r="F3677" s="19"/>
      <c r="G3677" s="14">
        <f t="shared" si="70"/>
        <v>35310</v>
      </c>
      <c r="H3677" s="13"/>
    </row>
    <row r="3678" spans="1:8" x14ac:dyDescent="0.25">
      <c r="A3678" s="113">
        <v>45363</v>
      </c>
      <c r="B3678" s="21" t="s">
        <v>11897</v>
      </c>
      <c r="C3678" s="13" t="s">
        <v>8394</v>
      </c>
      <c r="D3678" s="766" t="s">
        <v>12778</v>
      </c>
      <c r="E3678" s="22">
        <v>27143</v>
      </c>
      <c r="F3678" s="19"/>
      <c r="G3678" s="14">
        <f t="shared" si="70"/>
        <v>27143</v>
      </c>
      <c r="H3678" s="13"/>
    </row>
    <row r="3679" spans="1:8" x14ac:dyDescent="0.25">
      <c r="A3679" s="113">
        <v>45363</v>
      </c>
      <c r="B3679" s="21" t="s">
        <v>12207</v>
      </c>
      <c r="C3679" s="13" t="s">
        <v>8394</v>
      </c>
      <c r="D3679" s="766" t="s">
        <v>12779</v>
      </c>
      <c r="E3679" s="22">
        <v>6740</v>
      </c>
      <c r="F3679" s="19"/>
      <c r="G3679" s="14">
        <f t="shared" si="70"/>
        <v>6740</v>
      </c>
      <c r="H3679" s="13"/>
    </row>
    <row r="3680" spans="1:8" x14ac:dyDescent="0.25">
      <c r="A3680" s="113">
        <v>45367</v>
      </c>
      <c r="B3680" s="21" t="s">
        <v>11897</v>
      </c>
      <c r="C3680" s="13" t="s">
        <v>7467</v>
      </c>
      <c r="D3680" s="766"/>
      <c r="E3680" s="22"/>
      <c r="F3680" s="19">
        <v>2000000</v>
      </c>
      <c r="G3680" s="14">
        <f t="shared" si="70"/>
        <v>-2000000</v>
      </c>
      <c r="H3680" s="13" t="s">
        <v>12765</v>
      </c>
    </row>
    <row r="3681" spans="1:8" x14ac:dyDescent="0.25">
      <c r="A3681" s="113">
        <v>45367</v>
      </c>
      <c r="B3681" s="21" t="s">
        <v>11897</v>
      </c>
      <c r="C3681" s="13" t="s">
        <v>7467</v>
      </c>
      <c r="D3681" s="766" t="s">
        <v>12774</v>
      </c>
      <c r="E3681" s="22">
        <v>30400</v>
      </c>
      <c r="F3681" s="19"/>
      <c r="G3681" s="14">
        <f t="shared" si="70"/>
        <v>30400</v>
      </c>
      <c r="H3681" s="13"/>
    </row>
    <row r="3682" spans="1:8" x14ac:dyDescent="0.25">
      <c r="A3682" s="113">
        <v>45367</v>
      </c>
      <c r="B3682" s="21" t="s">
        <v>11897</v>
      </c>
      <c r="C3682" s="13" t="s">
        <v>7467</v>
      </c>
      <c r="D3682" s="766" t="s">
        <v>12775</v>
      </c>
      <c r="E3682" s="22">
        <v>131702</v>
      </c>
      <c r="F3682" s="19"/>
      <c r="G3682" s="14">
        <f t="shared" si="70"/>
        <v>131702</v>
      </c>
      <c r="H3682" s="13"/>
    </row>
    <row r="3683" spans="1:8" x14ac:dyDescent="0.25">
      <c r="A3683" s="113">
        <v>45367</v>
      </c>
      <c r="B3683" s="21" t="s">
        <v>9832</v>
      </c>
      <c r="C3683" s="13" t="s">
        <v>166</v>
      </c>
      <c r="D3683" s="766" t="s">
        <v>12878</v>
      </c>
      <c r="E3683" s="22">
        <v>60200</v>
      </c>
      <c r="F3683" s="19"/>
      <c r="G3683" s="14">
        <f t="shared" si="70"/>
        <v>60200</v>
      </c>
      <c r="H3683" s="13"/>
    </row>
    <row r="3684" spans="1:8" x14ac:dyDescent="0.25">
      <c r="A3684" s="113">
        <v>45369</v>
      </c>
      <c r="B3684" s="30"/>
      <c r="C3684" s="13" t="s">
        <v>8394</v>
      </c>
      <c r="D3684" s="766"/>
      <c r="E3684" s="22"/>
      <c r="F3684" s="19">
        <v>1000000</v>
      </c>
      <c r="G3684" s="14">
        <f t="shared" si="70"/>
        <v>-1000000</v>
      </c>
      <c r="H3684" s="13" t="s">
        <v>12613</v>
      </c>
    </row>
    <row r="3685" spans="1:8" x14ac:dyDescent="0.25">
      <c r="A3685" s="113">
        <v>45370</v>
      </c>
      <c r="B3685" s="21" t="s">
        <v>11897</v>
      </c>
      <c r="C3685" s="13" t="s">
        <v>7467</v>
      </c>
      <c r="D3685" s="766" t="s">
        <v>11330</v>
      </c>
      <c r="E3685" s="22">
        <v>9000</v>
      </c>
      <c r="F3685" s="19"/>
      <c r="G3685" s="14">
        <f t="shared" si="70"/>
        <v>9000</v>
      </c>
      <c r="H3685" s="13"/>
    </row>
    <row r="3686" spans="1:8" x14ac:dyDescent="0.25">
      <c r="A3686" s="113">
        <v>45371</v>
      </c>
      <c r="B3686" s="21" t="s">
        <v>11897</v>
      </c>
      <c r="C3686" s="13" t="s">
        <v>7467</v>
      </c>
      <c r="D3686" s="766" t="s">
        <v>12776</v>
      </c>
      <c r="E3686" s="22">
        <v>227953</v>
      </c>
      <c r="F3686" s="19"/>
      <c r="G3686" s="14">
        <f t="shared" si="70"/>
        <v>227953</v>
      </c>
      <c r="H3686" s="13"/>
    </row>
    <row r="3687" spans="1:8" x14ac:dyDescent="0.25">
      <c r="A3687" s="113">
        <v>45371</v>
      </c>
      <c r="B3687" s="21" t="s">
        <v>10571</v>
      </c>
      <c r="C3687" s="13" t="s">
        <v>12388</v>
      </c>
      <c r="D3687" s="766" t="s">
        <v>12840</v>
      </c>
      <c r="E3687" s="22">
        <v>11000</v>
      </c>
      <c r="F3687" s="19"/>
      <c r="G3687" s="14">
        <f t="shared" si="70"/>
        <v>11000</v>
      </c>
      <c r="H3687" s="13"/>
    </row>
    <row r="3688" spans="1:8" x14ac:dyDescent="0.25">
      <c r="A3688" s="113">
        <v>45372</v>
      </c>
      <c r="B3688" s="21" t="s">
        <v>12207</v>
      </c>
      <c r="C3688" s="13" t="s">
        <v>180</v>
      </c>
      <c r="D3688" s="766"/>
      <c r="E3688" s="22"/>
      <c r="F3688" s="19">
        <v>712701</v>
      </c>
      <c r="G3688" s="14">
        <f t="shared" si="70"/>
        <v>-712701</v>
      </c>
      <c r="H3688" s="13" t="s">
        <v>12791</v>
      </c>
    </row>
    <row r="3689" spans="1:8" x14ac:dyDescent="0.25">
      <c r="A3689" s="113">
        <v>45373</v>
      </c>
      <c r="B3689" s="21" t="s">
        <v>11897</v>
      </c>
      <c r="C3689" s="13" t="s">
        <v>8394</v>
      </c>
      <c r="D3689" s="766" t="s">
        <v>12839</v>
      </c>
      <c r="E3689" s="22">
        <v>11306</v>
      </c>
      <c r="F3689" s="19"/>
      <c r="G3689" s="14">
        <f t="shared" si="70"/>
        <v>11306</v>
      </c>
      <c r="H3689" s="13"/>
    </row>
    <row r="3690" spans="1:8" x14ac:dyDescent="0.25">
      <c r="A3690" s="113">
        <v>45377</v>
      </c>
      <c r="B3690" s="21" t="s">
        <v>10909</v>
      </c>
      <c r="C3690" s="13" t="s">
        <v>12496</v>
      </c>
      <c r="D3690" s="766"/>
      <c r="E3690" s="22"/>
      <c r="F3690" s="19">
        <v>100000</v>
      </c>
      <c r="G3690" s="14">
        <f t="shared" si="70"/>
        <v>-100000</v>
      </c>
      <c r="H3690" s="13" t="s">
        <v>12803</v>
      </c>
    </row>
    <row r="3691" spans="1:8" x14ac:dyDescent="0.25">
      <c r="A3691" s="113">
        <v>45377</v>
      </c>
      <c r="B3691" s="21" t="s">
        <v>10909</v>
      </c>
      <c r="C3691" s="13" t="s">
        <v>7954</v>
      </c>
      <c r="D3691" s="766"/>
      <c r="E3691" s="22"/>
      <c r="F3691" s="19">
        <v>200000</v>
      </c>
      <c r="G3691" s="14">
        <f t="shared" si="70"/>
        <v>-200000</v>
      </c>
      <c r="H3691" s="13" t="s">
        <v>12803</v>
      </c>
    </row>
    <row r="3692" spans="1:8" x14ac:dyDescent="0.25">
      <c r="A3692" s="113">
        <v>45377</v>
      </c>
      <c r="B3692" s="21" t="s">
        <v>10909</v>
      </c>
      <c r="C3692" s="13" t="s">
        <v>7954</v>
      </c>
      <c r="D3692" s="766"/>
      <c r="E3692" s="22"/>
      <c r="F3692" s="19">
        <v>100000</v>
      </c>
      <c r="G3692" s="14">
        <f t="shared" ref="G3692:G3703" si="72">E3692-F3692</f>
        <v>-100000</v>
      </c>
      <c r="H3692" s="13" t="s">
        <v>12803</v>
      </c>
    </row>
    <row r="3693" spans="1:8" x14ac:dyDescent="0.25">
      <c r="A3693" s="113">
        <v>45381</v>
      </c>
      <c r="B3693" s="21" t="s">
        <v>12818</v>
      </c>
      <c r="C3693" s="13" t="s">
        <v>166</v>
      </c>
      <c r="D3693" s="766" t="s">
        <v>12879</v>
      </c>
      <c r="E3693" s="22">
        <v>14000</v>
      </c>
      <c r="F3693" s="19"/>
      <c r="G3693" s="14">
        <f t="shared" si="72"/>
        <v>14000</v>
      </c>
      <c r="H3693" s="13"/>
    </row>
    <row r="3694" spans="1:8" x14ac:dyDescent="0.25">
      <c r="A3694" s="113">
        <v>45384</v>
      </c>
      <c r="B3694" s="21" t="s">
        <v>12827</v>
      </c>
      <c r="C3694" s="13" t="s">
        <v>7467</v>
      </c>
      <c r="D3694" s="766" t="s">
        <v>12875</v>
      </c>
      <c r="E3694" s="22">
        <v>87507</v>
      </c>
      <c r="F3694" s="19"/>
      <c r="G3694" s="14">
        <f t="shared" si="72"/>
        <v>87507</v>
      </c>
      <c r="H3694" s="13"/>
    </row>
    <row r="3695" spans="1:8" x14ac:dyDescent="0.25">
      <c r="A3695" s="113">
        <v>45385</v>
      </c>
      <c r="B3695" s="21" t="s">
        <v>11897</v>
      </c>
      <c r="C3695" s="13" t="s">
        <v>7242</v>
      </c>
      <c r="D3695" s="766" t="s">
        <v>9874</v>
      </c>
      <c r="E3695" s="22">
        <v>2720330</v>
      </c>
      <c r="F3695" s="19"/>
      <c r="G3695" s="14">
        <f t="shared" si="72"/>
        <v>2720330</v>
      </c>
      <c r="H3695" s="13"/>
    </row>
    <row r="3696" spans="1:8" x14ac:dyDescent="0.25">
      <c r="A3696" s="113">
        <v>45386</v>
      </c>
      <c r="B3696" s="21" t="s">
        <v>12818</v>
      </c>
      <c r="C3696" s="13" t="s">
        <v>12388</v>
      </c>
      <c r="D3696" s="766" t="s">
        <v>12876</v>
      </c>
      <c r="E3696" s="22">
        <v>38500</v>
      </c>
      <c r="F3696" s="19"/>
      <c r="G3696" s="14">
        <f t="shared" si="72"/>
        <v>38500</v>
      </c>
      <c r="H3696" s="13"/>
    </row>
    <row r="3697" spans="1:8" x14ac:dyDescent="0.25">
      <c r="A3697" s="113">
        <v>45386</v>
      </c>
      <c r="B3697" s="21" t="s">
        <v>11897</v>
      </c>
      <c r="C3697" s="13" t="s">
        <v>7242</v>
      </c>
      <c r="D3697" s="766"/>
      <c r="E3697" s="22"/>
      <c r="F3697" s="19">
        <v>700000</v>
      </c>
      <c r="G3697" s="14">
        <f t="shared" si="72"/>
        <v>-700000</v>
      </c>
      <c r="H3697" s="13" t="s">
        <v>12767</v>
      </c>
    </row>
    <row r="3698" spans="1:8" x14ac:dyDescent="0.25">
      <c r="A3698" s="113">
        <v>45386</v>
      </c>
      <c r="B3698" s="21" t="s">
        <v>12818</v>
      </c>
      <c r="C3698" s="13" t="s">
        <v>8394</v>
      </c>
      <c r="D3698" s="766" t="s">
        <v>12880</v>
      </c>
      <c r="E3698" s="22">
        <v>153139</v>
      </c>
      <c r="F3698" s="19"/>
      <c r="G3698" s="14">
        <f t="shared" si="72"/>
        <v>153139</v>
      </c>
      <c r="H3698" s="13"/>
    </row>
    <row r="3699" spans="1:8" x14ac:dyDescent="0.25">
      <c r="A3699" s="113">
        <v>45390</v>
      </c>
      <c r="B3699" s="21" t="s">
        <v>11897</v>
      </c>
      <c r="C3699" s="13" t="s">
        <v>7242</v>
      </c>
      <c r="D3699" s="766"/>
      <c r="E3699" s="22"/>
      <c r="F3699" s="19">
        <v>200000</v>
      </c>
      <c r="G3699" s="14">
        <f t="shared" si="72"/>
        <v>-200000</v>
      </c>
      <c r="H3699" s="13" t="s">
        <v>12889</v>
      </c>
    </row>
    <row r="3700" spans="1:8" x14ac:dyDescent="0.25">
      <c r="A3700" s="113">
        <v>45404</v>
      </c>
      <c r="B3700" s="21" t="s">
        <v>12818</v>
      </c>
      <c r="C3700" s="13" t="s">
        <v>7242</v>
      </c>
      <c r="D3700" s="766" t="s">
        <v>12929</v>
      </c>
      <c r="E3700" s="22">
        <v>8500</v>
      </c>
      <c r="F3700" s="19"/>
      <c r="G3700" s="14">
        <f t="shared" si="72"/>
        <v>8500</v>
      </c>
      <c r="H3700" s="13"/>
    </row>
    <row r="3701" spans="1:8" x14ac:dyDescent="0.25">
      <c r="A3701" s="113">
        <v>45412</v>
      </c>
      <c r="B3701" s="30"/>
      <c r="C3701" s="13" t="s">
        <v>164</v>
      </c>
      <c r="D3701" s="766"/>
      <c r="E3701" s="22"/>
      <c r="F3701" s="19">
        <v>300000</v>
      </c>
      <c r="G3701" s="14">
        <f t="shared" si="72"/>
        <v>-300000</v>
      </c>
      <c r="H3701" s="13" t="s">
        <v>12302</v>
      </c>
    </row>
    <row r="3702" spans="1:8" x14ac:dyDescent="0.25">
      <c r="A3702" s="113">
        <v>45418</v>
      </c>
      <c r="B3702" s="21" t="s">
        <v>11897</v>
      </c>
      <c r="C3702" s="13" t="s">
        <v>7467</v>
      </c>
      <c r="D3702" s="766"/>
      <c r="E3702" s="22"/>
      <c r="F3702" s="19">
        <v>900000</v>
      </c>
      <c r="G3702" s="14">
        <f t="shared" si="72"/>
        <v>-900000</v>
      </c>
      <c r="H3702" s="13" t="s">
        <v>12988</v>
      </c>
    </row>
    <row r="3703" spans="1:8" x14ac:dyDescent="0.25">
      <c r="A3703" s="113">
        <v>45418</v>
      </c>
      <c r="B3703" s="21" t="s">
        <v>11897</v>
      </c>
      <c r="C3703" s="13" t="s">
        <v>7467</v>
      </c>
      <c r="D3703" s="766"/>
      <c r="E3703" s="22"/>
      <c r="F3703" s="19">
        <v>924000</v>
      </c>
      <c r="G3703" s="14">
        <f t="shared" si="72"/>
        <v>-924000</v>
      </c>
      <c r="H3703" s="13" t="s">
        <v>12988</v>
      </c>
    </row>
    <row r="3704" spans="1:8" x14ac:dyDescent="0.25">
      <c r="A3704" s="13"/>
      <c r="B3704" s="21"/>
      <c r="C3704" s="13"/>
      <c r="D3704" s="766"/>
      <c r="E3704" s="22"/>
      <c r="F3704" s="19"/>
      <c r="G3704" s="14"/>
      <c r="H3704" s="13"/>
    </row>
    <row r="3705" spans="1:8" x14ac:dyDescent="0.25">
      <c r="A3705" s="13"/>
      <c r="B3705" s="21"/>
      <c r="C3705" s="13"/>
      <c r="D3705" s="766"/>
      <c r="E3705" s="22"/>
      <c r="F3705" s="19"/>
      <c r="G3705" s="14"/>
      <c r="H3705" s="13"/>
    </row>
    <row r="3706" spans="1:8" x14ac:dyDescent="0.25">
      <c r="A3706" s="13"/>
      <c r="B3706" s="21"/>
      <c r="C3706" s="13"/>
      <c r="D3706" s="766"/>
      <c r="E3706" s="22"/>
      <c r="F3706" s="19"/>
      <c r="G3706" s="14"/>
      <c r="H3706" s="13"/>
    </row>
    <row r="3707" spans="1:8" x14ac:dyDescent="0.25">
      <c r="A3707" s="13"/>
      <c r="B3707" s="21"/>
      <c r="C3707" s="13"/>
      <c r="D3707" s="766"/>
      <c r="E3707" s="22"/>
      <c r="F3707" s="19"/>
      <c r="G3707" s="14"/>
      <c r="H3707" s="13"/>
    </row>
    <row r="3708" spans="1:8" x14ac:dyDescent="0.25">
      <c r="A3708" s="13"/>
      <c r="B3708" s="21"/>
      <c r="C3708" s="13"/>
      <c r="D3708" s="766"/>
      <c r="E3708" s="22"/>
      <c r="F3708" s="19"/>
      <c r="G3708" s="14"/>
      <c r="H3708" s="13"/>
    </row>
    <row r="3709" spans="1:8" x14ac:dyDescent="0.25">
      <c r="A3709" s="13"/>
      <c r="B3709" s="21"/>
      <c r="C3709" s="13"/>
      <c r="D3709" s="766"/>
      <c r="E3709" s="22"/>
      <c r="F3709" s="19"/>
      <c r="G3709" s="14"/>
      <c r="H3709" s="13"/>
    </row>
    <row r="3710" spans="1:8" x14ac:dyDescent="0.25">
      <c r="A3710" s="13"/>
      <c r="B3710" s="21"/>
      <c r="C3710" s="13"/>
      <c r="D3710" s="766"/>
      <c r="E3710" s="22"/>
      <c r="F3710" s="19"/>
      <c r="G3710" s="14"/>
      <c r="H3710" s="13"/>
    </row>
    <row r="3711" spans="1:8" x14ac:dyDescent="0.25">
      <c r="A3711" s="13"/>
      <c r="B3711" s="21"/>
      <c r="C3711" s="13"/>
      <c r="D3711" s="766"/>
      <c r="E3711" s="22"/>
      <c r="F3711" s="19"/>
      <c r="G3711" s="14"/>
      <c r="H3711" s="13"/>
    </row>
    <row r="3712" spans="1:8" x14ac:dyDescent="0.25">
      <c r="A3712" s="13"/>
      <c r="B3712" s="21"/>
      <c r="C3712" s="13"/>
      <c r="D3712" s="766"/>
      <c r="E3712" s="22"/>
      <c r="F3712" s="19"/>
      <c r="G3712" s="14"/>
      <c r="H3712" s="13"/>
    </row>
    <row r="3713" spans="1:8" x14ac:dyDescent="0.25">
      <c r="A3713" s="13"/>
      <c r="B3713" s="21"/>
      <c r="C3713" s="13"/>
      <c r="D3713" s="766"/>
      <c r="E3713" s="22"/>
      <c r="F3713" s="19"/>
      <c r="G3713" s="14"/>
      <c r="H3713" s="13"/>
    </row>
    <row r="3714" spans="1:8" x14ac:dyDescent="0.25">
      <c r="A3714" s="13"/>
      <c r="B3714" s="21"/>
      <c r="C3714" s="13"/>
      <c r="D3714" s="766"/>
      <c r="E3714" s="22"/>
      <c r="F3714" s="19"/>
      <c r="G3714" s="14"/>
      <c r="H3714" s="13"/>
    </row>
    <row r="3715" spans="1:8" x14ac:dyDescent="0.25">
      <c r="A3715" s="13"/>
      <c r="B3715" s="21"/>
      <c r="C3715" s="13"/>
      <c r="D3715" s="766"/>
      <c r="E3715" s="22"/>
      <c r="F3715" s="19"/>
      <c r="G3715" s="14"/>
      <c r="H3715" s="13"/>
    </row>
    <row r="3716" spans="1:8" x14ac:dyDescent="0.25">
      <c r="A3716" s="13"/>
      <c r="B3716" s="21"/>
      <c r="C3716" s="13"/>
      <c r="D3716" s="766"/>
      <c r="E3716" s="22"/>
      <c r="F3716" s="19"/>
      <c r="G3716" s="14"/>
      <c r="H3716" s="13"/>
    </row>
    <row r="3717" spans="1:8" x14ac:dyDescent="0.25">
      <c r="A3717" s="13"/>
      <c r="B3717" s="21"/>
      <c r="C3717" s="13"/>
      <c r="D3717" s="766"/>
      <c r="E3717" s="22"/>
      <c r="F3717" s="19"/>
      <c r="G3717" s="14"/>
      <c r="H3717" s="13"/>
    </row>
    <row r="3718" spans="1:8" x14ac:dyDescent="0.25">
      <c r="A3718" s="13"/>
      <c r="B3718" s="21"/>
      <c r="C3718" s="13"/>
      <c r="D3718" s="766"/>
      <c r="E3718" s="22"/>
      <c r="F3718" s="19"/>
      <c r="G3718" s="14"/>
      <c r="H3718" s="13"/>
    </row>
    <row r="3719" spans="1:8" x14ac:dyDescent="0.25">
      <c r="A3719" s="13"/>
      <c r="B3719" s="21"/>
      <c r="C3719" s="13"/>
      <c r="D3719" s="766"/>
      <c r="E3719" s="22"/>
      <c r="F3719" s="19"/>
      <c r="G3719" s="14"/>
      <c r="H3719" s="13"/>
    </row>
    <row r="3720" spans="1:8" x14ac:dyDescent="0.25">
      <c r="A3720" s="13"/>
      <c r="B3720" s="21"/>
      <c r="C3720" s="13"/>
      <c r="D3720" s="766"/>
      <c r="E3720" s="22"/>
      <c r="F3720" s="19"/>
      <c r="G3720" s="14"/>
      <c r="H3720" s="13"/>
    </row>
    <row r="3721" spans="1:8" x14ac:dyDescent="0.25">
      <c r="A3721" s="13"/>
      <c r="B3721" s="21"/>
      <c r="C3721" s="13"/>
      <c r="D3721" s="766"/>
      <c r="E3721" s="22"/>
      <c r="F3721" s="19"/>
      <c r="G3721" s="14"/>
      <c r="H3721" s="13"/>
    </row>
    <row r="3722" spans="1:8" x14ac:dyDescent="0.25">
      <c r="A3722" s="13"/>
      <c r="B3722" s="21"/>
      <c r="C3722" s="13"/>
      <c r="D3722" s="766"/>
      <c r="E3722" s="22"/>
      <c r="F3722" s="19"/>
      <c r="G3722" s="14"/>
      <c r="H3722" s="13"/>
    </row>
    <row r="3723" spans="1:8" x14ac:dyDescent="0.25">
      <c r="A3723" s="13"/>
      <c r="B3723" s="21"/>
      <c r="C3723" s="13"/>
      <c r="D3723" s="766"/>
      <c r="E3723" s="22"/>
      <c r="F3723" s="19"/>
      <c r="G3723" s="14"/>
      <c r="H3723" s="13"/>
    </row>
    <row r="3724" spans="1:8" x14ac:dyDescent="0.25">
      <c r="A3724" s="13"/>
      <c r="B3724" s="21"/>
      <c r="C3724" s="13"/>
      <c r="D3724" s="766"/>
      <c r="E3724" s="22"/>
      <c r="F3724" s="19"/>
      <c r="G3724" s="14"/>
      <c r="H3724" s="13"/>
    </row>
    <row r="3725" spans="1:8" x14ac:dyDescent="0.25">
      <c r="A3725" s="13"/>
      <c r="B3725" s="21"/>
      <c r="C3725" s="13"/>
      <c r="D3725" s="766"/>
      <c r="E3725" s="22"/>
      <c r="F3725" s="19"/>
      <c r="G3725" s="14"/>
      <c r="H3725" s="13"/>
    </row>
    <row r="3726" spans="1:8" x14ac:dyDescent="0.25">
      <c r="A3726" s="13"/>
      <c r="B3726" s="21"/>
      <c r="C3726" s="13"/>
      <c r="D3726" s="766"/>
      <c r="E3726" s="22"/>
      <c r="F3726" s="19"/>
      <c r="G3726" s="14"/>
      <c r="H3726" s="13"/>
    </row>
    <row r="3727" spans="1:8" x14ac:dyDescent="0.25">
      <c r="A3727" s="13"/>
      <c r="B3727" s="21"/>
      <c r="C3727" s="13"/>
      <c r="D3727" s="766"/>
      <c r="E3727" s="22"/>
      <c r="F3727" s="19"/>
      <c r="G3727" s="14"/>
      <c r="H3727" s="13"/>
    </row>
    <row r="3728" spans="1:8" x14ac:dyDescent="0.25">
      <c r="A3728" s="13"/>
      <c r="B3728" s="21"/>
      <c r="C3728" s="13"/>
      <c r="D3728" s="766"/>
      <c r="E3728" s="22"/>
      <c r="F3728" s="19"/>
      <c r="G3728" s="14"/>
      <c r="H3728" s="13"/>
    </row>
    <row r="3729" spans="1:8" x14ac:dyDescent="0.25">
      <c r="A3729" s="13"/>
      <c r="B3729" s="21"/>
      <c r="C3729" s="13"/>
      <c r="D3729" s="766"/>
      <c r="E3729" s="22"/>
      <c r="F3729" s="19"/>
      <c r="G3729" s="14"/>
      <c r="H3729" s="13"/>
    </row>
    <row r="3730" spans="1:8" x14ac:dyDescent="0.25">
      <c r="A3730" s="13"/>
      <c r="B3730" s="21"/>
      <c r="C3730" s="13"/>
      <c r="D3730" s="766"/>
      <c r="E3730" s="22"/>
      <c r="F3730" s="19"/>
      <c r="G3730" s="14"/>
      <c r="H3730" s="13"/>
    </row>
    <row r="3731" spans="1:8" x14ac:dyDescent="0.25">
      <c r="A3731" s="13"/>
      <c r="B3731" s="21"/>
      <c r="C3731" s="13"/>
      <c r="D3731" s="766"/>
      <c r="E3731" s="22"/>
      <c r="F3731" s="19"/>
      <c r="G3731" s="14"/>
      <c r="H3731" s="13"/>
    </row>
    <row r="3732" spans="1:8" x14ac:dyDescent="0.25">
      <c r="A3732" s="13"/>
      <c r="B3732" s="21"/>
      <c r="C3732" s="13"/>
      <c r="D3732" s="766"/>
      <c r="E3732" s="22"/>
      <c r="F3732" s="19"/>
      <c r="G3732" s="14"/>
      <c r="H3732" s="13"/>
    </row>
    <row r="3733" spans="1:8" x14ac:dyDescent="0.25">
      <c r="A3733" s="13"/>
      <c r="B3733" s="21"/>
      <c r="C3733" s="13"/>
      <c r="D3733" s="766"/>
      <c r="E3733" s="22"/>
      <c r="F3733" s="19"/>
      <c r="G3733" s="14"/>
      <c r="H3733" s="13"/>
    </row>
    <row r="3734" spans="1:8" x14ac:dyDescent="0.25">
      <c r="A3734" s="13"/>
      <c r="B3734" s="21"/>
      <c r="C3734" s="13"/>
      <c r="D3734" s="766"/>
      <c r="E3734" s="22"/>
      <c r="F3734" s="19"/>
      <c r="G3734" s="14"/>
      <c r="H3734" s="13"/>
    </row>
    <row r="3735" spans="1:8" x14ac:dyDescent="0.25">
      <c r="A3735" s="13"/>
      <c r="B3735" s="21"/>
      <c r="C3735" s="13"/>
      <c r="D3735" s="766"/>
      <c r="E3735" s="22"/>
      <c r="F3735" s="19"/>
      <c r="G3735" s="14"/>
      <c r="H3735" s="13"/>
    </row>
    <row r="3736" spans="1:8" x14ac:dyDescent="0.25">
      <c r="A3736" s="13"/>
      <c r="B3736" s="21"/>
      <c r="C3736" s="13"/>
      <c r="D3736" s="766"/>
      <c r="E3736" s="22"/>
      <c r="F3736" s="19"/>
      <c r="G3736" s="14"/>
      <c r="H3736" s="13"/>
    </row>
    <row r="3737" spans="1:8" x14ac:dyDescent="0.25">
      <c r="A3737" s="13"/>
      <c r="B3737" s="21"/>
      <c r="C3737" s="13"/>
      <c r="D3737" s="766"/>
      <c r="E3737" s="22"/>
      <c r="F3737" s="19"/>
      <c r="G3737" s="14"/>
      <c r="H3737" s="13"/>
    </row>
    <row r="3738" spans="1:8" x14ac:dyDescent="0.25">
      <c r="A3738" s="13"/>
      <c r="B3738" s="21"/>
      <c r="C3738" s="13"/>
      <c r="D3738" s="766"/>
      <c r="E3738" s="22"/>
      <c r="F3738" s="19"/>
      <c r="G3738" s="14"/>
      <c r="H3738" s="13"/>
    </row>
    <row r="3739" spans="1:8" x14ac:dyDescent="0.25">
      <c r="A3739" s="13"/>
      <c r="B3739" s="21"/>
      <c r="C3739" s="13"/>
      <c r="D3739" s="766"/>
      <c r="E3739" s="22"/>
      <c r="F3739" s="19"/>
      <c r="G3739" s="14"/>
      <c r="H3739" s="13"/>
    </row>
    <row r="3740" spans="1:8" x14ac:dyDescent="0.25">
      <c r="A3740" s="13"/>
      <c r="B3740" s="21"/>
      <c r="C3740" s="13"/>
      <c r="D3740" s="766"/>
      <c r="E3740" s="22"/>
      <c r="F3740" s="19"/>
      <c r="G3740" s="14"/>
      <c r="H3740" s="13"/>
    </row>
    <row r="3741" spans="1:8" x14ac:dyDescent="0.25">
      <c r="A3741" s="13"/>
      <c r="B3741" s="21"/>
      <c r="C3741" s="13"/>
      <c r="D3741" s="766"/>
      <c r="E3741" s="22"/>
      <c r="F3741" s="19"/>
      <c r="G3741" s="14"/>
      <c r="H3741" s="13"/>
    </row>
    <row r="3742" spans="1:8" x14ac:dyDescent="0.25">
      <c r="A3742" s="13"/>
      <c r="B3742" s="21"/>
      <c r="C3742" s="13"/>
      <c r="D3742" s="766"/>
      <c r="E3742" s="22"/>
      <c r="F3742" s="19"/>
      <c r="G3742" s="14"/>
      <c r="H3742" s="13"/>
    </row>
    <row r="3743" spans="1:8" x14ac:dyDescent="0.25">
      <c r="A3743" s="13"/>
      <c r="B3743" s="21"/>
      <c r="C3743" s="13"/>
      <c r="D3743" s="766"/>
      <c r="E3743" s="22"/>
      <c r="F3743" s="19"/>
      <c r="G3743" s="14"/>
      <c r="H3743" s="13"/>
    </row>
    <row r="3744" spans="1:8" x14ac:dyDescent="0.25">
      <c r="A3744" s="13"/>
      <c r="B3744" s="21"/>
      <c r="C3744" s="13"/>
      <c r="D3744" s="766"/>
      <c r="E3744" s="22"/>
      <c r="F3744" s="19"/>
      <c r="G3744" s="14"/>
      <c r="H3744" s="13"/>
    </row>
    <row r="3745" spans="1:8" x14ac:dyDescent="0.25">
      <c r="A3745" s="13"/>
      <c r="B3745" s="21"/>
      <c r="C3745" s="13"/>
      <c r="D3745" s="766"/>
      <c r="E3745" s="22"/>
      <c r="F3745" s="19"/>
      <c r="G3745" s="14"/>
      <c r="H3745" s="13"/>
    </row>
    <row r="3746" spans="1:8" x14ac:dyDescent="0.25">
      <c r="A3746" s="13"/>
      <c r="B3746" s="21"/>
      <c r="C3746" s="13"/>
      <c r="D3746" s="766"/>
      <c r="E3746" s="22"/>
      <c r="F3746" s="19"/>
      <c r="G3746" s="14"/>
      <c r="H3746" s="13"/>
    </row>
    <row r="3747" spans="1:8" x14ac:dyDescent="0.25">
      <c r="A3747" s="13"/>
      <c r="B3747" s="21"/>
      <c r="C3747" s="13"/>
      <c r="D3747" s="766"/>
      <c r="E3747" s="22"/>
      <c r="F3747" s="19"/>
      <c r="G3747" s="14"/>
      <c r="H3747" s="13"/>
    </row>
    <row r="3748" spans="1:8" x14ac:dyDescent="0.25">
      <c r="A3748" s="13"/>
      <c r="B3748" s="21"/>
      <c r="C3748" s="13"/>
      <c r="D3748" s="766"/>
      <c r="E3748" s="22"/>
      <c r="F3748" s="19"/>
      <c r="G3748" s="14"/>
      <c r="H3748" s="13"/>
    </row>
    <row r="3749" spans="1:8" x14ac:dyDescent="0.25">
      <c r="A3749" s="13"/>
      <c r="B3749" s="21"/>
      <c r="C3749" s="13"/>
      <c r="D3749" s="766"/>
      <c r="E3749" s="22"/>
      <c r="F3749" s="19"/>
      <c r="G3749" s="14"/>
      <c r="H3749" s="13"/>
    </row>
    <row r="3750" spans="1:8" x14ac:dyDescent="0.25">
      <c r="A3750" s="13"/>
      <c r="B3750" s="21"/>
      <c r="C3750" s="13"/>
      <c r="D3750" s="766"/>
      <c r="E3750" s="22"/>
      <c r="F3750" s="19"/>
      <c r="G3750" s="14"/>
      <c r="H3750" s="13"/>
    </row>
    <row r="3751" spans="1:8" x14ac:dyDescent="0.25">
      <c r="A3751" s="13"/>
      <c r="B3751" s="21"/>
      <c r="C3751" s="13"/>
      <c r="D3751" s="766"/>
      <c r="E3751" s="22"/>
      <c r="F3751" s="19"/>
      <c r="G3751" s="14"/>
      <c r="H3751" s="13"/>
    </row>
    <row r="3752" spans="1:8" x14ac:dyDescent="0.25">
      <c r="A3752" s="13"/>
      <c r="B3752" s="21"/>
      <c r="C3752" s="13"/>
      <c r="D3752" s="766"/>
      <c r="E3752" s="22"/>
      <c r="F3752" s="19"/>
      <c r="G3752" s="14"/>
      <c r="H3752" s="13"/>
    </row>
    <row r="3753" spans="1:8" x14ac:dyDescent="0.25">
      <c r="A3753" s="13"/>
      <c r="B3753" s="21"/>
      <c r="C3753" s="13"/>
      <c r="D3753" s="766"/>
      <c r="E3753" s="22"/>
      <c r="F3753" s="19"/>
      <c r="G3753" s="14"/>
      <c r="H3753" s="13"/>
    </row>
    <row r="3754" spans="1:8" x14ac:dyDescent="0.25">
      <c r="A3754" s="13"/>
      <c r="B3754" s="21"/>
      <c r="C3754" s="13"/>
      <c r="D3754" s="766"/>
      <c r="E3754" s="22"/>
      <c r="F3754" s="19"/>
      <c r="G3754" s="14"/>
      <c r="H3754" s="13"/>
    </row>
    <row r="3755" spans="1:8" x14ac:dyDescent="0.25">
      <c r="A3755" s="13"/>
      <c r="B3755" s="21"/>
      <c r="C3755" s="13"/>
      <c r="D3755" s="766"/>
      <c r="E3755" s="22"/>
      <c r="F3755" s="19"/>
      <c r="G3755" s="14"/>
      <c r="H3755" s="13"/>
    </row>
    <row r="3756" spans="1:8" x14ac:dyDescent="0.25">
      <c r="A3756" s="13"/>
      <c r="B3756" s="21"/>
      <c r="C3756" s="13"/>
      <c r="D3756" s="766"/>
      <c r="E3756" s="22"/>
      <c r="F3756" s="19"/>
      <c r="G3756" s="14"/>
      <c r="H3756" s="13"/>
    </row>
    <row r="3757" spans="1:8" x14ac:dyDescent="0.25">
      <c r="A3757" s="13"/>
      <c r="B3757" s="21"/>
      <c r="C3757" s="13"/>
      <c r="D3757" s="766"/>
      <c r="E3757" s="22"/>
      <c r="F3757" s="19"/>
      <c r="G3757" s="14"/>
      <c r="H3757" s="13"/>
    </row>
    <row r="3758" spans="1:8" x14ac:dyDescent="0.25">
      <c r="A3758" s="13"/>
      <c r="B3758" s="21"/>
      <c r="C3758" s="13"/>
      <c r="D3758" s="766"/>
      <c r="E3758" s="22"/>
      <c r="F3758" s="19"/>
      <c r="G3758" s="14"/>
      <c r="H3758" s="13"/>
    </row>
    <row r="3759" spans="1:8" x14ac:dyDescent="0.25">
      <c r="A3759" s="13"/>
      <c r="B3759" s="21"/>
      <c r="C3759" s="13"/>
      <c r="D3759" s="766"/>
      <c r="E3759" s="22"/>
      <c r="F3759" s="19"/>
      <c r="G3759" s="14"/>
      <c r="H3759" s="13"/>
    </row>
    <row r="3760" spans="1:8" x14ac:dyDescent="0.25">
      <c r="A3760" s="13"/>
      <c r="B3760" s="21"/>
      <c r="C3760" s="13"/>
      <c r="D3760" s="766"/>
      <c r="E3760" s="22"/>
      <c r="F3760" s="19"/>
      <c r="G3760" s="14"/>
      <c r="H3760" s="13"/>
    </row>
    <row r="3761" spans="1:8" x14ac:dyDescent="0.25">
      <c r="A3761" s="13"/>
      <c r="B3761" s="21"/>
      <c r="C3761" s="13"/>
      <c r="D3761" s="766"/>
      <c r="E3761" s="22"/>
      <c r="F3761" s="19"/>
      <c r="G3761" s="14"/>
      <c r="H3761" s="13"/>
    </row>
    <row r="3762" spans="1:8" x14ac:dyDescent="0.25">
      <c r="A3762" s="13"/>
      <c r="B3762" s="21"/>
      <c r="C3762" s="13"/>
      <c r="D3762" s="766"/>
      <c r="E3762" s="22"/>
      <c r="F3762" s="19"/>
      <c r="G3762" s="14"/>
      <c r="H3762" s="13"/>
    </row>
    <row r="3763" spans="1:8" x14ac:dyDescent="0.25">
      <c r="A3763" s="13"/>
      <c r="B3763" s="21"/>
      <c r="C3763" s="13"/>
      <c r="D3763" s="766"/>
      <c r="E3763" s="22"/>
      <c r="F3763" s="19"/>
      <c r="G3763" s="14"/>
      <c r="H3763" s="13"/>
    </row>
    <row r="3764" spans="1:8" x14ac:dyDescent="0.25">
      <c r="A3764" s="13"/>
      <c r="B3764" s="21"/>
      <c r="C3764" s="13"/>
      <c r="D3764" s="766"/>
      <c r="E3764" s="22"/>
      <c r="F3764" s="19"/>
      <c r="G3764" s="14"/>
      <c r="H3764" s="13"/>
    </row>
    <row r="3765" spans="1:8" x14ac:dyDescent="0.25">
      <c r="A3765" s="13"/>
      <c r="B3765" s="21"/>
      <c r="C3765" s="13"/>
      <c r="D3765" s="766"/>
      <c r="E3765" s="22"/>
      <c r="F3765" s="19"/>
      <c r="G3765" s="14"/>
      <c r="H3765" s="13"/>
    </row>
    <row r="3766" spans="1:8" x14ac:dyDescent="0.25">
      <c r="A3766" s="13"/>
      <c r="B3766" s="21"/>
      <c r="C3766" s="13"/>
      <c r="D3766" s="766"/>
      <c r="E3766" s="22"/>
      <c r="F3766" s="19"/>
      <c r="G3766" s="14"/>
      <c r="H3766" s="13"/>
    </row>
    <row r="3767" spans="1:8" x14ac:dyDescent="0.25">
      <c r="A3767" s="13"/>
      <c r="B3767" s="21"/>
      <c r="C3767" s="13"/>
      <c r="D3767" s="766"/>
      <c r="E3767" s="22"/>
      <c r="F3767" s="19"/>
      <c r="G3767" s="14"/>
      <c r="H3767" s="13"/>
    </row>
    <row r="3768" spans="1:8" x14ac:dyDescent="0.25">
      <c r="A3768" s="13"/>
      <c r="B3768" s="21"/>
      <c r="C3768" s="13"/>
      <c r="D3768" s="766"/>
      <c r="E3768" s="22"/>
      <c r="F3768" s="19"/>
      <c r="G3768" s="14"/>
      <c r="H3768" s="13"/>
    </row>
    <row r="3769" spans="1:8" x14ac:dyDescent="0.25">
      <c r="A3769" s="13"/>
      <c r="B3769" s="21"/>
      <c r="C3769" s="13"/>
      <c r="D3769" s="766"/>
      <c r="E3769" s="22"/>
      <c r="F3769" s="19"/>
      <c r="G3769" s="14"/>
      <c r="H3769" s="13"/>
    </row>
    <row r="3770" spans="1:8" x14ac:dyDescent="0.25">
      <c r="A3770" s="13"/>
      <c r="B3770" s="21"/>
      <c r="C3770" s="13"/>
      <c r="D3770" s="766"/>
      <c r="E3770" s="22"/>
      <c r="F3770" s="19"/>
      <c r="G3770" s="14"/>
      <c r="H3770" s="13"/>
    </row>
    <row r="3771" spans="1:8" x14ac:dyDescent="0.25">
      <c r="A3771" s="13"/>
      <c r="B3771" s="21"/>
      <c r="C3771" s="13"/>
      <c r="D3771" s="766"/>
      <c r="E3771" s="22"/>
      <c r="F3771" s="19"/>
      <c r="G3771" s="14"/>
      <c r="H3771" s="13"/>
    </row>
    <row r="3772" spans="1:8" x14ac:dyDescent="0.25">
      <c r="A3772" s="13"/>
      <c r="B3772" s="21"/>
      <c r="C3772" s="13"/>
      <c r="D3772" s="766"/>
      <c r="E3772" s="22"/>
      <c r="F3772" s="19"/>
      <c r="G3772" s="14"/>
      <c r="H3772" s="13"/>
    </row>
    <row r="3773" spans="1:8" x14ac:dyDescent="0.25">
      <c r="A3773" s="13"/>
      <c r="B3773" s="21"/>
      <c r="C3773" s="13"/>
      <c r="D3773" s="766"/>
      <c r="E3773" s="22"/>
      <c r="F3773" s="19"/>
      <c r="G3773" s="14"/>
      <c r="H3773" s="13"/>
    </row>
    <row r="3774" spans="1:8" x14ac:dyDescent="0.25">
      <c r="A3774" s="13"/>
      <c r="B3774" s="21"/>
      <c r="C3774" s="13"/>
      <c r="D3774" s="766"/>
      <c r="E3774" s="22"/>
      <c r="F3774" s="19"/>
      <c r="G3774" s="14"/>
      <c r="H3774" s="13"/>
    </row>
    <row r="3775" spans="1:8" x14ac:dyDescent="0.25">
      <c r="A3775" s="13"/>
      <c r="B3775" s="21"/>
      <c r="C3775" s="13"/>
      <c r="D3775" s="766"/>
      <c r="E3775" s="22"/>
      <c r="F3775" s="19"/>
      <c r="G3775" s="14"/>
      <c r="H3775" s="13"/>
    </row>
    <row r="3776" spans="1:8" x14ac:dyDescent="0.25">
      <c r="A3776" s="13"/>
      <c r="B3776" s="21"/>
      <c r="C3776" s="13"/>
      <c r="D3776" s="766"/>
      <c r="E3776" s="22"/>
      <c r="F3776" s="19"/>
      <c r="G3776" s="14"/>
      <c r="H3776" s="13"/>
    </row>
    <row r="3777" spans="1:8" x14ac:dyDescent="0.25">
      <c r="A3777" s="13"/>
      <c r="B3777" s="21"/>
      <c r="C3777" s="13"/>
      <c r="D3777" s="766"/>
      <c r="E3777" s="22"/>
      <c r="F3777" s="19"/>
      <c r="G3777" s="14"/>
      <c r="H3777" s="13"/>
    </row>
    <row r="3778" spans="1:8" x14ac:dyDescent="0.25">
      <c r="A3778" s="13"/>
      <c r="B3778" s="21"/>
      <c r="C3778" s="13"/>
      <c r="D3778" s="766"/>
      <c r="E3778" s="22"/>
      <c r="F3778" s="19"/>
      <c r="G3778" s="14"/>
      <c r="H3778" s="13"/>
    </row>
    <row r="3779" spans="1:8" x14ac:dyDescent="0.25">
      <c r="A3779" s="13"/>
      <c r="B3779" s="21"/>
      <c r="C3779" s="13"/>
      <c r="D3779" s="766"/>
      <c r="E3779" s="22"/>
      <c r="F3779" s="19"/>
      <c r="G3779" s="14"/>
      <c r="H3779" s="13"/>
    </row>
    <row r="3780" spans="1:8" x14ac:dyDescent="0.25">
      <c r="A3780" s="13"/>
      <c r="B3780" s="21"/>
      <c r="C3780" s="13"/>
      <c r="D3780" s="766"/>
      <c r="E3780" s="22"/>
      <c r="F3780" s="19"/>
      <c r="G3780" s="14"/>
      <c r="H3780" s="13"/>
    </row>
    <row r="3781" spans="1:8" x14ac:dyDescent="0.25">
      <c r="A3781" s="13"/>
      <c r="B3781" s="21"/>
      <c r="C3781" s="13"/>
      <c r="D3781" s="766"/>
      <c r="E3781" s="22"/>
      <c r="F3781" s="19"/>
      <c r="G3781" s="14"/>
      <c r="H3781" s="13"/>
    </row>
    <row r="3782" spans="1:8" x14ac:dyDescent="0.25">
      <c r="A3782" s="13"/>
      <c r="B3782" s="21"/>
      <c r="C3782" s="13"/>
      <c r="D3782" s="766"/>
      <c r="E3782" s="22"/>
      <c r="F3782" s="19"/>
      <c r="G3782" s="14"/>
      <c r="H3782" s="13"/>
    </row>
    <row r="3783" spans="1:8" x14ac:dyDescent="0.25">
      <c r="A3783" s="13"/>
      <c r="B3783" s="21"/>
      <c r="C3783" s="13"/>
      <c r="D3783" s="766"/>
      <c r="E3783" s="22"/>
      <c r="F3783" s="19"/>
      <c r="G3783" s="14"/>
      <c r="H3783" s="13"/>
    </row>
    <row r="3784" spans="1:8" x14ac:dyDescent="0.25">
      <c r="A3784" s="13"/>
      <c r="B3784" s="21"/>
      <c r="C3784" s="13"/>
      <c r="D3784" s="766"/>
      <c r="E3784" s="22"/>
      <c r="F3784" s="19"/>
      <c r="G3784" s="14"/>
      <c r="H3784" s="13"/>
    </row>
    <row r="3785" spans="1:8" x14ac:dyDescent="0.25">
      <c r="A3785" s="13"/>
      <c r="B3785" s="21"/>
      <c r="C3785" s="13"/>
      <c r="D3785" s="766"/>
      <c r="E3785" s="22"/>
      <c r="F3785" s="19"/>
      <c r="G3785" s="14"/>
      <c r="H3785" s="13"/>
    </row>
    <row r="3786" spans="1:8" x14ac:dyDescent="0.25">
      <c r="A3786" s="13"/>
      <c r="B3786" s="21"/>
      <c r="C3786" s="13"/>
      <c r="D3786" s="766"/>
      <c r="E3786" s="22"/>
      <c r="F3786" s="19"/>
      <c r="G3786" s="14"/>
      <c r="H3786" s="13"/>
    </row>
    <row r="3787" spans="1:8" x14ac:dyDescent="0.25">
      <c r="A3787" s="13"/>
      <c r="B3787" s="21"/>
      <c r="C3787" s="13"/>
      <c r="D3787" s="766"/>
      <c r="E3787" s="22"/>
      <c r="F3787" s="19"/>
      <c r="G3787" s="14"/>
      <c r="H3787" s="13"/>
    </row>
    <row r="3788" spans="1:8" x14ac:dyDescent="0.25">
      <c r="A3788" s="13"/>
      <c r="B3788" s="21"/>
      <c r="C3788" s="13"/>
      <c r="D3788" s="766"/>
      <c r="E3788" s="22"/>
      <c r="F3788" s="19"/>
      <c r="G3788" s="14"/>
      <c r="H3788" s="13"/>
    </row>
    <row r="3789" spans="1:8" x14ac:dyDescent="0.25">
      <c r="A3789" s="13"/>
      <c r="B3789" s="21"/>
      <c r="C3789" s="13"/>
      <c r="D3789" s="766"/>
      <c r="E3789" s="22"/>
      <c r="F3789" s="19"/>
      <c r="G3789" s="14"/>
      <c r="H3789" s="13"/>
    </row>
    <row r="3790" spans="1:8" x14ac:dyDescent="0.25">
      <c r="A3790" s="13"/>
      <c r="B3790" s="21"/>
      <c r="C3790" s="13"/>
      <c r="D3790" s="766"/>
      <c r="E3790" s="22"/>
      <c r="F3790" s="19"/>
      <c r="G3790" s="14"/>
      <c r="H3790" s="13"/>
    </row>
    <row r="3791" spans="1:8" x14ac:dyDescent="0.25">
      <c r="A3791" s="13"/>
      <c r="B3791" s="21"/>
      <c r="C3791" s="13"/>
      <c r="D3791" s="766"/>
      <c r="E3791" s="22"/>
      <c r="F3791" s="19"/>
      <c r="G3791" s="14"/>
      <c r="H3791" s="13"/>
    </row>
    <row r="3792" spans="1:8" x14ac:dyDescent="0.25">
      <c r="A3792" s="13"/>
      <c r="B3792" s="21"/>
      <c r="C3792" s="13"/>
      <c r="D3792" s="766"/>
      <c r="E3792" s="22"/>
      <c r="F3792" s="19"/>
      <c r="G3792" s="14"/>
      <c r="H3792" s="13"/>
    </row>
    <row r="3793" spans="1:8" x14ac:dyDescent="0.25">
      <c r="A3793" s="13"/>
      <c r="B3793" s="21"/>
      <c r="C3793" s="13"/>
      <c r="D3793" s="766"/>
      <c r="E3793" s="22"/>
      <c r="F3793" s="19"/>
      <c r="G3793" s="14"/>
      <c r="H3793" s="13"/>
    </row>
    <row r="3794" spans="1:8" x14ac:dyDescent="0.25">
      <c r="A3794" s="13"/>
      <c r="B3794" s="21"/>
      <c r="C3794" s="13"/>
      <c r="D3794" s="766"/>
      <c r="E3794" s="22"/>
      <c r="F3794" s="19"/>
      <c r="G3794" s="14"/>
      <c r="H3794" s="13"/>
    </row>
    <row r="3795" spans="1:8" x14ac:dyDescent="0.25">
      <c r="A3795" s="13"/>
      <c r="B3795" s="21"/>
      <c r="C3795" s="13"/>
      <c r="D3795" s="766"/>
      <c r="E3795" s="22"/>
      <c r="F3795" s="19"/>
      <c r="G3795" s="14"/>
      <c r="H3795" s="13"/>
    </row>
    <row r="3796" spans="1:8" x14ac:dyDescent="0.25">
      <c r="A3796" s="13"/>
      <c r="B3796" s="21"/>
      <c r="C3796" s="13"/>
      <c r="D3796" s="766"/>
      <c r="E3796" s="22"/>
      <c r="F3796" s="19"/>
      <c r="G3796" s="14"/>
      <c r="H3796" s="13"/>
    </row>
    <row r="3797" spans="1:8" x14ac:dyDescent="0.25">
      <c r="A3797" s="13"/>
      <c r="B3797" s="21"/>
      <c r="C3797" s="13"/>
      <c r="D3797" s="766"/>
      <c r="E3797" s="22"/>
      <c r="F3797" s="19"/>
      <c r="G3797" s="14"/>
      <c r="H3797" s="13"/>
    </row>
    <row r="3798" spans="1:8" x14ac:dyDescent="0.25">
      <c r="A3798" s="13"/>
      <c r="B3798" s="21"/>
      <c r="C3798" s="13"/>
      <c r="D3798" s="766"/>
      <c r="E3798" s="22"/>
      <c r="F3798" s="19"/>
      <c r="G3798" s="14"/>
      <c r="H3798" s="13"/>
    </row>
    <row r="3799" spans="1:8" x14ac:dyDescent="0.25">
      <c r="A3799" s="13"/>
      <c r="B3799" s="21"/>
      <c r="C3799" s="13"/>
      <c r="D3799" s="766"/>
      <c r="E3799" s="22"/>
      <c r="F3799" s="19"/>
      <c r="G3799" s="14"/>
      <c r="H3799" s="13"/>
    </row>
    <row r="3800" spans="1:8" x14ac:dyDescent="0.25">
      <c r="A3800" s="13"/>
      <c r="B3800" s="21"/>
      <c r="C3800" s="13"/>
      <c r="D3800" s="766"/>
      <c r="E3800" s="22"/>
      <c r="F3800" s="19"/>
      <c r="G3800" s="14"/>
      <c r="H3800" s="13"/>
    </row>
    <row r="3801" spans="1:8" x14ac:dyDescent="0.25">
      <c r="A3801" s="13"/>
      <c r="B3801" s="21"/>
      <c r="C3801" s="13"/>
      <c r="D3801" s="766"/>
      <c r="E3801" s="22"/>
      <c r="F3801" s="19"/>
      <c r="G3801" s="14"/>
      <c r="H3801" s="13"/>
    </row>
    <row r="3802" spans="1:8" x14ac:dyDescent="0.25">
      <c r="A3802" s="13"/>
      <c r="B3802" s="21"/>
      <c r="C3802" s="13"/>
      <c r="D3802" s="766"/>
      <c r="E3802" s="22"/>
      <c r="F3802" s="19"/>
      <c r="G3802" s="14"/>
      <c r="H3802" s="13"/>
    </row>
    <row r="3803" spans="1:8" x14ac:dyDescent="0.25">
      <c r="A3803" s="13"/>
      <c r="B3803" s="21"/>
      <c r="C3803" s="13"/>
      <c r="D3803" s="766"/>
      <c r="E3803" s="22"/>
      <c r="F3803" s="19"/>
      <c r="G3803" s="14"/>
      <c r="H3803" s="13"/>
    </row>
    <row r="3804" spans="1:8" x14ac:dyDescent="0.25">
      <c r="A3804" s="13"/>
      <c r="B3804" s="21"/>
      <c r="C3804" s="13"/>
      <c r="D3804" s="766"/>
      <c r="E3804" s="22"/>
      <c r="F3804" s="19"/>
      <c r="G3804" s="14"/>
      <c r="H3804" s="13"/>
    </row>
    <row r="3805" spans="1:8" x14ac:dyDescent="0.25">
      <c r="A3805" s="13"/>
      <c r="B3805" s="21"/>
      <c r="C3805" s="13"/>
      <c r="D3805" s="766"/>
      <c r="E3805" s="22"/>
      <c r="F3805" s="19"/>
      <c r="G3805" s="14"/>
      <c r="H3805" s="13"/>
    </row>
    <row r="3806" spans="1:8" x14ac:dyDescent="0.25">
      <c r="A3806" s="13"/>
      <c r="B3806" s="21"/>
      <c r="C3806" s="13"/>
      <c r="D3806" s="766"/>
      <c r="E3806" s="22"/>
      <c r="F3806" s="19"/>
      <c r="G3806" s="14"/>
      <c r="H3806" s="13"/>
    </row>
    <row r="3807" spans="1:8" x14ac:dyDescent="0.25">
      <c r="A3807" s="13"/>
      <c r="B3807" s="21"/>
      <c r="C3807" s="13"/>
      <c r="D3807" s="766"/>
      <c r="E3807" s="22"/>
      <c r="F3807" s="19"/>
      <c r="G3807" s="14"/>
      <c r="H3807" s="13"/>
    </row>
    <row r="3808" spans="1:8" x14ac:dyDescent="0.25">
      <c r="A3808" s="13"/>
      <c r="B3808" s="21"/>
      <c r="C3808" s="13"/>
      <c r="D3808" s="766"/>
      <c r="E3808" s="22"/>
      <c r="F3808" s="19"/>
      <c r="G3808" s="14"/>
      <c r="H3808" s="13"/>
    </row>
    <row r="3809" spans="1:8" x14ac:dyDescent="0.25">
      <c r="A3809" s="13"/>
      <c r="B3809" s="21"/>
      <c r="C3809" s="13"/>
      <c r="D3809" s="766"/>
      <c r="E3809" s="22"/>
      <c r="F3809" s="19"/>
      <c r="G3809" s="14"/>
      <c r="H3809" s="13"/>
    </row>
    <row r="3810" spans="1:8" x14ac:dyDescent="0.25">
      <c r="A3810" s="13"/>
      <c r="B3810" s="21"/>
      <c r="C3810" s="13"/>
      <c r="D3810" s="766"/>
      <c r="E3810" s="22"/>
      <c r="F3810" s="19"/>
      <c r="G3810" s="14"/>
      <c r="H3810" s="13"/>
    </row>
    <row r="3811" spans="1:8" x14ac:dyDescent="0.25">
      <c r="A3811" s="13"/>
      <c r="B3811" s="21"/>
      <c r="C3811" s="13"/>
      <c r="D3811" s="766"/>
      <c r="E3811" s="22"/>
      <c r="F3811" s="19"/>
      <c r="G3811" s="14"/>
      <c r="H3811" s="13"/>
    </row>
    <row r="3812" spans="1:8" x14ac:dyDescent="0.25">
      <c r="A3812" s="13"/>
      <c r="B3812" s="21"/>
      <c r="C3812" s="13"/>
      <c r="D3812" s="766"/>
      <c r="E3812" s="22"/>
      <c r="F3812" s="19"/>
      <c r="G3812" s="14"/>
      <c r="H3812" s="13"/>
    </row>
    <row r="3813" spans="1:8" x14ac:dyDescent="0.25">
      <c r="A3813" s="13"/>
      <c r="B3813" s="21"/>
      <c r="C3813" s="13"/>
      <c r="D3813" s="766"/>
      <c r="E3813" s="22"/>
      <c r="F3813" s="19"/>
      <c r="G3813" s="14"/>
      <c r="H3813" s="13"/>
    </row>
    <row r="3814" spans="1:8" x14ac:dyDescent="0.25">
      <c r="A3814" s="13"/>
      <c r="B3814" s="21"/>
      <c r="C3814" s="13"/>
      <c r="D3814" s="766"/>
      <c r="E3814" s="22"/>
      <c r="F3814" s="19"/>
      <c r="G3814" s="14"/>
      <c r="H3814" s="13"/>
    </row>
    <row r="3815" spans="1:8" x14ac:dyDescent="0.25">
      <c r="A3815" s="13"/>
      <c r="B3815" s="21"/>
      <c r="C3815" s="13"/>
      <c r="D3815" s="766"/>
      <c r="E3815" s="22"/>
      <c r="F3815" s="19"/>
      <c r="G3815" s="14"/>
      <c r="H3815" s="13"/>
    </row>
    <row r="3816" spans="1:8" x14ac:dyDescent="0.25">
      <c r="A3816" s="13"/>
      <c r="B3816" s="21"/>
      <c r="C3816" s="13"/>
      <c r="D3816" s="766"/>
      <c r="E3816" s="22"/>
      <c r="F3816" s="19"/>
      <c r="G3816" s="14"/>
      <c r="H3816" s="13"/>
    </row>
    <row r="3817" spans="1:8" x14ac:dyDescent="0.25">
      <c r="A3817" s="13"/>
      <c r="B3817" s="21"/>
      <c r="C3817" s="13"/>
      <c r="D3817" s="766"/>
      <c r="E3817" s="22"/>
      <c r="F3817" s="19"/>
      <c r="G3817" s="14"/>
      <c r="H3817" s="13"/>
    </row>
    <row r="3818" spans="1:8" x14ac:dyDescent="0.25">
      <c r="A3818" s="13"/>
      <c r="B3818" s="21"/>
      <c r="C3818" s="13"/>
      <c r="D3818" s="766"/>
      <c r="E3818" s="22"/>
      <c r="F3818" s="19"/>
      <c r="G3818" s="14"/>
      <c r="H3818" s="13"/>
    </row>
    <row r="3819" spans="1:8" x14ac:dyDescent="0.25">
      <c r="A3819" s="13"/>
      <c r="B3819" s="21"/>
      <c r="C3819" s="13"/>
      <c r="D3819" s="766"/>
      <c r="E3819" s="22"/>
      <c r="F3819" s="19"/>
      <c r="G3819" s="14"/>
      <c r="H3819" s="13"/>
    </row>
    <row r="3820" spans="1:8" x14ac:dyDescent="0.25">
      <c r="A3820" s="13"/>
      <c r="B3820" s="21"/>
      <c r="C3820" s="13"/>
      <c r="D3820" s="766"/>
      <c r="E3820" s="22"/>
      <c r="F3820" s="19"/>
      <c r="G3820" s="14"/>
      <c r="H3820" s="13"/>
    </row>
    <row r="3821" spans="1:8" x14ac:dyDescent="0.25">
      <c r="A3821" s="13"/>
      <c r="B3821" s="21"/>
      <c r="C3821" s="13"/>
      <c r="D3821" s="766"/>
      <c r="E3821" s="22"/>
      <c r="F3821" s="19"/>
      <c r="G3821" s="14"/>
      <c r="H3821" s="13"/>
    </row>
    <row r="3822" spans="1:8" x14ac:dyDescent="0.25">
      <c r="A3822" s="13"/>
      <c r="B3822" s="21"/>
      <c r="C3822" s="13"/>
      <c r="D3822" s="766"/>
      <c r="E3822" s="22"/>
      <c r="F3822" s="19"/>
      <c r="G3822" s="14"/>
      <c r="H3822" s="13"/>
    </row>
    <row r="3823" spans="1:8" x14ac:dyDescent="0.25">
      <c r="A3823" s="13"/>
      <c r="B3823" s="21"/>
      <c r="C3823" s="13"/>
      <c r="D3823" s="766"/>
      <c r="E3823" s="22"/>
      <c r="F3823" s="19"/>
      <c r="G3823" s="14"/>
      <c r="H3823" s="13"/>
    </row>
    <row r="3824" spans="1:8" x14ac:dyDescent="0.25">
      <c r="A3824" s="13"/>
      <c r="B3824" s="21"/>
      <c r="C3824" s="13"/>
      <c r="D3824" s="766"/>
      <c r="E3824" s="22"/>
      <c r="F3824" s="19"/>
      <c r="G3824" s="14"/>
      <c r="H3824" s="13"/>
    </row>
    <row r="3825" spans="1:8" x14ac:dyDescent="0.25">
      <c r="A3825" s="13"/>
      <c r="B3825" s="21"/>
      <c r="C3825" s="13"/>
      <c r="D3825" s="766"/>
      <c r="E3825" s="22"/>
      <c r="F3825" s="19"/>
      <c r="G3825" s="14"/>
      <c r="H3825" s="13"/>
    </row>
    <row r="3826" spans="1:8" x14ac:dyDescent="0.25">
      <c r="A3826" s="13"/>
      <c r="B3826" s="21"/>
      <c r="C3826" s="13"/>
      <c r="D3826" s="766"/>
      <c r="E3826" s="22"/>
      <c r="F3826" s="19"/>
      <c r="G3826" s="14"/>
      <c r="H3826" s="13"/>
    </row>
    <row r="3827" spans="1:8" x14ac:dyDescent="0.25">
      <c r="A3827" s="13"/>
      <c r="B3827" s="21"/>
      <c r="C3827" s="13"/>
      <c r="D3827" s="766"/>
      <c r="E3827" s="22"/>
      <c r="F3827" s="19"/>
      <c r="G3827" s="14"/>
      <c r="H3827" s="13"/>
    </row>
    <row r="3828" spans="1:8" x14ac:dyDescent="0.25">
      <c r="A3828" s="13"/>
      <c r="B3828" s="21"/>
      <c r="C3828" s="13"/>
      <c r="D3828" s="766"/>
      <c r="E3828" s="22"/>
      <c r="F3828" s="19"/>
      <c r="G3828" s="14"/>
      <c r="H3828" s="13"/>
    </row>
    <row r="3829" spans="1:8" x14ac:dyDescent="0.25">
      <c r="A3829" s="13"/>
      <c r="B3829" s="21"/>
      <c r="C3829" s="13"/>
      <c r="D3829" s="766"/>
      <c r="E3829" s="22"/>
      <c r="F3829" s="19"/>
      <c r="G3829" s="14"/>
      <c r="H3829" s="13"/>
    </row>
    <row r="3830" spans="1:8" x14ac:dyDescent="0.25">
      <c r="A3830" s="13"/>
      <c r="B3830" s="21"/>
      <c r="C3830" s="13"/>
      <c r="D3830" s="766"/>
      <c r="E3830" s="22"/>
      <c r="F3830" s="19"/>
      <c r="G3830" s="14"/>
      <c r="H3830" s="13"/>
    </row>
    <row r="3831" spans="1:8" x14ac:dyDescent="0.25">
      <c r="A3831" s="13"/>
      <c r="B3831" s="21"/>
      <c r="C3831" s="13"/>
      <c r="D3831" s="766"/>
      <c r="E3831" s="22"/>
      <c r="F3831" s="19"/>
      <c r="G3831" s="14"/>
      <c r="H3831" s="13"/>
    </row>
    <row r="3832" spans="1:8" x14ac:dyDescent="0.25">
      <c r="A3832" s="13"/>
      <c r="B3832" s="21"/>
      <c r="C3832" s="13"/>
      <c r="D3832" s="766"/>
      <c r="E3832" s="22"/>
      <c r="F3832" s="19"/>
      <c r="G3832" s="14"/>
      <c r="H3832" s="13"/>
    </row>
    <row r="3833" spans="1:8" x14ac:dyDescent="0.25">
      <c r="A3833" s="13"/>
      <c r="B3833" s="21"/>
      <c r="C3833" s="13"/>
      <c r="D3833" s="766"/>
      <c r="E3833" s="22"/>
      <c r="F3833" s="19"/>
      <c r="G3833" s="14"/>
      <c r="H3833" s="13"/>
    </row>
    <row r="3834" spans="1:8" x14ac:dyDescent="0.25">
      <c r="A3834" s="13"/>
      <c r="B3834" s="21"/>
      <c r="C3834" s="13"/>
      <c r="D3834" s="766"/>
      <c r="E3834" s="22"/>
      <c r="F3834" s="19"/>
      <c r="G3834" s="14"/>
      <c r="H3834" s="13"/>
    </row>
    <row r="3835" spans="1:8" x14ac:dyDescent="0.25">
      <c r="A3835" s="13"/>
      <c r="B3835" s="21"/>
      <c r="C3835" s="13"/>
      <c r="D3835" s="766"/>
      <c r="E3835" s="22"/>
      <c r="F3835" s="19"/>
      <c r="G3835" s="14"/>
      <c r="H3835" s="13"/>
    </row>
    <row r="3836" spans="1:8" x14ac:dyDescent="0.25">
      <c r="A3836" s="13"/>
      <c r="B3836" s="21"/>
      <c r="C3836" s="13"/>
      <c r="D3836" s="766"/>
      <c r="E3836" s="22"/>
      <c r="F3836" s="19"/>
      <c r="G3836" s="14"/>
      <c r="H3836" s="13"/>
    </row>
    <row r="3837" spans="1:8" x14ac:dyDescent="0.25">
      <c r="A3837" s="13"/>
      <c r="B3837" s="21"/>
      <c r="C3837" s="13"/>
      <c r="D3837" s="766"/>
      <c r="E3837" s="22"/>
      <c r="F3837" s="19"/>
      <c r="G3837" s="14"/>
      <c r="H3837" s="13"/>
    </row>
    <row r="3838" spans="1:8" x14ac:dyDescent="0.25">
      <c r="A3838" s="13"/>
      <c r="B3838" s="21"/>
      <c r="C3838" s="13"/>
      <c r="D3838" s="766"/>
      <c r="E3838" s="22"/>
      <c r="F3838" s="19"/>
      <c r="G3838" s="14"/>
      <c r="H3838" s="13"/>
    </row>
    <row r="3839" spans="1:8" x14ac:dyDescent="0.25">
      <c r="A3839" s="13"/>
      <c r="B3839" s="21"/>
      <c r="C3839" s="13"/>
      <c r="D3839" s="766"/>
      <c r="E3839" s="22"/>
      <c r="F3839" s="19"/>
      <c r="G3839" s="14"/>
      <c r="H3839" s="13"/>
    </row>
    <row r="3840" spans="1:8" x14ac:dyDescent="0.25">
      <c r="A3840" s="13"/>
      <c r="B3840" s="21"/>
      <c r="C3840" s="13"/>
      <c r="D3840" s="766"/>
      <c r="E3840" s="22"/>
      <c r="F3840" s="19"/>
      <c r="G3840" s="14"/>
      <c r="H3840" s="13"/>
    </row>
    <row r="3841" spans="1:8" x14ac:dyDescent="0.25">
      <c r="A3841" s="13"/>
      <c r="B3841" s="21"/>
      <c r="C3841" s="13"/>
      <c r="D3841" s="766"/>
      <c r="E3841" s="22"/>
      <c r="F3841" s="19"/>
      <c r="G3841" s="14"/>
      <c r="H3841" s="13"/>
    </row>
    <row r="3842" spans="1:8" x14ac:dyDescent="0.25">
      <c r="A3842" s="13"/>
      <c r="B3842" s="21"/>
      <c r="C3842" s="13"/>
      <c r="D3842" s="766"/>
      <c r="E3842" s="22"/>
      <c r="F3842" s="19"/>
      <c r="G3842" s="14"/>
      <c r="H3842" s="13"/>
    </row>
    <row r="3843" spans="1:8" x14ac:dyDescent="0.25">
      <c r="A3843" s="13"/>
      <c r="B3843" s="21"/>
      <c r="C3843" s="13"/>
      <c r="D3843" s="766"/>
      <c r="E3843" s="22"/>
      <c r="F3843" s="19"/>
      <c r="G3843" s="14"/>
      <c r="H3843" s="13"/>
    </row>
    <row r="3844" spans="1:8" x14ac:dyDescent="0.25">
      <c r="A3844" s="13"/>
      <c r="B3844" s="21"/>
      <c r="C3844" s="13"/>
      <c r="D3844" s="766"/>
      <c r="E3844" s="22"/>
      <c r="F3844" s="19"/>
      <c r="G3844" s="14"/>
      <c r="H3844" s="13"/>
    </row>
    <row r="3845" spans="1:8" x14ac:dyDescent="0.25">
      <c r="A3845" s="13"/>
      <c r="B3845" s="21"/>
      <c r="C3845" s="13"/>
      <c r="D3845" s="766"/>
      <c r="E3845" s="22"/>
      <c r="F3845" s="19"/>
      <c r="G3845" s="14"/>
      <c r="H3845" s="13"/>
    </row>
    <row r="3846" spans="1:8" x14ac:dyDescent="0.25">
      <c r="A3846" s="13"/>
      <c r="B3846" s="21"/>
      <c r="C3846" s="13"/>
      <c r="D3846" s="766"/>
      <c r="E3846" s="22"/>
      <c r="F3846" s="19"/>
      <c r="G3846" s="14"/>
      <c r="H3846" s="13"/>
    </row>
    <row r="3847" spans="1:8" x14ac:dyDescent="0.25">
      <c r="A3847" s="13"/>
      <c r="B3847" s="21"/>
      <c r="C3847" s="13"/>
      <c r="D3847" s="766"/>
      <c r="E3847" s="22"/>
      <c r="F3847" s="19"/>
      <c r="G3847" s="14"/>
      <c r="H3847" s="13"/>
    </row>
    <row r="3848" spans="1:8" x14ac:dyDescent="0.25">
      <c r="A3848" s="13"/>
      <c r="B3848" s="21"/>
      <c r="C3848" s="13"/>
      <c r="D3848" s="766"/>
      <c r="E3848" s="22"/>
      <c r="F3848" s="19"/>
      <c r="G3848" s="14"/>
      <c r="H3848" s="13"/>
    </row>
    <row r="3849" spans="1:8" x14ac:dyDescent="0.25">
      <c r="A3849" s="13"/>
      <c r="B3849" s="21"/>
      <c r="C3849" s="13"/>
      <c r="D3849" s="766"/>
      <c r="E3849" s="22"/>
      <c r="F3849" s="19"/>
      <c r="G3849" s="14"/>
      <c r="H3849" s="13"/>
    </row>
    <row r="3850" spans="1:8" x14ac:dyDescent="0.25">
      <c r="A3850" s="13"/>
      <c r="B3850" s="21"/>
      <c r="C3850" s="13"/>
      <c r="D3850" s="766"/>
      <c r="E3850" s="22"/>
      <c r="F3850" s="19"/>
      <c r="G3850" s="14"/>
      <c r="H3850" s="13"/>
    </row>
    <row r="3851" spans="1:8" x14ac:dyDescent="0.25">
      <c r="A3851" s="13"/>
      <c r="B3851" s="21"/>
      <c r="C3851" s="13"/>
      <c r="D3851" s="766"/>
      <c r="E3851" s="22"/>
      <c r="F3851" s="19"/>
      <c r="G3851" s="14"/>
      <c r="H3851" s="13"/>
    </row>
    <row r="3852" spans="1:8" x14ac:dyDescent="0.25">
      <c r="A3852" s="13"/>
      <c r="B3852" s="21"/>
      <c r="C3852" s="13"/>
      <c r="D3852" s="766"/>
      <c r="E3852" s="22"/>
      <c r="F3852" s="19"/>
      <c r="G3852" s="14"/>
      <c r="H3852" s="13"/>
    </row>
    <row r="3853" spans="1:8" x14ac:dyDescent="0.25">
      <c r="A3853" s="13"/>
      <c r="B3853" s="21"/>
      <c r="C3853" s="13"/>
      <c r="D3853" s="766"/>
      <c r="E3853" s="22"/>
      <c r="F3853" s="19"/>
      <c r="G3853" s="14"/>
      <c r="H3853" s="13"/>
    </row>
    <row r="3854" spans="1:8" x14ac:dyDescent="0.25">
      <c r="A3854" s="13"/>
      <c r="B3854" s="21"/>
      <c r="C3854" s="13"/>
      <c r="D3854" s="766"/>
      <c r="E3854" s="22"/>
      <c r="F3854" s="19"/>
      <c r="G3854" s="14"/>
      <c r="H3854" s="13"/>
    </row>
    <row r="3855" spans="1:8" x14ac:dyDescent="0.25">
      <c r="A3855" s="13"/>
      <c r="B3855" s="21"/>
      <c r="C3855" s="13"/>
      <c r="D3855" s="766"/>
      <c r="E3855" s="22"/>
      <c r="F3855" s="19"/>
      <c r="G3855" s="14"/>
      <c r="H3855" s="13"/>
    </row>
    <row r="3856" spans="1:8" x14ac:dyDescent="0.25">
      <c r="A3856" s="13"/>
      <c r="B3856" s="21"/>
      <c r="C3856" s="13"/>
      <c r="D3856" s="766"/>
      <c r="E3856" s="22"/>
      <c r="F3856" s="19"/>
      <c r="G3856" s="14"/>
      <c r="H3856" s="13"/>
    </row>
    <row r="3857" spans="1:8" x14ac:dyDescent="0.25">
      <c r="A3857" s="13"/>
      <c r="B3857" s="21"/>
      <c r="C3857" s="13"/>
      <c r="D3857" s="766"/>
      <c r="E3857" s="22"/>
      <c r="F3857" s="19"/>
      <c r="G3857" s="14"/>
      <c r="H3857" s="13"/>
    </row>
    <row r="3858" spans="1:8" x14ac:dyDescent="0.25">
      <c r="A3858" s="13"/>
      <c r="B3858" s="21"/>
      <c r="C3858" s="13"/>
      <c r="D3858" s="766"/>
      <c r="E3858" s="22"/>
      <c r="F3858" s="19"/>
      <c r="G3858" s="14"/>
      <c r="H3858" s="13"/>
    </row>
    <row r="3859" spans="1:8" x14ac:dyDescent="0.25">
      <c r="A3859" s="13"/>
      <c r="B3859" s="21"/>
      <c r="C3859" s="13"/>
      <c r="D3859" s="766"/>
      <c r="E3859" s="22"/>
      <c r="F3859" s="19"/>
      <c r="G3859" s="14"/>
      <c r="H3859" s="13"/>
    </row>
    <row r="3860" spans="1:8" x14ac:dyDescent="0.25">
      <c r="A3860" s="13"/>
      <c r="B3860" s="21"/>
      <c r="C3860" s="13"/>
      <c r="D3860" s="766"/>
      <c r="E3860" s="22"/>
      <c r="F3860" s="19"/>
      <c r="G3860" s="14"/>
      <c r="H3860" s="13"/>
    </row>
    <row r="3861" spans="1:8" x14ac:dyDescent="0.25">
      <c r="A3861" s="13"/>
      <c r="B3861" s="21"/>
      <c r="C3861" s="13"/>
      <c r="D3861" s="766"/>
      <c r="E3861" s="22"/>
      <c r="F3861" s="19"/>
      <c r="G3861" s="14"/>
      <c r="H3861" s="13"/>
    </row>
    <row r="3862" spans="1:8" x14ac:dyDescent="0.25">
      <c r="A3862" s="13"/>
      <c r="B3862" s="21"/>
      <c r="C3862" s="13"/>
      <c r="D3862" s="766"/>
      <c r="E3862" s="22"/>
      <c r="F3862" s="19"/>
      <c r="G3862" s="14"/>
      <c r="H3862" s="13"/>
    </row>
    <row r="3863" spans="1:8" x14ac:dyDescent="0.25">
      <c r="A3863" s="13"/>
      <c r="B3863" s="21"/>
      <c r="C3863" s="13"/>
      <c r="D3863" s="766"/>
      <c r="E3863" s="22"/>
      <c r="F3863" s="19"/>
      <c r="G3863" s="14"/>
      <c r="H3863" s="13"/>
    </row>
    <row r="3864" spans="1:8" x14ac:dyDescent="0.25">
      <c r="A3864" s="13"/>
      <c r="B3864" s="21"/>
      <c r="C3864" s="13"/>
      <c r="D3864" s="766"/>
      <c r="E3864" s="22"/>
      <c r="F3864" s="19"/>
      <c r="G3864" s="14"/>
      <c r="H3864" s="13"/>
    </row>
    <row r="3865" spans="1:8" x14ac:dyDescent="0.25">
      <c r="A3865" s="13"/>
      <c r="B3865" s="21"/>
      <c r="C3865" s="13"/>
      <c r="D3865" s="766"/>
      <c r="E3865" s="22"/>
      <c r="F3865" s="19"/>
      <c r="G3865" s="14"/>
      <c r="H3865" s="13"/>
    </row>
    <row r="3866" spans="1:8" x14ac:dyDescent="0.25">
      <c r="A3866" s="13"/>
      <c r="B3866" s="21"/>
      <c r="C3866" s="13"/>
      <c r="D3866" s="766"/>
      <c r="E3866" s="22"/>
      <c r="F3866" s="19"/>
      <c r="G3866" s="14"/>
      <c r="H3866" s="13"/>
    </row>
    <row r="3867" spans="1:8" x14ac:dyDescent="0.25">
      <c r="A3867" s="13"/>
      <c r="B3867" s="21"/>
      <c r="C3867" s="13"/>
      <c r="D3867" s="766"/>
      <c r="E3867" s="22"/>
      <c r="F3867" s="19"/>
      <c r="G3867" s="14"/>
      <c r="H3867" s="13"/>
    </row>
    <row r="3868" spans="1:8" x14ac:dyDescent="0.25">
      <c r="A3868" s="13"/>
      <c r="B3868" s="21"/>
      <c r="C3868" s="13"/>
      <c r="D3868" s="766"/>
      <c r="E3868" s="22"/>
      <c r="F3868" s="19"/>
      <c r="G3868" s="14"/>
      <c r="H3868" s="13"/>
    </row>
    <row r="3869" spans="1:8" x14ac:dyDescent="0.25">
      <c r="A3869" s="13"/>
      <c r="B3869" s="21"/>
      <c r="C3869" s="13"/>
      <c r="D3869" s="766"/>
      <c r="E3869" s="22"/>
      <c r="F3869" s="19"/>
      <c r="G3869" s="14"/>
      <c r="H3869" s="13"/>
    </row>
    <row r="3870" spans="1:8" x14ac:dyDescent="0.25">
      <c r="A3870" s="13"/>
      <c r="B3870" s="21"/>
      <c r="C3870" s="13"/>
      <c r="D3870" s="766"/>
      <c r="E3870" s="22"/>
      <c r="F3870" s="19"/>
      <c r="G3870" s="14"/>
      <c r="H3870" s="13"/>
    </row>
    <row r="3871" spans="1:8" x14ac:dyDescent="0.25">
      <c r="A3871" s="13"/>
      <c r="B3871" s="21"/>
      <c r="C3871" s="13"/>
      <c r="D3871" s="766"/>
      <c r="E3871" s="22"/>
      <c r="F3871" s="19"/>
      <c r="G3871" s="14"/>
      <c r="H3871" s="13"/>
    </row>
    <row r="3872" spans="1:8" x14ac:dyDescent="0.25">
      <c r="A3872" s="13"/>
      <c r="B3872" s="21"/>
      <c r="C3872" s="13"/>
      <c r="D3872" s="766"/>
      <c r="E3872" s="22"/>
      <c r="F3872" s="19"/>
      <c r="G3872" s="14"/>
      <c r="H3872" s="13"/>
    </row>
    <row r="3873" spans="1:8" x14ac:dyDescent="0.25">
      <c r="A3873" s="13"/>
      <c r="B3873" s="21"/>
      <c r="C3873" s="13"/>
      <c r="D3873" s="766"/>
      <c r="E3873" s="22"/>
      <c r="F3873" s="19"/>
      <c r="G3873" s="14"/>
      <c r="H3873" s="13"/>
    </row>
    <row r="3874" spans="1:8" x14ac:dyDescent="0.25">
      <c r="A3874" s="13"/>
      <c r="B3874" s="21"/>
      <c r="C3874" s="13"/>
      <c r="D3874" s="766"/>
      <c r="E3874" s="22"/>
      <c r="F3874" s="19"/>
      <c r="G3874" s="14"/>
      <c r="H3874" s="13"/>
    </row>
    <row r="3875" spans="1:8" x14ac:dyDescent="0.25">
      <c r="A3875" s="13"/>
      <c r="B3875" s="21"/>
      <c r="C3875" s="13"/>
      <c r="D3875" s="766"/>
      <c r="E3875" s="22"/>
      <c r="F3875" s="19"/>
      <c r="G3875" s="14"/>
      <c r="H3875" s="13"/>
    </row>
    <row r="3876" spans="1:8" x14ac:dyDescent="0.25">
      <c r="A3876" s="13"/>
      <c r="B3876" s="21"/>
      <c r="C3876" s="13"/>
      <c r="D3876" s="766"/>
      <c r="E3876" s="22"/>
      <c r="F3876" s="19"/>
      <c r="G3876" s="14"/>
      <c r="H3876" s="13"/>
    </row>
    <row r="3877" spans="1:8" x14ac:dyDescent="0.25">
      <c r="A3877" s="13"/>
      <c r="B3877" s="21"/>
      <c r="C3877" s="13"/>
      <c r="D3877" s="766"/>
      <c r="E3877" s="22"/>
      <c r="F3877" s="19"/>
      <c r="G3877" s="14"/>
      <c r="H3877" s="13"/>
    </row>
    <row r="3878" spans="1:8" x14ac:dyDescent="0.25">
      <c r="A3878" s="13"/>
      <c r="B3878" s="21"/>
      <c r="C3878" s="13"/>
      <c r="D3878" s="766"/>
      <c r="E3878" s="22"/>
      <c r="F3878" s="19"/>
      <c r="G3878" s="14"/>
      <c r="H3878" s="13"/>
    </row>
    <row r="3879" spans="1:8" x14ac:dyDescent="0.25">
      <c r="A3879" s="13"/>
      <c r="B3879" s="21"/>
      <c r="C3879" s="13"/>
      <c r="D3879" s="766"/>
      <c r="E3879" s="22"/>
      <c r="F3879" s="19"/>
      <c r="G3879" s="14"/>
      <c r="H3879" s="13"/>
    </row>
    <row r="3880" spans="1:8" x14ac:dyDescent="0.25">
      <c r="A3880" s="13"/>
      <c r="B3880" s="21"/>
      <c r="C3880" s="13"/>
      <c r="D3880" s="766"/>
      <c r="E3880" s="22"/>
      <c r="F3880" s="19"/>
      <c r="G3880" s="14"/>
      <c r="H3880" s="13"/>
    </row>
    <row r="3881" spans="1:8" x14ac:dyDescent="0.25">
      <c r="A3881" s="13"/>
      <c r="B3881" s="21"/>
      <c r="C3881" s="13"/>
      <c r="D3881" s="766"/>
      <c r="E3881" s="22"/>
      <c r="F3881" s="19"/>
      <c r="G3881" s="14"/>
      <c r="H3881" s="13"/>
    </row>
    <row r="3882" spans="1:8" x14ac:dyDescent="0.25">
      <c r="A3882" s="13"/>
      <c r="B3882" s="21"/>
      <c r="C3882" s="13"/>
      <c r="D3882" s="766"/>
      <c r="E3882" s="22"/>
      <c r="F3882" s="19"/>
      <c r="G3882" s="14"/>
      <c r="H3882" s="13"/>
    </row>
    <row r="3883" spans="1:8" x14ac:dyDescent="0.25">
      <c r="A3883" s="13"/>
      <c r="B3883" s="21"/>
      <c r="C3883" s="13"/>
      <c r="D3883" s="766"/>
      <c r="E3883" s="22"/>
      <c r="F3883" s="19"/>
      <c r="G3883" s="14"/>
      <c r="H3883" s="13"/>
    </row>
    <row r="3884" spans="1:8" x14ac:dyDescent="0.25">
      <c r="A3884" s="13"/>
      <c r="B3884" s="21"/>
      <c r="C3884" s="13"/>
      <c r="D3884" s="766"/>
      <c r="E3884" s="22"/>
      <c r="F3884" s="19"/>
      <c r="G3884" s="14"/>
      <c r="H3884" s="13"/>
    </row>
    <row r="3885" spans="1:8" x14ac:dyDescent="0.25">
      <c r="A3885" s="13"/>
      <c r="B3885" s="21"/>
      <c r="C3885" s="13"/>
      <c r="D3885" s="766"/>
      <c r="E3885" s="22"/>
      <c r="F3885" s="19"/>
      <c r="G3885" s="14"/>
      <c r="H3885" s="13"/>
    </row>
    <row r="3886" spans="1:8" x14ac:dyDescent="0.25">
      <c r="A3886" s="13"/>
      <c r="B3886" s="21"/>
      <c r="C3886" s="13"/>
      <c r="D3886" s="766"/>
      <c r="E3886" s="22"/>
      <c r="F3886" s="19"/>
      <c r="G3886" s="14"/>
      <c r="H3886" s="13"/>
    </row>
    <row r="3887" spans="1:8" x14ac:dyDescent="0.25">
      <c r="A3887" s="13"/>
      <c r="B3887" s="21"/>
      <c r="C3887" s="13"/>
      <c r="D3887" s="766"/>
      <c r="E3887" s="22"/>
      <c r="F3887" s="19"/>
      <c r="G3887" s="14"/>
      <c r="H3887" s="13"/>
    </row>
    <row r="3888" spans="1:8" x14ac:dyDescent="0.25">
      <c r="A3888" s="13"/>
      <c r="B3888" s="21"/>
      <c r="C3888" s="13"/>
      <c r="D3888" s="766"/>
      <c r="E3888" s="22"/>
      <c r="F3888" s="19"/>
      <c r="G3888" s="14"/>
      <c r="H3888" s="13"/>
    </row>
    <row r="3889" spans="1:8" x14ac:dyDescent="0.25">
      <c r="A3889" s="13"/>
      <c r="B3889" s="21"/>
      <c r="C3889" s="13"/>
      <c r="D3889" s="766"/>
      <c r="E3889" s="22"/>
      <c r="F3889" s="19"/>
      <c r="G3889" s="14"/>
      <c r="H3889" s="13"/>
    </row>
    <row r="3890" spans="1:8" x14ac:dyDescent="0.25">
      <c r="A3890" s="13"/>
      <c r="B3890" s="21"/>
      <c r="C3890" s="13"/>
      <c r="D3890" s="766"/>
      <c r="E3890" s="22"/>
      <c r="F3890" s="19"/>
      <c r="G3890" s="14"/>
      <c r="H3890" s="13"/>
    </row>
    <row r="3891" spans="1:8" x14ac:dyDescent="0.25">
      <c r="A3891" s="13"/>
      <c r="B3891" s="21"/>
      <c r="C3891" s="13"/>
      <c r="D3891" s="766"/>
      <c r="E3891" s="22"/>
      <c r="F3891" s="19"/>
      <c r="G3891" s="14"/>
      <c r="H3891" s="13"/>
    </row>
    <row r="3892" spans="1:8" x14ac:dyDescent="0.25">
      <c r="A3892" s="13"/>
      <c r="B3892" s="21"/>
      <c r="C3892" s="13"/>
      <c r="D3892" s="766"/>
      <c r="E3892" s="22"/>
      <c r="F3892" s="19"/>
      <c r="G3892" s="14"/>
      <c r="H3892" s="13"/>
    </row>
    <row r="3893" spans="1:8" x14ac:dyDescent="0.25">
      <c r="A3893" s="13"/>
      <c r="B3893" s="21"/>
      <c r="C3893" s="13"/>
      <c r="D3893" s="766"/>
      <c r="E3893" s="22"/>
      <c r="F3893" s="19"/>
      <c r="G3893" s="14"/>
      <c r="H3893" s="13"/>
    </row>
    <row r="3894" spans="1:8" x14ac:dyDescent="0.25">
      <c r="A3894" s="13"/>
      <c r="B3894" s="21"/>
      <c r="C3894" s="13"/>
      <c r="D3894" s="766"/>
      <c r="E3894" s="22"/>
      <c r="F3894" s="19"/>
      <c r="G3894" s="14"/>
      <c r="H3894" s="13"/>
    </row>
    <row r="3895" spans="1:8" x14ac:dyDescent="0.25">
      <c r="A3895" s="13"/>
      <c r="B3895" s="21"/>
      <c r="C3895" s="13"/>
      <c r="D3895" s="766"/>
      <c r="E3895" s="22"/>
      <c r="F3895" s="19"/>
      <c r="G3895" s="14"/>
      <c r="H3895" s="13"/>
    </row>
    <row r="3896" spans="1:8" x14ac:dyDescent="0.25">
      <c r="A3896" s="13"/>
      <c r="B3896" s="21"/>
      <c r="C3896" s="13"/>
      <c r="D3896" s="766"/>
      <c r="E3896" s="22"/>
      <c r="F3896" s="19"/>
      <c r="G3896" s="14"/>
      <c r="H3896" s="13"/>
    </row>
    <row r="3897" spans="1:8" x14ac:dyDescent="0.25">
      <c r="A3897" s="13"/>
      <c r="B3897" s="21"/>
      <c r="C3897" s="13"/>
      <c r="D3897" s="766"/>
      <c r="E3897" s="22"/>
      <c r="F3897" s="19"/>
      <c r="G3897" s="14"/>
      <c r="H3897" s="13"/>
    </row>
    <row r="3898" spans="1:8" x14ac:dyDescent="0.25">
      <c r="A3898" s="13"/>
      <c r="B3898" s="21"/>
      <c r="C3898" s="13"/>
      <c r="D3898" s="766"/>
      <c r="E3898" s="22"/>
      <c r="F3898" s="19"/>
      <c r="G3898" s="14"/>
      <c r="H3898" s="13"/>
    </row>
    <row r="3899" spans="1:8" x14ac:dyDescent="0.25">
      <c r="A3899" s="13"/>
      <c r="B3899" s="21"/>
      <c r="C3899" s="13"/>
      <c r="D3899" s="766"/>
      <c r="E3899" s="22"/>
      <c r="F3899" s="19"/>
      <c r="G3899" s="14"/>
      <c r="H3899" s="13"/>
    </row>
    <row r="3900" spans="1:8" x14ac:dyDescent="0.25">
      <c r="A3900" s="13"/>
      <c r="B3900" s="21"/>
      <c r="C3900" s="13"/>
      <c r="D3900" s="766"/>
      <c r="E3900" s="22"/>
      <c r="F3900" s="19"/>
      <c r="G3900" s="14"/>
      <c r="H3900" s="13"/>
    </row>
    <row r="3901" spans="1:8" x14ac:dyDescent="0.25">
      <c r="A3901" s="13"/>
      <c r="B3901" s="21"/>
      <c r="C3901" s="13"/>
      <c r="D3901" s="766"/>
      <c r="E3901" s="22"/>
      <c r="F3901" s="19"/>
      <c r="G3901" s="14"/>
      <c r="H3901" s="13"/>
    </row>
    <row r="3902" spans="1:8" x14ac:dyDescent="0.25">
      <c r="A3902" s="13"/>
      <c r="B3902" s="21"/>
      <c r="C3902" s="13"/>
      <c r="D3902" s="766"/>
      <c r="E3902" s="22"/>
      <c r="F3902" s="19"/>
      <c r="G3902" s="14"/>
      <c r="H3902" s="13"/>
    </row>
    <row r="3903" spans="1:8" x14ac:dyDescent="0.25">
      <c r="A3903" s="13"/>
      <c r="B3903" s="21"/>
      <c r="C3903" s="13"/>
      <c r="D3903" s="766"/>
      <c r="E3903" s="22"/>
      <c r="F3903" s="19"/>
      <c r="G3903" s="14"/>
      <c r="H3903" s="13"/>
    </row>
    <row r="3904" spans="1:8" x14ac:dyDescent="0.25">
      <c r="A3904" s="13"/>
      <c r="B3904" s="21"/>
      <c r="C3904" s="13"/>
      <c r="D3904" s="766"/>
      <c r="E3904" s="22"/>
      <c r="F3904" s="19"/>
      <c r="G3904" s="14"/>
      <c r="H3904" s="13"/>
    </row>
    <row r="3905" spans="1:8" x14ac:dyDescent="0.25">
      <c r="A3905" s="13"/>
      <c r="B3905" s="21"/>
      <c r="C3905" s="13"/>
      <c r="D3905" s="766"/>
      <c r="E3905" s="22"/>
      <c r="F3905" s="19"/>
      <c r="G3905" s="14"/>
      <c r="H3905" s="13"/>
    </row>
    <row r="3906" spans="1:8" x14ac:dyDescent="0.25">
      <c r="A3906" s="13"/>
      <c r="B3906" s="21"/>
      <c r="C3906" s="13"/>
      <c r="D3906" s="766"/>
      <c r="E3906" s="22"/>
      <c r="F3906" s="19"/>
      <c r="G3906" s="14"/>
      <c r="H3906" s="13"/>
    </row>
    <row r="3907" spans="1:8" x14ac:dyDescent="0.25">
      <c r="A3907" s="13"/>
      <c r="B3907" s="21"/>
      <c r="C3907" s="13"/>
      <c r="D3907" s="766"/>
      <c r="E3907" s="22"/>
      <c r="F3907" s="19"/>
      <c r="G3907" s="14"/>
      <c r="H3907" s="13"/>
    </row>
    <row r="3908" spans="1:8" x14ac:dyDescent="0.25">
      <c r="A3908" s="13"/>
      <c r="B3908" s="21"/>
      <c r="C3908" s="13"/>
      <c r="D3908" s="766"/>
      <c r="E3908" s="22"/>
      <c r="F3908" s="19"/>
      <c r="G3908" s="14"/>
      <c r="H3908" s="13"/>
    </row>
    <row r="3909" spans="1:8" x14ac:dyDescent="0.25">
      <c r="A3909" s="13"/>
      <c r="B3909" s="21"/>
      <c r="C3909" s="13"/>
      <c r="D3909" s="766"/>
      <c r="E3909" s="22"/>
      <c r="F3909" s="19"/>
      <c r="G3909" s="14"/>
      <c r="H3909" s="13"/>
    </row>
    <row r="3910" spans="1:8" x14ac:dyDescent="0.25">
      <c r="A3910" s="13"/>
      <c r="B3910" s="21"/>
      <c r="C3910" s="13"/>
      <c r="D3910" s="766"/>
      <c r="E3910" s="22"/>
      <c r="F3910" s="19"/>
      <c r="G3910" s="14"/>
      <c r="H3910" s="13"/>
    </row>
    <row r="3911" spans="1:8" x14ac:dyDescent="0.25">
      <c r="A3911" s="13"/>
      <c r="B3911" s="21"/>
      <c r="C3911" s="13"/>
      <c r="D3911" s="766"/>
      <c r="E3911" s="22"/>
      <c r="F3911" s="19"/>
      <c r="G3911" s="14"/>
      <c r="H3911" s="13"/>
    </row>
    <row r="3912" spans="1:8" x14ac:dyDescent="0.25">
      <c r="A3912" s="13"/>
      <c r="B3912" s="21"/>
      <c r="C3912" s="13"/>
      <c r="D3912" s="766"/>
      <c r="E3912" s="22"/>
      <c r="F3912" s="19"/>
      <c r="G3912" s="14"/>
      <c r="H3912" s="13"/>
    </row>
    <row r="3913" spans="1:8" x14ac:dyDescent="0.25">
      <c r="A3913" s="13"/>
      <c r="B3913" s="21"/>
      <c r="C3913" s="13"/>
      <c r="D3913" s="766"/>
      <c r="E3913" s="22"/>
      <c r="F3913" s="19"/>
      <c r="G3913" s="14"/>
      <c r="H3913" s="13"/>
    </row>
    <row r="3914" spans="1:8" x14ac:dyDescent="0.25">
      <c r="A3914" s="13"/>
      <c r="B3914" s="21"/>
      <c r="C3914" s="13"/>
      <c r="D3914" s="766"/>
      <c r="E3914" s="22"/>
      <c r="F3914" s="19"/>
      <c r="G3914" s="14"/>
      <c r="H3914" s="13"/>
    </row>
    <row r="3915" spans="1:8" x14ac:dyDescent="0.25">
      <c r="A3915" s="13"/>
      <c r="B3915" s="21"/>
      <c r="C3915" s="13"/>
      <c r="D3915" s="766"/>
      <c r="E3915" s="22"/>
      <c r="F3915" s="19"/>
      <c r="G3915" s="14"/>
      <c r="H3915" s="13"/>
    </row>
    <row r="3916" spans="1:8" x14ac:dyDescent="0.25">
      <c r="A3916" s="13"/>
      <c r="B3916" s="21"/>
      <c r="C3916" s="13"/>
      <c r="D3916" s="766"/>
      <c r="E3916" s="22"/>
      <c r="F3916" s="19"/>
      <c r="G3916" s="14"/>
      <c r="H3916" s="13"/>
    </row>
    <row r="3917" spans="1:8" x14ac:dyDescent="0.25">
      <c r="A3917" s="13"/>
      <c r="B3917" s="21"/>
      <c r="C3917" s="13"/>
      <c r="D3917" s="766"/>
      <c r="E3917" s="22"/>
      <c r="F3917" s="19"/>
      <c r="G3917" s="14"/>
      <c r="H3917" s="13"/>
    </row>
    <row r="3918" spans="1:8" x14ac:dyDescent="0.25">
      <c r="A3918" s="13"/>
      <c r="B3918" s="21"/>
      <c r="C3918" s="13"/>
      <c r="D3918" s="766"/>
      <c r="E3918" s="22"/>
      <c r="F3918" s="19"/>
      <c r="G3918" s="14"/>
      <c r="H3918" s="13"/>
    </row>
    <row r="3919" spans="1:8" x14ac:dyDescent="0.25">
      <c r="A3919" s="13"/>
      <c r="B3919" s="21"/>
      <c r="C3919" s="13"/>
      <c r="D3919" s="766"/>
      <c r="E3919" s="22"/>
      <c r="F3919" s="19"/>
      <c r="G3919" s="14"/>
      <c r="H3919" s="13"/>
    </row>
    <row r="3920" spans="1:8" x14ac:dyDescent="0.25">
      <c r="A3920" s="13"/>
      <c r="B3920" s="21"/>
      <c r="C3920" s="13"/>
      <c r="D3920" s="766"/>
      <c r="E3920" s="22"/>
      <c r="F3920" s="19"/>
      <c r="G3920" s="14"/>
      <c r="H3920" s="13"/>
    </row>
    <row r="3921" spans="1:8" x14ac:dyDescent="0.25">
      <c r="A3921" s="13"/>
      <c r="B3921" s="21"/>
      <c r="C3921" s="13"/>
      <c r="D3921" s="766"/>
      <c r="E3921" s="22"/>
      <c r="F3921" s="19"/>
      <c r="G3921" s="14"/>
      <c r="H3921" s="13"/>
    </row>
    <row r="3922" spans="1:8" x14ac:dyDescent="0.25">
      <c r="A3922" s="13"/>
      <c r="B3922" s="21"/>
      <c r="C3922" s="13"/>
      <c r="D3922" s="766"/>
      <c r="E3922" s="22"/>
      <c r="F3922" s="19"/>
      <c r="G3922" s="14"/>
      <c r="H3922" s="13"/>
    </row>
    <row r="3923" spans="1:8" x14ac:dyDescent="0.25">
      <c r="A3923" s="13"/>
      <c r="B3923" s="21"/>
      <c r="C3923" s="13"/>
      <c r="D3923" s="766"/>
      <c r="E3923" s="22"/>
      <c r="F3923" s="19"/>
      <c r="G3923" s="14"/>
      <c r="H3923" s="13"/>
    </row>
    <row r="3924" spans="1:8" x14ac:dyDescent="0.25">
      <c r="A3924" s="13"/>
      <c r="B3924" s="21"/>
      <c r="C3924" s="13"/>
      <c r="D3924" s="766"/>
      <c r="E3924" s="22"/>
      <c r="F3924" s="19"/>
      <c r="G3924" s="14"/>
      <c r="H3924" s="13"/>
    </row>
    <row r="3925" spans="1:8" x14ac:dyDescent="0.25">
      <c r="A3925" s="13"/>
      <c r="B3925" s="21"/>
      <c r="C3925" s="13"/>
      <c r="D3925" s="766"/>
      <c r="E3925" s="22"/>
      <c r="F3925" s="19"/>
      <c r="G3925" s="14"/>
      <c r="H3925" s="13"/>
    </row>
    <row r="3926" spans="1:8" x14ac:dyDescent="0.25">
      <c r="A3926" s="13"/>
      <c r="B3926" s="21"/>
      <c r="C3926" s="13"/>
      <c r="D3926" s="766"/>
      <c r="E3926" s="22"/>
      <c r="F3926" s="19"/>
      <c r="G3926" s="14"/>
      <c r="H3926" s="13"/>
    </row>
    <row r="3927" spans="1:8" x14ac:dyDescent="0.25">
      <c r="A3927" s="13"/>
      <c r="B3927" s="21"/>
      <c r="C3927" s="13"/>
      <c r="D3927" s="766"/>
      <c r="E3927" s="22"/>
      <c r="F3927" s="19"/>
      <c r="G3927" s="14"/>
      <c r="H3927" s="13"/>
    </row>
    <row r="3928" spans="1:8" x14ac:dyDescent="0.25">
      <c r="A3928" s="13"/>
      <c r="B3928" s="21"/>
      <c r="C3928" s="13"/>
      <c r="D3928" s="766"/>
      <c r="E3928" s="22"/>
      <c r="F3928" s="19"/>
      <c r="G3928" s="14"/>
      <c r="H3928" s="13"/>
    </row>
    <row r="3929" spans="1:8" x14ac:dyDescent="0.25">
      <c r="A3929" s="13"/>
      <c r="B3929" s="21"/>
      <c r="C3929" s="13"/>
      <c r="D3929" s="766"/>
      <c r="E3929" s="22"/>
      <c r="F3929" s="19"/>
      <c r="G3929" s="14"/>
      <c r="H3929" s="13"/>
    </row>
    <row r="3930" spans="1:8" x14ac:dyDescent="0.25">
      <c r="A3930" s="13"/>
      <c r="B3930" s="21"/>
      <c r="C3930" s="13"/>
      <c r="D3930" s="766"/>
      <c r="E3930" s="22"/>
      <c r="F3930" s="19"/>
      <c r="G3930" s="14"/>
      <c r="H3930" s="13"/>
    </row>
    <row r="3931" spans="1:8" x14ac:dyDescent="0.25">
      <c r="A3931" s="13"/>
      <c r="B3931" s="21"/>
      <c r="C3931" s="13"/>
      <c r="D3931" s="766"/>
      <c r="E3931" s="22"/>
      <c r="F3931" s="19"/>
      <c r="G3931" s="14"/>
      <c r="H3931" s="13"/>
    </row>
    <row r="3932" spans="1:8" x14ac:dyDescent="0.25">
      <c r="A3932" s="13"/>
      <c r="B3932" s="21"/>
      <c r="C3932" s="13"/>
      <c r="D3932" s="766"/>
      <c r="E3932" s="22"/>
      <c r="F3932" s="19"/>
      <c r="G3932" s="14"/>
      <c r="H3932" s="13"/>
    </row>
    <row r="3933" spans="1:8" x14ac:dyDescent="0.25">
      <c r="A3933" s="13"/>
      <c r="B3933" s="21"/>
      <c r="C3933" s="13"/>
      <c r="D3933" s="766"/>
      <c r="E3933" s="22"/>
      <c r="F3933" s="19"/>
      <c r="G3933" s="14"/>
      <c r="H3933" s="13"/>
    </row>
    <row r="3934" spans="1:8" x14ac:dyDescent="0.25">
      <c r="A3934" s="13"/>
      <c r="B3934" s="21"/>
      <c r="C3934" s="13"/>
      <c r="D3934" s="766"/>
      <c r="E3934" s="22"/>
      <c r="F3934" s="19"/>
      <c r="G3934" s="14"/>
      <c r="H3934" s="13"/>
    </row>
    <row r="3935" spans="1:8" x14ac:dyDescent="0.25">
      <c r="A3935" s="13"/>
      <c r="B3935" s="21"/>
      <c r="C3935" s="13"/>
      <c r="D3935" s="766"/>
      <c r="E3935" s="22"/>
      <c r="F3935" s="19"/>
      <c r="G3935" s="14"/>
      <c r="H3935" s="13"/>
    </row>
    <row r="3936" spans="1:8" x14ac:dyDescent="0.25">
      <c r="A3936" s="13"/>
      <c r="B3936" s="21"/>
      <c r="C3936" s="13"/>
      <c r="D3936" s="766"/>
      <c r="E3936" s="22"/>
      <c r="F3936" s="19"/>
      <c r="G3936" s="14"/>
      <c r="H3936" s="13"/>
    </row>
    <row r="3937" spans="1:8" x14ac:dyDescent="0.25">
      <c r="A3937" s="13"/>
      <c r="B3937" s="21"/>
      <c r="C3937" s="13"/>
      <c r="D3937" s="766"/>
      <c r="E3937" s="22"/>
      <c r="F3937" s="19"/>
      <c r="G3937" s="14"/>
      <c r="H3937" s="13"/>
    </row>
    <row r="3938" spans="1:8" x14ac:dyDescent="0.25">
      <c r="A3938" s="13"/>
      <c r="B3938" s="21"/>
      <c r="C3938" s="13"/>
      <c r="D3938" s="766"/>
      <c r="E3938" s="22"/>
      <c r="F3938" s="19"/>
      <c r="G3938" s="14"/>
      <c r="H3938" s="13"/>
    </row>
    <row r="3939" spans="1:8" x14ac:dyDescent="0.25">
      <c r="A3939" s="13"/>
      <c r="B3939" s="21"/>
      <c r="C3939" s="13"/>
      <c r="D3939" s="766"/>
      <c r="E3939" s="22"/>
      <c r="F3939" s="19"/>
      <c r="G3939" s="14"/>
      <c r="H3939" s="13"/>
    </row>
    <row r="3940" spans="1:8" x14ac:dyDescent="0.25">
      <c r="A3940" s="13"/>
      <c r="B3940" s="21"/>
      <c r="C3940" s="13"/>
      <c r="D3940" s="766"/>
      <c r="E3940" s="22"/>
      <c r="F3940" s="19"/>
      <c r="G3940" s="14"/>
      <c r="H3940" s="13"/>
    </row>
    <row r="3941" spans="1:8" x14ac:dyDescent="0.25">
      <c r="A3941" s="13"/>
      <c r="B3941" s="21"/>
      <c r="C3941" s="13"/>
      <c r="D3941" s="766"/>
      <c r="E3941" s="22"/>
      <c r="F3941" s="19"/>
      <c r="G3941" s="14"/>
      <c r="H3941" s="13"/>
    </row>
    <row r="3942" spans="1:8" x14ac:dyDescent="0.25">
      <c r="A3942" s="13"/>
      <c r="B3942" s="21"/>
      <c r="C3942" s="13"/>
      <c r="D3942" s="766"/>
      <c r="E3942" s="22"/>
      <c r="F3942" s="19"/>
      <c r="G3942" s="14"/>
      <c r="H3942" s="13"/>
    </row>
    <row r="3943" spans="1:8" x14ac:dyDescent="0.25">
      <c r="A3943" s="13"/>
      <c r="B3943" s="21"/>
      <c r="C3943" s="13"/>
      <c r="D3943" s="766"/>
      <c r="E3943" s="22"/>
      <c r="F3943" s="19"/>
      <c r="G3943" s="14"/>
      <c r="H3943" s="13"/>
    </row>
    <row r="3944" spans="1:8" x14ac:dyDescent="0.25">
      <c r="A3944" s="13"/>
      <c r="B3944" s="21"/>
      <c r="C3944" s="13"/>
      <c r="D3944" s="766"/>
      <c r="E3944" s="22"/>
      <c r="F3944" s="19"/>
      <c r="G3944" s="14"/>
      <c r="H3944" s="13"/>
    </row>
    <row r="3945" spans="1:8" x14ac:dyDescent="0.25">
      <c r="A3945" s="13"/>
      <c r="B3945" s="21"/>
      <c r="C3945" s="13"/>
      <c r="D3945" s="766"/>
      <c r="E3945" s="22"/>
      <c r="F3945" s="19"/>
      <c r="G3945" s="14"/>
      <c r="H3945" s="13"/>
    </row>
    <row r="3946" spans="1:8" x14ac:dyDescent="0.25">
      <c r="A3946" s="13"/>
      <c r="B3946" s="21"/>
      <c r="C3946" s="13"/>
      <c r="D3946" s="766"/>
      <c r="E3946" s="22"/>
      <c r="F3946" s="19"/>
      <c r="G3946" s="14"/>
      <c r="H3946" s="13"/>
    </row>
    <row r="3947" spans="1:8" x14ac:dyDescent="0.25">
      <c r="A3947" s="13"/>
      <c r="B3947" s="21"/>
      <c r="C3947" s="13"/>
      <c r="D3947" s="766"/>
      <c r="E3947" s="22"/>
      <c r="F3947" s="19"/>
      <c r="G3947" s="14"/>
      <c r="H3947" s="13"/>
    </row>
    <row r="3948" spans="1:8" x14ac:dyDescent="0.25">
      <c r="A3948" s="13"/>
      <c r="B3948" s="21"/>
      <c r="C3948" s="13"/>
      <c r="D3948" s="766"/>
      <c r="E3948" s="22"/>
      <c r="F3948" s="19"/>
      <c r="G3948" s="14"/>
      <c r="H3948" s="13"/>
    </row>
    <row r="3949" spans="1:8" x14ac:dyDescent="0.25">
      <c r="A3949" s="13"/>
      <c r="B3949" s="21"/>
      <c r="C3949" s="13"/>
      <c r="D3949" s="766"/>
      <c r="E3949" s="22"/>
      <c r="F3949" s="19"/>
      <c r="G3949" s="14"/>
      <c r="H3949" s="13"/>
    </row>
    <row r="3950" spans="1:8" x14ac:dyDescent="0.25">
      <c r="A3950" s="13"/>
      <c r="B3950" s="21"/>
      <c r="C3950" s="13"/>
      <c r="D3950" s="766"/>
      <c r="E3950" s="22"/>
      <c r="F3950" s="19"/>
      <c r="G3950" s="14"/>
      <c r="H3950" s="13"/>
    </row>
    <row r="3951" spans="1:8" x14ac:dyDescent="0.25">
      <c r="A3951" s="13"/>
      <c r="B3951" s="21"/>
      <c r="C3951" s="13"/>
      <c r="D3951" s="766"/>
      <c r="E3951" s="22"/>
      <c r="F3951" s="19"/>
      <c r="G3951" s="14"/>
      <c r="H3951" s="13"/>
    </row>
    <row r="3952" spans="1:8" x14ac:dyDescent="0.25">
      <c r="A3952" s="13"/>
      <c r="B3952" s="21"/>
      <c r="C3952" s="13"/>
      <c r="D3952" s="766"/>
      <c r="E3952" s="22"/>
      <c r="F3952" s="19"/>
      <c r="G3952" s="14"/>
      <c r="H3952" s="13"/>
    </row>
    <row r="3953" spans="1:8" x14ac:dyDescent="0.25">
      <c r="A3953" s="13"/>
      <c r="B3953" s="21"/>
      <c r="C3953" s="13"/>
      <c r="D3953" s="766"/>
      <c r="E3953" s="22"/>
      <c r="F3953" s="19"/>
      <c r="G3953" s="14"/>
      <c r="H3953" s="13"/>
    </row>
    <row r="3954" spans="1:8" x14ac:dyDescent="0.25">
      <c r="A3954" s="13"/>
      <c r="B3954" s="21"/>
      <c r="C3954" s="13"/>
      <c r="D3954" s="766"/>
      <c r="E3954" s="22"/>
      <c r="F3954" s="19"/>
      <c r="G3954" s="14"/>
      <c r="H3954" s="13"/>
    </row>
    <row r="3955" spans="1:8" x14ac:dyDescent="0.25">
      <c r="A3955" s="13"/>
      <c r="B3955" s="21"/>
      <c r="C3955" s="13"/>
      <c r="D3955" s="766"/>
      <c r="E3955" s="22"/>
      <c r="F3955" s="19"/>
      <c r="G3955" s="14"/>
      <c r="H3955" s="13"/>
    </row>
    <row r="3956" spans="1:8" x14ac:dyDescent="0.25">
      <c r="A3956" s="13"/>
      <c r="B3956" s="21"/>
      <c r="C3956" s="13"/>
      <c r="D3956" s="766"/>
      <c r="E3956" s="22"/>
      <c r="F3956" s="19"/>
      <c r="G3956" s="14"/>
      <c r="H3956" s="13"/>
    </row>
    <row r="3957" spans="1:8" x14ac:dyDescent="0.25">
      <c r="A3957" s="13"/>
      <c r="B3957" s="21"/>
      <c r="C3957" s="13"/>
      <c r="D3957" s="766"/>
      <c r="E3957" s="22"/>
      <c r="F3957" s="19"/>
      <c r="G3957" s="14"/>
      <c r="H3957" s="13"/>
    </row>
    <row r="3958" spans="1:8" x14ac:dyDescent="0.25">
      <c r="A3958" s="13"/>
      <c r="B3958" s="21"/>
      <c r="C3958" s="13"/>
      <c r="D3958" s="766"/>
      <c r="E3958" s="22"/>
      <c r="F3958" s="19"/>
      <c r="G3958" s="14"/>
      <c r="H3958" s="13"/>
    </row>
    <row r="3959" spans="1:8" x14ac:dyDescent="0.25">
      <c r="A3959" s="13"/>
      <c r="B3959" s="21"/>
      <c r="C3959" s="13"/>
      <c r="D3959" s="766"/>
      <c r="E3959" s="22"/>
      <c r="F3959" s="19"/>
      <c r="G3959" s="14"/>
      <c r="H3959" s="13"/>
    </row>
    <row r="3960" spans="1:8" x14ac:dyDescent="0.25">
      <c r="A3960" s="13"/>
      <c r="B3960" s="21"/>
      <c r="C3960" s="13"/>
      <c r="D3960" s="766"/>
      <c r="E3960" s="22"/>
      <c r="F3960" s="19"/>
      <c r="G3960" s="14"/>
      <c r="H3960" s="13"/>
    </row>
    <row r="3961" spans="1:8" x14ac:dyDescent="0.25">
      <c r="A3961" s="13"/>
      <c r="B3961" s="21"/>
      <c r="C3961" s="13"/>
      <c r="D3961" s="766"/>
      <c r="E3961" s="22"/>
      <c r="F3961" s="19"/>
      <c r="G3961" s="14"/>
      <c r="H3961" s="13"/>
    </row>
    <row r="3962" spans="1:8" x14ac:dyDescent="0.25">
      <c r="A3962" s="13"/>
      <c r="B3962" s="21"/>
      <c r="C3962" s="13"/>
      <c r="D3962" s="766"/>
      <c r="E3962" s="22"/>
      <c r="F3962" s="19"/>
      <c r="G3962" s="14"/>
      <c r="H3962" s="13"/>
    </row>
    <row r="3963" spans="1:8" x14ac:dyDescent="0.25">
      <c r="A3963" s="13"/>
      <c r="B3963" s="21"/>
      <c r="C3963" s="13"/>
      <c r="D3963" s="766"/>
      <c r="E3963" s="22"/>
      <c r="F3963" s="19"/>
      <c r="G3963" s="14"/>
      <c r="H3963" s="13"/>
    </row>
    <row r="3964" spans="1:8" x14ac:dyDescent="0.25">
      <c r="A3964" s="13"/>
      <c r="B3964" s="21"/>
      <c r="C3964" s="13"/>
      <c r="D3964" s="766"/>
      <c r="E3964" s="22"/>
      <c r="F3964" s="19"/>
      <c r="G3964" s="14"/>
      <c r="H3964" s="13"/>
    </row>
    <row r="3965" spans="1:8" x14ac:dyDescent="0.25">
      <c r="A3965" s="13"/>
      <c r="B3965" s="21"/>
      <c r="C3965" s="13"/>
      <c r="D3965" s="766"/>
      <c r="E3965" s="22"/>
      <c r="F3965" s="19"/>
      <c r="G3965" s="14"/>
      <c r="H3965" s="13"/>
    </row>
    <row r="3966" spans="1:8" x14ac:dyDescent="0.25">
      <c r="A3966" s="13"/>
      <c r="B3966" s="21"/>
      <c r="C3966" s="13"/>
      <c r="D3966" s="766"/>
      <c r="E3966" s="22"/>
      <c r="F3966" s="19"/>
      <c r="G3966" s="14"/>
      <c r="H3966" s="13"/>
    </row>
    <row r="3967" spans="1:8" x14ac:dyDescent="0.25">
      <c r="A3967" s="13"/>
      <c r="B3967" s="21"/>
      <c r="C3967" s="13"/>
      <c r="D3967" s="766"/>
      <c r="E3967" s="22"/>
      <c r="F3967" s="19"/>
      <c r="G3967" s="14"/>
      <c r="H3967" s="13"/>
    </row>
    <row r="3968" spans="1:8" x14ac:dyDescent="0.25">
      <c r="A3968" s="13"/>
      <c r="B3968" s="21"/>
      <c r="C3968" s="13"/>
      <c r="D3968" s="766"/>
      <c r="E3968" s="22"/>
      <c r="F3968" s="19"/>
      <c r="G3968" s="14"/>
      <c r="H3968" s="13"/>
    </row>
    <row r="3969" spans="1:8" x14ac:dyDescent="0.25">
      <c r="A3969" s="13"/>
      <c r="B3969" s="21"/>
      <c r="C3969" s="13"/>
      <c r="D3969" s="766"/>
      <c r="E3969" s="22"/>
      <c r="F3969" s="19"/>
      <c r="G3969" s="14"/>
      <c r="H3969" s="13"/>
    </row>
    <row r="3970" spans="1:8" x14ac:dyDescent="0.25">
      <c r="A3970" s="13"/>
      <c r="B3970" s="21"/>
      <c r="C3970" s="13"/>
      <c r="D3970" s="766"/>
      <c r="E3970" s="22"/>
      <c r="F3970" s="19"/>
      <c r="G3970" s="14"/>
      <c r="H3970" s="13"/>
    </row>
    <row r="3971" spans="1:8" x14ac:dyDescent="0.25">
      <c r="A3971" s="13"/>
      <c r="B3971" s="21"/>
      <c r="C3971" s="13"/>
      <c r="D3971" s="766"/>
      <c r="E3971" s="22"/>
      <c r="F3971" s="19"/>
      <c r="G3971" s="14"/>
      <c r="H3971" s="13"/>
    </row>
    <row r="3972" spans="1:8" x14ac:dyDescent="0.25">
      <c r="A3972" s="13"/>
      <c r="B3972" s="21"/>
      <c r="C3972" s="13"/>
      <c r="D3972" s="766"/>
      <c r="E3972" s="22"/>
      <c r="F3972" s="19"/>
      <c r="G3972" s="14"/>
      <c r="H3972" s="13"/>
    </row>
    <row r="3973" spans="1:8" x14ac:dyDescent="0.25">
      <c r="A3973" s="13"/>
      <c r="B3973" s="21"/>
      <c r="C3973" s="13"/>
      <c r="D3973" s="766"/>
      <c r="E3973" s="22"/>
      <c r="F3973" s="19"/>
      <c r="G3973" s="14"/>
      <c r="H3973" s="13"/>
    </row>
    <row r="3974" spans="1:8" x14ac:dyDescent="0.25">
      <c r="A3974" s="13"/>
      <c r="B3974" s="21"/>
      <c r="C3974" s="13"/>
      <c r="D3974" s="766"/>
      <c r="E3974" s="22"/>
      <c r="F3974" s="19"/>
      <c r="G3974" s="14"/>
      <c r="H3974" s="13"/>
    </row>
    <row r="3975" spans="1:8" x14ac:dyDescent="0.25">
      <c r="A3975" s="13"/>
      <c r="B3975" s="21"/>
      <c r="C3975" s="13"/>
      <c r="D3975" s="766"/>
      <c r="E3975" s="22"/>
      <c r="F3975" s="19"/>
      <c r="G3975" s="14"/>
      <c r="H3975" s="13"/>
    </row>
    <row r="3976" spans="1:8" x14ac:dyDescent="0.25">
      <c r="A3976" s="13"/>
      <c r="B3976" s="21"/>
      <c r="C3976" s="13"/>
      <c r="D3976" s="766"/>
      <c r="E3976" s="22"/>
      <c r="F3976" s="19"/>
      <c r="G3976" s="14"/>
      <c r="H3976" s="13"/>
    </row>
    <row r="3977" spans="1:8" x14ac:dyDescent="0.25">
      <c r="A3977" s="13"/>
      <c r="B3977" s="21"/>
      <c r="C3977" s="13"/>
      <c r="D3977" s="766"/>
      <c r="E3977" s="22"/>
      <c r="F3977" s="19"/>
      <c r="G3977" s="14"/>
      <c r="H3977" s="13"/>
    </row>
    <row r="3978" spans="1:8" x14ac:dyDescent="0.25">
      <c r="A3978" s="13"/>
      <c r="B3978" s="21"/>
      <c r="C3978" s="13"/>
      <c r="D3978" s="766"/>
      <c r="E3978" s="22"/>
      <c r="F3978" s="19"/>
      <c r="G3978" s="14"/>
      <c r="H3978" s="13"/>
    </row>
    <row r="3979" spans="1:8" x14ac:dyDescent="0.25">
      <c r="A3979" s="13"/>
      <c r="B3979" s="21"/>
      <c r="C3979" s="13"/>
      <c r="D3979" s="766"/>
      <c r="E3979" s="22"/>
      <c r="F3979" s="19"/>
      <c r="G3979" s="14"/>
      <c r="H3979" s="13"/>
    </row>
    <row r="3980" spans="1:8" x14ac:dyDescent="0.25">
      <c r="A3980" s="13"/>
      <c r="B3980" s="21"/>
      <c r="C3980" s="13"/>
      <c r="D3980" s="766"/>
      <c r="E3980" s="22"/>
      <c r="F3980" s="19"/>
      <c r="G3980" s="14"/>
      <c r="H3980" s="13"/>
    </row>
    <row r="3981" spans="1:8" x14ac:dyDescent="0.25">
      <c r="A3981" s="13"/>
      <c r="B3981" s="21"/>
      <c r="C3981" s="13"/>
      <c r="D3981" s="766"/>
      <c r="E3981" s="22"/>
      <c r="F3981" s="19"/>
      <c r="G3981" s="14"/>
      <c r="H3981" s="13"/>
    </row>
    <row r="3982" spans="1:8" x14ac:dyDescent="0.25">
      <c r="A3982" s="13"/>
      <c r="B3982" s="21"/>
      <c r="C3982" s="13"/>
      <c r="D3982" s="766"/>
      <c r="E3982" s="22"/>
      <c r="F3982" s="19"/>
      <c r="G3982" s="14"/>
      <c r="H3982" s="13"/>
    </row>
    <row r="3983" spans="1:8" x14ac:dyDescent="0.25">
      <c r="A3983" s="13"/>
      <c r="B3983" s="21"/>
      <c r="C3983" s="13"/>
      <c r="D3983" s="766"/>
      <c r="E3983" s="22"/>
      <c r="F3983" s="19"/>
      <c r="G3983" s="14"/>
      <c r="H3983" s="13"/>
    </row>
    <row r="3984" spans="1:8" x14ac:dyDescent="0.25">
      <c r="A3984" s="13"/>
      <c r="B3984" s="21"/>
      <c r="C3984" s="13"/>
      <c r="D3984" s="766"/>
      <c r="E3984" s="22"/>
      <c r="F3984" s="19"/>
      <c r="G3984" s="14"/>
      <c r="H3984" s="13"/>
    </row>
    <row r="3985" spans="1:8" x14ac:dyDescent="0.25">
      <c r="A3985" s="13"/>
      <c r="B3985" s="21"/>
      <c r="C3985" s="13"/>
      <c r="D3985" s="766"/>
      <c r="E3985" s="22"/>
      <c r="F3985" s="19"/>
      <c r="G3985" s="14"/>
      <c r="H3985" s="13"/>
    </row>
    <row r="3986" spans="1:8" x14ac:dyDescent="0.25">
      <c r="A3986" s="13"/>
      <c r="B3986" s="21"/>
      <c r="C3986" s="13"/>
      <c r="D3986" s="766"/>
      <c r="E3986" s="22"/>
      <c r="F3986" s="19"/>
      <c r="G3986" s="14"/>
      <c r="H3986" s="13"/>
    </row>
    <row r="3987" spans="1:8" x14ac:dyDescent="0.25">
      <c r="A3987" s="13"/>
      <c r="B3987" s="21"/>
      <c r="C3987" s="13"/>
      <c r="D3987" s="766"/>
      <c r="E3987" s="22"/>
      <c r="F3987" s="19"/>
      <c r="G3987" s="14"/>
      <c r="H3987" s="13"/>
    </row>
    <row r="3988" spans="1:8" x14ac:dyDescent="0.25">
      <c r="A3988" s="13"/>
      <c r="B3988" s="21"/>
      <c r="C3988" s="13"/>
      <c r="D3988" s="766"/>
      <c r="E3988" s="22"/>
      <c r="F3988" s="19"/>
      <c r="G3988" s="14"/>
      <c r="H3988" s="13"/>
    </row>
    <row r="3989" spans="1:8" x14ac:dyDescent="0.25">
      <c r="A3989" s="13"/>
      <c r="B3989" s="21"/>
      <c r="C3989" s="13"/>
      <c r="D3989" s="766"/>
      <c r="E3989" s="22"/>
      <c r="F3989" s="19"/>
      <c r="G3989" s="14"/>
      <c r="H3989" s="13"/>
    </row>
    <row r="3990" spans="1:8" x14ac:dyDescent="0.25">
      <c r="A3990" s="13"/>
      <c r="B3990" s="21"/>
      <c r="C3990" s="13"/>
      <c r="D3990" s="766"/>
      <c r="E3990" s="22"/>
      <c r="F3990" s="19"/>
      <c r="G3990" s="14"/>
      <c r="H3990" s="13"/>
    </row>
    <row r="3991" spans="1:8" x14ac:dyDescent="0.25">
      <c r="A3991" s="13"/>
      <c r="B3991" s="21"/>
      <c r="C3991" s="13"/>
      <c r="D3991" s="766"/>
      <c r="E3991" s="22"/>
      <c r="F3991" s="19"/>
      <c r="G3991" s="14"/>
      <c r="H3991" s="13"/>
    </row>
    <row r="3992" spans="1:8" x14ac:dyDescent="0.25">
      <c r="A3992" s="13"/>
      <c r="B3992" s="21"/>
      <c r="C3992" s="13"/>
      <c r="D3992" s="766"/>
      <c r="E3992" s="22"/>
      <c r="F3992" s="19"/>
      <c r="G3992" s="14"/>
      <c r="H3992" s="13"/>
    </row>
    <row r="3993" spans="1:8" x14ac:dyDescent="0.25">
      <c r="A3993" s="13"/>
      <c r="B3993" s="21"/>
      <c r="C3993" s="13"/>
      <c r="D3993" s="766"/>
      <c r="E3993" s="22"/>
      <c r="F3993" s="19"/>
      <c r="G3993" s="14"/>
      <c r="H3993" s="13"/>
    </row>
    <row r="3994" spans="1:8" x14ac:dyDescent="0.25">
      <c r="A3994" s="13"/>
      <c r="B3994" s="21"/>
      <c r="C3994" s="13"/>
      <c r="D3994" s="766"/>
      <c r="E3994" s="22"/>
      <c r="F3994" s="19"/>
      <c r="G3994" s="14"/>
      <c r="H3994" s="13"/>
    </row>
    <row r="3995" spans="1:8" x14ac:dyDescent="0.25">
      <c r="A3995" s="13"/>
      <c r="B3995" s="21"/>
      <c r="C3995" s="13"/>
      <c r="D3995" s="766"/>
      <c r="E3995" s="22"/>
      <c r="F3995" s="19"/>
      <c r="G3995" s="14"/>
      <c r="H3995" s="13"/>
    </row>
    <row r="3996" spans="1:8" x14ac:dyDescent="0.25">
      <c r="A3996" s="13"/>
      <c r="B3996" s="21"/>
      <c r="C3996" s="13"/>
      <c r="D3996" s="766"/>
      <c r="E3996" s="22"/>
      <c r="F3996" s="19"/>
      <c r="G3996" s="14"/>
      <c r="H3996" s="13"/>
    </row>
    <row r="3997" spans="1:8" x14ac:dyDescent="0.25">
      <c r="A3997" s="13"/>
      <c r="B3997" s="21"/>
      <c r="C3997" s="13"/>
      <c r="D3997" s="766"/>
      <c r="E3997" s="22"/>
      <c r="F3997" s="19"/>
      <c r="G3997" s="14"/>
      <c r="H3997" s="13"/>
    </row>
    <row r="3998" spans="1:8" x14ac:dyDescent="0.25">
      <c r="A3998" s="13"/>
      <c r="B3998" s="21"/>
      <c r="C3998" s="13"/>
      <c r="D3998" s="766"/>
      <c r="E3998" s="22"/>
      <c r="F3998" s="19"/>
      <c r="G3998" s="14"/>
      <c r="H3998" s="13"/>
    </row>
    <row r="3999" spans="1:8" x14ac:dyDescent="0.25">
      <c r="A3999" s="13"/>
      <c r="B3999" s="21"/>
      <c r="C3999" s="13"/>
      <c r="D3999" s="766"/>
      <c r="E3999" s="22"/>
      <c r="F3999" s="19"/>
      <c r="G3999" s="14"/>
      <c r="H3999" s="13"/>
    </row>
    <row r="4000" spans="1:8" x14ac:dyDescent="0.25">
      <c r="A4000" s="13"/>
      <c r="B4000" s="21"/>
      <c r="C4000" s="13"/>
      <c r="D4000" s="766"/>
      <c r="E4000" s="22"/>
      <c r="F4000" s="19"/>
      <c r="G4000" s="14"/>
      <c r="H4000" s="13"/>
    </row>
    <row r="4001" spans="1:8" x14ac:dyDescent="0.25">
      <c r="A4001" s="13"/>
      <c r="B4001" s="21"/>
      <c r="C4001" s="13"/>
      <c r="D4001" s="766"/>
      <c r="E4001" s="22"/>
      <c r="F4001" s="19"/>
      <c r="G4001" s="14"/>
      <c r="H4001" s="13"/>
    </row>
    <row r="4002" spans="1:8" x14ac:dyDescent="0.25">
      <c r="A4002" s="13"/>
      <c r="B4002" s="21"/>
      <c r="C4002" s="13"/>
      <c r="D4002" s="766"/>
      <c r="E4002" s="22"/>
      <c r="F4002" s="19"/>
      <c r="G4002" s="14"/>
      <c r="H4002" s="13"/>
    </row>
    <row r="4003" spans="1:8" x14ac:dyDescent="0.25">
      <c r="A4003" s="13"/>
      <c r="B4003" s="21"/>
      <c r="C4003" s="13"/>
      <c r="D4003" s="766"/>
      <c r="E4003" s="22"/>
      <c r="F4003" s="19"/>
      <c r="G4003" s="14"/>
      <c r="H4003" s="13"/>
    </row>
    <row r="4004" spans="1:8" x14ac:dyDescent="0.25">
      <c r="A4004" s="13"/>
      <c r="B4004" s="21"/>
      <c r="C4004" s="13"/>
      <c r="D4004" s="766"/>
      <c r="E4004" s="22"/>
      <c r="F4004" s="19"/>
      <c r="G4004" s="14"/>
      <c r="H4004" s="13"/>
    </row>
    <row r="4005" spans="1:8" x14ac:dyDescent="0.25">
      <c r="A4005" s="13"/>
      <c r="B4005" s="21"/>
      <c r="C4005" s="13"/>
      <c r="D4005" s="766"/>
      <c r="E4005" s="22"/>
      <c r="F4005" s="19"/>
      <c r="G4005" s="14"/>
      <c r="H4005" s="13"/>
    </row>
    <row r="4006" spans="1:8" x14ac:dyDescent="0.25">
      <c r="A4006" s="13"/>
      <c r="B4006" s="21"/>
      <c r="C4006" s="13"/>
      <c r="D4006" s="766"/>
      <c r="E4006" s="22"/>
      <c r="F4006" s="19"/>
      <c r="G4006" s="14"/>
      <c r="H4006" s="13"/>
    </row>
    <row r="4007" spans="1:8" x14ac:dyDescent="0.25">
      <c r="A4007" s="13"/>
      <c r="B4007" s="21"/>
      <c r="C4007" s="13"/>
      <c r="D4007" s="766"/>
      <c r="E4007" s="22"/>
      <c r="F4007" s="19"/>
      <c r="G4007" s="14"/>
      <c r="H4007" s="13"/>
    </row>
    <row r="4008" spans="1:8" x14ac:dyDescent="0.25">
      <c r="A4008" s="13"/>
      <c r="B4008" s="21"/>
      <c r="C4008" s="13"/>
      <c r="D4008" s="766"/>
      <c r="E4008" s="22"/>
      <c r="F4008" s="19"/>
      <c r="G4008" s="14"/>
      <c r="H4008" s="13"/>
    </row>
    <row r="4009" spans="1:8" x14ac:dyDescent="0.25">
      <c r="A4009" s="13"/>
      <c r="B4009" s="21"/>
      <c r="C4009" s="13"/>
      <c r="D4009" s="766"/>
      <c r="E4009" s="22"/>
      <c r="F4009" s="19"/>
      <c r="G4009" s="14"/>
      <c r="H4009" s="13"/>
    </row>
    <row r="4010" spans="1:8" x14ac:dyDescent="0.25">
      <c r="A4010" s="13"/>
      <c r="B4010" s="21"/>
      <c r="C4010" s="13"/>
      <c r="D4010" s="766"/>
      <c r="E4010" s="22"/>
      <c r="F4010" s="19"/>
      <c r="G4010" s="14"/>
      <c r="H4010" s="13"/>
    </row>
    <row r="4011" spans="1:8" x14ac:dyDescent="0.25">
      <c r="A4011" s="13"/>
      <c r="B4011" s="21"/>
      <c r="C4011" s="13"/>
      <c r="D4011" s="766"/>
      <c r="E4011" s="22"/>
      <c r="F4011" s="19"/>
      <c r="G4011" s="14"/>
      <c r="H4011" s="13"/>
    </row>
    <row r="4012" spans="1:8" x14ac:dyDescent="0.25">
      <c r="A4012" s="13"/>
      <c r="B4012" s="21"/>
      <c r="C4012" s="13"/>
      <c r="D4012" s="766"/>
      <c r="E4012" s="22"/>
      <c r="F4012" s="19"/>
      <c r="G4012" s="14"/>
      <c r="H4012" s="13"/>
    </row>
    <row r="4013" spans="1:8" x14ac:dyDescent="0.25">
      <c r="A4013" s="13"/>
      <c r="B4013" s="21"/>
      <c r="C4013" s="13"/>
      <c r="D4013" s="766"/>
      <c r="E4013" s="22"/>
      <c r="F4013" s="19"/>
      <c r="G4013" s="14"/>
      <c r="H4013" s="13"/>
    </row>
    <row r="4014" spans="1:8" x14ac:dyDescent="0.25">
      <c r="A4014" s="13"/>
      <c r="B4014" s="21"/>
      <c r="C4014" s="13"/>
      <c r="D4014" s="766"/>
      <c r="E4014" s="22"/>
      <c r="F4014" s="19"/>
      <c r="G4014" s="14"/>
      <c r="H4014" s="13"/>
    </row>
    <row r="4015" spans="1:8" x14ac:dyDescent="0.25">
      <c r="A4015" s="13"/>
      <c r="B4015" s="21"/>
      <c r="C4015" s="13"/>
      <c r="D4015" s="766"/>
      <c r="E4015" s="22"/>
      <c r="F4015" s="19"/>
      <c r="G4015" s="14"/>
      <c r="H4015" s="13"/>
    </row>
    <row r="4016" spans="1:8" x14ac:dyDescent="0.25">
      <c r="A4016" s="13"/>
      <c r="B4016" s="21"/>
      <c r="C4016" s="13"/>
      <c r="D4016" s="766"/>
      <c r="E4016" s="22"/>
      <c r="F4016" s="19"/>
      <c r="G4016" s="14"/>
      <c r="H4016" s="13"/>
    </row>
    <row r="4017" spans="1:8" x14ac:dyDescent="0.25">
      <c r="A4017" s="13"/>
      <c r="B4017" s="21"/>
      <c r="C4017" s="13"/>
      <c r="D4017" s="766"/>
      <c r="E4017" s="22"/>
      <c r="F4017" s="19"/>
      <c r="G4017" s="14"/>
      <c r="H4017" s="13"/>
    </row>
    <row r="4018" spans="1:8" x14ac:dyDescent="0.25">
      <c r="A4018" s="13"/>
      <c r="B4018" s="21"/>
      <c r="C4018" s="13"/>
      <c r="D4018" s="766"/>
      <c r="E4018" s="22"/>
      <c r="F4018" s="19"/>
      <c r="G4018" s="14"/>
      <c r="H4018" s="13"/>
    </row>
    <row r="4019" spans="1:8" x14ac:dyDescent="0.25">
      <c r="A4019" s="13"/>
      <c r="B4019" s="21"/>
      <c r="C4019" s="13"/>
      <c r="D4019" s="766"/>
      <c r="E4019" s="22"/>
      <c r="F4019" s="19"/>
      <c r="G4019" s="14"/>
      <c r="H4019" s="13"/>
    </row>
    <row r="4020" spans="1:8" x14ac:dyDescent="0.25">
      <c r="A4020" s="13"/>
      <c r="B4020" s="21"/>
      <c r="C4020" s="13"/>
      <c r="D4020" s="766"/>
      <c r="E4020" s="22"/>
      <c r="F4020" s="19"/>
      <c r="G4020" s="14"/>
      <c r="H4020" s="13"/>
    </row>
    <row r="4021" spans="1:8" x14ac:dyDescent="0.25">
      <c r="A4021" s="13"/>
      <c r="B4021" s="21"/>
      <c r="C4021" s="13"/>
      <c r="D4021" s="766"/>
      <c r="E4021" s="22"/>
      <c r="F4021" s="19"/>
      <c r="G4021" s="14"/>
      <c r="H4021" s="13"/>
    </row>
    <row r="4022" spans="1:8" x14ac:dyDescent="0.25">
      <c r="A4022" s="13"/>
      <c r="B4022" s="21"/>
      <c r="C4022" s="13"/>
      <c r="D4022" s="766"/>
      <c r="E4022" s="22"/>
      <c r="F4022" s="19"/>
      <c r="G4022" s="14"/>
      <c r="H4022" s="13"/>
    </row>
    <row r="4023" spans="1:8" x14ac:dyDescent="0.25">
      <c r="A4023" s="13"/>
      <c r="B4023" s="21"/>
      <c r="C4023" s="13"/>
      <c r="D4023" s="766"/>
      <c r="E4023" s="22"/>
      <c r="F4023" s="19"/>
      <c r="G4023" s="14"/>
      <c r="H4023" s="13"/>
    </row>
    <row r="4024" spans="1:8" x14ac:dyDescent="0.25">
      <c r="A4024" s="13"/>
      <c r="B4024" s="21"/>
      <c r="C4024" s="13"/>
      <c r="D4024" s="766"/>
      <c r="E4024" s="22"/>
      <c r="F4024" s="19"/>
      <c r="G4024" s="14"/>
      <c r="H4024" s="13"/>
    </row>
    <row r="4025" spans="1:8" x14ac:dyDescent="0.25">
      <c r="A4025" s="13"/>
      <c r="B4025" s="21"/>
      <c r="C4025" s="13"/>
      <c r="D4025" s="766"/>
      <c r="E4025" s="22"/>
      <c r="F4025" s="19"/>
      <c r="G4025" s="14"/>
      <c r="H4025" s="13"/>
    </row>
    <row r="4026" spans="1:8" x14ac:dyDescent="0.25">
      <c r="A4026" s="13"/>
      <c r="B4026" s="21"/>
      <c r="C4026" s="13"/>
      <c r="D4026" s="766"/>
      <c r="E4026" s="22"/>
      <c r="F4026" s="19"/>
      <c r="G4026" s="14"/>
      <c r="H4026" s="13"/>
    </row>
    <row r="4027" spans="1:8" x14ac:dyDescent="0.25">
      <c r="A4027" s="13"/>
      <c r="B4027" s="21"/>
      <c r="C4027" s="13"/>
      <c r="D4027" s="766"/>
      <c r="E4027" s="22"/>
      <c r="F4027" s="19"/>
      <c r="G4027" s="14"/>
      <c r="H4027" s="13"/>
    </row>
    <row r="4028" spans="1:8" x14ac:dyDescent="0.25">
      <c r="A4028" s="13"/>
      <c r="B4028" s="21"/>
      <c r="C4028" s="13"/>
      <c r="D4028" s="766"/>
      <c r="E4028" s="22"/>
      <c r="F4028" s="19"/>
      <c r="G4028" s="14"/>
      <c r="H4028" s="13"/>
    </row>
    <row r="4029" spans="1:8" x14ac:dyDescent="0.25">
      <c r="A4029" s="13"/>
      <c r="B4029" s="21"/>
      <c r="C4029" s="13"/>
      <c r="D4029" s="766"/>
      <c r="E4029" s="22"/>
      <c r="F4029" s="19"/>
      <c r="G4029" s="14"/>
      <c r="H4029" s="13"/>
    </row>
    <row r="4030" spans="1:8" x14ac:dyDescent="0.25">
      <c r="A4030" s="13"/>
      <c r="B4030" s="21"/>
      <c r="C4030" s="13"/>
      <c r="D4030" s="766"/>
      <c r="E4030" s="22"/>
      <c r="F4030" s="19"/>
      <c r="G4030" s="14"/>
      <c r="H4030" s="13"/>
    </row>
    <row r="4031" spans="1:8" x14ac:dyDescent="0.25">
      <c r="A4031" s="13"/>
      <c r="B4031" s="21"/>
      <c r="C4031" s="13"/>
      <c r="D4031" s="766"/>
      <c r="E4031" s="22"/>
      <c r="F4031" s="19"/>
      <c r="G4031" s="14"/>
      <c r="H4031" s="13"/>
    </row>
    <row r="4032" spans="1:8" x14ac:dyDescent="0.25">
      <c r="A4032" s="13"/>
      <c r="B4032" s="21"/>
      <c r="C4032" s="13"/>
      <c r="D4032" s="766"/>
      <c r="E4032" s="22"/>
      <c r="F4032" s="19"/>
      <c r="G4032" s="14"/>
      <c r="H4032" s="13"/>
    </row>
    <row r="4033" spans="1:8" x14ac:dyDescent="0.25">
      <c r="A4033" s="13"/>
      <c r="B4033" s="21"/>
      <c r="C4033" s="13"/>
      <c r="D4033" s="766"/>
      <c r="E4033" s="22"/>
      <c r="F4033" s="19"/>
      <c r="G4033" s="14"/>
      <c r="H4033" s="13"/>
    </row>
    <row r="4034" spans="1:8" x14ac:dyDescent="0.25">
      <c r="A4034" s="13"/>
      <c r="B4034" s="21"/>
      <c r="C4034" s="13"/>
      <c r="D4034" s="766"/>
      <c r="E4034" s="22"/>
      <c r="F4034" s="19"/>
      <c r="G4034" s="14"/>
      <c r="H4034" s="13"/>
    </row>
    <row r="4035" spans="1:8" x14ac:dyDescent="0.25">
      <c r="A4035" s="13"/>
      <c r="B4035" s="21"/>
      <c r="C4035" s="13"/>
      <c r="D4035" s="766"/>
      <c r="E4035" s="22"/>
      <c r="F4035" s="19"/>
      <c r="G4035" s="14"/>
      <c r="H4035" s="13"/>
    </row>
    <row r="4036" spans="1:8" x14ac:dyDescent="0.25">
      <c r="A4036" s="13"/>
      <c r="B4036" s="21"/>
      <c r="C4036" s="13"/>
      <c r="D4036" s="766"/>
      <c r="E4036" s="22"/>
      <c r="F4036" s="19"/>
      <c r="G4036" s="14"/>
      <c r="H4036" s="13"/>
    </row>
    <row r="4037" spans="1:8" x14ac:dyDescent="0.25">
      <c r="A4037" s="13"/>
      <c r="B4037" s="21"/>
      <c r="C4037" s="13"/>
      <c r="D4037" s="766"/>
      <c r="E4037" s="22"/>
      <c r="F4037" s="19"/>
      <c r="G4037" s="14"/>
      <c r="H4037" s="13"/>
    </row>
    <row r="4038" spans="1:8" x14ac:dyDescent="0.25">
      <c r="A4038" s="13"/>
      <c r="B4038" s="21"/>
      <c r="C4038" s="13"/>
      <c r="D4038" s="766"/>
      <c r="E4038" s="22"/>
      <c r="F4038" s="19"/>
      <c r="G4038" s="14"/>
      <c r="H4038" s="13"/>
    </row>
    <row r="4039" spans="1:8" x14ac:dyDescent="0.25">
      <c r="A4039" s="13"/>
      <c r="B4039" s="21"/>
      <c r="C4039" s="13"/>
      <c r="D4039" s="766"/>
      <c r="E4039" s="22"/>
      <c r="F4039" s="19"/>
      <c r="G4039" s="14"/>
      <c r="H4039" s="13"/>
    </row>
    <row r="4040" spans="1:8" x14ac:dyDescent="0.25">
      <c r="A4040" s="13"/>
      <c r="B4040" s="21"/>
      <c r="C4040" s="13"/>
      <c r="D4040" s="766"/>
      <c r="E4040" s="22"/>
      <c r="F4040" s="19"/>
      <c r="G4040" s="14"/>
      <c r="H4040" s="13"/>
    </row>
    <row r="4041" spans="1:8" x14ac:dyDescent="0.25">
      <c r="A4041" s="13"/>
      <c r="B4041" s="21"/>
      <c r="C4041" s="13"/>
      <c r="D4041" s="766"/>
      <c r="E4041" s="22"/>
      <c r="F4041" s="19"/>
      <c r="G4041" s="14"/>
      <c r="H4041" s="13"/>
    </row>
    <row r="4042" spans="1:8" x14ac:dyDescent="0.25">
      <c r="A4042" s="13"/>
      <c r="B4042" s="21"/>
      <c r="C4042" s="13"/>
      <c r="D4042" s="766"/>
      <c r="E4042" s="22"/>
      <c r="F4042" s="19"/>
      <c r="G4042" s="14"/>
      <c r="H4042" s="13"/>
    </row>
    <row r="4043" spans="1:8" x14ac:dyDescent="0.25">
      <c r="A4043" s="13"/>
      <c r="B4043" s="21"/>
      <c r="C4043" s="13"/>
      <c r="D4043" s="766"/>
      <c r="E4043" s="22"/>
      <c r="F4043" s="19"/>
      <c r="G4043" s="14"/>
      <c r="H4043" s="13"/>
    </row>
    <row r="4044" spans="1:8" x14ac:dyDescent="0.25">
      <c r="A4044" s="13"/>
      <c r="B4044" s="21"/>
      <c r="C4044" s="13"/>
      <c r="D4044" s="766"/>
      <c r="E4044" s="22"/>
      <c r="F4044" s="19"/>
      <c r="G4044" s="14"/>
      <c r="H4044" s="13"/>
    </row>
    <row r="4045" spans="1:8" x14ac:dyDescent="0.25">
      <c r="A4045" s="13"/>
      <c r="B4045" s="21"/>
      <c r="C4045" s="13"/>
      <c r="D4045" s="766"/>
      <c r="E4045" s="22"/>
      <c r="F4045" s="19"/>
      <c r="G4045" s="14"/>
      <c r="H4045" s="13"/>
    </row>
    <row r="4046" spans="1:8" x14ac:dyDescent="0.25">
      <c r="A4046" s="13"/>
      <c r="B4046" s="21"/>
      <c r="C4046" s="13"/>
      <c r="D4046" s="766"/>
      <c r="E4046" s="22"/>
      <c r="F4046" s="19"/>
      <c r="G4046" s="14"/>
      <c r="H4046" s="13"/>
    </row>
    <row r="4047" spans="1:8" x14ac:dyDescent="0.25">
      <c r="A4047" s="13"/>
      <c r="B4047" s="21"/>
      <c r="C4047" s="13"/>
      <c r="D4047" s="766"/>
      <c r="E4047" s="22"/>
      <c r="F4047" s="19"/>
      <c r="G4047" s="14"/>
      <c r="H4047" s="13"/>
    </row>
    <row r="4048" spans="1:8" x14ac:dyDescent="0.25">
      <c r="A4048" s="13"/>
      <c r="B4048" s="21"/>
      <c r="C4048" s="13"/>
      <c r="D4048" s="766"/>
      <c r="E4048" s="22"/>
      <c r="F4048" s="19"/>
      <c r="G4048" s="14"/>
      <c r="H4048" s="13"/>
    </row>
    <row r="4049" spans="1:8" x14ac:dyDescent="0.25">
      <c r="A4049" s="13"/>
      <c r="B4049" s="21"/>
      <c r="C4049" s="13"/>
      <c r="D4049" s="766"/>
      <c r="E4049" s="22"/>
      <c r="F4049" s="19"/>
      <c r="G4049" s="14"/>
      <c r="H4049" s="13"/>
    </row>
    <row r="4050" spans="1:8" x14ac:dyDescent="0.25">
      <c r="A4050" s="13"/>
      <c r="B4050" s="21"/>
      <c r="C4050" s="13"/>
      <c r="D4050" s="766"/>
      <c r="E4050" s="22"/>
      <c r="F4050" s="19"/>
      <c r="G4050" s="14"/>
      <c r="H4050" s="13"/>
    </row>
    <row r="4051" spans="1:8" x14ac:dyDescent="0.25">
      <c r="A4051" s="13"/>
      <c r="B4051" s="21"/>
      <c r="C4051" s="13"/>
      <c r="D4051" s="766"/>
      <c r="E4051" s="22"/>
      <c r="F4051" s="19"/>
      <c r="G4051" s="14"/>
      <c r="H4051" s="13"/>
    </row>
    <row r="4052" spans="1:8" x14ac:dyDescent="0.25">
      <c r="A4052" s="13"/>
      <c r="B4052" s="21"/>
      <c r="C4052" s="13"/>
      <c r="D4052" s="766"/>
      <c r="E4052" s="22"/>
      <c r="F4052" s="19"/>
      <c r="G4052" s="14"/>
      <c r="H4052" s="13"/>
    </row>
    <row r="4053" spans="1:8" x14ac:dyDescent="0.25">
      <c r="A4053" s="13"/>
      <c r="B4053" s="21"/>
      <c r="C4053" s="13"/>
      <c r="D4053" s="766"/>
      <c r="E4053" s="22"/>
      <c r="F4053" s="19"/>
      <c r="G4053" s="14"/>
      <c r="H4053" s="13"/>
    </row>
    <row r="4054" spans="1:8" x14ac:dyDescent="0.25">
      <c r="A4054" s="13"/>
      <c r="B4054" s="21"/>
      <c r="C4054" s="13"/>
      <c r="D4054" s="766"/>
      <c r="E4054" s="22"/>
      <c r="F4054" s="19"/>
      <c r="G4054" s="14"/>
      <c r="H4054" s="13"/>
    </row>
    <row r="4055" spans="1:8" x14ac:dyDescent="0.25">
      <c r="A4055" s="13"/>
      <c r="B4055" s="21"/>
      <c r="C4055" s="13"/>
      <c r="D4055" s="766"/>
      <c r="E4055" s="22"/>
      <c r="F4055" s="19"/>
      <c r="G4055" s="14"/>
      <c r="H4055" s="13"/>
    </row>
    <row r="4056" spans="1:8" x14ac:dyDescent="0.25">
      <c r="A4056" s="13"/>
      <c r="B4056" s="21"/>
      <c r="C4056" s="13"/>
      <c r="D4056" s="766"/>
      <c r="E4056" s="22"/>
      <c r="F4056" s="19"/>
      <c r="G4056" s="14"/>
      <c r="H4056" s="13"/>
    </row>
    <row r="4057" spans="1:8" x14ac:dyDescent="0.25">
      <c r="A4057" s="13"/>
      <c r="B4057" s="21"/>
      <c r="C4057" s="13"/>
      <c r="D4057" s="766"/>
      <c r="E4057" s="22"/>
      <c r="F4057" s="19"/>
      <c r="G4057" s="14"/>
      <c r="H4057" s="13"/>
    </row>
    <row r="4058" spans="1:8" x14ac:dyDescent="0.25">
      <c r="A4058" s="13"/>
      <c r="B4058" s="21"/>
      <c r="C4058" s="13"/>
      <c r="D4058" s="766"/>
      <c r="E4058" s="22"/>
      <c r="F4058" s="19"/>
      <c r="G4058" s="14"/>
      <c r="H4058" s="13"/>
    </row>
    <row r="4059" spans="1:8" x14ac:dyDescent="0.25">
      <c r="A4059" s="13"/>
      <c r="B4059" s="21"/>
      <c r="C4059" s="13"/>
      <c r="D4059" s="766"/>
      <c r="E4059" s="22"/>
      <c r="F4059" s="19"/>
      <c r="G4059" s="14"/>
      <c r="H4059" s="13"/>
    </row>
    <row r="4060" spans="1:8" x14ac:dyDescent="0.25">
      <c r="A4060" s="13"/>
      <c r="B4060" s="21"/>
      <c r="C4060" s="13"/>
      <c r="D4060" s="766"/>
      <c r="E4060" s="22"/>
      <c r="F4060" s="19"/>
      <c r="G4060" s="14"/>
      <c r="H4060" s="13"/>
    </row>
    <row r="4061" spans="1:8" x14ac:dyDescent="0.25">
      <c r="A4061" s="13"/>
      <c r="B4061" s="21"/>
      <c r="C4061" s="13"/>
      <c r="D4061" s="766"/>
      <c r="E4061" s="22"/>
      <c r="F4061" s="19"/>
      <c r="G4061" s="14"/>
      <c r="H4061" s="13"/>
    </row>
    <row r="4062" spans="1:8" x14ac:dyDescent="0.25">
      <c r="A4062" s="13"/>
      <c r="B4062" s="21"/>
      <c r="C4062" s="13"/>
      <c r="D4062" s="766"/>
      <c r="E4062" s="22"/>
      <c r="F4062" s="19"/>
      <c r="G4062" s="14"/>
      <c r="H4062" s="13"/>
    </row>
    <row r="4063" spans="1:8" x14ac:dyDescent="0.25">
      <c r="A4063" s="13"/>
      <c r="B4063" s="21"/>
      <c r="C4063" s="13"/>
      <c r="D4063" s="766"/>
      <c r="E4063" s="22"/>
      <c r="F4063" s="19"/>
      <c r="G4063" s="14"/>
      <c r="H4063" s="13"/>
    </row>
    <row r="4064" spans="1:8" x14ac:dyDescent="0.25">
      <c r="A4064" s="13"/>
      <c r="B4064" s="21"/>
      <c r="C4064" s="13"/>
      <c r="D4064" s="766"/>
      <c r="E4064" s="22"/>
      <c r="F4064" s="19"/>
      <c r="G4064" s="14"/>
      <c r="H4064" s="13"/>
    </row>
    <row r="4065" spans="1:8" x14ac:dyDescent="0.25">
      <c r="A4065" s="13"/>
      <c r="B4065" s="21"/>
      <c r="C4065" s="13"/>
      <c r="D4065" s="766"/>
      <c r="E4065" s="22"/>
      <c r="F4065" s="19"/>
      <c r="G4065" s="14"/>
      <c r="H4065" s="13"/>
    </row>
    <row r="4066" spans="1:8" x14ac:dyDescent="0.25">
      <c r="A4066" s="13"/>
      <c r="B4066" s="21"/>
      <c r="C4066" s="13"/>
      <c r="D4066" s="766"/>
      <c r="E4066" s="22"/>
      <c r="F4066" s="19"/>
      <c r="G4066" s="14"/>
      <c r="H4066" s="13"/>
    </row>
    <row r="4067" spans="1:8" x14ac:dyDescent="0.25">
      <c r="A4067" s="13"/>
      <c r="B4067" s="21"/>
      <c r="C4067" s="13"/>
      <c r="D4067" s="766"/>
      <c r="E4067" s="22"/>
      <c r="F4067" s="19"/>
      <c r="G4067" s="14"/>
      <c r="H4067" s="13"/>
    </row>
    <row r="4068" spans="1:8" x14ac:dyDescent="0.25">
      <c r="A4068" s="13"/>
      <c r="B4068" s="21"/>
      <c r="C4068" s="13"/>
      <c r="D4068" s="766"/>
      <c r="E4068" s="22"/>
      <c r="F4068" s="19"/>
      <c r="G4068" s="14"/>
      <c r="H4068" s="13"/>
    </row>
    <row r="4069" spans="1:8" x14ac:dyDescent="0.25">
      <c r="A4069" s="13"/>
      <c r="B4069" s="21"/>
      <c r="C4069" s="13"/>
      <c r="D4069" s="766"/>
      <c r="E4069" s="22"/>
      <c r="F4069" s="19"/>
      <c r="G4069" s="14"/>
      <c r="H4069" s="13"/>
    </row>
    <row r="4070" spans="1:8" x14ac:dyDescent="0.25">
      <c r="A4070" s="13"/>
      <c r="B4070" s="21"/>
      <c r="C4070" s="13"/>
      <c r="D4070" s="766"/>
      <c r="E4070" s="22"/>
      <c r="F4070" s="19"/>
      <c r="G4070" s="14"/>
      <c r="H4070" s="13"/>
    </row>
    <row r="4071" spans="1:8" x14ac:dyDescent="0.25">
      <c r="A4071" s="13"/>
      <c r="B4071" s="21"/>
      <c r="C4071" s="13"/>
      <c r="D4071" s="766"/>
      <c r="E4071" s="22"/>
      <c r="F4071" s="19"/>
      <c r="G4071" s="14"/>
      <c r="H4071" s="13"/>
    </row>
    <row r="4072" spans="1:8" x14ac:dyDescent="0.25">
      <c r="A4072" s="13"/>
      <c r="B4072" s="21"/>
      <c r="C4072" s="13"/>
      <c r="D4072" s="766"/>
      <c r="E4072" s="22"/>
      <c r="F4072" s="19"/>
      <c r="G4072" s="14"/>
      <c r="H4072" s="13"/>
    </row>
    <row r="4073" spans="1:8" x14ac:dyDescent="0.25">
      <c r="A4073" s="13"/>
      <c r="B4073" s="21"/>
      <c r="C4073" s="13"/>
      <c r="D4073" s="766"/>
      <c r="E4073" s="22"/>
      <c r="F4073" s="19"/>
      <c r="G4073" s="14"/>
      <c r="H4073" s="13"/>
    </row>
    <row r="4074" spans="1:8" x14ac:dyDescent="0.25">
      <c r="A4074" s="13"/>
      <c r="B4074" s="21"/>
      <c r="C4074" s="13"/>
      <c r="D4074" s="766"/>
      <c r="E4074" s="22"/>
      <c r="F4074" s="19"/>
      <c r="G4074" s="14"/>
      <c r="H4074" s="13"/>
    </row>
    <row r="4075" spans="1:8" x14ac:dyDescent="0.25">
      <c r="A4075" s="13"/>
      <c r="B4075" s="21"/>
      <c r="C4075" s="13"/>
      <c r="D4075" s="766"/>
      <c r="E4075" s="22"/>
      <c r="F4075" s="19"/>
      <c r="G4075" s="14"/>
      <c r="H4075" s="13"/>
    </row>
    <row r="4076" spans="1:8" x14ac:dyDescent="0.25">
      <c r="A4076" s="13"/>
      <c r="B4076" s="21"/>
      <c r="C4076" s="13"/>
      <c r="D4076" s="766"/>
      <c r="E4076" s="22"/>
      <c r="F4076" s="19"/>
      <c r="G4076" s="14"/>
      <c r="H4076" s="13"/>
    </row>
    <row r="4077" spans="1:8" x14ac:dyDescent="0.25">
      <c r="A4077" s="13"/>
      <c r="B4077" s="21"/>
      <c r="C4077" s="13"/>
      <c r="D4077" s="766"/>
      <c r="E4077" s="22"/>
      <c r="F4077" s="19"/>
      <c r="G4077" s="14"/>
      <c r="H4077" s="13"/>
    </row>
    <row r="4078" spans="1:8" x14ac:dyDescent="0.25">
      <c r="A4078" s="13"/>
      <c r="B4078" s="21"/>
      <c r="C4078" s="13"/>
      <c r="D4078" s="766"/>
      <c r="E4078" s="22"/>
      <c r="F4078" s="19"/>
      <c r="G4078" s="14"/>
      <c r="H4078" s="13"/>
    </row>
    <row r="4079" spans="1:8" x14ac:dyDescent="0.25">
      <c r="A4079" s="13"/>
      <c r="B4079" s="21"/>
      <c r="C4079" s="13"/>
      <c r="D4079" s="766"/>
      <c r="E4079" s="22"/>
      <c r="F4079" s="19"/>
      <c r="G4079" s="14"/>
      <c r="H4079" s="13"/>
    </row>
    <row r="4080" spans="1:8" x14ac:dyDescent="0.25">
      <c r="A4080" s="13"/>
      <c r="B4080" s="21"/>
      <c r="C4080" s="13"/>
      <c r="D4080" s="766"/>
      <c r="E4080" s="22"/>
      <c r="F4080" s="19"/>
      <c r="G4080" s="14"/>
      <c r="H4080" s="13"/>
    </row>
    <row r="4081" spans="1:8" x14ac:dyDescent="0.25">
      <c r="A4081" s="13"/>
      <c r="B4081" s="21"/>
      <c r="C4081" s="13"/>
      <c r="D4081" s="766"/>
      <c r="E4081" s="22"/>
      <c r="F4081" s="19"/>
      <c r="G4081" s="14"/>
      <c r="H4081" s="13"/>
    </row>
    <row r="4082" spans="1:8" x14ac:dyDescent="0.25">
      <c r="A4082" s="13"/>
      <c r="B4082" s="21"/>
      <c r="C4082" s="13"/>
      <c r="D4082" s="766"/>
      <c r="E4082" s="22"/>
      <c r="F4082" s="19"/>
      <c r="G4082" s="14"/>
      <c r="H4082" s="13"/>
    </row>
    <row r="4083" spans="1:8" x14ac:dyDescent="0.25">
      <c r="A4083" s="13"/>
      <c r="B4083" s="21"/>
      <c r="C4083" s="13"/>
      <c r="D4083" s="766"/>
      <c r="E4083" s="22"/>
      <c r="F4083" s="19"/>
      <c r="G4083" s="14"/>
      <c r="H4083" s="13"/>
    </row>
    <row r="4084" spans="1:8" x14ac:dyDescent="0.25">
      <c r="A4084" s="13"/>
      <c r="B4084" s="21"/>
      <c r="C4084" s="13"/>
      <c r="D4084" s="766"/>
      <c r="E4084" s="22"/>
      <c r="F4084" s="19"/>
      <c r="G4084" s="14"/>
      <c r="H4084" s="13"/>
    </row>
    <row r="4085" spans="1:8" x14ac:dyDescent="0.25">
      <c r="A4085" s="13"/>
      <c r="B4085" s="21"/>
      <c r="C4085" s="13"/>
      <c r="D4085" s="766"/>
      <c r="E4085" s="22"/>
      <c r="F4085" s="19"/>
      <c r="G4085" s="14"/>
      <c r="H4085" s="13"/>
    </row>
    <row r="4086" spans="1:8" x14ac:dyDescent="0.25">
      <c r="A4086" s="13"/>
      <c r="B4086" s="21"/>
      <c r="C4086" s="13"/>
      <c r="D4086" s="766"/>
      <c r="E4086" s="22"/>
      <c r="F4086" s="19"/>
      <c r="G4086" s="14"/>
      <c r="H4086" s="13"/>
    </row>
    <row r="4087" spans="1:8" x14ac:dyDescent="0.25">
      <c r="A4087" s="13"/>
      <c r="B4087" s="21"/>
      <c r="C4087" s="13"/>
      <c r="D4087" s="766"/>
      <c r="E4087" s="22"/>
      <c r="F4087" s="19"/>
      <c r="G4087" s="14"/>
      <c r="H4087" s="13"/>
    </row>
    <row r="4088" spans="1:8" x14ac:dyDescent="0.25">
      <c r="A4088" s="13"/>
      <c r="B4088" s="21"/>
      <c r="C4088" s="13"/>
      <c r="D4088" s="766"/>
      <c r="E4088" s="22"/>
      <c r="F4088" s="19"/>
      <c r="G4088" s="14"/>
      <c r="H4088" s="13"/>
    </row>
    <row r="4089" spans="1:8" x14ac:dyDescent="0.25">
      <c r="A4089" s="13"/>
      <c r="B4089" s="21"/>
      <c r="C4089" s="13"/>
      <c r="D4089" s="766"/>
      <c r="E4089" s="22"/>
      <c r="F4089" s="19"/>
      <c r="G4089" s="14"/>
      <c r="H4089" s="13"/>
    </row>
    <row r="4090" spans="1:8" x14ac:dyDescent="0.25">
      <c r="A4090" s="13"/>
      <c r="B4090" s="21"/>
      <c r="C4090" s="13"/>
      <c r="D4090" s="766"/>
      <c r="E4090" s="22"/>
      <c r="F4090" s="19"/>
      <c r="G4090" s="14"/>
      <c r="H4090" s="13"/>
    </row>
    <row r="4091" spans="1:8" x14ac:dyDescent="0.25">
      <c r="A4091" s="13"/>
      <c r="B4091" s="21"/>
      <c r="C4091" s="13"/>
      <c r="D4091" s="766"/>
      <c r="E4091" s="22"/>
      <c r="F4091" s="19"/>
      <c r="G4091" s="14"/>
      <c r="H4091" s="13"/>
    </row>
    <row r="4092" spans="1:8" x14ac:dyDescent="0.25">
      <c r="A4092" s="13"/>
      <c r="B4092" s="21"/>
      <c r="C4092" s="13"/>
      <c r="D4092" s="766"/>
      <c r="E4092" s="22"/>
      <c r="F4092" s="19"/>
      <c r="G4092" s="14"/>
      <c r="H4092" s="13"/>
    </row>
    <row r="4093" spans="1:8" x14ac:dyDescent="0.25">
      <c r="A4093" s="13"/>
      <c r="B4093" s="21"/>
      <c r="C4093" s="13"/>
      <c r="D4093" s="766"/>
      <c r="E4093" s="22"/>
      <c r="F4093" s="19"/>
      <c r="G4093" s="14"/>
      <c r="H4093" s="13"/>
    </row>
    <row r="4094" spans="1:8" x14ac:dyDescent="0.25">
      <c r="A4094" s="13"/>
      <c r="B4094" s="21"/>
      <c r="C4094" s="13"/>
      <c r="D4094" s="766"/>
      <c r="E4094" s="22"/>
      <c r="F4094" s="19"/>
      <c r="G4094" s="14"/>
      <c r="H4094" s="13"/>
    </row>
    <row r="4095" spans="1:8" x14ac:dyDescent="0.25">
      <c r="A4095" s="13"/>
      <c r="B4095" s="21"/>
      <c r="C4095" s="13"/>
      <c r="D4095" s="766"/>
      <c r="E4095" s="22"/>
      <c r="F4095" s="19"/>
      <c r="G4095" s="14"/>
      <c r="H4095" s="13"/>
    </row>
    <row r="4096" spans="1:8" x14ac:dyDescent="0.25">
      <c r="A4096" s="13"/>
      <c r="B4096" s="21"/>
      <c r="C4096" s="13"/>
      <c r="D4096" s="766"/>
      <c r="E4096" s="22"/>
      <c r="F4096" s="19"/>
      <c r="G4096" s="14"/>
      <c r="H4096" s="13"/>
    </row>
    <row r="4097" spans="1:8" x14ac:dyDescent="0.25">
      <c r="A4097" s="13"/>
      <c r="B4097" s="21"/>
      <c r="C4097" s="13"/>
      <c r="D4097" s="766"/>
      <c r="E4097" s="22"/>
      <c r="F4097" s="19"/>
      <c r="G4097" s="14"/>
      <c r="H4097" s="13"/>
    </row>
    <row r="4098" spans="1:8" x14ac:dyDescent="0.25">
      <c r="A4098" s="13"/>
      <c r="B4098" s="21"/>
      <c r="C4098" s="13"/>
      <c r="D4098" s="766"/>
      <c r="E4098" s="22"/>
      <c r="F4098" s="19"/>
      <c r="G4098" s="14"/>
      <c r="H4098" s="13"/>
    </row>
    <row r="4099" spans="1:8" x14ac:dyDescent="0.25">
      <c r="A4099" s="13"/>
      <c r="B4099" s="21"/>
      <c r="C4099" s="13"/>
      <c r="D4099" s="766"/>
      <c r="E4099" s="22"/>
      <c r="F4099" s="19"/>
      <c r="G4099" s="14"/>
      <c r="H4099" s="13"/>
    </row>
    <row r="4100" spans="1:8" x14ac:dyDescent="0.25">
      <c r="A4100" s="13"/>
      <c r="B4100" s="21"/>
      <c r="C4100" s="13"/>
      <c r="D4100" s="766"/>
      <c r="E4100" s="22"/>
      <c r="F4100" s="19"/>
      <c r="G4100" s="14"/>
      <c r="H4100" s="13"/>
    </row>
    <row r="4101" spans="1:8" x14ac:dyDescent="0.25">
      <c r="A4101" s="13"/>
      <c r="B4101" s="21"/>
      <c r="C4101" s="13"/>
      <c r="D4101" s="766"/>
      <c r="E4101" s="22"/>
      <c r="F4101" s="19"/>
      <c r="G4101" s="14"/>
      <c r="H4101" s="13"/>
    </row>
    <row r="4102" spans="1:8" x14ac:dyDescent="0.25">
      <c r="A4102" s="13"/>
      <c r="B4102" s="21"/>
      <c r="C4102" s="13"/>
      <c r="D4102" s="766"/>
      <c r="E4102" s="22"/>
      <c r="F4102" s="19"/>
      <c r="G4102" s="14"/>
      <c r="H4102" s="13"/>
    </row>
    <row r="4103" spans="1:8" x14ac:dyDescent="0.25">
      <c r="A4103" s="13"/>
      <c r="B4103" s="21"/>
      <c r="C4103" s="13"/>
      <c r="D4103" s="766"/>
      <c r="E4103" s="22"/>
      <c r="F4103" s="19"/>
      <c r="G4103" s="14"/>
      <c r="H4103" s="13"/>
    </row>
    <row r="4104" spans="1:8" x14ac:dyDescent="0.25">
      <c r="A4104" s="13"/>
      <c r="B4104" s="21"/>
      <c r="C4104" s="13"/>
      <c r="D4104" s="766"/>
      <c r="E4104" s="22"/>
      <c r="F4104" s="19"/>
      <c r="G4104" s="14"/>
      <c r="H4104" s="13"/>
    </row>
    <row r="4105" spans="1:8" x14ac:dyDescent="0.25">
      <c r="A4105" s="13"/>
      <c r="B4105" s="21"/>
      <c r="C4105" s="13"/>
      <c r="D4105" s="766"/>
      <c r="E4105" s="22"/>
      <c r="F4105" s="19"/>
      <c r="G4105" s="14"/>
      <c r="H4105" s="13"/>
    </row>
    <row r="4106" spans="1:8" x14ac:dyDescent="0.25">
      <c r="A4106" s="13"/>
      <c r="B4106" s="21"/>
      <c r="C4106" s="13"/>
      <c r="D4106" s="766"/>
      <c r="E4106" s="22"/>
      <c r="F4106" s="19"/>
      <c r="G4106" s="14"/>
      <c r="H4106" s="13"/>
    </row>
    <row r="4107" spans="1:8" x14ac:dyDescent="0.25">
      <c r="A4107" s="13"/>
      <c r="B4107" s="21"/>
      <c r="C4107" s="13"/>
      <c r="D4107" s="766"/>
      <c r="E4107" s="22"/>
      <c r="F4107" s="19"/>
      <c r="G4107" s="14"/>
      <c r="H4107" s="13"/>
    </row>
    <row r="4108" spans="1:8" x14ac:dyDescent="0.25">
      <c r="A4108" s="13"/>
      <c r="B4108" s="21"/>
      <c r="C4108" s="13"/>
      <c r="D4108" s="766"/>
      <c r="E4108" s="22"/>
      <c r="F4108" s="19"/>
      <c r="G4108" s="14"/>
      <c r="H4108" s="13"/>
    </row>
    <row r="4109" spans="1:8" x14ac:dyDescent="0.25">
      <c r="A4109" s="13"/>
      <c r="B4109" s="21"/>
      <c r="C4109" s="13"/>
      <c r="D4109" s="766"/>
      <c r="E4109" s="22"/>
      <c r="F4109" s="19"/>
      <c r="G4109" s="14"/>
      <c r="H4109" s="13"/>
    </row>
    <row r="4110" spans="1:8" x14ac:dyDescent="0.25">
      <c r="A4110" s="13"/>
      <c r="B4110" s="21"/>
      <c r="C4110" s="13"/>
      <c r="D4110" s="766"/>
      <c r="E4110" s="22"/>
      <c r="F4110" s="19"/>
      <c r="G4110" s="14"/>
      <c r="H4110" s="13"/>
    </row>
    <row r="4111" spans="1:8" x14ac:dyDescent="0.25">
      <c r="A4111" s="13"/>
      <c r="B4111" s="21"/>
      <c r="C4111" s="13"/>
      <c r="D4111" s="766"/>
      <c r="E4111" s="22"/>
      <c r="F4111" s="19"/>
      <c r="G4111" s="14"/>
      <c r="H4111" s="13"/>
    </row>
    <row r="4112" spans="1:8" x14ac:dyDescent="0.25">
      <c r="A4112" s="13"/>
      <c r="B4112" s="21"/>
      <c r="C4112" s="13"/>
      <c r="D4112" s="766"/>
      <c r="E4112" s="22"/>
      <c r="F4112" s="19"/>
      <c r="G4112" s="14"/>
      <c r="H4112" s="13"/>
    </row>
    <row r="4113" spans="1:8" x14ac:dyDescent="0.25">
      <c r="A4113" s="13"/>
      <c r="B4113" s="21"/>
      <c r="C4113" s="13"/>
      <c r="D4113" s="766"/>
      <c r="E4113" s="22"/>
      <c r="F4113" s="19"/>
      <c r="G4113" s="14"/>
      <c r="H4113" s="13"/>
    </row>
    <row r="4114" spans="1:8" x14ac:dyDescent="0.25">
      <c r="A4114" s="13"/>
      <c r="B4114" s="21"/>
      <c r="C4114" s="13"/>
      <c r="D4114" s="766"/>
      <c r="E4114" s="22"/>
      <c r="F4114" s="19"/>
      <c r="G4114" s="14"/>
      <c r="H4114" s="13"/>
    </row>
    <row r="4115" spans="1:8" x14ac:dyDescent="0.25">
      <c r="A4115" s="13"/>
      <c r="B4115" s="21"/>
      <c r="C4115" s="13"/>
      <c r="D4115" s="766"/>
      <c r="E4115" s="22"/>
      <c r="F4115" s="19"/>
      <c r="G4115" s="14"/>
      <c r="H4115" s="13"/>
    </row>
    <row r="4116" spans="1:8" x14ac:dyDescent="0.25">
      <c r="A4116" s="13"/>
      <c r="B4116" s="21"/>
      <c r="C4116" s="13"/>
      <c r="D4116" s="766"/>
      <c r="E4116" s="22"/>
      <c r="F4116" s="19"/>
      <c r="G4116" s="14"/>
      <c r="H4116" s="13"/>
    </row>
    <row r="4117" spans="1:8" x14ac:dyDescent="0.25">
      <c r="A4117" s="13"/>
      <c r="B4117" s="21"/>
      <c r="C4117" s="13"/>
      <c r="D4117" s="766"/>
      <c r="E4117" s="22"/>
      <c r="F4117" s="19"/>
      <c r="G4117" s="14"/>
      <c r="H4117" s="13"/>
    </row>
    <row r="4118" spans="1:8" x14ac:dyDescent="0.25">
      <c r="A4118" s="13"/>
      <c r="B4118" s="21"/>
      <c r="C4118" s="13"/>
      <c r="D4118" s="766"/>
      <c r="E4118" s="22"/>
      <c r="F4118" s="19"/>
      <c r="G4118" s="14"/>
      <c r="H4118" s="13"/>
    </row>
    <row r="4119" spans="1:8" x14ac:dyDescent="0.25">
      <c r="A4119" s="13"/>
      <c r="B4119" s="21"/>
      <c r="C4119" s="13"/>
      <c r="D4119" s="766"/>
      <c r="E4119" s="22"/>
      <c r="F4119" s="19"/>
      <c r="G4119" s="14"/>
      <c r="H4119" s="13"/>
    </row>
    <row r="4120" spans="1:8" x14ac:dyDescent="0.25">
      <c r="A4120" s="13"/>
      <c r="B4120" s="21"/>
      <c r="C4120" s="13"/>
      <c r="D4120" s="766"/>
      <c r="E4120" s="22"/>
      <c r="F4120" s="19"/>
      <c r="G4120" s="14"/>
      <c r="H4120" s="13"/>
    </row>
    <row r="4121" spans="1:8" x14ac:dyDescent="0.25">
      <c r="A4121" s="13"/>
      <c r="B4121" s="21"/>
      <c r="C4121" s="13"/>
      <c r="D4121" s="766"/>
      <c r="E4121" s="22"/>
      <c r="F4121" s="19"/>
      <c r="G4121" s="14"/>
      <c r="H4121" s="13"/>
    </row>
    <row r="4122" spans="1:8" x14ac:dyDescent="0.25">
      <c r="A4122" s="13"/>
      <c r="B4122" s="21"/>
      <c r="C4122" s="13"/>
      <c r="D4122" s="766"/>
      <c r="E4122" s="22"/>
      <c r="F4122" s="19"/>
      <c r="G4122" s="14"/>
      <c r="H4122" s="13"/>
    </row>
    <row r="4123" spans="1:8" x14ac:dyDescent="0.25">
      <c r="A4123" s="13"/>
      <c r="B4123" s="21"/>
      <c r="C4123" s="13"/>
      <c r="D4123" s="766"/>
      <c r="E4123" s="22"/>
      <c r="F4123" s="19"/>
      <c r="G4123" s="14"/>
      <c r="H4123" s="13"/>
    </row>
    <row r="4124" spans="1:8" x14ac:dyDescent="0.25">
      <c r="A4124" s="13"/>
      <c r="B4124" s="21"/>
      <c r="C4124" s="13"/>
      <c r="D4124" s="766"/>
      <c r="E4124" s="22"/>
      <c r="F4124" s="19"/>
      <c r="G4124" s="14"/>
      <c r="H4124" s="13"/>
    </row>
    <row r="4125" spans="1:8" x14ac:dyDescent="0.25">
      <c r="A4125" s="13"/>
      <c r="B4125" s="21"/>
      <c r="C4125" s="13"/>
      <c r="D4125" s="766"/>
      <c r="E4125" s="22"/>
      <c r="F4125" s="19"/>
      <c r="G4125" s="14"/>
      <c r="H4125" s="13"/>
    </row>
    <row r="4126" spans="1:8" x14ac:dyDescent="0.25">
      <c r="A4126" s="13"/>
      <c r="B4126" s="21"/>
      <c r="C4126" s="13"/>
      <c r="D4126" s="766"/>
      <c r="E4126" s="22"/>
      <c r="F4126" s="19"/>
      <c r="G4126" s="14"/>
      <c r="H4126" s="13"/>
    </row>
    <row r="4127" spans="1:8" x14ac:dyDescent="0.25">
      <c r="A4127" s="13"/>
      <c r="B4127" s="21"/>
      <c r="C4127" s="13"/>
      <c r="D4127" s="766"/>
      <c r="E4127" s="22"/>
      <c r="F4127" s="19"/>
      <c r="G4127" s="14"/>
      <c r="H4127" s="13"/>
    </row>
    <row r="4128" spans="1:8" x14ac:dyDescent="0.25">
      <c r="A4128" s="13"/>
      <c r="B4128" s="21"/>
      <c r="C4128" s="13"/>
      <c r="D4128" s="766"/>
      <c r="E4128" s="22"/>
      <c r="F4128" s="19"/>
      <c r="G4128" s="14"/>
      <c r="H4128" s="13"/>
    </row>
    <row r="4129" spans="1:8" x14ac:dyDescent="0.25">
      <c r="A4129" s="13"/>
      <c r="B4129" s="21"/>
      <c r="C4129" s="13"/>
      <c r="D4129" s="766"/>
      <c r="E4129" s="22"/>
      <c r="F4129" s="19"/>
      <c r="G4129" s="14"/>
      <c r="H4129" s="13"/>
    </row>
    <row r="4130" spans="1:8" x14ac:dyDescent="0.25">
      <c r="A4130" s="13"/>
      <c r="B4130" s="21"/>
      <c r="C4130" s="13"/>
      <c r="D4130" s="766"/>
      <c r="E4130" s="22"/>
      <c r="F4130" s="19"/>
      <c r="G4130" s="14"/>
      <c r="H4130" s="13"/>
    </row>
    <row r="4131" spans="1:8" x14ac:dyDescent="0.25">
      <c r="A4131" s="13"/>
      <c r="B4131" s="21"/>
      <c r="C4131" s="13"/>
      <c r="D4131" s="766"/>
      <c r="E4131" s="22"/>
      <c r="F4131" s="19"/>
      <c r="G4131" s="14"/>
      <c r="H4131" s="13"/>
    </row>
    <row r="4132" spans="1:8" x14ac:dyDescent="0.25">
      <c r="A4132" s="13"/>
      <c r="B4132" s="21"/>
      <c r="C4132" s="13"/>
      <c r="D4132" s="766"/>
      <c r="E4132" s="22"/>
      <c r="F4132" s="19"/>
      <c r="G4132" s="14"/>
      <c r="H4132" s="13"/>
    </row>
    <row r="4133" spans="1:8" x14ac:dyDescent="0.25">
      <c r="A4133" s="13"/>
      <c r="B4133" s="21"/>
      <c r="C4133" s="13"/>
      <c r="D4133" s="766"/>
      <c r="E4133" s="22"/>
      <c r="F4133" s="19"/>
      <c r="G4133" s="14"/>
      <c r="H4133" s="13"/>
    </row>
    <row r="4134" spans="1:8" x14ac:dyDescent="0.25">
      <c r="A4134" s="13"/>
      <c r="B4134" s="21"/>
      <c r="C4134" s="13"/>
      <c r="D4134" s="766"/>
      <c r="E4134" s="22"/>
      <c r="F4134" s="19"/>
      <c r="G4134" s="14"/>
      <c r="H4134" s="13"/>
    </row>
    <row r="4135" spans="1:8" x14ac:dyDescent="0.25">
      <c r="A4135" s="13"/>
      <c r="B4135" s="21"/>
      <c r="C4135" s="13"/>
      <c r="D4135" s="766"/>
      <c r="E4135" s="22"/>
      <c r="F4135" s="19"/>
      <c r="G4135" s="14"/>
      <c r="H4135" s="13"/>
    </row>
    <row r="4136" spans="1:8" x14ac:dyDescent="0.25">
      <c r="A4136" s="13"/>
      <c r="B4136" s="21"/>
      <c r="C4136" s="13"/>
      <c r="D4136" s="766"/>
      <c r="E4136" s="22"/>
      <c r="F4136" s="19"/>
      <c r="G4136" s="14"/>
      <c r="H4136" s="13"/>
    </row>
    <row r="4137" spans="1:8" x14ac:dyDescent="0.25">
      <c r="A4137" s="13"/>
      <c r="B4137" s="21"/>
      <c r="C4137" s="13"/>
      <c r="D4137" s="766"/>
      <c r="E4137" s="22"/>
      <c r="F4137" s="19"/>
      <c r="G4137" s="14"/>
      <c r="H4137" s="13"/>
    </row>
    <row r="4138" spans="1:8" x14ac:dyDescent="0.25">
      <c r="A4138" s="13"/>
      <c r="B4138" s="21"/>
      <c r="C4138" s="13"/>
      <c r="D4138" s="766"/>
      <c r="E4138" s="22"/>
      <c r="F4138" s="19"/>
      <c r="G4138" s="14"/>
      <c r="H4138" s="13"/>
    </row>
    <row r="4139" spans="1:8" x14ac:dyDescent="0.25">
      <c r="A4139" s="13"/>
      <c r="B4139" s="21"/>
      <c r="C4139" s="13"/>
      <c r="D4139" s="766"/>
      <c r="E4139" s="22"/>
      <c r="F4139" s="19"/>
      <c r="G4139" s="14"/>
      <c r="H4139" s="13"/>
    </row>
    <row r="4140" spans="1:8" x14ac:dyDescent="0.25">
      <c r="A4140" s="13"/>
      <c r="B4140" s="21"/>
      <c r="C4140" s="13"/>
      <c r="D4140" s="766"/>
      <c r="E4140" s="22"/>
      <c r="F4140" s="19"/>
      <c r="G4140" s="14"/>
      <c r="H4140" s="13"/>
    </row>
    <row r="4141" spans="1:8" x14ac:dyDescent="0.25">
      <c r="A4141" s="13"/>
      <c r="B4141" s="21"/>
      <c r="C4141" s="13"/>
      <c r="D4141" s="766"/>
      <c r="E4141" s="22"/>
      <c r="F4141" s="19"/>
      <c r="G4141" s="14"/>
      <c r="H4141" s="13"/>
    </row>
    <row r="4142" spans="1:8" x14ac:dyDescent="0.25">
      <c r="A4142" s="13"/>
      <c r="B4142" s="21"/>
      <c r="C4142" s="13"/>
      <c r="D4142" s="766"/>
      <c r="E4142" s="22"/>
      <c r="F4142" s="19"/>
      <c r="G4142" s="14"/>
      <c r="H4142" s="13"/>
    </row>
    <row r="4143" spans="1:8" x14ac:dyDescent="0.25">
      <c r="A4143" s="13"/>
      <c r="B4143" s="21"/>
      <c r="C4143" s="13"/>
      <c r="D4143" s="766"/>
      <c r="E4143" s="22"/>
      <c r="F4143" s="19"/>
      <c r="G4143" s="14"/>
      <c r="H4143" s="13"/>
    </row>
    <row r="4144" spans="1:8" x14ac:dyDescent="0.25">
      <c r="A4144" s="13"/>
      <c r="B4144" s="21"/>
      <c r="C4144" s="13"/>
      <c r="D4144" s="766"/>
      <c r="E4144" s="22"/>
      <c r="F4144" s="19"/>
      <c r="G4144" s="14"/>
      <c r="H4144" s="13"/>
    </row>
    <row r="4145" spans="1:8" x14ac:dyDescent="0.25">
      <c r="A4145" s="13"/>
      <c r="B4145" s="21"/>
      <c r="C4145" s="13"/>
      <c r="D4145" s="766"/>
      <c r="E4145" s="22"/>
      <c r="F4145" s="19"/>
      <c r="G4145" s="14"/>
      <c r="H4145" s="13"/>
    </row>
    <row r="4146" spans="1:8" x14ac:dyDescent="0.25">
      <c r="A4146" s="13"/>
      <c r="B4146" s="21"/>
      <c r="C4146" s="13"/>
      <c r="D4146" s="766"/>
      <c r="E4146" s="22"/>
      <c r="F4146" s="19"/>
      <c r="G4146" s="14"/>
      <c r="H4146" s="13"/>
    </row>
    <row r="4147" spans="1:8" x14ac:dyDescent="0.25">
      <c r="A4147" s="13"/>
      <c r="B4147" s="21"/>
      <c r="C4147" s="13"/>
      <c r="D4147" s="766"/>
      <c r="E4147" s="22"/>
      <c r="F4147" s="19"/>
      <c r="G4147" s="14"/>
      <c r="H4147" s="13"/>
    </row>
  </sheetData>
  <autoFilter ref="A1:XFC3701" xr:uid="{00000000-0009-0000-0000-000003000000}"/>
  <sortState xmlns:xlrd2="http://schemas.microsoft.com/office/spreadsheetml/2017/richdata2" ref="A2333:H2418">
    <sortCondition ref="A2333:A2418"/>
  </sortState>
  <mergeCells count="119">
    <mergeCell ref="H3650:H3653"/>
    <mergeCell ref="H3541:H3548"/>
    <mergeCell ref="H3393:H3394"/>
    <mergeCell ref="H3481:H3491"/>
    <mergeCell ref="H3328:H3329"/>
    <mergeCell ref="H2939:H2943"/>
    <mergeCell ref="H2931:H2933"/>
    <mergeCell ref="H3171:H3179"/>
    <mergeCell ref="H3033:H3038"/>
    <mergeCell ref="H2735:H2737"/>
    <mergeCell ref="H2778:H2779"/>
    <mergeCell ref="H2741:H2744"/>
    <mergeCell ref="H2746:H2749"/>
    <mergeCell ref="H3525:H3535"/>
    <mergeCell ref="H3508:H3509"/>
    <mergeCell ref="H3515:H3517"/>
    <mergeCell ref="H2894:H2897"/>
    <mergeCell ref="H2914:H2921"/>
    <mergeCell ref="H3029:H3031"/>
    <mergeCell ref="H2961:H2965"/>
    <mergeCell ref="H2768:H2769"/>
    <mergeCell ref="H2761:H2762"/>
    <mergeCell ref="H2875:H2879"/>
    <mergeCell ref="H2753:H2757"/>
    <mergeCell ref="H2650:H2651"/>
    <mergeCell ref="H2663:H2664"/>
    <mergeCell ref="D3156:D3157"/>
    <mergeCell ref="D3153:D3154"/>
    <mergeCell ref="D3291:D3292"/>
    <mergeCell ref="H3202:H3205"/>
    <mergeCell ref="H3218:H3221"/>
    <mergeCell ref="H3191:H3196"/>
    <mergeCell ref="H3111:H3113"/>
    <mergeCell ref="D3044:D3045"/>
    <mergeCell ref="H3044:H3045"/>
    <mergeCell ref="H3273:H3279"/>
    <mergeCell ref="H3079:H3083"/>
    <mergeCell ref="H3046:H3050"/>
    <mergeCell ref="H3085:H3087"/>
    <mergeCell ref="H3065:H3070"/>
    <mergeCell ref="H3197:H3199"/>
    <mergeCell ref="H3182:H3184"/>
    <mergeCell ref="H2882:H2884"/>
    <mergeCell ref="H2780:H2781"/>
    <mergeCell ref="H2909:H2911"/>
    <mergeCell ref="H2825:H2832"/>
    <mergeCell ref="H2701:H2705"/>
    <mergeCell ref="H2684:H2686"/>
    <mergeCell ref="H2219:H2223"/>
    <mergeCell ref="H2231:H2232"/>
    <mergeCell ref="H2250:H2253"/>
    <mergeCell ref="H2224:H2225"/>
    <mergeCell ref="H2267:H2274"/>
    <mergeCell ref="H2287:H2289"/>
    <mergeCell ref="D2950:D2951"/>
    <mergeCell ref="H2981:H2987"/>
    <mergeCell ref="H2974:H2975"/>
    <mergeCell ref="D2731:D2732"/>
    <mergeCell ref="H2731:H2732"/>
    <mergeCell ref="H2713:H2714"/>
    <mergeCell ref="D2657:D2658"/>
    <mergeCell ref="D2663:D2664"/>
    <mergeCell ref="D2666:D2667"/>
    <mergeCell ref="D2726:D2727"/>
    <mergeCell ref="H2726:H2727"/>
    <mergeCell ref="H2659:H2661"/>
    <mergeCell ref="H2708:H2709"/>
    <mergeCell ref="H2666:H2667"/>
    <mergeCell ref="H2490:H2493"/>
    <mergeCell ref="H2635:H2636"/>
    <mergeCell ref="H2783:H2786"/>
    <mergeCell ref="H2925:H2926"/>
    <mergeCell ref="H52:H53"/>
    <mergeCell ref="H441:H444"/>
    <mergeCell ref="H559:H560"/>
    <mergeCell ref="H541:H542"/>
    <mergeCell ref="H459:H461"/>
    <mergeCell ref="H64:H66"/>
    <mergeCell ref="H750:H755"/>
    <mergeCell ref="H767:H768"/>
    <mergeCell ref="H1886:H1889"/>
    <mergeCell ref="H2002:H2006"/>
    <mergeCell ref="H1996:H1998"/>
    <mergeCell ref="H1800:H1801"/>
    <mergeCell ref="H1877:H1883"/>
    <mergeCell ref="H1999:H2001"/>
    <mergeCell ref="H2148:H2151"/>
    <mergeCell ref="H2140:H2141"/>
    <mergeCell ref="H2124:H2126"/>
    <mergeCell ref="H2060:H2064"/>
    <mergeCell ref="H2105:H2107"/>
    <mergeCell ref="H2142:H2145"/>
    <mergeCell ref="H2035:H2036"/>
    <mergeCell ref="H2085:H2088"/>
    <mergeCell ref="H2077:H2081"/>
    <mergeCell ref="H2175:H2177"/>
    <mergeCell ref="H2523:H2528"/>
    <mergeCell ref="H2438:H2440"/>
    <mergeCell ref="H2284:H2286"/>
    <mergeCell ref="H2444:H2446"/>
    <mergeCell ref="H2564:H2566"/>
    <mergeCell ref="H2625:H2629"/>
    <mergeCell ref="H2582:H2584"/>
    <mergeCell ref="H2574:H2577"/>
    <mergeCell ref="H2615:H2616"/>
    <mergeCell ref="H2554:H2557"/>
    <mergeCell ref="H2508:H2510"/>
    <mergeCell ref="H2486:H2487"/>
    <mergeCell ref="H2488:H2489"/>
    <mergeCell ref="H2468:H2471"/>
    <mergeCell ref="H2191:H2194"/>
    <mergeCell ref="H2203:H2204"/>
    <mergeCell ref="H2189:H2190"/>
    <mergeCell ref="H2304:H2307"/>
    <mergeCell ref="H2292:H2294"/>
    <mergeCell ref="H2278:H2281"/>
    <mergeCell ref="H2242:H2245"/>
    <mergeCell ref="H2201:H2202"/>
    <mergeCell ref="H2308:H2311"/>
  </mergeCells>
  <phoneticPr fontId="75" type="noConversion"/>
  <dataValidations disablePrompts="1" count="1">
    <dataValidation type="list" allowBlank="1" showInputMessage="1" showErrorMessage="1" sqref="B2179:B2183"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56"/>
  <sheetViews>
    <sheetView topLeftCell="A41" workbookViewId="0">
      <selection activeCell="F151" sqref="F151"/>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61" t="s">
        <v>11587</v>
      </c>
      <c r="B2" s="1261"/>
      <c r="C2" s="1261"/>
      <c r="D2" s="1261"/>
      <c r="E2" s="1261"/>
      <c r="F2" s="1261"/>
    </row>
    <row r="3" spans="1:8" ht="9.75" customHeight="1" x14ac:dyDescent="0.45">
      <c r="A3" s="1090"/>
      <c r="B3" s="1090"/>
      <c r="C3" s="1090"/>
      <c r="D3" s="1090"/>
      <c r="E3" s="1090"/>
      <c r="F3" s="1090"/>
    </row>
    <row r="4" spans="1:8" s="7" customFormat="1" ht="24.75" customHeight="1" x14ac:dyDescent="0.25">
      <c r="A4" s="1087" t="s">
        <v>0</v>
      </c>
      <c r="B4" s="1087" t="s">
        <v>155</v>
      </c>
      <c r="C4" s="1087" t="s">
        <v>179</v>
      </c>
      <c r="D4" s="1088" t="s">
        <v>157</v>
      </c>
      <c r="E4" s="1089" t="s">
        <v>158</v>
      </c>
      <c r="F4" s="1088" t="s">
        <v>5</v>
      </c>
      <c r="G4" s="1074"/>
      <c r="H4" s="1075"/>
    </row>
    <row r="5" spans="1:8" s="7" customFormat="1" ht="15.75" x14ac:dyDescent="0.25">
      <c r="A5" s="113">
        <v>44236</v>
      </c>
      <c r="B5" s="21" t="s">
        <v>6511</v>
      </c>
      <c r="C5" s="1083">
        <v>30000219</v>
      </c>
      <c r="D5" s="20">
        <v>4660</v>
      </c>
      <c r="E5" s="33"/>
      <c r="F5" s="20">
        <f>D5-E5</f>
        <v>4660</v>
      </c>
    </row>
    <row r="6" spans="1:8" s="7" customFormat="1" ht="15.75" x14ac:dyDescent="0.25">
      <c r="A6" s="113">
        <v>44365</v>
      </c>
      <c r="B6" s="21" t="s">
        <v>6511</v>
      </c>
      <c r="C6" s="1083">
        <v>30000343</v>
      </c>
      <c r="D6" s="20">
        <v>1800</v>
      </c>
      <c r="E6" s="33"/>
      <c r="F6" s="20">
        <f>F5+D6-E6</f>
        <v>6460</v>
      </c>
    </row>
    <row r="7" spans="1:8" s="7" customFormat="1" ht="15.75" x14ac:dyDescent="0.25">
      <c r="A7" s="113">
        <v>44375</v>
      </c>
      <c r="B7" s="21" t="s">
        <v>6511</v>
      </c>
      <c r="C7" s="1083">
        <v>30000348</v>
      </c>
      <c r="D7" s="20">
        <v>40553</v>
      </c>
      <c r="E7" s="33"/>
      <c r="F7" s="20">
        <f t="shared" ref="F7:F70" si="0">F6+D7-E7</f>
        <v>47013</v>
      </c>
    </row>
    <row r="8" spans="1:8" s="7" customFormat="1" ht="15.75" x14ac:dyDescent="0.25">
      <c r="A8" s="113">
        <v>44393</v>
      </c>
      <c r="B8" s="21" t="s">
        <v>6955</v>
      </c>
      <c r="C8" s="1083">
        <v>30000360</v>
      </c>
      <c r="D8" s="20">
        <v>15081</v>
      </c>
      <c r="E8" s="33"/>
      <c r="F8" s="20">
        <f t="shared" si="0"/>
        <v>62094</v>
      </c>
    </row>
    <row r="9" spans="1:8" s="7" customFormat="1" ht="15.75" x14ac:dyDescent="0.25">
      <c r="A9" s="113">
        <v>44397</v>
      </c>
      <c r="B9" s="21" t="s">
        <v>6955</v>
      </c>
      <c r="C9" s="1083">
        <v>30000364</v>
      </c>
      <c r="D9" s="20">
        <v>31311</v>
      </c>
      <c r="E9" s="33"/>
      <c r="F9" s="20">
        <f t="shared" si="0"/>
        <v>93405</v>
      </c>
    </row>
    <row r="10" spans="1:8" s="7" customFormat="1" ht="15.75" x14ac:dyDescent="0.25">
      <c r="A10" s="113">
        <v>44397</v>
      </c>
      <c r="B10" s="21" t="s">
        <v>7112</v>
      </c>
      <c r="C10" s="1083">
        <v>30000364</v>
      </c>
      <c r="D10" s="20">
        <v>30988</v>
      </c>
      <c r="E10" s="33"/>
      <c r="F10" s="20">
        <f t="shared" si="0"/>
        <v>124393</v>
      </c>
    </row>
    <row r="11" spans="1:8" s="7" customFormat="1" ht="15.75" x14ac:dyDescent="0.25">
      <c r="A11" s="113">
        <v>44404</v>
      </c>
      <c r="B11" s="21" t="s">
        <v>6955</v>
      </c>
      <c r="C11" s="1083">
        <v>30000366</v>
      </c>
      <c r="D11" s="20">
        <v>6930</v>
      </c>
      <c r="E11" s="33"/>
      <c r="F11" s="20">
        <f t="shared" si="0"/>
        <v>131323</v>
      </c>
    </row>
    <row r="12" spans="1:8" s="7" customFormat="1" ht="15.75" x14ac:dyDescent="0.25">
      <c r="A12" s="113">
        <v>44408</v>
      </c>
      <c r="B12" s="21" t="s">
        <v>6955</v>
      </c>
      <c r="C12" s="1083">
        <v>30000370</v>
      </c>
      <c r="D12" s="20">
        <v>19829</v>
      </c>
      <c r="E12" s="33"/>
      <c r="F12" s="20">
        <f t="shared" si="0"/>
        <v>151152</v>
      </c>
    </row>
    <row r="13" spans="1:8" s="7" customFormat="1" ht="15.75" x14ac:dyDescent="0.25">
      <c r="A13" s="113">
        <v>44483</v>
      </c>
      <c r="B13" s="21" t="s">
        <v>7067</v>
      </c>
      <c r="C13" s="1083">
        <v>30000444</v>
      </c>
      <c r="D13" s="20">
        <v>16800</v>
      </c>
      <c r="E13" s="33"/>
      <c r="F13" s="20">
        <f t="shared" si="0"/>
        <v>167952</v>
      </c>
    </row>
    <row r="14" spans="1:8" s="7" customFormat="1" ht="15.75" x14ac:dyDescent="0.25">
      <c r="A14" s="113">
        <v>44497</v>
      </c>
      <c r="B14" s="21" t="s">
        <v>7067</v>
      </c>
      <c r="C14" s="1083">
        <v>30000458</v>
      </c>
      <c r="D14" s="20">
        <v>4505</v>
      </c>
      <c r="E14" s="33"/>
      <c r="F14" s="20">
        <f t="shared" si="0"/>
        <v>172457</v>
      </c>
    </row>
    <row r="15" spans="1:8" s="7" customFormat="1" ht="15.75" x14ac:dyDescent="0.25">
      <c r="A15" s="113">
        <v>44510</v>
      </c>
      <c r="B15" s="21" t="s">
        <v>11580</v>
      </c>
      <c r="C15" s="1083"/>
      <c r="D15" s="20"/>
      <c r="E15" s="33">
        <v>100000</v>
      </c>
      <c r="F15" s="20">
        <f t="shared" si="0"/>
        <v>72457</v>
      </c>
      <c r="G15" s="1076"/>
    </row>
    <row r="16" spans="1:8" s="7" customFormat="1" ht="15.75" x14ac:dyDescent="0.25">
      <c r="A16" s="113">
        <v>44424</v>
      </c>
      <c r="B16" s="21" t="s">
        <v>1400</v>
      </c>
      <c r="C16" s="1083">
        <v>30000390</v>
      </c>
      <c r="D16" s="20">
        <v>80990</v>
      </c>
      <c r="E16" s="33"/>
      <c r="F16" s="20">
        <f t="shared" si="0"/>
        <v>153447</v>
      </c>
    </row>
    <row r="17" spans="1:7" s="7" customFormat="1" ht="15.75" x14ac:dyDescent="0.25">
      <c r="A17" s="113">
        <v>44539</v>
      </c>
      <c r="B17" s="21" t="s">
        <v>7067</v>
      </c>
      <c r="C17" s="1083">
        <v>30000533</v>
      </c>
      <c r="D17" s="20">
        <v>8800</v>
      </c>
      <c r="E17" s="33"/>
      <c r="F17" s="20">
        <f t="shared" si="0"/>
        <v>162247</v>
      </c>
    </row>
    <row r="18" spans="1:7" s="7" customFormat="1" ht="15.75" customHeight="1" x14ac:dyDescent="0.25">
      <c r="A18" s="113">
        <v>44610</v>
      </c>
      <c r="B18" s="21" t="s">
        <v>7676</v>
      </c>
      <c r="C18" s="1083"/>
      <c r="D18" s="20"/>
      <c r="E18" s="33">
        <v>162247</v>
      </c>
      <c r="F18" s="20">
        <f t="shared" si="0"/>
        <v>0</v>
      </c>
      <c r="G18" s="1081"/>
    </row>
    <row r="19" spans="1:7" s="7" customFormat="1" ht="15.75" x14ac:dyDescent="0.25">
      <c r="A19" s="113">
        <v>44662</v>
      </c>
      <c r="B19" s="21" t="s">
        <v>7555</v>
      </c>
      <c r="C19" s="1083">
        <v>30000771</v>
      </c>
      <c r="D19" s="20">
        <v>27115</v>
      </c>
      <c r="E19" s="33"/>
      <c r="F19" s="20">
        <f t="shared" si="0"/>
        <v>27115</v>
      </c>
    </row>
    <row r="20" spans="1:7" s="7" customFormat="1" ht="15.75" x14ac:dyDescent="0.25">
      <c r="A20" s="113">
        <v>44708</v>
      </c>
      <c r="B20" s="21" t="s">
        <v>10525</v>
      </c>
      <c r="C20" s="1083"/>
      <c r="D20" s="20"/>
      <c r="E20" s="33">
        <v>27000</v>
      </c>
      <c r="F20" s="20">
        <f t="shared" si="0"/>
        <v>115</v>
      </c>
    </row>
    <row r="21" spans="1:7" s="7" customFormat="1" ht="15.75" x14ac:dyDescent="0.25">
      <c r="A21" s="113">
        <v>44708</v>
      </c>
      <c r="B21" s="21" t="s">
        <v>7876</v>
      </c>
      <c r="C21" s="1083"/>
      <c r="D21" s="20"/>
      <c r="E21" s="33">
        <v>115</v>
      </c>
      <c r="F21" s="20">
        <f t="shared" si="0"/>
        <v>0</v>
      </c>
    </row>
    <row r="22" spans="1:7" s="7" customFormat="1" ht="15.75" x14ac:dyDescent="0.25">
      <c r="A22" s="113">
        <v>44755</v>
      </c>
      <c r="B22" s="21" t="s">
        <v>8043</v>
      </c>
      <c r="C22" s="1083" t="s">
        <v>8452</v>
      </c>
      <c r="D22" s="20">
        <v>9600</v>
      </c>
      <c r="E22" s="33"/>
      <c r="F22" s="20">
        <f t="shared" si="0"/>
        <v>9600</v>
      </c>
    </row>
    <row r="23" spans="1:7" s="7" customFormat="1" ht="15.75" x14ac:dyDescent="0.25">
      <c r="A23" s="113">
        <v>44809</v>
      </c>
      <c r="B23" s="21" t="s">
        <v>8043</v>
      </c>
      <c r="C23" s="1083" t="s">
        <v>8313</v>
      </c>
      <c r="D23" s="20">
        <v>59395</v>
      </c>
      <c r="E23" s="33"/>
      <c r="F23" s="20">
        <f t="shared" si="0"/>
        <v>68995</v>
      </c>
    </row>
    <row r="24" spans="1:7" s="7" customFormat="1" ht="15.75" x14ac:dyDescent="0.25">
      <c r="A24" s="113">
        <v>44809</v>
      </c>
      <c r="B24" s="21" t="s">
        <v>8043</v>
      </c>
      <c r="C24" s="1083" t="s">
        <v>8314</v>
      </c>
      <c r="D24" s="20">
        <v>935180</v>
      </c>
      <c r="E24" s="33"/>
      <c r="F24" s="20">
        <f t="shared" si="0"/>
        <v>1004175</v>
      </c>
    </row>
    <row r="25" spans="1:7" s="7" customFormat="1" ht="15.75" x14ac:dyDescent="0.25">
      <c r="A25" s="113">
        <v>44809</v>
      </c>
      <c r="B25" s="21" t="s">
        <v>8043</v>
      </c>
      <c r="C25" s="1083" t="s">
        <v>8315</v>
      </c>
      <c r="D25" s="20">
        <v>28800</v>
      </c>
      <c r="E25" s="33"/>
      <c r="F25" s="20">
        <f t="shared" si="0"/>
        <v>1032975</v>
      </c>
    </row>
    <row r="26" spans="1:7" s="7" customFormat="1" ht="15.75" x14ac:dyDescent="0.25">
      <c r="A26" s="113">
        <v>44809</v>
      </c>
      <c r="B26" s="21" t="s">
        <v>8043</v>
      </c>
      <c r="C26" s="1083" t="s">
        <v>8316</v>
      </c>
      <c r="D26" s="20">
        <v>421212</v>
      </c>
      <c r="E26" s="33"/>
      <c r="F26" s="20">
        <f t="shared" si="0"/>
        <v>1454187</v>
      </c>
    </row>
    <row r="27" spans="1:7" s="7" customFormat="1" ht="15.75" x14ac:dyDescent="0.25">
      <c r="A27" s="113">
        <v>44809</v>
      </c>
      <c r="B27" s="21" t="s">
        <v>8043</v>
      </c>
      <c r="C27" s="1083" t="s">
        <v>8317</v>
      </c>
      <c r="D27" s="20">
        <v>371865</v>
      </c>
      <c r="E27" s="33"/>
      <c r="F27" s="20">
        <f t="shared" si="0"/>
        <v>1826052</v>
      </c>
    </row>
    <row r="28" spans="1:7" s="7" customFormat="1" ht="15.75" x14ac:dyDescent="0.25">
      <c r="A28" s="113">
        <v>44816</v>
      </c>
      <c r="B28" s="21" t="s">
        <v>8043</v>
      </c>
      <c r="C28" s="1083" t="s">
        <v>8403</v>
      </c>
      <c r="D28" s="20">
        <v>20800</v>
      </c>
      <c r="E28" s="33"/>
      <c r="F28" s="20">
        <f t="shared" si="0"/>
        <v>1846852</v>
      </c>
    </row>
    <row r="29" spans="1:7" s="7" customFormat="1" ht="15.75" x14ac:dyDescent="0.25">
      <c r="A29" s="113">
        <v>44818</v>
      </c>
      <c r="B29" s="21" t="s">
        <v>8043</v>
      </c>
      <c r="C29" s="1083" t="s">
        <v>8318</v>
      </c>
      <c r="D29" s="20">
        <v>274016</v>
      </c>
      <c r="E29" s="33"/>
      <c r="F29" s="20">
        <f t="shared" si="0"/>
        <v>2120868</v>
      </c>
    </row>
    <row r="30" spans="1:7" s="7" customFormat="1" ht="15.75" x14ac:dyDescent="0.25">
      <c r="A30" s="113">
        <v>44819</v>
      </c>
      <c r="B30" s="21" t="s">
        <v>7953</v>
      </c>
      <c r="C30" s="1083" t="s">
        <v>8319</v>
      </c>
      <c r="D30" s="20">
        <v>111043</v>
      </c>
      <c r="E30" s="33"/>
      <c r="F30" s="20">
        <f t="shared" si="0"/>
        <v>2231911</v>
      </c>
    </row>
    <row r="31" spans="1:7" s="7" customFormat="1" ht="15.75" x14ac:dyDescent="0.25">
      <c r="A31" s="113">
        <v>44827</v>
      </c>
      <c r="B31" s="21" t="s">
        <v>8043</v>
      </c>
      <c r="C31" s="1083" t="s">
        <v>8453</v>
      </c>
      <c r="D31" s="20">
        <v>41600</v>
      </c>
      <c r="E31" s="33"/>
      <c r="F31" s="20">
        <f t="shared" si="0"/>
        <v>2273511</v>
      </c>
    </row>
    <row r="32" spans="1:7" s="7" customFormat="1" ht="15.75" x14ac:dyDescent="0.25">
      <c r="A32" s="113">
        <v>44827</v>
      </c>
      <c r="B32" s="21" t="s">
        <v>8043</v>
      </c>
      <c r="C32" s="1083" t="s">
        <v>8454</v>
      </c>
      <c r="D32" s="20">
        <v>255657</v>
      </c>
      <c r="E32" s="33"/>
      <c r="F32" s="20">
        <f t="shared" si="0"/>
        <v>2529168</v>
      </c>
    </row>
    <row r="33" spans="1:7" s="7" customFormat="1" ht="15.75" x14ac:dyDescent="0.25">
      <c r="A33" s="113">
        <v>44833</v>
      </c>
      <c r="B33" s="21" t="s">
        <v>8043</v>
      </c>
      <c r="C33" s="1083" t="s">
        <v>8455</v>
      </c>
      <c r="D33" s="20">
        <v>232416</v>
      </c>
      <c r="E33" s="33"/>
      <c r="F33" s="20">
        <f t="shared" si="0"/>
        <v>2761584</v>
      </c>
      <c r="G33" s="1077"/>
    </row>
    <row r="34" spans="1:7" s="7" customFormat="1" ht="15.75" x14ac:dyDescent="0.25">
      <c r="A34" s="113">
        <v>44835</v>
      </c>
      <c r="B34" s="21" t="s">
        <v>7921</v>
      </c>
      <c r="C34" s="1083" t="s">
        <v>8404</v>
      </c>
      <c r="D34" s="20">
        <v>651281</v>
      </c>
      <c r="E34" s="33"/>
      <c r="F34" s="20">
        <f t="shared" si="0"/>
        <v>3412865</v>
      </c>
    </row>
    <row r="35" spans="1:7" s="7" customFormat="1" ht="15.75" x14ac:dyDescent="0.25">
      <c r="A35" s="113">
        <v>44838</v>
      </c>
      <c r="B35" s="21" t="s">
        <v>7921</v>
      </c>
      <c r="C35" s="1083" t="s">
        <v>8495</v>
      </c>
      <c r="D35" s="20">
        <v>14601</v>
      </c>
      <c r="E35" s="33"/>
      <c r="F35" s="20">
        <f t="shared" si="0"/>
        <v>3427466</v>
      </c>
    </row>
    <row r="36" spans="1:7" s="7" customFormat="1" ht="15.75" x14ac:dyDescent="0.25">
      <c r="A36" s="113">
        <v>44852</v>
      </c>
      <c r="B36" s="21" t="s">
        <v>8043</v>
      </c>
      <c r="C36" s="1083" t="s">
        <v>8546</v>
      </c>
      <c r="D36" s="20">
        <v>85219</v>
      </c>
      <c r="E36" s="33"/>
      <c r="F36" s="20">
        <f t="shared" si="0"/>
        <v>3512685</v>
      </c>
    </row>
    <row r="37" spans="1:7" s="7" customFormat="1" ht="15.75" x14ac:dyDescent="0.25">
      <c r="A37" s="113">
        <v>44854</v>
      </c>
      <c r="B37" s="21" t="s">
        <v>11581</v>
      </c>
      <c r="C37" s="1083"/>
      <c r="D37" s="20"/>
      <c r="E37" s="33">
        <v>300000</v>
      </c>
      <c r="F37" s="20">
        <f t="shared" si="0"/>
        <v>3212685</v>
      </c>
    </row>
    <row r="38" spans="1:7" s="7" customFormat="1" ht="15.75" x14ac:dyDescent="0.25">
      <c r="A38" s="113">
        <v>44854</v>
      </c>
      <c r="B38" s="21" t="s">
        <v>11581</v>
      </c>
      <c r="C38" s="1083"/>
      <c r="D38" s="20"/>
      <c r="E38" s="33">
        <v>460000</v>
      </c>
      <c r="F38" s="20">
        <f t="shared" si="0"/>
        <v>2752685</v>
      </c>
    </row>
    <row r="39" spans="1:7" s="7" customFormat="1" ht="15.75" x14ac:dyDescent="0.25">
      <c r="A39" s="113">
        <v>44855</v>
      </c>
      <c r="B39" s="21" t="s">
        <v>8339</v>
      </c>
      <c r="C39" s="1083" t="s">
        <v>8872</v>
      </c>
      <c r="D39" s="20">
        <v>196262</v>
      </c>
      <c r="E39" s="33"/>
      <c r="F39" s="20">
        <f t="shared" si="0"/>
        <v>2948947</v>
      </c>
    </row>
    <row r="40" spans="1:7" s="731" customFormat="1" ht="15.75" x14ac:dyDescent="0.25">
      <c r="A40" s="113">
        <v>44888</v>
      </c>
      <c r="B40" s="743" t="s">
        <v>11582</v>
      </c>
      <c r="C40" s="1084"/>
      <c r="D40" s="1085"/>
      <c r="E40" s="1086">
        <v>550000</v>
      </c>
      <c r="F40" s="20">
        <f t="shared" si="0"/>
        <v>2398947</v>
      </c>
      <c r="G40" s="1078"/>
    </row>
    <row r="41" spans="1:7" s="7" customFormat="1" ht="15.75" x14ac:dyDescent="0.25">
      <c r="A41" s="113">
        <v>44888</v>
      </c>
      <c r="B41" s="21" t="s">
        <v>8339</v>
      </c>
      <c r="C41" s="1083" t="s">
        <v>8859</v>
      </c>
      <c r="D41" s="20">
        <v>1450496</v>
      </c>
      <c r="E41" s="33"/>
      <c r="F41" s="20">
        <f t="shared" si="0"/>
        <v>3849443</v>
      </c>
    </row>
    <row r="42" spans="1:7" s="7" customFormat="1" ht="15.75" x14ac:dyDescent="0.25">
      <c r="A42" s="113">
        <v>44896</v>
      </c>
      <c r="B42" s="21" t="s">
        <v>8339</v>
      </c>
      <c r="C42" s="1083" t="s">
        <v>8857</v>
      </c>
      <c r="D42" s="20">
        <v>4000</v>
      </c>
      <c r="E42" s="33"/>
      <c r="F42" s="20">
        <f t="shared" si="0"/>
        <v>3853443</v>
      </c>
    </row>
    <row r="43" spans="1:7" s="7" customFormat="1" ht="15.75" x14ac:dyDescent="0.25">
      <c r="A43" s="113">
        <v>44896</v>
      </c>
      <c r="B43" s="21" t="s">
        <v>8339</v>
      </c>
      <c r="C43" s="1083" t="s">
        <v>8858</v>
      </c>
      <c r="D43" s="20">
        <v>100742</v>
      </c>
      <c r="E43" s="33"/>
      <c r="F43" s="20">
        <f t="shared" si="0"/>
        <v>3954185</v>
      </c>
    </row>
    <row r="44" spans="1:7" s="7" customFormat="1" ht="15.75" x14ac:dyDescent="0.25">
      <c r="A44" s="113">
        <v>44896</v>
      </c>
      <c r="B44" s="21" t="s">
        <v>8339</v>
      </c>
      <c r="C44" s="1083" t="s">
        <v>8861</v>
      </c>
      <c r="D44" s="20">
        <v>294393</v>
      </c>
      <c r="E44" s="33"/>
      <c r="F44" s="20">
        <f t="shared" si="0"/>
        <v>4248578</v>
      </c>
    </row>
    <row r="45" spans="1:7" s="7" customFormat="1" ht="15.75" x14ac:dyDescent="0.25">
      <c r="A45" s="113">
        <v>44897</v>
      </c>
      <c r="B45" s="21" t="s">
        <v>8559</v>
      </c>
      <c r="C45" s="1083" t="s">
        <v>8862</v>
      </c>
      <c r="D45" s="20">
        <v>157044</v>
      </c>
      <c r="E45" s="33"/>
      <c r="F45" s="20">
        <f t="shared" si="0"/>
        <v>4405622</v>
      </c>
    </row>
    <row r="46" spans="1:7" s="7" customFormat="1" ht="15.75" x14ac:dyDescent="0.25">
      <c r="A46" s="113">
        <v>44897</v>
      </c>
      <c r="B46" s="21" t="s">
        <v>8559</v>
      </c>
      <c r="C46" s="1083" t="s">
        <v>8863</v>
      </c>
      <c r="D46" s="20">
        <v>55248</v>
      </c>
      <c r="E46" s="33"/>
      <c r="F46" s="20">
        <f t="shared" si="0"/>
        <v>4460870</v>
      </c>
    </row>
    <row r="47" spans="1:7" s="7" customFormat="1" ht="15.75" x14ac:dyDescent="0.25">
      <c r="A47" s="113">
        <v>44897</v>
      </c>
      <c r="B47" s="21" t="s">
        <v>8339</v>
      </c>
      <c r="C47" s="1083" t="s">
        <v>8864</v>
      </c>
      <c r="D47" s="20">
        <v>56000</v>
      </c>
      <c r="E47" s="33"/>
      <c r="F47" s="20">
        <f t="shared" si="0"/>
        <v>4516870</v>
      </c>
    </row>
    <row r="48" spans="1:7" s="7" customFormat="1" ht="15.75" x14ac:dyDescent="0.25">
      <c r="A48" s="113">
        <v>44898</v>
      </c>
      <c r="B48" s="21" t="s">
        <v>8043</v>
      </c>
      <c r="C48" s="1083" t="s">
        <v>8865</v>
      </c>
      <c r="D48" s="20">
        <v>350364</v>
      </c>
      <c r="E48" s="33"/>
      <c r="F48" s="20">
        <f t="shared" si="0"/>
        <v>4867234</v>
      </c>
    </row>
    <row r="49" spans="1:8" s="7" customFormat="1" ht="15.75" x14ac:dyDescent="0.25">
      <c r="A49" s="113">
        <v>44901</v>
      </c>
      <c r="B49" s="21" t="s">
        <v>8339</v>
      </c>
      <c r="C49" s="1083" t="s">
        <v>8860</v>
      </c>
      <c r="D49" s="20">
        <v>100742</v>
      </c>
      <c r="E49" s="33"/>
      <c r="F49" s="20">
        <f t="shared" si="0"/>
        <v>4967976</v>
      </c>
    </row>
    <row r="50" spans="1:8" s="7" customFormat="1" ht="15.75" x14ac:dyDescent="0.25">
      <c r="A50" s="113">
        <v>44901</v>
      </c>
      <c r="B50" s="21" t="s">
        <v>8339</v>
      </c>
      <c r="C50" s="1083" t="s">
        <v>8866</v>
      </c>
      <c r="D50" s="20">
        <v>147250</v>
      </c>
      <c r="E50" s="33"/>
      <c r="F50" s="20">
        <f t="shared" si="0"/>
        <v>5115226</v>
      </c>
    </row>
    <row r="51" spans="1:8" s="7" customFormat="1" ht="15.75" x14ac:dyDescent="0.25">
      <c r="A51" s="113">
        <v>44910</v>
      </c>
      <c r="B51" s="21" t="s">
        <v>11583</v>
      </c>
      <c r="C51" s="1084"/>
      <c r="D51" s="1085"/>
      <c r="E51" s="1086">
        <v>300000</v>
      </c>
      <c r="F51" s="20">
        <f t="shared" si="0"/>
        <v>4815226</v>
      </c>
      <c r="G51" s="731"/>
    </row>
    <row r="52" spans="1:8" s="7" customFormat="1" ht="15.75" x14ac:dyDescent="0.25">
      <c r="A52" s="113">
        <v>44910</v>
      </c>
      <c r="B52" s="21" t="s">
        <v>11583</v>
      </c>
      <c r="C52" s="1084"/>
      <c r="D52" s="1085"/>
      <c r="E52" s="1086">
        <v>300000</v>
      </c>
      <c r="F52" s="20">
        <f t="shared" si="0"/>
        <v>4515226</v>
      </c>
      <c r="G52" s="731"/>
    </row>
    <row r="53" spans="1:8" s="7" customFormat="1" ht="15.75" x14ac:dyDescent="0.25">
      <c r="A53" s="113">
        <v>44922</v>
      </c>
      <c r="B53" s="743" t="s">
        <v>8559</v>
      </c>
      <c r="C53" s="1084" t="s">
        <v>8966</v>
      </c>
      <c r="D53" s="1085">
        <v>33571</v>
      </c>
      <c r="E53" s="1086"/>
      <c r="F53" s="20">
        <f t="shared" si="0"/>
        <v>4548797</v>
      </c>
      <c r="G53" s="731"/>
    </row>
    <row r="54" spans="1:8" s="7" customFormat="1" ht="15.75" x14ac:dyDescent="0.25">
      <c r="A54" s="113">
        <v>44924</v>
      </c>
      <c r="B54" s="750" t="s">
        <v>8956</v>
      </c>
      <c r="C54" s="1084"/>
      <c r="D54" s="1085"/>
      <c r="E54" s="1086">
        <v>333000</v>
      </c>
      <c r="F54" s="20">
        <f t="shared" si="0"/>
        <v>4215797</v>
      </c>
      <c r="G54" s="731"/>
    </row>
    <row r="55" spans="1:8" s="7" customFormat="1" ht="15.75" x14ac:dyDescent="0.25">
      <c r="A55" s="113">
        <v>44924</v>
      </c>
      <c r="B55" s="750" t="s">
        <v>8957</v>
      </c>
      <c r="C55" s="1084"/>
      <c r="D55" s="1085"/>
      <c r="E55" s="1086">
        <v>333000</v>
      </c>
      <c r="F55" s="20">
        <f t="shared" si="0"/>
        <v>3882797</v>
      </c>
      <c r="G55" s="731"/>
    </row>
    <row r="56" spans="1:8" s="7" customFormat="1" ht="15.75" x14ac:dyDescent="0.25">
      <c r="A56" s="113">
        <v>44924</v>
      </c>
      <c r="B56" s="750" t="s">
        <v>8958</v>
      </c>
      <c r="C56" s="1084"/>
      <c r="D56" s="1085"/>
      <c r="E56" s="1086">
        <v>334000</v>
      </c>
      <c r="F56" s="20">
        <f t="shared" si="0"/>
        <v>3548797</v>
      </c>
      <c r="G56" s="731"/>
      <c r="H56" s="128"/>
    </row>
    <row r="57" spans="1:8" s="7" customFormat="1" ht="15.75" x14ac:dyDescent="0.25">
      <c r="A57" s="113">
        <v>44933</v>
      </c>
      <c r="B57" s="21" t="s">
        <v>8339</v>
      </c>
      <c r="C57" s="1083" t="s">
        <v>9053</v>
      </c>
      <c r="D57" s="20">
        <v>33600</v>
      </c>
      <c r="E57" s="33"/>
      <c r="F57" s="20">
        <f t="shared" si="0"/>
        <v>3582397</v>
      </c>
    </row>
    <row r="58" spans="1:8" s="7" customFormat="1" ht="15.75" x14ac:dyDescent="0.25">
      <c r="A58" s="113">
        <v>44937</v>
      </c>
      <c r="B58" s="21" t="s">
        <v>8339</v>
      </c>
      <c r="C58" s="1083" t="s">
        <v>9286</v>
      </c>
      <c r="D58" s="20">
        <v>49065</v>
      </c>
      <c r="E58" s="33"/>
      <c r="F58" s="20">
        <f t="shared" si="0"/>
        <v>3631462</v>
      </c>
    </row>
    <row r="59" spans="1:8" s="7" customFormat="1" ht="15.75" x14ac:dyDescent="0.25">
      <c r="A59" s="113">
        <v>44952</v>
      </c>
      <c r="B59" s="21" t="s">
        <v>8876</v>
      </c>
      <c r="C59" s="1083" t="s">
        <v>9371</v>
      </c>
      <c r="D59" s="20">
        <v>536326</v>
      </c>
      <c r="E59" s="33"/>
      <c r="F59" s="20">
        <f t="shared" si="0"/>
        <v>4167788</v>
      </c>
      <c r="G59" s="731"/>
    </row>
    <row r="60" spans="1:8" s="7" customFormat="1" ht="15.75" x14ac:dyDescent="0.25">
      <c r="A60" s="113">
        <v>44956</v>
      </c>
      <c r="B60" s="21" t="s">
        <v>8876</v>
      </c>
      <c r="C60" s="1083" t="s">
        <v>9372</v>
      </c>
      <c r="D60" s="20">
        <v>240163</v>
      </c>
      <c r="E60" s="33"/>
      <c r="F60" s="20">
        <f t="shared" si="0"/>
        <v>4407951</v>
      </c>
    </row>
    <row r="61" spans="1:8" s="7" customFormat="1" ht="15.75" x14ac:dyDescent="0.25">
      <c r="A61" s="113">
        <v>44965</v>
      </c>
      <c r="B61" s="21" t="s">
        <v>8339</v>
      </c>
      <c r="C61" s="1083" t="s">
        <v>9373</v>
      </c>
      <c r="D61" s="20">
        <v>74889</v>
      </c>
      <c r="E61" s="33"/>
      <c r="F61" s="20">
        <f t="shared" si="0"/>
        <v>4482840</v>
      </c>
    </row>
    <row r="62" spans="1:8" s="7" customFormat="1" ht="15.75" x14ac:dyDescent="0.25">
      <c r="A62" s="113">
        <v>44971</v>
      </c>
      <c r="B62" s="21" t="s">
        <v>11584</v>
      </c>
      <c r="C62" s="1083"/>
      <c r="D62" s="20"/>
      <c r="E62" s="33">
        <v>600000</v>
      </c>
      <c r="F62" s="20">
        <f t="shared" si="0"/>
        <v>3882840</v>
      </c>
    </row>
    <row r="63" spans="1:8" s="7" customFormat="1" ht="15.75" x14ac:dyDescent="0.25">
      <c r="A63" s="113">
        <v>44973</v>
      </c>
      <c r="B63" s="21" t="s">
        <v>11585</v>
      </c>
      <c r="C63" s="1083"/>
      <c r="D63" s="20"/>
      <c r="E63" s="33">
        <v>400000</v>
      </c>
      <c r="F63" s="20">
        <f t="shared" si="0"/>
        <v>3482840</v>
      </c>
    </row>
    <row r="64" spans="1:8" s="7" customFormat="1" ht="15.75" x14ac:dyDescent="0.25">
      <c r="A64" s="113">
        <v>45013</v>
      </c>
      <c r="B64" s="21" t="s">
        <v>8876</v>
      </c>
      <c r="C64" s="1083" t="s">
        <v>9595</v>
      </c>
      <c r="D64" s="20">
        <v>11200</v>
      </c>
      <c r="E64" s="33"/>
      <c r="F64" s="20">
        <f t="shared" si="0"/>
        <v>3494040</v>
      </c>
    </row>
    <row r="65" spans="1:7" s="7" customFormat="1" ht="15.75" x14ac:dyDescent="0.25">
      <c r="A65" s="113">
        <v>45027</v>
      </c>
      <c r="B65" s="13" t="s">
        <v>9643</v>
      </c>
      <c r="C65" s="1083"/>
      <c r="D65" s="20"/>
      <c r="E65" s="33">
        <v>800000</v>
      </c>
      <c r="F65" s="20">
        <f t="shared" si="0"/>
        <v>2694040</v>
      </c>
    </row>
    <row r="66" spans="1:7" s="7" customFormat="1" ht="15.75" x14ac:dyDescent="0.25">
      <c r="A66" s="113">
        <v>45048</v>
      </c>
      <c r="B66" s="13" t="s">
        <v>9749</v>
      </c>
      <c r="C66" s="1083"/>
      <c r="D66" s="20"/>
      <c r="E66" s="33">
        <v>441500</v>
      </c>
      <c r="F66" s="20">
        <f t="shared" si="0"/>
        <v>2252540</v>
      </c>
    </row>
    <row r="67" spans="1:7" s="7" customFormat="1" ht="15.75" x14ac:dyDescent="0.25">
      <c r="A67" s="113">
        <v>45048</v>
      </c>
      <c r="B67" s="21" t="s">
        <v>9661</v>
      </c>
      <c r="C67" s="1083" t="s">
        <v>9820</v>
      </c>
      <c r="D67" s="20">
        <v>441068</v>
      </c>
      <c r="E67" s="33"/>
      <c r="F67" s="20">
        <f t="shared" si="0"/>
        <v>2693608</v>
      </c>
    </row>
    <row r="68" spans="1:7" s="7" customFormat="1" ht="15.75" x14ac:dyDescent="0.25">
      <c r="A68" s="113">
        <v>45059</v>
      </c>
      <c r="B68" s="21" t="s">
        <v>9661</v>
      </c>
      <c r="C68" s="1083" t="s">
        <v>9978</v>
      </c>
      <c r="D68" s="20">
        <v>77980</v>
      </c>
      <c r="E68" s="33"/>
      <c r="F68" s="20">
        <f t="shared" si="0"/>
        <v>2771588</v>
      </c>
    </row>
    <row r="69" spans="1:7" s="7" customFormat="1" ht="15.75" x14ac:dyDescent="0.25">
      <c r="A69" s="113">
        <v>45065</v>
      </c>
      <c r="B69" s="21" t="s">
        <v>9661</v>
      </c>
      <c r="C69" s="1083" t="s">
        <v>9980</v>
      </c>
      <c r="D69" s="20">
        <v>51648</v>
      </c>
      <c r="E69" s="33"/>
      <c r="F69" s="20">
        <f t="shared" si="0"/>
        <v>2823236</v>
      </c>
    </row>
    <row r="70" spans="1:7" s="7" customFormat="1" ht="15.75" x14ac:dyDescent="0.25">
      <c r="A70" s="113">
        <v>45072</v>
      </c>
      <c r="B70" s="21" t="s">
        <v>9661</v>
      </c>
      <c r="C70" s="1083" t="s">
        <v>9982</v>
      </c>
      <c r="D70" s="20">
        <v>10200</v>
      </c>
      <c r="E70" s="33"/>
      <c r="F70" s="20">
        <f t="shared" si="0"/>
        <v>2833436</v>
      </c>
    </row>
    <row r="71" spans="1:7" s="7" customFormat="1" ht="15.75" x14ac:dyDescent="0.25">
      <c r="A71" s="113">
        <v>45075</v>
      </c>
      <c r="B71" s="21" t="s">
        <v>9661</v>
      </c>
      <c r="C71" s="1083" t="s">
        <v>9984</v>
      </c>
      <c r="D71" s="20">
        <v>32000</v>
      </c>
      <c r="E71" s="33"/>
      <c r="F71" s="20">
        <f t="shared" ref="F71:F145" si="1">F70+D71-E71</f>
        <v>2865436</v>
      </c>
    </row>
    <row r="72" spans="1:7" s="7" customFormat="1" ht="15.75" x14ac:dyDescent="0.25">
      <c r="A72" s="113">
        <v>45075</v>
      </c>
      <c r="B72" s="21" t="s">
        <v>9986</v>
      </c>
      <c r="C72" s="1083" t="s">
        <v>9987</v>
      </c>
      <c r="D72" s="20">
        <v>25630</v>
      </c>
      <c r="E72" s="33"/>
      <c r="F72" s="20">
        <f t="shared" si="1"/>
        <v>2891066</v>
      </c>
    </row>
    <row r="73" spans="1:7" s="7" customFormat="1" ht="15.75" x14ac:dyDescent="0.25">
      <c r="A73" s="113">
        <v>45083</v>
      </c>
      <c r="B73" s="21" t="s">
        <v>9356</v>
      </c>
      <c r="C73" s="1083" t="s">
        <v>10265</v>
      </c>
      <c r="D73" s="20">
        <v>59395</v>
      </c>
      <c r="E73" s="33"/>
      <c r="F73" s="20">
        <f t="shared" si="1"/>
        <v>2950461</v>
      </c>
    </row>
    <row r="74" spans="1:7" s="7" customFormat="1" ht="15.75" customHeight="1" x14ac:dyDescent="0.25">
      <c r="A74" s="113">
        <v>45086</v>
      </c>
      <c r="B74" s="21" t="s">
        <v>10127</v>
      </c>
      <c r="C74" s="1083"/>
      <c r="D74" s="20"/>
      <c r="E74" s="33">
        <v>1000000</v>
      </c>
      <c r="F74" s="20">
        <f t="shared" si="1"/>
        <v>1950461</v>
      </c>
      <c r="G74" s="1082"/>
    </row>
    <row r="75" spans="1:7" s="7" customFormat="1" ht="15.75" x14ac:dyDescent="0.25">
      <c r="A75" s="113">
        <v>45091</v>
      </c>
      <c r="B75" s="21" t="s">
        <v>9356</v>
      </c>
      <c r="C75" s="1083" t="s">
        <v>10266</v>
      </c>
      <c r="D75" s="20">
        <v>94595</v>
      </c>
      <c r="E75" s="33"/>
      <c r="F75" s="20">
        <f t="shared" si="1"/>
        <v>2045056</v>
      </c>
    </row>
    <row r="76" spans="1:7" s="7" customFormat="1" ht="15.75" x14ac:dyDescent="0.25">
      <c r="A76" s="113">
        <v>45093</v>
      </c>
      <c r="B76" s="21" t="s">
        <v>9356</v>
      </c>
      <c r="C76" s="1083" t="s">
        <v>10267</v>
      </c>
      <c r="D76" s="20">
        <v>118790</v>
      </c>
      <c r="E76" s="33"/>
      <c r="F76" s="20">
        <f t="shared" si="1"/>
        <v>2163846</v>
      </c>
    </row>
    <row r="77" spans="1:7" s="7" customFormat="1" ht="15.75" x14ac:dyDescent="0.25">
      <c r="A77" s="113">
        <v>45099</v>
      </c>
      <c r="B77" s="21" t="s">
        <v>10151</v>
      </c>
      <c r="C77" s="1083" t="s">
        <v>10442</v>
      </c>
      <c r="D77" s="20">
        <v>149260</v>
      </c>
      <c r="E77" s="33"/>
      <c r="F77" s="20">
        <f t="shared" si="1"/>
        <v>2313106</v>
      </c>
    </row>
    <row r="78" spans="1:7" s="7" customFormat="1" ht="15.75" x14ac:dyDescent="0.25">
      <c r="A78" s="113">
        <v>45114</v>
      </c>
      <c r="B78" s="21" t="s">
        <v>10151</v>
      </c>
      <c r="C78" s="1083" t="s">
        <v>10441</v>
      </c>
      <c r="D78" s="20">
        <v>35200</v>
      </c>
      <c r="E78" s="33"/>
      <c r="F78" s="20">
        <f t="shared" si="1"/>
        <v>2348306</v>
      </c>
    </row>
    <row r="79" spans="1:7" s="7" customFormat="1" ht="15.75" x14ac:dyDescent="0.25">
      <c r="A79" s="113">
        <v>45131</v>
      </c>
      <c r="B79" s="21" t="s">
        <v>10586</v>
      </c>
      <c r="C79" s="1083"/>
      <c r="D79" s="20"/>
      <c r="E79" s="33">
        <v>385000</v>
      </c>
      <c r="F79" s="20">
        <f t="shared" si="1"/>
        <v>1963306</v>
      </c>
    </row>
    <row r="80" spans="1:7" s="7" customFormat="1" ht="15.75" x14ac:dyDescent="0.25">
      <c r="A80" s="113">
        <v>45133</v>
      </c>
      <c r="B80" s="21" t="s">
        <v>9356</v>
      </c>
      <c r="C80" s="1083" t="s">
        <v>10623</v>
      </c>
      <c r="D80" s="32">
        <v>136390</v>
      </c>
      <c r="E80" s="33"/>
      <c r="F80" s="20">
        <f t="shared" si="1"/>
        <v>2099696</v>
      </c>
    </row>
    <row r="81" spans="1:9" s="7" customFormat="1" ht="15.75" x14ac:dyDescent="0.25">
      <c r="A81" s="113">
        <v>45133</v>
      </c>
      <c r="B81" s="21" t="s">
        <v>9986</v>
      </c>
      <c r="C81" s="1083" t="s">
        <v>10624</v>
      </c>
      <c r="D81" s="20">
        <v>10125</v>
      </c>
      <c r="E81" s="33"/>
      <c r="F81" s="20">
        <f t="shared" si="1"/>
        <v>2109821</v>
      </c>
    </row>
    <row r="82" spans="1:9" s="7" customFormat="1" ht="15.75" x14ac:dyDescent="0.25">
      <c r="A82" s="113">
        <v>45141</v>
      </c>
      <c r="B82" s="21" t="s">
        <v>10571</v>
      </c>
      <c r="C82" s="1083" t="s">
        <v>10685</v>
      </c>
      <c r="D82" s="20">
        <v>752630</v>
      </c>
      <c r="E82" s="33"/>
      <c r="F82" s="20">
        <f t="shared" si="1"/>
        <v>2862451</v>
      </c>
    </row>
    <row r="83" spans="1:9" s="7" customFormat="1" ht="15.75" x14ac:dyDescent="0.25">
      <c r="A83" s="113">
        <v>45143</v>
      </c>
      <c r="B83" s="21" t="s">
        <v>9356</v>
      </c>
      <c r="C83" s="1083" t="s">
        <v>10686</v>
      </c>
      <c r="D83" s="20">
        <v>153990</v>
      </c>
      <c r="E83" s="33"/>
      <c r="F83" s="20">
        <f t="shared" si="1"/>
        <v>3016441</v>
      </c>
    </row>
    <row r="84" spans="1:9" s="7" customFormat="1" ht="15.75" x14ac:dyDescent="0.25">
      <c r="A84" s="113">
        <v>45149</v>
      </c>
      <c r="B84" s="21" t="s">
        <v>10232</v>
      </c>
      <c r="C84" s="1083" t="s">
        <v>10844</v>
      </c>
      <c r="D84" s="20">
        <v>67956</v>
      </c>
      <c r="E84" s="33"/>
      <c r="F84" s="20">
        <f t="shared" si="1"/>
        <v>3084397</v>
      </c>
    </row>
    <row r="85" spans="1:9" s="7" customFormat="1" ht="15.75" customHeight="1" x14ac:dyDescent="0.25">
      <c r="A85" s="113">
        <v>45153</v>
      </c>
      <c r="B85" s="21" t="s">
        <v>11586</v>
      </c>
      <c r="C85" s="1083"/>
      <c r="D85" s="20"/>
      <c r="E85" s="33">
        <v>1350000</v>
      </c>
      <c r="F85" s="20">
        <f t="shared" si="1"/>
        <v>1734397</v>
      </c>
      <c r="G85" s="1082"/>
    </row>
    <row r="86" spans="1:9" s="7" customFormat="1" ht="17.25" customHeight="1" x14ac:dyDescent="0.25">
      <c r="A86" s="113">
        <v>45161</v>
      </c>
      <c r="B86" s="21" t="s">
        <v>10571</v>
      </c>
      <c r="C86" s="1083" t="s">
        <v>10943</v>
      </c>
      <c r="D86" s="20">
        <v>334758</v>
      </c>
      <c r="E86" s="33"/>
      <c r="F86" s="20">
        <f t="shared" si="1"/>
        <v>2069155</v>
      </c>
      <c r="G86" s="1079"/>
    </row>
    <row r="87" spans="1:9" s="7" customFormat="1" ht="17.25" customHeight="1" x14ac:dyDescent="0.25">
      <c r="A87" s="113">
        <v>45162</v>
      </c>
      <c r="B87" s="21" t="s">
        <v>10296</v>
      </c>
      <c r="C87" s="1083" t="s">
        <v>10944</v>
      </c>
      <c r="D87" s="20">
        <v>82636</v>
      </c>
      <c r="E87" s="33"/>
      <c r="F87" s="20">
        <f t="shared" si="1"/>
        <v>2151791</v>
      </c>
      <c r="G87" s="1079"/>
    </row>
    <row r="88" spans="1:9" s="7" customFormat="1" ht="15.75" x14ac:dyDescent="0.25">
      <c r="A88" s="113">
        <v>45168</v>
      </c>
      <c r="B88" s="21" t="s">
        <v>10571</v>
      </c>
      <c r="C88" s="1083" t="s">
        <v>10930</v>
      </c>
      <c r="D88" s="20">
        <v>32000</v>
      </c>
      <c r="E88" s="33"/>
      <c r="F88" s="20">
        <f t="shared" si="1"/>
        <v>2183791</v>
      </c>
    </row>
    <row r="89" spans="1:9" s="7" customFormat="1" ht="15.75" x14ac:dyDescent="0.25">
      <c r="A89" s="113">
        <v>45169</v>
      </c>
      <c r="B89" s="21" t="s">
        <v>9356</v>
      </c>
      <c r="C89" s="1083" t="s">
        <v>11014</v>
      </c>
      <c r="D89" s="20">
        <v>119294</v>
      </c>
      <c r="E89" s="33"/>
      <c r="F89" s="20">
        <f t="shared" si="1"/>
        <v>2303085</v>
      </c>
    </row>
    <row r="90" spans="1:9" s="7" customFormat="1" ht="15.75" x14ac:dyDescent="0.25">
      <c r="A90" s="113">
        <v>45173</v>
      </c>
      <c r="B90" s="21" t="s">
        <v>9356</v>
      </c>
      <c r="C90" s="1083" t="s">
        <v>11015</v>
      </c>
      <c r="D90" s="20">
        <v>119296</v>
      </c>
      <c r="E90" s="33"/>
      <c r="F90" s="20">
        <f t="shared" si="1"/>
        <v>2422381</v>
      </c>
    </row>
    <row r="91" spans="1:9" s="7" customFormat="1" ht="16.5" customHeight="1" x14ac:dyDescent="0.25">
      <c r="A91" s="113">
        <v>45178</v>
      </c>
      <c r="B91" s="21" t="s">
        <v>9356</v>
      </c>
      <c r="C91" s="1083" t="s">
        <v>11016</v>
      </c>
      <c r="D91" s="20">
        <v>222592</v>
      </c>
      <c r="E91" s="33"/>
      <c r="F91" s="20">
        <f t="shared" si="1"/>
        <v>2644973</v>
      </c>
      <c r="I91" s="128"/>
    </row>
    <row r="92" spans="1:9" s="7" customFormat="1" ht="15.75" x14ac:dyDescent="0.25">
      <c r="A92" s="113">
        <v>45178</v>
      </c>
      <c r="B92" s="21" t="s">
        <v>10576</v>
      </c>
      <c r="C92" s="1083" t="s">
        <v>11073</v>
      </c>
      <c r="D92" s="20">
        <v>804137</v>
      </c>
      <c r="E92" s="33"/>
      <c r="F92" s="20">
        <f t="shared" si="1"/>
        <v>3449110</v>
      </c>
    </row>
    <row r="93" spans="1:9" s="7" customFormat="1" ht="15.75" x14ac:dyDescent="0.25">
      <c r="A93" s="113">
        <v>45180</v>
      </c>
      <c r="B93" s="21" t="s">
        <v>9356</v>
      </c>
      <c r="C93" s="1083" t="s">
        <v>11074</v>
      </c>
      <c r="D93" s="20">
        <v>119296</v>
      </c>
      <c r="E93" s="33"/>
      <c r="F93" s="20">
        <f t="shared" si="1"/>
        <v>3568406</v>
      </c>
    </row>
    <row r="94" spans="1:9" s="7" customFormat="1" ht="15.75" x14ac:dyDescent="0.25">
      <c r="A94" s="113">
        <v>45180</v>
      </c>
      <c r="B94" s="21" t="s">
        <v>10576</v>
      </c>
      <c r="C94" s="1083" t="s">
        <v>11077</v>
      </c>
      <c r="D94" s="20">
        <v>891939</v>
      </c>
      <c r="E94" s="33"/>
      <c r="F94" s="20">
        <f t="shared" si="1"/>
        <v>4460345</v>
      </c>
    </row>
    <row r="95" spans="1:9" s="7" customFormat="1" ht="15.75" x14ac:dyDescent="0.25">
      <c r="A95" s="113">
        <v>45180</v>
      </c>
      <c r="B95" s="21" t="s">
        <v>11075</v>
      </c>
      <c r="C95" s="1083" t="s">
        <v>11076</v>
      </c>
      <c r="D95" s="20">
        <v>235504</v>
      </c>
      <c r="E95" s="33"/>
      <c r="F95" s="20">
        <f t="shared" si="1"/>
        <v>4695849</v>
      </c>
    </row>
    <row r="96" spans="1:9" s="7" customFormat="1" ht="15.75" x14ac:dyDescent="0.25">
      <c r="A96" s="113">
        <v>45184</v>
      </c>
      <c r="B96" s="21" t="s">
        <v>9356</v>
      </c>
      <c r="C96" s="1083" t="s">
        <v>11204</v>
      </c>
      <c r="D96" s="20">
        <v>103296</v>
      </c>
      <c r="E96" s="33"/>
      <c r="F96" s="20">
        <f t="shared" si="1"/>
        <v>4799145</v>
      </c>
    </row>
    <row r="97" spans="1:7" s="7" customFormat="1" ht="15.75" x14ac:dyDescent="0.25">
      <c r="A97" s="113">
        <v>45184</v>
      </c>
      <c r="B97" s="21" t="s">
        <v>10576</v>
      </c>
      <c r="C97" s="1083" t="s">
        <v>11205</v>
      </c>
      <c r="D97" s="20">
        <v>804137</v>
      </c>
      <c r="E97" s="33"/>
      <c r="F97" s="20">
        <f t="shared" si="1"/>
        <v>5603282</v>
      </c>
    </row>
    <row r="98" spans="1:7" s="7" customFormat="1" ht="15.75" x14ac:dyDescent="0.25">
      <c r="A98" s="113">
        <v>45187</v>
      </c>
      <c r="B98" s="21" t="s">
        <v>10576</v>
      </c>
      <c r="C98" s="1083" t="s">
        <v>11206</v>
      </c>
      <c r="D98" s="20">
        <v>1011740</v>
      </c>
      <c r="E98" s="33"/>
      <c r="F98" s="20">
        <f t="shared" si="1"/>
        <v>6615022</v>
      </c>
    </row>
    <row r="99" spans="1:7" s="7" customFormat="1" ht="15.75" x14ac:dyDescent="0.25">
      <c r="A99" s="113">
        <v>45190</v>
      </c>
      <c r="B99" s="21" t="s">
        <v>9356</v>
      </c>
      <c r="C99" s="1083" t="s">
        <v>11208</v>
      </c>
      <c r="D99" s="20">
        <v>113296</v>
      </c>
      <c r="E99" s="33"/>
      <c r="F99" s="20">
        <f t="shared" si="1"/>
        <v>6728318</v>
      </c>
    </row>
    <row r="100" spans="1:7" s="7" customFormat="1" ht="15.75" x14ac:dyDescent="0.25">
      <c r="A100" s="113">
        <v>45191</v>
      </c>
      <c r="B100" s="21" t="s">
        <v>9356</v>
      </c>
      <c r="C100" s="1083" t="s">
        <v>11209</v>
      </c>
      <c r="D100" s="20">
        <v>16000</v>
      </c>
      <c r="E100" s="33"/>
      <c r="F100" s="20">
        <f t="shared" si="1"/>
        <v>6744318</v>
      </c>
    </row>
    <row r="101" spans="1:7" s="7" customFormat="1" ht="15.75" x14ac:dyDescent="0.25">
      <c r="A101" s="113">
        <v>45191</v>
      </c>
      <c r="B101" s="21" t="s">
        <v>10232</v>
      </c>
      <c r="C101" s="1083" t="s">
        <v>11207</v>
      </c>
      <c r="D101" s="20">
        <v>684336</v>
      </c>
      <c r="E101" s="33"/>
      <c r="F101" s="20">
        <f t="shared" si="1"/>
        <v>7428654</v>
      </c>
    </row>
    <row r="102" spans="1:7" s="7" customFormat="1" ht="15.75" x14ac:dyDescent="0.25">
      <c r="A102" s="113">
        <v>45191</v>
      </c>
      <c r="B102" s="21" t="s">
        <v>10151</v>
      </c>
      <c r="C102" s="1083" t="s">
        <v>11212</v>
      </c>
      <c r="D102" s="20">
        <v>43900</v>
      </c>
      <c r="E102" s="33"/>
      <c r="F102" s="20">
        <f t="shared" si="1"/>
        <v>7472554</v>
      </c>
    </row>
    <row r="103" spans="1:7" s="7" customFormat="1" ht="15.75" x14ac:dyDescent="0.25">
      <c r="A103" s="113">
        <v>45191</v>
      </c>
      <c r="B103" s="21" t="s">
        <v>9356</v>
      </c>
      <c r="C103" s="1083" t="s">
        <v>11211</v>
      </c>
      <c r="D103" s="20">
        <v>67648</v>
      </c>
      <c r="E103" s="33"/>
      <c r="F103" s="20">
        <f t="shared" si="1"/>
        <v>7540202</v>
      </c>
    </row>
    <row r="104" spans="1:7" s="7" customFormat="1" ht="15.75" x14ac:dyDescent="0.25">
      <c r="A104" s="113">
        <v>45191</v>
      </c>
      <c r="B104" s="21" t="s">
        <v>10576</v>
      </c>
      <c r="C104" s="1083" t="s">
        <v>11210</v>
      </c>
      <c r="D104" s="20">
        <v>804137</v>
      </c>
      <c r="E104" s="33"/>
      <c r="F104" s="20">
        <f t="shared" si="1"/>
        <v>8344339</v>
      </c>
    </row>
    <row r="105" spans="1:7" s="7" customFormat="1" ht="15.75" x14ac:dyDescent="0.25">
      <c r="A105" s="113">
        <v>45192</v>
      </c>
      <c r="B105" s="21" t="s">
        <v>9356</v>
      </c>
      <c r="C105" s="1083" t="s">
        <v>11252</v>
      </c>
      <c r="D105" s="20">
        <v>16000</v>
      </c>
      <c r="E105" s="33"/>
      <c r="F105" s="20">
        <f t="shared" si="1"/>
        <v>8360339</v>
      </c>
    </row>
    <row r="106" spans="1:7" s="7" customFormat="1" ht="15.75" x14ac:dyDescent="0.25">
      <c r="A106" s="113">
        <v>45194</v>
      </c>
      <c r="B106" s="13" t="s">
        <v>11174</v>
      </c>
      <c r="C106" s="1083"/>
      <c r="D106" s="20"/>
      <c r="E106" s="33">
        <v>500000</v>
      </c>
      <c r="F106" s="20">
        <f t="shared" si="1"/>
        <v>7860339</v>
      </c>
    </row>
    <row r="107" spans="1:7" s="7" customFormat="1" ht="15.75" x14ac:dyDescent="0.25">
      <c r="A107" s="113">
        <v>45195</v>
      </c>
      <c r="B107" s="13" t="s">
        <v>11174</v>
      </c>
      <c r="C107" s="1083"/>
      <c r="D107" s="20"/>
      <c r="E107" s="33">
        <v>800000</v>
      </c>
      <c r="F107" s="20">
        <f t="shared" si="1"/>
        <v>7060339</v>
      </c>
      <c r="G107" s="731"/>
    </row>
    <row r="108" spans="1:7" s="7" customFormat="1" ht="15.75" x14ac:dyDescent="0.25">
      <c r="A108" s="113">
        <v>45195</v>
      </c>
      <c r="B108" s="21" t="s">
        <v>10232</v>
      </c>
      <c r="C108" s="1083" t="s">
        <v>11253</v>
      </c>
      <c r="D108" s="20">
        <v>716336</v>
      </c>
      <c r="E108" s="33"/>
      <c r="F108" s="20">
        <f t="shared" si="1"/>
        <v>7776675</v>
      </c>
      <c r="G108" s="1076"/>
    </row>
    <row r="109" spans="1:7" s="7" customFormat="1" ht="15.75" x14ac:dyDescent="0.25">
      <c r="A109" s="113">
        <v>45197</v>
      </c>
      <c r="B109" s="21" t="s">
        <v>11075</v>
      </c>
      <c r="C109" s="1083" t="s">
        <v>11254</v>
      </c>
      <c r="D109" s="20">
        <v>147702</v>
      </c>
      <c r="E109" s="33"/>
      <c r="F109" s="20">
        <f t="shared" si="1"/>
        <v>7924377</v>
      </c>
      <c r="G109" s="1076"/>
    </row>
    <row r="110" spans="1:7" s="7" customFormat="1" ht="15.75" x14ac:dyDescent="0.25">
      <c r="A110" s="113">
        <v>45195</v>
      </c>
      <c r="B110" s="13" t="s">
        <v>11174</v>
      </c>
      <c r="C110" s="1083"/>
      <c r="D110" s="20"/>
      <c r="E110" s="33">
        <v>500000</v>
      </c>
      <c r="F110" s="20">
        <f t="shared" si="1"/>
        <v>7424377</v>
      </c>
      <c r="G110" s="731"/>
    </row>
    <row r="111" spans="1:7" s="7" customFormat="1" ht="21" x14ac:dyDescent="0.25">
      <c r="A111" s="113">
        <v>45197</v>
      </c>
      <c r="B111" s="21" t="s">
        <v>11264</v>
      </c>
      <c r="C111" s="1083"/>
      <c r="D111" s="20"/>
      <c r="E111" s="33">
        <v>50000</v>
      </c>
      <c r="F111" s="20">
        <f t="shared" si="1"/>
        <v>7374377</v>
      </c>
      <c r="G111" s="1080"/>
    </row>
    <row r="112" spans="1:7" s="7" customFormat="1" ht="15.75" x14ac:dyDescent="0.25">
      <c r="A112" s="113">
        <v>45202</v>
      </c>
      <c r="B112" s="21" t="s">
        <v>10576</v>
      </c>
      <c r="C112" s="1083" t="s">
        <v>11255</v>
      </c>
      <c r="D112" s="20">
        <v>64000</v>
      </c>
      <c r="E112" s="33"/>
      <c r="F112" s="20">
        <f t="shared" si="1"/>
        <v>7438377</v>
      </c>
    </row>
    <row r="113" spans="1:7" s="7" customFormat="1" ht="15.75" x14ac:dyDescent="0.25">
      <c r="A113" s="113">
        <v>45202</v>
      </c>
      <c r="B113" s="21" t="s">
        <v>10232</v>
      </c>
      <c r="C113" s="1083" t="s">
        <v>11256</v>
      </c>
      <c r="D113" s="20">
        <v>683270</v>
      </c>
      <c r="E113" s="33"/>
      <c r="F113" s="20">
        <f t="shared" si="1"/>
        <v>8121647</v>
      </c>
    </row>
    <row r="114" spans="1:7" s="7" customFormat="1" ht="15.75" x14ac:dyDescent="0.25">
      <c r="A114" s="113">
        <v>45202</v>
      </c>
      <c r="B114" s="13" t="s">
        <v>11174</v>
      </c>
      <c r="C114" s="1083"/>
      <c r="D114" s="20"/>
      <c r="E114" s="33">
        <v>200000</v>
      </c>
      <c r="F114" s="20">
        <f t="shared" si="1"/>
        <v>7921647</v>
      </c>
    </row>
    <row r="115" spans="1:7" s="7" customFormat="1" ht="15.75" x14ac:dyDescent="0.25">
      <c r="A115" s="113">
        <v>45205</v>
      </c>
      <c r="B115" s="21" t="s">
        <v>10232</v>
      </c>
      <c r="C115" s="1083" t="s">
        <v>11353</v>
      </c>
      <c r="D115" s="20">
        <v>461969</v>
      </c>
      <c r="E115" s="33"/>
      <c r="F115" s="20">
        <f t="shared" si="1"/>
        <v>8383616</v>
      </c>
    </row>
    <row r="116" spans="1:7" s="7" customFormat="1" ht="15.75" x14ac:dyDescent="0.25">
      <c r="A116" s="113">
        <v>45205</v>
      </c>
      <c r="B116" s="21" t="s">
        <v>10576</v>
      </c>
      <c r="C116" s="1083" t="s">
        <v>11354</v>
      </c>
      <c r="D116" s="20">
        <v>461969</v>
      </c>
      <c r="E116" s="33"/>
      <c r="F116" s="20">
        <f t="shared" si="1"/>
        <v>8845585</v>
      </c>
    </row>
    <row r="117" spans="1:7" s="7" customFormat="1" ht="15.75" x14ac:dyDescent="0.25">
      <c r="A117" s="113">
        <v>45213</v>
      </c>
      <c r="B117" s="21" t="s">
        <v>10232</v>
      </c>
      <c r="C117" s="1083" t="s">
        <v>11411</v>
      </c>
      <c r="D117" s="20">
        <v>48000</v>
      </c>
      <c r="E117" s="33"/>
      <c r="F117" s="20">
        <f t="shared" si="1"/>
        <v>8893585</v>
      </c>
    </row>
    <row r="118" spans="1:7" s="7" customFormat="1" ht="15.75" x14ac:dyDescent="0.25">
      <c r="A118" s="113">
        <v>45213</v>
      </c>
      <c r="B118" s="21" t="s">
        <v>10576</v>
      </c>
      <c r="C118" s="1083" t="s">
        <v>11412</v>
      </c>
      <c r="D118" s="20">
        <v>374168</v>
      </c>
      <c r="E118" s="33"/>
      <c r="F118" s="20">
        <f t="shared" si="1"/>
        <v>9267753</v>
      </c>
    </row>
    <row r="119" spans="1:7" s="7" customFormat="1" ht="15.75" x14ac:dyDescent="0.25">
      <c r="A119" s="113">
        <v>45217</v>
      </c>
      <c r="B119" s="21" t="s">
        <v>10232</v>
      </c>
      <c r="C119" s="1083" t="s">
        <v>11413</v>
      </c>
      <c r="D119" s="20">
        <v>374168</v>
      </c>
      <c r="E119" s="33"/>
      <c r="F119" s="20">
        <f t="shared" si="1"/>
        <v>9641921</v>
      </c>
    </row>
    <row r="120" spans="1:7" s="7" customFormat="1" ht="15.75" x14ac:dyDescent="0.25">
      <c r="A120" s="113">
        <v>45217</v>
      </c>
      <c r="B120" s="21" t="s">
        <v>10576</v>
      </c>
      <c r="C120" s="1083" t="s">
        <v>11414</v>
      </c>
      <c r="D120" s="20">
        <v>374168</v>
      </c>
      <c r="E120" s="33"/>
      <c r="F120" s="20">
        <f t="shared" si="1"/>
        <v>10016089</v>
      </c>
    </row>
    <row r="121" spans="1:7" s="7" customFormat="1" ht="15.75" x14ac:dyDescent="0.25">
      <c r="A121" s="113">
        <v>45229</v>
      </c>
      <c r="B121" s="21" t="s">
        <v>10232</v>
      </c>
      <c r="C121" s="1083" t="s">
        <v>11573</v>
      </c>
      <c r="D121" s="20">
        <v>437436</v>
      </c>
      <c r="E121" s="33"/>
      <c r="F121" s="20">
        <f t="shared" si="1"/>
        <v>10453525</v>
      </c>
    </row>
    <row r="122" spans="1:7" s="7" customFormat="1" ht="15.75" x14ac:dyDescent="0.25">
      <c r="A122" s="113">
        <v>45230</v>
      </c>
      <c r="B122" s="21" t="s">
        <v>11075</v>
      </c>
      <c r="C122" s="1083" t="s">
        <v>11574</v>
      </c>
      <c r="D122" s="20">
        <v>43900</v>
      </c>
      <c r="E122" s="33"/>
      <c r="F122" s="20">
        <f t="shared" si="1"/>
        <v>10497425</v>
      </c>
    </row>
    <row r="123" spans="1:7" s="7" customFormat="1" ht="15.75" x14ac:dyDescent="0.25">
      <c r="A123" s="113">
        <v>45231</v>
      </c>
      <c r="B123" s="13" t="s">
        <v>11540</v>
      </c>
      <c r="C123" s="1083"/>
      <c r="D123" s="20"/>
      <c r="E123" s="33">
        <v>350000</v>
      </c>
      <c r="F123" s="20">
        <f t="shared" si="1"/>
        <v>10147425</v>
      </c>
    </row>
    <row r="124" spans="1:7" s="7" customFormat="1" ht="15.75" x14ac:dyDescent="0.25">
      <c r="A124" s="113">
        <v>45231</v>
      </c>
      <c r="B124" s="13" t="s">
        <v>11541</v>
      </c>
      <c r="C124" s="1083"/>
      <c r="D124" s="20"/>
      <c r="E124" s="33">
        <v>350000</v>
      </c>
      <c r="F124" s="20">
        <f t="shared" si="1"/>
        <v>9797425</v>
      </c>
    </row>
    <row r="125" spans="1:7" s="7" customFormat="1" ht="15.75" x14ac:dyDescent="0.25">
      <c r="A125" s="113">
        <v>45231</v>
      </c>
      <c r="B125" s="21" t="s">
        <v>10576</v>
      </c>
      <c r="C125" s="1083" t="s">
        <v>11576</v>
      </c>
      <c r="D125" s="20">
        <v>168867</v>
      </c>
      <c r="E125" s="33"/>
      <c r="F125" s="20">
        <f t="shared" si="1"/>
        <v>9966292</v>
      </c>
    </row>
    <row r="126" spans="1:7" s="7" customFormat="1" ht="15.75" x14ac:dyDescent="0.25">
      <c r="A126" s="113">
        <v>45233</v>
      </c>
      <c r="B126" s="13" t="s">
        <v>11547</v>
      </c>
      <c r="C126" s="1083"/>
      <c r="D126" s="20"/>
      <c r="E126" s="33">
        <v>350000</v>
      </c>
      <c r="F126" s="20">
        <f t="shared" si="1"/>
        <v>9616292</v>
      </c>
    </row>
    <row r="127" spans="1:7" s="7" customFormat="1" ht="15.75" x14ac:dyDescent="0.25">
      <c r="A127" s="113">
        <v>45233</v>
      </c>
      <c r="B127" s="21" t="s">
        <v>11548</v>
      </c>
      <c r="C127" s="1083"/>
      <c r="D127" s="20"/>
      <c r="E127" s="33">
        <v>350000</v>
      </c>
      <c r="F127" s="20">
        <f t="shared" si="1"/>
        <v>9266292</v>
      </c>
      <c r="G127" s="1076"/>
    </row>
    <row r="128" spans="1:7" s="7" customFormat="1" ht="15.75" x14ac:dyDescent="0.25">
      <c r="A128" s="113">
        <v>45233</v>
      </c>
      <c r="B128" s="21" t="s">
        <v>10576</v>
      </c>
      <c r="C128" s="1083" t="s">
        <v>11577</v>
      </c>
      <c r="D128" s="20">
        <v>224668</v>
      </c>
      <c r="E128" s="33"/>
      <c r="F128" s="20">
        <f t="shared" si="1"/>
        <v>9490960</v>
      </c>
    </row>
    <row r="129" spans="1:6" s="7" customFormat="1" ht="15.75" x14ac:dyDescent="0.25">
      <c r="A129" s="113">
        <v>45233</v>
      </c>
      <c r="B129" s="21" t="s">
        <v>10232</v>
      </c>
      <c r="C129" s="1083" t="s">
        <v>11575</v>
      </c>
      <c r="D129" s="20">
        <v>32000</v>
      </c>
      <c r="E129" s="33"/>
      <c r="F129" s="20">
        <f t="shared" si="1"/>
        <v>9522960</v>
      </c>
    </row>
    <row r="130" spans="1:6" ht="15.75" x14ac:dyDescent="0.25">
      <c r="A130" s="113">
        <v>45236</v>
      </c>
      <c r="B130" s="2" t="s">
        <v>10232</v>
      </c>
      <c r="C130" s="1083" t="s">
        <v>11649</v>
      </c>
      <c r="D130" s="20">
        <v>32000</v>
      </c>
      <c r="E130" s="2"/>
      <c r="F130" s="20">
        <f t="shared" si="1"/>
        <v>9554960</v>
      </c>
    </row>
    <row r="131" spans="1:6" ht="15.75" x14ac:dyDescent="0.25">
      <c r="A131" s="113">
        <v>45237</v>
      </c>
      <c r="B131" s="2" t="s">
        <v>10909</v>
      </c>
      <c r="C131" s="1083" t="s">
        <v>11650</v>
      </c>
      <c r="D131" s="20">
        <v>32600</v>
      </c>
      <c r="E131" s="2"/>
      <c r="F131" s="20">
        <f t="shared" si="1"/>
        <v>9587560</v>
      </c>
    </row>
    <row r="132" spans="1:6" ht="15.75" x14ac:dyDescent="0.25">
      <c r="A132" s="113">
        <v>45237</v>
      </c>
      <c r="B132" s="2" t="s">
        <v>11648</v>
      </c>
      <c r="C132" s="2"/>
      <c r="D132" s="2"/>
      <c r="E132" s="33">
        <v>350000</v>
      </c>
      <c r="F132" s="20">
        <f t="shared" si="1"/>
        <v>9237560</v>
      </c>
    </row>
    <row r="133" spans="1:6" ht="15.75" x14ac:dyDescent="0.25">
      <c r="A133" s="113">
        <v>45237</v>
      </c>
      <c r="B133" s="2" t="s">
        <v>11647</v>
      </c>
      <c r="C133" s="2"/>
      <c r="D133" s="2"/>
      <c r="E133" s="33">
        <v>350000</v>
      </c>
      <c r="F133" s="20">
        <f t="shared" si="1"/>
        <v>8887560</v>
      </c>
    </row>
    <row r="134" spans="1:6" ht="15.75" x14ac:dyDescent="0.25">
      <c r="A134" s="113">
        <v>45241</v>
      </c>
      <c r="B134" s="2" t="s">
        <v>10296</v>
      </c>
      <c r="C134" s="1083" t="s">
        <v>11651</v>
      </c>
      <c r="D134" s="20">
        <v>43900</v>
      </c>
      <c r="E134" s="2"/>
      <c r="F134" s="20">
        <f t="shared" si="1"/>
        <v>8931460</v>
      </c>
    </row>
    <row r="135" spans="1:6" ht="15.75" x14ac:dyDescent="0.25">
      <c r="A135" s="113">
        <v>45244</v>
      </c>
      <c r="B135" s="21" t="s">
        <v>10576</v>
      </c>
      <c r="C135" s="1083"/>
      <c r="D135" s="20">
        <v>152867</v>
      </c>
      <c r="E135" s="2"/>
      <c r="F135" s="20">
        <f t="shared" si="1"/>
        <v>9084327</v>
      </c>
    </row>
    <row r="136" spans="1:6" ht="15.75" x14ac:dyDescent="0.25">
      <c r="A136" s="113">
        <v>45245</v>
      </c>
      <c r="B136" s="2" t="s">
        <v>11679</v>
      </c>
      <c r="C136" s="2"/>
      <c r="D136" s="15"/>
      <c r="E136" s="33">
        <v>350000</v>
      </c>
      <c r="F136" s="20">
        <f t="shared" si="1"/>
        <v>8734327</v>
      </c>
    </row>
    <row r="137" spans="1:6" ht="15.75" x14ac:dyDescent="0.25">
      <c r="A137" s="113">
        <v>45245</v>
      </c>
      <c r="B137" s="2" t="s">
        <v>11680</v>
      </c>
      <c r="C137" s="2"/>
      <c r="D137" s="15"/>
      <c r="E137" s="33">
        <v>350000</v>
      </c>
      <c r="F137" s="20">
        <f t="shared" si="1"/>
        <v>8384327</v>
      </c>
    </row>
    <row r="138" spans="1:6" ht="15.75" x14ac:dyDescent="0.25">
      <c r="A138" s="113">
        <v>45246</v>
      </c>
      <c r="B138" s="21" t="s">
        <v>10576</v>
      </c>
      <c r="C138" s="2"/>
      <c r="D138" s="15">
        <v>34290</v>
      </c>
      <c r="E138" s="33"/>
      <c r="F138" s="20">
        <f t="shared" si="1"/>
        <v>8418617</v>
      </c>
    </row>
    <row r="139" spans="1:6" ht="15.75" x14ac:dyDescent="0.25">
      <c r="A139" s="113">
        <v>45247</v>
      </c>
      <c r="B139" s="2" t="s">
        <v>11706</v>
      </c>
      <c r="C139" s="2"/>
      <c r="D139" s="15"/>
      <c r="E139" s="33">
        <v>500000</v>
      </c>
      <c r="F139" s="20">
        <f t="shared" si="1"/>
        <v>7918617</v>
      </c>
    </row>
    <row r="140" spans="1:6" ht="15.75" x14ac:dyDescent="0.25">
      <c r="A140" s="113">
        <v>45247</v>
      </c>
      <c r="B140" s="2" t="s">
        <v>11707</v>
      </c>
      <c r="C140" s="2"/>
      <c r="D140" s="15"/>
      <c r="E140" s="33">
        <v>500000</v>
      </c>
      <c r="F140" s="20">
        <f t="shared" si="1"/>
        <v>7418617</v>
      </c>
    </row>
    <row r="141" spans="1:6" ht="15.75" x14ac:dyDescent="0.25">
      <c r="A141" s="113">
        <v>45247</v>
      </c>
      <c r="B141" s="2" t="s">
        <v>10576</v>
      </c>
      <c r="C141" s="2"/>
      <c r="D141" s="15">
        <v>212768</v>
      </c>
      <c r="E141" s="33"/>
      <c r="F141" s="20">
        <f t="shared" si="1"/>
        <v>7631385</v>
      </c>
    </row>
    <row r="142" spans="1:6" ht="15.75" x14ac:dyDescent="0.25">
      <c r="A142" s="113">
        <v>45251</v>
      </c>
      <c r="B142" s="2" t="s">
        <v>10232</v>
      </c>
      <c r="C142" s="2"/>
      <c r="D142" s="15">
        <v>221300</v>
      </c>
      <c r="E142" s="33"/>
      <c r="F142" s="20">
        <f t="shared" si="1"/>
        <v>7852685</v>
      </c>
    </row>
    <row r="143" spans="1:6" ht="15.75" x14ac:dyDescent="0.25">
      <c r="A143" s="113">
        <v>45251</v>
      </c>
      <c r="B143" s="2" t="s">
        <v>10576</v>
      </c>
      <c r="C143" s="2"/>
      <c r="D143" s="15">
        <v>59900</v>
      </c>
      <c r="E143" s="14"/>
      <c r="F143" s="20">
        <f t="shared" si="1"/>
        <v>7912585</v>
      </c>
    </row>
    <row r="144" spans="1:6" ht="15.75" x14ac:dyDescent="0.25">
      <c r="A144" s="113">
        <v>45254</v>
      </c>
      <c r="B144" s="2" t="s">
        <v>11800</v>
      </c>
      <c r="C144" s="2"/>
      <c r="D144" s="15"/>
      <c r="E144" s="15">
        <v>850000</v>
      </c>
      <c r="F144" s="20">
        <f t="shared" si="1"/>
        <v>7062585</v>
      </c>
    </row>
    <row r="145" spans="1:6" ht="15.75" x14ac:dyDescent="0.25">
      <c r="A145" s="113">
        <v>45262</v>
      </c>
      <c r="B145" s="2" t="s">
        <v>11839</v>
      </c>
      <c r="C145" s="2"/>
      <c r="D145" s="2"/>
      <c r="E145" s="15">
        <v>1000000</v>
      </c>
      <c r="F145" s="20">
        <f t="shared" si="1"/>
        <v>6062585</v>
      </c>
    </row>
    <row r="146" spans="1:6" ht="15.75" x14ac:dyDescent="0.25">
      <c r="A146" s="113">
        <v>45264</v>
      </c>
      <c r="B146" s="2" t="s">
        <v>11174</v>
      </c>
      <c r="C146" s="2"/>
      <c r="D146" s="2"/>
      <c r="E146" s="15">
        <v>600000</v>
      </c>
      <c r="F146" s="20">
        <f t="shared" ref="F146:F151" si="2">F145+D146-E146</f>
        <v>5462585</v>
      </c>
    </row>
    <row r="147" spans="1:6" ht="15.75" x14ac:dyDescent="0.25">
      <c r="A147" s="113">
        <v>45265</v>
      </c>
      <c r="B147" s="2" t="s">
        <v>10232</v>
      </c>
      <c r="C147" s="2">
        <v>1777</v>
      </c>
      <c r="D147" s="2">
        <v>144334</v>
      </c>
      <c r="E147" s="15"/>
      <c r="F147" s="20">
        <f t="shared" si="2"/>
        <v>5606919</v>
      </c>
    </row>
    <row r="148" spans="1:6" s="930" customFormat="1" ht="30" x14ac:dyDescent="0.25">
      <c r="A148" s="113">
        <v>45275</v>
      </c>
      <c r="B148" s="713" t="s">
        <v>11933</v>
      </c>
      <c r="C148" s="119"/>
      <c r="D148" s="119"/>
      <c r="E148" s="367">
        <v>1000000</v>
      </c>
      <c r="F148" s="1085">
        <f t="shared" si="2"/>
        <v>4606919</v>
      </c>
    </row>
    <row r="149" spans="1:6" s="930" customFormat="1" ht="30" x14ac:dyDescent="0.25">
      <c r="A149" s="113">
        <v>45286</v>
      </c>
      <c r="B149" s="713" t="s">
        <v>12037</v>
      </c>
      <c r="C149" s="119"/>
      <c r="D149" s="119"/>
      <c r="E149" s="120">
        <v>1500000</v>
      </c>
      <c r="F149" s="1085">
        <f t="shared" si="2"/>
        <v>3106919</v>
      </c>
    </row>
    <row r="150" spans="1:6" ht="30" x14ac:dyDescent="0.25">
      <c r="A150" s="113">
        <v>45293</v>
      </c>
      <c r="B150" s="713" t="s">
        <v>12037</v>
      </c>
      <c r="C150" s="2"/>
      <c r="D150" s="2"/>
      <c r="E150" s="367">
        <v>1000000</v>
      </c>
      <c r="F150" s="1085">
        <f t="shared" si="2"/>
        <v>2106919</v>
      </c>
    </row>
    <row r="151" spans="1:6" ht="15.75" x14ac:dyDescent="0.25">
      <c r="A151" s="113">
        <v>45315</v>
      </c>
      <c r="B151" s="2" t="s">
        <v>12302</v>
      </c>
      <c r="C151" s="2"/>
      <c r="D151" s="2"/>
      <c r="E151" s="367">
        <v>1000000</v>
      </c>
      <c r="F151" s="1085">
        <f t="shared" si="2"/>
        <v>1106919</v>
      </c>
    </row>
    <row r="152" spans="1:6" x14ac:dyDescent="0.25">
      <c r="A152" s="2"/>
      <c r="B152" s="2"/>
      <c r="C152" s="2"/>
      <c r="D152" s="2"/>
      <c r="E152" s="2"/>
      <c r="F152" s="2"/>
    </row>
    <row r="153" spans="1:6" x14ac:dyDescent="0.25">
      <c r="A153" s="2"/>
      <c r="B153" s="2"/>
      <c r="C153" s="2"/>
      <c r="D153" s="2"/>
      <c r="E153" s="2"/>
      <c r="F153" s="2"/>
    </row>
    <row r="154" spans="1:6" x14ac:dyDescent="0.25">
      <c r="A154" s="2"/>
      <c r="B154" s="2"/>
      <c r="C154" s="2"/>
      <c r="D154" s="2"/>
      <c r="E154" s="2"/>
      <c r="F154" s="2"/>
    </row>
    <row r="155" spans="1:6" x14ac:dyDescent="0.25">
      <c r="A155" s="2"/>
      <c r="B155" s="2"/>
      <c r="C155" s="2"/>
      <c r="D155" s="2"/>
      <c r="E155" s="2"/>
      <c r="F155" s="2"/>
    </row>
    <row r="156" spans="1:6" x14ac:dyDescent="0.25">
      <c r="A156" s="2"/>
      <c r="B156" s="2"/>
      <c r="C156" s="2"/>
      <c r="D156" s="2"/>
      <c r="E156" s="2"/>
      <c r="F156" s="2"/>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A6" sqref="A6"/>
    </sheetView>
  </sheetViews>
  <sheetFormatPr defaultRowHeight="15" x14ac:dyDescent="0.25"/>
  <cols>
    <col min="1" max="1" width="39.140625" bestFit="1" customWidth="1"/>
    <col min="2" max="3" width="17.5703125" style="923" hidden="1" customWidth="1"/>
    <col min="4" max="4" width="22.85546875" style="923"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41" t="s">
        <v>0</v>
      </c>
      <c r="B3" s="1142" t="s">
        <v>47</v>
      </c>
      <c r="C3" s="924" t="s">
        <v>158</v>
      </c>
      <c r="D3" s="924" t="s">
        <v>5</v>
      </c>
    </row>
    <row r="4" spans="1:5" ht="15.75" thickBot="1" x14ac:dyDescent="0.3">
      <c r="B4"/>
      <c r="C4"/>
      <c r="D4"/>
    </row>
    <row r="5" spans="1:5" ht="21.75" thickBot="1" x14ac:dyDescent="0.4">
      <c r="A5" s="1143" t="s">
        <v>10193</v>
      </c>
      <c r="B5" s="1144" t="s">
        <v>1695</v>
      </c>
      <c r="C5" s="1145" t="s">
        <v>1802</v>
      </c>
      <c r="D5" s="1146" t="s">
        <v>46</v>
      </c>
      <c r="E5" s="1014" t="s">
        <v>10860</v>
      </c>
    </row>
    <row r="6" spans="1:5" ht="23.25" x14ac:dyDescent="0.35">
      <c r="A6" s="997" t="s">
        <v>7467</v>
      </c>
      <c r="B6" s="3">
        <v>29978988</v>
      </c>
      <c r="C6" s="3">
        <v>28149862</v>
      </c>
      <c r="D6" s="1147">
        <v>1829126</v>
      </c>
    </row>
    <row r="7" spans="1:5" ht="23.25" x14ac:dyDescent="0.35">
      <c r="A7" s="997" t="s">
        <v>5187</v>
      </c>
      <c r="B7" s="3">
        <v>5931440.5</v>
      </c>
      <c r="C7" s="3">
        <v>5182962</v>
      </c>
      <c r="D7" s="1148">
        <v>748478.5</v>
      </c>
    </row>
    <row r="8" spans="1:5" ht="23.25" x14ac:dyDescent="0.35">
      <c r="A8" s="997" t="s">
        <v>8394</v>
      </c>
      <c r="B8" s="3">
        <v>29661740</v>
      </c>
      <c r="C8" s="3">
        <v>29025797</v>
      </c>
      <c r="D8" s="1147">
        <v>635943</v>
      </c>
    </row>
    <row r="9" spans="1:5" ht="23.25" x14ac:dyDescent="0.35">
      <c r="A9" s="997" t="s">
        <v>7242</v>
      </c>
      <c r="B9" s="3">
        <v>14639202</v>
      </c>
      <c r="C9" s="3">
        <v>14033587</v>
      </c>
      <c r="D9" s="1148">
        <v>605615</v>
      </c>
    </row>
    <row r="10" spans="1:5" ht="23.25" x14ac:dyDescent="0.35">
      <c r="A10" s="997" t="s">
        <v>4725</v>
      </c>
      <c r="B10" s="3">
        <v>1680000</v>
      </c>
      <c r="C10" s="3">
        <v>1150000</v>
      </c>
      <c r="D10" s="1148">
        <v>530000</v>
      </c>
    </row>
    <row r="11" spans="1:5" ht="23.25" x14ac:dyDescent="0.35">
      <c r="A11" s="997" t="s">
        <v>6847</v>
      </c>
      <c r="B11" s="3">
        <v>903164</v>
      </c>
      <c r="C11" s="3">
        <v>500000</v>
      </c>
      <c r="D11" s="1148">
        <v>403164</v>
      </c>
    </row>
    <row r="12" spans="1:5" ht="23.25" x14ac:dyDescent="0.35">
      <c r="A12" s="997" t="s">
        <v>12038</v>
      </c>
      <c r="B12" s="3">
        <v>1894000</v>
      </c>
      <c r="C12" s="3">
        <v>1500000</v>
      </c>
      <c r="D12" s="1148">
        <v>394000</v>
      </c>
    </row>
    <row r="13" spans="1:5" ht="23.25" x14ac:dyDescent="0.35">
      <c r="A13" s="997" t="s">
        <v>5681</v>
      </c>
      <c r="B13" s="1045">
        <v>5519832</v>
      </c>
      <c r="C13" s="1045">
        <v>5161680</v>
      </c>
      <c r="D13" s="1148">
        <v>358152</v>
      </c>
    </row>
    <row r="14" spans="1:5" s="4" customFormat="1" ht="23.25" x14ac:dyDescent="0.35">
      <c r="A14" s="997" t="s">
        <v>169</v>
      </c>
      <c r="B14" s="1045">
        <v>7676718</v>
      </c>
      <c r="C14" s="1045">
        <v>7368204</v>
      </c>
      <c r="D14" s="1148">
        <v>308514</v>
      </c>
    </row>
    <row r="15" spans="1:5" ht="23.25" x14ac:dyDescent="0.35">
      <c r="A15" s="997" t="s">
        <v>7954</v>
      </c>
      <c r="B15" s="3">
        <v>4770000</v>
      </c>
      <c r="C15" s="3">
        <v>4470000</v>
      </c>
      <c r="D15" s="1148">
        <v>300000</v>
      </c>
    </row>
    <row r="16" spans="1:5" s="4" customFormat="1" ht="23.25" x14ac:dyDescent="0.35">
      <c r="A16" s="997" t="s">
        <v>180</v>
      </c>
      <c r="B16" s="1045">
        <v>27714467</v>
      </c>
      <c r="C16" s="1045">
        <v>27432612</v>
      </c>
      <c r="D16" s="1148">
        <v>281855</v>
      </c>
    </row>
    <row r="17" spans="1:5" ht="23.25" x14ac:dyDescent="0.35">
      <c r="A17" s="997" t="s">
        <v>168</v>
      </c>
      <c r="B17" s="1045">
        <v>17657960</v>
      </c>
      <c r="C17" s="1045">
        <v>17503188</v>
      </c>
      <c r="D17" s="1147">
        <v>154772</v>
      </c>
    </row>
    <row r="18" spans="1:5" ht="23.25" x14ac:dyDescent="0.35">
      <c r="A18" s="997" t="s">
        <v>2196</v>
      </c>
      <c r="B18" s="1045">
        <v>910728</v>
      </c>
      <c r="C18" s="1045">
        <v>769328</v>
      </c>
      <c r="D18" s="1148">
        <v>141400</v>
      </c>
      <c r="E18" s="4"/>
    </row>
    <row r="19" spans="1:5" ht="23.25" x14ac:dyDescent="0.35">
      <c r="A19" s="997" t="s">
        <v>166</v>
      </c>
      <c r="B19" s="1045">
        <v>21120514</v>
      </c>
      <c r="C19" s="1045">
        <v>21008626</v>
      </c>
      <c r="D19" s="1147">
        <v>111888</v>
      </c>
    </row>
    <row r="20" spans="1:5" ht="23.25" x14ac:dyDescent="0.35">
      <c r="A20" s="997" t="s">
        <v>12496</v>
      </c>
      <c r="B20" s="3">
        <v>3421062</v>
      </c>
      <c r="C20" s="3">
        <v>3320000</v>
      </c>
      <c r="D20" s="1148">
        <v>101062</v>
      </c>
    </row>
    <row r="21" spans="1:5" ht="23.25" x14ac:dyDescent="0.35">
      <c r="A21" s="997" t="s">
        <v>1803</v>
      </c>
      <c r="B21" s="1045">
        <v>15297184</v>
      </c>
      <c r="C21" s="1045">
        <v>15268691</v>
      </c>
      <c r="D21" s="1147">
        <v>28493</v>
      </c>
    </row>
    <row r="22" spans="1:5" s="4" customFormat="1" ht="23.25" x14ac:dyDescent="0.35">
      <c r="A22" s="997" t="s">
        <v>2386</v>
      </c>
      <c r="B22" s="1045">
        <v>18551</v>
      </c>
      <c r="C22" s="1045"/>
      <c r="D22" s="1148">
        <v>18551</v>
      </c>
    </row>
    <row r="23" spans="1:5" ht="23.25" x14ac:dyDescent="0.35">
      <c r="A23" s="997" t="s">
        <v>75</v>
      </c>
      <c r="B23" s="1045">
        <v>17519</v>
      </c>
      <c r="C23" s="1045"/>
      <c r="D23" s="1148">
        <v>17519</v>
      </c>
    </row>
    <row r="24" spans="1:5" s="4" customFormat="1" ht="23.25" x14ac:dyDescent="0.35">
      <c r="A24" s="997" t="s">
        <v>9080</v>
      </c>
      <c r="B24" s="3">
        <v>885000</v>
      </c>
      <c r="C24" s="3">
        <v>885000</v>
      </c>
      <c r="D24" s="1147">
        <v>0</v>
      </c>
    </row>
    <row r="25" spans="1:5" ht="23.25" x14ac:dyDescent="0.35">
      <c r="A25" s="997" t="s">
        <v>8900</v>
      </c>
      <c r="B25" s="3">
        <v>612552</v>
      </c>
      <c r="C25" s="3">
        <v>612552</v>
      </c>
      <c r="D25" s="1148">
        <v>0</v>
      </c>
    </row>
    <row r="26" spans="1:5" s="4" customFormat="1" ht="23.25" x14ac:dyDescent="0.35">
      <c r="A26" s="997" t="s">
        <v>438</v>
      </c>
      <c r="B26" s="1045">
        <v>2798262</v>
      </c>
      <c r="C26" s="1045">
        <v>2798262</v>
      </c>
      <c r="D26" s="1148">
        <v>0</v>
      </c>
    </row>
    <row r="27" spans="1:5" ht="23.25" x14ac:dyDescent="0.35">
      <c r="A27" s="997" t="s">
        <v>3011</v>
      </c>
      <c r="B27" s="1045">
        <v>3121578</v>
      </c>
      <c r="C27" s="1045">
        <v>3121578</v>
      </c>
      <c r="D27" s="1148">
        <v>0</v>
      </c>
    </row>
    <row r="28" spans="1:5" ht="23.25" x14ac:dyDescent="0.35">
      <c r="A28" s="997" t="s">
        <v>11329</v>
      </c>
      <c r="B28" s="3">
        <v>1061510</v>
      </c>
      <c r="C28" s="3">
        <v>1061510</v>
      </c>
      <c r="D28" s="1147">
        <v>0</v>
      </c>
    </row>
    <row r="29" spans="1:5" s="4" customFormat="1" ht="23.25" x14ac:dyDescent="0.35">
      <c r="A29" s="997" t="s">
        <v>6767</v>
      </c>
      <c r="B29" s="1045">
        <v>137550</v>
      </c>
      <c r="C29" s="1045">
        <v>137550</v>
      </c>
      <c r="D29" s="1148">
        <v>0</v>
      </c>
    </row>
    <row r="30" spans="1:5" ht="23.25" x14ac:dyDescent="0.35">
      <c r="A30" s="997" t="s">
        <v>12282</v>
      </c>
      <c r="B30" s="3">
        <v>1600298</v>
      </c>
      <c r="C30" s="3">
        <v>1600298</v>
      </c>
      <c r="D30" s="1148">
        <v>0</v>
      </c>
    </row>
    <row r="31" spans="1:5" s="4" customFormat="1" ht="23.25" x14ac:dyDescent="0.35">
      <c r="A31" s="997" t="s">
        <v>1815</v>
      </c>
      <c r="B31" s="1045">
        <v>11639548</v>
      </c>
      <c r="C31" s="1045">
        <v>11639548</v>
      </c>
      <c r="D31" s="1148">
        <v>0</v>
      </c>
    </row>
    <row r="32" spans="1:5" ht="23.25" x14ac:dyDescent="0.35">
      <c r="A32" s="997" t="s">
        <v>11324</v>
      </c>
      <c r="B32" s="3">
        <v>4226000</v>
      </c>
      <c r="C32" s="3">
        <v>4226000</v>
      </c>
      <c r="D32" s="1147">
        <v>0</v>
      </c>
    </row>
    <row r="33" spans="1:4" s="4" customFormat="1" ht="23.25" x14ac:dyDescent="0.35">
      <c r="A33" s="997" t="s">
        <v>8456</v>
      </c>
      <c r="B33" s="3">
        <v>1063000</v>
      </c>
      <c r="C33" s="3">
        <v>1063000</v>
      </c>
      <c r="D33" s="1147">
        <v>0</v>
      </c>
    </row>
    <row r="34" spans="1:4" ht="23.25" x14ac:dyDescent="0.35">
      <c r="A34" s="997" t="s">
        <v>162</v>
      </c>
      <c r="B34" s="1045">
        <v>1123152</v>
      </c>
      <c r="C34" s="1045">
        <v>1123152</v>
      </c>
      <c r="D34" s="1148">
        <v>0</v>
      </c>
    </row>
    <row r="35" spans="1:4" ht="23.25" x14ac:dyDescent="0.35">
      <c r="A35" s="997" t="s">
        <v>8708</v>
      </c>
      <c r="B35" s="3">
        <v>300000</v>
      </c>
      <c r="C35" s="3">
        <v>300000</v>
      </c>
      <c r="D35" s="1147">
        <v>0</v>
      </c>
    </row>
    <row r="36" spans="1:4" s="4" customFormat="1" ht="23.25" x14ac:dyDescent="0.35">
      <c r="A36" s="997" t="s">
        <v>8091</v>
      </c>
      <c r="B36" s="3">
        <v>11250000</v>
      </c>
      <c r="C36" s="3">
        <v>11250000</v>
      </c>
      <c r="D36" s="1148">
        <v>0</v>
      </c>
    </row>
    <row r="37" spans="1:4" ht="23.25" x14ac:dyDescent="0.35">
      <c r="A37" s="997" t="s">
        <v>161</v>
      </c>
      <c r="B37" s="1045">
        <v>5104663</v>
      </c>
      <c r="C37" s="1045">
        <v>5122182</v>
      </c>
      <c r="D37" s="1148">
        <v>-17519</v>
      </c>
    </row>
    <row r="38" spans="1:4" ht="24" thickBot="1" x14ac:dyDescent="0.4">
      <c r="A38" s="997" t="s">
        <v>164</v>
      </c>
      <c r="B38" s="1045">
        <v>5810291</v>
      </c>
      <c r="C38" s="1045">
        <v>5833047</v>
      </c>
      <c r="D38" s="1148">
        <v>-22756</v>
      </c>
    </row>
    <row r="39" spans="1:4" ht="19.5" thickBot="1" x14ac:dyDescent="0.35">
      <c r="A39" s="1149" t="s">
        <v>45</v>
      </c>
      <c r="B39" s="1150">
        <v>239546473.5</v>
      </c>
      <c r="C39" s="1151">
        <v>232618216</v>
      </c>
      <c r="D39" s="1152">
        <v>6928257.5</v>
      </c>
    </row>
    <row r="40" spans="1:4" s="4" customFormat="1" ht="18.75" x14ac:dyDescent="0.3">
      <c r="A40"/>
      <c r="B40"/>
      <c r="C40"/>
      <c r="D40"/>
    </row>
    <row r="41" spans="1:4" x14ac:dyDescent="0.25">
      <c r="B41"/>
      <c r="C41"/>
      <c r="D41"/>
    </row>
    <row r="42" spans="1:4" x14ac:dyDescent="0.25">
      <c r="B42"/>
      <c r="C42"/>
      <c r="D42"/>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9.5" thickBot="1" x14ac:dyDescent="0.35">
      <c r="A64"/>
      <c r="B64"/>
      <c r="C64"/>
      <c r="D64"/>
    </row>
    <row r="65" spans="1:11" ht="15.75" thickBot="1" x14ac:dyDescent="0.3">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764</v>
      </c>
      <c r="G70" s="245"/>
      <c r="H70" s="245"/>
      <c r="I70" s="245">
        <f ca="1">SUMIF($A:$D,$F$70,D:D)</f>
        <v>154772</v>
      </c>
    </row>
    <row r="71" spans="1:11" ht="18.75" x14ac:dyDescent="0.3">
      <c r="B71"/>
      <c r="C71"/>
      <c r="D71"/>
      <c r="F71" s="4" t="s">
        <v>11953</v>
      </c>
      <c r="G71" s="245">
        <f ca="1">SUMIF($A:$B,F71,B:B)</f>
        <v>1600298</v>
      </c>
      <c r="H71" s="245">
        <f ca="1">SUMIF($A:$C,F71,C:C)</f>
        <v>1600298</v>
      </c>
      <c r="I71" s="245">
        <f ca="1">SUMIF(A:D,F71,D:D)</f>
        <v>0</v>
      </c>
    </row>
    <row r="72" spans="1:11" ht="18.75" x14ac:dyDescent="0.3">
      <c r="B72"/>
      <c r="C72"/>
      <c r="D72"/>
      <c r="F72" s="4" t="s">
        <v>11954</v>
      </c>
      <c r="G72" s="245">
        <f ca="1">SUMIF($A:$B,F72,B:B)</f>
        <v>0</v>
      </c>
      <c r="H72" s="245">
        <f ca="1">SUMIF($A:$C,F72,C:C)</f>
        <v>0</v>
      </c>
      <c r="I72" s="245">
        <f ca="1">SUMIF(A:D,F72,D:D)</f>
        <v>0</v>
      </c>
    </row>
    <row r="73" spans="1:11" ht="18.75" x14ac:dyDescent="0.3">
      <c r="B73"/>
      <c r="C73"/>
      <c r="D73"/>
      <c r="F73" s="4" t="s">
        <v>11955</v>
      </c>
      <c r="G73" s="245">
        <f ca="1">SUMIF($A:$B,F73,B:B)</f>
        <v>0</v>
      </c>
      <c r="H73" s="245">
        <f ca="1">SUMIF($A:$C,F73,C:C)</f>
        <v>0</v>
      </c>
      <c r="I73" s="245">
        <f ca="1">SUMIF(A:D,F73,D:D)</f>
        <v>0</v>
      </c>
    </row>
    <row r="74" spans="1:11" s="5" customFormat="1" ht="18.75" x14ac:dyDescent="0.3">
      <c r="A74"/>
      <c r="B74"/>
      <c r="C74"/>
      <c r="D74"/>
      <c r="I74" s="1104">
        <f ca="1">SUM(I70:I73)</f>
        <v>154772</v>
      </c>
      <c r="K74" s="1104"/>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816772</v>
      </c>
      <c r="K78" s="3"/>
    </row>
    <row r="79" spans="1:11" x14ac:dyDescent="0.25">
      <c r="B79"/>
      <c r="C79"/>
      <c r="D79"/>
    </row>
    <row r="80" spans="1:11" x14ac:dyDescent="0.25">
      <c r="B80"/>
      <c r="C80"/>
      <c r="D80"/>
      <c r="I80" s="3">
        <f ca="1">I78-155000</f>
        <v>661772</v>
      </c>
    </row>
    <row r="81" spans="2:11" x14ac:dyDescent="0.25">
      <c r="B81"/>
      <c r="C81"/>
      <c r="D81"/>
    </row>
    <row r="82" spans="2:11" x14ac:dyDescent="0.25">
      <c r="B82"/>
      <c r="C82"/>
      <c r="D82"/>
      <c r="K82" s="3"/>
    </row>
    <row r="83" spans="2:11" x14ac:dyDescent="0.25">
      <c r="B83"/>
      <c r="C83"/>
      <c r="D83"/>
    </row>
    <row r="84" spans="2:11" ht="15.75" thickBot="1" x14ac:dyDescent="0.3">
      <c r="B84"/>
      <c r="C84"/>
      <c r="D84"/>
    </row>
    <row r="85" spans="2:11" ht="15.75" thickBot="1" x14ac:dyDescent="0.3">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ht="15.75" thickBot="1" x14ac:dyDescent="0.3">
      <c r="B93"/>
      <c r="C93"/>
      <c r="D93"/>
    </row>
    <row r="94" spans="2:11" ht="15.75" thickBot="1" x14ac:dyDescent="0.3">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ht="15.75" thickBot="1" x14ac:dyDescent="0.3"/>
    <row r="112" customFormat="1" ht="15.75" thickBot="1" x14ac:dyDescent="0.3"/>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0" sqref="A20"/>
    </sheetView>
  </sheetViews>
  <sheetFormatPr defaultColWidth="8.85546875" defaultRowHeight="18.75" x14ac:dyDescent="0.3"/>
  <cols>
    <col min="1" max="1" width="32.42578125" style="245" bestFit="1" customWidth="1"/>
    <col min="2" max="2" width="16" style="245" bestFit="1" customWidth="1"/>
    <col min="3" max="3" width="13.42578125" style="245" bestFit="1" customWidth="1"/>
    <col min="4" max="4" width="16.85546875" style="4" bestFit="1" customWidth="1"/>
    <col min="5" max="5" width="20.140625" style="4" customWidth="1"/>
    <col min="6" max="16384" width="8.85546875" style="4"/>
  </cols>
  <sheetData>
    <row r="1" spans="1:10" hidden="1" x14ac:dyDescent="0.3">
      <c r="A1" s="286" t="s">
        <v>0</v>
      </c>
      <c r="B1" s="286" t="s">
        <v>47</v>
      </c>
    </row>
    <row r="2" spans="1:10" hidden="1" x14ac:dyDescent="0.3">
      <c r="A2" s="286" t="s">
        <v>2</v>
      </c>
      <c r="B2" s="286" t="s">
        <v>47</v>
      </c>
    </row>
    <row r="3" spans="1:10" hidden="1" x14ac:dyDescent="0.3">
      <c r="A3" s="286" t="s">
        <v>840</v>
      </c>
      <c r="B3" s="286" t="s">
        <v>47</v>
      </c>
    </row>
    <row r="4" spans="1:10" ht="24" hidden="1" thickBot="1" x14ac:dyDescent="0.35">
      <c r="A4"/>
      <c r="B4"/>
      <c r="C4"/>
      <c r="D4"/>
      <c r="F4" s="98"/>
      <c r="H4" s="1155"/>
      <c r="I4" s="1155"/>
      <c r="J4" s="1155"/>
    </row>
    <row r="5" spans="1:10" ht="24" thickBot="1" x14ac:dyDescent="0.35">
      <c r="A5" s="287" t="s">
        <v>4137</v>
      </c>
      <c r="B5" s="288" t="s">
        <v>4134</v>
      </c>
      <c r="C5" s="288" t="s">
        <v>4135</v>
      </c>
      <c r="D5" s="288" t="s">
        <v>4136</v>
      </c>
      <c r="E5" s="1014" t="s">
        <v>10860</v>
      </c>
      <c r="H5" s="1155"/>
      <c r="I5" s="1155"/>
      <c r="J5" s="1155"/>
    </row>
    <row r="6" spans="1:10" x14ac:dyDescent="0.3">
      <c r="A6" s="330" t="s">
        <v>11560</v>
      </c>
      <c r="B6" s="290">
        <v>554300</v>
      </c>
      <c r="C6" s="290"/>
      <c r="D6" s="290">
        <v>-554300</v>
      </c>
    </row>
    <row r="7" spans="1:10" x14ac:dyDescent="0.3">
      <c r="A7" s="330" t="s">
        <v>6967</v>
      </c>
      <c r="B7" s="290">
        <v>743400</v>
      </c>
      <c r="C7" s="290"/>
      <c r="D7" s="290">
        <v>-743400</v>
      </c>
    </row>
    <row r="8" spans="1:10" x14ac:dyDescent="0.3">
      <c r="A8" s="330" t="s">
        <v>9474</v>
      </c>
      <c r="B8" s="290">
        <v>311000</v>
      </c>
      <c r="C8" s="290"/>
      <c r="D8" s="290">
        <v>-311000</v>
      </c>
    </row>
    <row r="9" spans="1:10" x14ac:dyDescent="0.3">
      <c r="A9" s="330" t="s">
        <v>3446</v>
      </c>
      <c r="B9" s="290">
        <v>2728000</v>
      </c>
      <c r="C9" s="290"/>
      <c r="D9" s="290">
        <v>-2728000</v>
      </c>
    </row>
    <row r="10" spans="1:10" x14ac:dyDescent="0.3">
      <c r="A10" s="330" t="s">
        <v>266</v>
      </c>
      <c r="B10" s="290">
        <v>6025840</v>
      </c>
      <c r="C10" s="290"/>
      <c r="D10" s="290">
        <v>-6025840</v>
      </c>
    </row>
    <row r="11" spans="1:10" x14ac:dyDescent="0.3">
      <c r="A11" s="330" t="s">
        <v>10463</v>
      </c>
      <c r="B11" s="290">
        <v>5000</v>
      </c>
      <c r="C11" s="290"/>
      <c r="D11" s="290">
        <v>-5000</v>
      </c>
    </row>
    <row r="12" spans="1:10" x14ac:dyDescent="0.3">
      <c r="A12" s="330" t="s">
        <v>7775</v>
      </c>
      <c r="B12" s="290">
        <v>125000</v>
      </c>
      <c r="C12" s="290"/>
      <c r="D12" s="290">
        <v>-125000</v>
      </c>
    </row>
    <row r="13" spans="1:10" x14ac:dyDescent="0.3">
      <c r="A13" s="330" t="s">
        <v>10063</v>
      </c>
      <c r="B13" s="290">
        <v>416000</v>
      </c>
      <c r="C13" s="290"/>
      <c r="D13" s="290">
        <v>-416000</v>
      </c>
    </row>
    <row r="14" spans="1:10" x14ac:dyDescent="0.3">
      <c r="A14" s="330" t="s">
        <v>8502</v>
      </c>
      <c r="B14" s="290">
        <v>2079000</v>
      </c>
      <c r="C14" s="290"/>
      <c r="D14" s="290">
        <v>-2079000</v>
      </c>
    </row>
    <row r="15" spans="1:10" x14ac:dyDescent="0.3">
      <c r="A15" s="330" t="s">
        <v>10617</v>
      </c>
      <c r="B15" s="290">
        <v>770000</v>
      </c>
      <c r="C15" s="290"/>
      <c r="D15" s="290">
        <v>-770000</v>
      </c>
    </row>
    <row r="16" spans="1:10" x14ac:dyDescent="0.3">
      <c r="A16" s="330" t="s">
        <v>11772</v>
      </c>
      <c r="B16" s="290">
        <v>600000</v>
      </c>
      <c r="C16" s="290"/>
      <c r="D16" s="290">
        <v>-600000</v>
      </c>
    </row>
    <row r="17" spans="1:4" x14ac:dyDescent="0.3">
      <c r="A17" s="330" t="s">
        <v>10615</v>
      </c>
      <c r="B17" s="290">
        <v>30000</v>
      </c>
      <c r="C17" s="290"/>
      <c r="D17" s="290">
        <v>-30000</v>
      </c>
    </row>
    <row r="18" spans="1:4" x14ac:dyDescent="0.3">
      <c r="A18" s="330" t="s">
        <v>9750</v>
      </c>
      <c r="B18" s="290">
        <v>906000</v>
      </c>
      <c r="C18" s="290"/>
      <c r="D18" s="290">
        <v>-906000</v>
      </c>
    </row>
    <row r="19" spans="1:4" x14ac:dyDescent="0.3">
      <c r="A19" s="330" t="s">
        <v>8251</v>
      </c>
      <c r="B19" s="290">
        <v>2630000</v>
      </c>
      <c r="C19" s="290"/>
      <c r="D19" s="290">
        <v>-2630000</v>
      </c>
    </row>
    <row r="20" spans="1:4" x14ac:dyDescent="0.3">
      <c r="A20" s="330" t="s">
        <v>6423</v>
      </c>
      <c r="B20" s="290">
        <v>2252400</v>
      </c>
      <c r="C20" s="290"/>
      <c r="D20" s="290">
        <v>-2252400</v>
      </c>
    </row>
    <row r="21" spans="1:4" x14ac:dyDescent="0.3">
      <c r="A21" s="330" t="s">
        <v>9460</v>
      </c>
      <c r="B21" s="290">
        <v>2242200</v>
      </c>
      <c r="C21" s="290"/>
      <c r="D21" s="290">
        <v>-2242200</v>
      </c>
    </row>
    <row r="22" spans="1:4" x14ac:dyDescent="0.3">
      <c r="A22" s="330" t="s">
        <v>11536</v>
      </c>
      <c r="B22" s="290">
        <v>1200000</v>
      </c>
      <c r="C22" s="290"/>
      <c r="D22" s="290">
        <v>-1200000</v>
      </c>
    </row>
    <row r="23" spans="1:4" x14ac:dyDescent="0.3">
      <c r="A23" s="330" t="s">
        <v>10577</v>
      </c>
      <c r="B23" s="290">
        <v>1775000</v>
      </c>
      <c r="C23" s="290"/>
      <c r="D23" s="290">
        <v>-1775000</v>
      </c>
    </row>
    <row r="24" spans="1:4" x14ac:dyDescent="0.3">
      <c r="A24" s="330" t="s">
        <v>11386</v>
      </c>
      <c r="B24" s="290">
        <v>1590000</v>
      </c>
      <c r="C24" s="290"/>
      <c r="D24" s="290">
        <v>-1590000</v>
      </c>
    </row>
    <row r="25" spans="1:4" x14ac:dyDescent="0.3">
      <c r="A25" s="330" t="s">
        <v>8071</v>
      </c>
      <c r="B25" s="290">
        <v>2321000</v>
      </c>
      <c r="C25" s="290"/>
      <c r="D25" s="290">
        <v>-2321000</v>
      </c>
    </row>
    <row r="26" spans="1:4" x14ac:dyDescent="0.3">
      <c r="A26" s="330" t="s">
        <v>8900</v>
      </c>
      <c r="B26" s="290">
        <v>3089080</v>
      </c>
      <c r="C26" s="290"/>
      <c r="D26" s="290">
        <v>-3089080</v>
      </c>
    </row>
    <row r="27" spans="1:4" x14ac:dyDescent="0.3">
      <c r="A27" s="330" t="s">
        <v>11288</v>
      </c>
      <c r="B27" s="290">
        <v>230000</v>
      </c>
      <c r="C27" s="290"/>
      <c r="D27" s="290">
        <v>-230000</v>
      </c>
    </row>
    <row r="28" spans="1:4" x14ac:dyDescent="0.3">
      <c r="A28" s="330" t="s">
        <v>11029</v>
      </c>
      <c r="B28" s="290">
        <v>740000</v>
      </c>
      <c r="C28" s="290"/>
      <c r="D28" s="290">
        <v>-740000</v>
      </c>
    </row>
    <row r="29" spans="1:4" x14ac:dyDescent="0.3">
      <c r="A29" s="330" t="s">
        <v>3428</v>
      </c>
      <c r="B29" s="290">
        <v>5619800</v>
      </c>
      <c r="C29" s="290"/>
      <c r="D29" s="290">
        <v>-5619800</v>
      </c>
    </row>
    <row r="30" spans="1:4" x14ac:dyDescent="0.3">
      <c r="A30" s="289" t="s">
        <v>45</v>
      </c>
      <c r="B30" s="290">
        <v>38983020</v>
      </c>
      <c r="C30" s="290"/>
      <c r="D30" s="290">
        <v>-38983020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1" customFormat="1" x14ac:dyDescent="0.3">
      <c r="A47"/>
      <c r="B47"/>
      <c r="C47"/>
      <c r="D47"/>
    </row>
    <row r="48" spans="1:4" s="291" customFormat="1" x14ac:dyDescent="0.3">
      <c r="A48"/>
      <c r="B48"/>
      <c r="C48"/>
      <c r="D48"/>
    </row>
    <row r="49" spans="1:4" s="291" customFormat="1" x14ac:dyDescent="0.3">
      <c r="A49"/>
      <c r="B49"/>
      <c r="C49"/>
      <c r="D49"/>
    </row>
    <row r="50" spans="1:4" s="291" customFormat="1" x14ac:dyDescent="0.3">
      <c r="A50"/>
      <c r="B50"/>
      <c r="C50"/>
      <c r="D50"/>
    </row>
    <row r="51" spans="1:4" s="291" customFormat="1" x14ac:dyDescent="0.3">
      <c r="A51"/>
      <c r="B51"/>
      <c r="C51"/>
      <c r="D51"/>
    </row>
    <row r="52" spans="1:4" s="291" customFormat="1" x14ac:dyDescent="0.3">
      <c r="A52"/>
      <c r="B52"/>
      <c r="C52"/>
      <c r="D52"/>
    </row>
    <row r="53" spans="1:4" s="291" customFormat="1" x14ac:dyDescent="0.3">
      <c r="A53"/>
      <c r="B53"/>
      <c r="C53"/>
      <c r="D53"/>
    </row>
    <row r="54" spans="1:4" s="291" customFormat="1" x14ac:dyDescent="0.3">
      <c r="A54"/>
      <c r="B54"/>
      <c r="C54"/>
      <c r="D54"/>
    </row>
    <row r="55" spans="1:4" s="291" customFormat="1" x14ac:dyDescent="0.3">
      <c r="A55"/>
      <c r="B55"/>
      <c r="C55"/>
      <c r="D55"/>
    </row>
    <row r="56" spans="1:4" s="291" customFormat="1" x14ac:dyDescent="0.3">
      <c r="A56"/>
      <c r="B56"/>
      <c r="C56"/>
      <c r="D56"/>
    </row>
    <row r="57" spans="1:4" s="291" customFormat="1" x14ac:dyDescent="0.3">
      <c r="A57"/>
      <c r="B57"/>
      <c r="C57"/>
      <c r="D57"/>
    </row>
    <row r="58" spans="1:4" s="291" customFormat="1" x14ac:dyDescent="0.3">
      <c r="A58"/>
      <c r="B58"/>
      <c r="C58"/>
      <c r="D58"/>
    </row>
    <row r="59" spans="1:4" s="291" customFormat="1" x14ac:dyDescent="0.3">
      <c r="A59"/>
      <c r="B59"/>
      <c r="C59"/>
      <c r="D59"/>
    </row>
    <row r="60" spans="1:4" s="291" customFormat="1" x14ac:dyDescent="0.3">
      <c r="A60"/>
      <c r="B60"/>
      <c r="C60"/>
      <c r="D60"/>
    </row>
    <row r="61" spans="1:4" s="291" customFormat="1" x14ac:dyDescent="0.3">
      <c r="A61"/>
      <c r="B61"/>
      <c r="C61"/>
      <c r="D61"/>
    </row>
    <row r="62" spans="1:4" s="291" customFormat="1" x14ac:dyDescent="0.3">
      <c r="A62"/>
      <c r="B62"/>
      <c r="C62"/>
      <c r="D62"/>
    </row>
    <row r="63" spans="1:4" s="291" customFormat="1" x14ac:dyDescent="0.3">
      <c r="A63"/>
      <c r="B63"/>
      <c r="C63"/>
      <c r="D63"/>
    </row>
    <row r="64" spans="1:4" s="291" customFormat="1" x14ac:dyDescent="0.3">
      <c r="A64"/>
      <c r="B64"/>
      <c r="C64"/>
      <c r="D64"/>
    </row>
    <row r="65" spans="1:4" s="291" customFormat="1" x14ac:dyDescent="0.3">
      <c r="A65"/>
      <c r="B65"/>
      <c r="C65"/>
      <c r="D65"/>
    </row>
    <row r="66" spans="1:4" s="291" customFormat="1" x14ac:dyDescent="0.3">
      <c r="A66"/>
      <c r="B66"/>
      <c r="C66"/>
      <c r="D66"/>
    </row>
    <row r="67" spans="1:4" s="291" customFormat="1" x14ac:dyDescent="0.3">
      <c r="A67"/>
      <c r="B67"/>
      <c r="C67"/>
      <c r="D67"/>
    </row>
    <row r="68" spans="1:4" s="291" customFormat="1" x14ac:dyDescent="0.3">
      <c r="A68"/>
      <c r="B68"/>
      <c r="C68"/>
      <c r="D68"/>
    </row>
    <row r="69" spans="1:4" s="291" customFormat="1" x14ac:dyDescent="0.3">
      <c r="A69"/>
      <c r="B69"/>
      <c r="C69"/>
      <c r="D69"/>
    </row>
    <row r="70" spans="1:4" s="291" customFormat="1" x14ac:dyDescent="0.3">
      <c r="A70"/>
      <c r="B70"/>
      <c r="C70"/>
      <c r="D70"/>
    </row>
    <row r="71" spans="1:4" s="291" customFormat="1" x14ac:dyDescent="0.3">
      <c r="A71"/>
      <c r="B71"/>
      <c r="C71"/>
      <c r="D71"/>
    </row>
    <row r="72" spans="1:4" s="291" customFormat="1" x14ac:dyDescent="0.3">
      <c r="A72"/>
      <c r="B72"/>
      <c r="C72"/>
      <c r="D72"/>
    </row>
    <row r="73" spans="1:4" s="291" customFormat="1" x14ac:dyDescent="0.3">
      <c r="A73"/>
      <c r="B73"/>
      <c r="C73"/>
      <c r="D73"/>
    </row>
    <row r="74" spans="1:4" s="291" customFormat="1" x14ac:dyDescent="0.3">
      <c r="A74"/>
      <c r="B74"/>
      <c r="C74"/>
      <c r="D74"/>
    </row>
    <row r="75" spans="1:4" s="291" customFormat="1" x14ac:dyDescent="0.3">
      <c r="A75"/>
      <c r="B75"/>
      <c r="C75"/>
      <c r="D75"/>
    </row>
    <row r="76" spans="1:4" s="291" customFormat="1" x14ac:dyDescent="0.3">
      <c r="A76"/>
      <c r="B76"/>
      <c r="C76"/>
      <c r="D76"/>
    </row>
    <row r="77" spans="1:4" s="291" customFormat="1" x14ac:dyDescent="0.3">
      <c r="A77"/>
      <c r="B77"/>
      <c r="C77"/>
      <c r="D77"/>
    </row>
    <row r="78" spans="1:4" s="291" customFormat="1" x14ac:dyDescent="0.3">
      <c r="A78"/>
      <c r="B78"/>
      <c r="C78"/>
      <c r="D78"/>
    </row>
    <row r="79" spans="1:4" s="291" customFormat="1" x14ac:dyDescent="0.3">
      <c r="A79"/>
      <c r="B79"/>
      <c r="C79"/>
      <c r="D79"/>
    </row>
    <row r="80" spans="1:4" s="291" customFormat="1" x14ac:dyDescent="0.3">
      <c r="A80"/>
      <c r="B80"/>
      <c r="C80"/>
      <c r="D80"/>
    </row>
    <row r="81" spans="1:4" s="291" customFormat="1" x14ac:dyDescent="0.3">
      <c r="A81"/>
      <c r="B81"/>
      <c r="C81"/>
      <c r="D81"/>
    </row>
    <row r="82" spans="1:4" s="291" customFormat="1" x14ac:dyDescent="0.3">
      <c r="A82"/>
      <c r="B82"/>
      <c r="C82"/>
      <c r="D82"/>
    </row>
    <row r="83" spans="1:4" s="291" customFormat="1" x14ac:dyDescent="0.3">
      <c r="A83"/>
      <c r="B83"/>
      <c r="C83"/>
      <c r="D83"/>
    </row>
    <row r="84" spans="1:4" s="291" customFormat="1" x14ac:dyDescent="0.3">
      <c r="A84"/>
      <c r="B84"/>
      <c r="C84"/>
      <c r="D84"/>
    </row>
    <row r="85" spans="1:4" s="291" customFormat="1" x14ac:dyDescent="0.3">
      <c r="A85"/>
      <c r="B85"/>
      <c r="C85"/>
      <c r="D85"/>
    </row>
    <row r="86" spans="1:4" s="291" customFormat="1" x14ac:dyDescent="0.3">
      <c r="A86"/>
      <c r="B86"/>
      <c r="C86"/>
      <c r="D86"/>
    </row>
    <row r="87" spans="1:4" s="291" customFormat="1" x14ac:dyDescent="0.3">
      <c r="A87"/>
      <c r="B87"/>
      <c r="C87"/>
      <c r="D87"/>
    </row>
    <row r="88" spans="1:4" s="291" customFormat="1" x14ac:dyDescent="0.3">
      <c r="A88"/>
      <c r="B88"/>
      <c r="C88"/>
      <c r="D88"/>
    </row>
    <row r="89" spans="1:4" s="291" customFormat="1" x14ac:dyDescent="0.3">
      <c r="A89"/>
      <c r="B89"/>
      <c r="C89"/>
      <c r="D89"/>
    </row>
    <row r="90" spans="1:4" s="291" customFormat="1" x14ac:dyDescent="0.3">
      <c r="A90"/>
      <c r="B90"/>
      <c r="C90"/>
      <c r="D90"/>
    </row>
    <row r="91" spans="1:4" s="291" customFormat="1" x14ac:dyDescent="0.3">
      <c r="A91"/>
      <c r="B91"/>
      <c r="C91"/>
      <c r="D91"/>
    </row>
    <row r="92" spans="1:4" s="291" customFormat="1" x14ac:dyDescent="0.3">
      <c r="A92"/>
      <c r="B92"/>
      <c r="C92"/>
      <c r="D92"/>
    </row>
    <row r="93" spans="1:4" s="291" customFormat="1" x14ac:dyDescent="0.3">
      <c r="A93"/>
      <c r="B93"/>
      <c r="C93"/>
      <c r="D93"/>
    </row>
    <row r="94" spans="1:4" s="291" customFormat="1" x14ac:dyDescent="0.3">
      <c r="A94"/>
      <c r="B94"/>
      <c r="C94"/>
      <c r="D94"/>
    </row>
    <row r="95" spans="1:4" s="291" customFormat="1" x14ac:dyDescent="0.3">
      <c r="A95"/>
      <c r="B95"/>
      <c r="C95"/>
      <c r="D95"/>
    </row>
    <row r="96" spans="1:4" s="291" customFormat="1" x14ac:dyDescent="0.3">
      <c r="A96"/>
      <c r="B96"/>
      <c r="C96"/>
      <c r="D96"/>
    </row>
    <row r="97" spans="1:4" s="291" customFormat="1" x14ac:dyDescent="0.3">
      <c r="A97"/>
      <c r="B97"/>
      <c r="C97"/>
      <c r="D97"/>
    </row>
    <row r="98" spans="1:4" s="291" customFormat="1" x14ac:dyDescent="0.3">
      <c r="A98"/>
      <c r="B98"/>
      <c r="C98"/>
      <c r="D98"/>
    </row>
    <row r="99" spans="1:4" s="291" customFormat="1" x14ac:dyDescent="0.3">
      <c r="A99"/>
      <c r="B99"/>
      <c r="C99"/>
      <c r="D99"/>
    </row>
    <row r="100" spans="1:4" s="291" customFormat="1" x14ac:dyDescent="0.3">
      <c r="A100"/>
      <c r="B100"/>
      <c r="C100"/>
      <c r="D100"/>
    </row>
    <row r="101" spans="1:4" s="291"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7" customWidth="1"/>
    <col min="56" max="56" width="11.42578125" style="255" customWidth="1"/>
  </cols>
  <sheetData>
    <row r="1" spans="1:56" s="988" customFormat="1" ht="57" customHeight="1" x14ac:dyDescent="0.25">
      <c r="B1" s="992" t="s">
        <v>10576</v>
      </c>
      <c r="C1" s="992" t="s">
        <v>10379</v>
      </c>
      <c r="D1" s="993" t="s">
        <v>10163</v>
      </c>
      <c r="E1" s="992" t="s">
        <v>10338</v>
      </c>
      <c r="F1" s="992" t="s">
        <v>10296</v>
      </c>
      <c r="G1" s="992" t="s">
        <v>10232</v>
      </c>
      <c r="H1" s="992" t="s">
        <v>10144</v>
      </c>
      <c r="I1" s="992" t="s">
        <v>10122</v>
      </c>
      <c r="J1" s="992" t="s">
        <v>10023</v>
      </c>
      <c r="K1" s="992" t="s">
        <v>9832</v>
      </c>
      <c r="L1" s="992" t="s">
        <v>9769</v>
      </c>
      <c r="M1" s="992" t="s">
        <v>9661</v>
      </c>
      <c r="N1" s="992" t="s">
        <v>9464</v>
      </c>
      <c r="O1" s="992" t="s">
        <v>9507</v>
      </c>
      <c r="P1" s="992" t="s">
        <v>9409</v>
      </c>
      <c r="Q1" s="992" t="s">
        <v>9402</v>
      </c>
      <c r="R1" s="992" t="s">
        <v>9356</v>
      </c>
      <c r="S1" s="992" t="s">
        <v>8868</v>
      </c>
      <c r="T1" s="992" t="s">
        <v>8876</v>
      </c>
      <c r="U1" s="992" t="s">
        <v>8559</v>
      </c>
      <c r="V1" s="992" t="s">
        <v>8657</v>
      </c>
      <c r="W1" s="992" t="s">
        <v>8532</v>
      </c>
      <c r="X1" s="992" t="s">
        <v>8077</v>
      </c>
      <c r="Y1" s="992" t="s">
        <v>8339</v>
      </c>
      <c r="Z1" s="992" t="s">
        <v>7921</v>
      </c>
      <c r="AA1" s="992" t="s">
        <v>8043</v>
      </c>
      <c r="AB1" s="994" t="s">
        <v>6508</v>
      </c>
      <c r="AC1" s="994" t="s">
        <v>6511</v>
      </c>
      <c r="AD1" s="994" t="s">
        <v>7126</v>
      </c>
      <c r="AE1" s="994" t="s">
        <v>6408</v>
      </c>
      <c r="AF1" s="994" t="s">
        <v>18</v>
      </c>
      <c r="AG1" s="994" t="s">
        <v>7807</v>
      </c>
      <c r="AH1" s="994" t="s">
        <v>7953</v>
      </c>
      <c r="AI1" s="994" t="s">
        <v>4721</v>
      </c>
      <c r="AJ1" s="994" t="s">
        <v>5811</v>
      </c>
      <c r="AK1" s="989" t="s">
        <v>3946</v>
      </c>
      <c r="AL1" s="989" t="s">
        <v>3945</v>
      </c>
      <c r="AM1" s="989" t="s">
        <v>6103</v>
      </c>
      <c r="AN1" s="989" t="s">
        <v>1400</v>
      </c>
      <c r="AO1" s="989" t="s">
        <v>2933</v>
      </c>
      <c r="AP1" s="989" t="s">
        <v>7657</v>
      </c>
      <c r="AQ1" s="989" t="s">
        <v>6505</v>
      </c>
      <c r="AR1" s="989" t="s">
        <v>7555</v>
      </c>
      <c r="AS1" s="989" t="s">
        <v>6953</v>
      </c>
      <c r="AT1" s="989" t="s">
        <v>6518</v>
      </c>
      <c r="AU1" s="989" t="s">
        <v>82</v>
      </c>
      <c r="AV1" s="989" t="s">
        <v>1493</v>
      </c>
      <c r="AW1" s="989" t="s">
        <v>37</v>
      </c>
      <c r="AX1" s="989" t="s">
        <v>22</v>
      </c>
      <c r="AY1" s="989" t="s">
        <v>2657</v>
      </c>
      <c r="AZ1" s="989" t="s">
        <v>7764</v>
      </c>
      <c r="BA1" s="989" t="s">
        <v>40</v>
      </c>
      <c r="BB1" s="989" t="s">
        <v>3733</v>
      </c>
      <c r="BC1" s="989" t="s">
        <v>9719</v>
      </c>
      <c r="BD1" s="990"/>
    </row>
    <row r="2" spans="1:56" ht="26.25" x14ac:dyDescent="0.4">
      <c r="A2" s="991" t="s">
        <v>10296</v>
      </c>
      <c r="B2" s="996">
        <f>SUMIFS(Supplier!E3042:E3070,Supplier!C3042:C3070,s!A2,Supplier!B3042:B3070,s!$B$1)</f>
        <v>0</v>
      </c>
      <c r="C2" s="996">
        <f>SUMIFS(Supplier!F3042:F3070,Supplier!D3042:D3070,s!B2,Supplier!C3042:C3070,s!$B$1)</f>
        <v>0</v>
      </c>
      <c r="D2" s="996">
        <f>SUMIFS(Supplier!G3042:G3070,Supplier!E3042:E3070,s!C2,Supplier!D3042:D3070,s!$B$1)</f>
        <v>0</v>
      </c>
      <c r="E2" s="996">
        <f>SUMIFS(Supplier!H3042:H3070,Supplier!F3042:F3070,s!D2,Supplier!E3042:E3070,s!$B$1)</f>
        <v>0</v>
      </c>
      <c r="F2" s="996">
        <f>SUMIFS(Supplier!I3042:I3070,Supplier!G3042:G3070,s!E2,Supplier!F3042:F3070,s!$B$1)</f>
        <v>0</v>
      </c>
      <c r="G2" s="996">
        <f>SUMIFS(Supplier!J3042:J3070,Supplier!H3042:H3070,s!F2,Supplier!G3042:G3070,s!$B$1)</f>
        <v>0</v>
      </c>
      <c r="H2" s="996">
        <f ca="1">SUMIFS(Supplier!K3042:K3070,Supplier!I3042:I3070,s!G2,Supplier!H3042:H3070,s!$B$1)</f>
        <v>0</v>
      </c>
      <c r="I2" s="996">
        <f ca="1">SUMIFS(Supplier!L3042:L3070,Supplier!J3042:J3070,s!H2,Supplier!I3042:I3070,s!$B$1)</f>
        <v>0</v>
      </c>
      <c r="J2" s="996">
        <f ca="1">SUMIFS(Supplier!M3042:M3070,Supplier!K3042:K3070,s!I2,Supplier!J3042:J3070,s!$B$1)</f>
        <v>0</v>
      </c>
      <c r="K2" s="996">
        <f ca="1">SUMIFS(Supplier!N3042:N3070,Supplier!L3042:L3070,s!J2,Supplier!K3042:K3070,s!$B$1)</f>
        <v>0</v>
      </c>
      <c r="L2" s="996">
        <f ca="1">SUMIF(Supplier!$A$3042:$E$3070,s!K2,Supplier!$E$3042:$E$3070)</f>
        <v>0</v>
      </c>
      <c r="M2" s="996">
        <f ca="1">SUMIF(Supplier!$A$3042:$E$3070,s!L2,Supplier!$E$3042:$E$3070)</f>
        <v>0</v>
      </c>
      <c r="N2" s="996">
        <f ca="1">SUMIF(Supplier!$A$3042:$E$3070,s!M2,Supplier!$E$3042:$E$3070)</f>
        <v>0</v>
      </c>
      <c r="O2" s="996">
        <f ca="1">SUMIF(Supplier!$A$3042:$E$3070,s!N2,Supplier!$E$3042:$E$3070)</f>
        <v>0</v>
      </c>
      <c r="P2" s="996">
        <f ca="1">SUMIF(Supplier!$A$3042:$E$3070,s!O2,Supplier!$E$3042:$E$3070)</f>
        <v>0</v>
      </c>
      <c r="Q2" s="996">
        <f ca="1">SUMIF(Supplier!$A$3042:$E$3070,s!P2,Supplier!$E$3042:$E$3070)</f>
        <v>0</v>
      </c>
      <c r="R2" s="995"/>
      <c r="S2" s="995"/>
      <c r="T2" s="995"/>
      <c r="U2" s="995"/>
      <c r="V2" s="995"/>
      <c r="W2" s="995"/>
      <c r="X2" s="995"/>
      <c r="Y2" s="995"/>
      <c r="Z2" s="995"/>
      <c r="AA2" s="995"/>
      <c r="AB2" s="995"/>
      <c r="AC2" s="995"/>
      <c r="AD2" s="995"/>
      <c r="AE2" s="995"/>
      <c r="AF2" s="995"/>
      <c r="AG2" s="995"/>
      <c r="AH2" s="995"/>
      <c r="AI2" s="995"/>
      <c r="AJ2" s="995"/>
    </row>
    <row r="3" spans="1:56" ht="26.25" x14ac:dyDescent="0.4">
      <c r="A3" s="991" t="s">
        <v>9967</v>
      </c>
      <c r="B3" s="996">
        <f>SUMIFS(Supplier!E3043:E3076,Supplier!C3043:C3076,s!A3,Supplier!B3043:B3076,s!$B$1)</f>
        <v>0</v>
      </c>
      <c r="C3" s="996">
        <f>SUMIFS(Supplier!F3043:F3076,Supplier!D3043:D3076,s!B3,Supplier!C3043:C3076,s!$B$1)</f>
        <v>0</v>
      </c>
      <c r="D3" s="996">
        <f>SUMIFS(Supplier!G3043:G3076,Supplier!E3043:E3076,s!C3,Supplier!D3043:D3076,s!$B$1)</f>
        <v>0</v>
      </c>
      <c r="E3" s="996">
        <f>SUMIFS(Supplier!H3043:H3076,Supplier!F3043:F3076,s!D3,Supplier!E3043:E3076,s!$B$1)</f>
        <v>0</v>
      </c>
      <c r="F3" s="996">
        <f>SUMIFS(Supplier!I3043:I3076,Supplier!G3043:G3076,s!E3,Supplier!F3043:F3076,s!$B$1)</f>
        <v>0</v>
      </c>
      <c r="G3" s="996">
        <f>SUMIFS(Supplier!J3043:J3076,Supplier!H3043:H3076,s!F3,Supplier!G3043:G3076,s!$B$1)</f>
        <v>0</v>
      </c>
      <c r="H3" s="996">
        <f ca="1">SUMIFS(Supplier!K3043:K3076,Supplier!I3043:I3076,s!G3,Supplier!H3043:H3076,s!$B$1)</f>
        <v>0</v>
      </c>
      <c r="I3" s="996">
        <f ca="1">SUMIFS(Supplier!L3043:L3076,Supplier!J3043:J3076,s!H3,Supplier!I3043:I3076,s!$B$1)</f>
        <v>0</v>
      </c>
      <c r="J3" s="996">
        <f ca="1">SUMIFS(Supplier!M3043:M3076,Supplier!K3043:K3076,s!I3,Supplier!J3043:J3076,s!$B$1)</f>
        <v>0</v>
      </c>
      <c r="K3" s="996">
        <f ca="1">SUMIFS(Supplier!N3043:N3076,Supplier!L3043:L3076,s!J3,Supplier!K3043:K3076,s!$B$1)</f>
        <v>0</v>
      </c>
      <c r="L3" s="996">
        <f ca="1">SUMIF(Supplier!$A$3042:$E$3070,s!K3,Supplier!$E$3042:$E$3070)</f>
        <v>0</v>
      </c>
      <c r="M3" s="996">
        <f ca="1">SUMIF(Supplier!$A$3042:$E$3070,s!L3,Supplier!$E$3042:$E$3070)</f>
        <v>0</v>
      </c>
      <c r="N3" s="996">
        <f ca="1">SUMIF(Supplier!$A$3042:$E$3070,s!M3,Supplier!$E$3042:$E$3070)</f>
        <v>0</v>
      </c>
      <c r="O3" s="996">
        <f ca="1">SUMIF(Supplier!$A$3042:$E$3070,s!N3,Supplier!$E$3042:$E$3070)</f>
        <v>0</v>
      </c>
      <c r="P3" s="996">
        <f ca="1">SUMIF(Supplier!$A$3042:$E$3070,s!O3,Supplier!$E$3042:$E$3070)</f>
        <v>0</v>
      </c>
      <c r="Q3" s="996">
        <f ca="1">SUMIF(Supplier!$A$3042:$E$3070,s!P3,Supplier!$E$3042:$E$3070)</f>
        <v>0</v>
      </c>
      <c r="R3" s="995"/>
      <c r="S3" s="995"/>
      <c r="T3" s="995"/>
      <c r="U3" s="995"/>
      <c r="V3" s="995"/>
      <c r="W3" s="995"/>
      <c r="X3" s="995"/>
      <c r="Y3" s="995"/>
      <c r="Z3" s="995"/>
      <c r="AA3" s="995"/>
      <c r="AB3" s="995"/>
      <c r="AC3" s="995"/>
      <c r="AD3" s="995"/>
      <c r="AE3" s="995"/>
      <c r="AF3" s="995"/>
      <c r="AG3" s="995"/>
      <c r="AH3" s="995"/>
      <c r="AI3" s="995"/>
      <c r="AJ3" s="995"/>
    </row>
    <row r="4" spans="1:56" ht="26.25" x14ac:dyDescent="0.4">
      <c r="A4" s="991" t="s">
        <v>10151</v>
      </c>
      <c r="B4" s="996">
        <f>SUMIFS(Supplier!E3044:E3079,Supplier!C3044:C3079,s!A4,Supplier!B3044:B3079,s!$B$1)</f>
        <v>0</v>
      </c>
      <c r="C4" s="996">
        <f>SUMIFS(Supplier!F3044:F3079,Supplier!D3044:D3079,s!B4,Supplier!C3044:C3079,s!$B$1)</f>
        <v>0</v>
      </c>
      <c r="D4" s="996">
        <f>SUMIFS(Supplier!G3044:G3079,Supplier!E3044:E3079,s!C4,Supplier!D3044:D3079,s!$B$1)</f>
        <v>0</v>
      </c>
      <c r="E4" s="996">
        <f>SUMIFS(Supplier!H3044:H3079,Supplier!F3044:F3079,s!D4,Supplier!E3044:E3079,s!$B$1)</f>
        <v>0</v>
      </c>
      <c r="F4" s="996">
        <f>SUMIFS(Supplier!I3044:I3079,Supplier!G3044:G3079,s!E4,Supplier!F3044:F3079,s!$B$1)</f>
        <v>0</v>
      </c>
      <c r="G4" s="996">
        <f>SUMIFS(Supplier!J3044:J3079,Supplier!H3044:H3079,s!F4,Supplier!G3044:G3079,s!$B$1)</f>
        <v>0</v>
      </c>
      <c r="H4" s="996">
        <f ca="1">SUMIFS(Supplier!K3044:K3079,Supplier!I3044:I3079,s!G4,Supplier!H3044:H3079,s!$B$1)</f>
        <v>0</v>
      </c>
      <c r="I4" s="996">
        <f ca="1">SUMIFS(Supplier!L3044:L3079,Supplier!J3044:J3079,s!H4,Supplier!I3044:I3079,s!$B$1)</f>
        <v>0</v>
      </c>
      <c r="J4" s="996">
        <f ca="1">SUMIFS(Supplier!M3044:M3079,Supplier!K3044:K3079,s!I4,Supplier!J3044:J3079,s!$B$1)</f>
        <v>0</v>
      </c>
      <c r="K4" s="996">
        <f ca="1">SUMIFS(Supplier!N3044:N3079,Supplier!L3044:L3079,s!J4,Supplier!K3044:K3079,s!$B$1)</f>
        <v>0</v>
      </c>
      <c r="L4" s="996">
        <f ca="1">SUMIF(Supplier!$A$3042:$E$3070,s!K4,Supplier!$E$3042:$E$3070)</f>
        <v>0</v>
      </c>
      <c r="M4" s="996">
        <f ca="1">SUMIF(Supplier!$A$3042:$E$3070,s!L4,Supplier!$E$3042:$E$3070)</f>
        <v>0</v>
      </c>
      <c r="N4" s="996">
        <f ca="1">SUMIF(Supplier!$A$3042:$E$3070,s!M4,Supplier!$E$3042:$E$3070)</f>
        <v>0</v>
      </c>
      <c r="O4" s="996">
        <f ca="1">SUMIF(Supplier!$A$3042:$E$3070,s!N4,Supplier!$E$3042:$E$3070)</f>
        <v>0</v>
      </c>
      <c r="P4" s="996">
        <f ca="1">SUMIF(Supplier!$A$3042:$E$3070,s!O4,Supplier!$E$3042:$E$3070)</f>
        <v>0</v>
      </c>
      <c r="Q4" s="996">
        <f ca="1">SUMIF(Supplier!$A$3042:$E$3070,s!P4,Supplier!$E$3042:$E$3070)</f>
        <v>0</v>
      </c>
      <c r="R4" s="995"/>
      <c r="S4" s="995"/>
      <c r="T4" s="995"/>
      <c r="U4" s="995"/>
      <c r="V4" s="995"/>
      <c r="W4" s="995"/>
      <c r="X4" s="995"/>
      <c r="Y4" s="995"/>
      <c r="Z4" s="995"/>
      <c r="AA4" s="995"/>
      <c r="AB4" s="995"/>
      <c r="AC4" s="995"/>
      <c r="AD4" s="995"/>
      <c r="AE4" s="995"/>
      <c r="AF4" s="995"/>
      <c r="AG4" s="995"/>
      <c r="AH4" s="995"/>
      <c r="AI4" s="995"/>
      <c r="AJ4" s="995"/>
    </row>
    <row r="5" spans="1:56" ht="26.25" x14ac:dyDescent="0.4">
      <c r="A5" s="991" t="s">
        <v>10495</v>
      </c>
      <c r="B5" s="996">
        <f>SUMIFS(Supplier!E3045:E3080,Supplier!C3045:C3080,s!A5,Supplier!B3045:B3080,s!$B$1)</f>
        <v>0</v>
      </c>
      <c r="C5" s="996">
        <f>SUMIFS(Supplier!F3045:F3080,Supplier!D3045:D3080,s!B5,Supplier!C3045:C3080,s!$B$1)</f>
        <v>0</v>
      </c>
      <c r="D5" s="996">
        <f>SUMIFS(Supplier!G3045:G3080,Supplier!E3045:E3080,s!C5,Supplier!D3045:D3080,s!$B$1)</f>
        <v>0</v>
      </c>
      <c r="E5" s="996">
        <f>SUMIFS(Supplier!H3045:H3080,Supplier!F3045:F3080,s!D5,Supplier!E3045:E3080,s!$B$1)</f>
        <v>0</v>
      </c>
      <c r="F5" s="996">
        <f>SUMIFS(Supplier!I3045:I3080,Supplier!G3045:G3080,s!E5,Supplier!F3045:F3080,s!$B$1)</f>
        <v>0</v>
      </c>
      <c r="G5" s="996">
        <f>SUMIFS(Supplier!J3045:J3080,Supplier!H3045:H3080,s!F5,Supplier!G3045:G3080,s!$B$1)</f>
        <v>0</v>
      </c>
      <c r="H5" s="996">
        <f ca="1">SUMIFS(Supplier!K3045:K3080,Supplier!I3045:I3080,s!G5,Supplier!H3045:H3080,s!$B$1)</f>
        <v>0</v>
      </c>
      <c r="I5" s="996">
        <f ca="1">SUMIFS(Supplier!L3045:L3080,Supplier!J3045:J3080,s!H5,Supplier!I3045:I3080,s!$B$1)</f>
        <v>0</v>
      </c>
      <c r="J5" s="996">
        <f ca="1">SUMIFS(Supplier!M3045:M3080,Supplier!K3045:K3080,s!I5,Supplier!J3045:J3080,s!$B$1)</f>
        <v>0</v>
      </c>
      <c r="K5" s="996">
        <f ca="1">SUMIFS(Supplier!N3045:N3080,Supplier!L3045:L3080,s!J5,Supplier!K3045:K3080,s!$B$1)</f>
        <v>0</v>
      </c>
      <c r="L5" s="996">
        <f ca="1">SUMIF(Supplier!$A$3042:$E$3070,s!K5,Supplier!$E$3042:$E$3070)</f>
        <v>0</v>
      </c>
      <c r="M5" s="996">
        <f ca="1">SUMIF(Supplier!$A$3042:$E$3070,s!L5,Supplier!$E$3042:$E$3070)</f>
        <v>0</v>
      </c>
      <c r="N5" s="996">
        <f ca="1">SUMIF(Supplier!$A$3042:$E$3070,s!M5,Supplier!$E$3042:$E$3070)</f>
        <v>0</v>
      </c>
      <c r="O5" s="996">
        <f ca="1">SUMIF(Supplier!$A$3042:$E$3070,s!N5,Supplier!$E$3042:$E$3070)</f>
        <v>0</v>
      </c>
      <c r="P5" s="996">
        <f ca="1">SUMIF(Supplier!$A$3042:$E$3070,s!O5,Supplier!$E$3042:$E$3070)</f>
        <v>0</v>
      </c>
      <c r="Q5" s="996">
        <f ca="1">SUMIF(Supplier!$A$3042:$E$3070,s!P5,Supplier!$E$3042:$E$3070)</f>
        <v>0</v>
      </c>
      <c r="R5" s="995"/>
      <c r="S5" s="995"/>
      <c r="T5" s="995"/>
      <c r="U5" s="995"/>
      <c r="V5" s="995"/>
      <c r="W5" s="995"/>
      <c r="X5" s="995"/>
      <c r="Y5" s="995"/>
      <c r="Z5" s="995"/>
      <c r="AA5" s="995"/>
      <c r="AB5" s="995"/>
      <c r="AC5" s="995"/>
      <c r="AD5" s="995"/>
      <c r="AE5" s="995"/>
      <c r="AF5" s="995"/>
      <c r="AG5" s="995"/>
      <c r="AH5" s="995"/>
      <c r="AI5" s="995"/>
      <c r="AJ5" s="995"/>
    </row>
    <row r="6" spans="1:56" ht="26.25" x14ac:dyDescent="0.4">
      <c r="A6" s="991" t="s">
        <v>8657</v>
      </c>
      <c r="B6" s="996">
        <f>SUMIFS(Supplier!E3046:E3081,Supplier!C3046:C3081,s!A6,Supplier!B3046:B3081,s!$B$1)</f>
        <v>0</v>
      </c>
      <c r="C6" s="996">
        <f>SUMIFS(Supplier!F3046:F3081,Supplier!D3046:D3081,s!B6,Supplier!C3046:C3081,s!$B$1)</f>
        <v>0</v>
      </c>
      <c r="D6" s="996">
        <f>SUMIFS(Supplier!G3046:G3081,Supplier!E3046:E3081,s!C6,Supplier!D3046:D3081,s!$B$1)</f>
        <v>0</v>
      </c>
      <c r="E6" s="996">
        <f>SUMIFS(Supplier!H3046:H3081,Supplier!F3046:F3081,s!D6,Supplier!E3046:E3081,s!$B$1)</f>
        <v>0</v>
      </c>
      <c r="F6" s="996">
        <f>SUMIFS(Supplier!I3046:I3081,Supplier!G3046:G3081,s!E6,Supplier!F3046:F3081,s!$B$1)</f>
        <v>0</v>
      </c>
      <c r="G6" s="996">
        <f>SUMIFS(Supplier!J3046:J3081,Supplier!H3046:H3081,s!F6,Supplier!G3046:G3081,s!$B$1)</f>
        <v>0</v>
      </c>
      <c r="H6" s="996">
        <f ca="1">SUMIFS(Supplier!K3046:K3081,Supplier!I3046:I3081,s!G6,Supplier!H3046:H3081,s!$B$1)</f>
        <v>0</v>
      </c>
      <c r="I6" s="996">
        <f ca="1">SUMIFS(Supplier!L3046:L3081,Supplier!J3046:J3081,s!H6,Supplier!I3046:I3081,s!$B$1)</f>
        <v>0</v>
      </c>
      <c r="J6" s="996">
        <f ca="1">SUMIFS(Supplier!M3046:M3081,Supplier!K3046:K3081,s!I6,Supplier!J3046:J3081,s!$B$1)</f>
        <v>0</v>
      </c>
      <c r="K6" s="996">
        <f ca="1">SUMIFS(Supplier!N3046:N3081,Supplier!L3046:L3081,s!J6,Supplier!K3046:K3081,s!$B$1)</f>
        <v>0</v>
      </c>
      <c r="L6" s="996">
        <f ca="1">SUMIF(Supplier!$A$3042:$E$3070,s!K6,Supplier!$E$3042:$E$3070)</f>
        <v>0</v>
      </c>
      <c r="M6" s="996">
        <f ca="1">SUMIF(Supplier!$A$3042:$E$3070,s!L6,Supplier!$E$3042:$E$3070)</f>
        <v>0</v>
      </c>
      <c r="N6" s="996">
        <f ca="1">SUMIF(Supplier!$A$3042:$E$3070,s!M6,Supplier!$E$3042:$E$3070)</f>
        <v>0</v>
      </c>
      <c r="O6" s="996">
        <f ca="1">SUMIF(Supplier!$A$3042:$E$3070,s!N6,Supplier!$E$3042:$E$3070)</f>
        <v>0</v>
      </c>
      <c r="P6" s="996">
        <f ca="1">SUMIF(Supplier!$A$3042:$E$3070,s!O6,Supplier!$E$3042:$E$3070)</f>
        <v>0</v>
      </c>
      <c r="Q6" s="996">
        <f ca="1">SUMIF(Supplier!$A$3042:$E$3070,s!P6,Supplier!$E$3042:$E$3070)</f>
        <v>0</v>
      </c>
      <c r="R6" s="995"/>
      <c r="S6" s="995"/>
      <c r="T6" s="995"/>
      <c r="U6" s="995"/>
      <c r="V6" s="995"/>
      <c r="W6" s="995"/>
      <c r="X6" s="995"/>
      <c r="Y6" s="995"/>
      <c r="Z6" s="995"/>
      <c r="AA6" s="995"/>
      <c r="AB6" s="995"/>
      <c r="AC6" s="995"/>
      <c r="AD6" s="995"/>
      <c r="AE6" s="995"/>
      <c r="AF6" s="995"/>
      <c r="AG6" s="995"/>
      <c r="AH6" s="995"/>
      <c r="AI6" s="995"/>
      <c r="AJ6" s="995"/>
    </row>
    <row r="7" spans="1:56" ht="26.25" x14ac:dyDescent="0.4">
      <c r="A7" s="991" t="s">
        <v>8868</v>
      </c>
      <c r="B7" s="996">
        <f>SUMIFS(Supplier!E3047:E3082,Supplier!C3047:C3082,s!A7,Supplier!B3047:B3082,s!$B$1)</f>
        <v>0</v>
      </c>
      <c r="C7" s="996">
        <f>SUMIFS(Supplier!F3047:F3082,Supplier!D3047:D3082,s!B7,Supplier!C3047:C3082,s!$B$1)</f>
        <v>0</v>
      </c>
      <c r="D7" s="996">
        <f>SUMIFS(Supplier!G3047:G3082,Supplier!E3047:E3082,s!C7,Supplier!D3047:D3082,s!$B$1)</f>
        <v>0</v>
      </c>
      <c r="E7" s="996">
        <f>SUMIFS(Supplier!H3047:H3082,Supplier!F3047:F3082,s!D7,Supplier!E3047:E3082,s!$B$1)</f>
        <v>0</v>
      </c>
      <c r="F7" s="996">
        <f>SUMIFS(Supplier!I3047:I3082,Supplier!G3047:G3082,s!E7,Supplier!F3047:F3082,s!$B$1)</f>
        <v>0</v>
      </c>
      <c r="G7" s="996">
        <f>SUMIFS(Supplier!J3047:J3082,Supplier!H3047:H3082,s!F7,Supplier!G3047:G3082,s!$B$1)</f>
        <v>0</v>
      </c>
      <c r="H7" s="996">
        <f ca="1">SUMIFS(Supplier!K3047:K3082,Supplier!I3047:I3082,s!G7,Supplier!H3047:H3082,s!$B$1)</f>
        <v>0</v>
      </c>
      <c r="I7" s="996">
        <f ca="1">SUMIFS(Supplier!L3047:L3082,Supplier!J3047:J3082,s!H7,Supplier!I3047:I3082,s!$B$1)</f>
        <v>0</v>
      </c>
      <c r="J7" s="996">
        <f ca="1">SUMIFS(Supplier!M3047:M3082,Supplier!K3047:K3082,s!I7,Supplier!J3047:J3082,s!$B$1)</f>
        <v>0</v>
      </c>
      <c r="K7" s="996">
        <f ca="1">SUMIFS(Supplier!N3047:N3082,Supplier!L3047:L3082,s!J7,Supplier!K3047:K3082,s!$B$1)</f>
        <v>0</v>
      </c>
      <c r="L7" s="996">
        <f ca="1">SUMIF(Supplier!$A$3042:$E$3070,s!K7,Supplier!$E$3042:$E$3070)</f>
        <v>0</v>
      </c>
      <c r="M7" s="996">
        <f ca="1">SUMIF(Supplier!$A$3042:$E$3070,s!L7,Supplier!$E$3042:$E$3070)</f>
        <v>0</v>
      </c>
      <c r="N7" s="996">
        <f ca="1">SUMIF(Supplier!$A$3042:$E$3070,s!M7,Supplier!$E$3042:$E$3070)</f>
        <v>0</v>
      </c>
      <c r="O7" s="996">
        <f ca="1">SUMIF(Supplier!$A$3042:$E$3070,s!N7,Supplier!$E$3042:$E$3070)</f>
        <v>0</v>
      </c>
      <c r="P7" s="996">
        <f ca="1">SUMIF(Supplier!$A$3042:$E$3070,s!O7,Supplier!$E$3042:$E$3070)</f>
        <v>0</v>
      </c>
      <c r="Q7" s="996">
        <f ca="1">SUMIF(Supplier!$A$3042:$E$3070,s!P7,Supplier!$E$3042:$E$3070)</f>
        <v>0</v>
      </c>
      <c r="R7" s="995"/>
      <c r="S7" s="995"/>
      <c r="T7" s="995"/>
      <c r="U7" s="995"/>
      <c r="V7" s="995"/>
      <c r="W7" s="995"/>
      <c r="X7" s="995"/>
      <c r="Y7" s="995"/>
      <c r="Z7" s="995"/>
      <c r="AA7" s="995"/>
      <c r="AB7" s="995"/>
      <c r="AC7" s="995"/>
      <c r="AD7" s="995"/>
      <c r="AE7" s="995"/>
      <c r="AF7" s="995"/>
      <c r="AG7" s="995"/>
      <c r="AH7" s="995"/>
      <c r="AI7" s="995"/>
      <c r="AJ7" s="995"/>
    </row>
    <row r="8" spans="1:56" ht="26.25" x14ac:dyDescent="0.4">
      <c r="A8" s="991" t="s">
        <v>10151</v>
      </c>
      <c r="B8" s="996">
        <f>SUMIFS(Supplier!E3048:E3083,Supplier!C3048:C3083,s!A8,Supplier!B3048:B3083,s!$B$1)</f>
        <v>0</v>
      </c>
      <c r="C8" s="996">
        <f>SUMIFS(Supplier!F3048:F3083,Supplier!D3048:D3083,s!B8,Supplier!C3048:C3083,s!$B$1)</f>
        <v>0</v>
      </c>
      <c r="D8" s="996">
        <f>SUMIFS(Supplier!G3048:G3083,Supplier!E3048:E3083,s!C8,Supplier!D3048:D3083,s!$B$1)</f>
        <v>0</v>
      </c>
      <c r="E8" s="996">
        <f>SUMIFS(Supplier!H3048:H3083,Supplier!F3048:F3083,s!D8,Supplier!E3048:E3083,s!$B$1)</f>
        <v>0</v>
      </c>
      <c r="F8" s="996">
        <f>SUMIFS(Supplier!I3048:I3083,Supplier!G3048:G3083,s!E8,Supplier!F3048:F3083,s!$B$1)</f>
        <v>0</v>
      </c>
      <c r="G8" s="996">
        <f>SUMIFS(Supplier!J3048:J3083,Supplier!H3048:H3083,s!F8,Supplier!G3048:G3083,s!$B$1)</f>
        <v>0</v>
      </c>
      <c r="H8" s="996">
        <f ca="1">SUMIFS(Supplier!K3048:K3083,Supplier!I3048:I3083,s!G8,Supplier!H3048:H3083,s!$B$1)</f>
        <v>0</v>
      </c>
      <c r="I8" s="996">
        <f ca="1">SUMIFS(Supplier!L3048:L3083,Supplier!J3048:J3083,s!H8,Supplier!I3048:I3083,s!$B$1)</f>
        <v>0</v>
      </c>
      <c r="J8" s="996">
        <f ca="1">SUMIFS(Supplier!M3048:M3083,Supplier!K3048:K3083,s!I8,Supplier!J3048:J3083,s!$B$1)</f>
        <v>0</v>
      </c>
      <c r="K8" s="996">
        <f ca="1">SUMIFS(Supplier!N3048:N3083,Supplier!L3048:L3083,s!J8,Supplier!K3048:K3083,s!$B$1)</f>
        <v>0</v>
      </c>
      <c r="L8" s="996">
        <f ca="1">SUMIF(Supplier!$A$3042:$E$3070,s!K8,Supplier!$E$3042:$E$3070)</f>
        <v>0</v>
      </c>
      <c r="M8" s="996">
        <f ca="1">SUMIF(Supplier!$A$3042:$E$3070,s!L8,Supplier!$E$3042:$E$3070)</f>
        <v>0</v>
      </c>
      <c r="N8" s="996">
        <f ca="1">SUMIF(Supplier!$A$3042:$E$3070,s!M8,Supplier!$E$3042:$E$3070)</f>
        <v>0</v>
      </c>
      <c r="O8" s="996">
        <f ca="1">SUMIF(Supplier!$A$3042:$E$3070,s!N8,Supplier!$E$3042:$E$3070)</f>
        <v>0</v>
      </c>
      <c r="P8" s="996">
        <f ca="1">SUMIF(Supplier!$A$3042:$E$3070,s!O8,Supplier!$E$3042:$E$3070)</f>
        <v>0</v>
      </c>
      <c r="Q8" s="996">
        <f ca="1">SUMIF(Supplier!$A$3042:$E$3070,s!P8,Supplier!$E$3042:$E$3070)</f>
        <v>0</v>
      </c>
      <c r="R8" s="995"/>
      <c r="S8" s="995"/>
      <c r="T8" s="995"/>
      <c r="U8" s="995"/>
      <c r="V8" s="995"/>
      <c r="W8" s="995"/>
      <c r="X8" s="995"/>
      <c r="Y8" s="995"/>
      <c r="Z8" s="995"/>
      <c r="AA8" s="995"/>
      <c r="AB8" s="995"/>
      <c r="AC8" s="995"/>
      <c r="AD8" s="995"/>
      <c r="AE8" s="995"/>
      <c r="AF8" s="995"/>
      <c r="AG8" s="995"/>
      <c r="AH8" s="995"/>
      <c r="AI8" s="995"/>
      <c r="AJ8" s="995"/>
    </row>
    <row r="9" spans="1:56" ht="26.25" x14ac:dyDescent="0.4">
      <c r="A9" s="991" t="s">
        <v>10471</v>
      </c>
      <c r="B9" s="996">
        <f>SUMIFS(Supplier!E3049:E3084,Supplier!C3049:C3084,s!A9,Supplier!B3049:B3084,s!$B$1)</f>
        <v>0</v>
      </c>
      <c r="C9" s="996">
        <f>SUMIFS(Supplier!F3049:F3084,Supplier!D3049:D3084,s!B9,Supplier!C3049:C3084,s!$B$1)</f>
        <v>0</v>
      </c>
      <c r="D9" s="996">
        <f>SUMIFS(Supplier!G3049:G3084,Supplier!E3049:E3084,s!C9,Supplier!D3049:D3084,s!$B$1)</f>
        <v>0</v>
      </c>
      <c r="E9" s="996">
        <f>SUMIFS(Supplier!H3049:H3084,Supplier!F3049:F3084,s!D9,Supplier!E3049:E3084,s!$B$1)</f>
        <v>0</v>
      </c>
      <c r="F9" s="996">
        <f>SUMIFS(Supplier!I3049:I3084,Supplier!G3049:G3084,s!E9,Supplier!F3049:F3084,s!$B$1)</f>
        <v>0</v>
      </c>
      <c r="G9" s="996">
        <f>SUMIFS(Supplier!J3049:J3084,Supplier!H3049:H3084,s!F9,Supplier!G3049:G3084,s!$B$1)</f>
        <v>0</v>
      </c>
      <c r="H9" s="996">
        <f ca="1">SUMIFS(Supplier!K3049:K3084,Supplier!I3049:I3084,s!G9,Supplier!H3049:H3084,s!$B$1)</f>
        <v>0</v>
      </c>
      <c r="I9" s="996">
        <f ca="1">SUMIFS(Supplier!L3049:L3084,Supplier!J3049:J3084,s!H9,Supplier!I3049:I3084,s!$B$1)</f>
        <v>0</v>
      </c>
      <c r="J9" s="996">
        <f ca="1">SUMIFS(Supplier!M3049:M3084,Supplier!K3049:K3084,s!I9,Supplier!J3049:J3084,s!$B$1)</f>
        <v>0</v>
      </c>
      <c r="K9" s="996">
        <f ca="1">SUMIFS(Supplier!N3049:N3084,Supplier!L3049:L3084,s!J9,Supplier!K3049:K3084,s!$B$1)</f>
        <v>0</v>
      </c>
      <c r="L9" s="996">
        <f ca="1">SUMIF(Supplier!$A$3042:$E$3070,s!K9,Supplier!$E$3042:$E$3070)</f>
        <v>0</v>
      </c>
      <c r="M9" s="996">
        <f ca="1">SUMIF(Supplier!$A$3042:$E$3070,s!L9,Supplier!$E$3042:$E$3070)</f>
        <v>0</v>
      </c>
      <c r="N9" s="996">
        <f ca="1">SUMIF(Supplier!$A$3042:$E$3070,s!M9,Supplier!$E$3042:$E$3070)</f>
        <v>0</v>
      </c>
      <c r="O9" s="996">
        <f ca="1">SUMIF(Supplier!$A$3042:$E$3070,s!N9,Supplier!$E$3042:$E$3070)</f>
        <v>0</v>
      </c>
      <c r="P9" s="996">
        <f ca="1">SUMIF(Supplier!$A$3042:$E$3070,s!O9,Supplier!$E$3042:$E$3070)</f>
        <v>0</v>
      </c>
      <c r="Q9" s="996">
        <f ca="1">SUMIF(Supplier!$A$3042:$E$3070,s!P9,Supplier!$E$3042:$E$3070)</f>
        <v>0</v>
      </c>
      <c r="R9" s="995"/>
      <c r="S9" s="995"/>
      <c r="T9" s="995"/>
      <c r="U9" s="995"/>
      <c r="V9" s="995"/>
      <c r="W9" s="995"/>
      <c r="X9" s="995"/>
      <c r="Y9" s="995"/>
      <c r="Z9" s="995"/>
      <c r="AA9" s="995"/>
      <c r="AB9" s="995"/>
      <c r="AC9" s="995"/>
      <c r="AD9" s="995"/>
      <c r="AE9" s="995"/>
      <c r="AF9" s="995"/>
      <c r="AG9" s="995"/>
      <c r="AH9" s="995"/>
      <c r="AI9" s="995"/>
      <c r="AJ9" s="995"/>
    </row>
    <row r="10" spans="1:56" ht="26.25" x14ac:dyDescent="0.4">
      <c r="A10" s="991" t="s">
        <v>10495</v>
      </c>
      <c r="B10" s="996">
        <f>SUMIFS(Supplier!E3050:E3085,Supplier!C3050:C3085,s!A10,Supplier!B3050:B3085,s!$B$1)</f>
        <v>0</v>
      </c>
      <c r="C10" s="996">
        <f>SUMIFS(Supplier!F3050:F3085,Supplier!D3050:D3085,s!B10,Supplier!C3050:C3085,s!$B$1)</f>
        <v>0</v>
      </c>
      <c r="D10" s="996">
        <f>SUMIFS(Supplier!G3050:G3085,Supplier!E3050:E3085,s!C10,Supplier!D3050:D3085,s!$B$1)</f>
        <v>0</v>
      </c>
      <c r="E10" s="996">
        <f>SUMIFS(Supplier!H3050:H3085,Supplier!F3050:F3085,s!D10,Supplier!E3050:E3085,s!$B$1)</f>
        <v>0</v>
      </c>
      <c r="F10" s="996">
        <f>SUMIFS(Supplier!I3050:I3085,Supplier!G3050:G3085,s!E10,Supplier!F3050:F3085,s!$B$1)</f>
        <v>0</v>
      </c>
      <c r="G10" s="996">
        <f>SUMIFS(Supplier!J3050:J3085,Supplier!H3050:H3085,s!F10,Supplier!G3050:G3085,s!$B$1)</f>
        <v>0</v>
      </c>
      <c r="H10" s="996">
        <f ca="1">SUMIFS(Supplier!K3050:K3085,Supplier!I3050:I3085,s!G10,Supplier!H3050:H3085,s!$B$1)</f>
        <v>0</v>
      </c>
      <c r="I10" s="996">
        <f ca="1">SUMIFS(Supplier!L3050:L3085,Supplier!J3050:J3085,s!H10,Supplier!I3050:I3085,s!$B$1)</f>
        <v>0</v>
      </c>
      <c r="J10" s="996">
        <f ca="1">SUMIFS(Supplier!M3050:M3085,Supplier!K3050:K3085,s!I10,Supplier!J3050:J3085,s!$B$1)</f>
        <v>0</v>
      </c>
      <c r="K10" s="996">
        <f ca="1">SUMIFS(Supplier!N3050:N3085,Supplier!L3050:L3085,s!J10,Supplier!K3050:K3085,s!$B$1)</f>
        <v>0</v>
      </c>
      <c r="L10" s="996">
        <f ca="1">SUMIF(Supplier!$A$3042:$E$3070,s!K10,Supplier!$E$3042:$E$3070)</f>
        <v>0</v>
      </c>
      <c r="M10" s="996">
        <f ca="1">SUMIF(Supplier!$A$3042:$E$3070,s!L10,Supplier!$E$3042:$E$3070)</f>
        <v>0</v>
      </c>
      <c r="N10" s="996">
        <f ca="1">SUMIF(Supplier!$A$3042:$E$3070,s!M10,Supplier!$E$3042:$E$3070)</f>
        <v>0</v>
      </c>
      <c r="O10" s="996">
        <f ca="1">SUMIF(Supplier!$A$3042:$E$3070,s!N10,Supplier!$E$3042:$E$3070)</f>
        <v>0</v>
      </c>
      <c r="P10" s="996">
        <f ca="1">SUMIF(Supplier!$A$3042:$E$3070,s!O10,Supplier!$E$3042:$E$3070)</f>
        <v>0</v>
      </c>
      <c r="Q10" s="996">
        <f ca="1">SUMIF(Supplier!$A$3042:$E$3070,s!P10,Supplier!$E$3042:$E$3070)</f>
        <v>0</v>
      </c>
      <c r="R10" s="995"/>
      <c r="S10" s="995"/>
      <c r="T10" s="995"/>
      <c r="U10" s="995"/>
      <c r="V10" s="995"/>
      <c r="W10" s="995"/>
      <c r="X10" s="995"/>
      <c r="Y10" s="995"/>
      <c r="Z10" s="995"/>
      <c r="AA10" s="995"/>
      <c r="AB10" s="995"/>
      <c r="AC10" s="995"/>
      <c r="AD10" s="995"/>
      <c r="AE10" s="995"/>
      <c r="AF10" s="995"/>
      <c r="AG10" s="995"/>
      <c r="AH10" s="995"/>
      <c r="AI10" s="995"/>
      <c r="AJ10" s="995"/>
    </row>
    <row r="11" spans="1:56" ht="26.25" x14ac:dyDescent="0.4">
      <c r="A11" s="991" t="s">
        <v>9967</v>
      </c>
      <c r="B11" s="996">
        <f>SUMIFS(Supplier!E3051:E3086,Supplier!C3051:C3086,s!A11,Supplier!B3051:B3086,s!$B$1)</f>
        <v>0</v>
      </c>
      <c r="C11" s="996">
        <f>SUMIFS(Supplier!F3051:F3086,Supplier!D3051:D3086,s!B11,Supplier!C3051:C3086,s!$B$1)</f>
        <v>0</v>
      </c>
      <c r="D11" s="996">
        <f>SUMIFS(Supplier!G3051:G3086,Supplier!E3051:E3086,s!C11,Supplier!D3051:D3086,s!$B$1)</f>
        <v>0</v>
      </c>
      <c r="E11" s="996">
        <f>SUMIFS(Supplier!H3051:H3086,Supplier!F3051:F3086,s!D11,Supplier!E3051:E3086,s!$B$1)</f>
        <v>0</v>
      </c>
      <c r="F11" s="996">
        <f>SUMIFS(Supplier!I3051:I3086,Supplier!G3051:G3086,s!E11,Supplier!F3051:F3086,s!$B$1)</f>
        <v>0</v>
      </c>
      <c r="G11" s="996">
        <f>SUMIFS(Supplier!J3051:J3086,Supplier!H3051:H3086,s!F11,Supplier!G3051:G3086,s!$B$1)</f>
        <v>0</v>
      </c>
      <c r="H11" s="996">
        <f ca="1">SUMIFS(Supplier!K3051:K3086,Supplier!I3051:I3086,s!G11,Supplier!H3051:H3086,s!$B$1)</f>
        <v>0</v>
      </c>
      <c r="I11" s="996">
        <f ca="1">SUMIFS(Supplier!L3051:L3086,Supplier!J3051:J3086,s!H11,Supplier!I3051:I3086,s!$B$1)</f>
        <v>0</v>
      </c>
      <c r="J11" s="996">
        <f ca="1">SUMIFS(Supplier!M3051:M3086,Supplier!K3051:K3086,s!I11,Supplier!J3051:J3086,s!$B$1)</f>
        <v>0</v>
      </c>
      <c r="K11" s="996">
        <f ca="1">SUMIFS(Supplier!N3051:N3086,Supplier!L3051:L3086,s!J11,Supplier!K3051:K3086,s!$B$1)</f>
        <v>0</v>
      </c>
      <c r="L11" s="996">
        <f ca="1">SUMIF(Supplier!$A$3042:$E$3070,s!K11,Supplier!$E$3042:$E$3070)</f>
        <v>0</v>
      </c>
      <c r="M11" s="996">
        <f ca="1">SUMIF(Supplier!$A$3042:$E$3070,s!L11,Supplier!$E$3042:$E$3070)</f>
        <v>0</v>
      </c>
      <c r="N11" s="996">
        <f ca="1">SUMIF(Supplier!$A$3042:$E$3070,s!M11,Supplier!$E$3042:$E$3070)</f>
        <v>0</v>
      </c>
      <c r="O11" s="996">
        <f ca="1">SUMIF(Supplier!$A$3042:$E$3070,s!N11,Supplier!$E$3042:$E$3070)</f>
        <v>0</v>
      </c>
      <c r="P11" s="996">
        <f ca="1">SUMIF(Supplier!$A$3042:$E$3070,s!O11,Supplier!$E$3042:$E$3070)</f>
        <v>0</v>
      </c>
      <c r="Q11" s="996">
        <f ca="1">SUMIF(Supplier!$A$3042:$E$3070,s!P11,Supplier!$E$3042:$E$3070)</f>
        <v>0</v>
      </c>
      <c r="R11" s="995"/>
      <c r="S11" s="995"/>
      <c r="T11" s="995"/>
      <c r="U11" s="995"/>
      <c r="V11" s="995"/>
      <c r="W11" s="995"/>
      <c r="X11" s="995"/>
      <c r="Y11" s="995"/>
      <c r="Z11" s="995"/>
      <c r="AA11" s="995"/>
      <c r="AB11" s="995"/>
      <c r="AC11" s="995"/>
      <c r="AD11" s="995"/>
      <c r="AE11" s="995"/>
      <c r="AF11" s="995"/>
      <c r="AG11" s="995"/>
      <c r="AH11" s="995"/>
      <c r="AI11" s="995"/>
      <c r="AJ11" s="995"/>
    </row>
    <row r="12" spans="1:56" ht="26.25" x14ac:dyDescent="0.4">
      <c r="A12" s="991" t="s">
        <v>7807</v>
      </c>
      <c r="B12" s="996">
        <f>SUMIFS(Supplier!E3052:E3087,Supplier!C3052:C3087,s!A12,Supplier!B3052:B3087,s!$B$1)</f>
        <v>0</v>
      </c>
      <c r="C12" s="996">
        <f>SUMIFS(Supplier!F3052:F3087,Supplier!D3052:D3087,s!B12,Supplier!C3052:C3087,s!$B$1)</f>
        <v>0</v>
      </c>
      <c r="D12" s="996">
        <f>SUMIFS(Supplier!G3052:G3087,Supplier!E3052:E3087,s!C12,Supplier!D3052:D3087,s!$B$1)</f>
        <v>0</v>
      </c>
      <c r="E12" s="996">
        <f>SUMIFS(Supplier!H3052:H3087,Supplier!F3052:F3087,s!D12,Supplier!E3052:E3087,s!$B$1)</f>
        <v>0</v>
      </c>
      <c r="F12" s="996">
        <f>SUMIFS(Supplier!I3052:I3087,Supplier!G3052:G3087,s!E12,Supplier!F3052:F3087,s!$B$1)</f>
        <v>0</v>
      </c>
      <c r="G12" s="996">
        <f>SUMIFS(Supplier!J3052:J3087,Supplier!H3052:H3087,s!F12,Supplier!G3052:G3087,s!$B$1)</f>
        <v>0</v>
      </c>
      <c r="H12" s="996">
        <f ca="1">SUMIFS(Supplier!K3052:K3087,Supplier!I3052:I3087,s!G12,Supplier!H3052:H3087,s!$B$1)</f>
        <v>0</v>
      </c>
      <c r="I12" s="996">
        <f ca="1">SUMIFS(Supplier!L3052:L3087,Supplier!J3052:J3087,s!H12,Supplier!I3052:I3087,s!$B$1)</f>
        <v>0</v>
      </c>
      <c r="J12" s="996">
        <f ca="1">SUMIFS(Supplier!M3052:M3087,Supplier!K3052:K3087,s!I12,Supplier!J3052:J3087,s!$B$1)</f>
        <v>0</v>
      </c>
      <c r="K12" s="996">
        <f ca="1">SUMIFS(Supplier!N3052:N3087,Supplier!L3052:L3087,s!J12,Supplier!K3052:K3087,s!$B$1)</f>
        <v>0</v>
      </c>
      <c r="L12" s="996">
        <f ca="1">SUMIF(Supplier!$A$3042:$E$3070,s!K12,Supplier!$E$3042:$E$3070)</f>
        <v>0</v>
      </c>
      <c r="M12" s="996">
        <f ca="1">SUMIF(Supplier!$A$3042:$E$3070,s!L12,Supplier!$E$3042:$E$3070)</f>
        <v>0</v>
      </c>
      <c r="N12" s="996">
        <f ca="1">SUMIF(Supplier!$A$3042:$E$3070,s!M12,Supplier!$E$3042:$E$3070)</f>
        <v>0</v>
      </c>
      <c r="O12" s="996">
        <f ca="1">SUMIF(Supplier!$A$3042:$E$3070,s!N12,Supplier!$E$3042:$E$3070)</f>
        <v>0</v>
      </c>
      <c r="P12" s="996">
        <f ca="1">SUMIF(Supplier!$A$3042:$E$3070,s!O12,Supplier!$E$3042:$E$3070)</f>
        <v>0</v>
      </c>
      <c r="Q12" s="996">
        <f ca="1">SUMIF(Supplier!$A$3042:$E$3070,s!P12,Supplier!$E$3042:$E$3070)</f>
        <v>0</v>
      </c>
      <c r="R12" s="995"/>
      <c r="S12" s="995"/>
      <c r="T12" s="995"/>
      <c r="U12" s="995"/>
      <c r="V12" s="995"/>
      <c r="W12" s="995"/>
      <c r="X12" s="995"/>
      <c r="Y12" s="995"/>
      <c r="Z12" s="995"/>
      <c r="AA12" s="995"/>
      <c r="AB12" s="995"/>
      <c r="AC12" s="995"/>
      <c r="AD12" s="995"/>
      <c r="AE12" s="995"/>
      <c r="AF12" s="995"/>
      <c r="AG12" s="995"/>
      <c r="AH12" s="995"/>
      <c r="AI12" s="995"/>
      <c r="AJ12" s="995"/>
    </row>
    <row r="13" spans="1:56" ht="26.25" x14ac:dyDescent="0.4">
      <c r="A13" s="991" t="s">
        <v>9409</v>
      </c>
      <c r="B13" s="996">
        <f>SUMIFS(Supplier!E3053:E3099,Supplier!C3053:C3099,s!A13,Supplier!B3053:B3099,s!$B$1)</f>
        <v>0</v>
      </c>
      <c r="C13" s="996">
        <f>SUMIFS(Supplier!F3053:F3099,Supplier!D3053:D3099,s!B13,Supplier!C3053:C3099,s!$B$1)</f>
        <v>0</v>
      </c>
      <c r="D13" s="996">
        <f>SUMIFS(Supplier!G3053:G3099,Supplier!E3053:E3099,s!C13,Supplier!D3053:D3099,s!$B$1)</f>
        <v>0</v>
      </c>
      <c r="E13" s="996">
        <f>SUMIFS(Supplier!H3053:H3099,Supplier!F3053:F3099,s!D13,Supplier!E3053:E3099,s!$B$1)</f>
        <v>0</v>
      </c>
      <c r="F13" s="996">
        <f>SUMIFS(Supplier!I3053:I3099,Supplier!G3053:G3099,s!E13,Supplier!F3053:F3099,s!$B$1)</f>
        <v>0</v>
      </c>
      <c r="G13" s="996">
        <f>SUMIFS(Supplier!J3053:J3099,Supplier!H3053:H3099,s!F13,Supplier!G3053:G3099,s!$B$1)</f>
        <v>0</v>
      </c>
      <c r="H13" s="996">
        <f ca="1">SUMIFS(Supplier!K3053:K3099,Supplier!I3053:I3099,s!G13,Supplier!H3053:H3099,s!$B$1)</f>
        <v>0</v>
      </c>
      <c r="I13" s="996">
        <f ca="1">SUMIFS(Supplier!L3053:L3099,Supplier!J3053:J3099,s!H13,Supplier!I3053:I3099,s!$B$1)</f>
        <v>0</v>
      </c>
      <c r="J13" s="996">
        <f ca="1">SUMIFS(Supplier!M3053:M3099,Supplier!K3053:K3099,s!I13,Supplier!J3053:J3099,s!$B$1)</f>
        <v>0</v>
      </c>
      <c r="K13" s="996">
        <f ca="1">SUMIFS(Supplier!N3053:N3099,Supplier!L3053:L3099,s!J13,Supplier!K3053:K3099,s!$B$1)</f>
        <v>0</v>
      </c>
      <c r="L13" s="996">
        <f ca="1">SUMIF(Supplier!$A$3042:$E$3070,s!K13,Supplier!$E$3042:$E$3070)</f>
        <v>0</v>
      </c>
      <c r="M13" s="996">
        <f ca="1">SUMIF(Supplier!$A$3042:$E$3070,s!L13,Supplier!$E$3042:$E$3070)</f>
        <v>0</v>
      </c>
      <c r="N13" s="996">
        <f ca="1">SUMIF(Supplier!$A$3042:$E$3070,s!M13,Supplier!$E$3042:$E$3070)</f>
        <v>0</v>
      </c>
      <c r="O13" s="996">
        <f ca="1">SUMIF(Supplier!$A$3042:$E$3070,s!N13,Supplier!$E$3042:$E$3070)</f>
        <v>0</v>
      </c>
      <c r="P13" s="996">
        <f ca="1">SUMIF(Supplier!$A$3042:$E$3070,s!O13,Supplier!$E$3042:$E$3070)</f>
        <v>0</v>
      </c>
      <c r="Q13" s="996">
        <f ca="1">SUMIF(Supplier!$A$3042:$E$3070,s!P13,Supplier!$E$3042:$E$3070)</f>
        <v>0</v>
      </c>
      <c r="R13" s="995"/>
      <c r="S13" s="995"/>
      <c r="T13" s="995"/>
      <c r="U13" s="995"/>
      <c r="V13" s="995"/>
      <c r="W13" s="995"/>
      <c r="X13" s="995"/>
      <c r="Y13" s="995"/>
      <c r="Z13" s="995"/>
      <c r="AA13" s="995"/>
      <c r="AB13" s="995"/>
      <c r="AC13" s="995"/>
      <c r="AD13" s="995"/>
      <c r="AE13" s="995"/>
      <c r="AF13" s="995"/>
      <c r="AG13" s="995"/>
      <c r="AH13" s="995"/>
      <c r="AI13" s="995"/>
      <c r="AJ13" s="995"/>
    </row>
    <row r="14" spans="1:56" ht="26.25" x14ac:dyDescent="0.4">
      <c r="A14" s="991" t="s">
        <v>10151</v>
      </c>
      <c r="B14" s="996">
        <f>SUMIFS(Supplier!E3054:E3100,Supplier!C3054:C3100,s!A14,Supplier!B3054:B3100,s!$B$1)</f>
        <v>0</v>
      </c>
      <c r="C14" s="996">
        <f>SUMIFS(Supplier!F3054:F3100,Supplier!D3054:D3100,s!B14,Supplier!C3054:C3100,s!$B$1)</f>
        <v>0</v>
      </c>
      <c r="D14" s="996">
        <f>SUMIFS(Supplier!G3054:G3100,Supplier!E3054:E3100,s!C14,Supplier!D3054:D3100,s!$B$1)</f>
        <v>0</v>
      </c>
      <c r="E14" s="996">
        <f>SUMIFS(Supplier!H3054:H3100,Supplier!F3054:F3100,s!D14,Supplier!E3054:E3100,s!$B$1)</f>
        <v>0</v>
      </c>
      <c r="F14" s="996">
        <f>SUMIFS(Supplier!I3054:I3100,Supplier!G3054:G3100,s!E14,Supplier!F3054:F3100,s!$B$1)</f>
        <v>0</v>
      </c>
      <c r="G14" s="996">
        <f>SUMIFS(Supplier!J3054:J3100,Supplier!H3054:H3100,s!F14,Supplier!G3054:G3100,s!$B$1)</f>
        <v>0</v>
      </c>
      <c r="H14" s="996">
        <f ca="1">SUMIFS(Supplier!K3054:K3100,Supplier!I3054:I3100,s!G14,Supplier!H3054:H3100,s!$B$1)</f>
        <v>0</v>
      </c>
      <c r="I14" s="996">
        <f ca="1">SUMIFS(Supplier!L3054:L3100,Supplier!J3054:J3100,s!H14,Supplier!I3054:I3100,s!$B$1)</f>
        <v>0</v>
      </c>
      <c r="J14" s="996">
        <f ca="1">SUMIFS(Supplier!M3054:M3100,Supplier!K3054:K3100,s!I14,Supplier!J3054:J3100,s!$B$1)</f>
        <v>0</v>
      </c>
      <c r="K14" s="996">
        <f ca="1">SUMIFS(Supplier!N3054:N3100,Supplier!L3054:L3100,s!J14,Supplier!K3054:K3100,s!$B$1)</f>
        <v>0</v>
      </c>
      <c r="L14" s="996">
        <f ca="1">SUMIF(Supplier!$A$3042:$E$3070,s!K14,Supplier!$E$3042:$E$3070)</f>
        <v>0</v>
      </c>
      <c r="M14" s="996">
        <f ca="1">SUMIF(Supplier!$A$3042:$E$3070,s!L14,Supplier!$E$3042:$E$3070)</f>
        <v>0</v>
      </c>
      <c r="N14" s="996">
        <f ca="1">SUMIF(Supplier!$A$3042:$E$3070,s!M14,Supplier!$E$3042:$E$3070)</f>
        <v>0</v>
      </c>
      <c r="O14" s="996">
        <f ca="1">SUMIF(Supplier!$A$3042:$E$3070,s!N14,Supplier!$E$3042:$E$3070)</f>
        <v>0</v>
      </c>
      <c r="P14" s="996">
        <f ca="1">SUMIF(Supplier!$A$3042:$E$3070,s!O14,Supplier!$E$3042:$E$3070)</f>
        <v>0</v>
      </c>
      <c r="Q14" s="996">
        <f ca="1">SUMIF(Supplier!$A$3042:$E$3070,s!P14,Supplier!$E$3042:$E$3070)</f>
        <v>0</v>
      </c>
      <c r="R14" s="995"/>
      <c r="S14" s="995"/>
      <c r="T14" s="995"/>
      <c r="U14" s="995"/>
      <c r="V14" s="995"/>
      <c r="W14" s="995"/>
      <c r="X14" s="995"/>
      <c r="Y14" s="995"/>
      <c r="Z14" s="995"/>
      <c r="AA14" s="995"/>
      <c r="AB14" s="995"/>
      <c r="AC14" s="995"/>
      <c r="AD14" s="995"/>
      <c r="AE14" s="995"/>
      <c r="AF14" s="995"/>
      <c r="AG14" s="995"/>
      <c r="AH14" s="995"/>
      <c r="AI14" s="995"/>
      <c r="AJ14" s="995"/>
    </row>
    <row r="15" spans="1:56" ht="26.25" x14ac:dyDescent="0.4">
      <c r="A15" s="991" t="s">
        <v>10495</v>
      </c>
      <c r="B15" s="996">
        <f>SUMIFS(Supplier!E3055:E3101,Supplier!C3055:C3101,s!A15,Supplier!B3055:B3101,s!$B$1)</f>
        <v>0</v>
      </c>
      <c r="C15" s="996">
        <f>SUMIFS(Supplier!F3055:F3101,Supplier!D3055:D3101,s!B15,Supplier!C3055:C3101,s!$B$1)</f>
        <v>0</v>
      </c>
      <c r="D15" s="996">
        <f>SUMIFS(Supplier!G3055:G3101,Supplier!E3055:E3101,s!C15,Supplier!D3055:D3101,s!$B$1)</f>
        <v>0</v>
      </c>
      <c r="E15" s="996">
        <f>SUMIFS(Supplier!H3055:H3101,Supplier!F3055:F3101,s!D15,Supplier!E3055:E3101,s!$B$1)</f>
        <v>0</v>
      </c>
      <c r="F15" s="996">
        <f>SUMIFS(Supplier!I3055:I3101,Supplier!G3055:G3101,s!E15,Supplier!F3055:F3101,s!$B$1)</f>
        <v>0</v>
      </c>
      <c r="G15" s="996">
        <f>SUMIFS(Supplier!J3055:J3101,Supplier!H3055:H3101,s!F15,Supplier!G3055:G3101,s!$B$1)</f>
        <v>0</v>
      </c>
      <c r="H15" s="996">
        <f ca="1">SUMIFS(Supplier!K3055:K3101,Supplier!I3055:I3101,s!G15,Supplier!H3055:H3101,s!$B$1)</f>
        <v>0</v>
      </c>
      <c r="I15" s="996">
        <f ca="1">SUMIFS(Supplier!L3055:L3101,Supplier!J3055:J3101,s!H15,Supplier!I3055:I3101,s!$B$1)</f>
        <v>0</v>
      </c>
      <c r="J15" s="996">
        <f ca="1">SUMIFS(Supplier!M3055:M3101,Supplier!K3055:K3101,s!I15,Supplier!J3055:J3101,s!$B$1)</f>
        <v>0</v>
      </c>
      <c r="K15" s="996">
        <f ca="1">SUMIFS(Supplier!N3055:N3101,Supplier!L3055:L3101,s!J15,Supplier!K3055:K3101,s!$B$1)</f>
        <v>0</v>
      </c>
      <c r="L15" s="996">
        <f ca="1">SUMIF(Supplier!$A$3042:$E$3070,s!K15,Supplier!$E$3042:$E$3070)</f>
        <v>0</v>
      </c>
      <c r="M15" s="996">
        <f ca="1">SUMIF(Supplier!$A$3042:$E$3070,s!L15,Supplier!$E$3042:$E$3070)</f>
        <v>0</v>
      </c>
      <c r="N15" s="996">
        <f ca="1">SUMIF(Supplier!$A$3042:$E$3070,s!M15,Supplier!$E$3042:$E$3070)</f>
        <v>0</v>
      </c>
      <c r="O15" s="996">
        <f ca="1">SUMIF(Supplier!$A$3042:$E$3070,s!N15,Supplier!$E$3042:$E$3070)</f>
        <v>0</v>
      </c>
      <c r="P15" s="996">
        <f ca="1">SUMIF(Supplier!$A$3042:$E$3070,s!O15,Supplier!$E$3042:$E$3070)</f>
        <v>0</v>
      </c>
      <c r="Q15" s="996">
        <f ca="1">SUMIF(Supplier!$A$3042:$E$3070,s!P15,Supplier!$E$3042:$E$3070)</f>
        <v>0</v>
      </c>
      <c r="R15" s="995"/>
      <c r="S15" s="995"/>
      <c r="T15" s="995"/>
      <c r="U15" s="995"/>
      <c r="V15" s="995"/>
      <c r="W15" s="995"/>
      <c r="X15" s="995"/>
      <c r="Y15" s="995"/>
      <c r="Z15" s="995"/>
      <c r="AA15" s="995"/>
      <c r="AB15" s="995"/>
      <c r="AC15" s="995"/>
      <c r="AD15" s="995"/>
      <c r="AE15" s="995"/>
      <c r="AF15" s="995"/>
      <c r="AG15" s="995"/>
      <c r="AH15" s="995"/>
      <c r="AI15" s="995"/>
      <c r="AJ15" s="995"/>
    </row>
    <row r="16" spans="1:56" ht="26.25" x14ac:dyDescent="0.4">
      <c r="A16" s="991" t="s">
        <v>10296</v>
      </c>
      <c r="B16" s="996">
        <f>SUMIFS(Supplier!E3056:E3102,Supplier!C3056:C3102,s!A16,Supplier!B3056:B3102,s!$B$1)</f>
        <v>0</v>
      </c>
      <c r="C16" s="996">
        <f>SUMIFS(Supplier!F3056:F3102,Supplier!D3056:D3102,s!B16,Supplier!C3056:C3102,s!$B$1)</f>
        <v>0</v>
      </c>
      <c r="D16" s="996">
        <f>SUMIFS(Supplier!G3056:G3102,Supplier!E3056:E3102,s!C16,Supplier!D3056:D3102,s!$B$1)</f>
        <v>0</v>
      </c>
      <c r="E16" s="996">
        <f>SUMIFS(Supplier!H3056:H3102,Supplier!F3056:F3102,s!D16,Supplier!E3056:E3102,s!$B$1)</f>
        <v>0</v>
      </c>
      <c r="F16" s="996">
        <f>SUMIFS(Supplier!I3056:I3102,Supplier!G3056:G3102,s!E16,Supplier!F3056:F3102,s!$B$1)</f>
        <v>0</v>
      </c>
      <c r="G16" s="996">
        <f>SUMIFS(Supplier!J3056:J3102,Supplier!H3056:H3102,s!F16,Supplier!G3056:G3102,s!$B$1)</f>
        <v>0</v>
      </c>
      <c r="H16" s="996">
        <f ca="1">SUMIFS(Supplier!K3056:K3102,Supplier!I3056:I3102,s!G16,Supplier!H3056:H3102,s!$B$1)</f>
        <v>0</v>
      </c>
      <c r="I16" s="996">
        <f ca="1">SUMIFS(Supplier!L3056:L3102,Supplier!J3056:J3102,s!H16,Supplier!I3056:I3102,s!$B$1)</f>
        <v>0</v>
      </c>
      <c r="J16" s="996">
        <f ca="1">SUMIFS(Supplier!M3056:M3102,Supplier!K3056:K3102,s!I16,Supplier!J3056:J3102,s!$B$1)</f>
        <v>0</v>
      </c>
      <c r="K16" s="996">
        <f ca="1">SUMIFS(Supplier!N3056:N3102,Supplier!L3056:L3102,s!J16,Supplier!K3056:K3102,s!$B$1)</f>
        <v>0</v>
      </c>
      <c r="L16" s="996">
        <f ca="1">SUMIF(Supplier!$A$3042:$E$3070,s!K16,Supplier!$E$3042:$E$3070)</f>
        <v>0</v>
      </c>
      <c r="M16" s="996">
        <f ca="1">SUMIF(Supplier!$A$3042:$E$3070,s!L16,Supplier!$E$3042:$E$3070)</f>
        <v>0</v>
      </c>
      <c r="N16" s="996">
        <f ca="1">SUMIF(Supplier!$A$3042:$E$3070,s!M16,Supplier!$E$3042:$E$3070)</f>
        <v>0</v>
      </c>
      <c r="O16" s="996">
        <f ca="1">SUMIF(Supplier!$A$3042:$E$3070,s!N16,Supplier!$E$3042:$E$3070)</f>
        <v>0</v>
      </c>
      <c r="P16" s="996">
        <f ca="1">SUMIF(Supplier!$A$3042:$E$3070,s!O16,Supplier!$E$3042:$E$3070)</f>
        <v>0</v>
      </c>
      <c r="Q16" s="996">
        <f ca="1">SUMIF(Supplier!$A$3042:$E$3070,s!P16,Supplier!$E$3042:$E$3070)</f>
        <v>0</v>
      </c>
      <c r="R16" s="995"/>
      <c r="S16" s="995"/>
      <c r="T16" s="995"/>
      <c r="U16" s="995"/>
      <c r="V16" s="995"/>
      <c r="W16" s="995"/>
      <c r="X16" s="995"/>
      <c r="Y16" s="995"/>
      <c r="Z16" s="995"/>
      <c r="AA16" s="995"/>
      <c r="AB16" s="995"/>
      <c r="AC16" s="995"/>
      <c r="AD16" s="995"/>
      <c r="AE16" s="995"/>
      <c r="AF16" s="995"/>
      <c r="AG16" s="995"/>
      <c r="AH16" s="995"/>
      <c r="AI16" s="995"/>
      <c r="AJ16" s="995"/>
    </row>
    <row r="17" spans="1:36" ht="26.25" x14ac:dyDescent="0.4">
      <c r="A17" s="991" t="s">
        <v>10232</v>
      </c>
      <c r="B17" s="996">
        <f>SUMIFS(Supplier!E3057:E3106,Supplier!C3057:C3106,s!A17,Supplier!B3057:B3106,s!$B$1)</f>
        <v>0</v>
      </c>
      <c r="C17" s="996">
        <f>SUMIFS(Supplier!F3057:F3106,Supplier!D3057:D3106,s!B17,Supplier!C3057:C3106,s!$B$1)</f>
        <v>0</v>
      </c>
      <c r="D17" s="996">
        <f>SUMIFS(Supplier!G3057:G3106,Supplier!E3057:E3106,s!C17,Supplier!D3057:D3106,s!$B$1)</f>
        <v>0</v>
      </c>
      <c r="E17" s="996">
        <f>SUMIFS(Supplier!H3057:H3106,Supplier!F3057:F3106,s!D17,Supplier!E3057:E3106,s!$B$1)</f>
        <v>0</v>
      </c>
      <c r="F17" s="996">
        <f>SUMIFS(Supplier!I3057:I3106,Supplier!G3057:G3106,s!E17,Supplier!F3057:F3106,s!$B$1)</f>
        <v>0</v>
      </c>
      <c r="G17" s="996">
        <f>SUMIFS(Supplier!J3057:J3106,Supplier!H3057:H3106,s!F17,Supplier!G3057:G3106,s!$B$1)</f>
        <v>0</v>
      </c>
      <c r="H17" s="996">
        <f ca="1">SUMIFS(Supplier!K3057:K3106,Supplier!I3057:I3106,s!G17,Supplier!H3057:H3106,s!$B$1)</f>
        <v>0</v>
      </c>
      <c r="I17" s="996">
        <f ca="1">SUMIFS(Supplier!L3057:L3106,Supplier!J3057:J3106,s!H17,Supplier!I3057:I3106,s!$B$1)</f>
        <v>0</v>
      </c>
      <c r="J17" s="996">
        <f ca="1">SUMIFS(Supplier!M3057:M3106,Supplier!K3057:K3106,s!I17,Supplier!J3057:J3106,s!$B$1)</f>
        <v>0</v>
      </c>
      <c r="K17" s="996">
        <f ca="1">SUMIFS(Supplier!N3057:N3106,Supplier!L3057:L3106,s!J17,Supplier!K3057:K3106,s!$B$1)</f>
        <v>0</v>
      </c>
      <c r="L17" s="995"/>
      <c r="M17" s="995"/>
      <c r="N17" s="995"/>
      <c r="O17" s="995"/>
      <c r="P17" s="995"/>
      <c r="Q17" s="995"/>
      <c r="R17" s="995"/>
      <c r="S17" s="995"/>
      <c r="T17" s="995"/>
      <c r="U17" s="995"/>
      <c r="V17" s="995"/>
      <c r="W17" s="995"/>
      <c r="X17" s="995"/>
      <c r="Y17" s="995"/>
      <c r="Z17" s="995"/>
      <c r="AA17" s="995"/>
      <c r="AB17" s="995"/>
      <c r="AC17" s="995"/>
      <c r="AD17" s="995"/>
      <c r="AE17" s="995"/>
      <c r="AF17" s="995"/>
      <c r="AG17" s="995"/>
      <c r="AH17" s="995"/>
      <c r="AI17" s="995"/>
      <c r="AJ17" s="995"/>
    </row>
    <row r="18" spans="1:36" ht="26.25" x14ac:dyDescent="0.4">
      <c r="A18" s="991" t="s">
        <v>9507</v>
      </c>
      <c r="B18" s="996">
        <f>SUMIFS(Supplier!E3065:E3107,Supplier!B3065:B3107,s!A18,Supplier!C3065:C3107,s!$B$1)</f>
        <v>0</v>
      </c>
      <c r="C18" s="687"/>
      <c r="D18" s="687"/>
      <c r="E18" s="995"/>
      <c r="F18" s="995"/>
      <c r="G18" s="995"/>
      <c r="H18" s="995"/>
      <c r="I18" s="995"/>
      <c r="J18" s="995"/>
      <c r="K18" s="995"/>
      <c r="L18" s="995"/>
      <c r="M18" s="995"/>
      <c r="N18" s="995"/>
      <c r="O18" s="995"/>
      <c r="P18" s="995"/>
      <c r="Q18" s="995"/>
      <c r="R18" s="995"/>
      <c r="S18" s="995"/>
      <c r="T18" s="995"/>
      <c r="U18" s="995"/>
      <c r="V18" s="995"/>
      <c r="W18" s="995"/>
      <c r="X18" s="995"/>
      <c r="Y18" s="995"/>
      <c r="Z18" s="995"/>
      <c r="AA18" s="995"/>
      <c r="AB18" s="995"/>
      <c r="AC18" s="995"/>
      <c r="AD18" s="995"/>
      <c r="AE18" s="995"/>
      <c r="AF18" s="995"/>
      <c r="AG18" s="995"/>
      <c r="AH18" s="995"/>
      <c r="AI18" s="995"/>
      <c r="AJ18" s="995"/>
    </row>
    <row r="19" spans="1:36" ht="26.25" x14ac:dyDescent="0.4">
      <c r="A19" s="991" t="s">
        <v>10296</v>
      </c>
      <c r="B19" s="996">
        <f>SUMIFS(Supplier!E3066:E3108,Supplier!B3066:B3108,s!A19,Supplier!C3066:C3108,s!$B$1)</f>
        <v>0</v>
      </c>
      <c r="C19" s="687"/>
      <c r="D19" s="687"/>
      <c r="E19" s="995"/>
      <c r="F19" s="995"/>
      <c r="G19" s="995"/>
      <c r="H19" s="995"/>
      <c r="I19" s="995"/>
      <c r="J19" s="995"/>
      <c r="K19" s="995"/>
      <c r="L19" s="995"/>
      <c r="M19" s="995"/>
      <c r="N19" s="995"/>
      <c r="O19" s="995"/>
      <c r="P19" s="995"/>
      <c r="Q19" s="995"/>
      <c r="R19" s="995"/>
      <c r="S19" s="995"/>
      <c r="T19" s="995"/>
      <c r="U19" s="995"/>
      <c r="V19" s="995"/>
      <c r="W19" s="995"/>
      <c r="X19" s="995"/>
      <c r="Y19" s="995"/>
      <c r="Z19" s="995"/>
      <c r="AA19" s="995"/>
      <c r="AB19" s="995"/>
      <c r="AC19" s="995"/>
      <c r="AD19" s="995"/>
      <c r="AE19" s="995"/>
      <c r="AF19" s="995"/>
      <c r="AG19" s="995"/>
      <c r="AH19" s="995"/>
      <c r="AI19" s="995"/>
      <c r="AJ19" s="995"/>
    </row>
    <row r="20" spans="1:36" ht="26.25" x14ac:dyDescent="0.4">
      <c r="A20" s="991" t="s">
        <v>9646</v>
      </c>
      <c r="B20" s="996">
        <f>SUMIFS(Supplier!E3067:E3111,Supplier!C3067:C3111,s!A20,Supplier!B3067:B3111,s!$B$1)</f>
        <v>0</v>
      </c>
      <c r="C20" s="687"/>
      <c r="D20" s="687"/>
      <c r="E20" s="995"/>
      <c r="F20" s="995"/>
      <c r="G20" s="995"/>
      <c r="H20" s="995"/>
      <c r="I20" s="995"/>
      <c r="J20" s="995"/>
      <c r="K20" s="995"/>
      <c r="L20" s="995"/>
      <c r="M20" s="995"/>
      <c r="N20" s="995"/>
      <c r="O20" s="995"/>
      <c r="P20" s="995"/>
      <c r="Q20" s="995"/>
      <c r="R20" s="995"/>
      <c r="S20" s="995"/>
      <c r="T20" s="995"/>
      <c r="U20" s="995"/>
      <c r="V20" s="995"/>
      <c r="W20" s="995"/>
      <c r="X20" s="995"/>
      <c r="Y20" s="995"/>
      <c r="Z20" s="995"/>
      <c r="AA20" s="995"/>
      <c r="AB20" s="995"/>
      <c r="AC20" s="995"/>
      <c r="AD20" s="995"/>
      <c r="AE20" s="995"/>
      <c r="AF20" s="995"/>
      <c r="AG20" s="995"/>
      <c r="AH20" s="995"/>
      <c r="AI20" s="995"/>
      <c r="AJ20" s="995"/>
    </row>
    <row r="21" spans="1:36" ht="26.25" x14ac:dyDescent="0.4">
      <c r="A21" s="991" t="s">
        <v>10151</v>
      </c>
      <c r="B21" s="996">
        <f>SUMIFS(Supplier!E3068:E3112,Supplier!C3068:C3112,s!A21,Supplier!B3068:B3112,s!$B$1)</f>
        <v>0</v>
      </c>
      <c r="C21" s="687"/>
      <c r="D21" s="687"/>
      <c r="E21" s="995"/>
      <c r="F21" s="995"/>
      <c r="G21" s="995"/>
      <c r="H21" s="995"/>
      <c r="I21" s="995"/>
      <c r="J21" s="995"/>
      <c r="K21" s="995"/>
      <c r="L21" s="995"/>
      <c r="M21" s="995"/>
      <c r="N21" s="995"/>
      <c r="O21" s="995"/>
      <c r="P21" s="995"/>
      <c r="Q21" s="995"/>
      <c r="R21" s="995"/>
      <c r="S21" s="995"/>
      <c r="T21" s="995"/>
      <c r="U21" s="995"/>
      <c r="V21" s="995"/>
      <c r="W21" s="995"/>
      <c r="X21" s="995"/>
      <c r="Y21" s="995"/>
      <c r="Z21" s="995"/>
      <c r="AA21" s="995"/>
      <c r="AB21" s="995"/>
      <c r="AC21" s="995"/>
      <c r="AD21" s="995"/>
      <c r="AE21" s="995"/>
      <c r="AF21" s="995"/>
      <c r="AG21" s="995"/>
      <c r="AH21" s="995"/>
      <c r="AI21" s="995"/>
      <c r="AJ21" s="995"/>
    </row>
    <row r="22" spans="1:36" ht="26.25" x14ac:dyDescent="0.4">
      <c r="A22" s="991" t="s">
        <v>10495</v>
      </c>
      <c r="B22" s="996">
        <f>SUMIFS(Supplier!E3069:E3113,Supplier!C3069:C3113,s!A22,Supplier!B3069:B3113,s!$B$1)</f>
        <v>0</v>
      </c>
      <c r="C22" s="687"/>
      <c r="D22" s="687"/>
      <c r="E22" s="995"/>
      <c r="F22" s="995"/>
      <c r="G22" s="995"/>
      <c r="H22" s="995"/>
      <c r="I22" s="995"/>
      <c r="J22" s="995"/>
      <c r="K22" s="995"/>
      <c r="L22" s="995"/>
      <c r="M22" s="995"/>
      <c r="N22" s="995"/>
      <c r="O22" s="995"/>
      <c r="P22" s="995"/>
      <c r="Q22" s="995"/>
      <c r="R22" s="995"/>
      <c r="S22" s="995"/>
      <c r="T22" s="995"/>
      <c r="U22" s="995"/>
      <c r="V22" s="995"/>
      <c r="W22" s="995"/>
      <c r="X22" s="995"/>
      <c r="Y22" s="995"/>
      <c r="Z22" s="995"/>
      <c r="AA22" s="995"/>
      <c r="AB22" s="995"/>
      <c r="AC22" s="995"/>
      <c r="AD22" s="995"/>
      <c r="AE22" s="995"/>
      <c r="AF22" s="995"/>
      <c r="AG22" s="995"/>
      <c r="AH22" s="995"/>
      <c r="AI22" s="995"/>
      <c r="AJ22" s="995"/>
    </row>
    <row r="23" spans="1:36" ht="26.25" x14ac:dyDescent="0.4">
      <c r="A23" s="991" t="s">
        <v>10232</v>
      </c>
      <c r="B23" s="996">
        <f>SUMIFS(Supplier!E3070:E3129,Supplier!C3070:C3129,s!A23,Supplier!B3070:B3129,s!$B$1)</f>
        <v>0</v>
      </c>
      <c r="C23" s="687"/>
      <c r="D23" s="687"/>
      <c r="E23" s="995"/>
      <c r="F23" s="995"/>
      <c r="G23" s="995"/>
      <c r="H23" s="995"/>
      <c r="I23" s="995"/>
      <c r="J23" s="995"/>
      <c r="K23" s="995"/>
      <c r="L23" s="995"/>
      <c r="M23" s="995"/>
      <c r="N23" s="995"/>
      <c r="O23" s="995"/>
      <c r="P23" s="995"/>
      <c r="Q23" s="995"/>
      <c r="R23" s="995"/>
      <c r="S23" s="995"/>
      <c r="T23" s="995"/>
      <c r="U23" s="995"/>
      <c r="V23" s="995"/>
      <c r="W23" s="995"/>
      <c r="X23" s="995"/>
      <c r="Y23" s="995"/>
      <c r="Z23" s="995"/>
      <c r="AA23" s="995"/>
      <c r="AB23" s="995"/>
      <c r="AC23" s="995"/>
      <c r="AD23" s="995"/>
      <c r="AE23" s="995"/>
      <c r="AF23" s="995"/>
      <c r="AG23" s="995"/>
      <c r="AH23" s="995"/>
      <c r="AI23" s="995"/>
      <c r="AJ23" s="995"/>
    </row>
    <row r="24" spans="1:36" ht="26.25" x14ac:dyDescent="0.4">
      <c r="A24" s="991" t="s">
        <v>2264</v>
      </c>
      <c r="B24" s="996">
        <f>SUMIFS(Supplier!E3076:E3133,Supplier!C3076:C3133,s!A24,Supplier!B3076:B3133,s!$B$1)</f>
        <v>0</v>
      </c>
      <c r="C24" s="687"/>
      <c r="D24" s="687"/>
      <c r="E24" s="995"/>
      <c r="F24" s="995"/>
      <c r="G24" s="995"/>
      <c r="H24" s="995"/>
      <c r="I24" s="995"/>
      <c r="J24" s="995"/>
      <c r="K24" s="995"/>
      <c r="L24" s="995"/>
      <c r="M24" s="995"/>
      <c r="N24" s="995"/>
      <c r="O24" s="995"/>
      <c r="P24" s="995"/>
      <c r="Q24" s="995"/>
      <c r="R24" s="995"/>
      <c r="S24" s="995"/>
      <c r="T24" s="995"/>
      <c r="U24" s="995"/>
      <c r="V24" s="995"/>
      <c r="W24" s="995"/>
      <c r="X24" s="995"/>
      <c r="Y24" s="995"/>
      <c r="Z24" s="995"/>
      <c r="AA24" s="995"/>
      <c r="AB24" s="995"/>
      <c r="AC24" s="995"/>
      <c r="AD24" s="995"/>
      <c r="AE24" s="995"/>
      <c r="AF24" s="995"/>
      <c r="AG24" s="995"/>
      <c r="AH24" s="995"/>
      <c r="AI24" s="995"/>
      <c r="AJ24" s="995"/>
    </row>
    <row r="25" spans="1:36" ht="26.25" x14ac:dyDescent="0.4">
      <c r="A25" s="991" t="s">
        <v>162</v>
      </c>
      <c r="B25" s="996">
        <f>SUMIFS(Supplier!E3079:E3133,Supplier!C3079:C3133,s!A25,Supplier!B3079:B3133,s!$B$1)</f>
        <v>0</v>
      </c>
      <c r="C25" s="687"/>
      <c r="D25" s="687"/>
      <c r="E25" s="995"/>
      <c r="F25" s="995"/>
      <c r="G25" s="995"/>
      <c r="H25" s="995"/>
      <c r="I25" s="995"/>
      <c r="J25" s="995"/>
      <c r="K25" s="995"/>
      <c r="L25" s="995"/>
      <c r="M25" s="995"/>
      <c r="N25" s="995"/>
      <c r="O25" s="995"/>
      <c r="P25" s="995"/>
      <c r="Q25" s="995"/>
      <c r="R25" s="995"/>
      <c r="S25" s="995"/>
      <c r="T25" s="995"/>
      <c r="U25" s="995"/>
      <c r="V25" s="995"/>
      <c r="W25" s="995"/>
      <c r="X25" s="995"/>
      <c r="Y25" s="995"/>
      <c r="Z25" s="995"/>
      <c r="AA25" s="995"/>
      <c r="AB25" s="995"/>
      <c r="AC25" s="995"/>
      <c r="AD25" s="995"/>
      <c r="AE25" s="995"/>
      <c r="AF25" s="995"/>
      <c r="AG25" s="995"/>
      <c r="AH25" s="995"/>
      <c r="AI25" s="995"/>
      <c r="AJ25" s="995"/>
    </row>
    <row r="26" spans="1:36" ht="26.25" x14ac:dyDescent="0.4">
      <c r="A26" s="991" t="s">
        <v>7864</v>
      </c>
      <c r="B26" s="996">
        <f>SUMIFS(Supplier!E3080:E3134,Supplier!C3080:C3134,s!A26,Supplier!B3080:B3134,s!$B$1)</f>
        <v>0</v>
      </c>
      <c r="C26" s="687"/>
      <c r="D26" s="687"/>
      <c r="E26" s="995"/>
      <c r="F26" s="995"/>
      <c r="G26" s="995"/>
      <c r="H26" s="995"/>
      <c r="I26" s="995"/>
      <c r="J26" s="995"/>
      <c r="K26" s="995"/>
      <c r="L26" s="995"/>
      <c r="M26" s="995"/>
      <c r="N26" s="995"/>
      <c r="O26" s="995"/>
      <c r="P26" s="995"/>
      <c r="Q26" s="995"/>
      <c r="R26" s="995"/>
      <c r="S26" s="995"/>
      <c r="T26" s="995"/>
      <c r="U26" s="995"/>
      <c r="V26" s="995"/>
      <c r="W26" s="995"/>
      <c r="X26" s="995"/>
      <c r="Y26" s="995"/>
      <c r="Z26" s="995"/>
      <c r="AA26" s="995"/>
      <c r="AB26" s="995"/>
      <c r="AC26" s="995"/>
      <c r="AD26" s="995"/>
      <c r="AE26" s="995"/>
      <c r="AF26" s="995"/>
      <c r="AG26" s="995"/>
      <c r="AH26" s="995"/>
      <c r="AI26" s="995"/>
      <c r="AJ26" s="995"/>
    </row>
    <row r="27" spans="1:36" ht="26.25" x14ac:dyDescent="0.4">
      <c r="A27" s="991" t="s">
        <v>5070</v>
      </c>
      <c r="B27" s="996">
        <f>SUMIFS(Supplier!E3081:E3139,Supplier!C3081:C3139,s!A27,Supplier!B3081:B3139,s!$B$1)</f>
        <v>0</v>
      </c>
      <c r="C27" s="687"/>
      <c r="D27" s="687"/>
      <c r="E27" s="995"/>
      <c r="F27" s="995"/>
      <c r="G27" s="995"/>
      <c r="H27" s="995"/>
      <c r="I27" s="995"/>
      <c r="J27" s="995"/>
      <c r="K27" s="995"/>
      <c r="L27" s="995"/>
      <c r="M27" s="995"/>
      <c r="N27" s="995"/>
      <c r="O27" s="995"/>
      <c r="P27" s="995"/>
      <c r="Q27" s="995"/>
      <c r="R27" s="995"/>
      <c r="S27" s="995"/>
      <c r="T27" s="995"/>
      <c r="U27" s="995"/>
      <c r="V27" s="995"/>
      <c r="W27" s="995"/>
      <c r="X27" s="995"/>
      <c r="Y27" s="995"/>
      <c r="Z27" s="995"/>
      <c r="AA27" s="995"/>
      <c r="AB27" s="995"/>
      <c r="AC27" s="995"/>
      <c r="AD27" s="995"/>
      <c r="AE27" s="995"/>
      <c r="AF27" s="995"/>
      <c r="AG27" s="995"/>
      <c r="AH27" s="995"/>
      <c r="AI27" s="995"/>
      <c r="AJ27" s="995"/>
    </row>
    <row r="28" spans="1:36" ht="26.25" x14ac:dyDescent="0.4">
      <c r="A28" s="991" t="s">
        <v>8217</v>
      </c>
      <c r="B28" s="996">
        <f>SUMIFS(Supplier!E3082:E3141,Supplier!C3082:C3141,s!A28,Supplier!B3082:B3141,s!$B$1)</f>
        <v>0</v>
      </c>
      <c r="C28" s="687"/>
      <c r="D28" s="687"/>
      <c r="E28" s="995"/>
      <c r="F28" s="995"/>
      <c r="G28" s="995"/>
      <c r="H28" s="995"/>
      <c r="I28" s="995"/>
      <c r="J28" s="995"/>
      <c r="K28" s="995"/>
      <c r="L28" s="995"/>
      <c r="M28" s="995"/>
      <c r="N28" s="995"/>
      <c r="O28" s="995"/>
      <c r="P28" s="995"/>
      <c r="Q28" s="995"/>
      <c r="R28" s="995"/>
      <c r="S28" s="995"/>
      <c r="T28" s="995"/>
      <c r="U28" s="995"/>
      <c r="V28" s="995"/>
      <c r="W28" s="995"/>
      <c r="X28" s="995"/>
      <c r="Y28" s="995"/>
      <c r="Z28" s="995"/>
      <c r="AA28" s="995"/>
      <c r="AB28" s="995"/>
      <c r="AC28" s="995"/>
      <c r="AD28" s="995"/>
      <c r="AE28" s="995"/>
      <c r="AF28" s="995"/>
      <c r="AG28" s="995"/>
      <c r="AH28" s="995"/>
      <c r="AI28" s="995"/>
      <c r="AJ28" s="995"/>
    </row>
    <row r="29" spans="1:36" ht="26.25" x14ac:dyDescent="0.4">
      <c r="A29" s="991" t="s">
        <v>8708</v>
      </c>
      <c r="B29" s="996">
        <f>SUMIFS(Supplier!E3083:E3141,Supplier!C3083:C3141,s!A29,Supplier!B3083:B3141,s!$B$1)</f>
        <v>0</v>
      </c>
      <c r="C29" s="687"/>
      <c r="D29" s="687"/>
      <c r="E29" s="995"/>
      <c r="F29" s="995"/>
      <c r="G29" s="995"/>
      <c r="H29" s="995"/>
      <c r="I29" s="995"/>
      <c r="J29" s="995"/>
      <c r="K29" s="995"/>
      <c r="L29" s="995"/>
      <c r="M29" s="995"/>
      <c r="N29" s="995"/>
      <c r="O29" s="995"/>
      <c r="P29" s="995"/>
      <c r="Q29" s="995"/>
      <c r="R29" s="995"/>
      <c r="S29" s="995"/>
      <c r="T29" s="995"/>
      <c r="U29" s="995"/>
      <c r="V29" s="995"/>
      <c r="W29" s="995"/>
      <c r="X29" s="995"/>
      <c r="Y29" s="995"/>
      <c r="Z29" s="995"/>
      <c r="AA29" s="995"/>
      <c r="AB29" s="995"/>
      <c r="AC29" s="995"/>
      <c r="AD29" s="995"/>
      <c r="AE29" s="995"/>
      <c r="AF29" s="995"/>
      <c r="AG29" s="995"/>
      <c r="AH29" s="995"/>
      <c r="AI29" s="995"/>
      <c r="AJ29" s="995"/>
    </row>
    <row r="30" spans="1:36" ht="26.25" x14ac:dyDescent="0.4">
      <c r="A30" s="991" t="s">
        <v>7562</v>
      </c>
      <c r="B30" s="996">
        <f>SUMIFS(Supplier!E3084:E3158,Supplier!C3084:C3158,s!A30,Supplier!B3084:B3158,s!$B$1)</f>
        <v>0</v>
      </c>
      <c r="C30" s="687"/>
      <c r="D30" s="687"/>
      <c r="E30" s="995"/>
      <c r="F30" s="995"/>
      <c r="G30" s="995"/>
      <c r="H30" s="995"/>
      <c r="I30" s="995"/>
      <c r="J30" s="995"/>
      <c r="K30" s="995"/>
      <c r="L30" s="995"/>
      <c r="M30" s="995"/>
      <c r="N30" s="995"/>
      <c r="O30" s="995"/>
      <c r="P30" s="995"/>
      <c r="Q30" s="995"/>
      <c r="R30" s="995"/>
      <c r="S30" s="995"/>
      <c r="T30" s="995"/>
      <c r="U30" s="995"/>
      <c r="V30" s="995"/>
      <c r="W30" s="995"/>
      <c r="X30" s="995"/>
      <c r="Y30" s="995"/>
      <c r="Z30" s="995"/>
      <c r="AA30" s="995"/>
      <c r="AB30" s="995"/>
      <c r="AC30" s="995"/>
      <c r="AD30" s="995"/>
      <c r="AE30" s="995"/>
      <c r="AF30" s="995"/>
      <c r="AG30" s="995"/>
      <c r="AH30" s="995"/>
      <c r="AI30" s="995"/>
      <c r="AJ30" s="995"/>
    </row>
    <row r="31" spans="1:36" ht="26.25" x14ac:dyDescent="0.4">
      <c r="A31" s="991" t="s">
        <v>7775</v>
      </c>
      <c r="B31" s="996">
        <f>SUMIFS(Supplier!E3085:E3158,Supplier!C3085:C3158,s!A31,Supplier!B3085:B3158,s!$B$1)</f>
        <v>0</v>
      </c>
      <c r="C31" s="687"/>
      <c r="D31" s="687"/>
      <c r="E31" s="995"/>
      <c r="F31" s="995"/>
      <c r="G31" s="995"/>
      <c r="H31" s="995"/>
      <c r="I31" s="995"/>
      <c r="J31" s="995"/>
      <c r="K31" s="995"/>
      <c r="L31" s="995"/>
      <c r="M31" s="995"/>
      <c r="N31" s="995"/>
      <c r="O31" s="995"/>
      <c r="P31" s="995"/>
      <c r="Q31" s="995"/>
      <c r="R31" s="995"/>
      <c r="S31" s="995"/>
      <c r="T31" s="995"/>
      <c r="U31" s="995"/>
      <c r="V31" s="995"/>
      <c r="W31" s="995"/>
      <c r="X31" s="995"/>
      <c r="Y31" s="995"/>
      <c r="Z31" s="995"/>
      <c r="AA31" s="995"/>
      <c r="AB31" s="995"/>
      <c r="AC31" s="995"/>
      <c r="AD31" s="995"/>
      <c r="AE31" s="995"/>
      <c r="AF31" s="995"/>
      <c r="AG31" s="995"/>
      <c r="AH31" s="995"/>
      <c r="AI31" s="995"/>
      <c r="AJ31" s="995"/>
    </row>
    <row r="32" spans="1:36" ht="26.25" x14ac:dyDescent="0.4">
      <c r="A32" s="991" t="s">
        <v>7516</v>
      </c>
      <c r="B32" s="687"/>
      <c r="C32" s="687"/>
      <c r="D32" s="687"/>
      <c r="E32" s="995"/>
      <c r="F32" s="995"/>
      <c r="G32" s="995"/>
      <c r="H32" s="995"/>
      <c r="I32" s="995"/>
      <c r="J32" s="995"/>
      <c r="K32" s="995"/>
      <c r="L32" s="995"/>
      <c r="M32" s="995"/>
      <c r="N32" s="995"/>
      <c r="O32" s="995"/>
      <c r="P32" s="995"/>
      <c r="Q32" s="995"/>
      <c r="R32" s="995"/>
      <c r="S32" s="995"/>
      <c r="T32" s="995"/>
      <c r="U32" s="995"/>
      <c r="V32" s="995"/>
      <c r="W32" s="995"/>
      <c r="X32" s="995"/>
      <c r="Y32" s="995"/>
      <c r="Z32" s="995"/>
      <c r="AA32" s="995"/>
      <c r="AB32" s="995"/>
      <c r="AC32" s="995"/>
      <c r="AD32" s="995"/>
      <c r="AE32" s="995"/>
      <c r="AF32" s="995"/>
      <c r="AG32" s="995"/>
      <c r="AH32" s="995"/>
      <c r="AI32" s="995"/>
      <c r="AJ32" s="995"/>
    </row>
    <row r="33" spans="1:36" ht="26.25" x14ac:dyDescent="0.4">
      <c r="A33" s="991" t="s">
        <v>3226</v>
      </c>
      <c r="B33" s="687"/>
      <c r="C33" s="687"/>
      <c r="D33" s="687"/>
      <c r="E33" s="995"/>
      <c r="F33" s="995"/>
      <c r="G33" s="995"/>
      <c r="H33" s="995"/>
      <c r="I33" s="995"/>
      <c r="J33" s="995"/>
      <c r="K33" s="995"/>
      <c r="L33" s="995"/>
      <c r="M33" s="995"/>
      <c r="N33" s="995"/>
      <c r="O33" s="995"/>
      <c r="P33" s="995"/>
      <c r="Q33" s="995"/>
      <c r="R33" s="995"/>
      <c r="S33" s="995"/>
      <c r="T33" s="995"/>
      <c r="U33" s="995"/>
      <c r="V33" s="995"/>
      <c r="W33" s="995"/>
      <c r="X33" s="995"/>
      <c r="Y33" s="995"/>
      <c r="Z33" s="995"/>
      <c r="AA33" s="995"/>
      <c r="AB33" s="995"/>
      <c r="AC33" s="995"/>
      <c r="AD33" s="995"/>
      <c r="AE33" s="995"/>
      <c r="AF33" s="995"/>
      <c r="AG33" s="995"/>
      <c r="AH33" s="995"/>
      <c r="AI33" s="995"/>
      <c r="AJ33" s="995"/>
    </row>
    <row r="34" spans="1:36" ht="26.25" x14ac:dyDescent="0.4">
      <c r="A34" s="991" t="s">
        <v>7749</v>
      </c>
      <c r="B34" s="687"/>
      <c r="C34" s="687"/>
      <c r="D34" s="687"/>
      <c r="E34" s="995"/>
      <c r="F34" s="995"/>
      <c r="G34" s="995"/>
      <c r="H34" s="995"/>
      <c r="I34" s="995"/>
      <c r="J34" s="995"/>
      <c r="K34" s="995"/>
      <c r="L34" s="995"/>
      <c r="M34" s="995"/>
      <c r="N34" s="995"/>
      <c r="O34" s="995"/>
      <c r="P34" s="995"/>
      <c r="Q34" s="995"/>
      <c r="R34" s="995"/>
      <c r="S34" s="995"/>
      <c r="T34" s="995"/>
      <c r="U34" s="995"/>
      <c r="V34" s="995"/>
      <c r="W34" s="995"/>
      <c r="X34" s="995"/>
      <c r="Y34" s="995"/>
      <c r="Z34" s="995"/>
      <c r="AA34" s="995"/>
      <c r="AB34" s="995"/>
      <c r="AC34" s="995"/>
      <c r="AD34" s="995"/>
      <c r="AE34" s="995"/>
      <c r="AF34" s="995"/>
      <c r="AG34" s="995"/>
      <c r="AH34" s="995"/>
      <c r="AI34" s="995"/>
      <c r="AJ34" s="995"/>
    </row>
    <row r="35" spans="1:36" ht="26.25" x14ac:dyDescent="0.4">
      <c r="A35" s="991" t="s">
        <v>6808</v>
      </c>
      <c r="B35" s="687"/>
      <c r="C35" s="687"/>
      <c r="D35" s="687"/>
      <c r="E35" s="995"/>
      <c r="F35" s="995"/>
      <c r="G35" s="995"/>
      <c r="H35" s="995"/>
      <c r="I35" s="995"/>
      <c r="J35" s="995"/>
      <c r="K35" s="995"/>
      <c r="L35" s="995"/>
      <c r="M35" s="995"/>
      <c r="N35" s="995"/>
      <c r="O35" s="995"/>
      <c r="P35" s="995"/>
      <c r="Q35" s="995"/>
      <c r="R35" s="995"/>
      <c r="S35" s="995"/>
      <c r="T35" s="995"/>
      <c r="U35" s="995"/>
      <c r="V35" s="995"/>
      <c r="W35" s="995"/>
      <c r="X35" s="995"/>
      <c r="Y35" s="995"/>
      <c r="Z35" s="995"/>
      <c r="AA35" s="995"/>
      <c r="AB35" s="995"/>
      <c r="AC35" s="995"/>
      <c r="AD35" s="995"/>
      <c r="AE35" s="995"/>
      <c r="AF35" s="995"/>
      <c r="AG35" s="995"/>
      <c r="AH35" s="995"/>
      <c r="AI35" s="995"/>
      <c r="AJ35" s="995"/>
    </row>
    <row r="36" spans="1:36" ht="26.25" x14ac:dyDescent="0.4">
      <c r="A36" s="991" t="s">
        <v>1524</v>
      </c>
      <c r="B36" s="687"/>
      <c r="C36" s="687"/>
      <c r="D36" s="687"/>
      <c r="E36" s="995"/>
      <c r="F36" s="995"/>
      <c r="G36" s="995"/>
      <c r="H36" s="995"/>
      <c r="I36" s="995"/>
      <c r="J36" s="995"/>
      <c r="K36" s="995"/>
      <c r="L36" s="995"/>
      <c r="M36" s="995"/>
      <c r="N36" s="995"/>
      <c r="O36" s="995"/>
      <c r="P36" s="995"/>
      <c r="Q36" s="995"/>
      <c r="R36" s="995"/>
      <c r="S36" s="995"/>
      <c r="T36" s="995"/>
      <c r="U36" s="995"/>
      <c r="V36" s="995"/>
      <c r="W36" s="995"/>
      <c r="X36" s="995"/>
      <c r="Y36" s="995"/>
      <c r="Z36" s="995"/>
      <c r="AA36" s="995"/>
      <c r="AB36" s="995"/>
      <c r="AC36" s="995"/>
      <c r="AD36" s="995"/>
      <c r="AE36" s="995"/>
      <c r="AF36" s="995"/>
      <c r="AG36" s="995"/>
      <c r="AH36" s="995"/>
      <c r="AI36" s="995"/>
      <c r="AJ36" s="995"/>
    </row>
    <row r="37" spans="1:36" ht="26.25" x14ac:dyDescent="0.4">
      <c r="A37" s="991" t="s">
        <v>3707</v>
      </c>
      <c r="B37" s="687"/>
      <c r="C37" s="687"/>
      <c r="D37" s="687"/>
      <c r="E37" s="995"/>
      <c r="F37" s="995"/>
      <c r="G37" s="995"/>
      <c r="H37" s="995"/>
      <c r="I37" s="995"/>
      <c r="J37" s="995"/>
      <c r="K37" s="995"/>
      <c r="L37" s="995"/>
      <c r="M37" s="995"/>
      <c r="N37" s="995"/>
      <c r="O37" s="995"/>
      <c r="P37" s="995"/>
      <c r="Q37" s="995"/>
      <c r="R37" s="995"/>
      <c r="S37" s="995"/>
      <c r="T37" s="995"/>
      <c r="U37" s="995"/>
      <c r="V37" s="995"/>
      <c r="W37" s="995"/>
      <c r="X37" s="995"/>
      <c r="Y37" s="995"/>
      <c r="Z37" s="995"/>
      <c r="AA37" s="995"/>
      <c r="AB37" s="995"/>
      <c r="AC37" s="995"/>
      <c r="AD37" s="995"/>
      <c r="AE37" s="995"/>
      <c r="AF37" s="995"/>
      <c r="AG37" s="995"/>
      <c r="AH37" s="995"/>
      <c r="AI37" s="995"/>
      <c r="AJ37" s="995"/>
    </row>
    <row r="38" spans="1:36" ht="26.25" x14ac:dyDescent="0.4">
      <c r="A38" s="991" t="s">
        <v>7954</v>
      </c>
      <c r="B38" s="687"/>
      <c r="C38" s="687"/>
      <c r="D38" s="687"/>
      <c r="E38" s="995"/>
      <c r="F38" s="995"/>
      <c r="G38" s="995"/>
      <c r="H38" s="995"/>
      <c r="I38" s="995"/>
      <c r="J38" s="995"/>
      <c r="K38" s="995"/>
      <c r="L38" s="995"/>
      <c r="M38" s="995"/>
      <c r="N38" s="995"/>
      <c r="O38" s="995"/>
      <c r="P38" s="995"/>
      <c r="Q38" s="995"/>
      <c r="R38" s="995"/>
      <c r="S38" s="995"/>
      <c r="T38" s="995"/>
      <c r="U38" s="995"/>
      <c r="V38" s="995"/>
      <c r="W38" s="995"/>
      <c r="X38" s="995"/>
      <c r="Y38" s="995"/>
      <c r="Z38" s="995"/>
      <c r="AA38" s="995"/>
      <c r="AB38" s="995"/>
      <c r="AC38" s="995"/>
      <c r="AD38" s="995"/>
      <c r="AE38" s="995"/>
      <c r="AF38" s="995"/>
      <c r="AG38" s="995"/>
      <c r="AH38" s="995"/>
      <c r="AI38" s="995"/>
      <c r="AJ38" s="995"/>
    </row>
    <row r="39" spans="1:36" ht="26.25" x14ac:dyDescent="0.4">
      <c r="A39" s="991" t="s">
        <v>3666</v>
      </c>
      <c r="B39" s="687"/>
      <c r="C39" s="687"/>
      <c r="D39" s="687"/>
      <c r="E39" s="995"/>
      <c r="F39" s="995"/>
      <c r="G39" s="995"/>
      <c r="H39" s="995"/>
      <c r="I39" s="995"/>
      <c r="J39" s="995"/>
      <c r="K39" s="995"/>
      <c r="L39" s="995"/>
      <c r="M39" s="995"/>
      <c r="N39" s="995"/>
      <c r="O39" s="995"/>
      <c r="P39" s="995"/>
      <c r="Q39" s="995"/>
      <c r="R39" s="995"/>
      <c r="S39" s="995"/>
      <c r="T39" s="995"/>
      <c r="U39" s="995"/>
      <c r="V39" s="995"/>
      <c r="W39" s="995"/>
      <c r="X39" s="995"/>
      <c r="Y39" s="995"/>
      <c r="Z39" s="995"/>
      <c r="AA39" s="995"/>
      <c r="AB39" s="995"/>
      <c r="AC39" s="995"/>
      <c r="AD39" s="995"/>
      <c r="AE39" s="995"/>
      <c r="AF39" s="995"/>
      <c r="AG39" s="995"/>
      <c r="AH39" s="995"/>
      <c r="AI39" s="995"/>
      <c r="AJ39" s="995"/>
    </row>
    <row r="40" spans="1:36" ht="26.25" x14ac:dyDescent="0.4">
      <c r="A40" s="991" t="s">
        <v>8243</v>
      </c>
      <c r="B40" s="687"/>
      <c r="C40" s="687"/>
      <c r="D40" s="687"/>
      <c r="E40" s="995"/>
      <c r="F40" s="995"/>
      <c r="G40" s="995"/>
      <c r="H40" s="995"/>
      <c r="I40" s="995"/>
      <c r="J40" s="995"/>
      <c r="K40" s="995"/>
      <c r="L40" s="995"/>
      <c r="M40" s="995"/>
      <c r="N40" s="995"/>
      <c r="O40" s="995"/>
      <c r="P40" s="995"/>
      <c r="Q40" s="995"/>
      <c r="R40" s="995"/>
      <c r="S40" s="995"/>
      <c r="T40" s="995"/>
      <c r="U40" s="995"/>
      <c r="V40" s="995"/>
      <c r="W40" s="995"/>
      <c r="X40" s="995"/>
      <c r="Y40" s="995"/>
      <c r="Z40" s="995"/>
      <c r="AA40" s="995"/>
      <c r="AB40" s="995"/>
      <c r="AC40" s="995"/>
      <c r="AD40" s="995"/>
      <c r="AE40" s="995"/>
      <c r="AF40" s="995"/>
      <c r="AG40" s="995"/>
      <c r="AH40" s="995"/>
      <c r="AI40" s="995"/>
      <c r="AJ40" s="995"/>
    </row>
    <row r="41" spans="1:36" ht="26.25" x14ac:dyDescent="0.4">
      <c r="A41" s="991" t="s">
        <v>2586</v>
      </c>
      <c r="B41" s="687"/>
      <c r="C41" s="687"/>
      <c r="D41" s="687"/>
      <c r="E41" s="995"/>
      <c r="F41" s="995"/>
      <c r="G41" s="995"/>
      <c r="H41" s="995"/>
      <c r="I41" s="995"/>
      <c r="J41" s="995"/>
      <c r="K41" s="995"/>
      <c r="L41" s="995"/>
      <c r="M41" s="995"/>
      <c r="N41" s="995"/>
      <c r="O41" s="995"/>
      <c r="P41" s="995"/>
      <c r="Q41" s="995"/>
      <c r="R41" s="995"/>
      <c r="S41" s="995"/>
      <c r="T41" s="995"/>
      <c r="U41" s="995"/>
      <c r="V41" s="995"/>
      <c r="W41" s="995"/>
      <c r="X41" s="995"/>
      <c r="Y41" s="995"/>
      <c r="Z41" s="995"/>
      <c r="AA41" s="995"/>
      <c r="AB41" s="995"/>
      <c r="AC41" s="995"/>
      <c r="AD41" s="995"/>
      <c r="AE41" s="995"/>
      <c r="AF41" s="995"/>
      <c r="AG41" s="995"/>
      <c r="AH41" s="995"/>
      <c r="AI41" s="995"/>
      <c r="AJ41" s="995"/>
    </row>
    <row r="42" spans="1:36" ht="26.25" x14ac:dyDescent="0.4">
      <c r="A42" s="991" t="s">
        <v>8389</v>
      </c>
      <c r="B42" s="687"/>
      <c r="C42" s="687"/>
      <c r="D42" s="687"/>
      <c r="E42" s="995"/>
      <c r="F42" s="995"/>
      <c r="G42" s="995"/>
      <c r="H42" s="995"/>
      <c r="I42" s="995"/>
      <c r="J42" s="995"/>
      <c r="K42" s="995"/>
      <c r="L42" s="995"/>
      <c r="M42" s="995"/>
      <c r="N42" s="995"/>
      <c r="O42" s="995"/>
      <c r="P42" s="995"/>
      <c r="Q42" s="995"/>
      <c r="R42" s="995"/>
      <c r="S42" s="995"/>
      <c r="T42" s="995"/>
      <c r="U42" s="995"/>
      <c r="V42" s="995"/>
      <c r="W42" s="995"/>
      <c r="X42" s="995"/>
      <c r="Y42" s="995"/>
      <c r="Z42" s="995"/>
      <c r="AA42" s="995"/>
      <c r="AB42" s="995"/>
      <c r="AC42" s="995"/>
      <c r="AD42" s="995"/>
      <c r="AE42" s="995"/>
      <c r="AF42" s="995"/>
      <c r="AG42" s="995"/>
      <c r="AH42" s="995"/>
      <c r="AI42" s="995"/>
      <c r="AJ42" s="995"/>
    </row>
    <row r="43" spans="1:36" ht="26.25" x14ac:dyDescent="0.4">
      <c r="A43" s="991" t="s">
        <v>8390</v>
      </c>
      <c r="B43" s="687"/>
      <c r="C43" s="687"/>
      <c r="D43" s="687"/>
      <c r="E43" s="995"/>
      <c r="F43" s="995"/>
      <c r="G43" s="995"/>
      <c r="H43" s="995"/>
      <c r="I43" s="995"/>
      <c r="J43" s="995"/>
      <c r="K43" s="995"/>
      <c r="L43" s="995"/>
      <c r="M43" s="995"/>
      <c r="N43" s="995"/>
      <c r="O43" s="995"/>
      <c r="P43" s="995"/>
      <c r="Q43" s="995"/>
      <c r="R43" s="995"/>
      <c r="S43" s="995"/>
      <c r="T43" s="995"/>
      <c r="U43" s="995"/>
      <c r="V43" s="995"/>
      <c r="W43" s="995"/>
      <c r="X43" s="995"/>
      <c r="Y43" s="995"/>
      <c r="Z43" s="995"/>
      <c r="AA43" s="995"/>
      <c r="AB43" s="995"/>
      <c r="AC43" s="995"/>
      <c r="AD43" s="995"/>
      <c r="AE43" s="995"/>
      <c r="AF43" s="995"/>
      <c r="AG43" s="995"/>
      <c r="AH43" s="995"/>
      <c r="AI43" s="995"/>
      <c r="AJ43" s="995"/>
    </row>
    <row r="44" spans="1:36" ht="26.25" x14ac:dyDescent="0.4">
      <c r="A44" s="991" t="s">
        <v>4410</v>
      </c>
      <c r="B44" s="687"/>
      <c r="C44" s="687"/>
      <c r="D44" s="687"/>
      <c r="E44" s="995"/>
      <c r="F44" s="995"/>
      <c r="G44" s="995"/>
      <c r="H44" s="995"/>
      <c r="I44" s="995"/>
      <c r="J44" s="995"/>
      <c r="K44" s="995"/>
      <c r="L44" s="995"/>
      <c r="M44" s="995"/>
      <c r="N44" s="995"/>
      <c r="O44" s="995"/>
      <c r="P44" s="995"/>
      <c r="Q44" s="995"/>
      <c r="R44" s="995"/>
      <c r="S44" s="995"/>
      <c r="T44" s="995"/>
      <c r="U44" s="995"/>
      <c r="V44" s="995"/>
      <c r="W44" s="995"/>
      <c r="X44" s="995"/>
      <c r="Y44" s="995"/>
      <c r="Z44" s="995"/>
      <c r="AA44" s="995"/>
      <c r="AB44" s="995"/>
      <c r="AC44" s="995"/>
      <c r="AD44" s="995"/>
      <c r="AE44" s="995"/>
      <c r="AF44" s="995"/>
      <c r="AG44" s="995"/>
      <c r="AH44" s="995"/>
      <c r="AI44" s="995"/>
      <c r="AJ44" s="995"/>
    </row>
    <row r="45" spans="1:36" ht="26.25" x14ac:dyDescent="0.4">
      <c r="A45" s="991" t="s">
        <v>7489</v>
      </c>
      <c r="B45" s="687"/>
      <c r="C45" s="687"/>
      <c r="D45" s="687"/>
      <c r="E45" s="995"/>
      <c r="F45" s="995"/>
      <c r="G45" s="995"/>
      <c r="H45" s="995"/>
      <c r="I45" s="995"/>
      <c r="J45" s="995"/>
      <c r="K45" s="995"/>
      <c r="L45" s="995"/>
      <c r="M45" s="995"/>
      <c r="N45" s="995"/>
      <c r="O45" s="995"/>
      <c r="P45" s="995"/>
      <c r="Q45" s="995"/>
      <c r="R45" s="995"/>
      <c r="S45" s="995"/>
      <c r="T45" s="995"/>
      <c r="U45" s="995"/>
      <c r="V45" s="995"/>
      <c r="W45" s="995"/>
      <c r="X45" s="995"/>
      <c r="Y45" s="995"/>
      <c r="Z45" s="995"/>
      <c r="AA45" s="995"/>
      <c r="AB45" s="995"/>
      <c r="AC45" s="995"/>
      <c r="AD45" s="995"/>
      <c r="AE45" s="995"/>
      <c r="AF45" s="995"/>
      <c r="AG45" s="995"/>
      <c r="AH45" s="995"/>
      <c r="AI45" s="995"/>
      <c r="AJ45" s="995"/>
    </row>
    <row r="46" spans="1:36" ht="26.25" x14ac:dyDescent="0.4">
      <c r="A46" s="991" t="s">
        <v>7181</v>
      </c>
      <c r="B46" s="687"/>
      <c r="C46" s="687"/>
      <c r="D46" s="687"/>
      <c r="E46" s="995"/>
      <c r="F46" s="995"/>
      <c r="G46" s="995"/>
      <c r="H46" s="995"/>
      <c r="I46" s="995"/>
      <c r="J46" s="995"/>
      <c r="K46" s="995"/>
      <c r="L46" s="995"/>
      <c r="M46" s="995"/>
      <c r="N46" s="995"/>
      <c r="O46" s="995"/>
      <c r="P46" s="995"/>
      <c r="Q46" s="995"/>
      <c r="R46" s="995"/>
      <c r="S46" s="995"/>
      <c r="T46" s="995"/>
      <c r="U46" s="995"/>
      <c r="V46" s="995"/>
      <c r="W46" s="995"/>
      <c r="X46" s="995"/>
      <c r="Y46" s="995"/>
      <c r="Z46" s="995"/>
      <c r="AA46" s="995"/>
      <c r="AB46" s="995"/>
      <c r="AC46" s="995"/>
      <c r="AD46" s="995"/>
      <c r="AE46" s="995"/>
      <c r="AF46" s="995"/>
      <c r="AG46" s="995"/>
      <c r="AH46" s="995"/>
      <c r="AI46" s="995"/>
      <c r="AJ46" s="995"/>
    </row>
    <row r="47" spans="1:36" ht="26.25" x14ac:dyDescent="0.4">
      <c r="A47" s="991" t="s">
        <v>7182</v>
      </c>
      <c r="B47" s="687"/>
      <c r="C47" s="687"/>
      <c r="D47" s="687"/>
      <c r="E47" s="995"/>
      <c r="F47" s="995"/>
      <c r="G47" s="995"/>
      <c r="H47" s="995"/>
      <c r="I47" s="995"/>
      <c r="J47" s="995"/>
      <c r="K47" s="995"/>
      <c r="L47" s="995"/>
      <c r="M47" s="995"/>
      <c r="N47" s="995"/>
      <c r="O47" s="995"/>
      <c r="P47" s="995"/>
      <c r="Q47" s="995"/>
      <c r="R47" s="995"/>
      <c r="S47" s="995"/>
      <c r="T47" s="995"/>
      <c r="U47" s="995"/>
      <c r="V47" s="995"/>
      <c r="W47" s="995"/>
      <c r="X47" s="995"/>
      <c r="Y47" s="995"/>
      <c r="Z47" s="995"/>
      <c r="AA47" s="995"/>
      <c r="AB47" s="995"/>
      <c r="AC47" s="995"/>
      <c r="AD47" s="995"/>
      <c r="AE47" s="995"/>
      <c r="AF47" s="995"/>
      <c r="AG47" s="995"/>
      <c r="AH47" s="995"/>
      <c r="AI47" s="995"/>
      <c r="AJ47" s="995"/>
    </row>
    <row r="48" spans="1:36" ht="26.25" x14ac:dyDescent="0.4">
      <c r="A48" s="991" t="s">
        <v>438</v>
      </c>
      <c r="B48" s="687"/>
      <c r="C48" s="687"/>
      <c r="D48" s="687"/>
      <c r="E48" s="995"/>
      <c r="F48" s="995"/>
      <c r="G48" s="995"/>
      <c r="H48" s="995"/>
      <c r="I48" s="995"/>
      <c r="J48" s="995"/>
      <c r="K48" s="995"/>
      <c r="L48" s="995"/>
      <c r="M48" s="995"/>
      <c r="N48" s="995"/>
      <c r="O48" s="995"/>
      <c r="P48" s="995"/>
      <c r="Q48" s="995"/>
      <c r="R48" s="995"/>
      <c r="S48" s="995"/>
      <c r="T48" s="995"/>
      <c r="U48" s="995"/>
      <c r="V48" s="995"/>
      <c r="W48" s="995"/>
      <c r="X48" s="995"/>
      <c r="Y48" s="995"/>
      <c r="Z48" s="995"/>
      <c r="AA48" s="995"/>
      <c r="AB48" s="995"/>
      <c r="AC48" s="995"/>
      <c r="AD48" s="995"/>
      <c r="AE48" s="995"/>
      <c r="AF48" s="995"/>
      <c r="AG48" s="995"/>
      <c r="AH48" s="995"/>
      <c r="AI48" s="995"/>
      <c r="AJ48" s="995"/>
    </row>
    <row r="49" spans="1:36" ht="26.25" x14ac:dyDescent="0.4">
      <c r="A49" s="991" t="s">
        <v>6807</v>
      </c>
      <c r="B49" s="687"/>
      <c r="C49" s="687"/>
      <c r="D49" s="687"/>
      <c r="E49" s="995"/>
      <c r="F49" s="995"/>
      <c r="G49" s="995"/>
      <c r="H49" s="995"/>
      <c r="I49" s="995"/>
      <c r="J49" s="995"/>
      <c r="K49" s="995"/>
      <c r="L49" s="995"/>
      <c r="M49" s="995"/>
      <c r="N49" s="995"/>
      <c r="O49" s="995"/>
      <c r="P49" s="995"/>
      <c r="Q49" s="995"/>
      <c r="R49" s="995"/>
      <c r="S49" s="995"/>
      <c r="T49" s="995"/>
      <c r="U49" s="995"/>
      <c r="V49" s="995"/>
      <c r="W49" s="995"/>
      <c r="X49" s="995"/>
      <c r="Y49" s="995"/>
      <c r="Z49" s="995"/>
      <c r="AA49" s="995"/>
      <c r="AB49" s="995"/>
      <c r="AC49" s="995"/>
      <c r="AD49" s="995"/>
      <c r="AE49" s="995"/>
      <c r="AF49" s="995"/>
      <c r="AG49" s="995"/>
      <c r="AH49" s="995"/>
      <c r="AI49" s="995"/>
      <c r="AJ49" s="995"/>
    </row>
    <row r="50" spans="1:36" ht="26.25" x14ac:dyDescent="0.4">
      <c r="A50" s="991" t="s">
        <v>7242</v>
      </c>
      <c r="B50" s="687"/>
      <c r="C50" s="687"/>
      <c r="D50" s="687"/>
      <c r="E50" s="995"/>
      <c r="F50" s="995"/>
      <c r="G50" s="995"/>
      <c r="H50" s="995"/>
      <c r="I50" s="995"/>
      <c r="J50" s="995"/>
      <c r="K50" s="995"/>
      <c r="L50" s="995"/>
      <c r="M50" s="995"/>
      <c r="N50" s="995"/>
      <c r="O50" s="995"/>
      <c r="P50" s="995"/>
      <c r="Q50" s="995"/>
      <c r="R50" s="995"/>
      <c r="S50" s="995"/>
      <c r="T50" s="995"/>
      <c r="U50" s="995"/>
      <c r="V50" s="995"/>
      <c r="W50" s="995"/>
      <c r="X50" s="995"/>
      <c r="Y50" s="995"/>
      <c r="Z50" s="995"/>
      <c r="AA50" s="995"/>
      <c r="AB50" s="995"/>
      <c r="AC50" s="995"/>
      <c r="AD50" s="995"/>
      <c r="AE50" s="995"/>
      <c r="AF50" s="995"/>
      <c r="AG50" s="995"/>
      <c r="AH50" s="995"/>
      <c r="AI50" s="995"/>
      <c r="AJ50" s="995"/>
    </row>
    <row r="51" spans="1:36" x14ac:dyDescent="0.25">
      <c r="B51" s="687"/>
      <c r="C51" s="687"/>
      <c r="D51" s="687"/>
      <c r="E51" s="995"/>
      <c r="F51" s="995"/>
      <c r="G51" s="995"/>
      <c r="H51" s="995"/>
      <c r="I51" s="995"/>
      <c r="J51" s="995"/>
      <c r="K51" s="995"/>
      <c r="L51" s="995"/>
      <c r="M51" s="995"/>
      <c r="N51" s="995"/>
      <c r="O51" s="995"/>
      <c r="P51" s="995"/>
      <c r="Q51" s="995"/>
      <c r="R51" s="995"/>
      <c r="S51" s="995"/>
      <c r="T51" s="995"/>
      <c r="U51" s="995"/>
      <c r="V51" s="995"/>
      <c r="W51" s="995"/>
      <c r="X51" s="995"/>
      <c r="Y51" s="995"/>
      <c r="Z51" s="995"/>
      <c r="AA51" s="995"/>
      <c r="AB51" s="995"/>
      <c r="AC51" s="995"/>
      <c r="AD51" s="995"/>
      <c r="AE51" s="995"/>
      <c r="AF51" s="995"/>
      <c r="AG51" s="995"/>
      <c r="AH51" s="995"/>
      <c r="AI51" s="995"/>
      <c r="AJ51" s="995"/>
    </row>
    <row r="52" spans="1:36" x14ac:dyDescent="0.25">
      <c r="B52" s="687"/>
      <c r="C52" s="687"/>
      <c r="D52" s="687"/>
      <c r="E52" s="995"/>
      <c r="F52" s="995"/>
      <c r="G52" s="995"/>
      <c r="H52" s="995"/>
      <c r="I52" s="995"/>
      <c r="J52" s="995"/>
      <c r="K52" s="995"/>
      <c r="L52" s="995"/>
      <c r="M52" s="995"/>
      <c r="N52" s="995"/>
      <c r="O52" s="995"/>
      <c r="P52" s="995"/>
      <c r="Q52" s="995"/>
      <c r="R52" s="995"/>
      <c r="S52" s="995"/>
      <c r="T52" s="995"/>
      <c r="U52" s="995"/>
      <c r="V52" s="995"/>
      <c r="W52" s="995"/>
      <c r="X52" s="995"/>
      <c r="Y52" s="995"/>
      <c r="Z52" s="995"/>
      <c r="AA52" s="995"/>
      <c r="AB52" s="995"/>
      <c r="AC52" s="995"/>
      <c r="AD52" s="995"/>
      <c r="AE52" s="995"/>
      <c r="AF52" s="995"/>
      <c r="AG52" s="995"/>
      <c r="AH52" s="995"/>
      <c r="AI52" s="995"/>
      <c r="AJ52" s="995"/>
    </row>
    <row r="53" spans="1:36" x14ac:dyDescent="0.25">
      <c r="B53" s="687"/>
      <c r="C53" s="687"/>
      <c r="D53" s="687"/>
      <c r="E53" s="995"/>
      <c r="F53" s="995"/>
      <c r="G53" s="995"/>
      <c r="H53" s="995"/>
      <c r="I53" s="995"/>
      <c r="J53" s="995"/>
      <c r="K53" s="995"/>
      <c r="L53" s="995"/>
      <c r="M53" s="995"/>
      <c r="N53" s="995"/>
      <c r="O53" s="995"/>
      <c r="P53" s="995"/>
      <c r="Q53" s="995"/>
      <c r="R53" s="995"/>
      <c r="S53" s="995"/>
      <c r="T53" s="995"/>
      <c r="U53" s="995"/>
      <c r="V53" s="995"/>
      <c r="W53" s="995"/>
      <c r="X53" s="995"/>
      <c r="Y53" s="995"/>
      <c r="Z53" s="995"/>
      <c r="AA53" s="995"/>
      <c r="AB53" s="995"/>
      <c r="AC53" s="995"/>
      <c r="AD53" s="995"/>
      <c r="AE53" s="995"/>
      <c r="AF53" s="995"/>
      <c r="AG53" s="995"/>
      <c r="AH53" s="995"/>
      <c r="AI53" s="995"/>
      <c r="AJ53" s="995"/>
    </row>
    <row r="54" spans="1:36" x14ac:dyDescent="0.25">
      <c r="B54" s="687"/>
      <c r="C54" s="687"/>
      <c r="D54" s="687"/>
      <c r="E54" s="995"/>
      <c r="F54" s="995"/>
      <c r="G54" s="995"/>
      <c r="H54" s="995"/>
      <c r="I54" s="995"/>
      <c r="J54" s="995"/>
      <c r="K54" s="995"/>
      <c r="L54" s="995"/>
      <c r="M54" s="995"/>
      <c r="N54" s="995"/>
      <c r="O54" s="995"/>
      <c r="P54" s="995"/>
      <c r="Q54" s="995"/>
      <c r="R54" s="995"/>
      <c r="S54" s="995"/>
      <c r="T54" s="995"/>
      <c r="U54" s="995"/>
      <c r="V54" s="995"/>
      <c r="W54" s="995"/>
      <c r="X54" s="995"/>
      <c r="Y54" s="995"/>
      <c r="Z54" s="995"/>
      <c r="AA54" s="995"/>
      <c r="AB54" s="995"/>
      <c r="AC54" s="995"/>
      <c r="AD54" s="995"/>
      <c r="AE54" s="995"/>
      <c r="AF54" s="995"/>
      <c r="AG54" s="995"/>
      <c r="AH54" s="995"/>
      <c r="AI54" s="995"/>
      <c r="AJ54" s="995"/>
    </row>
    <row r="55" spans="1:36" x14ac:dyDescent="0.25">
      <c r="B55" s="687"/>
      <c r="C55" s="687"/>
      <c r="D55" s="687"/>
      <c r="E55" s="995"/>
      <c r="F55" s="995"/>
      <c r="G55" s="995"/>
      <c r="H55" s="995"/>
      <c r="I55" s="995"/>
      <c r="J55" s="995"/>
      <c r="K55" s="995"/>
      <c r="L55" s="995"/>
      <c r="M55" s="995"/>
      <c r="N55" s="995"/>
      <c r="O55" s="995"/>
      <c r="P55" s="995"/>
      <c r="Q55" s="995"/>
      <c r="R55" s="995"/>
      <c r="S55" s="995"/>
      <c r="T55" s="995"/>
      <c r="U55" s="995"/>
      <c r="V55" s="995"/>
      <c r="W55" s="995"/>
      <c r="X55" s="995"/>
      <c r="Y55" s="995"/>
      <c r="Z55" s="995"/>
      <c r="AA55" s="995"/>
      <c r="AB55" s="995"/>
      <c r="AC55" s="995"/>
      <c r="AD55" s="995"/>
      <c r="AE55" s="995"/>
      <c r="AF55" s="995"/>
      <c r="AG55" s="995"/>
      <c r="AH55" s="995"/>
      <c r="AI55" s="995"/>
      <c r="AJ55" s="995"/>
    </row>
    <row r="56" spans="1:36" x14ac:dyDescent="0.25">
      <c r="B56" s="687"/>
      <c r="C56" s="687"/>
      <c r="D56" s="687"/>
      <c r="E56" s="995"/>
      <c r="F56" s="995"/>
      <c r="G56" s="995"/>
      <c r="H56" s="995"/>
      <c r="I56" s="995"/>
      <c r="J56" s="995"/>
      <c r="K56" s="995"/>
      <c r="L56" s="995"/>
      <c r="M56" s="995"/>
      <c r="N56" s="995"/>
      <c r="O56" s="995"/>
      <c r="P56" s="995"/>
      <c r="Q56" s="995"/>
      <c r="R56" s="995"/>
      <c r="S56" s="995"/>
      <c r="T56" s="995"/>
      <c r="U56" s="995"/>
      <c r="V56" s="995"/>
      <c r="W56" s="995"/>
      <c r="X56" s="995"/>
      <c r="Y56" s="995"/>
      <c r="Z56" s="995"/>
      <c r="AA56" s="995"/>
      <c r="AB56" s="995"/>
      <c r="AC56" s="995"/>
      <c r="AD56" s="995"/>
      <c r="AE56" s="995"/>
      <c r="AF56" s="995"/>
      <c r="AG56" s="995"/>
      <c r="AH56" s="995"/>
      <c r="AI56" s="995"/>
      <c r="AJ56" s="995"/>
    </row>
    <row r="57" spans="1:36" x14ac:dyDescent="0.25">
      <c r="B57" s="687"/>
      <c r="C57" s="687"/>
      <c r="D57" s="687"/>
      <c r="E57" s="995"/>
      <c r="F57" s="995"/>
      <c r="G57" s="995"/>
      <c r="H57" s="995"/>
      <c r="I57" s="995"/>
      <c r="J57" s="995"/>
      <c r="K57" s="995"/>
      <c r="L57" s="995"/>
      <c r="M57" s="995"/>
      <c r="N57" s="995"/>
      <c r="O57" s="995"/>
      <c r="P57" s="995"/>
      <c r="Q57" s="995"/>
      <c r="R57" s="995"/>
      <c r="S57" s="995"/>
      <c r="T57" s="995"/>
      <c r="U57" s="995"/>
      <c r="V57" s="995"/>
      <c r="W57" s="995"/>
      <c r="X57" s="995"/>
      <c r="Y57" s="995"/>
      <c r="Z57" s="995"/>
      <c r="AA57" s="995"/>
      <c r="AB57" s="995"/>
      <c r="AC57" s="995"/>
      <c r="AD57" s="995"/>
      <c r="AE57" s="995"/>
      <c r="AF57" s="995"/>
      <c r="AG57" s="995"/>
      <c r="AH57" s="995"/>
      <c r="AI57" s="995"/>
      <c r="AJ57" s="995"/>
    </row>
    <row r="58" spans="1:36" x14ac:dyDescent="0.25">
      <c r="B58" s="687"/>
      <c r="C58" s="687"/>
      <c r="D58" s="687"/>
      <c r="E58" s="995"/>
      <c r="F58" s="995"/>
      <c r="G58" s="995"/>
      <c r="H58" s="995"/>
      <c r="I58" s="995"/>
      <c r="J58" s="995"/>
      <c r="K58" s="995"/>
      <c r="L58" s="995"/>
      <c r="M58" s="995"/>
      <c r="N58" s="995"/>
      <c r="O58" s="995"/>
      <c r="P58" s="995"/>
      <c r="Q58" s="995"/>
      <c r="R58" s="995"/>
      <c r="S58" s="995"/>
      <c r="T58" s="995"/>
      <c r="U58" s="995"/>
      <c r="V58" s="995"/>
      <c r="W58" s="995"/>
      <c r="X58" s="995"/>
      <c r="Y58" s="995"/>
      <c r="Z58" s="995"/>
      <c r="AA58" s="995"/>
      <c r="AB58" s="995"/>
      <c r="AC58" s="995"/>
      <c r="AD58" s="995"/>
      <c r="AE58" s="995"/>
      <c r="AF58" s="995"/>
      <c r="AG58" s="995"/>
      <c r="AH58" s="995"/>
      <c r="AI58" s="995"/>
      <c r="AJ58" s="995"/>
    </row>
    <row r="59" spans="1:36" x14ac:dyDescent="0.25">
      <c r="B59" s="687"/>
      <c r="C59" s="687"/>
      <c r="D59" s="687"/>
      <c r="E59" s="995"/>
      <c r="F59" s="995"/>
      <c r="G59" s="995"/>
      <c r="H59" s="995"/>
      <c r="I59" s="995"/>
      <c r="J59" s="995"/>
      <c r="K59" s="995"/>
      <c r="L59" s="995"/>
      <c r="M59" s="995"/>
      <c r="N59" s="995"/>
      <c r="O59" s="995"/>
      <c r="P59" s="995"/>
      <c r="Q59" s="995"/>
      <c r="R59" s="995"/>
      <c r="S59" s="995"/>
      <c r="T59" s="995"/>
      <c r="U59" s="995"/>
      <c r="V59" s="995"/>
      <c r="W59" s="995"/>
      <c r="X59" s="995"/>
      <c r="Y59" s="995"/>
      <c r="Z59" s="995"/>
      <c r="AA59" s="995"/>
      <c r="AB59" s="995"/>
      <c r="AC59" s="995"/>
      <c r="AD59" s="995"/>
      <c r="AE59" s="995"/>
      <c r="AF59" s="995"/>
      <c r="AG59" s="995"/>
      <c r="AH59" s="995"/>
      <c r="AI59" s="995"/>
      <c r="AJ59" s="995"/>
    </row>
    <row r="60" spans="1:36" x14ac:dyDescent="0.25">
      <c r="B60" s="687"/>
      <c r="C60" s="687"/>
      <c r="D60" s="687"/>
      <c r="E60" s="995"/>
      <c r="F60" s="995"/>
      <c r="G60" s="995"/>
      <c r="H60" s="995"/>
      <c r="I60" s="995"/>
      <c r="J60" s="995"/>
      <c r="K60" s="995"/>
      <c r="L60" s="995"/>
      <c r="M60" s="995"/>
      <c r="N60" s="995"/>
      <c r="O60" s="995"/>
      <c r="P60" s="995"/>
      <c r="Q60" s="995"/>
      <c r="R60" s="995"/>
      <c r="S60" s="995"/>
      <c r="T60" s="995"/>
      <c r="U60" s="995"/>
      <c r="V60" s="995"/>
      <c r="W60" s="995"/>
      <c r="X60" s="995"/>
      <c r="Y60" s="995"/>
      <c r="Z60" s="995"/>
      <c r="AA60" s="995"/>
      <c r="AB60" s="995"/>
      <c r="AC60" s="995"/>
      <c r="AD60" s="995"/>
      <c r="AE60" s="995"/>
      <c r="AF60" s="995"/>
      <c r="AG60" s="995"/>
      <c r="AH60" s="995"/>
      <c r="AI60" s="995"/>
      <c r="AJ60" s="995"/>
    </row>
    <row r="61" spans="1:36" x14ac:dyDescent="0.25">
      <c r="B61" s="687"/>
      <c r="C61" s="687"/>
      <c r="D61" s="687"/>
      <c r="E61" s="995"/>
      <c r="F61" s="995"/>
      <c r="G61" s="995"/>
      <c r="H61" s="995"/>
      <c r="I61" s="995"/>
      <c r="J61" s="995"/>
      <c r="K61" s="995"/>
      <c r="L61" s="995"/>
      <c r="M61" s="995"/>
      <c r="N61" s="995"/>
      <c r="O61" s="995"/>
      <c r="P61" s="995"/>
      <c r="Q61" s="995"/>
      <c r="R61" s="995"/>
      <c r="S61" s="995"/>
      <c r="T61" s="995"/>
      <c r="U61" s="995"/>
      <c r="V61" s="995"/>
      <c r="W61" s="995"/>
      <c r="X61" s="995"/>
      <c r="Y61" s="995"/>
      <c r="Z61" s="995"/>
      <c r="AA61" s="995"/>
      <c r="AB61" s="995"/>
      <c r="AC61" s="995"/>
      <c r="AD61" s="995"/>
      <c r="AE61" s="995"/>
      <c r="AF61" s="995"/>
      <c r="AG61" s="995"/>
      <c r="AH61" s="995"/>
      <c r="AI61" s="995"/>
      <c r="AJ61" s="995"/>
    </row>
    <row r="62" spans="1:36" x14ac:dyDescent="0.25">
      <c r="B62" s="687"/>
      <c r="C62" s="687"/>
      <c r="D62" s="687"/>
      <c r="E62" s="995"/>
      <c r="F62" s="995"/>
      <c r="G62" s="995"/>
      <c r="H62" s="995"/>
      <c r="I62" s="995"/>
      <c r="J62" s="995"/>
      <c r="K62" s="995"/>
      <c r="L62" s="995"/>
      <c r="M62" s="995"/>
      <c r="N62" s="995"/>
      <c r="O62" s="995"/>
      <c r="P62" s="995"/>
      <c r="Q62" s="995"/>
      <c r="R62" s="995"/>
      <c r="S62" s="995"/>
      <c r="T62" s="995"/>
      <c r="U62" s="995"/>
      <c r="V62" s="995"/>
      <c r="W62" s="995"/>
      <c r="X62" s="995"/>
      <c r="Y62" s="995"/>
      <c r="Z62" s="995"/>
      <c r="AA62" s="995"/>
      <c r="AB62" s="995"/>
      <c r="AC62" s="995"/>
      <c r="AD62" s="995"/>
      <c r="AE62" s="995"/>
      <c r="AF62" s="995"/>
      <c r="AG62" s="995"/>
      <c r="AH62" s="995"/>
      <c r="AI62" s="995"/>
      <c r="AJ62" s="995"/>
    </row>
    <row r="63" spans="1:36" x14ac:dyDescent="0.25">
      <c r="B63" s="687"/>
      <c r="C63" s="687"/>
      <c r="D63" s="687"/>
      <c r="E63" s="995"/>
      <c r="F63" s="995"/>
      <c r="G63" s="995"/>
      <c r="H63" s="995"/>
      <c r="I63" s="995"/>
      <c r="J63" s="995"/>
      <c r="K63" s="995"/>
      <c r="L63" s="995"/>
      <c r="M63" s="995"/>
      <c r="N63" s="995"/>
      <c r="O63" s="995"/>
      <c r="P63" s="995"/>
      <c r="Q63" s="995"/>
      <c r="R63" s="995"/>
      <c r="S63" s="995"/>
      <c r="T63" s="995"/>
      <c r="U63" s="995"/>
      <c r="V63" s="995"/>
      <c r="W63" s="995"/>
      <c r="X63" s="995"/>
      <c r="Y63" s="995"/>
      <c r="Z63" s="995"/>
      <c r="AA63" s="995"/>
      <c r="AB63" s="995"/>
      <c r="AC63" s="995"/>
      <c r="AD63" s="995"/>
      <c r="AE63" s="995"/>
      <c r="AF63" s="995"/>
      <c r="AG63" s="995"/>
      <c r="AH63" s="995"/>
      <c r="AI63" s="995"/>
      <c r="AJ63" s="995"/>
    </row>
    <row r="64" spans="1:36" x14ac:dyDescent="0.25">
      <c r="B64" s="687"/>
      <c r="C64" s="687"/>
      <c r="D64" s="687"/>
      <c r="E64" s="995"/>
      <c r="F64" s="995"/>
      <c r="G64" s="995"/>
      <c r="H64" s="995"/>
      <c r="I64" s="995"/>
      <c r="J64" s="995"/>
      <c r="K64" s="995"/>
      <c r="L64" s="995"/>
      <c r="M64" s="995"/>
      <c r="N64" s="995"/>
      <c r="O64" s="995"/>
      <c r="P64" s="995"/>
      <c r="Q64" s="995"/>
      <c r="R64" s="995"/>
      <c r="S64" s="995"/>
      <c r="T64" s="995"/>
      <c r="U64" s="995"/>
      <c r="V64" s="995"/>
      <c r="W64" s="995"/>
      <c r="X64" s="995"/>
      <c r="Y64" s="995"/>
      <c r="Z64" s="995"/>
      <c r="AA64" s="995"/>
      <c r="AB64" s="995"/>
      <c r="AC64" s="995"/>
      <c r="AD64" s="995"/>
      <c r="AE64" s="995"/>
      <c r="AF64" s="995"/>
      <c r="AG64" s="995"/>
      <c r="AH64" s="995"/>
      <c r="AI64" s="995"/>
      <c r="AJ64" s="995"/>
    </row>
    <row r="65" spans="2:36" x14ac:dyDescent="0.25">
      <c r="B65" s="687"/>
      <c r="C65" s="687"/>
      <c r="D65" s="687"/>
      <c r="E65" s="995"/>
      <c r="F65" s="995"/>
      <c r="G65" s="995"/>
      <c r="H65" s="995"/>
      <c r="I65" s="995"/>
      <c r="J65" s="995"/>
      <c r="K65" s="995"/>
      <c r="L65" s="995"/>
      <c r="M65" s="995"/>
      <c r="N65" s="995"/>
      <c r="O65" s="995"/>
      <c r="P65" s="995"/>
      <c r="Q65" s="995"/>
      <c r="R65" s="995"/>
      <c r="S65" s="995"/>
      <c r="T65" s="995"/>
      <c r="U65" s="995"/>
      <c r="V65" s="995"/>
      <c r="W65" s="995"/>
      <c r="X65" s="995"/>
      <c r="Y65" s="995"/>
      <c r="Z65" s="995"/>
      <c r="AA65" s="995"/>
      <c r="AB65" s="995"/>
      <c r="AC65" s="995"/>
      <c r="AD65" s="995"/>
      <c r="AE65" s="995"/>
      <c r="AF65" s="995"/>
      <c r="AG65" s="995"/>
      <c r="AH65" s="995"/>
      <c r="AI65" s="995"/>
      <c r="AJ65" s="995"/>
    </row>
    <row r="66" spans="2:36" x14ac:dyDescent="0.25">
      <c r="B66" s="687"/>
      <c r="C66" s="687"/>
      <c r="D66" s="687"/>
      <c r="E66" s="995"/>
      <c r="F66" s="995"/>
      <c r="G66" s="995"/>
      <c r="H66" s="995"/>
      <c r="I66" s="995"/>
      <c r="J66" s="995"/>
      <c r="K66" s="995"/>
      <c r="L66" s="995"/>
      <c r="M66" s="995"/>
      <c r="N66" s="995"/>
      <c r="O66" s="995"/>
      <c r="P66" s="995"/>
      <c r="Q66" s="995"/>
      <c r="R66" s="995"/>
      <c r="S66" s="995"/>
      <c r="T66" s="995"/>
      <c r="U66" s="995"/>
      <c r="V66" s="995"/>
      <c r="W66" s="995"/>
      <c r="X66" s="995"/>
      <c r="Y66" s="995"/>
      <c r="Z66" s="995"/>
      <c r="AA66" s="995"/>
      <c r="AB66" s="995"/>
      <c r="AC66" s="995"/>
      <c r="AD66" s="995"/>
      <c r="AE66" s="995"/>
      <c r="AF66" s="995"/>
      <c r="AG66" s="995"/>
      <c r="AH66" s="995"/>
      <c r="AI66" s="995"/>
      <c r="AJ66" s="995"/>
    </row>
    <row r="67" spans="2:36" x14ac:dyDescent="0.25">
      <c r="B67" s="687"/>
      <c r="C67" s="687"/>
      <c r="D67" s="687"/>
      <c r="E67" s="995"/>
      <c r="F67" s="995"/>
      <c r="G67" s="995"/>
      <c r="H67" s="995"/>
      <c r="I67" s="995"/>
      <c r="J67" s="995"/>
      <c r="K67" s="995"/>
      <c r="L67" s="995"/>
      <c r="M67" s="995"/>
      <c r="N67" s="995"/>
      <c r="O67" s="995"/>
      <c r="P67" s="995"/>
      <c r="Q67" s="995"/>
      <c r="R67" s="995"/>
      <c r="S67" s="995"/>
      <c r="T67" s="995"/>
      <c r="U67" s="995"/>
      <c r="V67" s="995"/>
      <c r="W67" s="995"/>
      <c r="X67" s="995"/>
      <c r="Y67" s="995"/>
      <c r="Z67" s="995"/>
      <c r="AA67" s="995"/>
      <c r="AB67" s="995"/>
      <c r="AC67" s="995"/>
      <c r="AD67" s="995"/>
      <c r="AE67" s="995"/>
      <c r="AF67" s="995"/>
      <c r="AG67" s="995"/>
      <c r="AH67" s="995"/>
      <c r="AI67" s="995"/>
      <c r="AJ67" s="995"/>
    </row>
    <row r="68" spans="2:36" x14ac:dyDescent="0.25">
      <c r="B68" s="687"/>
      <c r="C68" s="687"/>
      <c r="D68" s="687"/>
      <c r="E68" s="995"/>
      <c r="F68" s="995"/>
      <c r="G68" s="995"/>
      <c r="H68" s="995"/>
      <c r="I68" s="995"/>
      <c r="J68" s="995"/>
      <c r="K68" s="995"/>
      <c r="L68" s="995"/>
      <c r="M68" s="995"/>
      <c r="N68" s="995"/>
      <c r="O68" s="995"/>
      <c r="P68" s="995"/>
      <c r="Q68" s="995"/>
      <c r="R68" s="995"/>
      <c r="S68" s="995"/>
      <c r="T68" s="995"/>
      <c r="U68" s="995"/>
      <c r="V68" s="995"/>
      <c r="W68" s="995"/>
      <c r="X68" s="995"/>
      <c r="Y68" s="995"/>
      <c r="Z68" s="995"/>
      <c r="AA68" s="995"/>
      <c r="AB68" s="995"/>
      <c r="AC68" s="995"/>
      <c r="AD68" s="995"/>
      <c r="AE68" s="995"/>
      <c r="AF68" s="995"/>
      <c r="AG68" s="995"/>
      <c r="AH68" s="995"/>
      <c r="AI68" s="995"/>
      <c r="AJ68" s="995"/>
    </row>
    <row r="69" spans="2:36" x14ac:dyDescent="0.25">
      <c r="B69" s="687"/>
      <c r="C69" s="687"/>
      <c r="D69" s="687"/>
      <c r="E69" s="995"/>
      <c r="F69" s="995"/>
      <c r="G69" s="995"/>
      <c r="H69" s="995"/>
      <c r="I69" s="995"/>
      <c r="J69" s="995"/>
      <c r="K69" s="995"/>
      <c r="L69" s="995"/>
      <c r="M69" s="995"/>
      <c r="N69" s="995"/>
      <c r="O69" s="995"/>
      <c r="P69" s="995"/>
      <c r="Q69" s="995"/>
      <c r="R69" s="995"/>
      <c r="S69" s="995"/>
      <c r="T69" s="995"/>
      <c r="U69" s="995"/>
      <c r="V69" s="995"/>
      <c r="W69" s="995"/>
      <c r="X69" s="995"/>
      <c r="Y69" s="995"/>
      <c r="Z69" s="995"/>
      <c r="AA69" s="995"/>
      <c r="AB69" s="995"/>
      <c r="AC69" s="995"/>
      <c r="AD69" s="995"/>
      <c r="AE69" s="995"/>
      <c r="AF69" s="995"/>
      <c r="AG69" s="995"/>
      <c r="AH69" s="995"/>
      <c r="AI69" s="995"/>
      <c r="AJ69" s="995"/>
    </row>
    <row r="70" spans="2:36" x14ac:dyDescent="0.25">
      <c r="B70" s="687"/>
      <c r="C70" s="687"/>
      <c r="D70" s="687"/>
      <c r="E70" s="995"/>
      <c r="F70" s="995"/>
      <c r="G70" s="995"/>
      <c r="H70" s="995"/>
      <c r="I70" s="995"/>
      <c r="J70" s="995"/>
      <c r="K70" s="995"/>
      <c r="L70" s="995"/>
      <c r="M70" s="995"/>
      <c r="N70" s="995"/>
      <c r="O70" s="995"/>
      <c r="P70" s="995"/>
      <c r="Q70" s="995"/>
      <c r="R70" s="995"/>
      <c r="S70" s="995"/>
      <c r="T70" s="995"/>
      <c r="U70" s="995"/>
      <c r="V70" s="995"/>
      <c r="W70" s="995"/>
      <c r="X70" s="995"/>
      <c r="Y70" s="995"/>
      <c r="Z70" s="995"/>
      <c r="AA70" s="995"/>
      <c r="AB70" s="995"/>
      <c r="AC70" s="995"/>
      <c r="AD70" s="995"/>
      <c r="AE70" s="995"/>
      <c r="AF70" s="995"/>
      <c r="AG70" s="995"/>
      <c r="AH70" s="995"/>
      <c r="AI70" s="995"/>
      <c r="AJ70" s="995"/>
    </row>
    <row r="71" spans="2:36" x14ac:dyDescent="0.25">
      <c r="B71" s="687"/>
      <c r="C71" s="687"/>
      <c r="D71" s="687"/>
      <c r="E71" s="995"/>
      <c r="F71" s="995"/>
      <c r="G71" s="995"/>
      <c r="H71" s="995"/>
      <c r="I71" s="995"/>
      <c r="J71" s="995"/>
      <c r="K71" s="995"/>
      <c r="L71" s="995"/>
      <c r="M71" s="995"/>
      <c r="N71" s="995"/>
      <c r="O71" s="995"/>
      <c r="P71" s="995"/>
      <c r="Q71" s="995"/>
      <c r="R71" s="995"/>
      <c r="S71" s="995"/>
      <c r="T71" s="995"/>
      <c r="U71" s="995"/>
      <c r="V71" s="995"/>
      <c r="W71" s="995"/>
      <c r="X71" s="995"/>
      <c r="Y71" s="995"/>
      <c r="Z71" s="995"/>
      <c r="AA71" s="995"/>
      <c r="AB71" s="995"/>
      <c r="AC71" s="995"/>
      <c r="AD71" s="995"/>
      <c r="AE71" s="995"/>
      <c r="AF71" s="995"/>
      <c r="AG71" s="995"/>
      <c r="AH71" s="995"/>
      <c r="AI71" s="995"/>
      <c r="AJ71" s="995"/>
    </row>
    <row r="72" spans="2:36" x14ac:dyDescent="0.25">
      <c r="B72" s="687"/>
      <c r="C72" s="687"/>
      <c r="D72" s="687"/>
      <c r="E72" s="995"/>
      <c r="F72" s="995"/>
      <c r="G72" s="995"/>
      <c r="H72" s="995"/>
      <c r="I72" s="995"/>
      <c r="J72" s="995"/>
      <c r="K72" s="995"/>
      <c r="L72" s="995"/>
      <c r="M72" s="995"/>
      <c r="N72" s="995"/>
      <c r="O72" s="995"/>
      <c r="P72" s="995"/>
      <c r="Q72" s="995"/>
      <c r="R72" s="995"/>
      <c r="S72" s="995"/>
      <c r="T72" s="995"/>
      <c r="U72" s="995"/>
      <c r="V72" s="995"/>
      <c r="W72" s="995"/>
      <c r="X72" s="995"/>
      <c r="Y72" s="995"/>
      <c r="Z72" s="995"/>
      <c r="AA72" s="995"/>
      <c r="AB72" s="995"/>
      <c r="AC72" s="995"/>
      <c r="AD72" s="995"/>
      <c r="AE72" s="995"/>
      <c r="AF72" s="995"/>
      <c r="AG72" s="995"/>
      <c r="AH72" s="995"/>
      <c r="AI72" s="995"/>
      <c r="AJ72" s="995"/>
    </row>
    <row r="73" spans="2:36" x14ac:dyDescent="0.25">
      <c r="B73" s="687"/>
      <c r="C73" s="687"/>
      <c r="D73" s="687"/>
      <c r="E73" s="995"/>
      <c r="F73" s="995"/>
      <c r="G73" s="995"/>
      <c r="H73" s="995"/>
      <c r="I73" s="995"/>
      <c r="J73" s="995"/>
      <c r="K73" s="995"/>
      <c r="L73" s="995"/>
      <c r="M73" s="995"/>
      <c r="N73" s="995"/>
      <c r="O73" s="995"/>
      <c r="P73" s="995"/>
      <c r="Q73" s="995"/>
      <c r="R73" s="995"/>
      <c r="S73" s="995"/>
      <c r="T73" s="995"/>
      <c r="U73" s="995"/>
      <c r="V73" s="995"/>
      <c r="W73" s="995"/>
      <c r="X73" s="995"/>
      <c r="Y73" s="995"/>
      <c r="Z73" s="995"/>
      <c r="AA73" s="995"/>
      <c r="AB73" s="995"/>
      <c r="AC73" s="995"/>
      <c r="AD73" s="995"/>
      <c r="AE73" s="995"/>
      <c r="AF73" s="995"/>
      <c r="AG73" s="995"/>
      <c r="AH73" s="995"/>
      <c r="AI73" s="995"/>
      <c r="AJ73" s="995"/>
    </row>
    <row r="74" spans="2:36" x14ac:dyDescent="0.25">
      <c r="B74" s="687"/>
      <c r="C74" s="687"/>
      <c r="D74" s="687"/>
      <c r="E74" s="995"/>
      <c r="F74" s="995"/>
      <c r="G74" s="995"/>
      <c r="H74" s="995"/>
      <c r="I74" s="995"/>
      <c r="J74" s="995"/>
      <c r="K74" s="995"/>
      <c r="L74" s="995"/>
      <c r="M74" s="995"/>
      <c r="N74" s="995"/>
      <c r="O74" s="995"/>
      <c r="P74" s="995"/>
      <c r="Q74" s="995"/>
      <c r="R74" s="995"/>
      <c r="S74" s="995"/>
      <c r="T74" s="995"/>
      <c r="U74" s="995"/>
      <c r="V74" s="995"/>
      <c r="W74" s="995"/>
      <c r="X74" s="995"/>
      <c r="Y74" s="995"/>
      <c r="Z74" s="995"/>
      <c r="AA74" s="995"/>
      <c r="AB74" s="995"/>
      <c r="AC74" s="995"/>
      <c r="AD74" s="995"/>
      <c r="AE74" s="995"/>
      <c r="AF74" s="995"/>
      <c r="AG74" s="995"/>
      <c r="AH74" s="995"/>
      <c r="AI74" s="995"/>
      <c r="AJ74" s="995"/>
    </row>
    <row r="75" spans="2:36" x14ac:dyDescent="0.25">
      <c r="B75" s="687"/>
      <c r="C75" s="687"/>
      <c r="D75" s="687"/>
      <c r="E75" s="995"/>
      <c r="F75" s="995"/>
      <c r="G75" s="995"/>
      <c r="H75" s="995"/>
      <c r="I75" s="995"/>
      <c r="J75" s="995"/>
      <c r="K75" s="995"/>
      <c r="L75" s="995"/>
      <c r="M75" s="995"/>
      <c r="N75" s="995"/>
      <c r="O75" s="995"/>
      <c r="P75" s="995"/>
      <c r="Q75" s="995"/>
      <c r="R75" s="995"/>
      <c r="S75" s="995"/>
      <c r="T75" s="995"/>
      <c r="U75" s="995"/>
      <c r="V75" s="995"/>
      <c r="W75" s="995"/>
      <c r="X75" s="995"/>
      <c r="Y75" s="995"/>
      <c r="Z75" s="995"/>
      <c r="AA75" s="995"/>
      <c r="AB75" s="995"/>
      <c r="AC75" s="995"/>
      <c r="AD75" s="995"/>
      <c r="AE75" s="995"/>
      <c r="AF75" s="995"/>
      <c r="AG75" s="995"/>
      <c r="AH75" s="995"/>
      <c r="AI75" s="995"/>
      <c r="AJ75" s="995"/>
    </row>
    <row r="76" spans="2:36" x14ac:dyDescent="0.25">
      <c r="B76" s="687"/>
      <c r="C76" s="687"/>
      <c r="D76" s="687"/>
      <c r="E76" s="995"/>
      <c r="F76" s="995"/>
      <c r="G76" s="995"/>
      <c r="H76" s="995"/>
      <c r="I76" s="995"/>
      <c r="J76" s="995"/>
      <c r="K76" s="995"/>
      <c r="L76" s="995"/>
      <c r="M76" s="995"/>
      <c r="N76" s="995"/>
      <c r="O76" s="995"/>
      <c r="P76" s="995"/>
      <c r="Q76" s="995"/>
      <c r="R76" s="995"/>
      <c r="S76" s="995"/>
      <c r="T76" s="995"/>
      <c r="U76" s="995"/>
      <c r="V76" s="995"/>
      <c r="W76" s="995"/>
      <c r="X76" s="995"/>
      <c r="Y76" s="995"/>
      <c r="Z76" s="995"/>
      <c r="AA76" s="995"/>
      <c r="AB76" s="995"/>
      <c r="AC76" s="995"/>
      <c r="AD76" s="995"/>
      <c r="AE76" s="995"/>
      <c r="AF76" s="995"/>
      <c r="AG76" s="995"/>
      <c r="AH76" s="995"/>
      <c r="AI76" s="995"/>
      <c r="AJ76" s="995"/>
    </row>
    <row r="77" spans="2:36" x14ac:dyDescent="0.25">
      <c r="B77" s="687"/>
      <c r="C77" s="687"/>
      <c r="D77" s="687"/>
      <c r="E77" s="995"/>
      <c r="F77" s="995"/>
      <c r="G77" s="995"/>
      <c r="H77" s="995"/>
      <c r="I77" s="995"/>
      <c r="J77" s="995"/>
      <c r="K77" s="995"/>
      <c r="L77" s="995"/>
      <c r="M77" s="995"/>
      <c r="N77" s="995"/>
      <c r="O77" s="995"/>
      <c r="P77" s="995"/>
      <c r="Q77" s="995"/>
      <c r="R77" s="995"/>
      <c r="S77" s="995"/>
      <c r="T77" s="995"/>
      <c r="U77" s="995"/>
      <c r="V77" s="995"/>
      <c r="W77" s="995"/>
      <c r="X77" s="995"/>
      <c r="Y77" s="995"/>
      <c r="Z77" s="995"/>
      <c r="AA77" s="995"/>
      <c r="AB77" s="995"/>
      <c r="AC77" s="995"/>
      <c r="AD77" s="995"/>
      <c r="AE77" s="995"/>
      <c r="AF77" s="995"/>
      <c r="AG77" s="995"/>
      <c r="AH77" s="995"/>
      <c r="AI77" s="995"/>
      <c r="AJ77" s="995"/>
    </row>
    <row r="78" spans="2:36" x14ac:dyDescent="0.25">
      <c r="B78" s="687"/>
      <c r="C78" s="687"/>
      <c r="D78" s="687"/>
      <c r="E78" s="995"/>
      <c r="F78" s="995"/>
      <c r="G78" s="995"/>
      <c r="H78" s="995"/>
      <c r="I78" s="995"/>
      <c r="J78" s="995"/>
      <c r="K78" s="995"/>
      <c r="L78" s="995"/>
      <c r="M78" s="995"/>
      <c r="N78" s="995"/>
      <c r="O78" s="995"/>
      <c r="P78" s="995"/>
      <c r="Q78" s="995"/>
      <c r="R78" s="995"/>
      <c r="S78" s="995"/>
      <c r="T78" s="995"/>
      <c r="U78" s="995"/>
      <c r="V78" s="995"/>
      <c r="W78" s="995"/>
      <c r="X78" s="995"/>
      <c r="Y78" s="995"/>
      <c r="Z78" s="995"/>
      <c r="AA78" s="995"/>
      <c r="AB78" s="995"/>
      <c r="AC78" s="995"/>
      <c r="AD78" s="995"/>
      <c r="AE78" s="995"/>
      <c r="AF78" s="995"/>
      <c r="AG78" s="995"/>
      <c r="AH78" s="995"/>
      <c r="AI78" s="995"/>
      <c r="AJ78" s="995"/>
    </row>
    <row r="79" spans="2:36" x14ac:dyDescent="0.25">
      <c r="B79" s="687"/>
      <c r="C79" s="687"/>
      <c r="D79" s="687"/>
      <c r="E79" s="995"/>
      <c r="F79" s="995"/>
      <c r="G79" s="995"/>
      <c r="H79" s="995"/>
      <c r="I79" s="995"/>
      <c r="J79" s="995"/>
      <c r="K79" s="995"/>
      <c r="L79" s="995"/>
      <c r="M79" s="995"/>
      <c r="N79" s="995"/>
      <c r="O79" s="995"/>
      <c r="P79" s="995"/>
      <c r="Q79" s="995"/>
      <c r="R79" s="995"/>
      <c r="S79" s="995"/>
      <c r="T79" s="995"/>
      <c r="U79" s="995"/>
      <c r="V79" s="995"/>
      <c r="W79" s="995"/>
      <c r="X79" s="995"/>
      <c r="Y79" s="995"/>
      <c r="Z79" s="995"/>
      <c r="AA79" s="995"/>
      <c r="AB79" s="995"/>
      <c r="AC79" s="995"/>
      <c r="AD79" s="995"/>
      <c r="AE79" s="995"/>
      <c r="AF79" s="995"/>
      <c r="AG79" s="995"/>
      <c r="AH79" s="995"/>
      <c r="AI79" s="995"/>
      <c r="AJ79" s="995"/>
    </row>
    <row r="80" spans="2:36" x14ac:dyDescent="0.25">
      <c r="B80" s="687"/>
      <c r="C80" s="687"/>
      <c r="D80" s="687"/>
      <c r="E80" s="995"/>
      <c r="F80" s="995"/>
      <c r="G80" s="995"/>
      <c r="H80" s="995"/>
      <c r="I80" s="995"/>
      <c r="J80" s="995"/>
      <c r="K80" s="995"/>
      <c r="L80" s="995"/>
      <c r="M80" s="995"/>
      <c r="N80" s="995"/>
      <c r="O80" s="995"/>
      <c r="P80" s="995"/>
      <c r="Q80" s="995"/>
      <c r="R80" s="995"/>
      <c r="S80" s="995"/>
      <c r="T80" s="995"/>
      <c r="U80" s="995"/>
      <c r="V80" s="995"/>
      <c r="W80" s="995"/>
      <c r="X80" s="995"/>
      <c r="Y80" s="995"/>
      <c r="Z80" s="995"/>
      <c r="AA80" s="995"/>
      <c r="AB80" s="995"/>
      <c r="AC80" s="995"/>
      <c r="AD80" s="995"/>
      <c r="AE80" s="995"/>
      <c r="AF80" s="995"/>
      <c r="AG80" s="995"/>
      <c r="AH80" s="995"/>
      <c r="AI80" s="995"/>
      <c r="AJ80" s="995"/>
    </row>
    <row r="81" spans="2:36" x14ac:dyDescent="0.25">
      <c r="B81" s="687"/>
      <c r="C81" s="687"/>
      <c r="D81" s="687"/>
      <c r="E81" s="995"/>
      <c r="F81" s="995"/>
      <c r="G81" s="995"/>
      <c r="H81" s="995"/>
      <c r="I81" s="995"/>
      <c r="J81" s="995"/>
      <c r="K81" s="995"/>
      <c r="L81" s="995"/>
      <c r="M81" s="995"/>
      <c r="N81" s="995"/>
      <c r="O81" s="995"/>
      <c r="P81" s="995"/>
      <c r="Q81" s="995"/>
      <c r="R81" s="995"/>
      <c r="S81" s="995"/>
      <c r="T81" s="995"/>
      <c r="U81" s="995"/>
      <c r="V81" s="995"/>
      <c r="W81" s="995"/>
      <c r="X81" s="995"/>
      <c r="Y81" s="995"/>
      <c r="Z81" s="995"/>
      <c r="AA81" s="995"/>
      <c r="AB81" s="995"/>
      <c r="AC81" s="995"/>
      <c r="AD81" s="995"/>
      <c r="AE81" s="995"/>
      <c r="AF81" s="995"/>
      <c r="AG81" s="995"/>
      <c r="AH81" s="995"/>
      <c r="AI81" s="995"/>
      <c r="AJ81" s="995"/>
    </row>
    <row r="82" spans="2:36" x14ac:dyDescent="0.25">
      <c r="B82" s="687"/>
      <c r="C82" s="687"/>
      <c r="D82" s="687"/>
      <c r="E82" s="995"/>
      <c r="F82" s="995"/>
      <c r="G82" s="995"/>
      <c r="H82" s="995"/>
      <c r="I82" s="995"/>
      <c r="J82" s="995"/>
      <c r="K82" s="995"/>
      <c r="L82" s="995"/>
      <c r="M82" s="995"/>
      <c r="N82" s="995"/>
      <c r="O82" s="995"/>
      <c r="P82" s="995"/>
      <c r="Q82" s="995"/>
      <c r="R82" s="995"/>
      <c r="S82" s="995"/>
      <c r="T82" s="995"/>
      <c r="U82" s="995"/>
      <c r="V82" s="995"/>
      <c r="W82" s="995"/>
      <c r="X82" s="995"/>
      <c r="Y82" s="995"/>
      <c r="Z82" s="995"/>
      <c r="AA82" s="995"/>
      <c r="AB82" s="995"/>
      <c r="AC82" s="995"/>
      <c r="AD82" s="995"/>
      <c r="AE82" s="995"/>
      <c r="AF82" s="995"/>
      <c r="AG82" s="995"/>
      <c r="AH82" s="995"/>
      <c r="AI82" s="995"/>
      <c r="AJ82" s="995"/>
    </row>
    <row r="83" spans="2:36" x14ac:dyDescent="0.25">
      <c r="B83" s="687"/>
      <c r="C83" s="687"/>
      <c r="D83" s="687"/>
      <c r="E83" s="995"/>
      <c r="F83" s="995"/>
      <c r="G83" s="995"/>
      <c r="H83" s="995"/>
      <c r="I83" s="995"/>
      <c r="J83" s="995"/>
      <c r="K83" s="995"/>
      <c r="L83" s="995"/>
      <c r="M83" s="995"/>
      <c r="N83" s="995"/>
      <c r="O83" s="995"/>
      <c r="P83" s="995"/>
      <c r="Q83" s="995"/>
      <c r="R83" s="995"/>
      <c r="S83" s="995"/>
      <c r="T83" s="995"/>
      <c r="U83" s="995"/>
      <c r="V83" s="995"/>
      <c r="W83" s="995"/>
      <c r="X83" s="995"/>
      <c r="Y83" s="995"/>
      <c r="Z83" s="995"/>
      <c r="AA83" s="995"/>
      <c r="AB83" s="995"/>
      <c r="AC83" s="995"/>
      <c r="AD83" s="995"/>
      <c r="AE83" s="995"/>
      <c r="AF83" s="995"/>
      <c r="AG83" s="995"/>
      <c r="AH83" s="995"/>
      <c r="AI83" s="995"/>
      <c r="AJ83" s="995"/>
    </row>
    <row r="84" spans="2:36" x14ac:dyDescent="0.25">
      <c r="B84" s="687"/>
      <c r="C84" s="687"/>
      <c r="D84" s="687"/>
      <c r="E84" s="995"/>
      <c r="F84" s="995"/>
      <c r="G84" s="995"/>
      <c r="H84" s="995"/>
      <c r="I84" s="995"/>
      <c r="J84" s="995"/>
      <c r="K84" s="995"/>
      <c r="L84" s="995"/>
      <c r="M84" s="995"/>
      <c r="N84" s="995"/>
      <c r="O84" s="995"/>
      <c r="P84" s="995"/>
      <c r="Q84" s="995"/>
      <c r="R84" s="995"/>
      <c r="S84" s="995"/>
      <c r="T84" s="995"/>
      <c r="U84" s="995"/>
      <c r="V84" s="995"/>
      <c r="W84" s="995"/>
      <c r="X84" s="995"/>
      <c r="Y84" s="995"/>
      <c r="Z84" s="995"/>
      <c r="AA84" s="995"/>
      <c r="AB84" s="995"/>
      <c r="AC84" s="995"/>
      <c r="AD84" s="995"/>
      <c r="AE84" s="995"/>
      <c r="AF84" s="995"/>
      <c r="AG84" s="995"/>
      <c r="AH84" s="995"/>
      <c r="AI84" s="995"/>
      <c r="AJ84" s="995"/>
    </row>
    <row r="85" spans="2:36" x14ac:dyDescent="0.25">
      <c r="B85" s="687"/>
      <c r="C85" s="687"/>
      <c r="D85" s="687"/>
      <c r="E85" s="995"/>
      <c r="F85" s="995"/>
      <c r="G85" s="995"/>
      <c r="H85" s="995"/>
      <c r="I85" s="995"/>
      <c r="J85" s="995"/>
      <c r="K85" s="995"/>
      <c r="L85" s="995"/>
      <c r="M85" s="995"/>
      <c r="N85" s="995"/>
      <c r="O85" s="995"/>
      <c r="P85" s="995"/>
      <c r="Q85" s="995"/>
      <c r="R85" s="995"/>
      <c r="S85" s="995"/>
      <c r="T85" s="995"/>
      <c r="U85" s="995"/>
      <c r="V85" s="995"/>
      <c r="W85" s="995"/>
      <c r="X85" s="995"/>
      <c r="Y85" s="995"/>
      <c r="Z85" s="995"/>
      <c r="AA85" s="995"/>
      <c r="AB85" s="995"/>
      <c r="AC85" s="995"/>
      <c r="AD85" s="995"/>
      <c r="AE85" s="995"/>
      <c r="AF85" s="995"/>
      <c r="AG85" s="995"/>
      <c r="AH85" s="995"/>
      <c r="AI85" s="995"/>
      <c r="AJ85" s="995"/>
    </row>
    <row r="86" spans="2:36" x14ac:dyDescent="0.25">
      <c r="B86" s="687"/>
      <c r="C86" s="687"/>
      <c r="D86" s="687"/>
      <c r="E86" s="995"/>
      <c r="F86" s="995"/>
      <c r="G86" s="995"/>
      <c r="H86" s="995"/>
      <c r="I86" s="995"/>
      <c r="J86" s="995"/>
      <c r="K86" s="995"/>
      <c r="L86" s="995"/>
      <c r="M86" s="995"/>
      <c r="N86" s="995"/>
      <c r="O86" s="995"/>
      <c r="P86" s="995"/>
      <c r="Q86" s="995"/>
      <c r="R86" s="995"/>
      <c r="S86" s="995"/>
      <c r="T86" s="995"/>
      <c r="U86" s="995"/>
      <c r="V86" s="995"/>
      <c r="W86" s="995"/>
      <c r="X86" s="995"/>
      <c r="Y86" s="995"/>
      <c r="Z86" s="995"/>
      <c r="AA86" s="995"/>
      <c r="AB86" s="995"/>
      <c r="AC86" s="995"/>
      <c r="AD86" s="995"/>
      <c r="AE86" s="995"/>
      <c r="AF86" s="995"/>
      <c r="AG86" s="995"/>
      <c r="AH86" s="995"/>
      <c r="AI86" s="995"/>
      <c r="AJ86" s="995"/>
    </row>
    <row r="87" spans="2:36" x14ac:dyDescent="0.25">
      <c r="B87" s="687"/>
      <c r="C87" s="687"/>
      <c r="D87" s="687"/>
      <c r="E87" s="995"/>
      <c r="F87" s="995"/>
      <c r="G87" s="995"/>
      <c r="H87" s="995"/>
      <c r="I87" s="995"/>
      <c r="J87" s="995"/>
      <c r="K87" s="995"/>
      <c r="L87" s="995"/>
      <c r="M87" s="995"/>
      <c r="N87" s="995"/>
      <c r="O87" s="995"/>
      <c r="P87" s="995"/>
      <c r="Q87" s="995"/>
      <c r="R87" s="995"/>
      <c r="S87" s="995"/>
      <c r="T87" s="995"/>
      <c r="U87" s="995"/>
      <c r="V87" s="995"/>
      <c r="W87" s="995"/>
      <c r="X87" s="995"/>
      <c r="Y87" s="995"/>
      <c r="Z87" s="995"/>
      <c r="AA87" s="995"/>
      <c r="AB87" s="995"/>
      <c r="AC87" s="995"/>
      <c r="AD87" s="995"/>
      <c r="AE87" s="995"/>
      <c r="AF87" s="995"/>
      <c r="AG87" s="995"/>
      <c r="AH87" s="995"/>
      <c r="AI87" s="995"/>
      <c r="AJ87" s="995"/>
    </row>
    <row r="88" spans="2:36" x14ac:dyDescent="0.25">
      <c r="B88" s="687"/>
      <c r="C88" s="687"/>
      <c r="D88" s="687"/>
      <c r="E88" s="995"/>
      <c r="F88" s="995"/>
      <c r="G88" s="995"/>
      <c r="H88" s="995"/>
      <c r="I88" s="995"/>
      <c r="J88" s="995"/>
      <c r="K88" s="995"/>
      <c r="L88" s="995"/>
      <c r="M88" s="995"/>
      <c r="N88" s="995"/>
      <c r="O88" s="995"/>
      <c r="P88" s="995"/>
      <c r="Q88" s="995"/>
      <c r="R88" s="995"/>
      <c r="S88" s="995"/>
      <c r="T88" s="995"/>
      <c r="U88" s="995"/>
      <c r="V88" s="995"/>
      <c r="W88" s="995"/>
      <c r="X88" s="995"/>
      <c r="Y88" s="995"/>
      <c r="Z88" s="995"/>
      <c r="AA88" s="995"/>
      <c r="AB88" s="995"/>
      <c r="AC88" s="995"/>
      <c r="AD88" s="995"/>
      <c r="AE88" s="995"/>
      <c r="AF88" s="995"/>
      <c r="AG88" s="995"/>
      <c r="AH88" s="995"/>
      <c r="AI88" s="995"/>
      <c r="AJ88" s="995"/>
    </row>
    <row r="89" spans="2:36" x14ac:dyDescent="0.25">
      <c r="B89" s="687"/>
      <c r="C89" s="687"/>
      <c r="D89" s="687"/>
      <c r="E89" s="995"/>
      <c r="F89" s="995"/>
      <c r="G89" s="995"/>
      <c r="H89" s="995"/>
      <c r="I89" s="995"/>
      <c r="J89" s="995"/>
      <c r="K89" s="995"/>
      <c r="L89" s="995"/>
      <c r="M89" s="995"/>
      <c r="N89" s="995"/>
      <c r="O89" s="995"/>
      <c r="P89" s="995"/>
      <c r="Q89" s="995"/>
      <c r="R89" s="995"/>
      <c r="S89" s="995"/>
      <c r="T89" s="995"/>
      <c r="U89" s="995"/>
      <c r="V89" s="995"/>
      <c r="W89" s="995"/>
      <c r="X89" s="995"/>
      <c r="Y89" s="995"/>
      <c r="Z89" s="995"/>
      <c r="AA89" s="995"/>
      <c r="AB89" s="995"/>
      <c r="AC89" s="995"/>
      <c r="AD89" s="995"/>
      <c r="AE89" s="995"/>
      <c r="AF89" s="995"/>
      <c r="AG89" s="995"/>
      <c r="AH89" s="995"/>
      <c r="AI89" s="995"/>
      <c r="AJ89" s="995"/>
    </row>
    <row r="90" spans="2:36" x14ac:dyDescent="0.25">
      <c r="B90" s="687"/>
      <c r="C90" s="687"/>
      <c r="D90" s="687"/>
      <c r="E90" s="995"/>
      <c r="F90" s="995"/>
      <c r="G90" s="995"/>
      <c r="H90" s="995"/>
      <c r="I90" s="995"/>
      <c r="J90" s="995"/>
      <c r="K90" s="995"/>
      <c r="L90" s="995"/>
      <c r="M90" s="995"/>
      <c r="N90" s="995"/>
      <c r="O90" s="995"/>
      <c r="P90" s="995"/>
      <c r="Q90" s="995"/>
      <c r="R90" s="995"/>
      <c r="S90" s="995"/>
      <c r="T90" s="995"/>
      <c r="U90" s="995"/>
      <c r="V90" s="995"/>
      <c r="W90" s="995"/>
      <c r="X90" s="995"/>
      <c r="Y90" s="995"/>
      <c r="Z90" s="995"/>
      <c r="AA90" s="995"/>
      <c r="AB90" s="995"/>
      <c r="AC90" s="995"/>
      <c r="AD90" s="995"/>
      <c r="AE90" s="995"/>
      <c r="AF90" s="995"/>
      <c r="AG90" s="995"/>
      <c r="AH90" s="995"/>
      <c r="AI90" s="995"/>
      <c r="AJ90" s="995"/>
    </row>
    <row r="91" spans="2:36" x14ac:dyDescent="0.25">
      <c r="B91" s="687"/>
      <c r="C91" s="687"/>
      <c r="D91" s="687"/>
      <c r="E91" s="995"/>
      <c r="F91" s="995"/>
      <c r="G91" s="995"/>
      <c r="H91" s="995"/>
      <c r="I91" s="995"/>
      <c r="J91" s="995"/>
      <c r="K91" s="995"/>
      <c r="L91" s="995"/>
      <c r="M91" s="995"/>
      <c r="N91" s="995"/>
      <c r="O91" s="995"/>
      <c r="P91" s="995"/>
      <c r="Q91" s="995"/>
      <c r="R91" s="995"/>
      <c r="S91" s="995"/>
      <c r="T91" s="995"/>
      <c r="U91" s="995"/>
      <c r="V91" s="995"/>
      <c r="W91" s="995"/>
      <c r="X91" s="995"/>
      <c r="Y91" s="995"/>
      <c r="Z91" s="995"/>
      <c r="AA91" s="995"/>
      <c r="AB91" s="995"/>
      <c r="AC91" s="995"/>
      <c r="AD91" s="995"/>
      <c r="AE91" s="995"/>
      <c r="AF91" s="995"/>
      <c r="AG91" s="995"/>
      <c r="AH91" s="995"/>
      <c r="AI91" s="995"/>
      <c r="AJ91" s="995"/>
    </row>
    <row r="92" spans="2:36" x14ac:dyDescent="0.25">
      <c r="B92" s="687"/>
      <c r="C92" s="687"/>
      <c r="D92" s="687"/>
      <c r="E92" s="995"/>
      <c r="F92" s="995"/>
      <c r="G92" s="995"/>
      <c r="H92" s="995"/>
      <c r="I92" s="995"/>
      <c r="J92" s="995"/>
      <c r="K92" s="995"/>
      <c r="L92" s="995"/>
      <c r="M92" s="995"/>
      <c r="N92" s="995"/>
      <c r="O92" s="995"/>
      <c r="P92" s="995"/>
      <c r="Q92" s="995"/>
      <c r="R92" s="995"/>
      <c r="S92" s="995"/>
      <c r="T92" s="995"/>
      <c r="U92" s="995"/>
      <c r="V92" s="995"/>
      <c r="W92" s="995"/>
      <c r="X92" s="995"/>
      <c r="Y92" s="995"/>
      <c r="Z92" s="995"/>
      <c r="AA92" s="995"/>
      <c r="AB92" s="995"/>
      <c r="AC92" s="995"/>
      <c r="AD92" s="995"/>
      <c r="AE92" s="995"/>
      <c r="AF92" s="995"/>
      <c r="AG92" s="995"/>
      <c r="AH92" s="995"/>
      <c r="AI92" s="995"/>
      <c r="AJ92" s="995"/>
    </row>
    <row r="93" spans="2:36" x14ac:dyDescent="0.25">
      <c r="B93" s="687"/>
      <c r="C93" s="687"/>
      <c r="D93" s="687"/>
      <c r="E93" s="995"/>
      <c r="F93" s="995"/>
      <c r="G93" s="995"/>
      <c r="H93" s="995"/>
      <c r="I93" s="995"/>
      <c r="J93" s="995"/>
      <c r="K93" s="995"/>
      <c r="L93" s="995"/>
      <c r="M93" s="995"/>
      <c r="N93" s="995"/>
      <c r="O93" s="995"/>
      <c r="P93" s="995"/>
      <c r="Q93" s="995"/>
      <c r="R93" s="995"/>
      <c r="S93" s="995"/>
      <c r="T93" s="995"/>
      <c r="U93" s="995"/>
      <c r="V93" s="995"/>
      <c r="W93" s="995"/>
      <c r="X93" s="995"/>
      <c r="Y93" s="995"/>
      <c r="Z93" s="995"/>
      <c r="AA93" s="995"/>
      <c r="AB93" s="995"/>
      <c r="AC93" s="995"/>
      <c r="AD93" s="995"/>
      <c r="AE93" s="995"/>
      <c r="AF93" s="995"/>
      <c r="AG93" s="995"/>
      <c r="AH93" s="995"/>
      <c r="AI93" s="995"/>
      <c r="AJ93" s="995"/>
    </row>
    <row r="94" spans="2:36" x14ac:dyDescent="0.25">
      <c r="B94" s="687"/>
      <c r="C94" s="687"/>
      <c r="D94" s="687"/>
      <c r="E94" s="995"/>
      <c r="F94" s="995"/>
      <c r="G94" s="995"/>
      <c r="H94" s="995"/>
      <c r="I94" s="995"/>
      <c r="J94" s="995"/>
      <c r="K94" s="995"/>
      <c r="L94" s="995"/>
      <c r="M94" s="995"/>
      <c r="N94" s="995"/>
      <c r="O94" s="995"/>
      <c r="P94" s="995"/>
      <c r="Q94" s="995"/>
      <c r="R94" s="995"/>
      <c r="S94" s="995"/>
      <c r="T94" s="995"/>
      <c r="U94" s="995"/>
      <c r="V94" s="995"/>
      <c r="W94" s="995"/>
      <c r="X94" s="995"/>
      <c r="Y94" s="995"/>
      <c r="Z94" s="995"/>
      <c r="AA94" s="995"/>
      <c r="AB94" s="995"/>
      <c r="AC94" s="995"/>
      <c r="AD94" s="995"/>
      <c r="AE94" s="995"/>
      <c r="AF94" s="995"/>
      <c r="AG94" s="995"/>
      <c r="AH94" s="995"/>
      <c r="AI94" s="995"/>
      <c r="AJ94" s="995"/>
    </row>
    <row r="95" spans="2:36" x14ac:dyDescent="0.25">
      <c r="B95" s="687"/>
      <c r="C95" s="687"/>
      <c r="D95" s="687"/>
      <c r="E95" s="995"/>
      <c r="F95" s="995"/>
      <c r="G95" s="995"/>
      <c r="H95" s="995"/>
      <c r="I95" s="995"/>
      <c r="J95" s="995"/>
      <c r="K95" s="995"/>
      <c r="L95" s="995"/>
      <c r="M95" s="995"/>
      <c r="N95" s="995"/>
      <c r="O95" s="995"/>
      <c r="P95" s="995"/>
      <c r="Q95" s="995"/>
      <c r="R95" s="995"/>
      <c r="S95" s="995"/>
      <c r="T95" s="995"/>
      <c r="U95" s="995"/>
      <c r="V95" s="995"/>
      <c r="W95" s="995"/>
      <c r="X95" s="995"/>
      <c r="Y95" s="995"/>
      <c r="Z95" s="995"/>
      <c r="AA95" s="995"/>
      <c r="AB95" s="995"/>
      <c r="AC95" s="995"/>
      <c r="AD95" s="995"/>
      <c r="AE95" s="995"/>
      <c r="AF95" s="995"/>
      <c r="AG95" s="995"/>
      <c r="AH95" s="995"/>
      <c r="AI95" s="995"/>
      <c r="AJ95" s="995"/>
    </row>
    <row r="96" spans="2:36" x14ac:dyDescent="0.25">
      <c r="B96" s="687"/>
      <c r="C96" s="687"/>
      <c r="D96" s="687"/>
      <c r="E96" s="995"/>
      <c r="F96" s="995"/>
      <c r="G96" s="995"/>
      <c r="H96" s="995"/>
      <c r="I96" s="995"/>
      <c r="J96" s="995"/>
      <c r="K96" s="995"/>
      <c r="L96" s="995"/>
      <c r="M96" s="995"/>
      <c r="N96" s="995"/>
      <c r="O96" s="995"/>
      <c r="P96" s="995"/>
      <c r="Q96" s="995"/>
      <c r="R96" s="995"/>
      <c r="S96" s="995"/>
      <c r="T96" s="995"/>
      <c r="U96" s="995"/>
      <c r="V96" s="995"/>
      <c r="W96" s="995"/>
      <c r="X96" s="995"/>
      <c r="Y96" s="995"/>
      <c r="Z96" s="995"/>
      <c r="AA96" s="995"/>
      <c r="AB96" s="995"/>
      <c r="AC96" s="995"/>
      <c r="AD96" s="995"/>
      <c r="AE96" s="995"/>
      <c r="AF96" s="995"/>
      <c r="AG96" s="995"/>
      <c r="AH96" s="995"/>
      <c r="AI96" s="995"/>
      <c r="AJ96" s="995"/>
    </row>
    <row r="97" spans="2:36" x14ac:dyDescent="0.25">
      <c r="B97" s="687"/>
      <c r="C97" s="687"/>
      <c r="D97" s="687"/>
      <c r="E97" s="995"/>
      <c r="F97" s="995"/>
      <c r="G97" s="995"/>
      <c r="H97" s="995"/>
      <c r="I97" s="995"/>
      <c r="J97" s="995"/>
      <c r="K97" s="995"/>
      <c r="L97" s="995"/>
      <c r="M97" s="995"/>
      <c r="N97" s="995"/>
      <c r="O97" s="995"/>
      <c r="P97" s="995"/>
      <c r="Q97" s="995"/>
      <c r="R97" s="995"/>
      <c r="S97" s="995"/>
      <c r="T97" s="995"/>
      <c r="U97" s="995"/>
      <c r="V97" s="995"/>
      <c r="W97" s="995"/>
      <c r="X97" s="995"/>
      <c r="Y97" s="995"/>
      <c r="Z97" s="995"/>
      <c r="AA97" s="995"/>
      <c r="AB97" s="995"/>
      <c r="AC97" s="995"/>
      <c r="AD97" s="995"/>
      <c r="AE97" s="995"/>
      <c r="AF97" s="995"/>
      <c r="AG97" s="995"/>
      <c r="AH97" s="995"/>
      <c r="AI97" s="995"/>
      <c r="AJ97" s="995"/>
    </row>
    <row r="98" spans="2:36" x14ac:dyDescent="0.25">
      <c r="B98" s="687"/>
      <c r="C98" s="687"/>
      <c r="D98" s="687"/>
      <c r="E98" s="995"/>
      <c r="F98" s="995"/>
      <c r="G98" s="995"/>
      <c r="H98" s="995"/>
      <c r="I98" s="995"/>
      <c r="J98" s="995"/>
      <c r="K98" s="995"/>
      <c r="L98" s="995"/>
      <c r="M98" s="995"/>
      <c r="N98" s="995"/>
      <c r="O98" s="995"/>
      <c r="P98" s="995"/>
      <c r="Q98" s="995"/>
      <c r="R98" s="995"/>
      <c r="S98" s="995"/>
      <c r="T98" s="995"/>
      <c r="U98" s="995"/>
      <c r="V98" s="995"/>
      <c r="W98" s="995"/>
      <c r="X98" s="995"/>
      <c r="Y98" s="995"/>
      <c r="Z98" s="995"/>
      <c r="AA98" s="995"/>
      <c r="AB98" s="995"/>
      <c r="AC98" s="995"/>
      <c r="AD98" s="995"/>
      <c r="AE98" s="995"/>
      <c r="AF98" s="995"/>
      <c r="AG98" s="995"/>
      <c r="AH98" s="995"/>
      <c r="AI98" s="995"/>
      <c r="AJ98" s="995"/>
    </row>
    <row r="99" spans="2:36" x14ac:dyDescent="0.25">
      <c r="B99" s="687"/>
      <c r="C99" s="687"/>
      <c r="D99" s="687"/>
      <c r="E99" s="995"/>
      <c r="F99" s="995"/>
      <c r="G99" s="995"/>
      <c r="H99" s="995"/>
      <c r="I99" s="995"/>
      <c r="J99" s="995"/>
      <c r="K99" s="995"/>
      <c r="L99" s="995"/>
      <c r="M99" s="995"/>
      <c r="N99" s="995"/>
      <c r="O99" s="995"/>
      <c r="P99" s="995"/>
      <c r="Q99" s="995"/>
      <c r="R99" s="995"/>
      <c r="S99" s="995"/>
      <c r="T99" s="995"/>
      <c r="U99" s="995"/>
      <c r="V99" s="995"/>
      <c r="W99" s="995"/>
      <c r="X99" s="995"/>
      <c r="Y99" s="995"/>
      <c r="Z99" s="995"/>
      <c r="AA99" s="995"/>
      <c r="AB99" s="995"/>
      <c r="AC99" s="995"/>
      <c r="AD99" s="995"/>
      <c r="AE99" s="995"/>
      <c r="AF99" s="995"/>
      <c r="AG99" s="995"/>
      <c r="AH99" s="995"/>
      <c r="AI99" s="995"/>
      <c r="AJ99" s="995"/>
    </row>
    <row r="100" spans="2:36" x14ac:dyDescent="0.25">
      <c r="B100" s="687"/>
      <c r="C100" s="687"/>
      <c r="D100" s="687"/>
      <c r="E100" s="995"/>
      <c r="F100" s="995"/>
      <c r="G100" s="995"/>
      <c r="H100" s="995"/>
      <c r="I100" s="995"/>
      <c r="J100" s="995"/>
      <c r="K100" s="995"/>
      <c r="L100" s="995"/>
      <c r="M100" s="995"/>
      <c r="N100" s="995"/>
      <c r="O100" s="995"/>
      <c r="P100" s="995"/>
      <c r="Q100" s="995"/>
      <c r="R100" s="995"/>
      <c r="S100" s="995"/>
      <c r="T100" s="995"/>
      <c r="U100" s="995"/>
      <c r="V100" s="995"/>
      <c r="W100" s="995"/>
      <c r="X100" s="995"/>
      <c r="Y100" s="995"/>
      <c r="Z100" s="995"/>
      <c r="AA100" s="995"/>
      <c r="AB100" s="995"/>
      <c r="AC100" s="995"/>
      <c r="AD100" s="995"/>
      <c r="AE100" s="995"/>
      <c r="AF100" s="995"/>
      <c r="AG100" s="995"/>
      <c r="AH100" s="995"/>
      <c r="AI100" s="995"/>
      <c r="AJ100" s="995"/>
    </row>
    <row r="101" spans="2:36" x14ac:dyDescent="0.25">
      <c r="B101" s="687"/>
      <c r="C101" s="687"/>
      <c r="D101" s="687"/>
      <c r="E101" s="995"/>
      <c r="F101" s="995"/>
      <c r="G101" s="995"/>
      <c r="H101" s="995"/>
      <c r="I101" s="995"/>
      <c r="J101" s="995"/>
      <c r="K101" s="995"/>
      <c r="L101" s="995"/>
      <c r="M101" s="995"/>
      <c r="N101" s="995"/>
      <c r="O101" s="995"/>
      <c r="P101" s="995"/>
      <c r="Q101" s="995"/>
      <c r="R101" s="995"/>
      <c r="S101" s="995"/>
      <c r="T101" s="995"/>
      <c r="U101" s="995"/>
      <c r="V101" s="995"/>
      <c r="W101" s="995"/>
      <c r="X101" s="995"/>
      <c r="Y101" s="995"/>
      <c r="Z101" s="995"/>
      <c r="AA101" s="995"/>
      <c r="AB101" s="995"/>
      <c r="AC101" s="995"/>
      <c r="AD101" s="995"/>
      <c r="AE101" s="995"/>
      <c r="AF101" s="995"/>
      <c r="AG101" s="995"/>
      <c r="AH101" s="995"/>
      <c r="AI101" s="995"/>
      <c r="AJ101" s="995"/>
    </row>
    <row r="102" spans="2:36" x14ac:dyDescent="0.25">
      <c r="B102" s="687"/>
      <c r="C102" s="687"/>
      <c r="D102" s="687"/>
      <c r="E102" s="995"/>
      <c r="F102" s="995"/>
      <c r="G102" s="995"/>
      <c r="H102" s="995"/>
      <c r="I102" s="995"/>
      <c r="J102" s="995"/>
      <c r="K102" s="995"/>
      <c r="L102" s="995"/>
      <c r="M102" s="995"/>
      <c r="N102" s="995"/>
      <c r="O102" s="995"/>
      <c r="P102" s="995"/>
      <c r="Q102" s="995"/>
      <c r="R102" s="995"/>
      <c r="S102" s="995"/>
      <c r="T102" s="995"/>
      <c r="U102" s="995"/>
      <c r="V102" s="995"/>
      <c r="W102" s="995"/>
      <c r="X102" s="995"/>
      <c r="Y102" s="995"/>
      <c r="Z102" s="995"/>
      <c r="AA102" s="995"/>
      <c r="AB102" s="995"/>
      <c r="AC102" s="995"/>
      <c r="AD102" s="995"/>
      <c r="AE102" s="995"/>
      <c r="AF102" s="995"/>
      <c r="AG102" s="995"/>
      <c r="AH102" s="995"/>
      <c r="AI102" s="995"/>
      <c r="AJ102" s="995"/>
    </row>
    <row r="103" spans="2:36" x14ac:dyDescent="0.25">
      <c r="B103" s="687"/>
      <c r="C103" s="687"/>
      <c r="D103" s="687"/>
      <c r="E103" s="995"/>
      <c r="F103" s="995"/>
      <c r="G103" s="995"/>
      <c r="H103" s="995"/>
      <c r="I103" s="995"/>
      <c r="J103" s="995"/>
      <c r="K103" s="995"/>
      <c r="L103" s="995"/>
      <c r="M103" s="995"/>
      <c r="N103" s="995"/>
      <c r="O103" s="995"/>
      <c r="P103" s="995"/>
      <c r="Q103" s="995"/>
      <c r="R103" s="995"/>
      <c r="S103" s="995"/>
      <c r="T103" s="995"/>
      <c r="U103" s="995"/>
      <c r="V103" s="995"/>
      <c r="W103" s="995"/>
      <c r="X103" s="995"/>
      <c r="Y103" s="995"/>
      <c r="Z103" s="995"/>
      <c r="AA103" s="995"/>
      <c r="AB103" s="995"/>
      <c r="AC103" s="995"/>
      <c r="AD103" s="995"/>
      <c r="AE103" s="995"/>
      <c r="AF103" s="995"/>
      <c r="AG103" s="995"/>
      <c r="AH103" s="995"/>
      <c r="AI103" s="995"/>
      <c r="AJ103" s="995"/>
    </row>
    <row r="104" spans="2:36" x14ac:dyDescent="0.25">
      <c r="B104" s="687"/>
      <c r="C104" s="687"/>
      <c r="D104" s="687"/>
      <c r="E104" s="995"/>
      <c r="F104" s="995"/>
      <c r="G104" s="995"/>
      <c r="H104" s="995"/>
      <c r="I104" s="995"/>
      <c r="J104" s="995"/>
      <c r="K104" s="995"/>
      <c r="L104" s="995"/>
      <c r="M104" s="995"/>
      <c r="N104" s="995"/>
      <c r="O104" s="995"/>
      <c r="P104" s="995"/>
      <c r="Q104" s="995"/>
      <c r="R104" s="995"/>
      <c r="S104" s="995"/>
      <c r="T104" s="995"/>
      <c r="U104" s="995"/>
      <c r="V104" s="995"/>
      <c r="W104" s="995"/>
      <c r="X104" s="995"/>
      <c r="Y104" s="995"/>
      <c r="Z104" s="995"/>
      <c r="AA104" s="995"/>
      <c r="AB104" s="995"/>
      <c r="AC104" s="995"/>
      <c r="AD104" s="995"/>
      <c r="AE104" s="995"/>
      <c r="AF104" s="995"/>
      <c r="AG104" s="995"/>
      <c r="AH104" s="995"/>
      <c r="AI104" s="995"/>
      <c r="AJ104" s="995"/>
    </row>
    <row r="105" spans="2:36" x14ac:dyDescent="0.25">
      <c r="B105" s="687"/>
      <c r="C105" s="687"/>
      <c r="D105" s="687"/>
      <c r="E105" s="995"/>
      <c r="F105" s="995"/>
      <c r="G105" s="995"/>
      <c r="H105" s="995"/>
      <c r="I105" s="995"/>
      <c r="J105" s="995"/>
      <c r="K105" s="995"/>
      <c r="L105" s="995"/>
      <c r="M105" s="995"/>
      <c r="N105" s="995"/>
      <c r="O105" s="995"/>
      <c r="P105" s="995"/>
      <c r="Q105" s="995"/>
      <c r="R105" s="995"/>
      <c r="S105" s="995"/>
      <c r="T105" s="995"/>
      <c r="U105" s="995"/>
      <c r="V105" s="995"/>
      <c r="W105" s="995"/>
      <c r="X105" s="995"/>
      <c r="Y105" s="995"/>
      <c r="Z105" s="995"/>
      <c r="AA105" s="995"/>
      <c r="AB105" s="995"/>
      <c r="AC105" s="995"/>
      <c r="AD105" s="995"/>
      <c r="AE105" s="995"/>
      <c r="AF105" s="995"/>
      <c r="AG105" s="995"/>
      <c r="AH105" s="995"/>
      <c r="AI105" s="995"/>
      <c r="AJ105" s="995"/>
    </row>
    <row r="106" spans="2:36" x14ac:dyDescent="0.25">
      <c r="B106" s="687"/>
      <c r="C106" s="687"/>
      <c r="D106" s="687"/>
      <c r="E106" s="995"/>
      <c r="F106" s="995"/>
      <c r="G106" s="995"/>
      <c r="H106" s="995"/>
      <c r="I106" s="995"/>
      <c r="J106" s="995"/>
      <c r="K106" s="995"/>
      <c r="L106" s="995"/>
      <c r="M106" s="995"/>
      <c r="N106" s="995"/>
      <c r="O106" s="995"/>
      <c r="P106" s="995"/>
      <c r="Q106" s="995"/>
      <c r="R106" s="995"/>
      <c r="S106" s="995"/>
      <c r="T106" s="995"/>
      <c r="U106" s="995"/>
      <c r="V106" s="995"/>
      <c r="W106" s="995"/>
      <c r="X106" s="995"/>
      <c r="Y106" s="995"/>
      <c r="Z106" s="995"/>
      <c r="AA106" s="995"/>
      <c r="AB106" s="995"/>
      <c r="AC106" s="995"/>
      <c r="AD106" s="995"/>
      <c r="AE106" s="995"/>
      <c r="AF106" s="995"/>
      <c r="AG106" s="995"/>
      <c r="AH106" s="995"/>
      <c r="AI106" s="995"/>
      <c r="AJ106" s="995"/>
    </row>
    <row r="107" spans="2:36" x14ac:dyDescent="0.25">
      <c r="B107" s="687"/>
      <c r="C107" s="687"/>
      <c r="D107" s="687"/>
      <c r="E107" s="995"/>
      <c r="F107" s="995"/>
      <c r="G107" s="995"/>
      <c r="H107" s="995"/>
      <c r="I107" s="995"/>
      <c r="J107" s="995"/>
      <c r="K107" s="995"/>
      <c r="L107" s="995"/>
      <c r="M107" s="995"/>
      <c r="N107" s="995"/>
      <c r="O107" s="995"/>
      <c r="P107" s="995"/>
      <c r="Q107" s="995"/>
      <c r="R107" s="995"/>
      <c r="S107" s="995"/>
      <c r="T107" s="995"/>
      <c r="U107" s="995"/>
      <c r="V107" s="995"/>
      <c r="W107" s="995"/>
      <c r="X107" s="995"/>
      <c r="Y107" s="995"/>
      <c r="Z107" s="995"/>
      <c r="AA107" s="995"/>
      <c r="AB107" s="995"/>
      <c r="AC107" s="995"/>
      <c r="AD107" s="995"/>
      <c r="AE107" s="995"/>
      <c r="AF107" s="995"/>
      <c r="AG107" s="995"/>
      <c r="AH107" s="995"/>
      <c r="AI107" s="995"/>
      <c r="AJ107" s="995"/>
    </row>
    <row r="108" spans="2:36" x14ac:dyDescent="0.25">
      <c r="B108" s="687"/>
      <c r="C108" s="687"/>
      <c r="D108" s="687"/>
      <c r="E108" s="995"/>
      <c r="F108" s="995"/>
      <c r="G108" s="995"/>
      <c r="H108" s="995"/>
      <c r="I108" s="995"/>
      <c r="J108" s="995"/>
      <c r="K108" s="995"/>
      <c r="L108" s="995"/>
      <c r="M108" s="995"/>
      <c r="N108" s="995"/>
      <c r="O108" s="995"/>
      <c r="P108" s="995"/>
      <c r="Q108" s="995"/>
      <c r="R108" s="995"/>
      <c r="S108" s="995"/>
      <c r="T108" s="995"/>
      <c r="U108" s="995"/>
      <c r="V108" s="995"/>
      <c r="W108" s="995"/>
      <c r="X108" s="995"/>
      <c r="Y108" s="995"/>
      <c r="Z108" s="995"/>
      <c r="AA108" s="995"/>
      <c r="AB108" s="995"/>
      <c r="AC108" s="995"/>
      <c r="AD108" s="995"/>
      <c r="AE108" s="995"/>
      <c r="AF108" s="995"/>
      <c r="AG108" s="995"/>
      <c r="AH108" s="995"/>
      <c r="AI108" s="995"/>
      <c r="AJ108" s="995"/>
    </row>
    <row r="109" spans="2:36" x14ac:dyDescent="0.25">
      <c r="B109" s="687"/>
      <c r="C109" s="687"/>
      <c r="D109" s="687"/>
      <c r="E109" s="995"/>
      <c r="F109" s="995"/>
      <c r="G109" s="995"/>
      <c r="H109" s="995"/>
      <c r="I109" s="995"/>
      <c r="J109" s="995"/>
      <c r="K109" s="995"/>
      <c r="L109" s="995"/>
      <c r="M109" s="995"/>
      <c r="N109" s="995"/>
      <c r="O109" s="995"/>
      <c r="P109" s="995"/>
      <c r="Q109" s="995"/>
      <c r="R109" s="995"/>
      <c r="S109" s="995"/>
      <c r="T109" s="995"/>
      <c r="U109" s="995"/>
      <c r="V109" s="995"/>
      <c r="W109" s="995"/>
      <c r="X109" s="995"/>
      <c r="Y109" s="995"/>
      <c r="Z109" s="995"/>
      <c r="AA109" s="995"/>
      <c r="AB109" s="995"/>
      <c r="AC109" s="995"/>
      <c r="AD109" s="995"/>
      <c r="AE109" s="995"/>
      <c r="AF109" s="995"/>
      <c r="AG109" s="995"/>
      <c r="AH109" s="995"/>
      <c r="AI109" s="995"/>
      <c r="AJ109" s="995"/>
    </row>
    <row r="110" spans="2:36" x14ac:dyDescent="0.25">
      <c r="B110" s="687"/>
      <c r="C110" s="687"/>
      <c r="D110" s="687"/>
      <c r="E110" s="995"/>
      <c r="F110" s="995"/>
      <c r="G110" s="995"/>
      <c r="H110" s="995"/>
      <c r="I110" s="995"/>
      <c r="J110" s="995"/>
      <c r="K110" s="995"/>
      <c r="L110" s="995"/>
      <c r="M110" s="995"/>
      <c r="N110" s="995"/>
      <c r="O110" s="995"/>
      <c r="P110" s="995"/>
      <c r="Q110" s="995"/>
      <c r="R110" s="995"/>
      <c r="S110" s="995"/>
      <c r="T110" s="995"/>
      <c r="U110" s="995"/>
      <c r="V110" s="995"/>
      <c r="W110" s="995"/>
      <c r="X110" s="995"/>
      <c r="Y110" s="995"/>
      <c r="Z110" s="995"/>
      <c r="AA110" s="995"/>
      <c r="AB110" s="995"/>
      <c r="AC110" s="995"/>
      <c r="AD110" s="995"/>
      <c r="AE110" s="995"/>
      <c r="AF110" s="995"/>
      <c r="AG110" s="995"/>
      <c r="AH110" s="995"/>
      <c r="AI110" s="995"/>
      <c r="AJ110" s="995"/>
    </row>
    <row r="111" spans="2:36" x14ac:dyDescent="0.25">
      <c r="B111" s="687"/>
      <c r="C111" s="687"/>
      <c r="D111" s="687"/>
      <c r="E111" s="995"/>
      <c r="F111" s="995"/>
      <c r="G111" s="995"/>
      <c r="H111" s="995"/>
      <c r="I111" s="995"/>
      <c r="J111" s="995"/>
      <c r="K111" s="995"/>
      <c r="L111" s="995"/>
      <c r="M111" s="995"/>
      <c r="N111" s="995"/>
      <c r="O111" s="995"/>
      <c r="P111" s="995"/>
      <c r="Q111" s="995"/>
      <c r="R111" s="995"/>
      <c r="S111" s="995"/>
      <c r="T111" s="995"/>
      <c r="U111" s="995"/>
      <c r="V111" s="995"/>
      <c r="W111" s="995"/>
      <c r="X111" s="995"/>
      <c r="Y111" s="995"/>
      <c r="Z111" s="995"/>
      <c r="AA111" s="995"/>
      <c r="AB111" s="995"/>
      <c r="AC111" s="995"/>
      <c r="AD111" s="995"/>
      <c r="AE111" s="995"/>
      <c r="AF111" s="995"/>
      <c r="AG111" s="995"/>
      <c r="AH111" s="995"/>
      <c r="AI111" s="995"/>
      <c r="AJ111" s="995"/>
    </row>
    <row r="112" spans="2:36" x14ac:dyDescent="0.25">
      <c r="B112" s="687"/>
      <c r="C112" s="687"/>
      <c r="D112" s="687"/>
      <c r="E112" s="995"/>
      <c r="F112" s="995"/>
      <c r="G112" s="995"/>
      <c r="H112" s="995"/>
      <c r="I112" s="995"/>
      <c r="J112" s="995"/>
      <c r="K112" s="995"/>
      <c r="L112" s="995"/>
      <c r="M112" s="995"/>
      <c r="N112" s="995"/>
      <c r="O112" s="995"/>
      <c r="P112" s="995"/>
      <c r="Q112" s="995"/>
      <c r="R112" s="995"/>
      <c r="S112" s="995"/>
      <c r="T112" s="995"/>
      <c r="U112" s="995"/>
      <c r="V112" s="995"/>
      <c r="W112" s="995"/>
      <c r="X112" s="995"/>
      <c r="Y112" s="995"/>
      <c r="Z112" s="995"/>
      <c r="AA112" s="995"/>
      <c r="AB112" s="995"/>
      <c r="AC112" s="995"/>
      <c r="AD112" s="995"/>
      <c r="AE112" s="995"/>
      <c r="AF112" s="995"/>
      <c r="AG112" s="995"/>
      <c r="AH112" s="995"/>
      <c r="AI112" s="995"/>
      <c r="AJ112" s="995"/>
    </row>
    <row r="113" spans="2:36" x14ac:dyDescent="0.25">
      <c r="B113" s="687"/>
      <c r="C113" s="687"/>
      <c r="D113" s="687"/>
      <c r="E113" s="995"/>
      <c r="F113" s="995"/>
      <c r="G113" s="995"/>
      <c r="H113" s="995"/>
      <c r="I113" s="995"/>
      <c r="J113" s="995"/>
      <c r="K113" s="995"/>
      <c r="L113" s="995"/>
      <c r="M113" s="995"/>
      <c r="N113" s="995"/>
      <c r="O113" s="995"/>
      <c r="P113" s="995"/>
      <c r="Q113" s="995"/>
      <c r="R113" s="995"/>
      <c r="S113" s="995"/>
      <c r="T113" s="995"/>
      <c r="U113" s="995"/>
      <c r="V113" s="995"/>
      <c r="W113" s="995"/>
      <c r="X113" s="995"/>
      <c r="Y113" s="995"/>
      <c r="Z113" s="995"/>
      <c r="AA113" s="995"/>
      <c r="AB113" s="995"/>
      <c r="AC113" s="995"/>
      <c r="AD113" s="995"/>
      <c r="AE113" s="995"/>
      <c r="AF113" s="995"/>
      <c r="AG113" s="995"/>
      <c r="AH113" s="995"/>
      <c r="AI113" s="995"/>
      <c r="AJ113" s="995"/>
    </row>
    <row r="114" spans="2:36" x14ac:dyDescent="0.25">
      <c r="B114" s="687"/>
      <c r="C114" s="687"/>
      <c r="D114" s="687"/>
      <c r="E114" s="995"/>
      <c r="F114" s="995"/>
      <c r="G114" s="995"/>
      <c r="H114" s="995"/>
      <c r="I114" s="995"/>
      <c r="J114" s="995"/>
      <c r="K114" s="995"/>
      <c r="L114" s="995"/>
      <c r="M114" s="995"/>
      <c r="N114" s="995"/>
      <c r="O114" s="995"/>
      <c r="P114" s="995"/>
      <c r="Q114" s="995"/>
      <c r="R114" s="995"/>
      <c r="S114" s="995"/>
      <c r="T114" s="995"/>
      <c r="U114" s="995"/>
      <c r="V114" s="995"/>
      <c r="W114" s="995"/>
      <c r="X114" s="995"/>
      <c r="Y114" s="995"/>
      <c r="Z114" s="995"/>
      <c r="AA114" s="995"/>
      <c r="AB114" s="995"/>
      <c r="AC114" s="995"/>
      <c r="AD114" s="995"/>
      <c r="AE114" s="995"/>
      <c r="AF114" s="995"/>
      <c r="AG114" s="995"/>
      <c r="AH114" s="995"/>
      <c r="AI114" s="995"/>
      <c r="AJ114" s="995"/>
    </row>
    <row r="115" spans="2:36" x14ac:dyDescent="0.25">
      <c r="B115" s="687"/>
      <c r="C115" s="687"/>
      <c r="D115" s="687"/>
      <c r="E115" s="995"/>
      <c r="F115" s="995"/>
      <c r="G115" s="995"/>
      <c r="H115" s="995"/>
      <c r="I115" s="995"/>
      <c r="J115" s="995"/>
      <c r="K115" s="995"/>
      <c r="L115" s="995"/>
      <c r="M115" s="995"/>
      <c r="N115" s="995"/>
      <c r="O115" s="995"/>
      <c r="P115" s="995"/>
      <c r="Q115" s="995"/>
      <c r="R115" s="995"/>
      <c r="S115" s="995"/>
      <c r="T115" s="995"/>
      <c r="U115" s="995"/>
      <c r="V115" s="995"/>
      <c r="W115" s="995"/>
      <c r="X115" s="995"/>
      <c r="Y115" s="995"/>
      <c r="Z115" s="995"/>
      <c r="AA115" s="995"/>
      <c r="AB115" s="995"/>
      <c r="AC115" s="995"/>
      <c r="AD115" s="995"/>
      <c r="AE115" s="995"/>
      <c r="AF115" s="995"/>
      <c r="AG115" s="995"/>
      <c r="AH115" s="995"/>
      <c r="AI115" s="995"/>
      <c r="AJ115" s="995"/>
    </row>
    <row r="116" spans="2:36" x14ac:dyDescent="0.25">
      <c r="B116" s="687"/>
      <c r="C116" s="687"/>
      <c r="D116" s="687"/>
      <c r="E116" s="995"/>
      <c r="F116" s="995"/>
      <c r="G116" s="995"/>
      <c r="H116" s="995"/>
      <c r="I116" s="995"/>
      <c r="J116" s="995"/>
      <c r="K116" s="995"/>
      <c r="L116" s="995"/>
      <c r="M116" s="995"/>
      <c r="N116" s="995"/>
      <c r="O116" s="995"/>
      <c r="P116" s="995"/>
      <c r="Q116" s="995"/>
      <c r="R116" s="995"/>
      <c r="S116" s="995"/>
      <c r="T116" s="995"/>
      <c r="U116" s="995"/>
      <c r="V116" s="995"/>
      <c r="W116" s="995"/>
      <c r="X116" s="995"/>
      <c r="Y116" s="995"/>
      <c r="Z116" s="995"/>
      <c r="AA116" s="995"/>
      <c r="AB116" s="995"/>
      <c r="AC116" s="995"/>
      <c r="AD116" s="995"/>
      <c r="AE116" s="995"/>
      <c r="AF116" s="995"/>
      <c r="AG116" s="995"/>
      <c r="AH116" s="995"/>
      <c r="AI116" s="995"/>
      <c r="AJ116" s="995"/>
    </row>
    <row r="117" spans="2:36" x14ac:dyDescent="0.25">
      <c r="B117" s="687"/>
      <c r="C117" s="687"/>
      <c r="D117" s="687"/>
      <c r="E117" s="995"/>
      <c r="F117" s="995"/>
      <c r="G117" s="995"/>
      <c r="H117" s="995"/>
      <c r="I117" s="995"/>
      <c r="J117" s="995"/>
      <c r="K117" s="995"/>
      <c r="L117" s="995"/>
      <c r="M117" s="995"/>
      <c r="N117" s="995"/>
      <c r="O117" s="995"/>
      <c r="P117" s="995"/>
      <c r="Q117" s="995"/>
      <c r="R117" s="995"/>
      <c r="S117" s="995"/>
      <c r="T117" s="995"/>
      <c r="U117" s="995"/>
      <c r="V117" s="995"/>
      <c r="W117" s="995"/>
      <c r="X117" s="995"/>
      <c r="Y117" s="995"/>
      <c r="Z117" s="995"/>
      <c r="AA117" s="995"/>
      <c r="AB117" s="995"/>
      <c r="AC117" s="995"/>
      <c r="AD117" s="995"/>
      <c r="AE117" s="995"/>
      <c r="AF117" s="995"/>
      <c r="AG117" s="995"/>
      <c r="AH117" s="995"/>
      <c r="AI117" s="995"/>
      <c r="AJ117" s="995"/>
    </row>
    <row r="118" spans="2:36" x14ac:dyDescent="0.25">
      <c r="B118" s="687"/>
      <c r="C118" s="687"/>
      <c r="D118" s="687"/>
      <c r="E118" s="995"/>
      <c r="F118" s="995"/>
      <c r="G118" s="995"/>
      <c r="H118" s="995"/>
      <c r="I118" s="995"/>
      <c r="J118" s="995"/>
      <c r="K118" s="995"/>
      <c r="L118" s="995"/>
      <c r="M118" s="995"/>
      <c r="N118" s="995"/>
      <c r="O118" s="995"/>
      <c r="P118" s="995"/>
      <c r="Q118" s="995"/>
      <c r="R118" s="995"/>
      <c r="S118" s="995"/>
      <c r="T118" s="995"/>
      <c r="U118" s="995"/>
      <c r="V118" s="995"/>
      <c r="W118" s="995"/>
      <c r="X118" s="995"/>
      <c r="Y118" s="995"/>
      <c r="Z118" s="995"/>
      <c r="AA118" s="995"/>
      <c r="AB118" s="995"/>
      <c r="AC118" s="995"/>
      <c r="AD118" s="995"/>
      <c r="AE118" s="995"/>
      <c r="AF118" s="995"/>
      <c r="AG118" s="995"/>
      <c r="AH118" s="995"/>
      <c r="AI118" s="995"/>
      <c r="AJ118" s="995"/>
    </row>
    <row r="119" spans="2:36" x14ac:dyDescent="0.25">
      <c r="B119" s="687"/>
      <c r="C119" s="687"/>
      <c r="D119" s="687"/>
      <c r="E119" s="995"/>
      <c r="F119" s="995"/>
      <c r="G119" s="995"/>
      <c r="H119" s="995"/>
      <c r="I119" s="995"/>
      <c r="J119" s="995"/>
      <c r="K119" s="995"/>
      <c r="L119" s="995"/>
      <c r="M119" s="995"/>
      <c r="N119" s="995"/>
      <c r="O119" s="995"/>
      <c r="P119" s="995"/>
      <c r="Q119" s="995"/>
      <c r="R119" s="995"/>
      <c r="S119" s="995"/>
      <c r="T119" s="995"/>
      <c r="U119" s="995"/>
      <c r="V119" s="995"/>
      <c r="W119" s="995"/>
      <c r="X119" s="995"/>
      <c r="Y119" s="995"/>
      <c r="Z119" s="995"/>
      <c r="AA119" s="995"/>
      <c r="AB119" s="995"/>
      <c r="AC119" s="995"/>
      <c r="AD119" s="995"/>
      <c r="AE119" s="995"/>
      <c r="AF119" s="995"/>
      <c r="AG119" s="995"/>
      <c r="AH119" s="995"/>
      <c r="AI119" s="995"/>
      <c r="AJ119" s="995"/>
    </row>
    <row r="120" spans="2:36" x14ac:dyDescent="0.25">
      <c r="B120" s="687"/>
      <c r="C120" s="687"/>
      <c r="D120" s="687"/>
      <c r="E120" s="995"/>
      <c r="F120" s="995"/>
      <c r="G120" s="995"/>
      <c r="H120" s="995"/>
      <c r="I120" s="995"/>
      <c r="J120" s="995"/>
      <c r="K120" s="995"/>
      <c r="L120" s="995"/>
      <c r="M120" s="995"/>
      <c r="N120" s="995"/>
      <c r="O120" s="995"/>
      <c r="P120" s="995"/>
      <c r="Q120" s="995"/>
      <c r="R120" s="995"/>
      <c r="S120" s="995"/>
      <c r="T120" s="995"/>
      <c r="U120" s="995"/>
      <c r="V120" s="995"/>
      <c r="W120" s="995"/>
      <c r="X120" s="995"/>
      <c r="Y120" s="995"/>
      <c r="Z120" s="995"/>
      <c r="AA120" s="995"/>
      <c r="AB120" s="995"/>
      <c r="AC120" s="995"/>
      <c r="AD120" s="995"/>
      <c r="AE120" s="995"/>
      <c r="AF120" s="995"/>
      <c r="AG120" s="995"/>
      <c r="AH120" s="995"/>
      <c r="AI120" s="995"/>
      <c r="AJ120" s="995"/>
    </row>
    <row r="121" spans="2:36" x14ac:dyDescent="0.25">
      <c r="B121" s="687"/>
      <c r="C121" s="687"/>
      <c r="D121" s="687"/>
      <c r="E121" s="995"/>
      <c r="F121" s="995"/>
      <c r="G121" s="995"/>
      <c r="H121" s="995"/>
      <c r="I121" s="995"/>
      <c r="J121" s="995"/>
      <c r="K121" s="995"/>
      <c r="L121" s="995"/>
      <c r="M121" s="995"/>
      <c r="N121" s="995"/>
      <c r="O121" s="995"/>
      <c r="P121" s="995"/>
      <c r="Q121" s="995"/>
      <c r="R121" s="995"/>
      <c r="S121" s="995"/>
      <c r="T121" s="995"/>
      <c r="U121" s="995"/>
      <c r="V121" s="995"/>
      <c r="W121" s="995"/>
      <c r="X121" s="995"/>
      <c r="Y121" s="995"/>
      <c r="Z121" s="995"/>
      <c r="AA121" s="995"/>
      <c r="AB121" s="995"/>
      <c r="AC121" s="995"/>
      <c r="AD121" s="995"/>
      <c r="AE121" s="995"/>
      <c r="AF121" s="995"/>
      <c r="AG121" s="995"/>
      <c r="AH121" s="995"/>
      <c r="AI121" s="995"/>
      <c r="AJ121" s="995"/>
    </row>
    <row r="122" spans="2:36" x14ac:dyDescent="0.25">
      <c r="B122" s="687"/>
      <c r="C122" s="687"/>
      <c r="D122" s="687"/>
      <c r="E122" s="995"/>
      <c r="F122" s="995"/>
      <c r="G122" s="995"/>
      <c r="H122" s="995"/>
      <c r="I122" s="995"/>
      <c r="J122" s="995"/>
      <c r="K122" s="995"/>
      <c r="L122" s="995"/>
      <c r="M122" s="995"/>
      <c r="N122" s="995"/>
      <c r="O122" s="995"/>
      <c r="P122" s="995"/>
      <c r="Q122" s="995"/>
      <c r="R122" s="995"/>
      <c r="S122" s="995"/>
      <c r="T122" s="995"/>
      <c r="U122" s="995"/>
      <c r="V122" s="995"/>
      <c r="W122" s="995"/>
      <c r="X122" s="995"/>
      <c r="Y122" s="995"/>
      <c r="Z122" s="995"/>
      <c r="AA122" s="995"/>
      <c r="AB122" s="995"/>
      <c r="AC122" s="995"/>
      <c r="AD122" s="995"/>
      <c r="AE122" s="995"/>
      <c r="AF122" s="995"/>
      <c r="AG122" s="995"/>
      <c r="AH122" s="995"/>
      <c r="AI122" s="995"/>
      <c r="AJ122" s="995"/>
    </row>
    <row r="123" spans="2:36" x14ac:dyDescent="0.25">
      <c r="B123" s="687"/>
      <c r="C123" s="687"/>
      <c r="D123" s="687"/>
      <c r="E123" s="995"/>
      <c r="F123" s="995"/>
      <c r="G123" s="995"/>
      <c r="H123" s="995"/>
      <c r="I123" s="995"/>
      <c r="J123" s="995"/>
      <c r="K123" s="995"/>
      <c r="L123" s="995"/>
      <c r="M123" s="995"/>
      <c r="N123" s="995"/>
      <c r="O123" s="995"/>
      <c r="P123" s="995"/>
      <c r="Q123" s="995"/>
      <c r="R123" s="995"/>
      <c r="S123" s="995"/>
      <c r="T123" s="995"/>
      <c r="U123" s="995"/>
      <c r="V123" s="995"/>
      <c r="W123" s="995"/>
      <c r="X123" s="995"/>
      <c r="Y123" s="995"/>
      <c r="Z123" s="995"/>
      <c r="AA123" s="995"/>
      <c r="AB123" s="995"/>
      <c r="AC123" s="995"/>
      <c r="AD123" s="995"/>
      <c r="AE123" s="995"/>
      <c r="AF123" s="995"/>
      <c r="AG123" s="995"/>
      <c r="AH123" s="995"/>
      <c r="AI123" s="995"/>
      <c r="AJ123" s="995"/>
    </row>
    <row r="124" spans="2:36" x14ac:dyDescent="0.25">
      <c r="B124" s="687"/>
      <c r="C124" s="687"/>
      <c r="D124" s="687"/>
      <c r="E124" s="995"/>
      <c r="F124" s="995"/>
      <c r="G124" s="995"/>
      <c r="H124" s="995"/>
      <c r="I124" s="995"/>
      <c r="J124" s="995"/>
      <c r="K124" s="995"/>
      <c r="L124" s="995"/>
      <c r="M124" s="995"/>
      <c r="N124" s="995"/>
      <c r="O124" s="995"/>
      <c r="P124" s="995"/>
      <c r="Q124" s="995"/>
      <c r="R124" s="995"/>
      <c r="S124" s="995"/>
      <c r="T124" s="995"/>
      <c r="U124" s="995"/>
      <c r="V124" s="995"/>
      <c r="W124" s="995"/>
      <c r="X124" s="995"/>
      <c r="Y124" s="995"/>
      <c r="Z124" s="995"/>
      <c r="AA124" s="995"/>
      <c r="AB124" s="995"/>
      <c r="AC124" s="995"/>
      <c r="AD124" s="995"/>
      <c r="AE124" s="995"/>
      <c r="AF124" s="995"/>
      <c r="AG124" s="995"/>
      <c r="AH124" s="995"/>
      <c r="AI124" s="995"/>
      <c r="AJ124" s="995"/>
    </row>
    <row r="125" spans="2:36" x14ac:dyDescent="0.25">
      <c r="B125" s="687"/>
      <c r="C125" s="687"/>
      <c r="D125" s="687"/>
      <c r="E125" s="995"/>
      <c r="F125" s="995"/>
      <c r="G125" s="995"/>
      <c r="H125" s="995"/>
      <c r="I125" s="995"/>
      <c r="J125" s="995"/>
      <c r="K125" s="995"/>
      <c r="L125" s="995"/>
      <c r="M125" s="995"/>
      <c r="N125" s="995"/>
      <c r="O125" s="995"/>
      <c r="P125" s="995"/>
      <c r="Q125" s="995"/>
      <c r="R125" s="995"/>
      <c r="S125" s="995"/>
      <c r="T125" s="995"/>
      <c r="U125" s="995"/>
      <c r="V125" s="995"/>
      <c r="W125" s="995"/>
      <c r="X125" s="995"/>
      <c r="Y125" s="995"/>
      <c r="Z125" s="995"/>
      <c r="AA125" s="995"/>
      <c r="AB125" s="995"/>
      <c r="AC125" s="995"/>
      <c r="AD125" s="995"/>
      <c r="AE125" s="995"/>
      <c r="AF125" s="995"/>
      <c r="AG125" s="995"/>
      <c r="AH125" s="995"/>
      <c r="AI125" s="995"/>
      <c r="AJ125" s="995"/>
    </row>
    <row r="126" spans="2:36" x14ac:dyDescent="0.25">
      <c r="B126" s="687"/>
      <c r="C126" s="687"/>
      <c r="D126" s="687"/>
      <c r="E126" s="995"/>
      <c r="F126" s="995"/>
      <c r="G126" s="995"/>
      <c r="H126" s="995"/>
      <c r="I126" s="995"/>
      <c r="J126" s="995"/>
      <c r="K126" s="995"/>
      <c r="L126" s="995"/>
      <c r="M126" s="995"/>
      <c r="N126" s="995"/>
      <c r="O126" s="995"/>
      <c r="P126" s="995"/>
      <c r="Q126" s="995"/>
      <c r="R126" s="995"/>
      <c r="S126" s="995"/>
      <c r="T126" s="995"/>
      <c r="U126" s="995"/>
      <c r="V126" s="995"/>
      <c r="W126" s="995"/>
      <c r="X126" s="995"/>
      <c r="Y126" s="995"/>
      <c r="Z126" s="995"/>
      <c r="AA126" s="995"/>
      <c r="AB126" s="995"/>
      <c r="AC126" s="995"/>
      <c r="AD126" s="995"/>
      <c r="AE126" s="995"/>
      <c r="AF126" s="995"/>
      <c r="AG126" s="995"/>
      <c r="AH126" s="995"/>
      <c r="AI126" s="995"/>
      <c r="AJ126" s="995"/>
    </row>
    <row r="127" spans="2:36" x14ac:dyDescent="0.25">
      <c r="B127" s="687"/>
      <c r="C127" s="687"/>
      <c r="D127" s="687"/>
      <c r="E127" s="995"/>
      <c r="F127" s="995"/>
      <c r="G127" s="995"/>
      <c r="H127" s="995"/>
      <c r="I127" s="995"/>
      <c r="J127" s="995"/>
      <c r="K127" s="995"/>
      <c r="L127" s="995"/>
      <c r="M127" s="995"/>
      <c r="N127" s="995"/>
      <c r="O127" s="995"/>
      <c r="P127" s="995"/>
      <c r="Q127" s="995"/>
      <c r="R127" s="995"/>
      <c r="S127" s="995"/>
      <c r="T127" s="995"/>
      <c r="U127" s="995"/>
      <c r="V127" s="995"/>
      <c r="W127" s="995"/>
      <c r="X127" s="995"/>
      <c r="Y127" s="995"/>
      <c r="Z127" s="995"/>
      <c r="AA127" s="995"/>
      <c r="AB127" s="995"/>
      <c r="AC127" s="995"/>
      <c r="AD127" s="995"/>
      <c r="AE127" s="995"/>
      <c r="AF127" s="995"/>
      <c r="AG127" s="995"/>
      <c r="AH127" s="995"/>
      <c r="AI127" s="995"/>
      <c r="AJ127" s="995"/>
    </row>
    <row r="128" spans="2:36" x14ac:dyDescent="0.25">
      <c r="B128" s="687"/>
      <c r="C128" s="687"/>
      <c r="D128" s="687"/>
      <c r="E128" s="995"/>
      <c r="F128" s="995"/>
      <c r="G128" s="995"/>
      <c r="H128" s="995"/>
      <c r="I128" s="995"/>
      <c r="J128" s="995"/>
      <c r="K128" s="995"/>
      <c r="L128" s="995"/>
      <c r="M128" s="995"/>
      <c r="N128" s="995"/>
      <c r="O128" s="995"/>
      <c r="P128" s="995"/>
      <c r="Q128" s="995"/>
      <c r="R128" s="995"/>
      <c r="S128" s="995"/>
      <c r="T128" s="995"/>
      <c r="U128" s="995"/>
      <c r="V128" s="995"/>
      <c r="W128" s="995"/>
      <c r="X128" s="995"/>
      <c r="Y128" s="995"/>
      <c r="Z128" s="995"/>
      <c r="AA128" s="995"/>
      <c r="AB128" s="995"/>
      <c r="AC128" s="995"/>
      <c r="AD128" s="995"/>
      <c r="AE128" s="995"/>
      <c r="AF128" s="995"/>
      <c r="AG128" s="995"/>
      <c r="AH128" s="995"/>
      <c r="AI128" s="995"/>
      <c r="AJ128" s="995"/>
    </row>
    <row r="129" spans="2:36" x14ac:dyDescent="0.25">
      <c r="B129" s="687"/>
      <c r="C129" s="687"/>
      <c r="D129" s="687"/>
      <c r="E129" s="995"/>
      <c r="F129" s="995"/>
      <c r="G129" s="995"/>
      <c r="H129" s="995"/>
      <c r="I129" s="995"/>
      <c r="J129" s="995"/>
      <c r="K129" s="995"/>
      <c r="L129" s="995"/>
      <c r="M129" s="995"/>
      <c r="N129" s="995"/>
      <c r="O129" s="995"/>
      <c r="P129" s="995"/>
      <c r="Q129" s="995"/>
      <c r="R129" s="995"/>
      <c r="S129" s="995"/>
      <c r="T129" s="995"/>
      <c r="U129" s="995"/>
      <c r="V129" s="995"/>
      <c r="W129" s="995"/>
      <c r="X129" s="995"/>
      <c r="Y129" s="995"/>
      <c r="Z129" s="995"/>
      <c r="AA129" s="995"/>
      <c r="AB129" s="995"/>
      <c r="AC129" s="995"/>
      <c r="AD129" s="995"/>
      <c r="AE129" s="995"/>
      <c r="AF129" s="995"/>
      <c r="AG129" s="995"/>
      <c r="AH129" s="995"/>
      <c r="AI129" s="995"/>
      <c r="AJ129" s="995"/>
    </row>
    <row r="130" spans="2:36" x14ac:dyDescent="0.25">
      <c r="B130" s="687"/>
      <c r="C130" s="687"/>
      <c r="D130" s="687"/>
      <c r="E130" s="995"/>
      <c r="F130" s="995"/>
      <c r="G130" s="995"/>
      <c r="H130" s="995"/>
      <c r="I130" s="995"/>
      <c r="J130" s="995"/>
      <c r="K130" s="995"/>
      <c r="L130" s="995"/>
      <c r="M130" s="995"/>
      <c r="N130" s="995"/>
      <c r="O130" s="995"/>
      <c r="P130" s="995"/>
      <c r="Q130" s="995"/>
      <c r="R130" s="995"/>
      <c r="S130" s="995"/>
      <c r="T130" s="995"/>
      <c r="U130" s="995"/>
      <c r="V130" s="995"/>
      <c r="W130" s="995"/>
      <c r="X130" s="995"/>
      <c r="Y130" s="995"/>
      <c r="Z130" s="995"/>
      <c r="AA130" s="995"/>
      <c r="AB130" s="995"/>
      <c r="AC130" s="995"/>
      <c r="AD130" s="995"/>
      <c r="AE130" s="995"/>
      <c r="AF130" s="995"/>
      <c r="AG130" s="995"/>
      <c r="AH130" s="995"/>
      <c r="AI130" s="995"/>
      <c r="AJ130" s="995"/>
    </row>
    <row r="131" spans="2:36" x14ac:dyDescent="0.25">
      <c r="B131" s="687"/>
      <c r="C131" s="687"/>
      <c r="D131" s="687"/>
      <c r="E131" s="995"/>
      <c r="F131" s="995"/>
      <c r="G131" s="995"/>
      <c r="H131" s="995"/>
      <c r="I131" s="995"/>
      <c r="J131" s="995"/>
      <c r="K131" s="995"/>
      <c r="L131" s="995"/>
      <c r="M131" s="995"/>
      <c r="N131" s="995"/>
      <c r="O131" s="995"/>
      <c r="P131" s="995"/>
      <c r="Q131" s="995"/>
      <c r="R131" s="995"/>
      <c r="S131" s="995"/>
      <c r="T131" s="995"/>
      <c r="U131" s="995"/>
      <c r="V131" s="995"/>
      <c r="W131" s="995"/>
      <c r="X131" s="995"/>
      <c r="Y131" s="995"/>
      <c r="Z131" s="995"/>
      <c r="AA131" s="995"/>
      <c r="AB131" s="995"/>
      <c r="AC131" s="995"/>
      <c r="AD131" s="995"/>
      <c r="AE131" s="995"/>
      <c r="AF131" s="995"/>
      <c r="AG131" s="995"/>
      <c r="AH131" s="995"/>
      <c r="AI131" s="995"/>
      <c r="AJ131" s="995"/>
    </row>
    <row r="132" spans="2:36" x14ac:dyDescent="0.25">
      <c r="B132" s="687"/>
      <c r="C132" s="687"/>
      <c r="D132" s="687"/>
      <c r="E132" s="995"/>
      <c r="F132" s="995"/>
      <c r="G132" s="995"/>
      <c r="H132" s="995"/>
      <c r="I132" s="995"/>
      <c r="J132" s="995"/>
      <c r="K132" s="995"/>
      <c r="L132" s="995"/>
      <c r="M132" s="995"/>
      <c r="N132" s="995"/>
      <c r="O132" s="995"/>
      <c r="P132" s="995"/>
      <c r="Q132" s="995"/>
      <c r="R132" s="995"/>
      <c r="S132" s="995"/>
      <c r="T132" s="995"/>
      <c r="U132" s="995"/>
      <c r="V132" s="995"/>
      <c r="W132" s="995"/>
      <c r="X132" s="995"/>
      <c r="Y132" s="995"/>
      <c r="Z132" s="995"/>
      <c r="AA132" s="995"/>
      <c r="AB132" s="995"/>
      <c r="AC132" s="995"/>
      <c r="AD132" s="995"/>
      <c r="AE132" s="995"/>
      <c r="AF132" s="995"/>
      <c r="AG132" s="995"/>
      <c r="AH132" s="995"/>
      <c r="AI132" s="995"/>
      <c r="AJ132" s="995"/>
    </row>
    <row r="133" spans="2:36" x14ac:dyDescent="0.25">
      <c r="B133" s="687"/>
      <c r="C133" s="687"/>
      <c r="D133" s="687"/>
      <c r="E133" s="995"/>
      <c r="F133" s="995"/>
      <c r="G133" s="995"/>
      <c r="H133" s="995"/>
      <c r="I133" s="995"/>
      <c r="J133" s="995"/>
      <c r="K133" s="995"/>
      <c r="L133" s="995"/>
      <c r="M133" s="995"/>
      <c r="N133" s="995"/>
      <c r="O133" s="995"/>
      <c r="P133" s="995"/>
      <c r="Q133" s="995"/>
      <c r="R133" s="995"/>
      <c r="S133" s="995"/>
      <c r="T133" s="995"/>
      <c r="U133" s="995"/>
      <c r="V133" s="995"/>
      <c r="W133" s="995"/>
      <c r="X133" s="995"/>
      <c r="Y133" s="995"/>
      <c r="Z133" s="995"/>
      <c r="AA133" s="995"/>
      <c r="AB133" s="995"/>
      <c r="AC133" s="995"/>
      <c r="AD133" s="995"/>
      <c r="AE133" s="995"/>
      <c r="AF133" s="995"/>
      <c r="AG133" s="995"/>
      <c r="AH133" s="995"/>
      <c r="AI133" s="995"/>
      <c r="AJ133" s="995"/>
    </row>
    <row r="134" spans="2:36" x14ac:dyDescent="0.25">
      <c r="B134" s="687"/>
      <c r="C134" s="687"/>
      <c r="D134" s="687"/>
      <c r="E134" s="995"/>
      <c r="F134" s="995"/>
      <c r="G134" s="995"/>
      <c r="H134" s="995"/>
      <c r="I134" s="995"/>
      <c r="J134" s="995"/>
      <c r="K134" s="995"/>
      <c r="L134" s="995"/>
      <c r="M134" s="995"/>
      <c r="N134" s="995"/>
      <c r="O134" s="995"/>
      <c r="P134" s="995"/>
      <c r="Q134" s="995"/>
      <c r="R134" s="995"/>
      <c r="S134" s="995"/>
      <c r="T134" s="995"/>
      <c r="U134" s="995"/>
      <c r="V134" s="995"/>
      <c r="W134" s="995"/>
      <c r="X134" s="995"/>
      <c r="Y134" s="995"/>
      <c r="Z134" s="995"/>
      <c r="AA134" s="995"/>
      <c r="AB134" s="995"/>
      <c r="AC134" s="995"/>
      <c r="AD134" s="995"/>
      <c r="AE134" s="995"/>
      <c r="AF134" s="995"/>
      <c r="AG134" s="995"/>
      <c r="AH134" s="995"/>
      <c r="AI134" s="995"/>
      <c r="AJ134" s="995"/>
    </row>
    <row r="135" spans="2:36" x14ac:dyDescent="0.25">
      <c r="B135" s="687"/>
      <c r="C135" s="687"/>
      <c r="D135" s="687"/>
      <c r="E135" s="995"/>
      <c r="F135" s="995"/>
      <c r="G135" s="995"/>
      <c r="H135" s="995"/>
      <c r="I135" s="995"/>
      <c r="J135" s="995"/>
      <c r="K135" s="995"/>
      <c r="L135" s="995"/>
      <c r="M135" s="995"/>
      <c r="N135" s="995"/>
      <c r="O135" s="995"/>
      <c r="P135" s="995"/>
      <c r="Q135" s="995"/>
      <c r="R135" s="995"/>
      <c r="S135" s="995"/>
      <c r="T135" s="995"/>
      <c r="U135" s="995"/>
      <c r="V135" s="995"/>
      <c r="W135" s="995"/>
      <c r="X135" s="995"/>
      <c r="Y135" s="995"/>
      <c r="Z135" s="995"/>
      <c r="AA135" s="995"/>
      <c r="AB135" s="995"/>
      <c r="AC135" s="995"/>
      <c r="AD135" s="995"/>
      <c r="AE135" s="995"/>
      <c r="AF135" s="995"/>
      <c r="AG135" s="995"/>
      <c r="AH135" s="995"/>
      <c r="AI135" s="995"/>
      <c r="AJ135" s="995"/>
    </row>
    <row r="136" spans="2:36" x14ac:dyDescent="0.25">
      <c r="B136" s="687"/>
      <c r="C136" s="687"/>
      <c r="D136" s="687"/>
      <c r="E136" s="995"/>
      <c r="F136" s="995"/>
      <c r="G136" s="995"/>
      <c r="H136" s="995"/>
      <c r="I136" s="995"/>
      <c r="J136" s="995"/>
      <c r="K136" s="995"/>
      <c r="L136" s="995"/>
      <c r="M136" s="995"/>
      <c r="N136" s="995"/>
      <c r="O136" s="995"/>
      <c r="P136" s="995"/>
      <c r="Q136" s="995"/>
      <c r="R136" s="995"/>
      <c r="S136" s="995"/>
      <c r="T136" s="995"/>
      <c r="U136" s="995"/>
      <c r="V136" s="995"/>
      <c r="W136" s="995"/>
      <c r="X136" s="995"/>
      <c r="Y136" s="995"/>
      <c r="Z136" s="995"/>
      <c r="AA136" s="995"/>
      <c r="AB136" s="995"/>
      <c r="AC136" s="995"/>
      <c r="AD136" s="995"/>
      <c r="AE136" s="995"/>
      <c r="AF136" s="995"/>
      <c r="AG136" s="995"/>
      <c r="AH136" s="995"/>
      <c r="AI136" s="995"/>
      <c r="AJ136" s="995"/>
    </row>
    <row r="137" spans="2:36" x14ac:dyDescent="0.25">
      <c r="B137" s="687"/>
      <c r="C137" s="687"/>
      <c r="D137" s="687"/>
      <c r="E137" s="995"/>
      <c r="F137" s="995"/>
      <c r="G137" s="995"/>
      <c r="H137" s="995"/>
      <c r="I137" s="995"/>
      <c r="J137" s="995"/>
      <c r="K137" s="995"/>
      <c r="L137" s="995"/>
      <c r="M137" s="995"/>
      <c r="N137" s="995"/>
      <c r="O137" s="995"/>
      <c r="P137" s="995"/>
      <c r="Q137" s="995"/>
      <c r="R137" s="995"/>
      <c r="S137" s="995"/>
      <c r="T137" s="995"/>
      <c r="U137" s="995"/>
      <c r="V137" s="995"/>
      <c r="W137" s="995"/>
      <c r="X137" s="995"/>
      <c r="Y137" s="995"/>
      <c r="Z137" s="995"/>
      <c r="AA137" s="995"/>
      <c r="AB137" s="995"/>
      <c r="AC137" s="995"/>
      <c r="AD137" s="995"/>
      <c r="AE137" s="995"/>
      <c r="AF137" s="995"/>
      <c r="AG137" s="995"/>
      <c r="AH137" s="995"/>
      <c r="AI137" s="995"/>
      <c r="AJ137" s="995"/>
    </row>
    <row r="138" spans="2:36" x14ac:dyDescent="0.25">
      <c r="B138" s="687"/>
      <c r="C138" s="687"/>
      <c r="D138" s="687"/>
      <c r="E138" s="995"/>
      <c r="F138" s="995"/>
      <c r="G138" s="995"/>
      <c r="H138" s="995"/>
      <c r="I138" s="995"/>
      <c r="J138" s="995"/>
      <c r="K138" s="995"/>
      <c r="L138" s="995"/>
      <c r="M138" s="995"/>
      <c r="N138" s="995"/>
      <c r="O138" s="995"/>
      <c r="P138" s="995"/>
      <c r="Q138" s="995"/>
      <c r="R138" s="995"/>
      <c r="S138" s="995"/>
      <c r="T138" s="995"/>
      <c r="U138" s="995"/>
      <c r="V138" s="995"/>
      <c r="W138" s="995"/>
      <c r="X138" s="995"/>
      <c r="Y138" s="995"/>
      <c r="Z138" s="995"/>
      <c r="AA138" s="995"/>
      <c r="AB138" s="995"/>
      <c r="AC138" s="995"/>
      <c r="AD138" s="995"/>
      <c r="AE138" s="995"/>
      <c r="AF138" s="995"/>
      <c r="AG138" s="995"/>
      <c r="AH138" s="995"/>
      <c r="AI138" s="995"/>
      <c r="AJ138" s="995"/>
    </row>
    <row r="139" spans="2:36" x14ac:dyDescent="0.25">
      <c r="B139" s="687"/>
      <c r="C139" s="687"/>
      <c r="D139" s="687"/>
      <c r="E139" s="995"/>
      <c r="F139" s="995"/>
      <c r="G139" s="995"/>
      <c r="H139" s="995"/>
      <c r="I139" s="995"/>
      <c r="J139" s="995"/>
      <c r="K139" s="995"/>
      <c r="L139" s="995"/>
      <c r="M139" s="995"/>
      <c r="N139" s="995"/>
      <c r="O139" s="995"/>
      <c r="P139" s="995"/>
      <c r="Q139" s="995"/>
      <c r="R139" s="995"/>
      <c r="S139" s="995"/>
      <c r="T139" s="995"/>
      <c r="U139" s="995"/>
      <c r="V139" s="995"/>
      <c r="W139" s="995"/>
      <c r="X139" s="995"/>
      <c r="Y139" s="995"/>
      <c r="Z139" s="995"/>
      <c r="AA139" s="995"/>
      <c r="AB139" s="995"/>
      <c r="AC139" s="995"/>
      <c r="AD139" s="995"/>
      <c r="AE139" s="995"/>
      <c r="AF139" s="995"/>
      <c r="AG139" s="995"/>
      <c r="AH139" s="995"/>
      <c r="AI139" s="995"/>
      <c r="AJ139" s="995"/>
    </row>
    <row r="140" spans="2:36" x14ac:dyDescent="0.25">
      <c r="B140" s="687"/>
      <c r="C140" s="687"/>
      <c r="D140" s="687"/>
      <c r="E140" s="995"/>
      <c r="F140" s="995"/>
      <c r="G140" s="995"/>
      <c r="H140" s="995"/>
      <c r="I140" s="995"/>
      <c r="J140" s="995"/>
      <c r="K140" s="995"/>
      <c r="L140" s="995"/>
      <c r="M140" s="995"/>
      <c r="N140" s="995"/>
      <c r="O140" s="995"/>
      <c r="P140" s="995"/>
      <c r="Q140" s="995"/>
      <c r="R140" s="995"/>
      <c r="S140" s="995"/>
      <c r="T140" s="995"/>
      <c r="U140" s="995"/>
      <c r="V140" s="995"/>
      <c r="W140" s="995"/>
      <c r="X140" s="995"/>
      <c r="Y140" s="995"/>
      <c r="Z140" s="995"/>
      <c r="AA140" s="995"/>
      <c r="AB140" s="995"/>
      <c r="AC140" s="995"/>
      <c r="AD140" s="995"/>
      <c r="AE140" s="995"/>
      <c r="AF140" s="995"/>
      <c r="AG140" s="995"/>
      <c r="AH140" s="995"/>
      <c r="AI140" s="995"/>
      <c r="AJ140" s="995"/>
    </row>
    <row r="141" spans="2:36" x14ac:dyDescent="0.25">
      <c r="B141" s="687"/>
      <c r="C141" s="687"/>
      <c r="D141" s="687"/>
      <c r="E141" s="995"/>
      <c r="F141" s="995"/>
      <c r="G141" s="995"/>
      <c r="H141" s="995"/>
      <c r="I141" s="995"/>
      <c r="J141" s="995"/>
      <c r="K141" s="995"/>
      <c r="L141" s="995"/>
      <c r="M141" s="995"/>
      <c r="N141" s="995"/>
      <c r="O141" s="995"/>
      <c r="P141" s="995"/>
      <c r="Q141" s="995"/>
      <c r="R141" s="995"/>
      <c r="S141" s="995"/>
      <c r="T141" s="995"/>
      <c r="U141" s="995"/>
      <c r="V141" s="995"/>
      <c r="W141" s="995"/>
      <c r="X141" s="995"/>
      <c r="Y141" s="995"/>
      <c r="Z141" s="995"/>
      <c r="AA141" s="995"/>
      <c r="AB141" s="995"/>
      <c r="AC141" s="995"/>
      <c r="AD141" s="995"/>
      <c r="AE141" s="995"/>
      <c r="AF141" s="995"/>
      <c r="AG141" s="995"/>
      <c r="AH141" s="995"/>
      <c r="AI141" s="995"/>
      <c r="AJ141" s="995"/>
    </row>
    <row r="142" spans="2:36" x14ac:dyDescent="0.25">
      <c r="B142" s="687"/>
      <c r="C142" s="687"/>
      <c r="D142" s="687"/>
      <c r="E142" s="995"/>
      <c r="F142" s="995"/>
      <c r="G142" s="995"/>
      <c r="H142" s="995"/>
      <c r="I142" s="995"/>
      <c r="J142" s="995"/>
      <c r="K142" s="995"/>
      <c r="L142" s="995"/>
      <c r="M142" s="995"/>
      <c r="N142" s="995"/>
      <c r="O142" s="995"/>
      <c r="P142" s="995"/>
      <c r="Q142" s="995"/>
      <c r="R142" s="995"/>
      <c r="S142" s="995"/>
      <c r="T142" s="995"/>
      <c r="U142" s="995"/>
      <c r="V142" s="995"/>
      <c r="W142" s="995"/>
      <c r="X142" s="995"/>
      <c r="Y142" s="995"/>
      <c r="Z142" s="995"/>
      <c r="AA142" s="995"/>
      <c r="AB142" s="995"/>
      <c r="AC142" s="995"/>
      <c r="AD142" s="995"/>
      <c r="AE142" s="995"/>
      <c r="AF142" s="995"/>
      <c r="AG142" s="995"/>
      <c r="AH142" s="995"/>
      <c r="AI142" s="995"/>
      <c r="AJ142" s="995"/>
    </row>
    <row r="143" spans="2:36" x14ac:dyDescent="0.25">
      <c r="B143" s="687"/>
      <c r="C143" s="687"/>
      <c r="D143" s="687"/>
      <c r="E143" s="995"/>
      <c r="F143" s="995"/>
      <c r="G143" s="995"/>
      <c r="H143" s="995"/>
      <c r="I143" s="995"/>
      <c r="J143" s="995"/>
      <c r="K143" s="995"/>
      <c r="L143" s="995"/>
      <c r="M143" s="995"/>
      <c r="N143" s="995"/>
      <c r="O143" s="995"/>
      <c r="P143" s="995"/>
      <c r="Q143" s="995"/>
      <c r="R143" s="995"/>
      <c r="S143" s="995"/>
      <c r="T143" s="995"/>
      <c r="U143" s="995"/>
      <c r="V143" s="995"/>
      <c r="W143" s="995"/>
      <c r="X143" s="995"/>
      <c r="Y143" s="995"/>
      <c r="Z143" s="995"/>
      <c r="AA143" s="995"/>
      <c r="AB143" s="995"/>
      <c r="AC143" s="995"/>
      <c r="AD143" s="995"/>
      <c r="AE143" s="995"/>
      <c r="AF143" s="995"/>
      <c r="AG143" s="995"/>
      <c r="AH143" s="995"/>
      <c r="AI143" s="995"/>
      <c r="AJ143" s="995"/>
    </row>
    <row r="144" spans="2:36" x14ac:dyDescent="0.25">
      <c r="B144" s="687"/>
      <c r="C144" s="687"/>
      <c r="D144" s="687"/>
      <c r="E144" s="995"/>
      <c r="F144" s="995"/>
      <c r="G144" s="995"/>
      <c r="H144" s="995"/>
      <c r="I144" s="995"/>
      <c r="J144" s="995"/>
      <c r="K144" s="995"/>
      <c r="L144" s="995"/>
      <c r="M144" s="995"/>
      <c r="N144" s="995"/>
      <c r="O144" s="995"/>
      <c r="P144" s="995"/>
      <c r="Q144" s="995"/>
      <c r="R144" s="995"/>
      <c r="S144" s="995"/>
      <c r="T144" s="995"/>
      <c r="U144" s="995"/>
      <c r="V144" s="995"/>
      <c r="W144" s="995"/>
      <c r="X144" s="995"/>
      <c r="Y144" s="995"/>
      <c r="Z144" s="995"/>
      <c r="AA144" s="995"/>
      <c r="AB144" s="995"/>
      <c r="AC144" s="995"/>
      <c r="AD144" s="995"/>
      <c r="AE144" s="995"/>
      <c r="AF144" s="995"/>
      <c r="AG144" s="995"/>
      <c r="AH144" s="995"/>
      <c r="AI144" s="995"/>
      <c r="AJ144" s="995"/>
    </row>
    <row r="145" spans="2:36" x14ac:dyDescent="0.25">
      <c r="B145" s="687"/>
      <c r="C145" s="687"/>
      <c r="D145" s="687"/>
      <c r="E145" s="995"/>
      <c r="F145" s="995"/>
      <c r="G145" s="995"/>
      <c r="H145" s="995"/>
      <c r="I145" s="995"/>
      <c r="J145" s="995"/>
      <c r="K145" s="995"/>
      <c r="L145" s="995"/>
      <c r="M145" s="995"/>
      <c r="N145" s="995"/>
      <c r="O145" s="995"/>
      <c r="P145" s="995"/>
      <c r="Q145" s="995"/>
      <c r="R145" s="995"/>
      <c r="S145" s="995"/>
      <c r="T145" s="995"/>
      <c r="U145" s="995"/>
      <c r="V145" s="995"/>
      <c r="W145" s="995"/>
      <c r="X145" s="995"/>
      <c r="Y145" s="995"/>
      <c r="Z145" s="995"/>
      <c r="AA145" s="995"/>
      <c r="AB145" s="995"/>
      <c r="AC145" s="995"/>
      <c r="AD145" s="995"/>
      <c r="AE145" s="995"/>
      <c r="AF145" s="995"/>
      <c r="AG145" s="995"/>
      <c r="AH145" s="995"/>
      <c r="AI145" s="995"/>
      <c r="AJ145" s="995"/>
    </row>
    <row r="146" spans="2:36" x14ac:dyDescent="0.25">
      <c r="B146" s="687"/>
      <c r="C146" s="687"/>
      <c r="D146" s="687"/>
      <c r="E146" s="995"/>
      <c r="F146" s="995"/>
      <c r="G146" s="995"/>
      <c r="H146" s="995"/>
      <c r="I146" s="995"/>
      <c r="J146" s="995"/>
      <c r="K146" s="995"/>
      <c r="L146" s="995"/>
      <c r="M146" s="995"/>
      <c r="N146" s="995"/>
      <c r="O146" s="995"/>
      <c r="P146" s="995"/>
      <c r="Q146" s="995"/>
      <c r="R146" s="995"/>
      <c r="S146" s="995"/>
      <c r="T146" s="995"/>
      <c r="U146" s="995"/>
      <c r="V146" s="995"/>
      <c r="W146" s="995"/>
      <c r="X146" s="995"/>
      <c r="Y146" s="995"/>
      <c r="Z146" s="995"/>
      <c r="AA146" s="995"/>
      <c r="AB146" s="995"/>
      <c r="AC146" s="995"/>
      <c r="AD146" s="995"/>
      <c r="AE146" s="995"/>
      <c r="AF146" s="995"/>
      <c r="AG146" s="995"/>
      <c r="AH146" s="995"/>
      <c r="AI146" s="995"/>
      <c r="AJ146" s="995"/>
    </row>
    <row r="147" spans="2:36" x14ac:dyDescent="0.25">
      <c r="B147" s="687"/>
      <c r="C147" s="687"/>
      <c r="D147" s="687"/>
      <c r="E147" s="995"/>
      <c r="F147" s="995"/>
      <c r="G147" s="995"/>
      <c r="H147" s="995"/>
      <c r="I147" s="995"/>
      <c r="J147" s="995"/>
      <c r="K147" s="995"/>
      <c r="L147" s="995"/>
      <c r="M147" s="995"/>
      <c r="N147" s="995"/>
      <c r="O147" s="995"/>
      <c r="P147" s="995"/>
      <c r="Q147" s="995"/>
      <c r="R147" s="995"/>
      <c r="S147" s="995"/>
      <c r="T147" s="995"/>
      <c r="U147" s="995"/>
      <c r="V147" s="995"/>
      <c r="W147" s="995"/>
      <c r="X147" s="995"/>
      <c r="Y147" s="995"/>
      <c r="Z147" s="995"/>
      <c r="AA147" s="995"/>
      <c r="AB147" s="995"/>
      <c r="AC147" s="995"/>
      <c r="AD147" s="995"/>
      <c r="AE147" s="995"/>
      <c r="AF147" s="995"/>
      <c r="AG147" s="995"/>
      <c r="AH147" s="995"/>
      <c r="AI147" s="995"/>
      <c r="AJ147" s="995"/>
    </row>
    <row r="148" spans="2:36" x14ac:dyDescent="0.25">
      <c r="B148" s="687"/>
      <c r="C148" s="687"/>
      <c r="D148" s="687"/>
      <c r="E148" s="995"/>
      <c r="F148" s="995"/>
      <c r="G148" s="995"/>
      <c r="H148" s="995"/>
      <c r="I148" s="995"/>
      <c r="J148" s="995"/>
      <c r="K148" s="995"/>
      <c r="L148" s="995"/>
      <c r="M148" s="995"/>
      <c r="N148" s="995"/>
      <c r="O148" s="995"/>
      <c r="P148" s="995"/>
      <c r="Q148" s="995"/>
      <c r="R148" s="995"/>
      <c r="S148" s="995"/>
      <c r="T148" s="995"/>
      <c r="U148" s="995"/>
      <c r="V148" s="995"/>
      <c r="W148" s="995"/>
      <c r="X148" s="995"/>
      <c r="Y148" s="995"/>
      <c r="Z148" s="995"/>
      <c r="AA148" s="995"/>
      <c r="AB148" s="995"/>
      <c r="AC148" s="995"/>
      <c r="AD148" s="995"/>
      <c r="AE148" s="995"/>
      <c r="AF148" s="995"/>
      <c r="AG148" s="995"/>
      <c r="AH148" s="995"/>
      <c r="AI148" s="995"/>
      <c r="AJ148" s="995"/>
    </row>
    <row r="149" spans="2:36" x14ac:dyDescent="0.25">
      <c r="B149" s="687"/>
      <c r="C149" s="687"/>
      <c r="D149" s="687"/>
      <c r="E149" s="995"/>
      <c r="F149" s="995"/>
      <c r="G149" s="995"/>
      <c r="H149" s="995"/>
      <c r="I149" s="995"/>
      <c r="J149" s="995"/>
      <c r="K149" s="995"/>
      <c r="L149" s="995"/>
      <c r="M149" s="995"/>
      <c r="N149" s="995"/>
      <c r="O149" s="995"/>
      <c r="P149" s="995"/>
      <c r="Q149" s="995"/>
      <c r="R149" s="995"/>
      <c r="S149" s="995"/>
      <c r="T149" s="995"/>
      <c r="U149" s="995"/>
      <c r="V149" s="995"/>
      <c r="W149" s="995"/>
      <c r="X149" s="995"/>
      <c r="Y149" s="995"/>
      <c r="Z149" s="995"/>
      <c r="AA149" s="995"/>
      <c r="AB149" s="995"/>
      <c r="AC149" s="995"/>
      <c r="AD149" s="995"/>
      <c r="AE149" s="995"/>
      <c r="AF149" s="995"/>
      <c r="AG149" s="995"/>
      <c r="AH149" s="995"/>
      <c r="AI149" s="995"/>
      <c r="AJ149" s="995"/>
    </row>
    <row r="150" spans="2:36" x14ac:dyDescent="0.25">
      <c r="B150" s="687"/>
      <c r="C150" s="687"/>
      <c r="D150" s="687"/>
      <c r="E150" s="995"/>
      <c r="F150" s="995"/>
      <c r="G150" s="995"/>
      <c r="H150" s="995"/>
      <c r="I150" s="995"/>
      <c r="J150" s="995"/>
      <c r="K150" s="995"/>
      <c r="L150" s="995"/>
      <c r="M150" s="995"/>
      <c r="N150" s="995"/>
      <c r="O150" s="995"/>
      <c r="P150" s="995"/>
      <c r="Q150" s="995"/>
      <c r="R150" s="995"/>
      <c r="S150" s="995"/>
      <c r="T150" s="995"/>
      <c r="U150" s="995"/>
      <c r="V150" s="995"/>
      <c r="W150" s="995"/>
      <c r="X150" s="995"/>
      <c r="Y150" s="995"/>
      <c r="Z150" s="995"/>
      <c r="AA150" s="995"/>
      <c r="AB150" s="995"/>
      <c r="AC150" s="995"/>
      <c r="AD150" s="995"/>
      <c r="AE150" s="995"/>
      <c r="AF150" s="995"/>
      <c r="AG150" s="995"/>
      <c r="AH150" s="995"/>
      <c r="AI150" s="995"/>
      <c r="AJ150" s="995"/>
    </row>
    <row r="151" spans="2:36" x14ac:dyDescent="0.25">
      <c r="B151" s="687"/>
      <c r="C151" s="687"/>
      <c r="D151" s="687"/>
      <c r="E151" s="995"/>
      <c r="F151" s="995"/>
      <c r="G151" s="995"/>
      <c r="H151" s="995"/>
      <c r="I151" s="995"/>
      <c r="J151" s="995"/>
      <c r="K151" s="995"/>
      <c r="L151" s="995"/>
      <c r="M151" s="995"/>
      <c r="N151" s="995"/>
      <c r="O151" s="995"/>
      <c r="P151" s="995"/>
      <c r="Q151" s="995"/>
      <c r="R151" s="995"/>
      <c r="S151" s="995"/>
      <c r="T151" s="995"/>
      <c r="U151" s="995"/>
      <c r="V151" s="995"/>
      <c r="W151" s="995"/>
      <c r="X151" s="995"/>
      <c r="Y151" s="995"/>
      <c r="Z151" s="995"/>
      <c r="AA151" s="995"/>
      <c r="AB151" s="995"/>
      <c r="AC151" s="995"/>
      <c r="AD151" s="995"/>
      <c r="AE151" s="995"/>
      <c r="AF151" s="995"/>
      <c r="AG151" s="995"/>
      <c r="AH151" s="995"/>
      <c r="AI151" s="995"/>
      <c r="AJ151" s="995"/>
    </row>
    <row r="152" spans="2:36" x14ac:dyDescent="0.25">
      <c r="B152" s="687"/>
      <c r="C152" s="687"/>
      <c r="D152" s="687"/>
      <c r="E152" s="995"/>
      <c r="F152" s="995"/>
      <c r="G152" s="995"/>
      <c r="H152" s="995"/>
      <c r="I152" s="995"/>
      <c r="J152" s="995"/>
      <c r="K152" s="995"/>
      <c r="L152" s="995"/>
      <c r="M152" s="995"/>
      <c r="N152" s="995"/>
      <c r="O152" s="995"/>
      <c r="P152" s="995"/>
      <c r="Q152" s="995"/>
      <c r="R152" s="995"/>
      <c r="S152" s="995"/>
      <c r="T152" s="995"/>
      <c r="U152" s="995"/>
      <c r="V152" s="995"/>
      <c r="W152" s="995"/>
      <c r="X152" s="995"/>
      <c r="Y152" s="995"/>
      <c r="Z152" s="995"/>
      <c r="AA152" s="995"/>
      <c r="AB152" s="995"/>
      <c r="AC152" s="995"/>
      <c r="AD152" s="995"/>
      <c r="AE152" s="995"/>
      <c r="AF152" s="995"/>
      <c r="AG152" s="995"/>
      <c r="AH152" s="995"/>
      <c r="AI152" s="995"/>
      <c r="AJ152" s="995"/>
    </row>
    <row r="153" spans="2:36" x14ac:dyDescent="0.25">
      <c r="B153" s="687"/>
      <c r="C153" s="687"/>
      <c r="D153" s="687"/>
      <c r="E153" s="995"/>
      <c r="F153" s="995"/>
      <c r="G153" s="995"/>
      <c r="H153" s="995"/>
      <c r="I153" s="995"/>
      <c r="J153" s="995"/>
      <c r="K153" s="995"/>
      <c r="L153" s="995"/>
      <c r="M153" s="995"/>
      <c r="N153" s="995"/>
      <c r="O153" s="995"/>
      <c r="P153" s="995"/>
      <c r="Q153" s="995"/>
      <c r="R153" s="995"/>
      <c r="S153" s="995"/>
      <c r="T153" s="995"/>
      <c r="U153" s="995"/>
      <c r="V153" s="995"/>
      <c r="W153" s="995"/>
      <c r="X153" s="995"/>
      <c r="Y153" s="995"/>
      <c r="Z153" s="995"/>
      <c r="AA153" s="995"/>
      <c r="AB153" s="995"/>
      <c r="AC153" s="995"/>
      <c r="AD153" s="995"/>
      <c r="AE153" s="995"/>
      <c r="AF153" s="995"/>
      <c r="AG153" s="995"/>
      <c r="AH153" s="995"/>
      <c r="AI153" s="995"/>
      <c r="AJ153" s="995"/>
    </row>
    <row r="154" spans="2:36" x14ac:dyDescent="0.25">
      <c r="B154" s="687"/>
      <c r="C154" s="687"/>
      <c r="D154" s="687"/>
      <c r="E154" s="995"/>
      <c r="F154" s="995"/>
      <c r="G154" s="995"/>
      <c r="H154" s="995"/>
      <c r="I154" s="995"/>
      <c r="J154" s="995"/>
      <c r="K154" s="995"/>
      <c r="L154" s="995"/>
      <c r="M154" s="995"/>
      <c r="N154" s="995"/>
      <c r="O154" s="995"/>
      <c r="P154" s="995"/>
      <c r="Q154" s="995"/>
      <c r="R154" s="995"/>
      <c r="S154" s="995"/>
      <c r="T154" s="995"/>
      <c r="U154" s="995"/>
      <c r="V154" s="995"/>
      <c r="W154" s="995"/>
      <c r="X154" s="995"/>
      <c r="Y154" s="995"/>
      <c r="Z154" s="995"/>
      <c r="AA154" s="995"/>
      <c r="AB154" s="995"/>
      <c r="AC154" s="995"/>
      <c r="AD154" s="995"/>
      <c r="AE154" s="995"/>
      <c r="AF154" s="995"/>
      <c r="AG154" s="995"/>
      <c r="AH154" s="995"/>
      <c r="AI154" s="995"/>
      <c r="AJ154" s="995"/>
    </row>
    <row r="155" spans="2:36" x14ac:dyDescent="0.25">
      <c r="B155" s="687"/>
      <c r="C155" s="687"/>
      <c r="D155" s="687"/>
      <c r="E155" s="995"/>
      <c r="F155" s="995"/>
      <c r="G155" s="995"/>
      <c r="H155" s="995"/>
      <c r="I155" s="995"/>
      <c r="J155" s="995"/>
      <c r="K155" s="995"/>
      <c r="L155" s="995"/>
      <c r="M155" s="995"/>
      <c r="N155" s="995"/>
      <c r="O155" s="995"/>
      <c r="P155" s="995"/>
      <c r="Q155" s="995"/>
      <c r="R155" s="995"/>
      <c r="S155" s="995"/>
      <c r="T155" s="995"/>
      <c r="U155" s="995"/>
      <c r="V155" s="995"/>
      <c r="W155" s="995"/>
      <c r="X155" s="995"/>
      <c r="Y155" s="995"/>
      <c r="Z155" s="995"/>
      <c r="AA155" s="995"/>
      <c r="AB155" s="995"/>
      <c r="AC155" s="995"/>
      <c r="AD155" s="995"/>
      <c r="AE155" s="995"/>
      <c r="AF155" s="995"/>
      <c r="AG155" s="995"/>
      <c r="AH155" s="995"/>
      <c r="AI155" s="995"/>
      <c r="AJ155" s="995"/>
    </row>
    <row r="156" spans="2:36" x14ac:dyDescent="0.25">
      <c r="B156" s="687"/>
      <c r="C156" s="687"/>
      <c r="D156" s="687"/>
      <c r="E156" s="995"/>
      <c r="F156" s="995"/>
      <c r="G156" s="995"/>
      <c r="H156" s="995"/>
      <c r="I156" s="995"/>
      <c r="J156" s="995"/>
      <c r="K156" s="995"/>
      <c r="L156" s="995"/>
      <c r="M156" s="995"/>
      <c r="N156" s="995"/>
      <c r="O156" s="995"/>
      <c r="P156" s="995"/>
      <c r="Q156" s="995"/>
      <c r="R156" s="995"/>
      <c r="S156" s="995"/>
      <c r="T156" s="995"/>
      <c r="U156" s="995"/>
      <c r="V156" s="995"/>
      <c r="W156" s="995"/>
      <c r="X156" s="995"/>
      <c r="Y156" s="995"/>
      <c r="Z156" s="995"/>
      <c r="AA156" s="995"/>
      <c r="AB156" s="995"/>
      <c r="AC156" s="995"/>
      <c r="AD156" s="995"/>
      <c r="AE156" s="995"/>
      <c r="AF156" s="995"/>
      <c r="AG156" s="995"/>
      <c r="AH156" s="995"/>
      <c r="AI156" s="995"/>
      <c r="AJ156" s="995"/>
    </row>
    <row r="157" spans="2:36" x14ac:dyDescent="0.25">
      <c r="B157" s="687"/>
      <c r="C157" s="687"/>
      <c r="D157" s="687"/>
      <c r="E157" s="995"/>
      <c r="F157" s="995"/>
      <c r="G157" s="995"/>
      <c r="H157" s="995"/>
      <c r="I157" s="995"/>
      <c r="J157" s="995"/>
      <c r="K157" s="995"/>
      <c r="L157" s="995"/>
      <c r="M157" s="995"/>
      <c r="N157" s="995"/>
      <c r="O157" s="995"/>
      <c r="P157" s="995"/>
      <c r="Q157" s="995"/>
      <c r="R157" s="995"/>
      <c r="S157" s="995"/>
      <c r="T157" s="995"/>
      <c r="U157" s="995"/>
      <c r="V157" s="995"/>
      <c r="W157" s="995"/>
      <c r="X157" s="995"/>
      <c r="Y157" s="995"/>
      <c r="Z157" s="995"/>
      <c r="AA157" s="995"/>
      <c r="AB157" s="995"/>
      <c r="AC157" s="995"/>
      <c r="AD157" s="995"/>
      <c r="AE157" s="995"/>
      <c r="AF157" s="995"/>
      <c r="AG157" s="995"/>
      <c r="AH157" s="995"/>
      <c r="AI157" s="995"/>
      <c r="AJ157" s="995"/>
    </row>
    <row r="158" spans="2:36" x14ac:dyDescent="0.25">
      <c r="B158" s="687"/>
      <c r="C158" s="687"/>
      <c r="D158" s="687"/>
      <c r="E158" s="995"/>
      <c r="F158" s="995"/>
      <c r="G158" s="995"/>
      <c r="H158" s="995"/>
      <c r="I158" s="995"/>
      <c r="J158" s="995"/>
      <c r="K158" s="995"/>
      <c r="L158" s="995"/>
      <c r="M158" s="995"/>
      <c r="N158" s="995"/>
      <c r="O158" s="995"/>
      <c r="P158" s="995"/>
      <c r="Q158" s="995"/>
      <c r="R158" s="995"/>
      <c r="S158" s="995"/>
      <c r="T158" s="995"/>
      <c r="U158" s="995"/>
      <c r="V158" s="995"/>
      <c r="W158" s="995"/>
      <c r="X158" s="995"/>
      <c r="Y158" s="995"/>
      <c r="Z158" s="995"/>
      <c r="AA158" s="995"/>
      <c r="AB158" s="995"/>
      <c r="AC158" s="995"/>
      <c r="AD158" s="995"/>
      <c r="AE158" s="995"/>
      <c r="AF158" s="995"/>
      <c r="AG158" s="995"/>
      <c r="AH158" s="995"/>
      <c r="AI158" s="995"/>
      <c r="AJ158" s="995"/>
    </row>
    <row r="159" spans="2:36" x14ac:dyDescent="0.25">
      <c r="B159" s="687"/>
      <c r="C159" s="687"/>
      <c r="D159" s="687"/>
      <c r="E159" s="995"/>
      <c r="F159" s="995"/>
      <c r="G159" s="995"/>
      <c r="H159" s="995"/>
      <c r="I159" s="995"/>
      <c r="J159" s="995"/>
      <c r="K159" s="995"/>
      <c r="L159" s="995"/>
      <c r="M159" s="995"/>
      <c r="N159" s="995"/>
      <c r="O159" s="995"/>
      <c r="P159" s="995"/>
      <c r="Q159" s="995"/>
      <c r="R159" s="995"/>
      <c r="S159" s="995"/>
      <c r="T159" s="995"/>
      <c r="U159" s="995"/>
      <c r="V159" s="995"/>
      <c r="W159" s="995"/>
      <c r="X159" s="995"/>
      <c r="Y159" s="995"/>
      <c r="Z159" s="995"/>
      <c r="AA159" s="995"/>
      <c r="AB159" s="995"/>
      <c r="AC159" s="995"/>
      <c r="AD159" s="995"/>
      <c r="AE159" s="995"/>
      <c r="AF159" s="995"/>
      <c r="AG159" s="995"/>
      <c r="AH159" s="995"/>
      <c r="AI159" s="995"/>
      <c r="AJ159" s="995"/>
    </row>
    <row r="160" spans="2:36" x14ac:dyDescent="0.25">
      <c r="B160" s="687"/>
      <c r="C160" s="687"/>
      <c r="D160" s="687"/>
      <c r="E160" s="995"/>
      <c r="F160" s="995"/>
      <c r="G160" s="995"/>
      <c r="H160" s="995"/>
      <c r="I160" s="995"/>
      <c r="J160" s="995"/>
      <c r="K160" s="995"/>
      <c r="L160" s="995"/>
      <c r="M160" s="995"/>
      <c r="N160" s="995"/>
      <c r="O160" s="995"/>
      <c r="P160" s="995"/>
      <c r="Q160" s="995"/>
      <c r="R160" s="995"/>
      <c r="S160" s="995"/>
      <c r="T160" s="995"/>
      <c r="U160" s="995"/>
      <c r="V160" s="995"/>
      <c r="W160" s="995"/>
      <c r="X160" s="995"/>
      <c r="Y160" s="995"/>
      <c r="Z160" s="995"/>
      <c r="AA160" s="995"/>
      <c r="AB160" s="995"/>
      <c r="AC160" s="995"/>
      <c r="AD160" s="995"/>
      <c r="AE160" s="995"/>
      <c r="AF160" s="995"/>
      <c r="AG160" s="995"/>
      <c r="AH160" s="995"/>
      <c r="AI160" s="995"/>
      <c r="AJ160" s="995"/>
    </row>
    <row r="161" spans="2:36" x14ac:dyDescent="0.25">
      <c r="B161" s="687"/>
      <c r="C161" s="687"/>
      <c r="D161" s="687"/>
      <c r="E161" s="995"/>
      <c r="F161" s="995"/>
      <c r="G161" s="995"/>
      <c r="H161" s="995"/>
      <c r="I161" s="995"/>
      <c r="J161" s="995"/>
      <c r="K161" s="995"/>
      <c r="L161" s="995"/>
      <c r="M161" s="995"/>
      <c r="N161" s="995"/>
      <c r="O161" s="995"/>
      <c r="P161" s="995"/>
      <c r="Q161" s="995"/>
      <c r="R161" s="995"/>
      <c r="S161" s="995"/>
      <c r="T161" s="995"/>
      <c r="U161" s="995"/>
      <c r="V161" s="995"/>
      <c r="W161" s="995"/>
      <c r="X161" s="995"/>
      <c r="Y161" s="995"/>
      <c r="Z161" s="995"/>
      <c r="AA161" s="995"/>
      <c r="AB161" s="995"/>
      <c r="AC161" s="995"/>
      <c r="AD161" s="995"/>
      <c r="AE161" s="995"/>
      <c r="AF161" s="995"/>
      <c r="AG161" s="995"/>
      <c r="AH161" s="995"/>
      <c r="AI161" s="995"/>
      <c r="AJ161" s="995"/>
    </row>
    <row r="162" spans="2:36" x14ac:dyDescent="0.25">
      <c r="B162" s="687"/>
      <c r="C162" s="687"/>
      <c r="D162" s="687"/>
      <c r="E162" s="995"/>
      <c r="F162" s="995"/>
      <c r="G162" s="995"/>
      <c r="H162" s="995"/>
      <c r="I162" s="995"/>
      <c r="J162" s="995"/>
      <c r="K162" s="995"/>
      <c r="L162" s="995"/>
      <c r="M162" s="995"/>
      <c r="N162" s="995"/>
      <c r="O162" s="995"/>
      <c r="P162" s="995"/>
      <c r="Q162" s="995"/>
      <c r="R162" s="995"/>
      <c r="S162" s="995"/>
      <c r="T162" s="995"/>
      <c r="U162" s="995"/>
      <c r="V162" s="995"/>
      <c r="W162" s="995"/>
      <c r="X162" s="995"/>
      <c r="Y162" s="995"/>
      <c r="Z162" s="995"/>
      <c r="AA162" s="995"/>
      <c r="AB162" s="995"/>
      <c r="AC162" s="995"/>
      <c r="AD162" s="995"/>
      <c r="AE162" s="995"/>
      <c r="AF162" s="995"/>
      <c r="AG162" s="995"/>
      <c r="AH162" s="995"/>
      <c r="AI162" s="995"/>
      <c r="AJ162" s="995"/>
    </row>
    <row r="163" spans="2:36" x14ac:dyDescent="0.25">
      <c r="B163" s="687"/>
      <c r="C163" s="687"/>
      <c r="D163" s="687"/>
      <c r="E163" s="995"/>
      <c r="F163" s="995"/>
      <c r="G163" s="995"/>
      <c r="H163" s="995"/>
      <c r="I163" s="995"/>
      <c r="J163" s="995"/>
      <c r="K163" s="995"/>
      <c r="L163" s="995"/>
      <c r="M163" s="995"/>
      <c r="N163" s="995"/>
      <c r="O163" s="995"/>
      <c r="P163" s="995"/>
      <c r="Q163" s="995"/>
      <c r="R163" s="995"/>
      <c r="S163" s="995"/>
      <c r="T163" s="995"/>
      <c r="U163" s="995"/>
      <c r="V163" s="995"/>
      <c r="W163" s="995"/>
      <c r="X163" s="995"/>
      <c r="Y163" s="995"/>
      <c r="Z163" s="995"/>
      <c r="AA163" s="995"/>
      <c r="AB163" s="995"/>
      <c r="AC163" s="995"/>
      <c r="AD163" s="995"/>
      <c r="AE163" s="995"/>
      <c r="AF163" s="995"/>
      <c r="AG163" s="995"/>
      <c r="AH163" s="995"/>
      <c r="AI163" s="995"/>
      <c r="AJ163" s="995"/>
    </row>
    <row r="164" spans="2:36" x14ac:dyDescent="0.25">
      <c r="B164" s="687"/>
      <c r="C164" s="687"/>
      <c r="D164" s="687"/>
      <c r="E164" s="995"/>
      <c r="F164" s="995"/>
      <c r="G164" s="995"/>
      <c r="H164" s="995"/>
      <c r="I164" s="995"/>
      <c r="J164" s="995"/>
      <c r="K164" s="995"/>
      <c r="L164" s="995"/>
      <c r="M164" s="995"/>
      <c r="N164" s="995"/>
      <c r="O164" s="995"/>
      <c r="P164" s="995"/>
      <c r="Q164" s="995"/>
      <c r="R164" s="995"/>
      <c r="S164" s="995"/>
      <c r="T164" s="995"/>
      <c r="U164" s="995"/>
      <c r="V164" s="995"/>
      <c r="W164" s="995"/>
      <c r="X164" s="995"/>
      <c r="Y164" s="995"/>
      <c r="Z164" s="995"/>
      <c r="AA164" s="995"/>
      <c r="AB164" s="995"/>
      <c r="AC164" s="995"/>
      <c r="AD164" s="995"/>
      <c r="AE164" s="995"/>
      <c r="AF164" s="995"/>
      <c r="AG164" s="995"/>
      <c r="AH164" s="995"/>
      <c r="AI164" s="995"/>
      <c r="AJ164" s="995"/>
    </row>
    <row r="165" spans="2:36" x14ac:dyDescent="0.25">
      <c r="B165" s="687"/>
      <c r="C165" s="687"/>
      <c r="D165" s="687"/>
      <c r="E165" s="995"/>
      <c r="F165" s="995"/>
      <c r="G165" s="995"/>
      <c r="H165" s="995"/>
      <c r="I165" s="995"/>
      <c r="J165" s="995"/>
      <c r="K165" s="995"/>
      <c r="L165" s="995"/>
      <c r="M165" s="995"/>
      <c r="N165" s="995"/>
      <c r="O165" s="995"/>
      <c r="P165" s="995"/>
      <c r="Q165" s="995"/>
      <c r="R165" s="995"/>
      <c r="S165" s="995"/>
      <c r="T165" s="995"/>
      <c r="U165" s="995"/>
      <c r="V165" s="995"/>
      <c r="W165" s="995"/>
      <c r="X165" s="995"/>
      <c r="Y165" s="995"/>
      <c r="Z165" s="995"/>
      <c r="AA165" s="995"/>
      <c r="AB165" s="995"/>
      <c r="AC165" s="995"/>
      <c r="AD165" s="995"/>
      <c r="AE165" s="995"/>
      <c r="AF165" s="995"/>
      <c r="AG165" s="995"/>
      <c r="AH165" s="995"/>
      <c r="AI165" s="995"/>
      <c r="AJ165" s="995"/>
    </row>
    <row r="166" spans="2:36" x14ac:dyDescent="0.25">
      <c r="B166" s="687"/>
      <c r="C166" s="687"/>
      <c r="D166" s="687"/>
      <c r="E166" s="995"/>
      <c r="F166" s="995"/>
      <c r="G166" s="995"/>
      <c r="H166" s="995"/>
      <c r="I166" s="995"/>
      <c r="J166" s="995"/>
      <c r="K166" s="995"/>
      <c r="L166" s="995"/>
      <c r="M166" s="995"/>
      <c r="N166" s="995"/>
      <c r="O166" s="995"/>
      <c r="P166" s="995"/>
      <c r="Q166" s="995"/>
      <c r="R166" s="995"/>
      <c r="S166" s="995"/>
      <c r="T166" s="995"/>
      <c r="U166" s="995"/>
      <c r="V166" s="995"/>
      <c r="W166" s="995"/>
      <c r="X166" s="995"/>
      <c r="Y166" s="995"/>
      <c r="Z166" s="995"/>
      <c r="AA166" s="995"/>
      <c r="AB166" s="995"/>
      <c r="AC166" s="995"/>
      <c r="AD166" s="995"/>
      <c r="AE166" s="995"/>
      <c r="AF166" s="995"/>
      <c r="AG166" s="995"/>
      <c r="AH166" s="995"/>
      <c r="AI166" s="995"/>
      <c r="AJ166" s="995"/>
    </row>
    <row r="167" spans="2:36" x14ac:dyDescent="0.25">
      <c r="B167" s="687"/>
      <c r="C167" s="687"/>
      <c r="D167" s="687"/>
      <c r="E167" s="995"/>
      <c r="F167" s="995"/>
      <c r="G167" s="995"/>
      <c r="H167" s="995"/>
      <c r="I167" s="995"/>
      <c r="J167" s="995"/>
      <c r="K167" s="995"/>
      <c r="L167" s="995"/>
      <c r="M167" s="995"/>
      <c r="N167" s="995"/>
      <c r="O167" s="995"/>
      <c r="P167" s="995"/>
      <c r="Q167" s="995"/>
      <c r="R167" s="995"/>
      <c r="S167" s="995"/>
      <c r="T167" s="995"/>
      <c r="U167" s="995"/>
      <c r="V167" s="995"/>
      <c r="W167" s="995"/>
      <c r="X167" s="995"/>
      <c r="Y167" s="995"/>
      <c r="Z167" s="995"/>
      <c r="AA167" s="995"/>
      <c r="AB167" s="995"/>
      <c r="AC167" s="995"/>
      <c r="AD167" s="995"/>
      <c r="AE167" s="995"/>
      <c r="AF167" s="995"/>
      <c r="AG167" s="995"/>
      <c r="AH167" s="995"/>
      <c r="AI167" s="995"/>
      <c r="AJ167" s="995"/>
    </row>
    <row r="168" spans="2:36" x14ac:dyDescent="0.25">
      <c r="B168" s="687"/>
      <c r="C168" s="687"/>
      <c r="D168" s="687"/>
      <c r="E168" s="995"/>
      <c r="F168" s="995"/>
      <c r="G168" s="995"/>
      <c r="H168" s="995"/>
      <c r="I168" s="995"/>
      <c r="J168" s="995"/>
      <c r="K168" s="995"/>
      <c r="L168" s="995"/>
      <c r="M168" s="995"/>
      <c r="N168" s="995"/>
      <c r="O168" s="995"/>
      <c r="P168" s="995"/>
      <c r="Q168" s="995"/>
      <c r="R168" s="995"/>
      <c r="S168" s="995"/>
      <c r="T168" s="995"/>
      <c r="U168" s="995"/>
      <c r="V168" s="995"/>
      <c r="W168" s="995"/>
      <c r="X168" s="995"/>
      <c r="Y168" s="995"/>
      <c r="Z168" s="995"/>
      <c r="AA168" s="995"/>
      <c r="AB168" s="995"/>
      <c r="AC168" s="995"/>
      <c r="AD168" s="995"/>
      <c r="AE168" s="995"/>
      <c r="AF168" s="995"/>
      <c r="AG168" s="995"/>
      <c r="AH168" s="995"/>
      <c r="AI168" s="995"/>
      <c r="AJ168" s="995"/>
    </row>
    <row r="169" spans="2:36" x14ac:dyDescent="0.25">
      <c r="B169" s="687"/>
      <c r="C169" s="687"/>
      <c r="D169" s="687"/>
      <c r="E169" s="995"/>
      <c r="F169" s="995"/>
      <c r="G169" s="995"/>
      <c r="H169" s="995"/>
      <c r="I169" s="995"/>
      <c r="J169" s="995"/>
      <c r="K169" s="995"/>
      <c r="L169" s="995"/>
      <c r="M169" s="995"/>
      <c r="N169" s="995"/>
      <c r="O169" s="995"/>
      <c r="P169" s="995"/>
      <c r="Q169" s="995"/>
      <c r="R169" s="995"/>
      <c r="S169" s="995"/>
      <c r="T169" s="995"/>
      <c r="U169" s="995"/>
      <c r="V169" s="995"/>
      <c r="W169" s="995"/>
      <c r="X169" s="995"/>
      <c r="Y169" s="995"/>
      <c r="Z169" s="995"/>
      <c r="AA169" s="995"/>
      <c r="AB169" s="995"/>
      <c r="AC169" s="995"/>
      <c r="AD169" s="995"/>
      <c r="AE169" s="995"/>
      <c r="AF169" s="995"/>
      <c r="AG169" s="995"/>
      <c r="AH169" s="995"/>
      <c r="AI169" s="995"/>
      <c r="AJ169" s="995"/>
    </row>
    <row r="170" spans="2:36" x14ac:dyDescent="0.25">
      <c r="B170" s="687"/>
      <c r="C170" s="687"/>
      <c r="D170" s="687"/>
      <c r="E170" s="995"/>
      <c r="F170" s="995"/>
      <c r="G170" s="995"/>
      <c r="H170" s="995"/>
      <c r="I170" s="995"/>
      <c r="J170" s="995"/>
      <c r="K170" s="995"/>
      <c r="L170" s="995"/>
      <c r="M170" s="995"/>
      <c r="N170" s="995"/>
      <c r="O170" s="995"/>
      <c r="P170" s="995"/>
      <c r="Q170" s="995"/>
      <c r="R170" s="995"/>
      <c r="S170" s="995"/>
      <c r="T170" s="995"/>
      <c r="U170" s="995"/>
      <c r="V170" s="995"/>
      <c r="W170" s="995"/>
      <c r="X170" s="995"/>
      <c r="Y170" s="995"/>
      <c r="Z170" s="995"/>
      <c r="AA170" s="995"/>
      <c r="AB170" s="995"/>
      <c r="AC170" s="995"/>
      <c r="AD170" s="995"/>
      <c r="AE170" s="995"/>
      <c r="AF170" s="995"/>
      <c r="AG170" s="995"/>
      <c r="AH170" s="995"/>
      <c r="AI170" s="995"/>
      <c r="AJ170" s="995"/>
    </row>
    <row r="171" spans="2:36" x14ac:dyDescent="0.25">
      <c r="B171" s="687"/>
      <c r="C171" s="687"/>
      <c r="D171" s="687"/>
      <c r="E171" s="995"/>
      <c r="F171" s="995"/>
      <c r="G171" s="995"/>
      <c r="H171" s="995"/>
      <c r="I171" s="995"/>
      <c r="J171" s="995"/>
      <c r="K171" s="995"/>
      <c r="L171" s="995"/>
      <c r="M171" s="995"/>
      <c r="N171" s="995"/>
      <c r="O171" s="995"/>
      <c r="P171" s="995"/>
      <c r="Q171" s="995"/>
      <c r="R171" s="995"/>
      <c r="S171" s="995"/>
      <c r="T171" s="995"/>
      <c r="U171" s="995"/>
      <c r="V171" s="995"/>
      <c r="W171" s="995"/>
      <c r="X171" s="995"/>
      <c r="Y171" s="995"/>
      <c r="Z171" s="995"/>
      <c r="AA171" s="995"/>
      <c r="AB171" s="995"/>
      <c r="AC171" s="995"/>
      <c r="AD171" s="995"/>
      <c r="AE171" s="995"/>
      <c r="AF171" s="995"/>
      <c r="AG171" s="995"/>
      <c r="AH171" s="995"/>
      <c r="AI171" s="995"/>
      <c r="AJ171" s="995"/>
    </row>
    <row r="172" spans="2:36" x14ac:dyDescent="0.25">
      <c r="B172" s="687"/>
      <c r="C172" s="687"/>
      <c r="D172" s="687"/>
      <c r="E172" s="995"/>
      <c r="F172" s="995"/>
      <c r="G172" s="995"/>
      <c r="H172" s="995"/>
      <c r="I172" s="995"/>
      <c r="J172" s="995"/>
      <c r="K172" s="995"/>
      <c r="L172" s="995"/>
      <c r="M172" s="995"/>
      <c r="N172" s="995"/>
      <c r="O172" s="995"/>
      <c r="P172" s="995"/>
      <c r="Q172" s="995"/>
      <c r="R172" s="995"/>
      <c r="S172" s="995"/>
      <c r="T172" s="995"/>
      <c r="U172" s="995"/>
      <c r="V172" s="995"/>
      <c r="W172" s="995"/>
      <c r="X172" s="995"/>
      <c r="Y172" s="995"/>
      <c r="Z172" s="995"/>
      <c r="AA172" s="995"/>
      <c r="AB172" s="995"/>
      <c r="AC172" s="995"/>
      <c r="AD172" s="995"/>
      <c r="AE172" s="995"/>
      <c r="AF172" s="995"/>
      <c r="AG172" s="995"/>
      <c r="AH172" s="995"/>
      <c r="AI172" s="995"/>
      <c r="AJ172" s="995"/>
    </row>
    <row r="173" spans="2:36" x14ac:dyDescent="0.25">
      <c r="B173" s="687"/>
      <c r="C173" s="687"/>
      <c r="D173" s="687"/>
      <c r="E173" s="995"/>
      <c r="F173" s="995"/>
      <c r="G173" s="995"/>
      <c r="H173" s="995"/>
      <c r="I173" s="995"/>
      <c r="J173" s="995"/>
      <c r="K173" s="995"/>
      <c r="L173" s="995"/>
      <c r="M173" s="995"/>
      <c r="N173" s="995"/>
      <c r="O173" s="995"/>
      <c r="P173" s="995"/>
      <c r="Q173" s="995"/>
      <c r="R173" s="995"/>
      <c r="S173" s="995"/>
      <c r="T173" s="995"/>
      <c r="U173" s="995"/>
      <c r="V173" s="995"/>
      <c r="W173" s="995"/>
      <c r="X173" s="995"/>
      <c r="Y173" s="995"/>
      <c r="Z173" s="995"/>
      <c r="AA173" s="995"/>
      <c r="AB173" s="995"/>
      <c r="AC173" s="995"/>
      <c r="AD173" s="995"/>
      <c r="AE173" s="995"/>
      <c r="AF173" s="995"/>
      <c r="AG173" s="995"/>
      <c r="AH173" s="995"/>
      <c r="AI173" s="995"/>
      <c r="AJ173" s="995"/>
    </row>
    <row r="174" spans="2:36" x14ac:dyDescent="0.25">
      <c r="B174" s="687"/>
      <c r="C174" s="687"/>
      <c r="D174" s="687"/>
      <c r="E174" s="995"/>
      <c r="F174" s="995"/>
      <c r="G174" s="995"/>
      <c r="H174" s="995"/>
      <c r="I174" s="995"/>
      <c r="J174" s="995"/>
      <c r="K174" s="995"/>
      <c r="L174" s="995"/>
      <c r="M174" s="995"/>
      <c r="N174" s="995"/>
      <c r="O174" s="995"/>
      <c r="P174" s="995"/>
      <c r="Q174" s="995"/>
      <c r="R174" s="995"/>
      <c r="S174" s="995"/>
      <c r="T174" s="995"/>
      <c r="U174" s="995"/>
      <c r="V174" s="995"/>
      <c r="W174" s="995"/>
      <c r="X174" s="995"/>
      <c r="Y174" s="995"/>
      <c r="Z174" s="995"/>
      <c r="AA174" s="995"/>
      <c r="AB174" s="995"/>
      <c r="AC174" s="995"/>
      <c r="AD174" s="995"/>
      <c r="AE174" s="995"/>
      <c r="AF174" s="995"/>
      <c r="AG174" s="995"/>
      <c r="AH174" s="995"/>
      <c r="AI174" s="995"/>
      <c r="AJ174" s="995"/>
    </row>
    <row r="175" spans="2:36" x14ac:dyDescent="0.25">
      <c r="B175" s="687"/>
      <c r="C175" s="687"/>
      <c r="D175" s="687"/>
      <c r="E175" s="995"/>
      <c r="F175" s="995"/>
      <c r="G175" s="995"/>
      <c r="H175" s="995"/>
      <c r="I175" s="995"/>
      <c r="J175" s="995"/>
      <c r="K175" s="995"/>
      <c r="L175" s="995"/>
      <c r="M175" s="995"/>
      <c r="N175" s="995"/>
      <c r="O175" s="995"/>
      <c r="P175" s="995"/>
      <c r="Q175" s="995"/>
      <c r="R175" s="995"/>
      <c r="S175" s="995"/>
      <c r="T175" s="995"/>
      <c r="U175" s="995"/>
      <c r="V175" s="995"/>
      <c r="W175" s="995"/>
      <c r="X175" s="995"/>
      <c r="Y175" s="995"/>
      <c r="Z175" s="995"/>
      <c r="AA175" s="995"/>
      <c r="AB175" s="995"/>
      <c r="AC175" s="995"/>
      <c r="AD175" s="995"/>
      <c r="AE175" s="995"/>
      <c r="AF175" s="995"/>
      <c r="AG175" s="995"/>
      <c r="AH175" s="995"/>
      <c r="AI175" s="995"/>
      <c r="AJ175" s="995"/>
    </row>
    <row r="176" spans="2:36" x14ac:dyDescent="0.25">
      <c r="B176" s="687"/>
      <c r="C176" s="687"/>
      <c r="D176" s="687"/>
      <c r="E176" s="995"/>
      <c r="F176" s="995"/>
      <c r="G176" s="995"/>
      <c r="H176" s="995"/>
      <c r="I176" s="995"/>
      <c r="J176" s="995"/>
      <c r="K176" s="995"/>
      <c r="L176" s="995"/>
      <c r="M176" s="995"/>
      <c r="N176" s="995"/>
      <c r="O176" s="995"/>
      <c r="P176" s="995"/>
      <c r="Q176" s="995"/>
      <c r="R176" s="995"/>
      <c r="S176" s="995"/>
      <c r="T176" s="995"/>
      <c r="U176" s="995"/>
      <c r="V176" s="995"/>
      <c r="W176" s="995"/>
      <c r="X176" s="995"/>
      <c r="Y176" s="995"/>
      <c r="Z176" s="995"/>
      <c r="AA176" s="995"/>
      <c r="AB176" s="995"/>
      <c r="AC176" s="995"/>
      <c r="AD176" s="995"/>
      <c r="AE176" s="995"/>
      <c r="AF176" s="995"/>
      <c r="AG176" s="995"/>
      <c r="AH176" s="995"/>
      <c r="AI176" s="995"/>
      <c r="AJ176" s="995"/>
    </row>
    <row r="177" spans="2:36" x14ac:dyDescent="0.25">
      <c r="B177" s="687"/>
      <c r="C177" s="687"/>
      <c r="D177" s="687"/>
      <c r="E177" s="995"/>
      <c r="F177" s="995"/>
      <c r="G177" s="995"/>
      <c r="H177" s="995"/>
      <c r="I177" s="995"/>
      <c r="J177" s="995"/>
      <c r="K177" s="995"/>
      <c r="L177" s="995"/>
      <c r="M177" s="995"/>
      <c r="N177" s="995"/>
      <c r="O177" s="995"/>
      <c r="P177" s="995"/>
      <c r="Q177" s="995"/>
      <c r="R177" s="995"/>
      <c r="S177" s="995"/>
      <c r="T177" s="995"/>
      <c r="U177" s="995"/>
      <c r="V177" s="995"/>
      <c r="W177" s="995"/>
      <c r="X177" s="995"/>
      <c r="Y177" s="995"/>
      <c r="Z177" s="995"/>
      <c r="AA177" s="995"/>
      <c r="AB177" s="995"/>
      <c r="AC177" s="995"/>
      <c r="AD177" s="995"/>
      <c r="AE177" s="995"/>
      <c r="AF177" s="995"/>
      <c r="AG177" s="995"/>
      <c r="AH177" s="995"/>
      <c r="AI177" s="995"/>
      <c r="AJ177" s="995"/>
    </row>
    <row r="178" spans="2:36" x14ac:dyDescent="0.25">
      <c r="B178" s="687"/>
      <c r="C178" s="687"/>
      <c r="D178" s="687"/>
      <c r="E178" s="995"/>
      <c r="F178" s="995"/>
      <c r="G178" s="995"/>
      <c r="H178" s="995"/>
      <c r="I178" s="995"/>
      <c r="J178" s="995"/>
      <c r="K178" s="995"/>
      <c r="L178" s="995"/>
      <c r="M178" s="995"/>
      <c r="N178" s="995"/>
      <c r="O178" s="995"/>
      <c r="P178" s="995"/>
      <c r="Q178" s="995"/>
      <c r="R178" s="995"/>
      <c r="S178" s="995"/>
      <c r="T178" s="995"/>
      <c r="U178" s="995"/>
      <c r="V178" s="995"/>
      <c r="W178" s="995"/>
      <c r="X178" s="995"/>
      <c r="Y178" s="995"/>
      <c r="Z178" s="995"/>
      <c r="AA178" s="995"/>
      <c r="AB178" s="995"/>
      <c r="AC178" s="995"/>
      <c r="AD178" s="995"/>
      <c r="AE178" s="995"/>
      <c r="AF178" s="995"/>
      <c r="AG178" s="995"/>
      <c r="AH178" s="995"/>
      <c r="AI178" s="995"/>
      <c r="AJ178" s="995"/>
    </row>
    <row r="179" spans="2:36" x14ac:dyDescent="0.25">
      <c r="B179" s="687"/>
      <c r="C179" s="687"/>
      <c r="D179" s="687"/>
      <c r="E179" s="995"/>
      <c r="F179" s="995"/>
      <c r="G179" s="995"/>
      <c r="H179" s="995"/>
      <c r="I179" s="995"/>
      <c r="J179" s="995"/>
      <c r="K179" s="995"/>
      <c r="L179" s="995"/>
      <c r="M179" s="995"/>
      <c r="N179" s="995"/>
      <c r="O179" s="995"/>
      <c r="P179" s="995"/>
      <c r="Q179" s="995"/>
      <c r="R179" s="995"/>
      <c r="S179" s="995"/>
      <c r="T179" s="995"/>
      <c r="U179" s="995"/>
      <c r="V179" s="995"/>
      <c r="W179" s="995"/>
      <c r="X179" s="995"/>
      <c r="Y179" s="995"/>
      <c r="Z179" s="995"/>
      <c r="AA179" s="995"/>
      <c r="AB179" s="995"/>
      <c r="AC179" s="995"/>
      <c r="AD179" s="995"/>
      <c r="AE179" s="995"/>
      <c r="AF179" s="995"/>
      <c r="AG179" s="995"/>
      <c r="AH179" s="995"/>
      <c r="AI179" s="995"/>
      <c r="AJ179" s="995"/>
    </row>
    <row r="180" spans="2:36" x14ac:dyDescent="0.25">
      <c r="B180" s="687"/>
      <c r="C180" s="687"/>
      <c r="D180" s="687"/>
      <c r="E180" s="995"/>
      <c r="F180" s="995"/>
      <c r="G180" s="995"/>
      <c r="H180" s="995"/>
      <c r="I180" s="995"/>
      <c r="J180" s="995"/>
      <c r="K180" s="995"/>
      <c r="L180" s="995"/>
      <c r="M180" s="995"/>
      <c r="N180" s="995"/>
      <c r="O180" s="995"/>
      <c r="P180" s="995"/>
      <c r="Q180" s="995"/>
      <c r="R180" s="995"/>
      <c r="S180" s="995"/>
      <c r="T180" s="995"/>
      <c r="U180" s="995"/>
      <c r="V180" s="995"/>
      <c r="W180" s="995"/>
      <c r="X180" s="995"/>
      <c r="Y180" s="995"/>
      <c r="Z180" s="995"/>
      <c r="AA180" s="995"/>
      <c r="AB180" s="995"/>
      <c r="AC180" s="995"/>
      <c r="AD180" s="995"/>
      <c r="AE180" s="995"/>
      <c r="AF180" s="995"/>
      <c r="AG180" s="995"/>
      <c r="AH180" s="995"/>
      <c r="AI180" s="995"/>
      <c r="AJ180" s="995"/>
    </row>
    <row r="181" spans="2:36" x14ac:dyDescent="0.25">
      <c r="B181" s="687"/>
      <c r="C181" s="687"/>
      <c r="D181" s="687"/>
      <c r="E181" s="995"/>
      <c r="F181" s="995"/>
      <c r="G181" s="995"/>
      <c r="H181" s="995"/>
      <c r="I181" s="995"/>
      <c r="J181" s="995"/>
      <c r="K181" s="995"/>
      <c r="L181" s="995"/>
      <c r="M181" s="995"/>
      <c r="N181" s="995"/>
      <c r="O181" s="995"/>
      <c r="P181" s="995"/>
      <c r="Q181" s="995"/>
      <c r="R181" s="995"/>
      <c r="S181" s="995"/>
      <c r="T181" s="995"/>
      <c r="U181" s="995"/>
      <c r="V181" s="995"/>
      <c r="W181" s="995"/>
      <c r="X181" s="995"/>
      <c r="Y181" s="995"/>
      <c r="Z181" s="995"/>
      <c r="AA181" s="995"/>
      <c r="AB181" s="995"/>
      <c r="AC181" s="995"/>
      <c r="AD181" s="995"/>
      <c r="AE181" s="995"/>
      <c r="AF181" s="995"/>
      <c r="AG181" s="995"/>
      <c r="AH181" s="995"/>
      <c r="AI181" s="995"/>
      <c r="AJ181" s="995"/>
    </row>
    <row r="182" spans="2:36" x14ac:dyDescent="0.25">
      <c r="B182" s="687"/>
      <c r="C182" s="687"/>
      <c r="D182" s="687"/>
      <c r="E182" s="995"/>
      <c r="F182" s="995"/>
      <c r="G182" s="995"/>
      <c r="H182" s="995"/>
      <c r="I182" s="995"/>
      <c r="J182" s="995"/>
      <c r="K182" s="995"/>
      <c r="L182" s="995"/>
      <c r="M182" s="995"/>
      <c r="N182" s="995"/>
      <c r="O182" s="995"/>
      <c r="P182" s="995"/>
      <c r="Q182" s="995"/>
      <c r="R182" s="995"/>
      <c r="S182" s="995"/>
      <c r="T182" s="995"/>
      <c r="U182" s="995"/>
      <c r="V182" s="995"/>
      <c r="W182" s="995"/>
      <c r="X182" s="995"/>
      <c r="Y182" s="995"/>
      <c r="Z182" s="995"/>
      <c r="AA182" s="995"/>
      <c r="AB182" s="995"/>
      <c r="AC182" s="995"/>
      <c r="AD182" s="995"/>
      <c r="AE182" s="995"/>
      <c r="AF182" s="995"/>
      <c r="AG182" s="995"/>
      <c r="AH182" s="995"/>
      <c r="AI182" s="995"/>
      <c r="AJ182" s="995"/>
    </row>
    <row r="183" spans="2:36" x14ac:dyDescent="0.25">
      <c r="B183" s="687"/>
      <c r="C183" s="687"/>
      <c r="D183" s="687"/>
      <c r="E183" s="995"/>
      <c r="F183" s="995"/>
      <c r="G183" s="995"/>
      <c r="H183" s="995"/>
      <c r="I183" s="995"/>
      <c r="J183" s="995"/>
      <c r="K183" s="995"/>
      <c r="L183" s="995"/>
      <c r="M183" s="995"/>
      <c r="N183" s="995"/>
      <c r="O183" s="995"/>
      <c r="P183" s="995"/>
      <c r="Q183" s="995"/>
      <c r="R183" s="995"/>
      <c r="S183" s="995"/>
      <c r="T183" s="995"/>
      <c r="U183" s="995"/>
      <c r="V183" s="995"/>
      <c r="W183" s="995"/>
      <c r="X183" s="995"/>
      <c r="Y183" s="995"/>
      <c r="Z183" s="995"/>
      <c r="AA183" s="995"/>
      <c r="AB183" s="995"/>
      <c r="AC183" s="995"/>
      <c r="AD183" s="995"/>
      <c r="AE183" s="995"/>
      <c r="AF183" s="995"/>
      <c r="AG183" s="995"/>
      <c r="AH183" s="995"/>
      <c r="AI183" s="995"/>
      <c r="AJ183" s="995"/>
    </row>
    <row r="184" spans="2:36" x14ac:dyDescent="0.25">
      <c r="B184" s="687"/>
      <c r="C184" s="687"/>
      <c r="D184" s="687"/>
      <c r="E184" s="995"/>
      <c r="F184" s="995"/>
      <c r="G184" s="995"/>
      <c r="H184" s="995"/>
      <c r="I184" s="995"/>
      <c r="J184" s="995"/>
      <c r="K184" s="995"/>
      <c r="L184" s="995"/>
      <c r="M184" s="995"/>
      <c r="N184" s="995"/>
      <c r="O184" s="995"/>
      <c r="P184" s="995"/>
      <c r="Q184" s="995"/>
      <c r="R184" s="995"/>
      <c r="S184" s="995"/>
      <c r="T184" s="995"/>
      <c r="U184" s="995"/>
      <c r="V184" s="995"/>
      <c r="W184" s="995"/>
      <c r="X184" s="995"/>
      <c r="Y184" s="995"/>
      <c r="Z184" s="995"/>
      <c r="AA184" s="995"/>
      <c r="AB184" s="995"/>
      <c r="AC184" s="995"/>
      <c r="AD184" s="995"/>
      <c r="AE184" s="995"/>
      <c r="AF184" s="995"/>
      <c r="AG184" s="995"/>
      <c r="AH184" s="995"/>
      <c r="AI184" s="995"/>
      <c r="AJ184" s="995"/>
    </row>
    <row r="185" spans="2:36" x14ac:dyDescent="0.25">
      <c r="B185" s="687"/>
      <c r="C185" s="687"/>
      <c r="D185" s="687"/>
      <c r="E185" s="995"/>
      <c r="F185" s="995"/>
      <c r="G185" s="995"/>
      <c r="H185" s="995"/>
      <c r="I185" s="995"/>
      <c r="J185" s="995"/>
      <c r="K185" s="995"/>
      <c r="L185" s="995"/>
      <c r="M185" s="995"/>
      <c r="N185" s="995"/>
      <c r="O185" s="995"/>
      <c r="P185" s="995"/>
      <c r="Q185" s="995"/>
      <c r="R185" s="995"/>
      <c r="S185" s="995"/>
      <c r="T185" s="995"/>
      <c r="U185" s="995"/>
      <c r="V185" s="995"/>
      <c r="W185" s="995"/>
      <c r="X185" s="995"/>
      <c r="Y185" s="995"/>
      <c r="Z185" s="995"/>
      <c r="AA185" s="995"/>
      <c r="AB185" s="995"/>
      <c r="AC185" s="995"/>
      <c r="AD185" s="995"/>
      <c r="AE185" s="995"/>
      <c r="AF185" s="995"/>
      <c r="AG185" s="995"/>
      <c r="AH185" s="995"/>
      <c r="AI185" s="995"/>
      <c r="AJ185" s="995"/>
    </row>
    <row r="186" spans="2:36" x14ac:dyDescent="0.25">
      <c r="B186" s="687"/>
      <c r="C186" s="687"/>
      <c r="D186" s="687"/>
      <c r="E186" s="995"/>
      <c r="F186" s="995"/>
      <c r="G186" s="995"/>
      <c r="H186" s="995"/>
      <c r="I186" s="995"/>
      <c r="J186" s="995"/>
      <c r="K186" s="995"/>
      <c r="L186" s="995"/>
      <c r="M186" s="995"/>
      <c r="N186" s="995"/>
      <c r="O186" s="995"/>
      <c r="P186" s="995"/>
      <c r="Q186" s="995"/>
      <c r="R186" s="995"/>
      <c r="S186" s="995"/>
      <c r="T186" s="995"/>
      <c r="U186" s="995"/>
      <c r="V186" s="995"/>
      <c r="W186" s="995"/>
      <c r="X186" s="995"/>
      <c r="Y186" s="995"/>
      <c r="Z186" s="995"/>
      <c r="AA186" s="995"/>
      <c r="AB186" s="995"/>
      <c r="AC186" s="995"/>
      <c r="AD186" s="995"/>
      <c r="AE186" s="995"/>
      <c r="AF186" s="995"/>
      <c r="AG186" s="995"/>
      <c r="AH186" s="995"/>
      <c r="AI186" s="995"/>
      <c r="AJ186" s="995"/>
    </row>
    <row r="187" spans="2:36" x14ac:dyDescent="0.25">
      <c r="B187" s="687"/>
      <c r="C187" s="687"/>
      <c r="D187" s="687"/>
      <c r="E187" s="995"/>
      <c r="F187" s="995"/>
      <c r="G187" s="995"/>
      <c r="H187" s="995"/>
      <c r="I187" s="995"/>
      <c r="J187" s="995"/>
      <c r="K187" s="995"/>
      <c r="L187" s="995"/>
      <c r="M187" s="995"/>
      <c r="N187" s="995"/>
      <c r="O187" s="995"/>
      <c r="P187" s="995"/>
      <c r="Q187" s="995"/>
      <c r="R187" s="995"/>
      <c r="S187" s="995"/>
      <c r="T187" s="995"/>
      <c r="U187" s="995"/>
      <c r="V187" s="995"/>
      <c r="W187" s="995"/>
      <c r="X187" s="995"/>
      <c r="Y187" s="995"/>
      <c r="Z187" s="995"/>
      <c r="AA187" s="995"/>
      <c r="AB187" s="995"/>
      <c r="AC187" s="995"/>
      <c r="AD187" s="995"/>
      <c r="AE187" s="995"/>
      <c r="AF187" s="995"/>
      <c r="AG187" s="995"/>
      <c r="AH187" s="995"/>
      <c r="AI187" s="995"/>
      <c r="AJ187" s="995"/>
    </row>
    <row r="188" spans="2:36" x14ac:dyDescent="0.25">
      <c r="B188" s="687"/>
      <c r="C188" s="687"/>
      <c r="D188" s="687"/>
      <c r="E188" s="995"/>
      <c r="F188" s="995"/>
      <c r="G188" s="995"/>
      <c r="H188" s="995"/>
      <c r="I188" s="995"/>
      <c r="J188" s="995"/>
      <c r="K188" s="995"/>
      <c r="L188" s="995"/>
      <c r="M188" s="995"/>
      <c r="N188" s="995"/>
      <c r="O188" s="995"/>
      <c r="P188" s="995"/>
      <c r="Q188" s="995"/>
      <c r="R188" s="995"/>
      <c r="S188" s="995"/>
      <c r="T188" s="995"/>
      <c r="U188" s="995"/>
      <c r="V188" s="995"/>
      <c r="W188" s="995"/>
      <c r="X188" s="995"/>
      <c r="Y188" s="995"/>
      <c r="Z188" s="995"/>
      <c r="AA188" s="995"/>
      <c r="AB188" s="995"/>
      <c r="AC188" s="995"/>
      <c r="AD188" s="995"/>
      <c r="AE188" s="995"/>
      <c r="AF188" s="995"/>
      <c r="AG188" s="995"/>
      <c r="AH188" s="995"/>
      <c r="AI188" s="995"/>
      <c r="AJ188" s="995"/>
    </row>
    <row r="189" spans="2:36" x14ac:dyDescent="0.25">
      <c r="B189" s="687"/>
      <c r="C189" s="687"/>
      <c r="D189" s="687"/>
      <c r="E189" s="995"/>
      <c r="F189" s="995"/>
      <c r="G189" s="995"/>
      <c r="H189" s="995"/>
      <c r="I189" s="995"/>
      <c r="J189" s="995"/>
      <c r="K189" s="995"/>
      <c r="L189" s="995"/>
      <c r="M189" s="995"/>
      <c r="N189" s="995"/>
      <c r="O189" s="995"/>
      <c r="P189" s="995"/>
      <c r="Q189" s="995"/>
      <c r="R189" s="995"/>
      <c r="S189" s="995"/>
      <c r="T189" s="995"/>
      <c r="U189" s="995"/>
      <c r="V189" s="995"/>
      <c r="W189" s="995"/>
      <c r="X189" s="995"/>
      <c r="Y189" s="995"/>
      <c r="Z189" s="995"/>
      <c r="AA189" s="995"/>
      <c r="AB189" s="995"/>
      <c r="AC189" s="995"/>
      <c r="AD189" s="995"/>
      <c r="AE189" s="995"/>
      <c r="AF189" s="995"/>
      <c r="AG189" s="995"/>
      <c r="AH189" s="995"/>
      <c r="AI189" s="995"/>
      <c r="AJ189" s="995"/>
    </row>
    <row r="190" spans="2:36" x14ac:dyDescent="0.25">
      <c r="B190" s="687"/>
      <c r="C190" s="687"/>
      <c r="D190" s="687"/>
      <c r="E190" s="995"/>
      <c r="F190" s="995"/>
      <c r="G190" s="995"/>
      <c r="H190" s="995"/>
      <c r="I190" s="995"/>
      <c r="J190" s="995"/>
      <c r="K190" s="995"/>
      <c r="L190" s="995"/>
      <c r="M190" s="995"/>
      <c r="N190" s="995"/>
      <c r="O190" s="995"/>
      <c r="P190" s="995"/>
      <c r="Q190" s="995"/>
      <c r="R190" s="995"/>
      <c r="S190" s="995"/>
      <c r="T190" s="995"/>
      <c r="U190" s="995"/>
      <c r="V190" s="995"/>
      <c r="W190" s="995"/>
      <c r="X190" s="995"/>
      <c r="Y190" s="995"/>
      <c r="Z190" s="995"/>
      <c r="AA190" s="995"/>
      <c r="AB190" s="995"/>
      <c r="AC190" s="995"/>
      <c r="AD190" s="995"/>
      <c r="AE190" s="995"/>
      <c r="AF190" s="995"/>
      <c r="AG190" s="995"/>
      <c r="AH190" s="995"/>
      <c r="AI190" s="995"/>
      <c r="AJ190" s="995"/>
    </row>
    <row r="191" spans="2:36" x14ac:dyDescent="0.25">
      <c r="B191" s="687"/>
      <c r="C191" s="687"/>
      <c r="D191" s="687"/>
      <c r="E191" s="995"/>
      <c r="F191" s="995"/>
      <c r="G191" s="995"/>
      <c r="H191" s="995"/>
      <c r="I191" s="995"/>
      <c r="J191" s="995"/>
      <c r="K191" s="995"/>
      <c r="L191" s="995"/>
      <c r="M191" s="995"/>
      <c r="N191" s="995"/>
      <c r="O191" s="995"/>
      <c r="P191" s="995"/>
      <c r="Q191" s="995"/>
      <c r="R191" s="995"/>
      <c r="S191" s="995"/>
      <c r="T191" s="995"/>
      <c r="U191" s="995"/>
      <c r="V191" s="995"/>
      <c r="W191" s="995"/>
      <c r="X191" s="995"/>
      <c r="Y191" s="995"/>
      <c r="Z191" s="995"/>
      <c r="AA191" s="995"/>
      <c r="AB191" s="995"/>
      <c r="AC191" s="995"/>
      <c r="AD191" s="995"/>
      <c r="AE191" s="995"/>
      <c r="AF191" s="995"/>
      <c r="AG191" s="995"/>
      <c r="AH191" s="995"/>
      <c r="AI191" s="995"/>
      <c r="AJ191" s="995"/>
    </row>
    <row r="192" spans="2:36" x14ac:dyDescent="0.25">
      <c r="B192" s="687"/>
      <c r="C192" s="687"/>
      <c r="D192" s="687"/>
      <c r="E192" s="995"/>
      <c r="F192" s="995"/>
      <c r="G192" s="995"/>
      <c r="H192" s="995"/>
      <c r="I192" s="995"/>
      <c r="J192" s="995"/>
      <c r="K192" s="995"/>
      <c r="L192" s="995"/>
      <c r="M192" s="995"/>
      <c r="N192" s="995"/>
      <c r="O192" s="995"/>
      <c r="P192" s="995"/>
      <c r="Q192" s="995"/>
      <c r="R192" s="995"/>
      <c r="S192" s="995"/>
      <c r="T192" s="995"/>
      <c r="U192" s="995"/>
      <c r="V192" s="995"/>
      <c r="W192" s="995"/>
      <c r="X192" s="995"/>
      <c r="Y192" s="995"/>
      <c r="Z192" s="995"/>
      <c r="AA192" s="995"/>
      <c r="AB192" s="995"/>
      <c r="AC192" s="995"/>
      <c r="AD192" s="995"/>
      <c r="AE192" s="995"/>
      <c r="AF192" s="995"/>
      <c r="AG192" s="995"/>
      <c r="AH192" s="995"/>
      <c r="AI192" s="995"/>
      <c r="AJ192" s="995"/>
    </row>
    <row r="193" spans="2:36" x14ac:dyDescent="0.25">
      <c r="B193" s="687"/>
      <c r="C193" s="687"/>
      <c r="D193" s="687"/>
      <c r="E193" s="995"/>
      <c r="F193" s="995"/>
      <c r="G193" s="995"/>
      <c r="H193" s="995"/>
      <c r="I193" s="995"/>
      <c r="J193" s="995"/>
      <c r="K193" s="995"/>
      <c r="L193" s="995"/>
      <c r="M193" s="995"/>
      <c r="N193" s="995"/>
      <c r="O193" s="995"/>
      <c r="P193" s="995"/>
      <c r="Q193" s="995"/>
      <c r="R193" s="995"/>
      <c r="S193" s="995"/>
      <c r="T193" s="995"/>
      <c r="U193" s="995"/>
      <c r="V193" s="995"/>
      <c r="W193" s="995"/>
      <c r="X193" s="995"/>
      <c r="Y193" s="995"/>
      <c r="Z193" s="995"/>
      <c r="AA193" s="995"/>
      <c r="AB193" s="995"/>
      <c r="AC193" s="995"/>
      <c r="AD193" s="995"/>
      <c r="AE193" s="995"/>
      <c r="AF193" s="995"/>
      <c r="AG193" s="995"/>
      <c r="AH193" s="995"/>
      <c r="AI193" s="995"/>
      <c r="AJ193" s="995"/>
    </row>
    <row r="194" spans="2:36" x14ac:dyDescent="0.25">
      <c r="B194" s="687"/>
      <c r="C194" s="687"/>
      <c r="D194" s="687"/>
      <c r="E194" s="995"/>
      <c r="F194" s="995"/>
      <c r="G194" s="995"/>
      <c r="H194" s="995"/>
      <c r="I194" s="995"/>
      <c r="J194" s="995"/>
      <c r="K194" s="995"/>
      <c r="L194" s="995"/>
      <c r="M194" s="995"/>
      <c r="N194" s="995"/>
      <c r="O194" s="995"/>
      <c r="P194" s="995"/>
      <c r="Q194" s="995"/>
      <c r="R194" s="995"/>
      <c r="S194" s="995"/>
      <c r="T194" s="995"/>
      <c r="U194" s="995"/>
      <c r="V194" s="995"/>
      <c r="W194" s="995"/>
      <c r="X194" s="995"/>
      <c r="Y194" s="995"/>
      <c r="Z194" s="995"/>
      <c r="AA194" s="995"/>
      <c r="AB194" s="995"/>
      <c r="AC194" s="995"/>
      <c r="AD194" s="995"/>
      <c r="AE194" s="995"/>
      <c r="AF194" s="995"/>
      <c r="AG194" s="995"/>
      <c r="AH194" s="995"/>
      <c r="AI194" s="995"/>
      <c r="AJ194" s="995"/>
    </row>
    <row r="195" spans="2:36" x14ac:dyDescent="0.25">
      <c r="B195" s="687"/>
      <c r="C195" s="687"/>
      <c r="D195" s="687"/>
      <c r="E195" s="995"/>
      <c r="F195" s="995"/>
      <c r="G195" s="995"/>
      <c r="H195" s="995"/>
      <c r="I195" s="995"/>
      <c r="J195" s="995"/>
      <c r="K195" s="995"/>
      <c r="L195" s="995"/>
      <c r="M195" s="995"/>
      <c r="N195" s="995"/>
      <c r="O195" s="995"/>
      <c r="P195" s="995"/>
      <c r="Q195" s="995"/>
      <c r="R195" s="995"/>
      <c r="S195" s="995"/>
      <c r="T195" s="995"/>
      <c r="U195" s="995"/>
      <c r="V195" s="995"/>
      <c r="W195" s="995"/>
      <c r="X195" s="995"/>
      <c r="Y195" s="995"/>
      <c r="Z195" s="995"/>
      <c r="AA195" s="995"/>
      <c r="AB195" s="995"/>
      <c r="AC195" s="995"/>
      <c r="AD195" s="995"/>
      <c r="AE195" s="995"/>
      <c r="AF195" s="995"/>
      <c r="AG195" s="995"/>
      <c r="AH195" s="995"/>
      <c r="AI195" s="995"/>
      <c r="AJ195" s="995"/>
    </row>
    <row r="196" spans="2:36" x14ac:dyDescent="0.25">
      <c r="B196" s="687"/>
      <c r="C196" s="687"/>
      <c r="D196" s="687"/>
      <c r="E196" s="995"/>
      <c r="F196" s="995"/>
      <c r="G196" s="995"/>
      <c r="H196" s="995"/>
      <c r="I196" s="995"/>
      <c r="J196" s="995"/>
      <c r="K196" s="995"/>
      <c r="L196" s="995"/>
      <c r="M196" s="995"/>
      <c r="N196" s="995"/>
      <c r="O196" s="995"/>
      <c r="P196" s="995"/>
      <c r="Q196" s="995"/>
      <c r="R196" s="995"/>
      <c r="S196" s="995"/>
      <c r="T196" s="995"/>
      <c r="U196" s="995"/>
      <c r="V196" s="995"/>
      <c r="W196" s="995"/>
      <c r="X196" s="995"/>
      <c r="Y196" s="995"/>
      <c r="Z196" s="995"/>
      <c r="AA196" s="995"/>
      <c r="AB196" s="995"/>
      <c r="AC196" s="995"/>
      <c r="AD196" s="995"/>
      <c r="AE196" s="995"/>
      <c r="AF196" s="995"/>
      <c r="AG196" s="995"/>
      <c r="AH196" s="995"/>
      <c r="AI196" s="995"/>
      <c r="AJ196" s="995"/>
    </row>
    <row r="197" spans="2:36" x14ac:dyDescent="0.25">
      <c r="B197" s="687"/>
      <c r="C197" s="687"/>
      <c r="D197" s="687"/>
      <c r="E197" s="995"/>
      <c r="F197" s="995"/>
      <c r="G197" s="995"/>
      <c r="H197" s="995"/>
      <c r="I197" s="995"/>
      <c r="J197" s="995"/>
      <c r="K197" s="995"/>
      <c r="L197" s="995"/>
      <c r="M197" s="995"/>
      <c r="N197" s="995"/>
      <c r="O197" s="995"/>
      <c r="P197" s="995"/>
      <c r="Q197" s="995"/>
      <c r="R197" s="995"/>
      <c r="S197" s="995"/>
      <c r="T197" s="995"/>
      <c r="U197" s="995"/>
      <c r="V197" s="995"/>
      <c r="W197" s="995"/>
      <c r="X197" s="995"/>
      <c r="Y197" s="995"/>
      <c r="Z197" s="995"/>
      <c r="AA197" s="995"/>
      <c r="AB197" s="995"/>
      <c r="AC197" s="995"/>
      <c r="AD197" s="995"/>
      <c r="AE197" s="995"/>
      <c r="AF197" s="995"/>
      <c r="AG197" s="995"/>
      <c r="AH197" s="995"/>
      <c r="AI197" s="995"/>
      <c r="AJ197" s="995"/>
    </row>
    <row r="198" spans="2:36" x14ac:dyDescent="0.25">
      <c r="B198" s="687"/>
      <c r="C198" s="687"/>
      <c r="D198" s="687"/>
      <c r="E198" s="995"/>
      <c r="F198" s="995"/>
      <c r="G198" s="995"/>
      <c r="H198" s="995"/>
      <c r="I198" s="995"/>
      <c r="J198" s="995"/>
      <c r="K198" s="995"/>
      <c r="L198" s="995"/>
      <c r="M198" s="995"/>
      <c r="N198" s="995"/>
      <c r="O198" s="995"/>
      <c r="P198" s="995"/>
      <c r="Q198" s="995"/>
      <c r="R198" s="995"/>
      <c r="S198" s="995"/>
      <c r="T198" s="995"/>
      <c r="U198" s="995"/>
      <c r="V198" s="995"/>
      <c r="W198" s="995"/>
      <c r="X198" s="995"/>
      <c r="Y198" s="995"/>
      <c r="Z198" s="995"/>
      <c r="AA198" s="995"/>
      <c r="AB198" s="995"/>
      <c r="AC198" s="995"/>
      <c r="AD198" s="995"/>
      <c r="AE198" s="995"/>
      <c r="AF198" s="995"/>
      <c r="AG198" s="995"/>
      <c r="AH198" s="995"/>
      <c r="AI198" s="995"/>
      <c r="AJ198" s="995"/>
    </row>
    <row r="199" spans="2:36" x14ac:dyDescent="0.25">
      <c r="B199" s="687"/>
      <c r="C199" s="687"/>
      <c r="D199" s="687"/>
      <c r="E199" s="995"/>
      <c r="F199" s="995"/>
      <c r="G199" s="995"/>
      <c r="H199" s="995"/>
      <c r="I199" s="995"/>
      <c r="J199" s="995"/>
      <c r="K199" s="995"/>
      <c r="L199" s="995"/>
      <c r="M199" s="995"/>
      <c r="N199" s="995"/>
      <c r="O199" s="995"/>
      <c r="P199" s="995"/>
      <c r="Q199" s="995"/>
      <c r="R199" s="995"/>
      <c r="S199" s="995"/>
      <c r="T199" s="995"/>
      <c r="U199" s="995"/>
      <c r="V199" s="995"/>
      <c r="W199" s="995"/>
      <c r="X199" s="995"/>
      <c r="Y199" s="995"/>
      <c r="Z199" s="995"/>
      <c r="AA199" s="995"/>
      <c r="AB199" s="995"/>
      <c r="AC199" s="995"/>
      <c r="AD199" s="995"/>
      <c r="AE199" s="995"/>
      <c r="AF199" s="995"/>
      <c r="AG199" s="995"/>
      <c r="AH199" s="995"/>
      <c r="AI199" s="995"/>
      <c r="AJ199" s="995"/>
    </row>
    <row r="200" spans="2:36" x14ac:dyDescent="0.25">
      <c r="B200" s="687"/>
      <c r="C200" s="687"/>
      <c r="D200" s="687"/>
      <c r="E200" s="995"/>
      <c r="F200" s="995"/>
      <c r="G200" s="995"/>
      <c r="H200" s="995"/>
      <c r="I200" s="995"/>
      <c r="J200" s="995"/>
      <c r="K200" s="995"/>
      <c r="L200" s="995"/>
      <c r="M200" s="995"/>
      <c r="N200" s="995"/>
      <c r="O200" s="995"/>
      <c r="P200" s="995"/>
      <c r="Q200" s="995"/>
      <c r="R200" s="995"/>
      <c r="S200" s="995"/>
      <c r="T200" s="995"/>
      <c r="U200" s="995"/>
      <c r="V200" s="995"/>
      <c r="W200" s="995"/>
      <c r="X200" s="995"/>
      <c r="Y200" s="995"/>
      <c r="Z200" s="995"/>
      <c r="AA200" s="995"/>
      <c r="AB200" s="995"/>
      <c r="AC200" s="995"/>
      <c r="AD200" s="995"/>
      <c r="AE200" s="995"/>
      <c r="AF200" s="995"/>
      <c r="AG200" s="995"/>
      <c r="AH200" s="995"/>
      <c r="AI200" s="995"/>
      <c r="AJ200" s="995"/>
    </row>
    <row r="201" spans="2:36" x14ac:dyDescent="0.25">
      <c r="B201" s="687"/>
      <c r="C201" s="687"/>
      <c r="D201" s="687"/>
      <c r="E201" s="995"/>
      <c r="F201" s="995"/>
      <c r="G201" s="995"/>
      <c r="H201" s="995"/>
      <c r="I201" s="995"/>
      <c r="J201" s="995"/>
      <c r="K201" s="995"/>
      <c r="L201" s="995"/>
      <c r="M201" s="995"/>
      <c r="N201" s="995"/>
      <c r="O201" s="995"/>
      <c r="P201" s="995"/>
      <c r="Q201" s="995"/>
      <c r="R201" s="995"/>
      <c r="S201" s="995"/>
      <c r="T201" s="995"/>
      <c r="U201" s="995"/>
      <c r="V201" s="995"/>
      <c r="W201" s="995"/>
      <c r="X201" s="995"/>
      <c r="Y201" s="995"/>
      <c r="Z201" s="995"/>
      <c r="AA201" s="995"/>
      <c r="AB201" s="995"/>
      <c r="AC201" s="995"/>
      <c r="AD201" s="995"/>
      <c r="AE201" s="995"/>
      <c r="AF201" s="995"/>
      <c r="AG201" s="995"/>
      <c r="AH201" s="995"/>
      <c r="AI201" s="995"/>
      <c r="AJ201" s="995"/>
    </row>
    <row r="202" spans="2:36" x14ac:dyDescent="0.25">
      <c r="B202" s="687"/>
      <c r="C202" s="687"/>
      <c r="D202" s="687"/>
      <c r="E202" s="995"/>
      <c r="F202" s="995"/>
      <c r="G202" s="995"/>
      <c r="H202" s="995"/>
      <c r="I202" s="995"/>
      <c r="J202" s="995"/>
      <c r="K202" s="995"/>
      <c r="L202" s="995"/>
      <c r="M202" s="995"/>
      <c r="N202" s="995"/>
      <c r="O202" s="995"/>
      <c r="P202" s="995"/>
      <c r="Q202" s="995"/>
      <c r="R202" s="995"/>
      <c r="S202" s="995"/>
      <c r="T202" s="995"/>
      <c r="U202" s="995"/>
      <c r="V202" s="995"/>
      <c r="W202" s="995"/>
      <c r="X202" s="995"/>
      <c r="Y202" s="995"/>
      <c r="Z202" s="995"/>
      <c r="AA202" s="995"/>
      <c r="AB202" s="995"/>
      <c r="AC202" s="995"/>
      <c r="AD202" s="995"/>
      <c r="AE202" s="995"/>
      <c r="AF202" s="995"/>
      <c r="AG202" s="995"/>
      <c r="AH202" s="995"/>
      <c r="AI202" s="995"/>
      <c r="AJ202" s="995"/>
    </row>
    <row r="203" spans="2:36" x14ac:dyDescent="0.25">
      <c r="B203" s="687"/>
      <c r="C203" s="687"/>
      <c r="D203" s="687"/>
      <c r="E203" s="995"/>
      <c r="F203" s="995"/>
      <c r="G203" s="995"/>
      <c r="H203" s="995"/>
      <c r="I203" s="995"/>
      <c r="J203" s="995"/>
      <c r="K203" s="995"/>
      <c r="L203" s="995"/>
      <c r="M203" s="995"/>
      <c r="N203" s="995"/>
      <c r="O203" s="995"/>
      <c r="P203" s="995"/>
      <c r="Q203" s="995"/>
      <c r="R203" s="995"/>
      <c r="S203" s="995"/>
      <c r="T203" s="995"/>
      <c r="U203" s="995"/>
      <c r="V203" s="995"/>
      <c r="W203" s="995"/>
      <c r="X203" s="995"/>
      <c r="Y203" s="995"/>
      <c r="Z203" s="995"/>
      <c r="AA203" s="995"/>
      <c r="AB203" s="995"/>
      <c r="AC203" s="995"/>
      <c r="AD203" s="995"/>
      <c r="AE203" s="995"/>
      <c r="AF203" s="995"/>
      <c r="AG203" s="995"/>
      <c r="AH203" s="995"/>
      <c r="AI203" s="995"/>
      <c r="AJ203" s="995"/>
    </row>
    <row r="204" spans="2:36" x14ac:dyDescent="0.25">
      <c r="B204" s="687"/>
      <c r="C204" s="687"/>
      <c r="D204" s="687"/>
      <c r="E204" s="995"/>
      <c r="F204" s="995"/>
      <c r="G204" s="995"/>
      <c r="H204" s="995"/>
      <c r="I204" s="995"/>
      <c r="J204" s="995"/>
      <c r="K204" s="995"/>
      <c r="L204" s="995"/>
      <c r="M204" s="995"/>
      <c r="N204" s="995"/>
      <c r="O204" s="995"/>
      <c r="P204" s="995"/>
      <c r="Q204" s="995"/>
      <c r="R204" s="995"/>
      <c r="S204" s="995"/>
      <c r="T204" s="995"/>
      <c r="U204" s="995"/>
      <c r="V204" s="995"/>
      <c r="W204" s="995"/>
      <c r="X204" s="995"/>
      <c r="Y204" s="995"/>
      <c r="Z204" s="995"/>
      <c r="AA204" s="995"/>
      <c r="AB204" s="995"/>
      <c r="AC204" s="995"/>
      <c r="AD204" s="995"/>
      <c r="AE204" s="995"/>
      <c r="AF204" s="995"/>
      <c r="AG204" s="995"/>
      <c r="AH204" s="995"/>
      <c r="AI204" s="995"/>
      <c r="AJ204" s="995"/>
    </row>
    <row r="205" spans="2:36" x14ac:dyDescent="0.25">
      <c r="B205" s="687"/>
      <c r="C205" s="687"/>
      <c r="D205" s="687"/>
      <c r="E205" s="995"/>
      <c r="F205" s="995"/>
      <c r="G205" s="995"/>
      <c r="H205" s="995"/>
      <c r="I205" s="995"/>
      <c r="J205" s="995"/>
      <c r="K205" s="995"/>
      <c r="L205" s="995"/>
      <c r="M205" s="995"/>
      <c r="N205" s="995"/>
      <c r="O205" s="995"/>
      <c r="P205" s="995"/>
      <c r="Q205" s="995"/>
      <c r="R205" s="995"/>
      <c r="S205" s="995"/>
      <c r="T205" s="995"/>
      <c r="U205" s="995"/>
      <c r="V205" s="995"/>
      <c r="W205" s="995"/>
      <c r="X205" s="995"/>
      <c r="Y205" s="995"/>
      <c r="Z205" s="995"/>
      <c r="AA205" s="995"/>
      <c r="AB205" s="995"/>
      <c r="AC205" s="995"/>
      <c r="AD205" s="995"/>
      <c r="AE205" s="995"/>
      <c r="AF205" s="995"/>
      <c r="AG205" s="995"/>
      <c r="AH205" s="995"/>
      <c r="AI205" s="995"/>
      <c r="AJ205" s="995"/>
    </row>
    <row r="206" spans="2:36" x14ac:dyDescent="0.25">
      <c r="B206" s="687"/>
      <c r="C206" s="687"/>
      <c r="D206" s="687"/>
      <c r="E206" s="995"/>
      <c r="F206" s="995"/>
      <c r="G206" s="995"/>
      <c r="H206" s="995"/>
      <c r="I206" s="995"/>
      <c r="J206" s="995"/>
      <c r="K206" s="995"/>
      <c r="L206" s="995"/>
      <c r="M206" s="995"/>
      <c r="N206" s="995"/>
      <c r="O206" s="995"/>
      <c r="P206" s="995"/>
      <c r="Q206" s="995"/>
      <c r="R206" s="995"/>
      <c r="S206" s="995"/>
      <c r="T206" s="995"/>
      <c r="U206" s="995"/>
      <c r="V206" s="995"/>
      <c r="W206" s="995"/>
      <c r="X206" s="995"/>
      <c r="Y206" s="995"/>
      <c r="Z206" s="995"/>
      <c r="AA206" s="995"/>
      <c r="AB206" s="995"/>
      <c r="AC206" s="995"/>
      <c r="AD206" s="995"/>
      <c r="AE206" s="995"/>
      <c r="AF206" s="995"/>
      <c r="AG206" s="995"/>
      <c r="AH206" s="995"/>
      <c r="AI206" s="995"/>
      <c r="AJ206" s="995"/>
    </row>
    <row r="207" spans="2:36" x14ac:dyDescent="0.25">
      <c r="B207" s="687"/>
      <c r="C207" s="687"/>
      <c r="D207" s="687"/>
      <c r="E207" s="995"/>
      <c r="F207" s="995"/>
      <c r="G207" s="995"/>
      <c r="H207" s="995"/>
      <c r="I207" s="995"/>
      <c r="J207" s="995"/>
      <c r="K207" s="995"/>
      <c r="L207" s="995"/>
      <c r="M207" s="995"/>
      <c r="N207" s="995"/>
      <c r="O207" s="995"/>
      <c r="P207" s="995"/>
      <c r="Q207" s="995"/>
      <c r="R207" s="995"/>
      <c r="S207" s="995"/>
      <c r="T207" s="995"/>
      <c r="U207" s="995"/>
      <c r="V207" s="995"/>
      <c r="W207" s="995"/>
      <c r="X207" s="995"/>
      <c r="Y207" s="995"/>
      <c r="Z207" s="995"/>
      <c r="AA207" s="995"/>
      <c r="AB207" s="995"/>
      <c r="AC207" s="995"/>
      <c r="AD207" s="995"/>
      <c r="AE207" s="995"/>
      <c r="AF207" s="995"/>
      <c r="AG207" s="995"/>
      <c r="AH207" s="995"/>
      <c r="AI207" s="995"/>
      <c r="AJ207" s="995"/>
    </row>
    <row r="208" spans="2:36" x14ac:dyDescent="0.25">
      <c r="B208" s="687"/>
      <c r="C208" s="687"/>
      <c r="D208" s="687"/>
      <c r="E208" s="995"/>
      <c r="F208" s="995"/>
      <c r="G208" s="995"/>
      <c r="H208" s="995"/>
      <c r="I208" s="995"/>
      <c r="J208" s="995"/>
      <c r="K208" s="995"/>
      <c r="L208" s="995"/>
      <c r="M208" s="995"/>
      <c r="N208" s="995"/>
      <c r="O208" s="995"/>
      <c r="P208" s="995"/>
      <c r="Q208" s="995"/>
      <c r="R208" s="995"/>
      <c r="S208" s="995"/>
      <c r="T208" s="995"/>
      <c r="U208" s="995"/>
      <c r="V208" s="995"/>
      <c r="W208" s="995"/>
      <c r="X208" s="995"/>
      <c r="Y208" s="995"/>
      <c r="Z208" s="995"/>
      <c r="AA208" s="995"/>
      <c r="AB208" s="995"/>
      <c r="AC208" s="995"/>
      <c r="AD208" s="995"/>
      <c r="AE208" s="995"/>
      <c r="AF208" s="995"/>
      <c r="AG208" s="995"/>
      <c r="AH208" s="995"/>
      <c r="AI208" s="995"/>
      <c r="AJ208" s="995"/>
    </row>
    <row r="209" spans="2:36" x14ac:dyDescent="0.25">
      <c r="B209" s="687"/>
      <c r="C209" s="687"/>
      <c r="D209" s="687"/>
      <c r="E209" s="995"/>
      <c r="F209" s="995"/>
      <c r="G209" s="995"/>
      <c r="H209" s="995"/>
      <c r="I209" s="995"/>
      <c r="J209" s="995"/>
      <c r="K209" s="995"/>
      <c r="L209" s="995"/>
      <c r="M209" s="995"/>
      <c r="N209" s="995"/>
      <c r="O209" s="995"/>
      <c r="P209" s="995"/>
      <c r="Q209" s="995"/>
      <c r="R209" s="995"/>
      <c r="S209" s="995"/>
      <c r="T209" s="995"/>
      <c r="U209" s="995"/>
      <c r="V209" s="995"/>
      <c r="W209" s="995"/>
      <c r="X209" s="995"/>
      <c r="Y209" s="995"/>
      <c r="Z209" s="995"/>
      <c r="AA209" s="995"/>
      <c r="AB209" s="995"/>
      <c r="AC209" s="995"/>
      <c r="AD209" s="995"/>
      <c r="AE209" s="995"/>
      <c r="AF209" s="995"/>
      <c r="AG209" s="995"/>
      <c r="AH209" s="995"/>
      <c r="AI209" s="995"/>
      <c r="AJ209" s="995"/>
    </row>
    <row r="210" spans="2:36" x14ac:dyDescent="0.25">
      <c r="B210" s="687"/>
      <c r="C210" s="687"/>
      <c r="D210" s="687"/>
      <c r="E210" s="995"/>
      <c r="F210" s="995"/>
      <c r="G210" s="995"/>
      <c r="H210" s="995"/>
      <c r="I210" s="995"/>
      <c r="J210" s="995"/>
      <c r="K210" s="995"/>
      <c r="L210" s="995"/>
      <c r="M210" s="995"/>
      <c r="N210" s="995"/>
      <c r="O210" s="995"/>
      <c r="P210" s="995"/>
      <c r="Q210" s="995"/>
      <c r="R210" s="995"/>
      <c r="S210" s="995"/>
      <c r="T210" s="995"/>
      <c r="U210" s="995"/>
      <c r="V210" s="995"/>
      <c r="W210" s="995"/>
      <c r="X210" s="995"/>
      <c r="Y210" s="995"/>
      <c r="Z210" s="995"/>
      <c r="AA210" s="995"/>
      <c r="AB210" s="995"/>
      <c r="AC210" s="995"/>
      <c r="AD210" s="995"/>
      <c r="AE210" s="995"/>
      <c r="AF210" s="995"/>
      <c r="AG210" s="995"/>
      <c r="AH210" s="995"/>
      <c r="AI210" s="995"/>
      <c r="AJ210" s="995"/>
    </row>
    <row r="211" spans="2:36" x14ac:dyDescent="0.25">
      <c r="B211" s="687"/>
      <c r="C211" s="687"/>
      <c r="D211" s="687"/>
      <c r="E211" s="995"/>
      <c r="F211" s="995"/>
      <c r="G211" s="995"/>
      <c r="H211" s="995"/>
      <c r="I211" s="995"/>
      <c r="J211" s="995"/>
      <c r="K211" s="995"/>
      <c r="L211" s="995"/>
      <c r="M211" s="995"/>
      <c r="N211" s="995"/>
      <c r="O211" s="995"/>
      <c r="P211" s="995"/>
      <c r="Q211" s="995"/>
      <c r="R211" s="995"/>
      <c r="S211" s="995"/>
      <c r="T211" s="995"/>
      <c r="U211" s="995"/>
      <c r="V211" s="995"/>
      <c r="W211" s="995"/>
      <c r="X211" s="995"/>
      <c r="Y211" s="995"/>
      <c r="Z211" s="995"/>
      <c r="AA211" s="995"/>
      <c r="AB211" s="995"/>
      <c r="AC211" s="995"/>
      <c r="AD211" s="995"/>
      <c r="AE211" s="995"/>
      <c r="AF211" s="995"/>
      <c r="AG211" s="995"/>
      <c r="AH211" s="995"/>
      <c r="AI211" s="995"/>
      <c r="AJ211" s="995"/>
    </row>
    <row r="212" spans="2:36" x14ac:dyDescent="0.25">
      <c r="B212" s="687"/>
      <c r="C212" s="687"/>
      <c r="D212" s="687"/>
      <c r="E212" s="995"/>
      <c r="F212" s="995"/>
      <c r="G212" s="995"/>
      <c r="H212" s="995"/>
      <c r="I212" s="995"/>
      <c r="J212" s="995"/>
      <c r="K212" s="995"/>
      <c r="L212" s="995"/>
      <c r="M212" s="995"/>
      <c r="N212" s="995"/>
      <c r="O212" s="995"/>
      <c r="P212" s="995"/>
      <c r="Q212" s="995"/>
      <c r="R212" s="995"/>
      <c r="S212" s="995"/>
      <c r="T212" s="995"/>
      <c r="U212" s="995"/>
      <c r="V212" s="995"/>
      <c r="W212" s="995"/>
      <c r="X212" s="995"/>
      <c r="Y212" s="995"/>
      <c r="Z212" s="995"/>
      <c r="AA212" s="995"/>
      <c r="AB212" s="995"/>
      <c r="AC212" s="995"/>
      <c r="AD212" s="995"/>
      <c r="AE212" s="995"/>
      <c r="AF212" s="995"/>
      <c r="AG212" s="995"/>
      <c r="AH212" s="995"/>
      <c r="AI212" s="995"/>
      <c r="AJ212" s="995"/>
    </row>
    <row r="213" spans="2:36" x14ac:dyDescent="0.25">
      <c r="B213" s="687"/>
      <c r="C213" s="687"/>
      <c r="D213" s="687"/>
      <c r="E213" s="995"/>
      <c r="F213" s="995"/>
      <c r="G213" s="995"/>
      <c r="H213" s="995"/>
      <c r="I213" s="995"/>
      <c r="J213" s="995"/>
      <c r="K213" s="995"/>
      <c r="L213" s="995"/>
      <c r="M213" s="995"/>
      <c r="N213" s="995"/>
      <c r="O213" s="995"/>
      <c r="P213" s="995"/>
      <c r="Q213" s="995"/>
      <c r="R213" s="995"/>
      <c r="S213" s="995"/>
      <c r="T213" s="995"/>
      <c r="U213" s="995"/>
      <c r="V213" s="995"/>
      <c r="W213" s="995"/>
      <c r="X213" s="995"/>
      <c r="Y213" s="995"/>
      <c r="Z213" s="995"/>
      <c r="AA213" s="995"/>
      <c r="AB213" s="995"/>
      <c r="AC213" s="995"/>
      <c r="AD213" s="995"/>
      <c r="AE213" s="995"/>
      <c r="AF213" s="995"/>
      <c r="AG213" s="995"/>
      <c r="AH213" s="995"/>
      <c r="AI213" s="995"/>
      <c r="AJ213" s="995"/>
    </row>
    <row r="214" spans="2:36" x14ac:dyDescent="0.25">
      <c r="B214" s="687"/>
      <c r="C214" s="687"/>
      <c r="D214" s="687"/>
      <c r="E214" s="995"/>
      <c r="F214" s="995"/>
      <c r="G214" s="995"/>
      <c r="H214" s="995"/>
      <c r="I214" s="995"/>
      <c r="J214" s="995"/>
      <c r="K214" s="995"/>
      <c r="L214" s="995"/>
      <c r="M214" s="995"/>
      <c r="N214" s="995"/>
      <c r="O214" s="995"/>
      <c r="P214" s="995"/>
      <c r="Q214" s="995"/>
      <c r="R214" s="995"/>
      <c r="S214" s="995"/>
      <c r="T214" s="995"/>
      <c r="U214" s="995"/>
      <c r="V214" s="995"/>
      <c r="W214" s="995"/>
      <c r="X214" s="995"/>
      <c r="Y214" s="995"/>
      <c r="Z214" s="995"/>
      <c r="AA214" s="995"/>
      <c r="AB214" s="995"/>
      <c r="AC214" s="995"/>
      <c r="AD214" s="995"/>
      <c r="AE214" s="995"/>
      <c r="AF214" s="995"/>
      <c r="AG214" s="995"/>
      <c r="AH214" s="995"/>
      <c r="AI214" s="995"/>
      <c r="AJ214" s="995"/>
    </row>
    <row r="215" spans="2:36" x14ac:dyDescent="0.25">
      <c r="B215" s="687"/>
      <c r="C215" s="687"/>
      <c r="D215" s="687"/>
      <c r="E215" s="995"/>
      <c r="F215" s="995"/>
      <c r="G215" s="995"/>
      <c r="H215" s="995"/>
      <c r="I215" s="995"/>
      <c r="J215" s="995"/>
      <c r="K215" s="995"/>
      <c r="L215" s="995"/>
      <c r="M215" s="995"/>
      <c r="N215" s="995"/>
      <c r="O215" s="995"/>
      <c r="P215" s="995"/>
      <c r="Q215" s="995"/>
      <c r="R215" s="995"/>
      <c r="S215" s="995"/>
      <c r="T215" s="995"/>
      <c r="U215" s="995"/>
      <c r="V215" s="995"/>
      <c r="W215" s="995"/>
      <c r="X215" s="995"/>
      <c r="Y215" s="995"/>
      <c r="Z215" s="995"/>
      <c r="AA215" s="995"/>
      <c r="AB215" s="995"/>
      <c r="AC215" s="995"/>
      <c r="AD215" s="995"/>
      <c r="AE215" s="995"/>
      <c r="AF215" s="995"/>
      <c r="AG215" s="995"/>
      <c r="AH215" s="995"/>
      <c r="AI215" s="995"/>
      <c r="AJ215" s="995"/>
    </row>
    <row r="216" spans="2:36" x14ac:dyDescent="0.25">
      <c r="B216" s="687"/>
      <c r="C216" s="687"/>
      <c r="D216" s="687"/>
      <c r="E216" s="995"/>
      <c r="F216" s="995"/>
      <c r="G216" s="995"/>
      <c r="H216" s="995"/>
      <c r="I216" s="995"/>
      <c r="J216" s="995"/>
      <c r="K216" s="995"/>
      <c r="L216" s="995"/>
      <c r="M216" s="995"/>
      <c r="N216" s="995"/>
      <c r="O216" s="995"/>
      <c r="P216" s="995"/>
      <c r="Q216" s="995"/>
      <c r="R216" s="995"/>
      <c r="S216" s="995"/>
      <c r="T216" s="995"/>
      <c r="U216" s="995"/>
      <c r="V216" s="995"/>
      <c r="W216" s="995"/>
      <c r="X216" s="995"/>
      <c r="Y216" s="995"/>
      <c r="Z216" s="995"/>
      <c r="AA216" s="995"/>
      <c r="AB216" s="995"/>
      <c r="AC216" s="995"/>
      <c r="AD216" s="995"/>
      <c r="AE216" s="995"/>
      <c r="AF216" s="995"/>
      <c r="AG216" s="995"/>
      <c r="AH216" s="995"/>
      <c r="AI216" s="995"/>
      <c r="AJ216" s="995"/>
    </row>
    <row r="217" spans="2:36" x14ac:dyDescent="0.25">
      <c r="B217" s="687"/>
      <c r="C217" s="687"/>
      <c r="D217" s="687"/>
      <c r="E217" s="995"/>
      <c r="F217" s="995"/>
      <c r="G217" s="995"/>
      <c r="H217" s="995"/>
      <c r="I217" s="995"/>
      <c r="J217" s="995"/>
      <c r="K217" s="995"/>
      <c r="L217" s="995"/>
      <c r="M217" s="995"/>
      <c r="N217" s="995"/>
      <c r="O217" s="995"/>
      <c r="P217" s="995"/>
      <c r="Q217" s="995"/>
      <c r="R217" s="995"/>
      <c r="S217" s="995"/>
      <c r="T217" s="995"/>
      <c r="U217" s="995"/>
      <c r="V217" s="995"/>
      <c r="W217" s="995"/>
      <c r="X217" s="995"/>
      <c r="Y217" s="995"/>
      <c r="Z217" s="995"/>
      <c r="AA217" s="995"/>
      <c r="AB217" s="995"/>
      <c r="AC217" s="995"/>
      <c r="AD217" s="995"/>
      <c r="AE217" s="995"/>
      <c r="AF217" s="995"/>
      <c r="AG217" s="995"/>
      <c r="AH217" s="995"/>
      <c r="AI217" s="995"/>
      <c r="AJ217" s="995"/>
    </row>
    <row r="218" spans="2:36" x14ac:dyDescent="0.25">
      <c r="B218" s="687"/>
      <c r="C218" s="687"/>
      <c r="D218" s="687"/>
      <c r="E218" s="995"/>
      <c r="F218" s="995"/>
      <c r="G218" s="995"/>
      <c r="H218" s="995"/>
      <c r="I218" s="995"/>
      <c r="J218" s="995"/>
      <c r="K218" s="995"/>
      <c r="L218" s="995"/>
      <c r="M218" s="995"/>
      <c r="N218" s="995"/>
      <c r="O218" s="995"/>
      <c r="P218" s="995"/>
      <c r="Q218" s="995"/>
      <c r="R218" s="995"/>
      <c r="S218" s="995"/>
      <c r="T218" s="995"/>
      <c r="U218" s="995"/>
      <c r="V218" s="995"/>
      <c r="W218" s="995"/>
      <c r="X218" s="995"/>
      <c r="Y218" s="995"/>
      <c r="Z218" s="995"/>
      <c r="AA218" s="995"/>
      <c r="AB218" s="995"/>
      <c r="AC218" s="995"/>
      <c r="AD218" s="995"/>
      <c r="AE218" s="995"/>
      <c r="AF218" s="995"/>
      <c r="AG218" s="995"/>
      <c r="AH218" s="995"/>
      <c r="AI218" s="995"/>
      <c r="AJ218" s="995"/>
    </row>
    <row r="219" spans="2:36" x14ac:dyDescent="0.25">
      <c r="B219" s="687"/>
      <c r="C219" s="687"/>
      <c r="D219" s="687"/>
      <c r="E219" s="995"/>
      <c r="F219" s="995"/>
      <c r="G219" s="995"/>
      <c r="H219" s="995"/>
      <c r="I219" s="995"/>
      <c r="J219" s="995"/>
      <c r="K219" s="995"/>
      <c r="L219" s="995"/>
      <c r="M219" s="995"/>
      <c r="N219" s="995"/>
      <c r="O219" s="995"/>
      <c r="P219" s="995"/>
      <c r="Q219" s="995"/>
      <c r="R219" s="995"/>
      <c r="S219" s="995"/>
      <c r="T219" s="995"/>
      <c r="U219" s="995"/>
      <c r="V219" s="995"/>
      <c r="W219" s="995"/>
      <c r="X219" s="995"/>
      <c r="Y219" s="995"/>
      <c r="Z219" s="995"/>
      <c r="AA219" s="995"/>
      <c r="AB219" s="995"/>
      <c r="AC219" s="995"/>
      <c r="AD219" s="995"/>
      <c r="AE219" s="995"/>
      <c r="AF219" s="995"/>
      <c r="AG219" s="995"/>
      <c r="AH219" s="995"/>
      <c r="AI219" s="995"/>
      <c r="AJ219" s="995"/>
    </row>
    <row r="220" spans="2:36" x14ac:dyDescent="0.25">
      <c r="B220" s="687"/>
      <c r="C220" s="687"/>
      <c r="D220" s="687"/>
      <c r="E220" s="995"/>
      <c r="F220" s="995"/>
      <c r="G220" s="995"/>
      <c r="H220" s="995"/>
      <c r="I220" s="995"/>
      <c r="J220" s="995"/>
      <c r="K220" s="995"/>
      <c r="L220" s="995"/>
      <c r="M220" s="995"/>
      <c r="N220" s="995"/>
      <c r="O220" s="995"/>
      <c r="P220" s="995"/>
      <c r="Q220" s="995"/>
      <c r="R220" s="995"/>
      <c r="S220" s="995"/>
      <c r="T220" s="995"/>
      <c r="U220" s="995"/>
      <c r="V220" s="995"/>
      <c r="W220" s="995"/>
      <c r="X220" s="995"/>
      <c r="Y220" s="995"/>
      <c r="Z220" s="995"/>
      <c r="AA220" s="995"/>
      <c r="AB220" s="995"/>
      <c r="AC220" s="995"/>
      <c r="AD220" s="995"/>
      <c r="AE220" s="995"/>
      <c r="AF220" s="995"/>
      <c r="AG220" s="995"/>
      <c r="AH220" s="995"/>
      <c r="AI220" s="995"/>
      <c r="AJ220" s="995"/>
    </row>
    <row r="221" spans="2:36" x14ac:dyDescent="0.25">
      <c r="B221" s="687"/>
      <c r="C221" s="687"/>
      <c r="D221" s="687"/>
      <c r="E221" s="995"/>
      <c r="F221" s="995"/>
      <c r="G221" s="995"/>
      <c r="H221" s="995"/>
      <c r="I221" s="995"/>
      <c r="J221" s="995"/>
      <c r="K221" s="995"/>
      <c r="L221" s="995"/>
      <c r="M221" s="995"/>
      <c r="N221" s="995"/>
      <c r="O221" s="995"/>
      <c r="P221" s="995"/>
      <c r="Q221" s="995"/>
      <c r="R221" s="995"/>
      <c r="S221" s="995"/>
      <c r="T221" s="995"/>
      <c r="U221" s="995"/>
      <c r="V221" s="995"/>
      <c r="W221" s="995"/>
      <c r="X221" s="995"/>
      <c r="Y221" s="995"/>
      <c r="Z221" s="995"/>
      <c r="AA221" s="995"/>
      <c r="AB221" s="995"/>
      <c r="AC221" s="995"/>
      <c r="AD221" s="995"/>
      <c r="AE221" s="995"/>
      <c r="AF221" s="995"/>
      <c r="AG221" s="995"/>
      <c r="AH221" s="995"/>
      <c r="AI221" s="995"/>
      <c r="AJ221" s="995"/>
    </row>
    <row r="222" spans="2:36" x14ac:dyDescent="0.25">
      <c r="B222" s="687"/>
      <c r="C222" s="687"/>
      <c r="D222" s="687"/>
      <c r="E222" s="995"/>
      <c r="F222" s="995"/>
      <c r="G222" s="995"/>
      <c r="H222" s="995"/>
      <c r="I222" s="995"/>
      <c r="J222" s="995"/>
      <c r="K222" s="995"/>
      <c r="L222" s="995"/>
      <c r="M222" s="995"/>
      <c r="N222" s="995"/>
      <c r="O222" s="995"/>
      <c r="P222" s="995"/>
      <c r="Q222" s="995"/>
      <c r="R222" s="995"/>
      <c r="S222" s="995"/>
      <c r="T222" s="995"/>
      <c r="U222" s="995"/>
      <c r="V222" s="995"/>
      <c r="W222" s="995"/>
      <c r="X222" s="995"/>
      <c r="Y222" s="995"/>
      <c r="Z222" s="995"/>
      <c r="AA222" s="995"/>
      <c r="AB222" s="995"/>
      <c r="AC222" s="995"/>
      <c r="AD222" s="995"/>
      <c r="AE222" s="995"/>
      <c r="AF222" s="995"/>
      <c r="AG222" s="995"/>
      <c r="AH222" s="995"/>
      <c r="AI222" s="995"/>
      <c r="AJ222" s="995"/>
    </row>
    <row r="223" spans="2:36" x14ac:dyDescent="0.25">
      <c r="B223" s="687"/>
      <c r="C223" s="687"/>
      <c r="D223" s="687"/>
      <c r="E223" s="995"/>
      <c r="F223" s="995"/>
      <c r="G223" s="995"/>
      <c r="H223" s="995"/>
      <c r="I223" s="995"/>
      <c r="J223" s="995"/>
      <c r="K223" s="995"/>
      <c r="L223" s="995"/>
      <c r="M223" s="995"/>
      <c r="N223" s="995"/>
      <c r="O223" s="995"/>
      <c r="P223" s="995"/>
      <c r="Q223" s="995"/>
      <c r="R223" s="995"/>
      <c r="S223" s="995"/>
      <c r="T223" s="995"/>
      <c r="U223" s="995"/>
      <c r="V223" s="995"/>
      <c r="W223" s="995"/>
      <c r="X223" s="995"/>
      <c r="Y223" s="995"/>
      <c r="Z223" s="995"/>
      <c r="AA223" s="995"/>
      <c r="AB223" s="995"/>
      <c r="AC223" s="995"/>
      <c r="AD223" s="995"/>
      <c r="AE223" s="995"/>
      <c r="AF223" s="995"/>
      <c r="AG223" s="995"/>
      <c r="AH223" s="995"/>
      <c r="AI223" s="995"/>
      <c r="AJ223" s="995"/>
    </row>
    <row r="224" spans="2:36" x14ac:dyDescent="0.25">
      <c r="B224" s="687"/>
      <c r="C224" s="687"/>
      <c r="D224" s="687"/>
      <c r="E224" s="995"/>
      <c r="F224" s="995"/>
      <c r="G224" s="995"/>
      <c r="H224" s="995"/>
      <c r="I224" s="995"/>
      <c r="J224" s="995"/>
      <c r="K224" s="995"/>
      <c r="L224" s="995"/>
      <c r="M224" s="995"/>
      <c r="N224" s="995"/>
      <c r="O224" s="995"/>
      <c r="P224" s="995"/>
      <c r="Q224" s="995"/>
      <c r="R224" s="995"/>
      <c r="S224" s="995"/>
      <c r="T224" s="995"/>
      <c r="U224" s="995"/>
      <c r="V224" s="995"/>
      <c r="W224" s="995"/>
      <c r="X224" s="995"/>
      <c r="Y224" s="995"/>
      <c r="Z224" s="995"/>
      <c r="AA224" s="995"/>
      <c r="AB224" s="995"/>
      <c r="AC224" s="995"/>
      <c r="AD224" s="995"/>
      <c r="AE224" s="995"/>
      <c r="AF224" s="995"/>
      <c r="AG224" s="995"/>
      <c r="AH224" s="995"/>
      <c r="AI224" s="995"/>
      <c r="AJ224" s="995"/>
    </row>
    <row r="225" spans="2:36" x14ac:dyDescent="0.25">
      <c r="B225" s="687"/>
      <c r="C225" s="687"/>
      <c r="D225" s="687"/>
      <c r="E225" s="995"/>
      <c r="F225" s="995"/>
      <c r="G225" s="995"/>
      <c r="H225" s="995"/>
      <c r="I225" s="995"/>
      <c r="J225" s="995"/>
      <c r="K225" s="995"/>
      <c r="L225" s="995"/>
      <c r="M225" s="995"/>
      <c r="N225" s="995"/>
      <c r="O225" s="995"/>
      <c r="P225" s="995"/>
      <c r="Q225" s="995"/>
      <c r="R225" s="995"/>
      <c r="S225" s="995"/>
      <c r="T225" s="995"/>
      <c r="U225" s="995"/>
      <c r="V225" s="995"/>
      <c r="W225" s="995"/>
      <c r="X225" s="995"/>
      <c r="Y225" s="995"/>
      <c r="Z225" s="995"/>
      <c r="AA225" s="995"/>
      <c r="AB225" s="995"/>
      <c r="AC225" s="995"/>
      <c r="AD225" s="995"/>
      <c r="AE225" s="995"/>
      <c r="AF225" s="995"/>
      <c r="AG225" s="995"/>
      <c r="AH225" s="995"/>
      <c r="AI225" s="995"/>
      <c r="AJ225" s="995"/>
    </row>
    <row r="226" spans="2:36" x14ac:dyDescent="0.25">
      <c r="B226" s="687"/>
      <c r="C226" s="687"/>
      <c r="D226" s="687"/>
      <c r="E226" s="995"/>
      <c r="F226" s="995"/>
      <c r="G226" s="995"/>
      <c r="H226" s="995"/>
      <c r="I226" s="995"/>
      <c r="J226" s="995"/>
      <c r="K226" s="995"/>
      <c r="L226" s="995"/>
      <c r="M226" s="995"/>
      <c r="N226" s="995"/>
      <c r="O226" s="995"/>
      <c r="P226" s="995"/>
      <c r="Q226" s="995"/>
      <c r="R226" s="995"/>
      <c r="S226" s="995"/>
      <c r="T226" s="995"/>
      <c r="U226" s="995"/>
      <c r="V226" s="995"/>
      <c r="W226" s="995"/>
      <c r="X226" s="995"/>
      <c r="Y226" s="995"/>
      <c r="Z226" s="995"/>
      <c r="AA226" s="995"/>
      <c r="AB226" s="995"/>
      <c r="AC226" s="995"/>
      <c r="AD226" s="995"/>
      <c r="AE226" s="995"/>
      <c r="AF226" s="995"/>
      <c r="AG226" s="995"/>
      <c r="AH226" s="995"/>
      <c r="AI226" s="995"/>
      <c r="AJ226" s="995"/>
    </row>
    <row r="227" spans="2:36" x14ac:dyDescent="0.25">
      <c r="B227" s="687"/>
      <c r="C227" s="687"/>
      <c r="D227" s="687"/>
      <c r="E227" s="995"/>
      <c r="F227" s="995"/>
      <c r="G227" s="995"/>
      <c r="H227" s="995"/>
      <c r="I227" s="995"/>
      <c r="J227" s="995"/>
      <c r="K227" s="995"/>
      <c r="L227" s="995"/>
      <c r="M227" s="995"/>
      <c r="N227" s="995"/>
      <c r="O227" s="995"/>
      <c r="P227" s="995"/>
      <c r="Q227" s="995"/>
      <c r="R227" s="995"/>
      <c r="S227" s="995"/>
      <c r="T227" s="995"/>
      <c r="U227" s="995"/>
      <c r="V227" s="995"/>
      <c r="W227" s="995"/>
      <c r="X227" s="995"/>
      <c r="Y227" s="995"/>
      <c r="Z227" s="995"/>
      <c r="AA227" s="995"/>
      <c r="AB227" s="995"/>
      <c r="AC227" s="995"/>
      <c r="AD227" s="995"/>
      <c r="AE227" s="995"/>
      <c r="AF227" s="995"/>
      <c r="AG227" s="995"/>
      <c r="AH227" s="995"/>
      <c r="AI227" s="995"/>
      <c r="AJ227" s="995"/>
    </row>
    <row r="228" spans="2:36" x14ac:dyDescent="0.25">
      <c r="B228" s="687"/>
      <c r="C228" s="687"/>
      <c r="D228" s="687"/>
      <c r="E228" s="995"/>
      <c r="F228" s="995"/>
      <c r="G228" s="995"/>
      <c r="H228" s="995"/>
      <c r="I228" s="995"/>
      <c r="J228" s="995"/>
      <c r="K228" s="995"/>
      <c r="L228" s="995"/>
      <c r="M228" s="995"/>
      <c r="N228" s="995"/>
      <c r="O228" s="995"/>
      <c r="P228" s="995"/>
      <c r="Q228" s="995"/>
      <c r="R228" s="995"/>
      <c r="S228" s="995"/>
      <c r="T228" s="995"/>
      <c r="U228" s="995"/>
      <c r="V228" s="995"/>
      <c r="W228" s="995"/>
      <c r="X228" s="995"/>
      <c r="Y228" s="995"/>
      <c r="Z228" s="995"/>
      <c r="AA228" s="995"/>
      <c r="AB228" s="995"/>
      <c r="AC228" s="995"/>
      <c r="AD228" s="995"/>
      <c r="AE228" s="995"/>
      <c r="AF228" s="995"/>
      <c r="AG228" s="995"/>
      <c r="AH228" s="995"/>
      <c r="AI228" s="995"/>
      <c r="AJ228" s="995"/>
    </row>
    <row r="229" spans="2:36" x14ac:dyDescent="0.25">
      <c r="B229" s="687"/>
      <c r="C229" s="687"/>
      <c r="D229" s="687"/>
      <c r="E229" s="995"/>
      <c r="F229" s="995"/>
      <c r="G229" s="995"/>
      <c r="H229" s="995"/>
      <c r="I229" s="995"/>
      <c r="J229" s="995"/>
      <c r="K229" s="995"/>
      <c r="L229" s="995"/>
      <c r="M229" s="995"/>
      <c r="N229" s="995"/>
      <c r="O229" s="995"/>
      <c r="P229" s="995"/>
      <c r="Q229" s="995"/>
      <c r="R229" s="995"/>
      <c r="S229" s="995"/>
      <c r="T229" s="995"/>
      <c r="U229" s="995"/>
      <c r="V229" s="995"/>
      <c r="W229" s="995"/>
      <c r="X229" s="995"/>
      <c r="Y229" s="995"/>
      <c r="Z229" s="995"/>
      <c r="AA229" s="995"/>
      <c r="AB229" s="995"/>
      <c r="AC229" s="995"/>
      <c r="AD229" s="995"/>
      <c r="AE229" s="995"/>
      <c r="AF229" s="995"/>
      <c r="AG229" s="995"/>
      <c r="AH229" s="995"/>
      <c r="AI229" s="995"/>
      <c r="AJ229" s="995"/>
    </row>
    <row r="230" spans="2:36" x14ac:dyDescent="0.25">
      <c r="B230" s="687"/>
      <c r="C230" s="687"/>
      <c r="D230" s="687"/>
      <c r="E230" s="995"/>
      <c r="F230" s="995"/>
      <c r="G230" s="995"/>
      <c r="H230" s="995"/>
      <c r="I230" s="995"/>
      <c r="J230" s="995"/>
      <c r="K230" s="995"/>
      <c r="L230" s="995"/>
      <c r="M230" s="995"/>
      <c r="N230" s="995"/>
      <c r="O230" s="995"/>
      <c r="P230" s="995"/>
      <c r="Q230" s="995"/>
      <c r="R230" s="995"/>
      <c r="S230" s="995"/>
      <c r="T230" s="995"/>
      <c r="U230" s="995"/>
      <c r="V230" s="995"/>
      <c r="W230" s="995"/>
      <c r="X230" s="995"/>
      <c r="Y230" s="995"/>
      <c r="Z230" s="995"/>
      <c r="AA230" s="995"/>
      <c r="AB230" s="995"/>
      <c r="AC230" s="995"/>
      <c r="AD230" s="995"/>
      <c r="AE230" s="995"/>
      <c r="AF230" s="995"/>
      <c r="AG230" s="995"/>
      <c r="AH230" s="995"/>
      <c r="AI230" s="995"/>
      <c r="AJ230" s="995"/>
    </row>
    <row r="231" spans="2:36" x14ac:dyDescent="0.25">
      <c r="B231" s="687"/>
      <c r="C231" s="687"/>
      <c r="D231" s="687"/>
      <c r="E231" s="995"/>
      <c r="F231" s="995"/>
      <c r="G231" s="995"/>
      <c r="H231" s="995"/>
      <c r="I231" s="995"/>
      <c r="J231" s="995"/>
      <c r="K231" s="995"/>
      <c r="L231" s="995"/>
      <c r="M231" s="995"/>
      <c r="N231" s="995"/>
      <c r="O231" s="995"/>
      <c r="P231" s="995"/>
      <c r="Q231" s="995"/>
      <c r="R231" s="995"/>
      <c r="S231" s="995"/>
      <c r="T231" s="995"/>
      <c r="U231" s="995"/>
      <c r="V231" s="995"/>
      <c r="W231" s="995"/>
      <c r="X231" s="995"/>
      <c r="Y231" s="995"/>
      <c r="Z231" s="995"/>
      <c r="AA231" s="995"/>
      <c r="AB231" s="995"/>
      <c r="AC231" s="995"/>
      <c r="AD231" s="995"/>
      <c r="AE231" s="995"/>
      <c r="AF231" s="995"/>
      <c r="AG231" s="995"/>
      <c r="AH231" s="995"/>
      <c r="AI231" s="995"/>
      <c r="AJ231" s="995"/>
    </row>
    <row r="232" spans="2:36" x14ac:dyDescent="0.25">
      <c r="B232" s="687"/>
      <c r="C232" s="687"/>
      <c r="D232" s="687"/>
      <c r="E232" s="995"/>
      <c r="F232" s="995"/>
      <c r="G232" s="995"/>
      <c r="H232" s="995"/>
      <c r="I232" s="995"/>
      <c r="J232" s="995"/>
      <c r="K232" s="995"/>
      <c r="L232" s="995"/>
      <c r="M232" s="995"/>
      <c r="N232" s="995"/>
      <c r="O232" s="995"/>
      <c r="P232" s="995"/>
      <c r="Q232" s="995"/>
      <c r="R232" s="995"/>
      <c r="S232" s="995"/>
      <c r="T232" s="995"/>
      <c r="U232" s="995"/>
      <c r="V232" s="995"/>
      <c r="W232" s="995"/>
      <c r="X232" s="995"/>
      <c r="Y232" s="995"/>
      <c r="Z232" s="995"/>
      <c r="AA232" s="995"/>
      <c r="AB232" s="995"/>
      <c r="AC232" s="995"/>
      <c r="AD232" s="995"/>
      <c r="AE232" s="995"/>
      <c r="AF232" s="995"/>
      <c r="AG232" s="995"/>
      <c r="AH232" s="995"/>
      <c r="AI232" s="995"/>
      <c r="AJ232" s="995"/>
    </row>
    <row r="233" spans="2:36" x14ac:dyDescent="0.25">
      <c r="B233" s="687"/>
      <c r="C233" s="687"/>
      <c r="D233" s="687"/>
      <c r="E233" s="995"/>
      <c r="F233" s="995"/>
      <c r="G233" s="995"/>
      <c r="H233" s="995"/>
      <c r="I233" s="995"/>
      <c r="J233" s="995"/>
      <c r="K233" s="995"/>
      <c r="L233" s="995"/>
      <c r="M233" s="995"/>
      <c r="N233" s="995"/>
      <c r="O233" s="995"/>
      <c r="P233" s="995"/>
      <c r="Q233" s="995"/>
      <c r="R233" s="995"/>
      <c r="S233" s="995"/>
      <c r="T233" s="995"/>
      <c r="U233" s="995"/>
      <c r="V233" s="995"/>
      <c r="W233" s="995"/>
      <c r="X233" s="995"/>
      <c r="Y233" s="995"/>
      <c r="Z233" s="995"/>
      <c r="AA233" s="995"/>
      <c r="AB233" s="995"/>
      <c r="AC233" s="995"/>
      <c r="AD233" s="995"/>
      <c r="AE233" s="995"/>
      <c r="AF233" s="995"/>
      <c r="AG233" s="995"/>
      <c r="AH233" s="995"/>
      <c r="AI233" s="995"/>
      <c r="AJ233" s="995"/>
    </row>
    <row r="234" spans="2:36" x14ac:dyDescent="0.25">
      <c r="B234" s="687"/>
      <c r="C234" s="687"/>
      <c r="D234" s="687"/>
      <c r="E234" s="995"/>
      <c r="F234" s="995"/>
      <c r="G234" s="995"/>
      <c r="H234" s="995"/>
      <c r="I234" s="995"/>
      <c r="J234" s="995"/>
      <c r="K234" s="995"/>
      <c r="L234" s="995"/>
      <c r="M234" s="995"/>
      <c r="N234" s="995"/>
      <c r="O234" s="995"/>
      <c r="P234" s="995"/>
      <c r="Q234" s="995"/>
      <c r="R234" s="995"/>
      <c r="S234" s="995"/>
      <c r="T234" s="995"/>
      <c r="U234" s="995"/>
      <c r="V234" s="995"/>
      <c r="W234" s="995"/>
      <c r="X234" s="995"/>
      <c r="Y234" s="995"/>
      <c r="Z234" s="995"/>
      <c r="AA234" s="995"/>
      <c r="AB234" s="995"/>
      <c r="AC234" s="995"/>
      <c r="AD234" s="995"/>
      <c r="AE234" s="995"/>
      <c r="AF234" s="995"/>
      <c r="AG234" s="995"/>
      <c r="AH234" s="995"/>
      <c r="AI234" s="995"/>
      <c r="AJ234" s="995"/>
    </row>
    <row r="235" spans="2:36" x14ac:dyDescent="0.25">
      <c r="B235" s="687"/>
      <c r="C235" s="687"/>
      <c r="D235" s="687"/>
      <c r="E235" s="995"/>
      <c r="F235" s="995"/>
      <c r="G235" s="995"/>
      <c r="H235" s="995"/>
      <c r="I235" s="995"/>
      <c r="J235" s="995"/>
      <c r="K235" s="995"/>
      <c r="L235" s="995"/>
      <c r="M235" s="995"/>
      <c r="N235" s="995"/>
      <c r="O235" s="995"/>
      <c r="P235" s="995"/>
      <c r="Q235" s="995"/>
      <c r="R235" s="995"/>
      <c r="S235" s="995"/>
      <c r="T235" s="995"/>
      <c r="U235" s="995"/>
      <c r="V235" s="995"/>
      <c r="W235" s="995"/>
      <c r="X235" s="995"/>
      <c r="Y235" s="995"/>
      <c r="Z235" s="995"/>
      <c r="AA235" s="995"/>
      <c r="AB235" s="995"/>
      <c r="AC235" s="995"/>
      <c r="AD235" s="995"/>
      <c r="AE235" s="995"/>
      <c r="AF235" s="995"/>
      <c r="AG235" s="995"/>
      <c r="AH235" s="995"/>
      <c r="AI235" s="995"/>
      <c r="AJ235" s="995"/>
    </row>
    <row r="236" spans="2:36" x14ac:dyDescent="0.25">
      <c r="B236" s="687"/>
      <c r="C236" s="687"/>
      <c r="D236" s="687"/>
      <c r="E236" s="995"/>
      <c r="F236" s="995"/>
      <c r="G236" s="995"/>
      <c r="H236" s="995"/>
      <c r="I236" s="995"/>
      <c r="J236" s="995"/>
      <c r="K236" s="995"/>
      <c r="L236" s="995"/>
      <c r="M236" s="995"/>
      <c r="N236" s="995"/>
      <c r="O236" s="995"/>
      <c r="P236" s="995"/>
      <c r="Q236" s="995"/>
      <c r="R236" s="995"/>
      <c r="S236" s="995"/>
      <c r="T236" s="995"/>
      <c r="U236" s="995"/>
      <c r="V236" s="995"/>
      <c r="W236" s="995"/>
      <c r="X236" s="995"/>
      <c r="Y236" s="995"/>
      <c r="Z236" s="995"/>
      <c r="AA236" s="995"/>
      <c r="AB236" s="995"/>
      <c r="AC236" s="995"/>
      <c r="AD236" s="995"/>
      <c r="AE236" s="995"/>
      <c r="AF236" s="995"/>
      <c r="AG236" s="995"/>
      <c r="AH236" s="995"/>
      <c r="AI236" s="995"/>
      <c r="AJ236" s="995"/>
    </row>
    <row r="237" spans="2:36" x14ac:dyDescent="0.25">
      <c r="B237" s="687"/>
      <c r="C237" s="687"/>
      <c r="D237" s="687"/>
      <c r="E237" s="995"/>
      <c r="F237" s="995"/>
      <c r="G237" s="995"/>
      <c r="H237" s="995"/>
      <c r="I237" s="995"/>
      <c r="J237" s="995"/>
      <c r="K237" s="995"/>
      <c r="L237" s="995"/>
      <c r="M237" s="995"/>
      <c r="N237" s="995"/>
      <c r="O237" s="995"/>
      <c r="P237" s="995"/>
      <c r="Q237" s="995"/>
      <c r="R237" s="995"/>
      <c r="S237" s="995"/>
      <c r="T237" s="995"/>
      <c r="U237" s="995"/>
      <c r="V237" s="995"/>
      <c r="W237" s="995"/>
      <c r="X237" s="995"/>
      <c r="Y237" s="995"/>
      <c r="Z237" s="995"/>
      <c r="AA237" s="995"/>
      <c r="AB237" s="995"/>
      <c r="AC237" s="995"/>
      <c r="AD237" s="995"/>
      <c r="AE237" s="995"/>
      <c r="AF237" s="995"/>
      <c r="AG237" s="995"/>
      <c r="AH237" s="995"/>
      <c r="AI237" s="995"/>
      <c r="AJ237" s="995"/>
    </row>
    <row r="238" spans="2:36" x14ac:dyDescent="0.25">
      <c r="B238" s="687"/>
      <c r="C238" s="687"/>
      <c r="D238" s="687"/>
      <c r="E238" s="995"/>
      <c r="F238" s="995"/>
      <c r="G238" s="995"/>
      <c r="H238" s="995"/>
      <c r="I238" s="995"/>
      <c r="J238" s="995"/>
      <c r="K238" s="995"/>
      <c r="L238" s="995"/>
      <c r="M238" s="995"/>
      <c r="N238" s="995"/>
      <c r="O238" s="995"/>
      <c r="P238" s="995"/>
      <c r="Q238" s="995"/>
      <c r="R238" s="995"/>
      <c r="S238" s="995"/>
      <c r="T238" s="995"/>
      <c r="U238" s="995"/>
      <c r="V238" s="995"/>
      <c r="W238" s="995"/>
      <c r="X238" s="995"/>
      <c r="Y238" s="995"/>
      <c r="Z238" s="995"/>
      <c r="AA238" s="995"/>
      <c r="AB238" s="995"/>
      <c r="AC238" s="995"/>
      <c r="AD238" s="995"/>
      <c r="AE238" s="995"/>
      <c r="AF238" s="995"/>
      <c r="AG238" s="995"/>
      <c r="AH238" s="995"/>
      <c r="AI238" s="995"/>
      <c r="AJ238" s="995"/>
    </row>
    <row r="239" spans="2:36" x14ac:dyDescent="0.25">
      <c r="B239" s="687"/>
      <c r="C239" s="687"/>
      <c r="D239" s="687"/>
      <c r="E239" s="995"/>
      <c r="F239" s="995"/>
      <c r="G239" s="995"/>
      <c r="H239" s="995"/>
      <c r="I239" s="995"/>
      <c r="J239" s="995"/>
      <c r="K239" s="995"/>
      <c r="L239" s="995"/>
      <c r="M239" s="995"/>
      <c r="N239" s="995"/>
      <c r="O239" s="995"/>
      <c r="P239" s="995"/>
      <c r="Q239" s="995"/>
      <c r="R239" s="995"/>
      <c r="S239" s="995"/>
      <c r="T239" s="995"/>
      <c r="U239" s="995"/>
      <c r="V239" s="995"/>
      <c r="W239" s="995"/>
      <c r="X239" s="995"/>
      <c r="Y239" s="995"/>
      <c r="Z239" s="995"/>
      <c r="AA239" s="995"/>
      <c r="AB239" s="995"/>
      <c r="AC239" s="995"/>
      <c r="AD239" s="995"/>
      <c r="AE239" s="995"/>
      <c r="AF239" s="995"/>
      <c r="AG239" s="995"/>
      <c r="AH239" s="995"/>
      <c r="AI239" s="995"/>
      <c r="AJ239" s="995"/>
    </row>
    <row r="240" spans="2:36" x14ac:dyDescent="0.25">
      <c r="B240" s="687"/>
      <c r="C240" s="687"/>
      <c r="D240" s="687"/>
      <c r="E240" s="995"/>
      <c r="F240" s="995"/>
      <c r="G240" s="995"/>
      <c r="H240" s="995"/>
      <c r="I240" s="995"/>
      <c r="J240" s="995"/>
      <c r="K240" s="995"/>
      <c r="L240" s="995"/>
      <c r="M240" s="995"/>
      <c r="N240" s="995"/>
      <c r="O240" s="995"/>
      <c r="P240" s="995"/>
      <c r="Q240" s="995"/>
      <c r="R240" s="995"/>
      <c r="S240" s="995"/>
      <c r="T240" s="995"/>
      <c r="U240" s="995"/>
      <c r="V240" s="995"/>
      <c r="W240" s="995"/>
      <c r="X240" s="995"/>
      <c r="Y240" s="995"/>
      <c r="Z240" s="995"/>
      <c r="AA240" s="995"/>
      <c r="AB240" s="995"/>
      <c r="AC240" s="995"/>
      <c r="AD240" s="995"/>
      <c r="AE240" s="995"/>
      <c r="AF240" s="995"/>
      <c r="AG240" s="995"/>
      <c r="AH240" s="995"/>
      <c r="AI240" s="995"/>
      <c r="AJ240" s="995"/>
    </row>
    <row r="241" spans="2:36" x14ac:dyDescent="0.25">
      <c r="B241" s="687"/>
      <c r="C241" s="687"/>
      <c r="D241" s="687"/>
      <c r="E241" s="995"/>
      <c r="F241" s="995"/>
      <c r="G241" s="995"/>
      <c r="H241" s="995"/>
      <c r="I241" s="995"/>
      <c r="J241" s="995"/>
      <c r="K241" s="995"/>
      <c r="L241" s="995"/>
      <c r="M241" s="995"/>
      <c r="N241" s="995"/>
      <c r="O241" s="995"/>
      <c r="P241" s="995"/>
      <c r="Q241" s="995"/>
      <c r="R241" s="995"/>
      <c r="S241" s="995"/>
      <c r="T241" s="995"/>
      <c r="U241" s="995"/>
      <c r="V241" s="995"/>
      <c r="W241" s="995"/>
      <c r="X241" s="995"/>
      <c r="Y241" s="995"/>
      <c r="Z241" s="995"/>
      <c r="AA241" s="995"/>
      <c r="AB241" s="995"/>
      <c r="AC241" s="995"/>
      <c r="AD241" s="995"/>
      <c r="AE241" s="995"/>
      <c r="AF241" s="995"/>
      <c r="AG241" s="995"/>
      <c r="AH241" s="995"/>
      <c r="AI241" s="995"/>
      <c r="AJ241" s="995"/>
    </row>
    <row r="242" spans="2:36" x14ac:dyDescent="0.25">
      <c r="B242" s="687"/>
      <c r="C242" s="687"/>
      <c r="D242" s="687"/>
      <c r="E242" s="995"/>
      <c r="F242" s="995"/>
      <c r="G242" s="995"/>
      <c r="H242" s="995"/>
      <c r="I242" s="995"/>
      <c r="J242" s="995"/>
      <c r="K242" s="995"/>
      <c r="L242" s="995"/>
      <c r="M242" s="995"/>
      <c r="N242" s="995"/>
      <c r="O242" s="995"/>
      <c r="P242" s="995"/>
      <c r="Q242" s="995"/>
      <c r="R242" s="995"/>
      <c r="S242" s="995"/>
      <c r="T242" s="995"/>
      <c r="U242" s="995"/>
      <c r="V242" s="995"/>
      <c r="W242" s="995"/>
      <c r="X242" s="995"/>
      <c r="Y242" s="995"/>
      <c r="Z242" s="995"/>
      <c r="AA242" s="995"/>
      <c r="AB242" s="995"/>
      <c r="AC242" s="995"/>
      <c r="AD242" s="995"/>
      <c r="AE242" s="995"/>
      <c r="AF242" s="995"/>
      <c r="AG242" s="995"/>
      <c r="AH242" s="995"/>
      <c r="AI242" s="995"/>
      <c r="AJ242" s="995"/>
    </row>
    <row r="243" spans="2:36" x14ac:dyDescent="0.25">
      <c r="B243" s="687"/>
      <c r="C243" s="687"/>
      <c r="D243" s="687"/>
      <c r="E243" s="995"/>
      <c r="F243" s="995"/>
      <c r="G243" s="995"/>
      <c r="H243" s="995"/>
      <c r="I243" s="995"/>
      <c r="J243" s="995"/>
      <c r="K243" s="995"/>
      <c r="L243" s="995"/>
      <c r="M243" s="995"/>
      <c r="N243" s="995"/>
      <c r="O243" s="995"/>
      <c r="P243" s="995"/>
      <c r="Q243" s="995"/>
      <c r="R243" s="995"/>
      <c r="S243" s="995"/>
      <c r="T243" s="995"/>
      <c r="U243" s="995"/>
      <c r="V243" s="995"/>
      <c r="W243" s="995"/>
      <c r="X243" s="995"/>
      <c r="Y243" s="995"/>
      <c r="Z243" s="995"/>
      <c r="AA243" s="995"/>
      <c r="AB243" s="995"/>
      <c r="AC243" s="995"/>
      <c r="AD243" s="995"/>
      <c r="AE243" s="995"/>
      <c r="AF243" s="995"/>
      <c r="AG243" s="995"/>
      <c r="AH243" s="995"/>
      <c r="AI243" s="995"/>
      <c r="AJ243" s="995"/>
    </row>
    <row r="244" spans="2:36" x14ac:dyDescent="0.25">
      <c r="B244" s="687"/>
      <c r="C244" s="687"/>
      <c r="D244" s="687"/>
      <c r="E244" s="995"/>
      <c r="F244" s="995"/>
      <c r="G244" s="995"/>
      <c r="H244" s="995"/>
      <c r="I244" s="995"/>
      <c r="J244" s="995"/>
      <c r="K244" s="995"/>
      <c r="L244" s="995"/>
      <c r="M244" s="995"/>
      <c r="N244" s="995"/>
      <c r="O244" s="995"/>
      <c r="P244" s="995"/>
      <c r="Q244" s="995"/>
      <c r="R244" s="995"/>
      <c r="S244" s="995"/>
      <c r="T244" s="995"/>
      <c r="U244" s="995"/>
      <c r="V244" s="995"/>
      <c r="W244" s="995"/>
      <c r="X244" s="995"/>
      <c r="Y244" s="995"/>
      <c r="Z244" s="995"/>
      <c r="AA244" s="995"/>
      <c r="AB244" s="995"/>
      <c r="AC244" s="995"/>
      <c r="AD244" s="995"/>
      <c r="AE244" s="995"/>
      <c r="AF244" s="995"/>
      <c r="AG244" s="995"/>
      <c r="AH244" s="995"/>
      <c r="AI244" s="995"/>
      <c r="AJ244" s="995"/>
    </row>
    <row r="245" spans="2:36" x14ac:dyDescent="0.25">
      <c r="B245" s="687"/>
      <c r="C245" s="687"/>
      <c r="D245" s="687"/>
      <c r="E245" s="995"/>
      <c r="F245" s="995"/>
      <c r="G245" s="995"/>
      <c r="H245" s="995"/>
      <c r="I245" s="995"/>
      <c r="J245" s="995"/>
      <c r="K245" s="995"/>
      <c r="L245" s="995"/>
      <c r="M245" s="995"/>
      <c r="N245" s="995"/>
      <c r="O245" s="995"/>
      <c r="P245" s="995"/>
      <c r="Q245" s="995"/>
      <c r="R245" s="995"/>
      <c r="S245" s="995"/>
      <c r="T245" s="995"/>
      <c r="U245" s="995"/>
      <c r="V245" s="995"/>
      <c r="W245" s="995"/>
      <c r="X245" s="995"/>
      <c r="Y245" s="995"/>
      <c r="Z245" s="995"/>
      <c r="AA245" s="995"/>
      <c r="AB245" s="995"/>
      <c r="AC245" s="995"/>
      <c r="AD245" s="995"/>
      <c r="AE245" s="995"/>
      <c r="AF245" s="995"/>
      <c r="AG245" s="995"/>
      <c r="AH245" s="995"/>
      <c r="AI245" s="995"/>
      <c r="AJ245" s="995"/>
    </row>
    <row r="246" spans="2:36" x14ac:dyDescent="0.25">
      <c r="B246" s="687"/>
      <c r="C246" s="687"/>
      <c r="D246" s="687"/>
      <c r="E246" s="995"/>
      <c r="F246" s="995"/>
      <c r="G246" s="995"/>
      <c r="H246" s="995"/>
      <c r="I246" s="995"/>
      <c r="J246" s="995"/>
      <c r="K246" s="995"/>
      <c r="L246" s="995"/>
      <c r="M246" s="995"/>
      <c r="N246" s="995"/>
      <c r="O246" s="995"/>
      <c r="P246" s="995"/>
      <c r="Q246" s="995"/>
      <c r="R246" s="995"/>
      <c r="S246" s="995"/>
      <c r="T246" s="995"/>
      <c r="U246" s="995"/>
      <c r="V246" s="995"/>
      <c r="W246" s="995"/>
      <c r="X246" s="995"/>
      <c r="Y246" s="995"/>
      <c r="Z246" s="995"/>
      <c r="AA246" s="995"/>
      <c r="AB246" s="995"/>
      <c r="AC246" s="995"/>
      <c r="AD246" s="995"/>
      <c r="AE246" s="995"/>
      <c r="AF246" s="995"/>
      <c r="AG246" s="995"/>
      <c r="AH246" s="995"/>
      <c r="AI246" s="995"/>
      <c r="AJ246" s="995"/>
    </row>
    <row r="247" spans="2:36" x14ac:dyDescent="0.25">
      <c r="B247" s="687"/>
      <c r="C247" s="687"/>
      <c r="D247" s="687"/>
      <c r="E247" s="995"/>
      <c r="F247" s="995"/>
      <c r="G247" s="995"/>
      <c r="H247" s="995"/>
      <c r="I247" s="995"/>
      <c r="J247" s="995"/>
      <c r="K247" s="995"/>
      <c r="L247" s="995"/>
      <c r="M247" s="995"/>
      <c r="N247" s="995"/>
      <c r="O247" s="995"/>
      <c r="P247" s="995"/>
      <c r="Q247" s="995"/>
      <c r="R247" s="995"/>
      <c r="S247" s="995"/>
      <c r="T247" s="995"/>
      <c r="U247" s="995"/>
      <c r="V247" s="995"/>
      <c r="W247" s="995"/>
      <c r="X247" s="995"/>
      <c r="Y247" s="995"/>
      <c r="Z247" s="995"/>
      <c r="AA247" s="995"/>
      <c r="AB247" s="995"/>
      <c r="AC247" s="995"/>
      <c r="AD247" s="995"/>
      <c r="AE247" s="995"/>
      <c r="AF247" s="995"/>
      <c r="AG247" s="995"/>
      <c r="AH247" s="995"/>
      <c r="AI247" s="995"/>
      <c r="AJ247" s="995"/>
    </row>
    <row r="248" spans="2:36" x14ac:dyDescent="0.25">
      <c r="B248" s="687"/>
      <c r="C248" s="687"/>
      <c r="D248" s="687"/>
      <c r="E248" s="995"/>
      <c r="F248" s="995"/>
      <c r="G248" s="995"/>
      <c r="H248" s="995"/>
      <c r="I248" s="995"/>
      <c r="J248" s="995"/>
      <c r="K248" s="995"/>
      <c r="L248" s="995"/>
      <c r="M248" s="995"/>
      <c r="N248" s="995"/>
      <c r="O248" s="995"/>
      <c r="P248" s="995"/>
      <c r="Q248" s="995"/>
      <c r="R248" s="995"/>
      <c r="S248" s="995"/>
      <c r="T248" s="995"/>
      <c r="U248" s="995"/>
      <c r="V248" s="995"/>
      <c r="W248" s="995"/>
      <c r="X248" s="995"/>
      <c r="Y248" s="995"/>
      <c r="Z248" s="995"/>
      <c r="AA248" s="995"/>
      <c r="AB248" s="995"/>
      <c r="AC248" s="995"/>
      <c r="AD248" s="995"/>
      <c r="AE248" s="995"/>
      <c r="AF248" s="995"/>
      <c r="AG248" s="995"/>
      <c r="AH248" s="995"/>
      <c r="AI248" s="995"/>
      <c r="AJ248" s="995"/>
    </row>
    <row r="249" spans="2:36" x14ac:dyDescent="0.25">
      <c r="B249" s="687"/>
      <c r="C249" s="687"/>
      <c r="D249" s="687"/>
      <c r="E249" s="995"/>
      <c r="F249" s="995"/>
      <c r="G249" s="995"/>
      <c r="H249" s="995"/>
      <c r="I249" s="995"/>
      <c r="J249" s="995"/>
      <c r="K249" s="995"/>
      <c r="L249" s="995"/>
      <c r="M249" s="995"/>
      <c r="N249" s="995"/>
      <c r="O249" s="995"/>
      <c r="P249" s="995"/>
      <c r="Q249" s="995"/>
      <c r="R249" s="995"/>
      <c r="S249" s="995"/>
      <c r="T249" s="995"/>
      <c r="U249" s="995"/>
      <c r="V249" s="995"/>
      <c r="W249" s="995"/>
      <c r="X249" s="995"/>
      <c r="Y249" s="995"/>
      <c r="Z249" s="995"/>
      <c r="AA249" s="995"/>
      <c r="AB249" s="995"/>
      <c r="AC249" s="995"/>
      <c r="AD249" s="995"/>
      <c r="AE249" s="995"/>
      <c r="AF249" s="995"/>
      <c r="AG249" s="995"/>
      <c r="AH249" s="995"/>
      <c r="AI249" s="995"/>
      <c r="AJ249" s="995"/>
    </row>
    <row r="250" spans="2:36" x14ac:dyDescent="0.25">
      <c r="B250" s="687"/>
      <c r="C250" s="687"/>
      <c r="D250" s="687"/>
      <c r="E250" s="995"/>
      <c r="F250" s="995"/>
      <c r="G250" s="995"/>
      <c r="H250" s="995"/>
      <c r="I250" s="995"/>
      <c r="J250" s="995"/>
      <c r="K250" s="995"/>
      <c r="L250" s="995"/>
      <c r="M250" s="995"/>
      <c r="N250" s="995"/>
      <c r="O250" s="995"/>
      <c r="P250" s="995"/>
      <c r="Q250" s="995"/>
      <c r="R250" s="995"/>
      <c r="S250" s="995"/>
      <c r="T250" s="995"/>
      <c r="U250" s="995"/>
      <c r="V250" s="995"/>
      <c r="W250" s="995"/>
      <c r="X250" s="995"/>
      <c r="Y250" s="995"/>
      <c r="Z250" s="995"/>
      <c r="AA250" s="995"/>
      <c r="AB250" s="995"/>
      <c r="AC250" s="995"/>
      <c r="AD250" s="995"/>
      <c r="AE250" s="995"/>
      <c r="AF250" s="995"/>
      <c r="AG250" s="995"/>
      <c r="AH250" s="995"/>
      <c r="AI250" s="995"/>
      <c r="AJ250" s="995"/>
    </row>
    <row r="251" spans="2:36" x14ac:dyDescent="0.25">
      <c r="B251" s="687"/>
      <c r="C251" s="687"/>
      <c r="D251" s="687"/>
      <c r="E251" s="995"/>
      <c r="F251" s="995"/>
      <c r="G251" s="995"/>
      <c r="H251" s="995"/>
      <c r="I251" s="995"/>
      <c r="J251" s="995"/>
      <c r="K251" s="995"/>
      <c r="L251" s="995"/>
      <c r="M251" s="995"/>
      <c r="N251" s="995"/>
      <c r="O251" s="995"/>
      <c r="P251" s="995"/>
      <c r="Q251" s="995"/>
      <c r="R251" s="995"/>
      <c r="S251" s="995"/>
      <c r="T251" s="995"/>
      <c r="U251" s="995"/>
      <c r="V251" s="995"/>
      <c r="W251" s="995"/>
      <c r="X251" s="995"/>
      <c r="Y251" s="995"/>
      <c r="Z251" s="995"/>
      <c r="AA251" s="995"/>
      <c r="AB251" s="995"/>
      <c r="AC251" s="995"/>
      <c r="AD251" s="995"/>
      <c r="AE251" s="995"/>
      <c r="AF251" s="995"/>
      <c r="AG251" s="995"/>
      <c r="AH251" s="995"/>
      <c r="AI251" s="995"/>
      <c r="AJ251" s="995"/>
    </row>
    <row r="252" spans="2:36" x14ac:dyDescent="0.25">
      <c r="B252" s="687"/>
      <c r="C252" s="687"/>
      <c r="D252" s="687"/>
      <c r="E252" s="995"/>
      <c r="F252" s="995"/>
      <c r="G252" s="995"/>
      <c r="H252" s="995"/>
      <c r="I252" s="995"/>
      <c r="J252" s="995"/>
      <c r="K252" s="995"/>
      <c r="L252" s="995"/>
      <c r="M252" s="995"/>
      <c r="N252" s="995"/>
      <c r="O252" s="995"/>
      <c r="P252" s="995"/>
      <c r="Q252" s="995"/>
      <c r="R252" s="995"/>
      <c r="S252" s="995"/>
      <c r="T252" s="995"/>
      <c r="U252" s="995"/>
      <c r="V252" s="995"/>
      <c r="W252" s="995"/>
      <c r="X252" s="995"/>
      <c r="Y252" s="995"/>
      <c r="Z252" s="995"/>
      <c r="AA252" s="995"/>
      <c r="AB252" s="995"/>
      <c r="AC252" s="995"/>
      <c r="AD252" s="995"/>
      <c r="AE252" s="995"/>
      <c r="AF252" s="995"/>
      <c r="AG252" s="995"/>
      <c r="AH252" s="995"/>
      <c r="AI252" s="995"/>
      <c r="AJ252" s="995"/>
    </row>
    <row r="253" spans="2:36" x14ac:dyDescent="0.25">
      <c r="B253" s="687"/>
      <c r="C253" s="687"/>
      <c r="D253" s="687"/>
      <c r="E253" s="995"/>
      <c r="F253" s="995"/>
      <c r="G253" s="995"/>
      <c r="H253" s="995"/>
      <c r="I253" s="995"/>
      <c r="J253" s="995"/>
      <c r="K253" s="995"/>
      <c r="L253" s="995"/>
      <c r="M253" s="995"/>
      <c r="N253" s="995"/>
      <c r="O253" s="995"/>
      <c r="P253" s="995"/>
      <c r="Q253" s="995"/>
      <c r="R253" s="995"/>
      <c r="S253" s="995"/>
      <c r="T253" s="995"/>
      <c r="U253" s="995"/>
      <c r="V253" s="995"/>
      <c r="W253" s="995"/>
      <c r="X253" s="995"/>
      <c r="Y253" s="995"/>
      <c r="Z253" s="995"/>
      <c r="AA253" s="995"/>
      <c r="AB253" s="995"/>
      <c r="AC253" s="995"/>
      <c r="AD253" s="995"/>
      <c r="AE253" s="995"/>
      <c r="AF253" s="995"/>
      <c r="AG253" s="995"/>
      <c r="AH253" s="995"/>
      <c r="AI253" s="995"/>
      <c r="AJ253" s="995"/>
    </row>
    <row r="254" spans="2:36" x14ac:dyDescent="0.25">
      <c r="B254" s="687"/>
      <c r="C254" s="687"/>
      <c r="D254" s="687"/>
      <c r="E254" s="995"/>
      <c r="F254" s="995"/>
      <c r="G254" s="995"/>
      <c r="H254" s="995"/>
      <c r="I254" s="995"/>
      <c r="J254" s="995"/>
      <c r="K254" s="995"/>
      <c r="L254" s="995"/>
      <c r="M254" s="995"/>
      <c r="N254" s="995"/>
      <c r="O254" s="995"/>
      <c r="P254" s="995"/>
      <c r="Q254" s="995"/>
      <c r="R254" s="995"/>
      <c r="S254" s="995"/>
      <c r="T254" s="995"/>
      <c r="U254" s="995"/>
      <c r="V254" s="995"/>
      <c r="W254" s="995"/>
      <c r="X254" s="995"/>
      <c r="Y254" s="995"/>
      <c r="Z254" s="995"/>
      <c r="AA254" s="995"/>
      <c r="AB254" s="995"/>
      <c r="AC254" s="995"/>
      <c r="AD254" s="995"/>
      <c r="AE254" s="995"/>
      <c r="AF254" s="995"/>
      <c r="AG254" s="995"/>
      <c r="AH254" s="995"/>
      <c r="AI254" s="995"/>
      <c r="AJ254" s="995"/>
    </row>
    <row r="255" spans="2:36" x14ac:dyDescent="0.25">
      <c r="B255" s="687"/>
      <c r="C255" s="687"/>
      <c r="D255" s="687"/>
      <c r="E255" s="995"/>
      <c r="F255" s="995"/>
      <c r="G255" s="995"/>
      <c r="H255" s="995"/>
      <c r="I255" s="995"/>
      <c r="J255" s="995"/>
      <c r="K255" s="995"/>
      <c r="L255" s="995"/>
      <c r="M255" s="995"/>
      <c r="N255" s="995"/>
      <c r="O255" s="995"/>
      <c r="P255" s="995"/>
      <c r="Q255" s="995"/>
      <c r="R255" s="995"/>
      <c r="S255" s="995"/>
      <c r="T255" s="995"/>
      <c r="U255" s="995"/>
      <c r="V255" s="995"/>
      <c r="W255" s="995"/>
      <c r="X255" s="995"/>
      <c r="Y255" s="995"/>
      <c r="Z255" s="995"/>
      <c r="AA255" s="995"/>
      <c r="AB255" s="995"/>
      <c r="AC255" s="995"/>
      <c r="AD255" s="995"/>
      <c r="AE255" s="995"/>
      <c r="AF255" s="995"/>
      <c r="AG255" s="995"/>
      <c r="AH255" s="995"/>
      <c r="AI255" s="995"/>
      <c r="AJ255" s="995"/>
    </row>
    <row r="256" spans="2:36" x14ac:dyDescent="0.25">
      <c r="B256" s="687"/>
      <c r="C256" s="687"/>
      <c r="D256" s="687"/>
      <c r="E256" s="995"/>
      <c r="F256" s="995"/>
      <c r="G256" s="995"/>
      <c r="H256" s="995"/>
      <c r="I256" s="995"/>
      <c r="J256" s="995"/>
      <c r="K256" s="995"/>
      <c r="L256" s="995"/>
      <c r="M256" s="995"/>
      <c r="N256" s="995"/>
      <c r="O256" s="995"/>
      <c r="P256" s="995"/>
      <c r="Q256" s="995"/>
      <c r="R256" s="995"/>
      <c r="S256" s="995"/>
      <c r="T256" s="995"/>
      <c r="U256" s="995"/>
      <c r="V256" s="995"/>
      <c r="W256" s="995"/>
      <c r="X256" s="995"/>
      <c r="Y256" s="995"/>
      <c r="Z256" s="995"/>
      <c r="AA256" s="995"/>
      <c r="AB256" s="995"/>
      <c r="AC256" s="995"/>
      <c r="AD256" s="995"/>
      <c r="AE256" s="995"/>
      <c r="AF256" s="995"/>
      <c r="AG256" s="995"/>
      <c r="AH256" s="995"/>
      <c r="AI256" s="995"/>
      <c r="AJ256" s="995"/>
    </row>
    <row r="257" spans="2:36" x14ac:dyDescent="0.25">
      <c r="B257" s="687"/>
      <c r="C257" s="687"/>
      <c r="D257" s="687"/>
      <c r="E257" s="995"/>
      <c r="F257" s="995"/>
      <c r="G257" s="995"/>
      <c r="H257" s="995"/>
      <c r="I257" s="995"/>
      <c r="J257" s="995"/>
      <c r="K257" s="995"/>
      <c r="L257" s="995"/>
      <c r="M257" s="995"/>
      <c r="N257" s="995"/>
      <c r="O257" s="995"/>
      <c r="P257" s="995"/>
      <c r="Q257" s="995"/>
      <c r="R257" s="995"/>
      <c r="S257" s="995"/>
      <c r="T257" s="995"/>
      <c r="U257" s="995"/>
      <c r="V257" s="995"/>
      <c r="W257" s="995"/>
      <c r="X257" s="995"/>
      <c r="Y257" s="995"/>
      <c r="Z257" s="995"/>
      <c r="AA257" s="995"/>
      <c r="AB257" s="995"/>
      <c r="AC257" s="995"/>
      <c r="AD257" s="995"/>
      <c r="AE257" s="995"/>
      <c r="AF257" s="995"/>
      <c r="AG257" s="995"/>
      <c r="AH257" s="995"/>
      <c r="AI257" s="995"/>
      <c r="AJ257" s="995"/>
    </row>
    <row r="258" spans="2:36" x14ac:dyDescent="0.25">
      <c r="B258" s="687"/>
      <c r="C258" s="687"/>
      <c r="D258" s="687"/>
      <c r="E258" s="995"/>
      <c r="F258" s="995"/>
      <c r="G258" s="995"/>
      <c r="H258" s="995"/>
      <c r="I258" s="995"/>
      <c r="J258" s="995"/>
      <c r="K258" s="995"/>
      <c r="L258" s="995"/>
      <c r="M258" s="995"/>
      <c r="N258" s="995"/>
      <c r="O258" s="995"/>
      <c r="P258" s="995"/>
      <c r="Q258" s="995"/>
      <c r="R258" s="995"/>
      <c r="S258" s="995"/>
      <c r="T258" s="995"/>
      <c r="U258" s="995"/>
      <c r="V258" s="995"/>
      <c r="W258" s="995"/>
      <c r="X258" s="995"/>
      <c r="Y258" s="995"/>
      <c r="Z258" s="995"/>
      <c r="AA258" s="995"/>
      <c r="AB258" s="995"/>
      <c r="AC258" s="995"/>
      <c r="AD258" s="995"/>
      <c r="AE258" s="995"/>
      <c r="AF258" s="995"/>
      <c r="AG258" s="995"/>
      <c r="AH258" s="995"/>
      <c r="AI258" s="995"/>
      <c r="AJ258" s="995"/>
    </row>
    <row r="259" spans="2:36" x14ac:dyDescent="0.25">
      <c r="B259" s="687"/>
      <c r="C259" s="687"/>
      <c r="D259" s="687"/>
      <c r="E259" s="995"/>
      <c r="F259" s="995"/>
      <c r="G259" s="995"/>
      <c r="H259" s="995"/>
      <c r="I259" s="995"/>
      <c r="J259" s="995"/>
      <c r="K259" s="995"/>
      <c r="L259" s="995"/>
      <c r="M259" s="995"/>
      <c r="N259" s="995"/>
      <c r="O259" s="995"/>
      <c r="P259" s="995"/>
      <c r="Q259" s="995"/>
      <c r="R259" s="995"/>
      <c r="S259" s="995"/>
      <c r="T259" s="995"/>
      <c r="U259" s="995"/>
      <c r="V259" s="995"/>
      <c r="W259" s="995"/>
      <c r="X259" s="995"/>
      <c r="Y259" s="995"/>
      <c r="Z259" s="995"/>
      <c r="AA259" s="995"/>
      <c r="AB259" s="995"/>
      <c r="AC259" s="995"/>
      <c r="AD259" s="995"/>
      <c r="AE259" s="995"/>
      <c r="AF259" s="995"/>
      <c r="AG259" s="995"/>
      <c r="AH259" s="995"/>
      <c r="AI259" s="995"/>
      <c r="AJ259" s="995"/>
    </row>
    <row r="260" spans="2:36" x14ac:dyDescent="0.25">
      <c r="B260" s="687"/>
      <c r="C260" s="687"/>
      <c r="D260" s="687"/>
      <c r="E260" s="995"/>
      <c r="F260" s="995"/>
      <c r="G260" s="995"/>
      <c r="H260" s="995"/>
      <c r="I260" s="995"/>
      <c r="J260" s="995"/>
      <c r="K260" s="995"/>
      <c r="L260" s="995"/>
      <c r="M260" s="995"/>
      <c r="N260" s="995"/>
      <c r="O260" s="995"/>
      <c r="P260" s="995"/>
      <c r="Q260" s="995"/>
      <c r="R260" s="995"/>
      <c r="S260" s="995"/>
      <c r="T260" s="995"/>
      <c r="U260" s="995"/>
      <c r="V260" s="995"/>
      <c r="W260" s="995"/>
      <c r="X260" s="995"/>
      <c r="Y260" s="995"/>
      <c r="Z260" s="995"/>
      <c r="AA260" s="995"/>
      <c r="AB260" s="995"/>
      <c r="AC260" s="995"/>
      <c r="AD260" s="995"/>
      <c r="AE260" s="995"/>
      <c r="AF260" s="995"/>
      <c r="AG260" s="995"/>
      <c r="AH260" s="995"/>
      <c r="AI260" s="995"/>
      <c r="AJ260" s="995"/>
    </row>
    <row r="261" spans="2:36" x14ac:dyDescent="0.25">
      <c r="B261" s="687"/>
      <c r="C261" s="687"/>
      <c r="D261" s="687"/>
      <c r="E261" s="995"/>
      <c r="F261" s="995"/>
      <c r="G261" s="995"/>
      <c r="H261" s="995"/>
      <c r="I261" s="995"/>
      <c r="J261" s="995"/>
      <c r="K261" s="995"/>
      <c r="L261" s="995"/>
      <c r="M261" s="995"/>
      <c r="N261" s="995"/>
      <c r="O261" s="995"/>
      <c r="P261" s="995"/>
      <c r="Q261" s="995"/>
      <c r="R261" s="995"/>
      <c r="S261" s="995"/>
      <c r="T261" s="995"/>
      <c r="U261" s="995"/>
      <c r="V261" s="995"/>
      <c r="W261" s="995"/>
      <c r="X261" s="995"/>
      <c r="Y261" s="995"/>
      <c r="Z261" s="995"/>
      <c r="AA261" s="995"/>
      <c r="AB261" s="995"/>
      <c r="AC261" s="995"/>
      <c r="AD261" s="995"/>
      <c r="AE261" s="995"/>
      <c r="AF261" s="995"/>
      <c r="AG261" s="995"/>
      <c r="AH261" s="995"/>
      <c r="AI261" s="995"/>
      <c r="AJ261" s="995"/>
    </row>
    <row r="262" spans="2:36" x14ac:dyDescent="0.25">
      <c r="B262" s="687"/>
      <c r="C262" s="687"/>
      <c r="D262" s="687"/>
      <c r="E262" s="995"/>
      <c r="F262" s="995"/>
      <c r="G262" s="995"/>
      <c r="H262" s="995"/>
      <c r="I262" s="995"/>
      <c r="J262" s="995"/>
      <c r="K262" s="995"/>
      <c r="L262" s="995"/>
      <c r="M262" s="995"/>
      <c r="N262" s="995"/>
      <c r="O262" s="995"/>
      <c r="P262" s="995"/>
      <c r="Q262" s="995"/>
      <c r="R262" s="995"/>
      <c r="S262" s="995"/>
      <c r="T262" s="995"/>
      <c r="U262" s="995"/>
      <c r="V262" s="995"/>
      <c r="W262" s="995"/>
      <c r="X262" s="995"/>
      <c r="Y262" s="995"/>
      <c r="Z262" s="995"/>
      <c r="AA262" s="995"/>
      <c r="AB262" s="995"/>
      <c r="AC262" s="995"/>
      <c r="AD262" s="995"/>
      <c r="AE262" s="995"/>
      <c r="AF262" s="995"/>
      <c r="AG262" s="995"/>
      <c r="AH262" s="995"/>
      <c r="AI262" s="995"/>
      <c r="AJ262" s="995"/>
    </row>
    <row r="263" spans="2:36" x14ac:dyDescent="0.25">
      <c r="B263" s="687"/>
      <c r="C263" s="687"/>
      <c r="D263" s="687"/>
      <c r="E263" s="995"/>
      <c r="F263" s="995"/>
      <c r="G263" s="995"/>
      <c r="H263" s="995"/>
      <c r="I263" s="995"/>
      <c r="J263" s="995"/>
      <c r="K263" s="995"/>
      <c r="L263" s="995"/>
      <c r="M263" s="995"/>
      <c r="N263" s="995"/>
      <c r="O263" s="995"/>
      <c r="P263" s="995"/>
      <c r="Q263" s="995"/>
      <c r="R263" s="995"/>
      <c r="S263" s="995"/>
      <c r="T263" s="995"/>
      <c r="U263" s="995"/>
      <c r="V263" s="995"/>
      <c r="W263" s="995"/>
      <c r="X263" s="995"/>
      <c r="Y263" s="995"/>
      <c r="Z263" s="995"/>
      <c r="AA263" s="995"/>
      <c r="AB263" s="995"/>
      <c r="AC263" s="995"/>
      <c r="AD263" s="995"/>
      <c r="AE263" s="995"/>
      <c r="AF263" s="995"/>
      <c r="AG263" s="995"/>
      <c r="AH263" s="995"/>
      <c r="AI263" s="995"/>
      <c r="AJ263" s="995"/>
    </row>
    <row r="264" spans="2:36" x14ac:dyDescent="0.25">
      <c r="B264" s="687"/>
      <c r="C264" s="687"/>
      <c r="D264" s="687"/>
      <c r="E264" s="995"/>
      <c r="F264" s="995"/>
      <c r="G264" s="995"/>
      <c r="H264" s="995"/>
      <c r="I264" s="995"/>
      <c r="J264" s="995"/>
      <c r="K264" s="995"/>
      <c r="L264" s="995"/>
      <c r="M264" s="995"/>
      <c r="N264" s="995"/>
      <c r="O264" s="995"/>
      <c r="P264" s="995"/>
      <c r="Q264" s="995"/>
      <c r="R264" s="995"/>
      <c r="S264" s="995"/>
      <c r="T264" s="995"/>
      <c r="U264" s="995"/>
      <c r="V264" s="995"/>
      <c r="W264" s="995"/>
      <c r="X264" s="995"/>
      <c r="Y264" s="995"/>
      <c r="Z264" s="995"/>
      <c r="AA264" s="995"/>
      <c r="AB264" s="995"/>
      <c r="AC264" s="995"/>
      <c r="AD264" s="995"/>
      <c r="AE264" s="995"/>
      <c r="AF264" s="995"/>
      <c r="AG264" s="995"/>
      <c r="AH264" s="995"/>
      <c r="AI264" s="995"/>
      <c r="AJ264" s="995"/>
    </row>
    <row r="265" spans="2:36" x14ac:dyDescent="0.25">
      <c r="B265" s="687"/>
      <c r="C265" s="687"/>
      <c r="D265" s="687"/>
      <c r="E265" s="995"/>
      <c r="F265" s="995"/>
      <c r="G265" s="995"/>
      <c r="H265" s="995"/>
      <c r="I265" s="995"/>
      <c r="J265" s="995"/>
      <c r="K265" s="995"/>
      <c r="L265" s="995"/>
      <c r="M265" s="995"/>
      <c r="N265" s="995"/>
      <c r="O265" s="995"/>
      <c r="P265" s="995"/>
      <c r="Q265" s="995"/>
      <c r="R265" s="995"/>
      <c r="S265" s="995"/>
      <c r="T265" s="995"/>
      <c r="U265" s="995"/>
      <c r="V265" s="995"/>
      <c r="W265" s="995"/>
      <c r="X265" s="995"/>
      <c r="Y265" s="995"/>
      <c r="Z265" s="995"/>
      <c r="AA265" s="995"/>
      <c r="AB265" s="995"/>
      <c r="AC265" s="995"/>
      <c r="AD265" s="995"/>
      <c r="AE265" s="995"/>
      <c r="AF265" s="995"/>
      <c r="AG265" s="995"/>
      <c r="AH265" s="995"/>
      <c r="AI265" s="995"/>
      <c r="AJ265" s="995"/>
    </row>
    <row r="266" spans="2:36" x14ac:dyDescent="0.25">
      <c r="B266" s="687"/>
      <c r="C266" s="687"/>
      <c r="D266" s="687"/>
      <c r="E266" s="995"/>
      <c r="F266" s="995"/>
      <c r="G266" s="995"/>
      <c r="H266" s="995"/>
      <c r="I266" s="995"/>
      <c r="J266" s="995"/>
      <c r="K266" s="995"/>
      <c r="L266" s="995"/>
      <c r="M266" s="995"/>
      <c r="N266" s="995"/>
      <c r="O266" s="995"/>
      <c r="P266" s="995"/>
      <c r="Q266" s="995"/>
      <c r="R266" s="995"/>
      <c r="S266" s="995"/>
      <c r="T266" s="995"/>
      <c r="U266" s="995"/>
      <c r="V266" s="995"/>
      <c r="W266" s="995"/>
      <c r="X266" s="995"/>
      <c r="Y266" s="995"/>
      <c r="Z266" s="995"/>
      <c r="AA266" s="995"/>
      <c r="AB266" s="995"/>
      <c r="AC266" s="995"/>
      <c r="AD266" s="995"/>
      <c r="AE266" s="995"/>
      <c r="AF266" s="995"/>
      <c r="AG266" s="995"/>
      <c r="AH266" s="995"/>
      <c r="AI266" s="995"/>
      <c r="AJ266" s="995"/>
    </row>
    <row r="267" spans="2:36" x14ac:dyDescent="0.25">
      <c r="B267" s="687"/>
      <c r="C267" s="687"/>
      <c r="D267" s="687"/>
      <c r="E267" s="995"/>
      <c r="F267" s="995"/>
      <c r="G267" s="995"/>
      <c r="H267" s="995"/>
      <c r="I267" s="995"/>
      <c r="J267" s="995"/>
      <c r="K267" s="995"/>
      <c r="L267" s="995"/>
      <c r="M267" s="995"/>
      <c r="N267" s="995"/>
      <c r="O267" s="995"/>
      <c r="P267" s="995"/>
      <c r="Q267" s="995"/>
      <c r="R267" s="995"/>
      <c r="S267" s="995"/>
      <c r="T267" s="995"/>
      <c r="U267" s="995"/>
      <c r="V267" s="995"/>
      <c r="W267" s="995"/>
      <c r="X267" s="995"/>
      <c r="Y267" s="995"/>
      <c r="Z267" s="995"/>
      <c r="AA267" s="995"/>
      <c r="AB267" s="995"/>
      <c r="AC267" s="995"/>
      <c r="AD267" s="995"/>
      <c r="AE267" s="995"/>
      <c r="AF267" s="995"/>
      <c r="AG267" s="995"/>
      <c r="AH267" s="995"/>
      <c r="AI267" s="995"/>
      <c r="AJ267" s="995"/>
    </row>
    <row r="268" spans="2:36" x14ac:dyDescent="0.25">
      <c r="B268" s="687"/>
      <c r="C268" s="687"/>
      <c r="D268" s="687"/>
      <c r="E268" s="995"/>
      <c r="F268" s="995"/>
      <c r="G268" s="995"/>
      <c r="H268" s="995"/>
      <c r="I268" s="995"/>
      <c r="J268" s="995"/>
      <c r="K268" s="995"/>
      <c r="L268" s="995"/>
      <c r="M268" s="995"/>
      <c r="N268" s="995"/>
      <c r="O268" s="995"/>
      <c r="P268" s="995"/>
      <c r="Q268" s="995"/>
      <c r="R268" s="995"/>
      <c r="S268" s="995"/>
      <c r="T268" s="995"/>
      <c r="U268" s="995"/>
      <c r="V268" s="995"/>
      <c r="W268" s="995"/>
      <c r="X268" s="995"/>
      <c r="Y268" s="995"/>
      <c r="Z268" s="995"/>
      <c r="AA268" s="995"/>
      <c r="AB268" s="995"/>
      <c r="AC268" s="995"/>
      <c r="AD268" s="995"/>
      <c r="AE268" s="995"/>
      <c r="AF268" s="995"/>
      <c r="AG268" s="995"/>
      <c r="AH268" s="995"/>
      <c r="AI268" s="995"/>
      <c r="AJ268" s="995"/>
    </row>
    <row r="269" spans="2:36" x14ac:dyDescent="0.25">
      <c r="B269" s="687"/>
      <c r="C269" s="687"/>
      <c r="D269" s="687"/>
      <c r="E269" s="995"/>
      <c r="F269" s="995"/>
      <c r="G269" s="995"/>
      <c r="H269" s="995"/>
      <c r="I269" s="995"/>
      <c r="J269" s="995"/>
      <c r="K269" s="995"/>
      <c r="L269" s="995"/>
      <c r="M269" s="995"/>
      <c r="N269" s="995"/>
      <c r="O269" s="995"/>
      <c r="P269" s="995"/>
      <c r="Q269" s="995"/>
      <c r="R269" s="995"/>
      <c r="S269" s="995"/>
      <c r="T269" s="995"/>
      <c r="U269" s="995"/>
      <c r="V269" s="995"/>
      <c r="W269" s="995"/>
      <c r="X269" s="995"/>
      <c r="Y269" s="995"/>
      <c r="Z269" s="995"/>
      <c r="AA269" s="995"/>
      <c r="AB269" s="995"/>
      <c r="AC269" s="995"/>
      <c r="AD269" s="995"/>
      <c r="AE269" s="995"/>
      <c r="AF269" s="995"/>
      <c r="AG269" s="995"/>
      <c r="AH269" s="995"/>
      <c r="AI269" s="995"/>
      <c r="AJ269" s="995"/>
    </row>
    <row r="270" spans="2:36" x14ac:dyDescent="0.25">
      <c r="B270" s="687"/>
      <c r="C270" s="687"/>
      <c r="D270" s="687"/>
      <c r="E270" s="995"/>
      <c r="F270" s="995"/>
      <c r="G270" s="995"/>
      <c r="H270" s="995"/>
      <c r="I270" s="995"/>
      <c r="J270" s="995"/>
      <c r="K270" s="995"/>
      <c r="L270" s="995"/>
      <c r="M270" s="995"/>
      <c r="N270" s="995"/>
      <c r="O270" s="995"/>
      <c r="P270" s="995"/>
      <c r="Q270" s="995"/>
      <c r="R270" s="995"/>
      <c r="S270" s="995"/>
      <c r="T270" s="995"/>
      <c r="U270" s="995"/>
      <c r="V270" s="995"/>
      <c r="W270" s="995"/>
      <c r="X270" s="995"/>
      <c r="Y270" s="995"/>
      <c r="Z270" s="995"/>
      <c r="AA270" s="995"/>
      <c r="AB270" s="995"/>
      <c r="AC270" s="995"/>
      <c r="AD270" s="995"/>
      <c r="AE270" s="995"/>
      <c r="AF270" s="995"/>
      <c r="AG270" s="995"/>
      <c r="AH270" s="995"/>
      <c r="AI270" s="995"/>
      <c r="AJ270" s="995"/>
    </row>
    <row r="271" spans="2:36" x14ac:dyDescent="0.25">
      <c r="B271" s="687"/>
      <c r="C271" s="687"/>
      <c r="D271" s="687"/>
      <c r="E271" s="995"/>
      <c r="F271" s="995"/>
      <c r="G271" s="995"/>
      <c r="H271" s="995"/>
      <c r="I271" s="995"/>
      <c r="J271" s="995"/>
      <c r="K271" s="995"/>
      <c r="L271" s="995"/>
      <c r="M271" s="995"/>
      <c r="N271" s="995"/>
      <c r="O271" s="995"/>
      <c r="P271" s="995"/>
      <c r="Q271" s="995"/>
      <c r="R271" s="995"/>
      <c r="S271" s="995"/>
      <c r="T271" s="995"/>
      <c r="U271" s="995"/>
      <c r="V271" s="995"/>
      <c r="W271" s="995"/>
      <c r="X271" s="995"/>
      <c r="Y271" s="995"/>
      <c r="Z271" s="995"/>
      <c r="AA271" s="995"/>
      <c r="AB271" s="995"/>
      <c r="AC271" s="995"/>
      <c r="AD271" s="995"/>
      <c r="AE271" s="995"/>
      <c r="AF271" s="995"/>
      <c r="AG271" s="995"/>
      <c r="AH271" s="995"/>
      <c r="AI271" s="995"/>
      <c r="AJ271" s="995"/>
    </row>
    <row r="272" spans="2:36" x14ac:dyDescent="0.25">
      <c r="B272" s="687"/>
      <c r="C272" s="687"/>
      <c r="D272" s="687"/>
      <c r="E272" s="995"/>
      <c r="F272" s="995"/>
      <c r="G272" s="995"/>
      <c r="H272" s="995"/>
      <c r="I272" s="995"/>
      <c r="J272" s="995"/>
      <c r="K272" s="995"/>
      <c r="L272" s="995"/>
      <c r="M272" s="995"/>
      <c r="N272" s="995"/>
      <c r="O272" s="995"/>
      <c r="P272" s="995"/>
      <c r="Q272" s="995"/>
      <c r="R272" s="995"/>
      <c r="S272" s="995"/>
      <c r="T272" s="995"/>
      <c r="U272" s="995"/>
      <c r="V272" s="995"/>
      <c r="W272" s="995"/>
      <c r="X272" s="995"/>
      <c r="Y272" s="995"/>
      <c r="Z272" s="995"/>
      <c r="AA272" s="995"/>
      <c r="AB272" s="995"/>
      <c r="AC272" s="995"/>
      <c r="AD272" s="995"/>
      <c r="AE272" s="995"/>
      <c r="AF272" s="995"/>
      <c r="AG272" s="995"/>
      <c r="AH272" s="995"/>
      <c r="AI272" s="995"/>
      <c r="AJ272" s="995"/>
    </row>
    <row r="273" spans="2:36" x14ac:dyDescent="0.25">
      <c r="B273" s="687"/>
      <c r="C273" s="687"/>
      <c r="D273" s="687"/>
      <c r="E273" s="995"/>
      <c r="F273" s="995"/>
      <c r="G273" s="995"/>
      <c r="H273" s="995"/>
      <c r="I273" s="995"/>
      <c r="J273" s="995"/>
      <c r="K273" s="995"/>
      <c r="L273" s="995"/>
      <c r="M273" s="995"/>
      <c r="N273" s="995"/>
      <c r="O273" s="995"/>
      <c r="P273" s="995"/>
      <c r="Q273" s="995"/>
      <c r="R273" s="995"/>
      <c r="S273" s="995"/>
      <c r="T273" s="995"/>
      <c r="U273" s="995"/>
      <c r="V273" s="995"/>
      <c r="W273" s="995"/>
      <c r="X273" s="995"/>
      <c r="Y273" s="995"/>
      <c r="Z273" s="995"/>
      <c r="AA273" s="995"/>
      <c r="AB273" s="995"/>
      <c r="AC273" s="995"/>
      <c r="AD273" s="995"/>
      <c r="AE273" s="995"/>
      <c r="AF273" s="995"/>
      <c r="AG273" s="995"/>
      <c r="AH273" s="995"/>
      <c r="AI273" s="995"/>
      <c r="AJ273" s="995"/>
    </row>
    <row r="274" spans="2:36" x14ac:dyDescent="0.25">
      <c r="B274" s="687"/>
      <c r="C274" s="687"/>
      <c r="D274" s="687"/>
      <c r="E274" s="995"/>
      <c r="F274" s="995"/>
      <c r="G274" s="995"/>
      <c r="H274" s="995"/>
      <c r="I274" s="995"/>
      <c r="J274" s="995"/>
      <c r="K274" s="995"/>
      <c r="L274" s="995"/>
      <c r="M274" s="995"/>
      <c r="N274" s="995"/>
      <c r="O274" s="995"/>
      <c r="P274" s="995"/>
      <c r="Q274" s="995"/>
      <c r="R274" s="995"/>
      <c r="S274" s="995"/>
      <c r="T274" s="995"/>
      <c r="U274" s="995"/>
      <c r="V274" s="995"/>
      <c r="W274" s="995"/>
      <c r="X274" s="995"/>
      <c r="Y274" s="995"/>
      <c r="Z274" s="995"/>
      <c r="AA274" s="995"/>
      <c r="AB274" s="995"/>
      <c r="AC274" s="995"/>
      <c r="AD274" s="995"/>
      <c r="AE274" s="995"/>
      <c r="AF274" s="995"/>
      <c r="AG274" s="995"/>
      <c r="AH274" s="995"/>
      <c r="AI274" s="995"/>
      <c r="AJ274" s="995"/>
    </row>
    <row r="275" spans="2:36" x14ac:dyDescent="0.25">
      <c r="B275" s="687"/>
      <c r="C275" s="687"/>
      <c r="D275" s="687"/>
      <c r="E275" s="995"/>
      <c r="F275" s="995"/>
      <c r="G275" s="995"/>
      <c r="H275" s="995"/>
      <c r="I275" s="995"/>
      <c r="J275" s="995"/>
      <c r="K275" s="995"/>
      <c r="L275" s="995"/>
      <c r="M275" s="995"/>
      <c r="N275" s="995"/>
      <c r="O275" s="995"/>
      <c r="P275" s="995"/>
      <c r="Q275" s="995"/>
      <c r="R275" s="995"/>
      <c r="S275" s="995"/>
      <c r="T275" s="995"/>
      <c r="U275" s="995"/>
      <c r="V275" s="995"/>
      <c r="W275" s="995"/>
      <c r="X275" s="995"/>
      <c r="Y275" s="995"/>
      <c r="Z275" s="995"/>
      <c r="AA275" s="995"/>
      <c r="AB275" s="995"/>
      <c r="AC275" s="995"/>
      <c r="AD275" s="995"/>
      <c r="AE275" s="995"/>
      <c r="AF275" s="995"/>
      <c r="AG275" s="995"/>
      <c r="AH275" s="995"/>
      <c r="AI275" s="995"/>
      <c r="AJ275" s="995"/>
    </row>
    <row r="276" spans="2:36" x14ac:dyDescent="0.25">
      <c r="B276" s="687"/>
      <c r="C276" s="687"/>
      <c r="D276" s="687"/>
      <c r="E276" s="995"/>
      <c r="F276" s="995"/>
      <c r="G276" s="995"/>
      <c r="H276" s="995"/>
      <c r="I276" s="995"/>
      <c r="J276" s="995"/>
      <c r="K276" s="995"/>
      <c r="L276" s="995"/>
      <c r="M276" s="995"/>
      <c r="N276" s="995"/>
      <c r="O276" s="995"/>
      <c r="P276" s="995"/>
      <c r="Q276" s="995"/>
      <c r="R276" s="995"/>
      <c r="S276" s="995"/>
      <c r="T276" s="995"/>
      <c r="U276" s="995"/>
      <c r="V276" s="995"/>
      <c r="W276" s="995"/>
      <c r="X276" s="995"/>
      <c r="Y276" s="995"/>
      <c r="Z276" s="995"/>
      <c r="AA276" s="995"/>
      <c r="AB276" s="995"/>
      <c r="AC276" s="995"/>
      <c r="AD276" s="995"/>
      <c r="AE276" s="995"/>
      <c r="AF276" s="995"/>
      <c r="AG276" s="995"/>
      <c r="AH276" s="995"/>
      <c r="AI276" s="995"/>
      <c r="AJ276" s="995"/>
    </row>
    <row r="277" spans="2:36" x14ac:dyDescent="0.25">
      <c r="B277" s="687"/>
      <c r="C277" s="687"/>
      <c r="D277" s="687"/>
      <c r="E277" s="995"/>
      <c r="F277" s="995"/>
      <c r="G277" s="995"/>
      <c r="H277" s="995"/>
      <c r="I277" s="995"/>
      <c r="J277" s="995"/>
      <c r="K277" s="995"/>
      <c r="L277" s="995"/>
      <c r="M277" s="995"/>
      <c r="N277" s="995"/>
      <c r="O277" s="995"/>
      <c r="P277" s="995"/>
      <c r="Q277" s="995"/>
      <c r="R277" s="995"/>
      <c r="S277" s="995"/>
      <c r="T277" s="995"/>
      <c r="U277" s="995"/>
      <c r="V277" s="995"/>
      <c r="W277" s="995"/>
      <c r="X277" s="995"/>
      <c r="Y277" s="995"/>
      <c r="Z277" s="995"/>
      <c r="AA277" s="995"/>
      <c r="AB277" s="995"/>
      <c r="AC277" s="995"/>
      <c r="AD277" s="995"/>
      <c r="AE277" s="995"/>
      <c r="AF277" s="995"/>
      <c r="AG277" s="995"/>
      <c r="AH277" s="995"/>
      <c r="AI277" s="995"/>
      <c r="AJ277" s="995"/>
    </row>
    <row r="278" spans="2:36" x14ac:dyDescent="0.25">
      <c r="B278" s="687"/>
      <c r="C278" s="687"/>
      <c r="D278" s="687"/>
      <c r="E278" s="995"/>
      <c r="F278" s="995"/>
      <c r="G278" s="995"/>
      <c r="H278" s="995"/>
      <c r="I278" s="995"/>
      <c r="J278" s="995"/>
      <c r="K278" s="995"/>
      <c r="L278" s="995"/>
      <c r="M278" s="995"/>
      <c r="N278" s="995"/>
      <c r="O278" s="995"/>
      <c r="P278" s="995"/>
      <c r="Q278" s="995"/>
      <c r="R278" s="995"/>
      <c r="S278" s="995"/>
      <c r="T278" s="995"/>
      <c r="U278" s="995"/>
      <c r="V278" s="995"/>
      <c r="W278" s="995"/>
      <c r="X278" s="995"/>
      <c r="Y278" s="995"/>
      <c r="Z278" s="995"/>
      <c r="AA278" s="995"/>
      <c r="AB278" s="995"/>
      <c r="AC278" s="995"/>
      <c r="AD278" s="995"/>
      <c r="AE278" s="995"/>
      <c r="AF278" s="995"/>
      <c r="AG278" s="995"/>
      <c r="AH278" s="995"/>
      <c r="AI278" s="995"/>
      <c r="AJ278" s="995"/>
    </row>
    <row r="279" spans="2:36" x14ac:dyDescent="0.25">
      <c r="B279" s="687"/>
      <c r="C279" s="687"/>
      <c r="D279" s="687"/>
      <c r="E279" s="995"/>
      <c r="F279" s="995"/>
      <c r="G279" s="995"/>
      <c r="H279" s="995"/>
      <c r="I279" s="995"/>
      <c r="J279" s="995"/>
      <c r="K279" s="995"/>
      <c r="L279" s="995"/>
      <c r="M279" s="995"/>
      <c r="N279" s="995"/>
      <c r="O279" s="995"/>
      <c r="P279" s="995"/>
      <c r="Q279" s="995"/>
      <c r="R279" s="995"/>
      <c r="S279" s="995"/>
      <c r="T279" s="995"/>
      <c r="U279" s="995"/>
      <c r="V279" s="995"/>
      <c r="W279" s="995"/>
      <c r="X279" s="995"/>
      <c r="Y279" s="995"/>
      <c r="Z279" s="995"/>
      <c r="AA279" s="995"/>
      <c r="AB279" s="995"/>
      <c r="AC279" s="995"/>
      <c r="AD279" s="995"/>
      <c r="AE279" s="995"/>
      <c r="AF279" s="995"/>
      <c r="AG279" s="995"/>
      <c r="AH279" s="995"/>
      <c r="AI279" s="995"/>
      <c r="AJ279" s="995"/>
    </row>
    <row r="280" spans="2:36" x14ac:dyDescent="0.25">
      <c r="B280" s="687"/>
      <c r="C280" s="687"/>
      <c r="D280" s="687"/>
      <c r="E280" s="995"/>
      <c r="F280" s="995"/>
      <c r="G280" s="995"/>
      <c r="H280" s="995"/>
      <c r="I280" s="995"/>
      <c r="J280" s="995"/>
      <c r="K280" s="995"/>
      <c r="L280" s="995"/>
      <c r="M280" s="995"/>
      <c r="N280" s="995"/>
      <c r="O280" s="995"/>
      <c r="P280" s="995"/>
      <c r="Q280" s="995"/>
      <c r="R280" s="995"/>
      <c r="S280" s="995"/>
      <c r="T280" s="995"/>
      <c r="U280" s="995"/>
      <c r="V280" s="995"/>
      <c r="W280" s="995"/>
      <c r="X280" s="995"/>
      <c r="Y280" s="995"/>
      <c r="Z280" s="995"/>
      <c r="AA280" s="995"/>
      <c r="AB280" s="995"/>
      <c r="AC280" s="995"/>
      <c r="AD280" s="995"/>
      <c r="AE280" s="995"/>
      <c r="AF280" s="995"/>
      <c r="AG280" s="995"/>
      <c r="AH280" s="995"/>
      <c r="AI280" s="995"/>
      <c r="AJ280" s="995"/>
    </row>
    <row r="281" spans="2:36" x14ac:dyDescent="0.25">
      <c r="B281" s="687"/>
      <c r="C281" s="687"/>
      <c r="D281" s="687"/>
      <c r="E281" s="995"/>
      <c r="F281" s="995"/>
      <c r="G281" s="995"/>
      <c r="H281" s="995"/>
      <c r="I281" s="995"/>
      <c r="J281" s="995"/>
      <c r="K281" s="995"/>
      <c r="L281" s="995"/>
      <c r="M281" s="995"/>
      <c r="N281" s="995"/>
      <c r="O281" s="995"/>
      <c r="P281" s="995"/>
      <c r="Q281" s="995"/>
      <c r="R281" s="995"/>
      <c r="S281" s="995"/>
      <c r="T281" s="995"/>
      <c r="U281" s="995"/>
      <c r="V281" s="995"/>
      <c r="W281" s="995"/>
      <c r="X281" s="995"/>
      <c r="Y281" s="995"/>
      <c r="Z281" s="995"/>
      <c r="AA281" s="995"/>
      <c r="AB281" s="995"/>
      <c r="AC281" s="995"/>
      <c r="AD281" s="995"/>
      <c r="AE281" s="995"/>
      <c r="AF281" s="995"/>
      <c r="AG281" s="995"/>
      <c r="AH281" s="995"/>
      <c r="AI281" s="995"/>
      <c r="AJ281" s="995"/>
    </row>
    <row r="282" spans="2:36" x14ac:dyDescent="0.25">
      <c r="B282" s="687"/>
      <c r="C282" s="687"/>
      <c r="D282" s="687"/>
      <c r="E282" s="995"/>
      <c r="F282" s="995"/>
      <c r="G282" s="995"/>
      <c r="H282" s="995"/>
      <c r="I282" s="995"/>
      <c r="J282" s="995"/>
      <c r="K282" s="995"/>
      <c r="L282" s="995"/>
      <c r="M282" s="995"/>
      <c r="N282" s="995"/>
      <c r="O282" s="995"/>
      <c r="P282" s="995"/>
      <c r="Q282" s="995"/>
      <c r="R282" s="995"/>
      <c r="S282" s="995"/>
      <c r="T282" s="995"/>
      <c r="U282" s="995"/>
      <c r="V282" s="995"/>
      <c r="W282" s="995"/>
      <c r="X282" s="995"/>
      <c r="Y282" s="995"/>
      <c r="Z282" s="995"/>
      <c r="AA282" s="995"/>
      <c r="AB282" s="995"/>
      <c r="AC282" s="995"/>
      <c r="AD282" s="995"/>
      <c r="AE282" s="995"/>
      <c r="AF282" s="995"/>
      <c r="AG282" s="995"/>
      <c r="AH282" s="995"/>
      <c r="AI282" s="995"/>
      <c r="AJ282" s="995"/>
    </row>
    <row r="283" spans="2:36" x14ac:dyDescent="0.25">
      <c r="B283" s="687"/>
      <c r="C283" s="687"/>
      <c r="D283" s="687"/>
      <c r="E283" s="995"/>
      <c r="F283" s="995"/>
      <c r="G283" s="995"/>
      <c r="H283" s="995"/>
      <c r="I283" s="995"/>
      <c r="J283" s="995"/>
      <c r="K283" s="995"/>
      <c r="L283" s="995"/>
      <c r="M283" s="995"/>
      <c r="N283" s="995"/>
      <c r="O283" s="995"/>
      <c r="P283" s="995"/>
      <c r="Q283" s="995"/>
      <c r="R283" s="995"/>
      <c r="S283" s="995"/>
      <c r="T283" s="995"/>
      <c r="U283" s="995"/>
      <c r="V283" s="995"/>
      <c r="W283" s="995"/>
      <c r="X283" s="995"/>
      <c r="Y283" s="995"/>
      <c r="Z283" s="995"/>
      <c r="AA283" s="995"/>
      <c r="AB283" s="995"/>
      <c r="AC283" s="995"/>
      <c r="AD283" s="995"/>
      <c r="AE283" s="995"/>
      <c r="AF283" s="995"/>
      <c r="AG283" s="995"/>
      <c r="AH283" s="995"/>
      <c r="AI283" s="995"/>
      <c r="AJ283" s="995"/>
    </row>
    <row r="284" spans="2:36" x14ac:dyDescent="0.25">
      <c r="B284" s="687"/>
      <c r="C284" s="687"/>
      <c r="D284" s="687"/>
      <c r="E284" s="995"/>
      <c r="F284" s="995"/>
      <c r="G284" s="995"/>
      <c r="H284" s="995"/>
      <c r="I284" s="995"/>
      <c r="J284" s="995"/>
      <c r="K284" s="995"/>
      <c r="L284" s="995"/>
      <c r="M284" s="995"/>
      <c r="N284" s="995"/>
      <c r="O284" s="995"/>
      <c r="P284" s="995"/>
      <c r="Q284" s="995"/>
      <c r="R284" s="995"/>
      <c r="S284" s="995"/>
      <c r="T284" s="995"/>
      <c r="U284" s="995"/>
      <c r="V284" s="995"/>
      <c r="W284" s="995"/>
      <c r="X284" s="995"/>
      <c r="Y284" s="995"/>
      <c r="Z284" s="995"/>
      <c r="AA284" s="995"/>
      <c r="AB284" s="995"/>
      <c r="AC284" s="995"/>
      <c r="AD284" s="995"/>
      <c r="AE284" s="995"/>
      <c r="AF284" s="995"/>
      <c r="AG284" s="995"/>
      <c r="AH284" s="995"/>
      <c r="AI284" s="995"/>
      <c r="AJ284" s="995"/>
    </row>
    <row r="285" spans="2:36" x14ac:dyDescent="0.25">
      <c r="B285" s="687"/>
      <c r="C285" s="687"/>
      <c r="D285" s="687"/>
      <c r="E285" s="995"/>
      <c r="F285" s="995"/>
      <c r="G285" s="995"/>
      <c r="H285" s="995"/>
      <c r="I285" s="995"/>
      <c r="J285" s="995"/>
      <c r="K285" s="995"/>
      <c r="L285" s="995"/>
      <c r="M285" s="995"/>
      <c r="N285" s="995"/>
      <c r="O285" s="995"/>
      <c r="P285" s="995"/>
      <c r="Q285" s="995"/>
      <c r="R285" s="995"/>
      <c r="S285" s="995"/>
      <c r="T285" s="995"/>
      <c r="U285" s="995"/>
      <c r="V285" s="995"/>
      <c r="W285" s="995"/>
      <c r="X285" s="995"/>
      <c r="Y285" s="995"/>
      <c r="Z285" s="995"/>
      <c r="AA285" s="995"/>
      <c r="AB285" s="995"/>
      <c r="AC285" s="995"/>
      <c r="AD285" s="995"/>
      <c r="AE285" s="995"/>
      <c r="AF285" s="995"/>
      <c r="AG285" s="995"/>
      <c r="AH285" s="995"/>
      <c r="AI285" s="995"/>
      <c r="AJ285" s="995"/>
    </row>
    <row r="286" spans="2:36" x14ac:dyDescent="0.25">
      <c r="B286" s="687"/>
      <c r="C286" s="687"/>
      <c r="D286" s="687"/>
      <c r="E286" s="995"/>
      <c r="F286" s="995"/>
      <c r="G286" s="995"/>
      <c r="H286" s="995"/>
      <c r="I286" s="995"/>
      <c r="J286" s="995"/>
      <c r="K286" s="995"/>
      <c r="L286" s="995"/>
      <c r="M286" s="995"/>
      <c r="N286" s="995"/>
      <c r="O286" s="995"/>
      <c r="P286" s="995"/>
      <c r="Q286" s="995"/>
      <c r="R286" s="995"/>
      <c r="S286" s="995"/>
      <c r="T286" s="995"/>
      <c r="U286" s="995"/>
      <c r="V286" s="995"/>
      <c r="W286" s="995"/>
      <c r="X286" s="995"/>
      <c r="Y286" s="995"/>
      <c r="Z286" s="995"/>
      <c r="AA286" s="995"/>
      <c r="AB286" s="995"/>
      <c r="AC286" s="995"/>
      <c r="AD286" s="995"/>
      <c r="AE286" s="995"/>
      <c r="AF286" s="995"/>
      <c r="AG286" s="995"/>
      <c r="AH286" s="995"/>
      <c r="AI286" s="995"/>
      <c r="AJ286" s="995"/>
    </row>
    <row r="287" spans="2:36" x14ac:dyDescent="0.25">
      <c r="B287" s="687"/>
      <c r="C287" s="687"/>
      <c r="D287" s="687"/>
      <c r="E287" s="995"/>
      <c r="F287" s="995"/>
      <c r="G287" s="995"/>
      <c r="H287" s="995"/>
      <c r="I287" s="995"/>
      <c r="J287" s="995"/>
      <c r="K287" s="995"/>
      <c r="L287" s="995"/>
      <c r="M287" s="995"/>
      <c r="N287" s="995"/>
      <c r="O287" s="995"/>
      <c r="P287" s="995"/>
      <c r="Q287" s="995"/>
      <c r="R287" s="995"/>
      <c r="S287" s="995"/>
      <c r="T287" s="995"/>
      <c r="U287" s="995"/>
      <c r="V287" s="995"/>
      <c r="W287" s="995"/>
      <c r="X287" s="995"/>
      <c r="Y287" s="995"/>
      <c r="Z287" s="995"/>
      <c r="AA287" s="995"/>
      <c r="AB287" s="995"/>
      <c r="AC287" s="995"/>
      <c r="AD287" s="995"/>
      <c r="AE287" s="995"/>
      <c r="AF287" s="995"/>
      <c r="AG287" s="995"/>
      <c r="AH287" s="995"/>
      <c r="AI287" s="995"/>
      <c r="AJ287" s="995"/>
    </row>
    <row r="288" spans="2:36" x14ac:dyDescent="0.25">
      <c r="B288" s="687"/>
      <c r="C288" s="687"/>
      <c r="D288" s="687"/>
      <c r="E288" s="995"/>
      <c r="F288" s="995"/>
      <c r="G288" s="995"/>
      <c r="H288" s="995"/>
      <c r="I288" s="995"/>
      <c r="J288" s="995"/>
      <c r="K288" s="995"/>
      <c r="L288" s="995"/>
      <c r="M288" s="995"/>
      <c r="N288" s="995"/>
      <c r="O288" s="995"/>
      <c r="P288" s="995"/>
      <c r="Q288" s="995"/>
      <c r="R288" s="995"/>
      <c r="S288" s="995"/>
      <c r="T288" s="995"/>
      <c r="U288" s="995"/>
      <c r="V288" s="995"/>
      <c r="W288" s="995"/>
      <c r="X288" s="995"/>
      <c r="Y288" s="995"/>
      <c r="Z288" s="995"/>
      <c r="AA288" s="995"/>
      <c r="AB288" s="995"/>
      <c r="AC288" s="995"/>
      <c r="AD288" s="995"/>
      <c r="AE288" s="995"/>
      <c r="AF288" s="995"/>
      <c r="AG288" s="995"/>
      <c r="AH288" s="995"/>
      <c r="AI288" s="995"/>
      <c r="AJ288" s="995"/>
    </row>
    <row r="289" spans="2:36" x14ac:dyDescent="0.25">
      <c r="B289" s="687"/>
      <c r="C289" s="687"/>
      <c r="D289" s="687"/>
      <c r="E289" s="995"/>
      <c r="F289" s="995"/>
      <c r="G289" s="995"/>
      <c r="H289" s="995"/>
      <c r="I289" s="995"/>
      <c r="J289" s="995"/>
      <c r="K289" s="995"/>
      <c r="L289" s="995"/>
      <c r="M289" s="995"/>
      <c r="N289" s="995"/>
      <c r="O289" s="995"/>
      <c r="P289" s="995"/>
      <c r="Q289" s="995"/>
      <c r="R289" s="995"/>
      <c r="S289" s="995"/>
      <c r="T289" s="995"/>
      <c r="U289" s="995"/>
      <c r="V289" s="995"/>
      <c r="W289" s="995"/>
      <c r="X289" s="995"/>
      <c r="Y289" s="995"/>
      <c r="Z289" s="995"/>
      <c r="AA289" s="995"/>
      <c r="AB289" s="995"/>
      <c r="AC289" s="995"/>
      <c r="AD289" s="995"/>
      <c r="AE289" s="995"/>
      <c r="AF289" s="995"/>
      <c r="AG289" s="995"/>
      <c r="AH289" s="995"/>
      <c r="AI289" s="995"/>
      <c r="AJ289" s="995"/>
    </row>
    <row r="290" spans="2:36" x14ac:dyDescent="0.25">
      <c r="B290" s="687"/>
      <c r="C290" s="687"/>
      <c r="D290" s="687"/>
      <c r="E290" s="995"/>
      <c r="F290" s="995"/>
      <c r="G290" s="995"/>
      <c r="H290" s="995"/>
      <c r="I290" s="995"/>
      <c r="J290" s="995"/>
      <c r="K290" s="995"/>
      <c r="L290" s="995"/>
      <c r="M290" s="995"/>
      <c r="N290" s="995"/>
      <c r="O290" s="995"/>
      <c r="P290" s="995"/>
      <c r="Q290" s="995"/>
      <c r="R290" s="995"/>
      <c r="S290" s="995"/>
      <c r="T290" s="995"/>
      <c r="U290" s="995"/>
      <c r="V290" s="995"/>
      <c r="W290" s="995"/>
      <c r="X290" s="995"/>
      <c r="Y290" s="995"/>
      <c r="Z290" s="995"/>
      <c r="AA290" s="995"/>
      <c r="AB290" s="995"/>
      <c r="AC290" s="995"/>
      <c r="AD290" s="995"/>
      <c r="AE290" s="995"/>
      <c r="AF290" s="995"/>
      <c r="AG290" s="995"/>
      <c r="AH290" s="995"/>
      <c r="AI290" s="995"/>
      <c r="AJ290" s="995"/>
    </row>
    <row r="291" spans="2:36" x14ac:dyDescent="0.25">
      <c r="B291" s="687"/>
      <c r="C291" s="687"/>
      <c r="D291" s="687"/>
      <c r="E291" s="995"/>
      <c r="F291" s="995"/>
      <c r="G291" s="995"/>
      <c r="H291" s="995"/>
      <c r="I291" s="995"/>
      <c r="J291" s="995"/>
      <c r="K291" s="995"/>
      <c r="L291" s="995"/>
      <c r="M291" s="995"/>
      <c r="N291" s="995"/>
      <c r="O291" s="995"/>
      <c r="P291" s="995"/>
      <c r="Q291" s="995"/>
      <c r="R291" s="995"/>
      <c r="S291" s="995"/>
      <c r="T291" s="995"/>
      <c r="U291" s="995"/>
      <c r="V291" s="995"/>
      <c r="W291" s="995"/>
      <c r="X291" s="995"/>
      <c r="Y291" s="995"/>
      <c r="Z291" s="995"/>
      <c r="AA291" s="995"/>
      <c r="AB291" s="995"/>
      <c r="AC291" s="995"/>
      <c r="AD291" s="995"/>
      <c r="AE291" s="995"/>
      <c r="AF291" s="995"/>
      <c r="AG291" s="995"/>
      <c r="AH291" s="995"/>
      <c r="AI291" s="995"/>
      <c r="AJ291" s="995"/>
    </row>
    <row r="292" spans="2:36" x14ac:dyDescent="0.25">
      <c r="B292" s="687"/>
      <c r="C292" s="687"/>
      <c r="D292" s="687"/>
      <c r="E292" s="995"/>
      <c r="F292" s="995"/>
      <c r="G292" s="995"/>
      <c r="H292" s="995"/>
      <c r="I292" s="995"/>
      <c r="J292" s="995"/>
      <c r="K292" s="995"/>
      <c r="L292" s="995"/>
      <c r="M292" s="995"/>
      <c r="N292" s="995"/>
      <c r="O292" s="995"/>
      <c r="P292" s="995"/>
      <c r="Q292" s="995"/>
      <c r="R292" s="995"/>
      <c r="S292" s="995"/>
      <c r="T292" s="995"/>
      <c r="U292" s="995"/>
      <c r="V292" s="995"/>
      <c r="W292" s="995"/>
      <c r="X292" s="995"/>
      <c r="Y292" s="995"/>
      <c r="Z292" s="995"/>
      <c r="AA292" s="995"/>
      <c r="AB292" s="995"/>
      <c r="AC292" s="995"/>
      <c r="AD292" s="995"/>
      <c r="AE292" s="995"/>
      <c r="AF292" s="995"/>
      <c r="AG292" s="995"/>
      <c r="AH292" s="995"/>
      <c r="AI292" s="995"/>
      <c r="AJ292" s="995"/>
    </row>
    <row r="293" spans="2:36" x14ac:dyDescent="0.25">
      <c r="B293" s="687"/>
      <c r="C293" s="687"/>
      <c r="D293" s="687"/>
      <c r="E293" s="995"/>
      <c r="F293" s="995"/>
      <c r="G293" s="995"/>
      <c r="H293" s="995"/>
      <c r="I293" s="995"/>
      <c r="J293" s="995"/>
      <c r="K293" s="995"/>
      <c r="L293" s="995"/>
      <c r="M293" s="995"/>
      <c r="N293" s="995"/>
      <c r="O293" s="995"/>
      <c r="P293" s="995"/>
      <c r="Q293" s="995"/>
      <c r="R293" s="995"/>
      <c r="S293" s="995"/>
      <c r="T293" s="995"/>
      <c r="U293" s="995"/>
      <c r="V293" s="995"/>
      <c r="W293" s="995"/>
      <c r="X293" s="995"/>
      <c r="Y293" s="995"/>
      <c r="Z293" s="995"/>
      <c r="AA293" s="995"/>
      <c r="AB293" s="995"/>
      <c r="AC293" s="995"/>
      <c r="AD293" s="995"/>
      <c r="AE293" s="995"/>
      <c r="AF293" s="995"/>
      <c r="AG293" s="995"/>
      <c r="AH293" s="995"/>
      <c r="AI293" s="995"/>
      <c r="AJ293" s="995"/>
    </row>
    <row r="294" spans="2:36" x14ac:dyDescent="0.25">
      <c r="B294" s="687"/>
      <c r="C294" s="687"/>
      <c r="D294" s="687"/>
      <c r="E294" s="995"/>
      <c r="F294" s="995"/>
      <c r="G294" s="995"/>
      <c r="H294" s="995"/>
      <c r="I294" s="995"/>
      <c r="J294" s="995"/>
      <c r="K294" s="995"/>
      <c r="L294" s="995"/>
      <c r="M294" s="995"/>
      <c r="N294" s="995"/>
      <c r="O294" s="995"/>
      <c r="P294" s="995"/>
      <c r="Q294" s="995"/>
      <c r="R294" s="995"/>
      <c r="S294" s="995"/>
      <c r="T294" s="995"/>
      <c r="U294" s="995"/>
      <c r="V294" s="995"/>
      <c r="W294" s="995"/>
      <c r="X294" s="995"/>
      <c r="Y294" s="995"/>
      <c r="Z294" s="995"/>
      <c r="AA294" s="995"/>
      <c r="AB294" s="995"/>
      <c r="AC294" s="995"/>
      <c r="AD294" s="995"/>
      <c r="AE294" s="995"/>
      <c r="AF294" s="995"/>
      <c r="AG294" s="995"/>
      <c r="AH294" s="995"/>
      <c r="AI294" s="995"/>
      <c r="AJ294" s="995"/>
    </row>
    <row r="295" spans="2:36" x14ac:dyDescent="0.25">
      <c r="B295" s="687"/>
      <c r="C295" s="687"/>
      <c r="D295" s="687"/>
      <c r="E295" s="995"/>
      <c r="F295" s="995"/>
      <c r="G295" s="995"/>
      <c r="H295" s="995"/>
      <c r="I295" s="995"/>
      <c r="J295" s="995"/>
      <c r="K295" s="995"/>
      <c r="L295" s="995"/>
      <c r="M295" s="995"/>
      <c r="N295" s="995"/>
      <c r="O295" s="995"/>
      <c r="P295" s="995"/>
      <c r="Q295" s="995"/>
      <c r="R295" s="995"/>
      <c r="S295" s="995"/>
      <c r="T295" s="995"/>
      <c r="U295" s="995"/>
      <c r="V295" s="995"/>
      <c r="W295" s="995"/>
      <c r="X295" s="995"/>
      <c r="Y295" s="995"/>
      <c r="Z295" s="995"/>
      <c r="AA295" s="995"/>
      <c r="AB295" s="995"/>
      <c r="AC295" s="995"/>
      <c r="AD295" s="995"/>
      <c r="AE295" s="995"/>
      <c r="AF295" s="995"/>
      <c r="AG295" s="995"/>
      <c r="AH295" s="995"/>
      <c r="AI295" s="995"/>
      <c r="AJ295" s="995"/>
    </row>
    <row r="296" spans="2:36" x14ac:dyDescent="0.25">
      <c r="B296" s="687"/>
      <c r="C296" s="687"/>
      <c r="D296" s="687"/>
      <c r="E296" s="995"/>
      <c r="F296" s="995"/>
      <c r="G296" s="995"/>
      <c r="H296" s="995"/>
      <c r="I296" s="995"/>
      <c r="J296" s="995"/>
      <c r="K296" s="995"/>
      <c r="L296" s="995"/>
      <c r="M296" s="995"/>
      <c r="N296" s="995"/>
      <c r="O296" s="995"/>
      <c r="P296" s="995"/>
      <c r="Q296" s="995"/>
      <c r="R296" s="995"/>
      <c r="S296" s="995"/>
      <c r="T296" s="995"/>
      <c r="U296" s="995"/>
      <c r="V296" s="995"/>
      <c r="W296" s="995"/>
      <c r="X296" s="995"/>
      <c r="Y296" s="995"/>
      <c r="Z296" s="995"/>
      <c r="AA296" s="995"/>
      <c r="AB296" s="995"/>
      <c r="AC296" s="995"/>
      <c r="AD296" s="995"/>
      <c r="AE296" s="995"/>
      <c r="AF296" s="995"/>
      <c r="AG296" s="995"/>
      <c r="AH296" s="995"/>
      <c r="AI296" s="995"/>
      <c r="AJ296" s="995"/>
    </row>
    <row r="297" spans="2:36" x14ac:dyDescent="0.25">
      <c r="B297" s="687"/>
      <c r="C297" s="687"/>
      <c r="D297" s="687"/>
      <c r="E297" s="995"/>
      <c r="F297" s="995"/>
      <c r="G297" s="995"/>
      <c r="H297" s="995"/>
      <c r="I297" s="995"/>
      <c r="J297" s="995"/>
      <c r="K297" s="995"/>
      <c r="L297" s="995"/>
      <c r="M297" s="995"/>
      <c r="N297" s="995"/>
      <c r="O297" s="995"/>
      <c r="P297" s="995"/>
      <c r="Q297" s="995"/>
      <c r="R297" s="995"/>
      <c r="S297" s="995"/>
      <c r="T297" s="995"/>
      <c r="U297" s="995"/>
      <c r="V297" s="995"/>
      <c r="W297" s="995"/>
      <c r="X297" s="995"/>
      <c r="Y297" s="995"/>
      <c r="Z297" s="995"/>
      <c r="AA297" s="995"/>
      <c r="AB297" s="995"/>
      <c r="AC297" s="995"/>
      <c r="AD297" s="995"/>
      <c r="AE297" s="995"/>
      <c r="AF297" s="995"/>
      <c r="AG297" s="995"/>
      <c r="AH297" s="995"/>
      <c r="AI297" s="995"/>
      <c r="AJ297" s="995"/>
    </row>
    <row r="298" spans="2:36" x14ac:dyDescent="0.25">
      <c r="B298" s="687"/>
      <c r="C298" s="687"/>
      <c r="D298" s="687"/>
      <c r="E298" s="995"/>
      <c r="F298" s="995"/>
      <c r="G298" s="995"/>
      <c r="H298" s="995"/>
      <c r="I298" s="995"/>
      <c r="J298" s="995"/>
      <c r="K298" s="995"/>
      <c r="L298" s="995"/>
      <c r="M298" s="995"/>
      <c r="N298" s="995"/>
      <c r="O298" s="995"/>
      <c r="P298" s="995"/>
      <c r="Q298" s="995"/>
      <c r="R298" s="995"/>
      <c r="S298" s="995"/>
      <c r="T298" s="995"/>
      <c r="U298" s="995"/>
      <c r="V298" s="995"/>
      <c r="W298" s="995"/>
      <c r="X298" s="995"/>
      <c r="Y298" s="995"/>
      <c r="Z298" s="995"/>
      <c r="AA298" s="995"/>
      <c r="AB298" s="995"/>
      <c r="AC298" s="995"/>
      <c r="AD298" s="995"/>
      <c r="AE298" s="995"/>
      <c r="AF298" s="995"/>
      <c r="AG298" s="995"/>
      <c r="AH298" s="995"/>
      <c r="AI298" s="995"/>
      <c r="AJ298" s="995"/>
    </row>
    <row r="299" spans="2:36" x14ac:dyDescent="0.25">
      <c r="B299" s="687"/>
      <c r="C299" s="687"/>
      <c r="D299" s="687"/>
      <c r="E299" s="995"/>
      <c r="F299" s="995"/>
      <c r="G299" s="995"/>
      <c r="H299" s="995"/>
      <c r="I299" s="995"/>
      <c r="J299" s="995"/>
      <c r="K299" s="995"/>
      <c r="L299" s="995"/>
      <c r="M299" s="995"/>
      <c r="N299" s="995"/>
      <c r="O299" s="995"/>
      <c r="P299" s="995"/>
      <c r="Q299" s="995"/>
      <c r="R299" s="995"/>
      <c r="S299" s="995"/>
      <c r="T299" s="995"/>
      <c r="U299" s="995"/>
      <c r="V299" s="995"/>
      <c r="W299" s="995"/>
      <c r="X299" s="995"/>
      <c r="Y299" s="995"/>
      <c r="Z299" s="995"/>
      <c r="AA299" s="995"/>
      <c r="AB299" s="995"/>
      <c r="AC299" s="995"/>
      <c r="AD299" s="995"/>
      <c r="AE299" s="995"/>
      <c r="AF299" s="995"/>
      <c r="AG299" s="995"/>
      <c r="AH299" s="995"/>
      <c r="AI299" s="995"/>
      <c r="AJ299" s="995"/>
    </row>
    <row r="300" spans="2:36" x14ac:dyDescent="0.25">
      <c r="B300" s="687"/>
      <c r="C300" s="687"/>
      <c r="D300" s="687"/>
      <c r="E300" s="995"/>
      <c r="F300" s="995"/>
      <c r="G300" s="995"/>
      <c r="H300" s="995"/>
      <c r="I300" s="995"/>
      <c r="J300" s="995"/>
      <c r="K300" s="995"/>
      <c r="L300" s="995"/>
      <c r="M300" s="995"/>
      <c r="N300" s="995"/>
      <c r="O300" s="995"/>
      <c r="P300" s="995"/>
      <c r="Q300" s="995"/>
      <c r="R300" s="995"/>
      <c r="S300" s="995"/>
      <c r="T300" s="995"/>
      <c r="U300" s="995"/>
      <c r="V300" s="995"/>
      <c r="W300" s="995"/>
      <c r="X300" s="995"/>
      <c r="Y300" s="995"/>
      <c r="Z300" s="995"/>
      <c r="AA300" s="995"/>
      <c r="AB300" s="995"/>
      <c r="AC300" s="995"/>
      <c r="AD300" s="995"/>
      <c r="AE300" s="995"/>
      <c r="AF300" s="995"/>
      <c r="AG300" s="995"/>
      <c r="AH300" s="995"/>
      <c r="AI300" s="995"/>
      <c r="AJ300" s="995"/>
    </row>
    <row r="301" spans="2:36" x14ac:dyDescent="0.25">
      <c r="B301" s="687"/>
      <c r="C301" s="687"/>
      <c r="D301" s="687"/>
      <c r="E301" s="995"/>
      <c r="F301" s="995"/>
      <c r="G301" s="995"/>
      <c r="H301" s="995"/>
      <c r="I301" s="995"/>
      <c r="J301" s="995"/>
      <c r="K301" s="995"/>
      <c r="L301" s="995"/>
      <c r="M301" s="995"/>
      <c r="N301" s="995"/>
      <c r="O301" s="995"/>
      <c r="P301" s="995"/>
      <c r="Q301" s="995"/>
      <c r="R301" s="995"/>
      <c r="S301" s="995"/>
      <c r="T301" s="995"/>
      <c r="U301" s="995"/>
      <c r="V301" s="995"/>
      <c r="W301" s="995"/>
      <c r="X301" s="995"/>
      <c r="Y301" s="995"/>
      <c r="Z301" s="995"/>
      <c r="AA301" s="995"/>
      <c r="AB301" s="995"/>
      <c r="AC301" s="995"/>
      <c r="AD301" s="995"/>
      <c r="AE301" s="995"/>
      <c r="AF301" s="995"/>
      <c r="AG301" s="995"/>
      <c r="AH301" s="995"/>
      <c r="AI301" s="995"/>
      <c r="AJ301" s="995"/>
    </row>
    <row r="302" spans="2:36" x14ac:dyDescent="0.25">
      <c r="B302" s="687"/>
      <c r="C302" s="687"/>
      <c r="D302" s="687"/>
      <c r="E302" s="995"/>
      <c r="F302" s="995"/>
      <c r="G302" s="995"/>
      <c r="H302" s="995"/>
      <c r="I302" s="995"/>
      <c r="J302" s="995"/>
      <c r="K302" s="995"/>
      <c r="L302" s="995"/>
      <c r="M302" s="995"/>
      <c r="N302" s="995"/>
      <c r="O302" s="995"/>
      <c r="P302" s="995"/>
      <c r="Q302" s="995"/>
      <c r="R302" s="995"/>
      <c r="S302" s="995"/>
      <c r="T302" s="995"/>
      <c r="U302" s="995"/>
      <c r="V302" s="995"/>
      <c r="W302" s="995"/>
      <c r="X302" s="995"/>
      <c r="Y302" s="995"/>
      <c r="Z302" s="995"/>
      <c r="AA302" s="995"/>
      <c r="AB302" s="995"/>
      <c r="AC302" s="995"/>
      <c r="AD302" s="995"/>
      <c r="AE302" s="995"/>
      <c r="AF302" s="995"/>
      <c r="AG302" s="995"/>
      <c r="AH302" s="995"/>
      <c r="AI302" s="995"/>
      <c r="AJ302" s="995"/>
    </row>
    <row r="303" spans="2:36" x14ac:dyDescent="0.25">
      <c r="B303" s="687"/>
      <c r="C303" s="687"/>
      <c r="D303" s="687"/>
      <c r="E303" s="995"/>
      <c r="F303" s="995"/>
      <c r="G303" s="995"/>
      <c r="H303" s="995"/>
      <c r="I303" s="995"/>
      <c r="J303" s="995"/>
      <c r="K303" s="995"/>
      <c r="L303" s="995"/>
      <c r="M303" s="995"/>
      <c r="N303" s="995"/>
      <c r="O303" s="995"/>
      <c r="P303" s="995"/>
      <c r="Q303" s="995"/>
      <c r="R303" s="995"/>
      <c r="S303" s="995"/>
      <c r="T303" s="995"/>
      <c r="U303" s="995"/>
      <c r="V303" s="995"/>
      <c r="W303" s="995"/>
      <c r="X303" s="995"/>
      <c r="Y303" s="995"/>
      <c r="Z303" s="995"/>
      <c r="AA303" s="995"/>
      <c r="AB303" s="995"/>
      <c r="AC303" s="995"/>
      <c r="AD303" s="995"/>
      <c r="AE303" s="995"/>
      <c r="AF303" s="995"/>
      <c r="AG303" s="995"/>
      <c r="AH303" s="995"/>
      <c r="AI303" s="995"/>
      <c r="AJ303" s="995"/>
    </row>
    <row r="304" spans="2:36" x14ac:dyDescent="0.25">
      <c r="B304" s="687"/>
      <c r="C304" s="687"/>
      <c r="D304" s="687"/>
      <c r="E304" s="995"/>
      <c r="F304" s="995"/>
      <c r="G304" s="995"/>
      <c r="H304" s="995"/>
      <c r="I304" s="995"/>
      <c r="J304" s="995"/>
      <c r="K304" s="995"/>
      <c r="L304" s="995"/>
      <c r="M304" s="995"/>
      <c r="N304" s="995"/>
      <c r="O304" s="995"/>
      <c r="P304" s="995"/>
      <c r="Q304" s="995"/>
      <c r="R304" s="995"/>
      <c r="S304" s="995"/>
      <c r="T304" s="995"/>
      <c r="U304" s="995"/>
      <c r="V304" s="995"/>
      <c r="W304" s="995"/>
      <c r="X304" s="995"/>
      <c r="Y304" s="995"/>
      <c r="Z304" s="995"/>
      <c r="AA304" s="995"/>
      <c r="AB304" s="995"/>
      <c r="AC304" s="995"/>
      <c r="AD304" s="995"/>
      <c r="AE304" s="995"/>
      <c r="AF304" s="995"/>
      <c r="AG304" s="995"/>
      <c r="AH304" s="995"/>
      <c r="AI304" s="995"/>
      <c r="AJ304" s="995"/>
    </row>
    <row r="305" spans="2:36" x14ac:dyDescent="0.25">
      <c r="B305" s="687"/>
      <c r="C305" s="687"/>
      <c r="D305" s="687"/>
      <c r="E305" s="995"/>
      <c r="F305" s="995"/>
      <c r="G305" s="995"/>
      <c r="H305" s="995"/>
      <c r="I305" s="995"/>
      <c r="J305" s="995"/>
      <c r="K305" s="995"/>
      <c r="L305" s="995"/>
      <c r="M305" s="995"/>
      <c r="N305" s="995"/>
      <c r="O305" s="995"/>
      <c r="P305" s="995"/>
      <c r="Q305" s="995"/>
      <c r="R305" s="995"/>
      <c r="S305" s="995"/>
      <c r="T305" s="995"/>
      <c r="U305" s="995"/>
      <c r="V305" s="995"/>
      <c r="W305" s="995"/>
      <c r="X305" s="995"/>
      <c r="Y305" s="995"/>
      <c r="Z305" s="995"/>
      <c r="AA305" s="995"/>
      <c r="AB305" s="995"/>
      <c r="AC305" s="995"/>
      <c r="AD305" s="995"/>
      <c r="AE305" s="995"/>
      <c r="AF305" s="995"/>
      <c r="AG305" s="995"/>
      <c r="AH305" s="995"/>
      <c r="AI305" s="995"/>
      <c r="AJ305" s="995"/>
    </row>
    <row r="306" spans="2:36" x14ac:dyDescent="0.25">
      <c r="B306" s="687"/>
      <c r="C306" s="687"/>
      <c r="D306" s="687"/>
      <c r="E306" s="995"/>
      <c r="F306" s="995"/>
      <c r="G306" s="995"/>
      <c r="H306" s="995"/>
      <c r="I306" s="995"/>
      <c r="J306" s="995"/>
      <c r="K306" s="995"/>
      <c r="L306" s="995"/>
      <c r="M306" s="995"/>
      <c r="N306" s="995"/>
      <c r="O306" s="995"/>
      <c r="P306" s="995"/>
      <c r="Q306" s="995"/>
      <c r="R306" s="995"/>
      <c r="S306" s="995"/>
      <c r="T306" s="995"/>
      <c r="U306" s="995"/>
      <c r="V306" s="995"/>
      <c r="W306" s="995"/>
      <c r="X306" s="995"/>
      <c r="Y306" s="995"/>
      <c r="Z306" s="995"/>
      <c r="AA306" s="995"/>
      <c r="AB306" s="995"/>
      <c r="AC306" s="995"/>
      <c r="AD306" s="995"/>
      <c r="AE306" s="995"/>
      <c r="AF306" s="995"/>
      <c r="AG306" s="995"/>
      <c r="AH306" s="995"/>
      <c r="AI306" s="995"/>
      <c r="AJ306" s="995"/>
    </row>
    <row r="307" spans="2:36" x14ac:dyDescent="0.25">
      <c r="B307" s="687"/>
      <c r="C307" s="687"/>
      <c r="D307" s="687"/>
      <c r="E307" s="995"/>
      <c r="F307" s="995"/>
      <c r="G307" s="995"/>
      <c r="H307" s="995"/>
      <c r="I307" s="995"/>
      <c r="J307" s="995"/>
      <c r="K307" s="995"/>
      <c r="L307" s="995"/>
      <c r="M307" s="995"/>
      <c r="N307" s="995"/>
      <c r="O307" s="995"/>
      <c r="P307" s="995"/>
      <c r="Q307" s="995"/>
      <c r="R307" s="995"/>
      <c r="S307" s="995"/>
      <c r="T307" s="995"/>
      <c r="U307" s="995"/>
      <c r="V307" s="995"/>
      <c r="W307" s="995"/>
      <c r="X307" s="995"/>
      <c r="Y307" s="995"/>
      <c r="Z307" s="995"/>
      <c r="AA307" s="995"/>
      <c r="AB307" s="995"/>
      <c r="AC307" s="995"/>
      <c r="AD307" s="995"/>
      <c r="AE307" s="995"/>
      <c r="AF307" s="995"/>
      <c r="AG307" s="995"/>
      <c r="AH307" s="995"/>
      <c r="AI307" s="995"/>
      <c r="AJ307" s="995"/>
    </row>
    <row r="308" spans="2:36" x14ac:dyDescent="0.25">
      <c r="B308" s="687"/>
      <c r="C308" s="687"/>
      <c r="D308" s="687"/>
      <c r="E308" s="995"/>
      <c r="F308" s="995"/>
      <c r="G308" s="995"/>
      <c r="H308" s="995"/>
      <c r="I308" s="995"/>
      <c r="J308" s="995"/>
      <c r="K308" s="995"/>
      <c r="L308" s="995"/>
      <c r="M308" s="995"/>
      <c r="N308" s="995"/>
      <c r="O308" s="995"/>
      <c r="P308" s="995"/>
      <c r="Q308" s="995"/>
      <c r="R308" s="995"/>
      <c r="S308" s="995"/>
      <c r="T308" s="995"/>
      <c r="U308" s="995"/>
      <c r="V308" s="995"/>
      <c r="W308" s="995"/>
      <c r="X308" s="995"/>
      <c r="Y308" s="995"/>
      <c r="Z308" s="995"/>
      <c r="AA308" s="995"/>
      <c r="AB308" s="995"/>
      <c r="AC308" s="995"/>
      <c r="AD308" s="995"/>
      <c r="AE308" s="995"/>
      <c r="AF308" s="995"/>
      <c r="AG308" s="995"/>
      <c r="AH308" s="995"/>
      <c r="AI308" s="995"/>
      <c r="AJ308" s="995"/>
    </row>
    <row r="309" spans="2:36" x14ac:dyDescent="0.25">
      <c r="B309" s="687"/>
      <c r="C309" s="687"/>
      <c r="D309" s="687"/>
      <c r="E309" s="995"/>
      <c r="F309" s="995"/>
      <c r="G309" s="995"/>
      <c r="H309" s="995"/>
      <c r="I309" s="995"/>
      <c r="J309" s="995"/>
      <c r="K309" s="995"/>
      <c r="L309" s="995"/>
      <c r="M309" s="995"/>
      <c r="N309" s="995"/>
      <c r="O309" s="995"/>
      <c r="P309" s="995"/>
      <c r="Q309" s="995"/>
      <c r="R309" s="995"/>
      <c r="S309" s="995"/>
      <c r="T309" s="995"/>
      <c r="U309" s="995"/>
      <c r="V309" s="995"/>
      <c r="W309" s="995"/>
      <c r="X309" s="995"/>
      <c r="Y309" s="995"/>
      <c r="Z309" s="995"/>
      <c r="AA309" s="995"/>
      <c r="AB309" s="995"/>
      <c r="AC309" s="995"/>
      <c r="AD309" s="995"/>
      <c r="AE309" s="995"/>
      <c r="AF309" s="995"/>
      <c r="AG309" s="995"/>
      <c r="AH309" s="995"/>
      <c r="AI309" s="995"/>
      <c r="AJ309" s="995"/>
    </row>
    <row r="310" spans="2:36" x14ac:dyDescent="0.25">
      <c r="B310" s="687"/>
      <c r="C310" s="687"/>
      <c r="D310" s="687"/>
      <c r="E310" s="995"/>
      <c r="F310" s="995"/>
      <c r="G310" s="995"/>
      <c r="H310" s="995"/>
      <c r="I310" s="995"/>
      <c r="J310" s="995"/>
      <c r="K310" s="995"/>
      <c r="L310" s="995"/>
      <c r="M310" s="995"/>
      <c r="N310" s="995"/>
      <c r="O310" s="995"/>
      <c r="P310" s="995"/>
      <c r="Q310" s="995"/>
      <c r="R310" s="995"/>
      <c r="S310" s="995"/>
      <c r="T310" s="995"/>
      <c r="U310" s="995"/>
      <c r="V310" s="995"/>
      <c r="W310" s="995"/>
      <c r="X310" s="995"/>
      <c r="Y310" s="995"/>
      <c r="Z310" s="995"/>
      <c r="AA310" s="995"/>
      <c r="AB310" s="995"/>
      <c r="AC310" s="995"/>
      <c r="AD310" s="995"/>
      <c r="AE310" s="995"/>
      <c r="AF310" s="995"/>
      <c r="AG310" s="995"/>
      <c r="AH310" s="995"/>
      <c r="AI310" s="995"/>
      <c r="AJ310" s="995"/>
    </row>
    <row r="311" spans="2:36" x14ac:dyDescent="0.25">
      <c r="B311" s="687"/>
      <c r="C311" s="687"/>
      <c r="D311" s="687"/>
      <c r="E311" s="995"/>
      <c r="F311" s="995"/>
      <c r="G311" s="995"/>
      <c r="H311" s="995"/>
      <c r="I311" s="995"/>
      <c r="J311" s="995"/>
      <c r="K311" s="995"/>
      <c r="L311" s="995"/>
      <c r="M311" s="995"/>
      <c r="N311" s="995"/>
      <c r="O311" s="995"/>
      <c r="P311" s="995"/>
      <c r="Q311" s="995"/>
      <c r="R311" s="995"/>
      <c r="S311" s="995"/>
      <c r="T311" s="995"/>
      <c r="U311" s="995"/>
      <c r="V311" s="995"/>
      <c r="W311" s="995"/>
      <c r="X311" s="995"/>
      <c r="Y311" s="995"/>
      <c r="Z311" s="995"/>
      <c r="AA311" s="995"/>
      <c r="AB311" s="995"/>
      <c r="AC311" s="995"/>
      <c r="AD311" s="995"/>
      <c r="AE311" s="995"/>
      <c r="AF311" s="995"/>
      <c r="AG311" s="995"/>
      <c r="AH311" s="995"/>
      <c r="AI311" s="995"/>
      <c r="AJ311" s="995"/>
    </row>
    <row r="312" spans="2:36" x14ac:dyDescent="0.25">
      <c r="B312" s="687"/>
      <c r="C312" s="687"/>
      <c r="D312" s="687"/>
      <c r="E312" s="995"/>
      <c r="F312" s="995"/>
      <c r="G312" s="995"/>
      <c r="H312" s="995"/>
      <c r="I312" s="995"/>
      <c r="J312" s="995"/>
      <c r="K312" s="995"/>
      <c r="L312" s="995"/>
      <c r="M312" s="995"/>
      <c r="N312" s="995"/>
      <c r="O312" s="995"/>
      <c r="P312" s="995"/>
      <c r="Q312" s="995"/>
      <c r="R312" s="995"/>
      <c r="S312" s="995"/>
      <c r="T312" s="995"/>
      <c r="U312" s="995"/>
      <c r="V312" s="995"/>
      <c r="W312" s="995"/>
      <c r="X312" s="995"/>
      <c r="Y312" s="995"/>
      <c r="Z312" s="995"/>
      <c r="AA312" s="995"/>
      <c r="AB312" s="995"/>
      <c r="AC312" s="995"/>
      <c r="AD312" s="995"/>
      <c r="AE312" s="995"/>
      <c r="AF312" s="995"/>
      <c r="AG312" s="995"/>
      <c r="AH312" s="995"/>
      <c r="AI312" s="995"/>
      <c r="AJ312" s="995"/>
    </row>
    <row r="313" spans="2:36" x14ac:dyDescent="0.25">
      <c r="B313" s="687"/>
      <c r="C313" s="687"/>
      <c r="D313" s="687"/>
      <c r="E313" s="995"/>
      <c r="F313" s="995"/>
      <c r="G313" s="995"/>
      <c r="H313" s="995"/>
      <c r="I313" s="995"/>
      <c r="J313" s="995"/>
      <c r="K313" s="995"/>
      <c r="L313" s="995"/>
      <c r="M313" s="995"/>
      <c r="N313" s="995"/>
      <c r="O313" s="995"/>
      <c r="P313" s="995"/>
      <c r="Q313" s="995"/>
      <c r="R313" s="995"/>
      <c r="S313" s="995"/>
      <c r="T313" s="995"/>
      <c r="U313" s="995"/>
      <c r="V313" s="995"/>
      <c r="W313" s="995"/>
      <c r="X313" s="995"/>
      <c r="Y313" s="995"/>
      <c r="Z313" s="995"/>
      <c r="AA313" s="995"/>
      <c r="AB313" s="995"/>
      <c r="AC313" s="995"/>
      <c r="AD313" s="995"/>
      <c r="AE313" s="995"/>
      <c r="AF313" s="995"/>
      <c r="AG313" s="995"/>
      <c r="AH313" s="995"/>
      <c r="AI313" s="995"/>
      <c r="AJ313" s="995"/>
    </row>
    <row r="314" spans="2:36" x14ac:dyDescent="0.25">
      <c r="B314" s="687"/>
      <c r="C314" s="687"/>
      <c r="D314" s="687"/>
      <c r="E314" s="995"/>
      <c r="F314" s="995"/>
      <c r="G314" s="995"/>
      <c r="H314" s="995"/>
      <c r="I314" s="995"/>
      <c r="J314" s="995"/>
      <c r="K314" s="995"/>
      <c r="L314" s="995"/>
      <c r="M314" s="995"/>
      <c r="N314" s="995"/>
      <c r="O314" s="995"/>
      <c r="P314" s="995"/>
      <c r="Q314" s="995"/>
      <c r="R314" s="995"/>
      <c r="S314" s="995"/>
      <c r="T314" s="995"/>
      <c r="U314" s="995"/>
      <c r="V314" s="995"/>
      <c r="W314" s="995"/>
      <c r="X314" s="995"/>
      <c r="Y314" s="995"/>
      <c r="Z314" s="995"/>
      <c r="AA314" s="995"/>
      <c r="AB314" s="995"/>
      <c r="AC314" s="995"/>
      <c r="AD314" s="995"/>
      <c r="AE314" s="995"/>
      <c r="AF314" s="995"/>
      <c r="AG314" s="995"/>
      <c r="AH314" s="995"/>
      <c r="AI314" s="995"/>
      <c r="AJ314" s="995"/>
    </row>
    <row r="315" spans="2:36" x14ac:dyDescent="0.25">
      <c r="B315" s="687"/>
      <c r="C315" s="687"/>
      <c r="D315" s="687"/>
      <c r="E315" s="995"/>
      <c r="F315" s="995"/>
      <c r="G315" s="995"/>
      <c r="H315" s="995"/>
      <c r="I315" s="995"/>
      <c r="J315" s="995"/>
      <c r="K315" s="995"/>
      <c r="L315" s="995"/>
      <c r="M315" s="995"/>
      <c r="N315" s="995"/>
      <c r="O315" s="995"/>
      <c r="P315" s="995"/>
      <c r="Q315" s="995"/>
      <c r="R315" s="995"/>
      <c r="S315" s="995"/>
      <c r="T315" s="995"/>
      <c r="U315" s="995"/>
      <c r="V315" s="995"/>
      <c r="W315" s="995"/>
      <c r="X315" s="995"/>
      <c r="Y315" s="995"/>
      <c r="Z315" s="995"/>
      <c r="AA315" s="995"/>
      <c r="AB315" s="995"/>
      <c r="AC315" s="995"/>
      <c r="AD315" s="995"/>
      <c r="AE315" s="995"/>
      <c r="AF315" s="995"/>
      <c r="AG315" s="995"/>
      <c r="AH315" s="995"/>
      <c r="AI315" s="995"/>
      <c r="AJ315" s="995"/>
    </row>
    <row r="316" spans="2:36" x14ac:dyDescent="0.25">
      <c r="B316" s="687"/>
      <c r="C316" s="687"/>
      <c r="D316" s="687"/>
      <c r="E316" s="995"/>
      <c r="F316" s="995"/>
      <c r="G316" s="995"/>
      <c r="H316" s="995"/>
      <c r="I316" s="995"/>
      <c r="J316" s="995"/>
      <c r="K316" s="995"/>
      <c r="L316" s="995"/>
      <c r="M316" s="995"/>
      <c r="N316" s="995"/>
      <c r="O316" s="995"/>
      <c r="P316" s="995"/>
      <c r="Q316" s="995"/>
      <c r="R316" s="995"/>
      <c r="S316" s="995"/>
      <c r="T316" s="995"/>
      <c r="U316" s="995"/>
      <c r="V316" s="995"/>
      <c r="W316" s="995"/>
      <c r="X316" s="995"/>
      <c r="Y316" s="995"/>
      <c r="Z316" s="995"/>
      <c r="AA316" s="995"/>
      <c r="AB316" s="995"/>
      <c r="AC316" s="995"/>
      <c r="AD316" s="995"/>
      <c r="AE316" s="995"/>
      <c r="AF316" s="995"/>
      <c r="AG316" s="995"/>
      <c r="AH316" s="995"/>
      <c r="AI316" s="995"/>
      <c r="AJ316" s="995"/>
    </row>
    <row r="317" spans="2:36" x14ac:dyDescent="0.25">
      <c r="B317" s="687"/>
      <c r="C317" s="687"/>
      <c r="D317" s="687"/>
      <c r="E317" s="995"/>
      <c r="F317" s="995"/>
      <c r="G317" s="995"/>
      <c r="H317" s="995"/>
      <c r="I317" s="995"/>
      <c r="J317" s="995"/>
      <c r="K317" s="995"/>
      <c r="L317" s="995"/>
      <c r="M317" s="995"/>
      <c r="N317" s="995"/>
      <c r="O317" s="995"/>
      <c r="P317" s="995"/>
      <c r="Q317" s="995"/>
      <c r="R317" s="995"/>
      <c r="S317" s="995"/>
      <c r="T317" s="995"/>
      <c r="U317" s="995"/>
      <c r="V317" s="995"/>
      <c r="W317" s="995"/>
      <c r="X317" s="995"/>
      <c r="Y317" s="995"/>
      <c r="Z317" s="995"/>
      <c r="AA317" s="995"/>
      <c r="AB317" s="995"/>
      <c r="AC317" s="995"/>
      <c r="AD317" s="995"/>
      <c r="AE317" s="995"/>
      <c r="AF317" s="995"/>
      <c r="AG317" s="995"/>
      <c r="AH317" s="995"/>
      <c r="AI317" s="995"/>
      <c r="AJ317" s="995"/>
    </row>
    <row r="318" spans="2:36" x14ac:dyDescent="0.25">
      <c r="B318" s="687"/>
      <c r="C318" s="687"/>
      <c r="D318" s="687"/>
      <c r="E318" s="995"/>
      <c r="F318" s="995"/>
      <c r="G318" s="995"/>
      <c r="H318" s="995"/>
      <c r="I318" s="995"/>
      <c r="J318" s="995"/>
      <c r="K318" s="995"/>
      <c r="L318" s="995"/>
      <c r="M318" s="995"/>
      <c r="N318" s="995"/>
      <c r="O318" s="995"/>
      <c r="P318" s="995"/>
      <c r="Q318" s="995"/>
      <c r="R318" s="995"/>
      <c r="S318" s="995"/>
      <c r="T318" s="995"/>
      <c r="U318" s="995"/>
      <c r="V318" s="995"/>
      <c r="W318" s="995"/>
      <c r="X318" s="995"/>
      <c r="Y318" s="995"/>
      <c r="Z318" s="995"/>
      <c r="AA318" s="995"/>
      <c r="AB318" s="995"/>
      <c r="AC318" s="995"/>
      <c r="AD318" s="995"/>
      <c r="AE318" s="995"/>
      <c r="AF318" s="995"/>
      <c r="AG318" s="995"/>
      <c r="AH318" s="995"/>
      <c r="AI318" s="995"/>
      <c r="AJ318" s="995"/>
    </row>
    <row r="319" spans="2:36" x14ac:dyDescent="0.25">
      <c r="B319" s="687"/>
      <c r="C319" s="687"/>
      <c r="D319" s="687"/>
      <c r="E319" s="995"/>
      <c r="F319" s="995"/>
      <c r="G319" s="995"/>
      <c r="H319" s="995"/>
      <c r="I319" s="995"/>
      <c r="J319" s="995"/>
      <c r="K319" s="995"/>
      <c r="L319" s="995"/>
      <c r="M319" s="995"/>
      <c r="N319" s="995"/>
      <c r="O319" s="995"/>
      <c r="P319" s="995"/>
      <c r="Q319" s="995"/>
      <c r="R319" s="995"/>
      <c r="S319" s="995"/>
      <c r="T319" s="995"/>
      <c r="U319" s="995"/>
      <c r="V319" s="995"/>
      <c r="W319" s="995"/>
      <c r="X319" s="995"/>
      <c r="Y319" s="995"/>
      <c r="Z319" s="995"/>
      <c r="AA319" s="995"/>
      <c r="AB319" s="995"/>
      <c r="AC319" s="995"/>
      <c r="AD319" s="995"/>
      <c r="AE319" s="995"/>
      <c r="AF319" s="995"/>
      <c r="AG319" s="995"/>
      <c r="AH319" s="995"/>
      <c r="AI319" s="995"/>
      <c r="AJ319" s="995"/>
    </row>
    <row r="320" spans="2:36" x14ac:dyDescent="0.25">
      <c r="B320" s="687"/>
      <c r="C320" s="687"/>
      <c r="D320" s="687"/>
      <c r="E320" s="995"/>
      <c r="F320" s="995"/>
      <c r="G320" s="995"/>
      <c r="H320" s="995"/>
      <c r="I320" s="995"/>
      <c r="J320" s="995"/>
      <c r="K320" s="995"/>
      <c r="L320" s="995"/>
      <c r="M320" s="995"/>
      <c r="N320" s="995"/>
      <c r="O320" s="995"/>
      <c r="P320" s="995"/>
      <c r="Q320" s="995"/>
      <c r="R320" s="995"/>
      <c r="S320" s="995"/>
      <c r="T320" s="995"/>
      <c r="U320" s="995"/>
      <c r="V320" s="995"/>
      <c r="W320" s="995"/>
      <c r="X320" s="995"/>
      <c r="Y320" s="995"/>
      <c r="Z320" s="995"/>
      <c r="AA320" s="995"/>
      <c r="AB320" s="995"/>
      <c r="AC320" s="995"/>
      <c r="AD320" s="995"/>
      <c r="AE320" s="995"/>
      <c r="AF320" s="995"/>
      <c r="AG320" s="995"/>
      <c r="AH320" s="995"/>
      <c r="AI320" s="995"/>
      <c r="AJ320" s="995"/>
    </row>
    <row r="321" spans="2:36" x14ac:dyDescent="0.25">
      <c r="B321" s="687"/>
      <c r="C321" s="687"/>
      <c r="D321" s="687"/>
      <c r="E321" s="995"/>
      <c r="F321" s="995"/>
      <c r="G321" s="995"/>
      <c r="H321" s="995"/>
      <c r="I321" s="995"/>
      <c r="J321" s="995"/>
      <c r="K321" s="995"/>
      <c r="L321" s="995"/>
      <c r="M321" s="995"/>
      <c r="N321" s="995"/>
      <c r="O321" s="995"/>
      <c r="P321" s="995"/>
      <c r="Q321" s="995"/>
      <c r="R321" s="995"/>
      <c r="S321" s="995"/>
      <c r="T321" s="995"/>
      <c r="U321" s="995"/>
      <c r="V321" s="995"/>
      <c r="W321" s="995"/>
      <c r="X321" s="995"/>
      <c r="Y321" s="995"/>
      <c r="Z321" s="995"/>
      <c r="AA321" s="995"/>
      <c r="AB321" s="995"/>
      <c r="AC321" s="995"/>
      <c r="AD321" s="995"/>
      <c r="AE321" s="995"/>
      <c r="AF321" s="995"/>
      <c r="AG321" s="995"/>
      <c r="AH321" s="995"/>
      <c r="AI321" s="995"/>
      <c r="AJ321" s="995"/>
    </row>
    <row r="322" spans="2:36" x14ac:dyDescent="0.25">
      <c r="B322" s="687"/>
      <c r="C322" s="687"/>
      <c r="D322" s="687"/>
      <c r="E322" s="995"/>
      <c r="F322" s="995"/>
      <c r="G322" s="995"/>
      <c r="H322" s="995"/>
      <c r="I322" s="995"/>
      <c r="J322" s="995"/>
      <c r="K322" s="995"/>
      <c r="L322" s="995"/>
      <c r="M322" s="995"/>
      <c r="N322" s="995"/>
      <c r="O322" s="995"/>
      <c r="P322" s="995"/>
      <c r="Q322" s="995"/>
      <c r="R322" s="995"/>
      <c r="S322" s="995"/>
      <c r="T322" s="995"/>
      <c r="U322" s="995"/>
      <c r="V322" s="995"/>
      <c r="W322" s="995"/>
      <c r="X322" s="995"/>
      <c r="Y322" s="995"/>
      <c r="Z322" s="995"/>
      <c r="AA322" s="995"/>
      <c r="AB322" s="995"/>
      <c r="AC322" s="995"/>
      <c r="AD322" s="995"/>
      <c r="AE322" s="995"/>
      <c r="AF322" s="995"/>
      <c r="AG322" s="995"/>
      <c r="AH322" s="995"/>
      <c r="AI322" s="995"/>
      <c r="AJ322" s="995"/>
    </row>
    <row r="323" spans="2:36" x14ac:dyDescent="0.25">
      <c r="B323" s="687"/>
      <c r="C323" s="687"/>
      <c r="D323" s="687"/>
      <c r="E323" s="995"/>
      <c r="F323" s="995"/>
      <c r="G323" s="995"/>
      <c r="H323" s="995"/>
      <c r="I323" s="995"/>
      <c r="J323" s="995"/>
      <c r="K323" s="995"/>
      <c r="L323" s="995"/>
      <c r="M323" s="995"/>
      <c r="N323" s="995"/>
      <c r="O323" s="995"/>
      <c r="P323" s="995"/>
      <c r="Q323" s="995"/>
      <c r="R323" s="995"/>
      <c r="S323" s="995"/>
      <c r="T323" s="995"/>
      <c r="U323" s="995"/>
      <c r="V323" s="995"/>
      <c r="W323" s="995"/>
      <c r="X323" s="995"/>
      <c r="Y323" s="995"/>
      <c r="Z323" s="995"/>
      <c r="AA323" s="995"/>
      <c r="AB323" s="995"/>
      <c r="AC323" s="995"/>
      <c r="AD323" s="995"/>
      <c r="AE323" s="995"/>
      <c r="AF323" s="995"/>
      <c r="AG323" s="995"/>
      <c r="AH323" s="995"/>
      <c r="AI323" s="995"/>
      <c r="AJ323" s="995"/>
    </row>
    <row r="324" spans="2:36" x14ac:dyDescent="0.25">
      <c r="B324" s="687"/>
      <c r="C324" s="687"/>
      <c r="D324" s="687"/>
      <c r="E324" s="995"/>
      <c r="F324" s="995"/>
      <c r="G324" s="995"/>
      <c r="H324" s="995"/>
      <c r="I324" s="995"/>
      <c r="J324" s="995"/>
      <c r="K324" s="995"/>
      <c r="L324" s="995"/>
      <c r="M324" s="995"/>
      <c r="N324" s="995"/>
      <c r="O324" s="995"/>
      <c r="P324" s="995"/>
      <c r="Q324" s="995"/>
      <c r="R324" s="995"/>
      <c r="S324" s="995"/>
      <c r="T324" s="995"/>
      <c r="U324" s="995"/>
      <c r="V324" s="995"/>
      <c r="W324" s="995"/>
      <c r="X324" s="995"/>
      <c r="Y324" s="995"/>
      <c r="Z324" s="995"/>
      <c r="AA324" s="995"/>
      <c r="AB324" s="995"/>
      <c r="AC324" s="995"/>
      <c r="AD324" s="995"/>
      <c r="AE324" s="995"/>
      <c r="AF324" s="995"/>
      <c r="AG324" s="995"/>
      <c r="AH324" s="995"/>
      <c r="AI324" s="995"/>
      <c r="AJ324" s="995"/>
    </row>
    <row r="325" spans="2:36" x14ac:dyDescent="0.25">
      <c r="B325" s="687"/>
      <c r="C325" s="687"/>
      <c r="D325" s="687"/>
      <c r="E325" s="995"/>
      <c r="F325" s="995"/>
      <c r="G325" s="995"/>
      <c r="H325" s="995"/>
      <c r="I325" s="995"/>
      <c r="J325" s="995"/>
      <c r="K325" s="995"/>
      <c r="L325" s="995"/>
      <c r="M325" s="995"/>
      <c r="N325" s="995"/>
      <c r="O325" s="995"/>
      <c r="P325" s="995"/>
      <c r="Q325" s="995"/>
      <c r="R325" s="995"/>
      <c r="S325" s="995"/>
      <c r="T325" s="995"/>
      <c r="U325" s="995"/>
      <c r="V325" s="995"/>
      <c r="W325" s="995"/>
      <c r="X325" s="995"/>
      <c r="Y325" s="995"/>
      <c r="Z325" s="995"/>
      <c r="AA325" s="995"/>
      <c r="AB325" s="995"/>
      <c r="AC325" s="995"/>
      <c r="AD325" s="995"/>
      <c r="AE325" s="995"/>
      <c r="AF325" s="995"/>
      <c r="AG325" s="995"/>
      <c r="AH325" s="995"/>
      <c r="AI325" s="995"/>
      <c r="AJ325" s="995"/>
    </row>
    <row r="326" spans="2:36" x14ac:dyDescent="0.25">
      <c r="B326" s="687"/>
      <c r="C326" s="687"/>
      <c r="D326" s="687"/>
      <c r="E326" s="995"/>
      <c r="F326" s="995"/>
      <c r="G326" s="995"/>
      <c r="H326" s="995"/>
      <c r="I326" s="995"/>
      <c r="J326" s="995"/>
      <c r="K326" s="995"/>
      <c r="L326" s="995"/>
      <c r="M326" s="995"/>
      <c r="N326" s="995"/>
      <c r="O326" s="995"/>
      <c r="P326" s="995"/>
      <c r="Q326" s="995"/>
      <c r="R326" s="995"/>
      <c r="S326" s="995"/>
      <c r="T326" s="995"/>
      <c r="U326" s="995"/>
      <c r="V326" s="995"/>
      <c r="W326" s="995"/>
      <c r="X326" s="995"/>
      <c r="Y326" s="995"/>
      <c r="Z326" s="995"/>
      <c r="AA326" s="995"/>
      <c r="AB326" s="995"/>
      <c r="AC326" s="995"/>
      <c r="AD326" s="995"/>
      <c r="AE326" s="995"/>
      <c r="AF326" s="995"/>
      <c r="AG326" s="995"/>
      <c r="AH326" s="995"/>
      <c r="AI326" s="995"/>
      <c r="AJ326" s="995"/>
    </row>
    <row r="327" spans="2:36" x14ac:dyDescent="0.25">
      <c r="B327" s="687"/>
      <c r="C327" s="687"/>
      <c r="D327" s="687"/>
      <c r="E327" s="995"/>
      <c r="F327" s="995"/>
      <c r="G327" s="995"/>
      <c r="H327" s="995"/>
      <c r="I327" s="995"/>
      <c r="J327" s="995"/>
      <c r="K327" s="995"/>
      <c r="L327" s="995"/>
      <c r="M327" s="995"/>
      <c r="N327" s="995"/>
      <c r="O327" s="995"/>
      <c r="P327" s="995"/>
      <c r="Q327" s="995"/>
      <c r="R327" s="995"/>
      <c r="S327" s="995"/>
      <c r="T327" s="995"/>
      <c r="U327" s="995"/>
      <c r="V327" s="995"/>
      <c r="W327" s="995"/>
      <c r="X327" s="995"/>
      <c r="Y327" s="995"/>
      <c r="Z327" s="995"/>
      <c r="AA327" s="995"/>
      <c r="AB327" s="995"/>
      <c r="AC327" s="995"/>
      <c r="AD327" s="995"/>
      <c r="AE327" s="995"/>
      <c r="AF327" s="995"/>
      <c r="AG327" s="995"/>
      <c r="AH327" s="995"/>
      <c r="AI327" s="995"/>
      <c r="AJ327" s="995"/>
    </row>
    <row r="328" spans="2:36" x14ac:dyDescent="0.25">
      <c r="B328" s="687"/>
      <c r="C328" s="687"/>
      <c r="D328" s="687"/>
      <c r="E328" s="995"/>
      <c r="F328" s="995"/>
      <c r="G328" s="995"/>
      <c r="H328" s="995"/>
      <c r="I328" s="995"/>
      <c r="J328" s="995"/>
      <c r="K328" s="995"/>
      <c r="L328" s="995"/>
      <c r="M328" s="995"/>
      <c r="N328" s="995"/>
      <c r="O328" s="995"/>
      <c r="P328" s="995"/>
      <c r="Q328" s="995"/>
      <c r="R328" s="995"/>
      <c r="S328" s="995"/>
      <c r="T328" s="995"/>
      <c r="U328" s="995"/>
      <c r="V328" s="995"/>
      <c r="W328" s="995"/>
      <c r="X328" s="995"/>
      <c r="Y328" s="995"/>
      <c r="Z328" s="995"/>
      <c r="AA328" s="995"/>
      <c r="AB328" s="995"/>
      <c r="AC328" s="995"/>
      <c r="AD328" s="995"/>
      <c r="AE328" s="995"/>
      <c r="AF328" s="995"/>
      <c r="AG328" s="995"/>
      <c r="AH328" s="995"/>
      <c r="AI328" s="995"/>
      <c r="AJ328" s="995"/>
    </row>
    <row r="329" spans="2:36" x14ac:dyDescent="0.25">
      <c r="B329" s="687"/>
      <c r="C329" s="687"/>
      <c r="D329" s="687"/>
      <c r="E329" s="995"/>
      <c r="F329" s="995"/>
      <c r="G329" s="995"/>
      <c r="H329" s="995"/>
      <c r="I329" s="995"/>
      <c r="J329" s="995"/>
      <c r="K329" s="995"/>
      <c r="L329" s="995"/>
      <c r="M329" s="995"/>
      <c r="N329" s="995"/>
      <c r="O329" s="995"/>
      <c r="P329" s="995"/>
      <c r="Q329" s="995"/>
      <c r="R329" s="995"/>
      <c r="S329" s="995"/>
      <c r="T329" s="995"/>
      <c r="U329" s="995"/>
      <c r="V329" s="995"/>
      <c r="W329" s="995"/>
      <c r="X329" s="995"/>
      <c r="Y329" s="995"/>
      <c r="Z329" s="995"/>
      <c r="AA329" s="995"/>
      <c r="AB329" s="995"/>
      <c r="AC329" s="995"/>
      <c r="AD329" s="995"/>
      <c r="AE329" s="995"/>
      <c r="AF329" s="995"/>
      <c r="AG329" s="995"/>
      <c r="AH329" s="995"/>
      <c r="AI329" s="995"/>
      <c r="AJ329" s="995"/>
    </row>
    <row r="330" spans="2:36" x14ac:dyDescent="0.25">
      <c r="B330" s="687"/>
      <c r="C330" s="687"/>
      <c r="D330" s="687"/>
      <c r="E330" s="995"/>
      <c r="F330" s="995"/>
      <c r="G330" s="995"/>
      <c r="H330" s="995"/>
      <c r="I330" s="995"/>
      <c r="J330" s="995"/>
      <c r="K330" s="995"/>
      <c r="L330" s="995"/>
      <c r="M330" s="995"/>
      <c r="N330" s="995"/>
      <c r="O330" s="995"/>
      <c r="P330" s="995"/>
      <c r="Q330" s="995"/>
      <c r="R330" s="995"/>
      <c r="S330" s="995"/>
      <c r="T330" s="995"/>
      <c r="U330" s="995"/>
      <c r="V330" s="995"/>
      <c r="W330" s="995"/>
      <c r="X330" s="995"/>
      <c r="Y330" s="995"/>
      <c r="Z330" s="995"/>
      <c r="AA330" s="995"/>
      <c r="AB330" s="995"/>
      <c r="AC330" s="995"/>
      <c r="AD330" s="995"/>
      <c r="AE330" s="995"/>
      <c r="AF330" s="995"/>
      <c r="AG330" s="995"/>
      <c r="AH330" s="995"/>
      <c r="AI330" s="995"/>
      <c r="AJ330" s="995"/>
    </row>
    <row r="331" spans="2:36" x14ac:dyDescent="0.25">
      <c r="B331" s="687"/>
      <c r="C331" s="687"/>
      <c r="D331" s="687"/>
      <c r="E331" s="995"/>
      <c r="F331" s="995"/>
      <c r="G331" s="995"/>
      <c r="H331" s="995"/>
      <c r="I331" s="995"/>
      <c r="J331" s="995"/>
      <c r="K331" s="995"/>
      <c r="L331" s="995"/>
      <c r="M331" s="995"/>
      <c r="N331" s="995"/>
      <c r="O331" s="995"/>
      <c r="P331" s="995"/>
      <c r="Q331" s="995"/>
      <c r="R331" s="995"/>
      <c r="S331" s="995"/>
      <c r="T331" s="995"/>
      <c r="U331" s="995"/>
      <c r="V331" s="995"/>
      <c r="W331" s="995"/>
      <c r="X331" s="995"/>
      <c r="Y331" s="995"/>
      <c r="Z331" s="995"/>
      <c r="AA331" s="995"/>
      <c r="AB331" s="995"/>
      <c r="AC331" s="995"/>
      <c r="AD331" s="995"/>
      <c r="AE331" s="995"/>
      <c r="AF331" s="995"/>
      <c r="AG331" s="995"/>
      <c r="AH331" s="995"/>
      <c r="AI331" s="995"/>
      <c r="AJ331" s="995"/>
    </row>
    <row r="332" spans="2:36" x14ac:dyDescent="0.25">
      <c r="B332" s="687"/>
      <c r="C332" s="687"/>
      <c r="D332" s="687"/>
      <c r="E332" s="995"/>
      <c r="F332" s="995"/>
      <c r="G332" s="995"/>
      <c r="H332" s="995"/>
      <c r="I332" s="995"/>
      <c r="J332" s="995"/>
      <c r="K332" s="995"/>
      <c r="L332" s="995"/>
      <c r="M332" s="995"/>
      <c r="N332" s="995"/>
      <c r="O332" s="995"/>
      <c r="P332" s="995"/>
      <c r="Q332" s="995"/>
      <c r="R332" s="995"/>
      <c r="S332" s="995"/>
      <c r="T332" s="995"/>
      <c r="U332" s="995"/>
      <c r="V332" s="995"/>
      <c r="W332" s="995"/>
      <c r="X332" s="995"/>
      <c r="Y332" s="995"/>
      <c r="Z332" s="995"/>
      <c r="AA332" s="995"/>
      <c r="AB332" s="995"/>
      <c r="AC332" s="995"/>
      <c r="AD332" s="995"/>
      <c r="AE332" s="995"/>
      <c r="AF332" s="995"/>
      <c r="AG332" s="995"/>
      <c r="AH332" s="995"/>
      <c r="AI332" s="995"/>
      <c r="AJ332" s="995"/>
    </row>
    <row r="333" spans="2:36" x14ac:dyDescent="0.25">
      <c r="B333" s="687"/>
      <c r="C333" s="687"/>
      <c r="D333" s="687"/>
      <c r="E333" s="995"/>
      <c r="F333" s="995"/>
      <c r="G333" s="995"/>
      <c r="H333" s="995"/>
      <c r="I333" s="995"/>
      <c r="J333" s="995"/>
      <c r="K333" s="995"/>
      <c r="L333" s="995"/>
      <c r="M333" s="995"/>
      <c r="N333" s="995"/>
      <c r="O333" s="995"/>
      <c r="P333" s="995"/>
      <c r="Q333" s="995"/>
      <c r="R333" s="995"/>
      <c r="S333" s="995"/>
      <c r="T333" s="995"/>
      <c r="U333" s="995"/>
      <c r="V333" s="995"/>
      <c r="W333" s="995"/>
      <c r="X333" s="995"/>
      <c r="Y333" s="995"/>
      <c r="Z333" s="995"/>
      <c r="AA333" s="995"/>
      <c r="AB333" s="995"/>
      <c r="AC333" s="995"/>
      <c r="AD333" s="995"/>
      <c r="AE333" s="995"/>
      <c r="AF333" s="995"/>
      <c r="AG333" s="995"/>
      <c r="AH333" s="995"/>
      <c r="AI333" s="995"/>
      <c r="AJ333" s="995"/>
    </row>
    <row r="334" spans="2:36" x14ac:dyDescent="0.25">
      <c r="B334" s="687"/>
      <c r="C334" s="687"/>
      <c r="D334" s="687"/>
      <c r="E334" s="995"/>
      <c r="F334" s="995"/>
      <c r="G334" s="995"/>
      <c r="H334" s="995"/>
      <c r="I334" s="995"/>
      <c r="J334" s="995"/>
      <c r="K334" s="995"/>
      <c r="L334" s="995"/>
      <c r="M334" s="995"/>
      <c r="N334" s="995"/>
      <c r="O334" s="995"/>
      <c r="P334" s="995"/>
      <c r="Q334" s="995"/>
      <c r="R334" s="995"/>
      <c r="S334" s="995"/>
      <c r="T334" s="995"/>
      <c r="U334" s="995"/>
      <c r="V334" s="995"/>
      <c r="W334" s="995"/>
      <c r="X334" s="995"/>
      <c r="Y334" s="995"/>
      <c r="Z334" s="995"/>
      <c r="AA334" s="995"/>
      <c r="AB334" s="995"/>
      <c r="AC334" s="995"/>
      <c r="AD334" s="995"/>
      <c r="AE334" s="995"/>
      <c r="AF334" s="995"/>
      <c r="AG334" s="995"/>
      <c r="AH334" s="995"/>
      <c r="AI334" s="995"/>
      <c r="AJ334" s="995"/>
    </row>
    <row r="335" spans="2:36" x14ac:dyDescent="0.25">
      <c r="B335" s="687"/>
      <c r="C335" s="687"/>
      <c r="D335" s="687"/>
      <c r="E335" s="995"/>
      <c r="F335" s="995"/>
      <c r="G335" s="995"/>
      <c r="H335" s="995"/>
      <c r="I335" s="995"/>
      <c r="J335" s="995"/>
      <c r="K335" s="995"/>
      <c r="L335" s="995"/>
      <c r="M335" s="995"/>
      <c r="N335" s="995"/>
      <c r="O335" s="995"/>
      <c r="P335" s="995"/>
      <c r="Q335" s="995"/>
      <c r="R335" s="995"/>
      <c r="S335" s="995"/>
      <c r="T335" s="995"/>
      <c r="U335" s="995"/>
      <c r="V335" s="995"/>
      <c r="W335" s="995"/>
      <c r="X335" s="995"/>
      <c r="Y335" s="995"/>
      <c r="Z335" s="995"/>
      <c r="AA335" s="995"/>
      <c r="AB335" s="995"/>
      <c r="AC335" s="995"/>
      <c r="AD335" s="995"/>
      <c r="AE335" s="995"/>
      <c r="AF335" s="995"/>
      <c r="AG335" s="995"/>
      <c r="AH335" s="995"/>
      <c r="AI335" s="995"/>
      <c r="AJ335" s="995"/>
    </row>
    <row r="336" spans="2:36" x14ac:dyDescent="0.25">
      <c r="B336" s="687"/>
      <c r="C336" s="687"/>
      <c r="D336" s="687"/>
      <c r="E336" s="995"/>
      <c r="F336" s="995"/>
      <c r="G336" s="995"/>
      <c r="H336" s="995"/>
      <c r="I336" s="995"/>
      <c r="J336" s="995"/>
      <c r="K336" s="995"/>
      <c r="L336" s="995"/>
      <c r="M336" s="995"/>
      <c r="N336" s="995"/>
      <c r="O336" s="995"/>
      <c r="P336" s="995"/>
      <c r="Q336" s="995"/>
      <c r="R336" s="995"/>
      <c r="S336" s="995"/>
      <c r="T336" s="995"/>
      <c r="U336" s="995"/>
      <c r="V336" s="995"/>
      <c r="W336" s="995"/>
      <c r="X336" s="995"/>
      <c r="Y336" s="995"/>
      <c r="Z336" s="995"/>
      <c r="AA336" s="995"/>
      <c r="AB336" s="995"/>
      <c r="AC336" s="995"/>
      <c r="AD336" s="995"/>
      <c r="AE336" s="995"/>
      <c r="AF336" s="995"/>
      <c r="AG336" s="995"/>
      <c r="AH336" s="995"/>
      <c r="AI336" s="995"/>
      <c r="AJ336" s="995"/>
    </row>
    <row r="337" spans="2:36" x14ac:dyDescent="0.25">
      <c r="B337" s="687"/>
      <c r="C337" s="687"/>
      <c r="D337" s="687"/>
      <c r="E337" s="995"/>
      <c r="F337" s="995"/>
      <c r="G337" s="995"/>
      <c r="H337" s="995"/>
      <c r="I337" s="995"/>
      <c r="J337" s="995"/>
      <c r="K337" s="995"/>
      <c r="L337" s="995"/>
      <c r="M337" s="995"/>
      <c r="N337" s="995"/>
      <c r="O337" s="995"/>
      <c r="P337" s="995"/>
      <c r="Q337" s="995"/>
      <c r="R337" s="995"/>
      <c r="S337" s="995"/>
      <c r="T337" s="995"/>
      <c r="U337" s="995"/>
      <c r="V337" s="995"/>
      <c r="W337" s="995"/>
      <c r="X337" s="995"/>
      <c r="Y337" s="995"/>
      <c r="Z337" s="995"/>
      <c r="AA337" s="995"/>
      <c r="AB337" s="995"/>
      <c r="AC337" s="995"/>
      <c r="AD337" s="995"/>
      <c r="AE337" s="995"/>
      <c r="AF337" s="995"/>
      <c r="AG337" s="995"/>
      <c r="AH337" s="995"/>
      <c r="AI337" s="995"/>
      <c r="AJ337" s="995"/>
    </row>
    <row r="338" spans="2:36" x14ac:dyDescent="0.25">
      <c r="B338" s="687"/>
      <c r="C338" s="687"/>
      <c r="D338" s="687"/>
      <c r="E338" s="995"/>
      <c r="F338" s="995"/>
      <c r="G338" s="995"/>
      <c r="H338" s="995"/>
      <c r="I338" s="995"/>
      <c r="J338" s="995"/>
      <c r="K338" s="995"/>
      <c r="L338" s="995"/>
      <c r="M338" s="995"/>
      <c r="N338" s="995"/>
      <c r="O338" s="995"/>
      <c r="P338" s="995"/>
      <c r="Q338" s="995"/>
      <c r="R338" s="995"/>
      <c r="S338" s="995"/>
      <c r="T338" s="995"/>
      <c r="U338" s="995"/>
      <c r="V338" s="995"/>
      <c r="W338" s="995"/>
      <c r="X338" s="995"/>
      <c r="Y338" s="995"/>
      <c r="Z338" s="995"/>
      <c r="AA338" s="995"/>
      <c r="AB338" s="995"/>
      <c r="AC338" s="995"/>
      <c r="AD338" s="995"/>
      <c r="AE338" s="995"/>
      <c r="AF338" s="995"/>
      <c r="AG338" s="995"/>
      <c r="AH338" s="995"/>
      <c r="AI338" s="995"/>
      <c r="AJ338" s="995"/>
    </row>
    <row r="339" spans="2:36" x14ac:dyDescent="0.25">
      <c r="B339" s="687"/>
      <c r="C339" s="687"/>
      <c r="D339" s="687"/>
      <c r="E339" s="995"/>
      <c r="F339" s="995"/>
      <c r="G339" s="995"/>
      <c r="H339" s="995"/>
      <c r="I339" s="995"/>
      <c r="J339" s="995"/>
      <c r="K339" s="995"/>
      <c r="L339" s="995"/>
      <c r="M339" s="995"/>
      <c r="N339" s="995"/>
      <c r="O339" s="995"/>
      <c r="P339" s="995"/>
      <c r="Q339" s="995"/>
      <c r="R339" s="995"/>
      <c r="S339" s="995"/>
      <c r="T339" s="995"/>
      <c r="U339" s="995"/>
      <c r="V339" s="995"/>
      <c r="W339" s="995"/>
      <c r="X339" s="995"/>
      <c r="Y339" s="995"/>
      <c r="Z339" s="995"/>
      <c r="AA339" s="995"/>
      <c r="AB339" s="995"/>
      <c r="AC339" s="995"/>
      <c r="AD339" s="995"/>
      <c r="AE339" s="995"/>
      <c r="AF339" s="995"/>
      <c r="AG339" s="995"/>
      <c r="AH339" s="995"/>
      <c r="AI339" s="995"/>
      <c r="AJ339" s="995"/>
    </row>
    <row r="340" spans="2:36" x14ac:dyDescent="0.25">
      <c r="B340" s="687"/>
      <c r="C340" s="687"/>
      <c r="D340" s="687"/>
      <c r="E340" s="995"/>
      <c r="F340" s="995"/>
      <c r="G340" s="995"/>
      <c r="H340" s="995"/>
      <c r="I340" s="995"/>
      <c r="J340" s="995"/>
      <c r="K340" s="995"/>
      <c r="L340" s="995"/>
      <c r="M340" s="995"/>
      <c r="N340" s="995"/>
      <c r="O340" s="995"/>
      <c r="P340" s="995"/>
      <c r="Q340" s="995"/>
      <c r="R340" s="995"/>
      <c r="S340" s="995"/>
      <c r="T340" s="995"/>
      <c r="U340" s="995"/>
      <c r="V340" s="995"/>
      <c r="W340" s="995"/>
      <c r="X340" s="995"/>
      <c r="Y340" s="995"/>
      <c r="Z340" s="995"/>
      <c r="AA340" s="995"/>
      <c r="AB340" s="995"/>
      <c r="AC340" s="995"/>
      <c r="AD340" s="995"/>
      <c r="AE340" s="995"/>
      <c r="AF340" s="995"/>
      <c r="AG340" s="995"/>
      <c r="AH340" s="995"/>
      <c r="AI340" s="995"/>
      <c r="AJ340" s="995"/>
    </row>
    <row r="341" spans="2:36" x14ac:dyDescent="0.25">
      <c r="B341" s="687"/>
      <c r="C341" s="687"/>
      <c r="D341" s="687"/>
      <c r="E341" s="995"/>
      <c r="F341" s="995"/>
      <c r="G341" s="995"/>
      <c r="H341" s="995"/>
      <c r="I341" s="995"/>
      <c r="J341" s="995"/>
      <c r="K341" s="995"/>
      <c r="L341" s="995"/>
      <c r="M341" s="995"/>
      <c r="N341" s="995"/>
      <c r="O341" s="995"/>
      <c r="P341" s="995"/>
      <c r="Q341" s="995"/>
      <c r="R341" s="995"/>
      <c r="S341" s="995"/>
      <c r="T341" s="995"/>
      <c r="U341" s="995"/>
      <c r="V341" s="995"/>
      <c r="W341" s="995"/>
      <c r="X341" s="995"/>
      <c r="Y341" s="995"/>
      <c r="Z341" s="995"/>
      <c r="AA341" s="995"/>
      <c r="AB341" s="995"/>
      <c r="AC341" s="995"/>
      <c r="AD341" s="995"/>
      <c r="AE341" s="995"/>
      <c r="AF341" s="995"/>
      <c r="AG341" s="995"/>
      <c r="AH341" s="995"/>
      <c r="AI341" s="995"/>
      <c r="AJ341" s="995"/>
    </row>
    <row r="342" spans="2:36" x14ac:dyDescent="0.25">
      <c r="B342" s="687"/>
      <c r="C342" s="687"/>
      <c r="D342" s="687"/>
      <c r="E342" s="995"/>
      <c r="F342" s="995"/>
      <c r="G342" s="995"/>
      <c r="H342" s="995"/>
      <c r="I342" s="995"/>
      <c r="J342" s="995"/>
      <c r="K342" s="995"/>
      <c r="L342" s="995"/>
      <c r="M342" s="995"/>
      <c r="N342" s="995"/>
      <c r="O342" s="995"/>
      <c r="P342" s="995"/>
      <c r="Q342" s="995"/>
      <c r="R342" s="995"/>
      <c r="S342" s="995"/>
      <c r="T342" s="995"/>
      <c r="U342" s="995"/>
      <c r="V342" s="995"/>
      <c r="W342" s="995"/>
      <c r="X342" s="995"/>
      <c r="Y342" s="995"/>
      <c r="Z342" s="995"/>
      <c r="AA342" s="995"/>
      <c r="AB342" s="995"/>
      <c r="AC342" s="995"/>
      <c r="AD342" s="995"/>
      <c r="AE342" s="995"/>
      <c r="AF342" s="995"/>
      <c r="AG342" s="995"/>
      <c r="AH342" s="995"/>
      <c r="AI342" s="995"/>
      <c r="AJ342" s="995"/>
    </row>
    <row r="343" spans="2:36" x14ac:dyDescent="0.25">
      <c r="B343" s="687"/>
      <c r="C343" s="687"/>
      <c r="D343" s="687"/>
      <c r="E343" s="995"/>
      <c r="F343" s="995"/>
      <c r="G343" s="995"/>
      <c r="H343" s="995"/>
      <c r="I343" s="995"/>
      <c r="J343" s="995"/>
      <c r="K343" s="995"/>
      <c r="L343" s="995"/>
      <c r="M343" s="995"/>
      <c r="N343" s="995"/>
      <c r="O343" s="995"/>
      <c r="P343" s="995"/>
      <c r="Q343" s="995"/>
      <c r="R343" s="995"/>
      <c r="S343" s="995"/>
      <c r="T343" s="995"/>
      <c r="U343" s="995"/>
      <c r="V343" s="995"/>
      <c r="W343" s="995"/>
      <c r="X343" s="995"/>
      <c r="Y343" s="995"/>
      <c r="Z343" s="995"/>
      <c r="AA343" s="995"/>
      <c r="AB343" s="995"/>
      <c r="AC343" s="995"/>
      <c r="AD343" s="995"/>
      <c r="AE343" s="995"/>
      <c r="AF343" s="995"/>
      <c r="AG343" s="995"/>
      <c r="AH343" s="995"/>
      <c r="AI343" s="995"/>
      <c r="AJ343" s="995"/>
    </row>
    <row r="344" spans="2:36" x14ac:dyDescent="0.25">
      <c r="B344" s="687"/>
      <c r="C344" s="687"/>
      <c r="D344" s="687"/>
      <c r="E344" s="995"/>
      <c r="F344" s="995"/>
      <c r="G344" s="995"/>
      <c r="H344" s="995"/>
      <c r="I344" s="995"/>
      <c r="J344" s="995"/>
      <c r="K344" s="995"/>
      <c r="L344" s="995"/>
      <c r="M344" s="995"/>
      <c r="N344" s="995"/>
      <c r="O344" s="995"/>
      <c r="P344" s="995"/>
      <c r="Q344" s="995"/>
      <c r="R344" s="995"/>
      <c r="S344" s="995"/>
      <c r="T344" s="995"/>
      <c r="U344" s="995"/>
      <c r="V344" s="995"/>
      <c r="W344" s="995"/>
      <c r="X344" s="995"/>
      <c r="Y344" s="995"/>
      <c r="Z344" s="995"/>
      <c r="AA344" s="995"/>
      <c r="AB344" s="995"/>
      <c r="AC344" s="995"/>
      <c r="AD344" s="995"/>
      <c r="AE344" s="995"/>
      <c r="AF344" s="995"/>
      <c r="AG344" s="995"/>
      <c r="AH344" s="995"/>
      <c r="AI344" s="995"/>
      <c r="AJ344" s="995"/>
    </row>
    <row r="345" spans="2:36" x14ac:dyDescent="0.25">
      <c r="B345" s="687"/>
      <c r="C345" s="687"/>
      <c r="D345" s="687"/>
      <c r="E345" s="995"/>
      <c r="F345" s="995"/>
      <c r="G345" s="995"/>
      <c r="H345" s="995"/>
      <c r="I345" s="995"/>
      <c r="J345" s="995"/>
      <c r="K345" s="995"/>
      <c r="L345" s="995"/>
      <c r="M345" s="995"/>
      <c r="N345" s="995"/>
      <c r="O345" s="995"/>
      <c r="P345" s="995"/>
      <c r="Q345" s="995"/>
      <c r="R345" s="995"/>
      <c r="S345" s="995"/>
      <c r="T345" s="995"/>
      <c r="U345" s="995"/>
      <c r="V345" s="995"/>
      <c r="W345" s="995"/>
      <c r="X345" s="995"/>
      <c r="Y345" s="995"/>
      <c r="Z345" s="995"/>
      <c r="AA345" s="995"/>
      <c r="AB345" s="995"/>
      <c r="AC345" s="995"/>
      <c r="AD345" s="995"/>
      <c r="AE345" s="995"/>
      <c r="AF345" s="995"/>
      <c r="AG345" s="995"/>
      <c r="AH345" s="995"/>
      <c r="AI345" s="995"/>
      <c r="AJ345" s="995"/>
    </row>
    <row r="346" spans="2:36" x14ac:dyDescent="0.25">
      <c r="B346" s="687"/>
      <c r="C346" s="687"/>
      <c r="D346" s="687"/>
      <c r="E346" s="995"/>
      <c r="F346" s="995"/>
      <c r="G346" s="995"/>
      <c r="H346" s="995"/>
      <c r="I346" s="995"/>
      <c r="J346" s="995"/>
      <c r="K346" s="995"/>
      <c r="L346" s="995"/>
      <c r="M346" s="995"/>
      <c r="N346" s="995"/>
      <c r="O346" s="995"/>
      <c r="P346" s="995"/>
      <c r="Q346" s="995"/>
      <c r="R346" s="995"/>
      <c r="S346" s="995"/>
      <c r="T346" s="995"/>
      <c r="U346" s="995"/>
      <c r="V346" s="995"/>
      <c r="W346" s="995"/>
      <c r="X346" s="995"/>
      <c r="Y346" s="995"/>
      <c r="Z346" s="995"/>
      <c r="AA346" s="995"/>
      <c r="AB346" s="995"/>
      <c r="AC346" s="995"/>
      <c r="AD346" s="995"/>
      <c r="AE346" s="995"/>
      <c r="AF346" s="995"/>
      <c r="AG346" s="995"/>
      <c r="AH346" s="995"/>
      <c r="AI346" s="995"/>
      <c r="AJ346" s="995"/>
    </row>
    <row r="347" spans="2:36" x14ac:dyDescent="0.25">
      <c r="B347" s="687"/>
      <c r="C347" s="687"/>
      <c r="D347" s="687"/>
      <c r="E347" s="995"/>
      <c r="F347" s="995"/>
      <c r="G347" s="995"/>
      <c r="H347" s="995"/>
      <c r="I347" s="995"/>
      <c r="J347" s="995"/>
      <c r="K347" s="995"/>
      <c r="L347" s="995"/>
      <c r="M347" s="995"/>
      <c r="N347" s="995"/>
      <c r="O347" s="995"/>
      <c r="P347" s="995"/>
      <c r="Q347" s="995"/>
      <c r="R347" s="995"/>
      <c r="S347" s="995"/>
      <c r="T347" s="995"/>
      <c r="U347" s="995"/>
      <c r="V347" s="995"/>
      <c r="W347" s="995"/>
      <c r="X347" s="995"/>
      <c r="Y347" s="995"/>
      <c r="Z347" s="995"/>
      <c r="AA347" s="995"/>
      <c r="AB347" s="995"/>
      <c r="AC347" s="995"/>
      <c r="AD347" s="995"/>
      <c r="AE347" s="995"/>
      <c r="AF347" s="995"/>
      <c r="AG347" s="995"/>
      <c r="AH347" s="995"/>
      <c r="AI347" s="995"/>
      <c r="AJ347" s="995"/>
    </row>
    <row r="348" spans="2:36" x14ac:dyDescent="0.25">
      <c r="B348" s="687"/>
      <c r="C348" s="687"/>
      <c r="D348" s="687"/>
      <c r="E348" s="995"/>
      <c r="F348" s="995"/>
      <c r="G348" s="995"/>
      <c r="H348" s="995"/>
      <c r="I348" s="995"/>
      <c r="J348" s="995"/>
      <c r="K348" s="995"/>
      <c r="L348" s="995"/>
      <c r="M348" s="995"/>
      <c r="N348" s="995"/>
      <c r="O348" s="995"/>
      <c r="P348" s="995"/>
      <c r="Q348" s="995"/>
      <c r="R348" s="995"/>
      <c r="S348" s="995"/>
      <c r="T348" s="995"/>
      <c r="U348" s="995"/>
      <c r="V348" s="995"/>
      <c r="W348" s="995"/>
      <c r="X348" s="995"/>
      <c r="Y348" s="995"/>
      <c r="Z348" s="995"/>
      <c r="AA348" s="995"/>
      <c r="AB348" s="995"/>
      <c r="AC348" s="995"/>
      <c r="AD348" s="995"/>
      <c r="AE348" s="995"/>
      <c r="AF348" s="995"/>
      <c r="AG348" s="995"/>
      <c r="AH348" s="995"/>
      <c r="AI348" s="995"/>
      <c r="AJ348" s="995"/>
    </row>
    <row r="349" spans="2:36" x14ac:dyDescent="0.25">
      <c r="B349" s="687"/>
      <c r="C349" s="687"/>
      <c r="D349" s="687"/>
      <c r="E349" s="995"/>
      <c r="F349" s="995"/>
      <c r="G349" s="995"/>
      <c r="H349" s="995"/>
      <c r="I349" s="995"/>
      <c r="J349" s="995"/>
      <c r="K349" s="995"/>
      <c r="L349" s="995"/>
      <c r="M349" s="995"/>
      <c r="N349" s="995"/>
      <c r="O349" s="995"/>
      <c r="P349" s="995"/>
      <c r="Q349" s="995"/>
      <c r="R349" s="995"/>
      <c r="S349" s="995"/>
      <c r="T349" s="995"/>
      <c r="U349" s="995"/>
      <c r="V349" s="995"/>
      <c r="W349" s="995"/>
      <c r="X349" s="995"/>
      <c r="Y349" s="995"/>
      <c r="Z349" s="995"/>
      <c r="AA349" s="995"/>
      <c r="AB349" s="995"/>
      <c r="AC349" s="995"/>
      <c r="AD349" s="995"/>
      <c r="AE349" s="995"/>
      <c r="AF349" s="995"/>
      <c r="AG349" s="995"/>
      <c r="AH349" s="995"/>
      <c r="AI349" s="995"/>
      <c r="AJ349" s="995"/>
    </row>
    <row r="350" spans="2:36" x14ac:dyDescent="0.25">
      <c r="B350" s="687"/>
      <c r="C350" s="687"/>
      <c r="D350" s="687"/>
      <c r="E350" s="995"/>
      <c r="F350" s="995"/>
      <c r="G350" s="995"/>
      <c r="H350" s="995"/>
      <c r="I350" s="995"/>
      <c r="J350" s="995"/>
      <c r="K350" s="995"/>
      <c r="L350" s="995"/>
      <c r="M350" s="995"/>
      <c r="N350" s="995"/>
      <c r="O350" s="995"/>
      <c r="P350" s="995"/>
      <c r="Q350" s="995"/>
      <c r="R350" s="995"/>
      <c r="S350" s="995"/>
      <c r="T350" s="995"/>
      <c r="U350" s="995"/>
      <c r="V350" s="995"/>
      <c r="W350" s="995"/>
      <c r="X350" s="995"/>
      <c r="Y350" s="995"/>
      <c r="Z350" s="995"/>
      <c r="AA350" s="995"/>
      <c r="AB350" s="995"/>
      <c r="AC350" s="995"/>
      <c r="AD350" s="995"/>
      <c r="AE350" s="995"/>
      <c r="AF350" s="995"/>
      <c r="AG350" s="995"/>
      <c r="AH350" s="995"/>
      <c r="AI350" s="995"/>
      <c r="AJ350" s="995"/>
    </row>
    <row r="351" spans="2:36" x14ac:dyDescent="0.25">
      <c r="B351" s="687"/>
      <c r="C351" s="687"/>
      <c r="D351" s="687"/>
      <c r="E351" s="995"/>
      <c r="F351" s="995"/>
      <c r="G351" s="995"/>
      <c r="H351" s="995"/>
      <c r="I351" s="995"/>
      <c r="J351" s="995"/>
      <c r="K351" s="995"/>
      <c r="L351" s="995"/>
      <c r="M351" s="995"/>
      <c r="N351" s="995"/>
      <c r="O351" s="995"/>
      <c r="P351" s="995"/>
      <c r="Q351" s="995"/>
      <c r="R351" s="995"/>
      <c r="S351" s="995"/>
      <c r="T351" s="995"/>
      <c r="U351" s="995"/>
      <c r="V351" s="995"/>
      <c r="W351" s="995"/>
      <c r="X351" s="995"/>
      <c r="Y351" s="995"/>
      <c r="Z351" s="995"/>
      <c r="AA351" s="995"/>
      <c r="AB351" s="995"/>
      <c r="AC351" s="995"/>
      <c r="AD351" s="995"/>
      <c r="AE351" s="995"/>
      <c r="AF351" s="995"/>
      <c r="AG351" s="995"/>
      <c r="AH351" s="995"/>
      <c r="AI351" s="995"/>
      <c r="AJ351" s="995"/>
    </row>
    <row r="352" spans="2:36" x14ac:dyDescent="0.25">
      <c r="B352" s="687"/>
      <c r="C352" s="687"/>
      <c r="D352" s="687"/>
      <c r="E352" s="995"/>
      <c r="F352" s="995"/>
      <c r="G352" s="995"/>
      <c r="H352" s="995"/>
      <c r="I352" s="995"/>
      <c r="J352" s="995"/>
      <c r="K352" s="995"/>
      <c r="L352" s="995"/>
      <c r="M352" s="995"/>
      <c r="N352" s="995"/>
      <c r="O352" s="995"/>
      <c r="P352" s="995"/>
      <c r="Q352" s="995"/>
      <c r="R352" s="995"/>
      <c r="S352" s="995"/>
      <c r="T352" s="995"/>
      <c r="U352" s="995"/>
      <c r="V352" s="995"/>
      <c r="W352" s="995"/>
      <c r="X352" s="995"/>
      <c r="Y352" s="995"/>
      <c r="Z352" s="995"/>
      <c r="AA352" s="995"/>
      <c r="AB352" s="995"/>
      <c r="AC352" s="995"/>
      <c r="AD352" s="995"/>
      <c r="AE352" s="995"/>
      <c r="AF352" s="995"/>
      <c r="AG352" s="995"/>
      <c r="AH352" s="995"/>
      <c r="AI352" s="995"/>
      <c r="AJ352" s="995"/>
    </row>
    <row r="353" spans="2:36" x14ac:dyDescent="0.25">
      <c r="B353" s="687"/>
      <c r="C353" s="687"/>
      <c r="D353" s="687"/>
      <c r="E353" s="995"/>
      <c r="F353" s="995"/>
      <c r="G353" s="995"/>
      <c r="H353" s="995"/>
      <c r="I353" s="995"/>
      <c r="J353" s="995"/>
      <c r="K353" s="995"/>
      <c r="L353" s="995"/>
      <c r="M353" s="995"/>
      <c r="N353" s="995"/>
      <c r="O353" s="995"/>
      <c r="P353" s="995"/>
      <c r="Q353" s="995"/>
      <c r="R353" s="995"/>
      <c r="S353" s="995"/>
      <c r="T353" s="995"/>
      <c r="U353" s="995"/>
      <c r="V353" s="995"/>
      <c r="W353" s="995"/>
      <c r="X353" s="995"/>
      <c r="Y353" s="995"/>
      <c r="Z353" s="995"/>
      <c r="AA353" s="995"/>
      <c r="AB353" s="995"/>
      <c r="AC353" s="995"/>
      <c r="AD353" s="995"/>
      <c r="AE353" s="995"/>
      <c r="AF353" s="995"/>
      <c r="AG353" s="995"/>
      <c r="AH353" s="995"/>
      <c r="AI353" s="995"/>
      <c r="AJ353" s="995"/>
    </row>
    <row r="354" spans="2:36" x14ac:dyDescent="0.25">
      <c r="B354" s="687"/>
      <c r="C354" s="687"/>
      <c r="D354" s="687"/>
      <c r="E354" s="995"/>
      <c r="F354" s="995"/>
      <c r="G354" s="995"/>
      <c r="H354" s="995"/>
      <c r="I354" s="995"/>
      <c r="J354" s="995"/>
      <c r="K354" s="995"/>
      <c r="L354" s="995"/>
      <c r="M354" s="995"/>
      <c r="N354" s="995"/>
      <c r="O354" s="995"/>
      <c r="P354" s="995"/>
      <c r="Q354" s="995"/>
      <c r="R354" s="995"/>
      <c r="S354" s="995"/>
      <c r="T354" s="995"/>
      <c r="U354" s="995"/>
      <c r="V354" s="995"/>
      <c r="W354" s="995"/>
      <c r="X354" s="995"/>
      <c r="Y354" s="995"/>
      <c r="Z354" s="995"/>
      <c r="AA354" s="995"/>
      <c r="AB354" s="995"/>
      <c r="AC354" s="995"/>
      <c r="AD354" s="995"/>
      <c r="AE354" s="995"/>
      <c r="AF354" s="995"/>
      <c r="AG354" s="995"/>
      <c r="AH354" s="995"/>
      <c r="AI354" s="995"/>
      <c r="AJ354" s="995"/>
    </row>
    <row r="355" spans="2:36" x14ac:dyDescent="0.25">
      <c r="B355" s="687"/>
      <c r="C355" s="687"/>
      <c r="D355" s="687"/>
      <c r="E355" s="995"/>
      <c r="F355" s="995"/>
      <c r="G355" s="995"/>
      <c r="H355" s="995"/>
      <c r="I355" s="995"/>
      <c r="J355" s="995"/>
      <c r="K355" s="995"/>
      <c r="L355" s="995"/>
      <c r="M355" s="995"/>
      <c r="N355" s="995"/>
      <c r="O355" s="995"/>
      <c r="P355" s="995"/>
      <c r="Q355" s="995"/>
      <c r="R355" s="995"/>
      <c r="S355" s="995"/>
      <c r="T355" s="995"/>
      <c r="U355" s="995"/>
      <c r="V355" s="995"/>
      <c r="W355" s="995"/>
      <c r="X355" s="995"/>
      <c r="Y355" s="995"/>
      <c r="Z355" s="995"/>
      <c r="AA355" s="995"/>
      <c r="AB355" s="995"/>
      <c r="AC355" s="995"/>
      <c r="AD355" s="995"/>
      <c r="AE355" s="995"/>
      <c r="AF355" s="995"/>
      <c r="AG355" s="995"/>
      <c r="AH355" s="995"/>
      <c r="AI355" s="995"/>
      <c r="AJ355" s="995"/>
    </row>
    <row r="356" spans="2:36" x14ac:dyDescent="0.25">
      <c r="B356" s="687"/>
      <c r="C356" s="687"/>
      <c r="D356" s="687"/>
      <c r="E356" s="995"/>
      <c r="F356" s="995"/>
      <c r="G356" s="995"/>
      <c r="H356" s="995"/>
      <c r="I356" s="995"/>
      <c r="J356" s="995"/>
      <c r="K356" s="995"/>
      <c r="L356" s="995"/>
      <c r="M356" s="995"/>
      <c r="N356" s="995"/>
      <c r="O356" s="995"/>
      <c r="P356" s="995"/>
      <c r="Q356" s="995"/>
      <c r="R356" s="995"/>
      <c r="S356" s="995"/>
      <c r="T356" s="995"/>
      <c r="U356" s="995"/>
      <c r="V356" s="995"/>
      <c r="W356" s="995"/>
      <c r="X356" s="995"/>
      <c r="Y356" s="995"/>
      <c r="Z356" s="995"/>
      <c r="AA356" s="995"/>
      <c r="AB356" s="995"/>
      <c r="AC356" s="995"/>
      <c r="AD356" s="995"/>
      <c r="AE356" s="995"/>
      <c r="AF356" s="995"/>
      <c r="AG356" s="995"/>
      <c r="AH356" s="995"/>
      <c r="AI356" s="995"/>
      <c r="AJ356" s="995"/>
    </row>
    <row r="357" spans="2:36" x14ac:dyDescent="0.25">
      <c r="B357" s="687"/>
      <c r="C357" s="687"/>
      <c r="D357" s="687"/>
      <c r="E357" s="995"/>
      <c r="F357" s="995"/>
      <c r="G357" s="995"/>
      <c r="H357" s="995"/>
      <c r="I357" s="995"/>
      <c r="J357" s="995"/>
      <c r="K357" s="995"/>
      <c r="L357" s="995"/>
      <c r="M357" s="995"/>
      <c r="N357" s="995"/>
      <c r="O357" s="995"/>
      <c r="P357" s="995"/>
      <c r="Q357" s="995"/>
      <c r="R357" s="995"/>
      <c r="S357" s="995"/>
      <c r="T357" s="995"/>
      <c r="U357" s="995"/>
      <c r="V357" s="995"/>
      <c r="W357" s="995"/>
      <c r="X357" s="995"/>
      <c r="Y357" s="995"/>
      <c r="Z357" s="995"/>
      <c r="AA357" s="995"/>
      <c r="AB357" s="995"/>
      <c r="AC357" s="995"/>
      <c r="AD357" s="995"/>
      <c r="AE357" s="995"/>
      <c r="AF357" s="995"/>
      <c r="AG357" s="995"/>
      <c r="AH357" s="995"/>
      <c r="AI357" s="995"/>
      <c r="AJ357" s="995"/>
    </row>
    <row r="358" spans="2:36" x14ac:dyDescent="0.25">
      <c r="B358" s="687"/>
      <c r="C358" s="687"/>
      <c r="D358" s="687"/>
      <c r="E358" s="995"/>
      <c r="F358" s="995"/>
      <c r="G358" s="995"/>
      <c r="H358" s="995"/>
      <c r="I358" s="995"/>
      <c r="J358" s="995"/>
      <c r="K358" s="995"/>
      <c r="L358" s="995"/>
      <c r="M358" s="995"/>
      <c r="N358" s="995"/>
      <c r="O358" s="995"/>
      <c r="P358" s="995"/>
      <c r="Q358" s="995"/>
      <c r="R358" s="995"/>
      <c r="S358" s="995"/>
      <c r="T358" s="995"/>
      <c r="U358" s="995"/>
      <c r="V358" s="995"/>
      <c r="W358" s="995"/>
      <c r="X358" s="995"/>
      <c r="Y358" s="995"/>
      <c r="Z358" s="995"/>
      <c r="AA358" s="995"/>
      <c r="AB358" s="995"/>
      <c r="AC358" s="995"/>
      <c r="AD358" s="995"/>
      <c r="AE358" s="995"/>
      <c r="AF358" s="995"/>
      <c r="AG358" s="995"/>
      <c r="AH358" s="995"/>
      <c r="AI358" s="995"/>
      <c r="AJ358" s="995"/>
    </row>
    <row r="359" spans="2:36" x14ac:dyDescent="0.25">
      <c r="B359" s="687"/>
      <c r="C359" s="687"/>
      <c r="D359" s="687"/>
      <c r="E359" s="995"/>
      <c r="F359" s="995"/>
      <c r="G359" s="995"/>
      <c r="H359" s="995"/>
      <c r="I359" s="995"/>
      <c r="J359" s="995"/>
      <c r="K359" s="995"/>
      <c r="L359" s="995"/>
      <c r="M359" s="995"/>
      <c r="N359" s="995"/>
      <c r="O359" s="995"/>
      <c r="P359" s="995"/>
      <c r="Q359" s="995"/>
      <c r="R359" s="995"/>
      <c r="S359" s="995"/>
      <c r="T359" s="995"/>
      <c r="U359" s="995"/>
      <c r="V359" s="995"/>
      <c r="W359" s="995"/>
      <c r="X359" s="995"/>
      <c r="Y359" s="995"/>
      <c r="Z359" s="995"/>
      <c r="AA359" s="995"/>
      <c r="AB359" s="995"/>
      <c r="AC359" s="995"/>
      <c r="AD359" s="995"/>
      <c r="AE359" s="995"/>
      <c r="AF359" s="995"/>
      <c r="AG359" s="995"/>
      <c r="AH359" s="995"/>
      <c r="AI359" s="995"/>
      <c r="AJ359" s="995"/>
    </row>
    <row r="360" spans="2:36" x14ac:dyDescent="0.25">
      <c r="B360" s="687"/>
      <c r="C360" s="687"/>
      <c r="D360" s="687"/>
      <c r="E360" s="995"/>
      <c r="F360" s="995"/>
      <c r="G360" s="995"/>
      <c r="H360" s="995"/>
      <c r="I360" s="995"/>
      <c r="J360" s="995"/>
      <c r="K360" s="995"/>
      <c r="L360" s="995"/>
      <c r="M360" s="995"/>
      <c r="N360" s="995"/>
      <c r="O360" s="995"/>
      <c r="P360" s="995"/>
      <c r="Q360" s="995"/>
      <c r="R360" s="995"/>
      <c r="S360" s="995"/>
      <c r="T360" s="995"/>
      <c r="U360" s="995"/>
      <c r="V360" s="995"/>
      <c r="W360" s="995"/>
      <c r="X360" s="995"/>
      <c r="Y360" s="995"/>
      <c r="Z360" s="995"/>
      <c r="AA360" s="995"/>
      <c r="AB360" s="995"/>
      <c r="AC360" s="995"/>
      <c r="AD360" s="995"/>
      <c r="AE360" s="995"/>
      <c r="AF360" s="995"/>
      <c r="AG360" s="995"/>
      <c r="AH360" s="995"/>
      <c r="AI360" s="995"/>
      <c r="AJ360" s="995"/>
    </row>
    <row r="361" spans="2:36" x14ac:dyDescent="0.25">
      <c r="B361" s="687"/>
      <c r="C361" s="687"/>
      <c r="D361" s="687"/>
      <c r="E361" s="995"/>
      <c r="F361" s="995"/>
      <c r="G361" s="995"/>
      <c r="H361" s="995"/>
      <c r="I361" s="995"/>
      <c r="J361" s="995"/>
      <c r="K361" s="995"/>
      <c r="L361" s="995"/>
      <c r="M361" s="995"/>
      <c r="N361" s="995"/>
      <c r="O361" s="995"/>
      <c r="P361" s="995"/>
      <c r="Q361" s="995"/>
      <c r="R361" s="995"/>
      <c r="S361" s="995"/>
      <c r="T361" s="995"/>
      <c r="U361" s="995"/>
      <c r="V361" s="995"/>
      <c r="W361" s="995"/>
      <c r="X361" s="995"/>
      <c r="Y361" s="995"/>
      <c r="Z361" s="995"/>
      <c r="AA361" s="995"/>
      <c r="AB361" s="995"/>
      <c r="AC361" s="995"/>
      <c r="AD361" s="995"/>
      <c r="AE361" s="995"/>
      <c r="AF361" s="995"/>
      <c r="AG361" s="995"/>
      <c r="AH361" s="995"/>
      <c r="AI361" s="995"/>
      <c r="AJ361" s="995"/>
    </row>
    <row r="362" spans="2:36" x14ac:dyDescent="0.25">
      <c r="B362" s="687"/>
      <c r="C362" s="687"/>
      <c r="D362" s="687"/>
      <c r="E362" s="995"/>
      <c r="F362" s="995"/>
      <c r="G362" s="995"/>
      <c r="H362" s="995"/>
      <c r="I362" s="995"/>
      <c r="J362" s="995"/>
      <c r="K362" s="995"/>
      <c r="L362" s="995"/>
      <c r="M362" s="995"/>
      <c r="N362" s="995"/>
      <c r="O362" s="995"/>
      <c r="P362" s="995"/>
      <c r="Q362" s="995"/>
      <c r="R362" s="995"/>
      <c r="S362" s="995"/>
      <c r="T362" s="995"/>
      <c r="U362" s="995"/>
      <c r="V362" s="995"/>
      <c r="W362" s="995"/>
      <c r="X362" s="995"/>
      <c r="Y362" s="995"/>
      <c r="Z362" s="995"/>
      <c r="AA362" s="995"/>
      <c r="AB362" s="995"/>
      <c r="AC362" s="995"/>
      <c r="AD362" s="995"/>
      <c r="AE362" s="995"/>
      <c r="AF362" s="995"/>
      <c r="AG362" s="995"/>
      <c r="AH362" s="995"/>
      <c r="AI362" s="995"/>
      <c r="AJ362" s="995"/>
    </row>
    <row r="363" spans="2:36" x14ac:dyDescent="0.25">
      <c r="B363" s="687"/>
      <c r="C363" s="687"/>
      <c r="D363" s="687"/>
      <c r="E363" s="995"/>
      <c r="F363" s="995"/>
      <c r="G363" s="995"/>
      <c r="H363" s="995"/>
      <c r="I363" s="995"/>
      <c r="J363" s="995"/>
      <c r="K363" s="995"/>
      <c r="L363" s="995"/>
      <c r="M363" s="995"/>
      <c r="N363" s="995"/>
      <c r="O363" s="995"/>
      <c r="P363" s="995"/>
      <c r="Q363" s="995"/>
      <c r="R363" s="995"/>
      <c r="S363" s="995"/>
      <c r="T363" s="995"/>
      <c r="U363" s="995"/>
      <c r="V363" s="995"/>
      <c r="W363" s="995"/>
      <c r="X363" s="995"/>
      <c r="Y363" s="995"/>
      <c r="Z363" s="995"/>
      <c r="AA363" s="995"/>
      <c r="AB363" s="995"/>
      <c r="AC363" s="995"/>
      <c r="AD363" s="995"/>
      <c r="AE363" s="995"/>
      <c r="AF363" s="995"/>
      <c r="AG363" s="995"/>
      <c r="AH363" s="995"/>
      <c r="AI363" s="995"/>
      <c r="AJ363" s="995"/>
    </row>
    <row r="364" spans="2:36" x14ac:dyDescent="0.25">
      <c r="B364" s="687"/>
      <c r="C364" s="687"/>
      <c r="D364" s="687"/>
      <c r="E364" s="995"/>
      <c r="F364" s="995"/>
      <c r="G364" s="995"/>
      <c r="H364" s="995"/>
      <c r="I364" s="995"/>
      <c r="J364" s="995"/>
      <c r="K364" s="995"/>
      <c r="L364" s="995"/>
      <c r="M364" s="995"/>
      <c r="N364" s="995"/>
      <c r="O364" s="995"/>
      <c r="P364" s="995"/>
      <c r="Q364" s="995"/>
      <c r="R364" s="995"/>
      <c r="S364" s="995"/>
      <c r="T364" s="995"/>
      <c r="U364" s="995"/>
      <c r="V364" s="995"/>
      <c r="W364" s="995"/>
      <c r="X364" s="995"/>
      <c r="Y364" s="995"/>
      <c r="Z364" s="995"/>
      <c r="AA364" s="995"/>
      <c r="AB364" s="995"/>
      <c r="AC364" s="995"/>
      <c r="AD364" s="995"/>
      <c r="AE364" s="995"/>
      <c r="AF364" s="995"/>
      <c r="AG364" s="995"/>
      <c r="AH364" s="995"/>
      <c r="AI364" s="995"/>
      <c r="AJ364" s="995"/>
    </row>
    <row r="365" spans="2:36" x14ac:dyDescent="0.25">
      <c r="B365" s="687"/>
      <c r="C365" s="687"/>
      <c r="D365" s="687"/>
      <c r="E365" s="995"/>
      <c r="F365" s="995"/>
      <c r="G365" s="995"/>
      <c r="H365" s="995"/>
      <c r="I365" s="995"/>
      <c r="J365" s="995"/>
      <c r="K365" s="995"/>
      <c r="L365" s="995"/>
      <c r="M365" s="995"/>
      <c r="N365" s="995"/>
      <c r="O365" s="995"/>
      <c r="P365" s="995"/>
      <c r="Q365" s="995"/>
      <c r="R365" s="995"/>
      <c r="S365" s="995"/>
      <c r="T365" s="995"/>
      <c r="U365" s="995"/>
      <c r="V365" s="995"/>
      <c r="W365" s="995"/>
      <c r="X365" s="995"/>
      <c r="Y365" s="995"/>
      <c r="Z365" s="995"/>
      <c r="AA365" s="995"/>
      <c r="AB365" s="995"/>
      <c r="AC365" s="995"/>
      <c r="AD365" s="995"/>
      <c r="AE365" s="995"/>
      <c r="AF365" s="995"/>
      <c r="AG365" s="995"/>
      <c r="AH365" s="995"/>
      <c r="AI365" s="995"/>
      <c r="AJ365" s="995"/>
    </row>
    <row r="366" spans="2:36" x14ac:dyDescent="0.25">
      <c r="B366" s="687"/>
      <c r="C366" s="687"/>
      <c r="D366" s="687"/>
      <c r="E366" s="995"/>
      <c r="F366" s="995"/>
      <c r="G366" s="995"/>
      <c r="H366" s="995"/>
      <c r="I366" s="995"/>
      <c r="J366" s="995"/>
      <c r="K366" s="995"/>
      <c r="L366" s="995"/>
      <c r="M366" s="995"/>
      <c r="N366" s="995"/>
      <c r="O366" s="995"/>
      <c r="P366" s="995"/>
      <c r="Q366" s="995"/>
      <c r="R366" s="995"/>
      <c r="S366" s="995"/>
      <c r="T366" s="995"/>
      <c r="U366" s="995"/>
      <c r="V366" s="995"/>
      <c r="W366" s="995"/>
      <c r="X366" s="995"/>
      <c r="Y366" s="995"/>
      <c r="Z366" s="995"/>
      <c r="AA366" s="995"/>
      <c r="AB366" s="995"/>
      <c r="AC366" s="995"/>
      <c r="AD366" s="995"/>
      <c r="AE366" s="995"/>
      <c r="AF366" s="995"/>
      <c r="AG366" s="995"/>
      <c r="AH366" s="995"/>
      <c r="AI366" s="995"/>
      <c r="AJ366" s="995"/>
    </row>
    <row r="367" spans="2:36" x14ac:dyDescent="0.25">
      <c r="B367" s="687"/>
      <c r="C367" s="687"/>
      <c r="D367" s="687"/>
      <c r="E367" s="995"/>
      <c r="F367" s="995"/>
      <c r="G367" s="995"/>
      <c r="H367" s="995"/>
      <c r="I367" s="995"/>
      <c r="J367" s="995"/>
      <c r="K367" s="995"/>
      <c r="L367" s="995"/>
      <c r="M367" s="995"/>
      <c r="N367" s="995"/>
      <c r="O367" s="995"/>
      <c r="P367" s="995"/>
      <c r="Q367" s="995"/>
      <c r="R367" s="995"/>
      <c r="S367" s="995"/>
      <c r="T367" s="995"/>
      <c r="U367" s="995"/>
      <c r="V367" s="995"/>
      <c r="W367" s="995"/>
      <c r="X367" s="995"/>
      <c r="Y367" s="995"/>
      <c r="Z367" s="995"/>
      <c r="AA367" s="995"/>
      <c r="AB367" s="995"/>
      <c r="AC367" s="995"/>
      <c r="AD367" s="995"/>
      <c r="AE367" s="995"/>
      <c r="AF367" s="995"/>
      <c r="AG367" s="995"/>
      <c r="AH367" s="995"/>
      <c r="AI367" s="995"/>
      <c r="AJ367" s="995"/>
    </row>
    <row r="368" spans="2:36" x14ac:dyDescent="0.25">
      <c r="B368" s="687"/>
      <c r="C368" s="687"/>
      <c r="D368" s="687"/>
      <c r="E368" s="995"/>
      <c r="F368" s="995"/>
      <c r="G368" s="995"/>
      <c r="H368" s="995"/>
      <c r="I368" s="995"/>
      <c r="J368" s="995"/>
      <c r="K368" s="995"/>
      <c r="L368" s="995"/>
      <c r="M368" s="995"/>
      <c r="N368" s="995"/>
      <c r="O368" s="995"/>
      <c r="P368" s="995"/>
      <c r="Q368" s="995"/>
      <c r="R368" s="995"/>
      <c r="S368" s="995"/>
      <c r="T368" s="995"/>
      <c r="U368" s="995"/>
      <c r="V368" s="995"/>
      <c r="W368" s="995"/>
      <c r="X368" s="995"/>
      <c r="Y368" s="995"/>
      <c r="Z368" s="995"/>
      <c r="AA368" s="995"/>
      <c r="AB368" s="995"/>
      <c r="AC368" s="995"/>
      <c r="AD368" s="995"/>
      <c r="AE368" s="995"/>
      <c r="AF368" s="995"/>
      <c r="AG368" s="995"/>
      <c r="AH368" s="995"/>
      <c r="AI368" s="995"/>
      <c r="AJ368" s="995"/>
    </row>
    <row r="369" spans="2:36" x14ac:dyDescent="0.25">
      <c r="B369" s="687"/>
      <c r="C369" s="687"/>
      <c r="D369" s="687"/>
      <c r="E369" s="995"/>
      <c r="F369" s="995"/>
      <c r="G369" s="995"/>
      <c r="H369" s="995"/>
      <c r="I369" s="995"/>
      <c r="J369" s="995"/>
      <c r="K369" s="995"/>
      <c r="L369" s="995"/>
      <c r="M369" s="995"/>
      <c r="N369" s="995"/>
      <c r="O369" s="995"/>
      <c r="P369" s="995"/>
      <c r="Q369" s="995"/>
      <c r="R369" s="995"/>
      <c r="S369" s="995"/>
      <c r="T369" s="995"/>
      <c r="U369" s="995"/>
      <c r="V369" s="995"/>
      <c r="W369" s="995"/>
      <c r="X369" s="995"/>
      <c r="Y369" s="995"/>
      <c r="Z369" s="995"/>
      <c r="AA369" s="995"/>
      <c r="AB369" s="995"/>
      <c r="AC369" s="995"/>
      <c r="AD369" s="995"/>
      <c r="AE369" s="995"/>
      <c r="AF369" s="995"/>
      <c r="AG369" s="995"/>
      <c r="AH369" s="995"/>
      <c r="AI369" s="995"/>
      <c r="AJ369" s="99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6" sqref="A16"/>
    </sheetView>
  </sheetViews>
  <sheetFormatPr defaultRowHeight="23.25" x14ac:dyDescent="0.35"/>
  <cols>
    <col min="1" max="1" width="47.42578125" style="999" bestFit="1" customWidth="1"/>
    <col min="2" max="3" width="17.5703125" style="1000" hidden="1" customWidth="1"/>
    <col min="4" max="4" width="25.5703125" style="1000" bestFit="1" customWidth="1"/>
    <col min="5" max="5" width="26.42578125" style="999" customWidth="1"/>
    <col min="6" max="16384" width="9.140625" style="999"/>
  </cols>
  <sheetData>
    <row r="1" spans="1:6" hidden="1" x14ac:dyDescent="0.35">
      <c r="B1" s="999"/>
    </row>
    <row r="2" spans="1:6" hidden="1" x14ac:dyDescent="0.35">
      <c r="B2" s="999"/>
    </row>
    <row r="3" spans="1:6" ht="24" hidden="1" thickBot="1" x14ac:dyDescent="0.4">
      <c r="A3" s="1001" t="s">
        <v>0</v>
      </c>
      <c r="B3" s="1002" t="s">
        <v>47</v>
      </c>
      <c r="C3" s="1003" t="s">
        <v>158</v>
      </c>
      <c r="D3" s="1003" t="s">
        <v>5</v>
      </c>
    </row>
    <row r="4" spans="1:6" hidden="1" x14ac:dyDescent="0.35">
      <c r="B4" s="999"/>
      <c r="C4" s="999"/>
      <c r="D4" s="999"/>
    </row>
    <row r="5" spans="1:6" ht="24" thickBot="1" x14ac:dyDescent="0.4">
      <c r="A5" s="1004"/>
      <c r="B5" s="1153" t="s">
        <v>1695</v>
      </c>
      <c r="C5" s="1005" t="s">
        <v>1802</v>
      </c>
      <c r="D5" s="1006" t="s">
        <v>46</v>
      </c>
      <c r="E5" s="1014" t="s">
        <v>10860</v>
      </c>
    </row>
    <row r="6" spans="1:6" x14ac:dyDescent="0.35">
      <c r="A6" s="997" t="s">
        <v>11897</v>
      </c>
      <c r="B6" s="1154">
        <v>23482435</v>
      </c>
      <c r="C6" s="1154">
        <v>20350558</v>
      </c>
      <c r="D6" s="1007">
        <v>3131877</v>
      </c>
    </row>
    <row r="7" spans="1:6" x14ac:dyDescent="0.35">
      <c r="A7" s="997" t="s">
        <v>12207</v>
      </c>
      <c r="B7" s="1154">
        <v>2399817</v>
      </c>
      <c r="C7" s="1154">
        <v>1025253</v>
      </c>
      <c r="D7" s="1007">
        <v>1374564</v>
      </c>
    </row>
    <row r="8" spans="1:6" x14ac:dyDescent="0.35">
      <c r="A8" s="997" t="s">
        <v>10909</v>
      </c>
      <c r="B8" s="1154">
        <v>9891854.5</v>
      </c>
      <c r="C8" s="1154">
        <v>9024924</v>
      </c>
      <c r="D8" s="1007">
        <v>866930.5</v>
      </c>
      <c r="F8" s="98"/>
    </row>
    <row r="9" spans="1:6" x14ac:dyDescent="0.35">
      <c r="A9" s="997" t="s">
        <v>11089</v>
      </c>
      <c r="B9" s="1154">
        <v>10546144</v>
      </c>
      <c r="C9" s="1154">
        <v>9766001</v>
      </c>
      <c r="D9" s="1007">
        <v>780143</v>
      </c>
    </row>
    <row r="10" spans="1:6" x14ac:dyDescent="0.35">
      <c r="A10" s="997" t="s">
        <v>8559</v>
      </c>
      <c r="B10" s="1154">
        <v>2774625</v>
      </c>
      <c r="C10" s="1154">
        <v>2283299</v>
      </c>
      <c r="D10" s="1007">
        <v>491326</v>
      </c>
    </row>
    <row r="11" spans="1:6" x14ac:dyDescent="0.35">
      <c r="A11" s="997" t="s">
        <v>10296</v>
      </c>
      <c r="B11" s="1154">
        <v>1585166</v>
      </c>
      <c r="C11" s="1154">
        <v>1138818</v>
      </c>
      <c r="D11" s="1007">
        <v>446348</v>
      </c>
    </row>
    <row r="12" spans="1:6" x14ac:dyDescent="0.35">
      <c r="A12" s="997" t="s">
        <v>10576</v>
      </c>
      <c r="B12" s="1154">
        <v>21004486</v>
      </c>
      <c r="C12" s="1154">
        <v>20664231</v>
      </c>
      <c r="D12" s="1007">
        <v>340255</v>
      </c>
    </row>
    <row r="13" spans="1:6" x14ac:dyDescent="0.35">
      <c r="A13" s="997" t="s">
        <v>10571</v>
      </c>
      <c r="B13" s="1154">
        <v>2019367</v>
      </c>
      <c r="C13" s="1154">
        <v>1719382</v>
      </c>
      <c r="D13" s="1007">
        <v>299985</v>
      </c>
    </row>
    <row r="14" spans="1:6" x14ac:dyDescent="0.35">
      <c r="A14" s="997" t="s">
        <v>10232</v>
      </c>
      <c r="B14" s="1154">
        <v>12575807</v>
      </c>
      <c r="C14" s="1154">
        <v>12279121</v>
      </c>
      <c r="D14" s="1007">
        <v>296686</v>
      </c>
    </row>
    <row r="15" spans="1:6" x14ac:dyDescent="0.35">
      <c r="A15" s="997" t="s">
        <v>8657</v>
      </c>
      <c r="B15" s="1154">
        <v>11292323</v>
      </c>
      <c r="C15" s="1154">
        <v>11034775</v>
      </c>
      <c r="D15" s="1007">
        <v>257548</v>
      </c>
    </row>
    <row r="16" spans="1:6" x14ac:dyDescent="0.35">
      <c r="A16" s="997" t="s">
        <v>8868</v>
      </c>
      <c r="B16" s="1154">
        <v>1899307</v>
      </c>
      <c r="C16" s="1154">
        <v>1669531</v>
      </c>
      <c r="D16" s="1007">
        <v>229776</v>
      </c>
    </row>
    <row r="17" spans="1:4" x14ac:dyDescent="0.35">
      <c r="A17" s="997" t="s">
        <v>12818</v>
      </c>
      <c r="B17" s="1154">
        <v>214139</v>
      </c>
      <c r="C17" s="1154"/>
      <c r="D17" s="1007">
        <v>214139</v>
      </c>
    </row>
    <row r="18" spans="1:4" x14ac:dyDescent="0.35">
      <c r="A18" s="1114" t="s">
        <v>8394</v>
      </c>
      <c r="B18" s="1154">
        <v>153139</v>
      </c>
      <c r="C18" s="1154"/>
      <c r="D18" s="1007">
        <v>153139</v>
      </c>
    </row>
    <row r="19" spans="1:4" x14ac:dyDescent="0.35">
      <c r="A19" s="1114" t="s">
        <v>168</v>
      </c>
      <c r="B19" s="1154">
        <v>38500</v>
      </c>
      <c r="C19" s="1154"/>
      <c r="D19" s="1133">
        <v>38500</v>
      </c>
    </row>
    <row r="20" spans="1:4" x14ac:dyDescent="0.35">
      <c r="A20" s="1114" t="s">
        <v>166</v>
      </c>
      <c r="B20" s="1154">
        <v>14000</v>
      </c>
      <c r="C20" s="1154"/>
      <c r="D20" s="1133">
        <v>14000</v>
      </c>
    </row>
    <row r="21" spans="1:4" x14ac:dyDescent="0.35">
      <c r="A21" s="1114" t="s">
        <v>7242</v>
      </c>
      <c r="B21" s="1154">
        <v>8500</v>
      </c>
      <c r="C21" s="1154"/>
      <c r="D21" s="1007">
        <v>8500</v>
      </c>
    </row>
    <row r="22" spans="1:4" x14ac:dyDescent="0.35">
      <c r="A22" s="997" t="s">
        <v>11446</v>
      </c>
      <c r="B22" s="1154">
        <v>1121427</v>
      </c>
      <c r="C22" s="1154">
        <v>933127</v>
      </c>
      <c r="D22" s="1007">
        <v>188300</v>
      </c>
    </row>
    <row r="23" spans="1:4" x14ac:dyDescent="0.35">
      <c r="A23" s="997" t="s">
        <v>9661</v>
      </c>
      <c r="B23" s="1154">
        <v>2984053</v>
      </c>
      <c r="C23" s="1154">
        <v>2803173</v>
      </c>
      <c r="D23" s="1007">
        <v>180880</v>
      </c>
    </row>
    <row r="24" spans="1:4" x14ac:dyDescent="0.35">
      <c r="A24" s="997" t="s">
        <v>9356</v>
      </c>
      <c r="B24" s="1154">
        <v>4428561</v>
      </c>
      <c r="C24" s="1154">
        <v>4261002</v>
      </c>
      <c r="D24" s="1007">
        <v>167559</v>
      </c>
    </row>
    <row r="25" spans="1:4" x14ac:dyDescent="0.35">
      <c r="A25" s="997" t="s">
        <v>4721</v>
      </c>
      <c r="B25" s="1154">
        <v>644100</v>
      </c>
      <c r="C25" s="1154">
        <v>481480</v>
      </c>
      <c r="D25" s="1007">
        <v>162620</v>
      </c>
    </row>
    <row r="26" spans="1:4" x14ac:dyDescent="0.35">
      <c r="A26" s="997" t="s">
        <v>1400</v>
      </c>
      <c r="B26" s="1154">
        <v>26199453</v>
      </c>
      <c r="C26" s="1154">
        <v>26039908</v>
      </c>
      <c r="D26" s="1007">
        <v>159545</v>
      </c>
    </row>
    <row r="27" spans="1:4" x14ac:dyDescent="0.35">
      <c r="A27" s="997" t="s">
        <v>11617</v>
      </c>
      <c r="B27" s="1154">
        <v>1892082</v>
      </c>
      <c r="C27" s="1154">
        <v>1756043</v>
      </c>
      <c r="D27" s="1007">
        <v>136039</v>
      </c>
    </row>
    <row r="28" spans="1:4" x14ac:dyDescent="0.35">
      <c r="A28" s="997" t="s">
        <v>9769</v>
      </c>
      <c r="B28" s="1154">
        <v>6398047</v>
      </c>
      <c r="C28" s="1154">
        <v>6284400</v>
      </c>
      <c r="D28" s="1007">
        <v>113647</v>
      </c>
    </row>
    <row r="29" spans="1:4" x14ac:dyDescent="0.35">
      <c r="A29" s="997" t="s">
        <v>12287</v>
      </c>
      <c r="B29" s="1154">
        <v>1278570</v>
      </c>
      <c r="C29" s="1154">
        <v>1172797</v>
      </c>
      <c r="D29" s="1007">
        <v>105773</v>
      </c>
    </row>
    <row r="30" spans="1:4" x14ac:dyDescent="0.35">
      <c r="A30" s="997" t="s">
        <v>8876</v>
      </c>
      <c r="B30" s="1154">
        <v>2891040</v>
      </c>
      <c r="C30" s="1154">
        <v>2799926</v>
      </c>
      <c r="D30" s="1007">
        <v>91114</v>
      </c>
    </row>
    <row r="31" spans="1:4" x14ac:dyDescent="0.35">
      <c r="A31" s="997" t="s">
        <v>12827</v>
      </c>
      <c r="B31" s="1154">
        <v>87507</v>
      </c>
      <c r="C31" s="1154"/>
      <c r="D31" s="1007">
        <v>87507</v>
      </c>
    </row>
    <row r="32" spans="1:4" x14ac:dyDescent="0.35">
      <c r="A32" s="1114" t="s">
        <v>7467</v>
      </c>
      <c r="B32" s="1154">
        <v>87507</v>
      </c>
      <c r="C32" s="1154"/>
      <c r="D32" s="1007">
        <v>87507</v>
      </c>
    </row>
    <row r="33" spans="1:4" x14ac:dyDescent="0.35">
      <c r="A33" s="997" t="s">
        <v>6408</v>
      </c>
      <c r="B33" s="1154">
        <v>959942</v>
      </c>
      <c r="C33" s="1154">
        <v>879099</v>
      </c>
      <c r="D33" s="1007">
        <v>80843</v>
      </c>
    </row>
    <row r="34" spans="1:4" hidden="1" x14ac:dyDescent="0.35">
      <c r="A34" s="997" t="s">
        <v>11511</v>
      </c>
      <c r="B34" s="1154">
        <v>132545</v>
      </c>
      <c r="C34" s="1154">
        <v>73043</v>
      </c>
      <c r="D34" s="1007">
        <v>59502</v>
      </c>
    </row>
    <row r="35" spans="1:4" hidden="1" x14ac:dyDescent="0.35">
      <c r="A35" s="997" t="s">
        <v>12634</v>
      </c>
      <c r="B35" s="1154">
        <v>45459</v>
      </c>
      <c r="C35" s="1154"/>
      <c r="D35" s="1007">
        <v>45459</v>
      </c>
    </row>
    <row r="36" spans="1:4" hidden="1" x14ac:dyDescent="0.35">
      <c r="A36" s="1114" t="s">
        <v>7467</v>
      </c>
      <c r="B36" s="1154">
        <v>45459</v>
      </c>
      <c r="C36" s="1154"/>
      <c r="D36" s="1007">
        <v>45459</v>
      </c>
    </row>
    <row r="37" spans="1:4" hidden="1" x14ac:dyDescent="0.35">
      <c r="A37" s="997" t="s">
        <v>12247</v>
      </c>
      <c r="B37" s="1154">
        <v>110000</v>
      </c>
      <c r="C37" s="1154">
        <v>82500</v>
      </c>
      <c r="D37" s="1007">
        <v>27500</v>
      </c>
    </row>
    <row r="38" spans="1:4" hidden="1" x14ac:dyDescent="0.35">
      <c r="A38" s="997" t="s">
        <v>11</v>
      </c>
      <c r="B38" s="1154">
        <v>183038</v>
      </c>
      <c r="C38" s="1154">
        <v>164487</v>
      </c>
      <c r="D38" s="1007">
        <v>18551</v>
      </c>
    </row>
    <row r="39" spans="1:4" hidden="1" x14ac:dyDescent="0.35">
      <c r="A39" s="997" t="s">
        <v>8339</v>
      </c>
      <c r="B39" s="1154">
        <v>6661900</v>
      </c>
      <c r="C39" s="1154">
        <v>6645860</v>
      </c>
      <c r="D39" s="1007">
        <v>16040</v>
      </c>
    </row>
    <row r="40" spans="1:4" hidden="1" x14ac:dyDescent="0.35">
      <c r="A40" s="997" t="s">
        <v>9967</v>
      </c>
      <c r="B40" s="1154">
        <v>385571</v>
      </c>
      <c r="C40" s="1154">
        <v>370221</v>
      </c>
      <c r="D40" s="1007">
        <v>15350</v>
      </c>
    </row>
    <row r="41" spans="1:4" hidden="1" x14ac:dyDescent="0.35">
      <c r="A41" s="997" t="s">
        <v>10911</v>
      </c>
      <c r="B41" s="1154">
        <v>79935</v>
      </c>
      <c r="C41" s="1154">
        <v>64935</v>
      </c>
      <c r="D41" s="1007">
        <v>15000</v>
      </c>
    </row>
    <row r="42" spans="1:4" hidden="1" x14ac:dyDescent="0.35">
      <c r="A42" s="997" t="s">
        <v>11716</v>
      </c>
      <c r="B42" s="1154">
        <v>62941</v>
      </c>
      <c r="C42" s="1154">
        <v>56173</v>
      </c>
      <c r="D42" s="1007">
        <v>6768</v>
      </c>
    </row>
    <row r="43" spans="1:4" hidden="1" x14ac:dyDescent="0.35">
      <c r="A43" s="997" t="s">
        <v>10471</v>
      </c>
      <c r="B43" s="1154">
        <v>1683705</v>
      </c>
      <c r="C43" s="1154">
        <v>1679205</v>
      </c>
      <c r="D43" s="1007">
        <v>4500</v>
      </c>
    </row>
    <row r="44" spans="1:4" hidden="1" x14ac:dyDescent="0.35">
      <c r="A44" s="997" t="s">
        <v>6508</v>
      </c>
      <c r="B44" s="1154">
        <v>798186</v>
      </c>
      <c r="C44" s="1154">
        <v>793941</v>
      </c>
      <c r="D44" s="1007">
        <v>4245</v>
      </c>
    </row>
    <row r="45" spans="1:4" hidden="1" x14ac:dyDescent="0.35">
      <c r="A45" s="997" t="s">
        <v>1805</v>
      </c>
      <c r="B45" s="1154">
        <v>236720</v>
      </c>
      <c r="C45" s="1154">
        <v>236720</v>
      </c>
      <c r="D45" s="1007">
        <v>0</v>
      </c>
    </row>
    <row r="46" spans="1:4" hidden="1" x14ac:dyDescent="0.35">
      <c r="A46" s="997" t="s">
        <v>7746</v>
      </c>
      <c r="B46" s="1154">
        <v>319499</v>
      </c>
      <c r="C46" s="1154">
        <v>319499</v>
      </c>
      <c r="D46" s="1007">
        <v>0</v>
      </c>
    </row>
    <row r="47" spans="1:4" hidden="1" x14ac:dyDescent="0.35">
      <c r="A47" s="997" t="s">
        <v>1087</v>
      </c>
      <c r="B47" s="1154">
        <v>88730</v>
      </c>
      <c r="C47" s="1154">
        <v>88730</v>
      </c>
      <c r="D47" s="1007">
        <v>0</v>
      </c>
    </row>
    <row r="48" spans="1:4" hidden="1" x14ac:dyDescent="0.35">
      <c r="A48" s="997" t="s">
        <v>33</v>
      </c>
      <c r="B48" s="1154">
        <v>569111</v>
      </c>
      <c r="C48" s="1154">
        <v>569111</v>
      </c>
      <c r="D48" s="1007">
        <v>0</v>
      </c>
    </row>
    <row r="49" spans="1:4" hidden="1" x14ac:dyDescent="0.35">
      <c r="A49" s="997" t="s">
        <v>2787</v>
      </c>
      <c r="B49" s="1154">
        <v>4910436</v>
      </c>
      <c r="C49" s="1154">
        <v>4910436</v>
      </c>
      <c r="D49" s="1007">
        <v>0</v>
      </c>
    </row>
    <row r="50" spans="1:4" hidden="1" x14ac:dyDescent="0.35">
      <c r="A50" s="997" t="s">
        <v>1807</v>
      </c>
      <c r="B50" s="1154">
        <v>4800</v>
      </c>
      <c r="C50" s="1154">
        <v>4800</v>
      </c>
      <c r="D50" s="1007">
        <v>0</v>
      </c>
    </row>
    <row r="51" spans="1:4" hidden="1" x14ac:dyDescent="0.35">
      <c r="A51" s="997" t="s">
        <v>130</v>
      </c>
      <c r="B51" s="1154">
        <v>624947</v>
      </c>
      <c r="C51" s="1154">
        <v>624947</v>
      </c>
      <c r="D51" s="1007">
        <v>0</v>
      </c>
    </row>
    <row r="52" spans="1:4" hidden="1" x14ac:dyDescent="0.35">
      <c r="A52" s="997" t="s">
        <v>1691</v>
      </c>
      <c r="B52" s="1154">
        <v>13508</v>
      </c>
      <c r="C52" s="1154">
        <v>13508</v>
      </c>
      <c r="D52" s="1007">
        <v>0</v>
      </c>
    </row>
    <row r="53" spans="1:4" hidden="1" x14ac:dyDescent="0.35">
      <c r="A53" s="997" t="s">
        <v>6518</v>
      </c>
      <c r="B53" s="1154">
        <v>1058091</v>
      </c>
      <c r="C53" s="1154">
        <v>1058091</v>
      </c>
      <c r="D53" s="1007">
        <v>0</v>
      </c>
    </row>
    <row r="54" spans="1:4" hidden="1" x14ac:dyDescent="0.35">
      <c r="A54" s="997" t="s">
        <v>2023</v>
      </c>
      <c r="B54" s="1154">
        <v>290962</v>
      </c>
      <c r="C54" s="1154">
        <v>290962</v>
      </c>
      <c r="D54" s="1007">
        <v>0</v>
      </c>
    </row>
    <row r="55" spans="1:4" hidden="1" x14ac:dyDescent="0.35">
      <c r="A55" s="997" t="s">
        <v>7953</v>
      </c>
      <c r="B55" s="1154">
        <v>3636139</v>
      </c>
      <c r="C55" s="1154">
        <v>3636139</v>
      </c>
      <c r="D55" s="1007">
        <v>0</v>
      </c>
    </row>
    <row r="56" spans="1:4" hidden="1" x14ac:dyDescent="0.35">
      <c r="A56" s="997" t="s">
        <v>32</v>
      </c>
      <c r="B56" s="1154">
        <v>327433</v>
      </c>
      <c r="C56" s="1154">
        <v>327433</v>
      </c>
      <c r="D56" s="1007">
        <v>0</v>
      </c>
    </row>
    <row r="57" spans="1:4" hidden="1" x14ac:dyDescent="0.35">
      <c r="A57" s="997" t="s">
        <v>2094</v>
      </c>
      <c r="B57" s="1154">
        <v>148869</v>
      </c>
      <c r="C57" s="1154">
        <v>148869</v>
      </c>
      <c r="D57" s="1007">
        <v>0</v>
      </c>
    </row>
    <row r="58" spans="1:4" hidden="1" x14ac:dyDescent="0.35">
      <c r="A58" s="997" t="s">
        <v>2043</v>
      </c>
      <c r="B58" s="1154">
        <v>91259</v>
      </c>
      <c r="C58" s="1154">
        <v>91259</v>
      </c>
      <c r="D58" s="1007">
        <v>0</v>
      </c>
    </row>
    <row r="59" spans="1:4" hidden="1" x14ac:dyDescent="0.35">
      <c r="A59" s="997" t="s">
        <v>963</v>
      </c>
      <c r="B59" s="1154">
        <v>144342</v>
      </c>
      <c r="C59" s="1154">
        <v>144342</v>
      </c>
      <c r="D59" s="1007">
        <v>0</v>
      </c>
    </row>
    <row r="60" spans="1:4" hidden="1" x14ac:dyDescent="0.35">
      <c r="A60" s="997" t="s">
        <v>2263</v>
      </c>
      <c r="B60" s="1154">
        <v>81323</v>
      </c>
      <c r="C60" s="1154">
        <v>81323</v>
      </c>
      <c r="D60" s="1007">
        <v>0</v>
      </c>
    </row>
    <row r="61" spans="1:4" hidden="1" x14ac:dyDescent="0.35">
      <c r="A61" s="997" t="s">
        <v>39</v>
      </c>
      <c r="B61" s="1154">
        <v>65000</v>
      </c>
      <c r="C61" s="1154">
        <v>65000</v>
      </c>
      <c r="D61" s="1007">
        <v>0</v>
      </c>
    </row>
    <row r="62" spans="1:4" hidden="1" x14ac:dyDescent="0.35">
      <c r="A62" s="997" t="s">
        <v>2404</v>
      </c>
      <c r="B62" s="1154">
        <v>907</v>
      </c>
      <c r="C62" s="1154">
        <v>907</v>
      </c>
      <c r="D62" s="1007">
        <v>0</v>
      </c>
    </row>
    <row r="63" spans="1:4" hidden="1" x14ac:dyDescent="0.35">
      <c r="A63" s="997" t="s">
        <v>7112</v>
      </c>
      <c r="B63" s="1154">
        <v>565282</v>
      </c>
      <c r="C63" s="1154">
        <v>565282</v>
      </c>
      <c r="D63" s="1007">
        <v>0</v>
      </c>
    </row>
    <row r="64" spans="1:4" hidden="1" x14ac:dyDescent="0.35">
      <c r="A64" s="997" t="s">
        <v>2548</v>
      </c>
      <c r="B64" s="1154">
        <v>42578</v>
      </c>
      <c r="C64" s="1154">
        <v>42578</v>
      </c>
      <c r="D64" s="1007">
        <v>0</v>
      </c>
    </row>
    <row r="65" spans="1:4" hidden="1" x14ac:dyDescent="0.35">
      <c r="A65" s="997" t="s">
        <v>6647</v>
      </c>
      <c r="B65" s="1154"/>
      <c r="C65" s="1154"/>
      <c r="D65" s="1007">
        <v>0</v>
      </c>
    </row>
    <row r="66" spans="1:4" hidden="1" x14ac:dyDescent="0.35">
      <c r="A66" s="997" t="s">
        <v>2652</v>
      </c>
      <c r="B66" s="1154">
        <v>9647104</v>
      </c>
      <c r="C66" s="1154">
        <v>9647104</v>
      </c>
      <c r="D66" s="1007">
        <v>0</v>
      </c>
    </row>
    <row r="67" spans="1:4" hidden="1" x14ac:dyDescent="0.35">
      <c r="A67" s="997" t="s">
        <v>7921</v>
      </c>
      <c r="B67" s="1154">
        <v>3715694</v>
      </c>
      <c r="C67" s="1154">
        <v>3715694</v>
      </c>
      <c r="D67" s="1007">
        <v>0</v>
      </c>
    </row>
    <row r="68" spans="1:4" hidden="1" x14ac:dyDescent="0.35">
      <c r="A68" s="997" t="s">
        <v>2319</v>
      </c>
      <c r="B68" s="1154">
        <v>39773</v>
      </c>
      <c r="C68" s="1154">
        <v>39773</v>
      </c>
      <c r="D68" s="1007">
        <v>0</v>
      </c>
    </row>
    <row r="69" spans="1:4" hidden="1" x14ac:dyDescent="0.35">
      <c r="A69" s="997" t="s">
        <v>8077</v>
      </c>
      <c r="B69" s="1154">
        <v>142848</v>
      </c>
      <c r="C69" s="1154">
        <v>142848</v>
      </c>
      <c r="D69" s="1007">
        <v>0</v>
      </c>
    </row>
    <row r="70" spans="1:4" hidden="1" x14ac:dyDescent="0.35">
      <c r="A70" s="997" t="s">
        <v>3384</v>
      </c>
      <c r="B70" s="1154">
        <v>4145</v>
      </c>
      <c r="C70" s="1154">
        <v>4145</v>
      </c>
      <c r="D70" s="1007">
        <v>0</v>
      </c>
    </row>
    <row r="71" spans="1:4" hidden="1" x14ac:dyDescent="0.35">
      <c r="A71" s="997" t="s">
        <v>2933</v>
      </c>
      <c r="B71" s="1154">
        <v>6628809</v>
      </c>
      <c r="C71" s="1154">
        <v>6628809</v>
      </c>
      <c r="D71" s="1007">
        <v>0</v>
      </c>
    </row>
    <row r="72" spans="1:4" hidden="1" x14ac:dyDescent="0.35">
      <c r="A72" s="997" t="s">
        <v>3401</v>
      </c>
      <c r="B72" s="1154">
        <v>25920</v>
      </c>
      <c r="C72" s="1154">
        <v>25920</v>
      </c>
      <c r="D72" s="1007">
        <v>0</v>
      </c>
    </row>
    <row r="73" spans="1:4" hidden="1" x14ac:dyDescent="0.35">
      <c r="A73" s="997" t="s">
        <v>9507</v>
      </c>
      <c r="B73" s="1154">
        <v>69638</v>
      </c>
      <c r="C73" s="1154">
        <v>69638</v>
      </c>
      <c r="D73" s="1007">
        <v>0</v>
      </c>
    </row>
    <row r="74" spans="1:4" s="1008" customFormat="1" hidden="1" x14ac:dyDescent="0.35">
      <c r="A74" s="997" t="s">
        <v>3622</v>
      </c>
      <c r="B74" s="1154">
        <v>1205380</v>
      </c>
      <c r="C74" s="1154">
        <v>1205380</v>
      </c>
      <c r="D74" s="1007">
        <v>0</v>
      </c>
    </row>
    <row r="75" spans="1:4" hidden="1" x14ac:dyDescent="0.35">
      <c r="A75" s="997" t="s">
        <v>2089</v>
      </c>
      <c r="B75" s="1154">
        <v>64441</v>
      </c>
      <c r="C75" s="1154">
        <v>64441</v>
      </c>
      <c r="D75" s="1007">
        <v>0</v>
      </c>
    </row>
    <row r="76" spans="1:4" hidden="1" x14ac:dyDescent="0.35">
      <c r="A76" s="997" t="s">
        <v>1676</v>
      </c>
      <c r="B76" s="1154">
        <v>155133</v>
      </c>
      <c r="C76" s="1154">
        <v>155133</v>
      </c>
      <c r="D76" s="1007">
        <v>0</v>
      </c>
    </row>
    <row r="77" spans="1:4" hidden="1" x14ac:dyDescent="0.35">
      <c r="A77" s="997" t="s">
        <v>1215</v>
      </c>
      <c r="B77" s="1154">
        <v>258956</v>
      </c>
      <c r="C77" s="1154">
        <v>258956</v>
      </c>
      <c r="D77" s="1007">
        <v>0</v>
      </c>
    </row>
    <row r="78" spans="1:4" hidden="1" x14ac:dyDescent="0.35">
      <c r="A78" s="997" t="s">
        <v>18</v>
      </c>
      <c r="B78" s="1154">
        <v>150590</v>
      </c>
      <c r="C78" s="1154">
        <v>150590</v>
      </c>
      <c r="D78" s="1007">
        <v>0</v>
      </c>
    </row>
    <row r="79" spans="1:4" hidden="1" x14ac:dyDescent="0.35">
      <c r="A79" s="997" t="s">
        <v>44</v>
      </c>
      <c r="B79" s="1154">
        <v>10000</v>
      </c>
      <c r="C79" s="1154">
        <v>10000</v>
      </c>
      <c r="D79" s="1007">
        <v>0</v>
      </c>
    </row>
    <row r="80" spans="1:4" hidden="1" x14ac:dyDescent="0.35">
      <c r="A80" s="997" t="s">
        <v>2649</v>
      </c>
      <c r="B80" s="1154">
        <v>202856</v>
      </c>
      <c r="C80" s="1154">
        <v>202856</v>
      </c>
      <c r="D80" s="1007">
        <v>0</v>
      </c>
    </row>
    <row r="81" spans="1:4" hidden="1" x14ac:dyDescent="0.35">
      <c r="A81" s="997" t="s">
        <v>11075</v>
      </c>
      <c r="B81" s="1154">
        <v>900642</v>
      </c>
      <c r="C81" s="1154">
        <v>900642</v>
      </c>
      <c r="D81" s="1007">
        <v>0</v>
      </c>
    </row>
    <row r="82" spans="1:4" hidden="1" x14ac:dyDescent="0.35">
      <c r="A82" s="997" t="s">
        <v>4884</v>
      </c>
      <c r="B82" s="1154">
        <v>262657</v>
      </c>
      <c r="C82" s="1154">
        <v>262657</v>
      </c>
      <c r="D82" s="1007">
        <v>0</v>
      </c>
    </row>
    <row r="83" spans="1:4" hidden="1" x14ac:dyDescent="0.35">
      <c r="A83" s="997" t="s">
        <v>37</v>
      </c>
      <c r="B83" s="1154">
        <v>74360</v>
      </c>
      <c r="C83" s="1154">
        <v>74360</v>
      </c>
      <c r="D83" s="1007">
        <v>0</v>
      </c>
    </row>
    <row r="84" spans="1:4" hidden="1" x14ac:dyDescent="0.35">
      <c r="A84" s="997" t="s">
        <v>5052</v>
      </c>
      <c r="B84" s="1154">
        <v>206944</v>
      </c>
      <c r="C84" s="1154">
        <v>206944</v>
      </c>
      <c r="D84" s="1007">
        <v>0</v>
      </c>
    </row>
    <row r="85" spans="1:4" hidden="1" x14ac:dyDescent="0.35">
      <c r="A85" s="997" t="s">
        <v>7555</v>
      </c>
      <c r="B85" s="1154">
        <v>1012779</v>
      </c>
      <c r="C85" s="1154">
        <v>1012779</v>
      </c>
      <c r="D85" s="1007">
        <v>0</v>
      </c>
    </row>
    <row r="86" spans="1:4" hidden="1" x14ac:dyDescent="0.35">
      <c r="A86" s="997" t="s">
        <v>4814</v>
      </c>
      <c r="B86" s="1154">
        <v>15712</v>
      </c>
      <c r="C86" s="1154">
        <v>15712</v>
      </c>
      <c r="D86" s="1007">
        <v>0</v>
      </c>
    </row>
    <row r="87" spans="1:4" hidden="1" x14ac:dyDescent="0.35">
      <c r="A87" s="997" t="s">
        <v>7126</v>
      </c>
      <c r="B87" s="1154"/>
      <c r="C87" s="1154"/>
      <c r="D87" s="1007">
        <v>0</v>
      </c>
    </row>
    <row r="88" spans="1:4" hidden="1" x14ac:dyDescent="0.35">
      <c r="A88" s="997" t="s">
        <v>5227</v>
      </c>
      <c r="B88" s="1154">
        <v>862774</v>
      </c>
      <c r="C88" s="1154">
        <v>862774</v>
      </c>
      <c r="D88" s="1007">
        <v>0</v>
      </c>
    </row>
    <row r="89" spans="1:4" hidden="1" x14ac:dyDescent="0.35">
      <c r="A89" s="997" t="s">
        <v>7732</v>
      </c>
      <c r="B89" s="1154">
        <v>221361</v>
      </c>
      <c r="C89" s="1154">
        <v>221361</v>
      </c>
      <c r="D89" s="1007">
        <v>0</v>
      </c>
    </row>
    <row r="90" spans="1:4" hidden="1" x14ac:dyDescent="0.35">
      <c r="A90" s="997" t="s">
        <v>5320</v>
      </c>
      <c r="B90" s="1154">
        <v>52679</v>
      </c>
      <c r="C90" s="1154">
        <v>52679</v>
      </c>
      <c r="D90" s="1007">
        <v>0</v>
      </c>
    </row>
    <row r="91" spans="1:4" hidden="1" x14ac:dyDescent="0.35">
      <c r="A91" s="997" t="s">
        <v>7817</v>
      </c>
      <c r="B91" s="1154">
        <v>136445</v>
      </c>
      <c r="C91" s="1154">
        <v>136445</v>
      </c>
      <c r="D91" s="1007">
        <v>0</v>
      </c>
    </row>
    <row r="92" spans="1:4" hidden="1" x14ac:dyDescent="0.35">
      <c r="A92" s="997" t="s">
        <v>5548</v>
      </c>
      <c r="B92" s="1154">
        <v>202398</v>
      </c>
      <c r="C92" s="1154">
        <v>202398</v>
      </c>
      <c r="D92" s="1007">
        <v>0</v>
      </c>
    </row>
    <row r="93" spans="1:4" hidden="1" x14ac:dyDescent="0.35">
      <c r="A93" s="997" t="s">
        <v>3945</v>
      </c>
      <c r="B93" s="1154">
        <v>5200</v>
      </c>
      <c r="C93" s="1154">
        <v>5200</v>
      </c>
      <c r="D93" s="1007">
        <v>0</v>
      </c>
    </row>
    <row r="94" spans="1:4" hidden="1" x14ac:dyDescent="0.35">
      <c r="A94" s="997" t="s">
        <v>5709</v>
      </c>
      <c r="B94" s="1154">
        <v>189460</v>
      </c>
      <c r="C94" s="1154">
        <v>189460</v>
      </c>
      <c r="D94" s="1007">
        <v>0</v>
      </c>
    </row>
    <row r="95" spans="1:4" hidden="1" x14ac:dyDescent="0.35">
      <c r="A95" s="997" t="s">
        <v>8043</v>
      </c>
      <c r="B95" s="1154">
        <v>11932427</v>
      </c>
      <c r="C95" s="1154">
        <v>11932427</v>
      </c>
      <c r="D95" s="1007">
        <v>0</v>
      </c>
    </row>
    <row r="96" spans="1:4" hidden="1" x14ac:dyDescent="0.35">
      <c r="A96" s="997" t="s">
        <v>5720</v>
      </c>
      <c r="B96" s="1154">
        <v>271758</v>
      </c>
      <c r="C96" s="1154">
        <v>271758</v>
      </c>
      <c r="D96" s="1007">
        <v>0</v>
      </c>
    </row>
    <row r="97" spans="1:4" hidden="1" x14ac:dyDescent="0.35">
      <c r="A97" s="997" t="s">
        <v>673</v>
      </c>
      <c r="B97" s="1154">
        <v>629934</v>
      </c>
      <c r="C97" s="1154">
        <v>629934</v>
      </c>
      <c r="D97" s="1007">
        <v>0</v>
      </c>
    </row>
    <row r="98" spans="1:4" hidden="1" x14ac:dyDescent="0.35">
      <c r="A98" s="997" t="s">
        <v>5729</v>
      </c>
      <c r="B98" s="1154">
        <v>20800</v>
      </c>
      <c r="C98" s="1154">
        <v>20800</v>
      </c>
      <c r="D98" s="1007">
        <v>0</v>
      </c>
    </row>
    <row r="99" spans="1:4" hidden="1" x14ac:dyDescent="0.35">
      <c r="A99" s="997" t="s">
        <v>8532</v>
      </c>
      <c r="B99" s="1154">
        <v>235522</v>
      </c>
      <c r="C99" s="1154">
        <v>235522</v>
      </c>
      <c r="D99" s="1007">
        <v>0</v>
      </c>
    </row>
    <row r="100" spans="1:4" hidden="1" x14ac:dyDescent="0.35">
      <c r="A100" s="997" t="s">
        <v>5811</v>
      </c>
      <c r="B100" s="1154">
        <v>317719</v>
      </c>
      <c r="C100" s="1154">
        <v>317719</v>
      </c>
      <c r="D100" s="1007">
        <v>0</v>
      </c>
    </row>
    <row r="101" spans="1:4" hidden="1" x14ac:dyDescent="0.35">
      <c r="A101" s="997" t="s">
        <v>2227</v>
      </c>
      <c r="B101" s="1154">
        <v>381380</v>
      </c>
      <c r="C101" s="1154">
        <v>381380</v>
      </c>
      <c r="D101" s="1007">
        <v>0</v>
      </c>
    </row>
    <row r="102" spans="1:4" hidden="1" x14ac:dyDescent="0.35">
      <c r="A102" s="997" t="s">
        <v>2271</v>
      </c>
      <c r="B102" s="1154">
        <v>166908</v>
      </c>
      <c r="C102" s="1154">
        <v>166908</v>
      </c>
      <c r="D102" s="1007">
        <v>0</v>
      </c>
    </row>
    <row r="103" spans="1:4" hidden="1" x14ac:dyDescent="0.35">
      <c r="A103" s="997" t="s">
        <v>9409</v>
      </c>
      <c r="B103" s="1154">
        <v>1080276</v>
      </c>
      <c r="C103" s="1154">
        <v>1080276</v>
      </c>
      <c r="D103" s="1007">
        <v>0</v>
      </c>
    </row>
    <row r="104" spans="1:4" hidden="1" x14ac:dyDescent="0.35">
      <c r="A104" s="997" t="s">
        <v>6248</v>
      </c>
      <c r="B104" s="1154">
        <v>64600</v>
      </c>
      <c r="C104" s="1154">
        <v>64600</v>
      </c>
      <c r="D104" s="1007">
        <v>0</v>
      </c>
    </row>
    <row r="105" spans="1:4" hidden="1" x14ac:dyDescent="0.35">
      <c r="A105" s="997" t="s">
        <v>1397</v>
      </c>
      <c r="B105" s="1154">
        <v>3227014</v>
      </c>
      <c r="C105" s="1154">
        <v>3227014</v>
      </c>
      <c r="D105" s="1007">
        <v>0</v>
      </c>
    </row>
    <row r="106" spans="1:4" hidden="1" x14ac:dyDescent="0.35">
      <c r="A106" s="997" t="s">
        <v>129</v>
      </c>
      <c r="B106" s="1154">
        <v>276956</v>
      </c>
      <c r="C106" s="1154">
        <v>276956</v>
      </c>
      <c r="D106" s="1007">
        <v>0</v>
      </c>
    </row>
    <row r="107" spans="1:4" hidden="1" x14ac:dyDescent="0.35">
      <c r="A107" s="997" t="s">
        <v>465</v>
      </c>
      <c r="B107" s="1154">
        <v>3188510</v>
      </c>
      <c r="C107" s="1154">
        <v>3188510</v>
      </c>
      <c r="D107" s="1007">
        <v>0</v>
      </c>
    </row>
    <row r="108" spans="1:4" hidden="1" x14ac:dyDescent="0.35">
      <c r="A108" s="997" t="s">
        <v>6507</v>
      </c>
      <c r="B108" s="1154">
        <v>74613</v>
      </c>
      <c r="C108" s="1154">
        <v>74613</v>
      </c>
      <c r="D108" s="1007">
        <v>0</v>
      </c>
    </row>
    <row r="109" spans="1:4" hidden="1" x14ac:dyDescent="0.35">
      <c r="A109" s="997" t="s">
        <v>10151</v>
      </c>
      <c r="B109" s="1154">
        <v>2384019</v>
      </c>
      <c r="C109" s="1154">
        <v>2384019</v>
      </c>
      <c r="D109" s="1007">
        <v>0</v>
      </c>
    </row>
    <row r="110" spans="1:4" hidden="1" x14ac:dyDescent="0.35">
      <c r="A110" s="997" t="s">
        <v>1203</v>
      </c>
      <c r="B110" s="1154">
        <v>59350</v>
      </c>
      <c r="C110" s="1154">
        <v>59350</v>
      </c>
      <c r="D110" s="1007">
        <v>0</v>
      </c>
    </row>
    <row r="111" spans="1:4" hidden="1" x14ac:dyDescent="0.35">
      <c r="A111" s="997" t="s">
        <v>1493</v>
      </c>
      <c r="B111" s="1154">
        <v>188750</v>
      </c>
      <c r="C111" s="1154">
        <v>188750</v>
      </c>
      <c r="D111" s="1007">
        <v>0</v>
      </c>
    </row>
    <row r="112" spans="1:4" hidden="1" x14ac:dyDescent="0.35">
      <c r="A112" s="997" t="s">
        <v>1206</v>
      </c>
      <c r="B112" s="1154">
        <v>263340</v>
      </c>
      <c r="C112" s="1154">
        <v>263340</v>
      </c>
      <c r="D112" s="1007">
        <v>0</v>
      </c>
    </row>
    <row r="113" spans="1:4" hidden="1" x14ac:dyDescent="0.35">
      <c r="A113" s="997" t="s">
        <v>1399</v>
      </c>
      <c r="B113" s="1154">
        <v>54635</v>
      </c>
      <c r="C113" s="1154">
        <v>54635</v>
      </c>
      <c r="D113" s="1007">
        <v>0</v>
      </c>
    </row>
    <row r="114" spans="1:4" hidden="1" x14ac:dyDescent="0.35">
      <c r="A114" s="997" t="s">
        <v>6511</v>
      </c>
      <c r="B114" s="1154">
        <v>1741940</v>
      </c>
      <c r="C114" s="1154">
        <v>1741940</v>
      </c>
      <c r="D114" s="1007">
        <v>0</v>
      </c>
    </row>
    <row r="115" spans="1:4" hidden="1" x14ac:dyDescent="0.35">
      <c r="A115" s="997" t="s">
        <v>7807</v>
      </c>
      <c r="B115" s="1154">
        <v>1072490</v>
      </c>
      <c r="C115" s="1154">
        <v>1072490</v>
      </c>
      <c r="D115" s="1007">
        <v>0</v>
      </c>
    </row>
    <row r="116" spans="1:4" hidden="1" x14ac:dyDescent="0.35">
      <c r="A116" s="997" t="s">
        <v>6720</v>
      </c>
      <c r="B116" s="1154">
        <v>270400</v>
      </c>
      <c r="C116" s="1154">
        <v>270400</v>
      </c>
      <c r="D116" s="1007">
        <v>0</v>
      </c>
    </row>
    <row r="117" spans="1:4" hidden="1" x14ac:dyDescent="0.35">
      <c r="A117" s="997" t="s">
        <v>769</v>
      </c>
      <c r="B117" s="1154">
        <v>190145</v>
      </c>
      <c r="C117" s="1154">
        <v>190145</v>
      </c>
      <c r="D117" s="1007">
        <v>0</v>
      </c>
    </row>
    <row r="118" spans="1:4" hidden="1" x14ac:dyDescent="0.35">
      <c r="A118" s="997" t="s">
        <v>6955</v>
      </c>
      <c r="B118" s="1154">
        <v>975613</v>
      </c>
      <c r="C118" s="1154">
        <v>975613</v>
      </c>
      <c r="D118" s="1007">
        <v>0</v>
      </c>
    </row>
    <row r="119" spans="1:4" hidden="1" x14ac:dyDescent="0.35">
      <c r="A119" s="997" t="s">
        <v>10379</v>
      </c>
      <c r="B119" s="1154">
        <v>1329980</v>
      </c>
      <c r="C119" s="1154">
        <v>1329980</v>
      </c>
      <c r="D119" s="1007">
        <v>0</v>
      </c>
    </row>
    <row r="120" spans="1:4" x14ac:dyDescent="0.35">
      <c r="A120" s="997" t="s">
        <v>11271</v>
      </c>
      <c r="B120" s="1154">
        <v>34476</v>
      </c>
      <c r="C120" s="1154">
        <v>34476</v>
      </c>
      <c r="D120" s="1007">
        <v>0</v>
      </c>
    </row>
    <row r="121" spans="1:4" x14ac:dyDescent="0.35">
      <c r="A121" s="997" t="s">
        <v>11007</v>
      </c>
      <c r="B121" s="1154">
        <v>69890</v>
      </c>
      <c r="C121" s="1154">
        <v>69890</v>
      </c>
      <c r="D121" s="1007">
        <v>0</v>
      </c>
    </row>
    <row r="122" spans="1:4" x14ac:dyDescent="0.35">
      <c r="A122" s="997" t="s">
        <v>160</v>
      </c>
      <c r="B122" s="1154">
        <v>7375</v>
      </c>
      <c r="C122" s="1154">
        <v>7375</v>
      </c>
      <c r="D122" s="1007">
        <v>0</v>
      </c>
    </row>
    <row r="123" spans="1:4" x14ac:dyDescent="0.35">
      <c r="A123" s="997" t="s">
        <v>38</v>
      </c>
      <c r="B123" s="1154">
        <v>110704</v>
      </c>
      <c r="C123" s="1154">
        <v>110704</v>
      </c>
      <c r="D123" s="1007">
        <v>0</v>
      </c>
    </row>
    <row r="124" spans="1:4" x14ac:dyDescent="0.35">
      <c r="A124" s="997" t="s">
        <v>395</v>
      </c>
      <c r="B124" s="1154">
        <v>51141</v>
      </c>
      <c r="C124" s="1154">
        <v>51141</v>
      </c>
      <c r="D124" s="1007">
        <v>0</v>
      </c>
    </row>
    <row r="125" spans="1:4" x14ac:dyDescent="0.35">
      <c r="A125" s="997" t="s">
        <v>82</v>
      </c>
      <c r="B125" s="1154">
        <v>732794</v>
      </c>
      <c r="C125" s="1154">
        <v>732794</v>
      </c>
      <c r="D125" s="1007">
        <v>0</v>
      </c>
    </row>
    <row r="126" spans="1:4" x14ac:dyDescent="0.35">
      <c r="A126" s="997" t="s">
        <v>3946</v>
      </c>
      <c r="B126" s="1154">
        <v>514945</v>
      </c>
      <c r="C126" s="1154">
        <v>514945</v>
      </c>
      <c r="D126" s="1007">
        <v>0</v>
      </c>
    </row>
    <row r="127" spans="1:4" x14ac:dyDescent="0.35">
      <c r="A127" s="997" t="s">
        <v>14</v>
      </c>
      <c r="B127" s="1154">
        <v>53258</v>
      </c>
      <c r="C127" s="1154">
        <v>53258</v>
      </c>
      <c r="D127" s="1007">
        <v>0</v>
      </c>
    </row>
    <row r="128" spans="1:4" x14ac:dyDescent="0.35">
      <c r="A128" s="997" t="s">
        <v>7067</v>
      </c>
      <c r="B128" s="1154">
        <v>1567993</v>
      </c>
      <c r="C128" s="1154">
        <v>1567993</v>
      </c>
      <c r="D128" s="1007">
        <v>0</v>
      </c>
    </row>
    <row r="129" spans="1:4" x14ac:dyDescent="0.35">
      <c r="A129" s="997" t="s">
        <v>10122</v>
      </c>
      <c r="B129" s="1154">
        <v>80000</v>
      </c>
      <c r="C129" s="1154">
        <v>80000</v>
      </c>
      <c r="D129" s="1007">
        <v>0</v>
      </c>
    </row>
    <row r="130" spans="1:4" x14ac:dyDescent="0.35">
      <c r="A130" s="997" t="s">
        <v>36</v>
      </c>
      <c r="B130" s="1154">
        <v>11281</v>
      </c>
      <c r="C130" s="1154">
        <v>11281</v>
      </c>
      <c r="D130" s="1007">
        <v>0</v>
      </c>
    </row>
    <row r="131" spans="1:4" x14ac:dyDescent="0.35">
      <c r="A131" s="997" t="s">
        <v>154</v>
      </c>
      <c r="B131" s="1154">
        <v>252400</v>
      </c>
      <c r="C131" s="1154">
        <v>252400</v>
      </c>
      <c r="D131" s="1007">
        <v>0</v>
      </c>
    </row>
    <row r="132" spans="1:4" x14ac:dyDescent="0.35">
      <c r="A132" s="997" t="s">
        <v>171</v>
      </c>
      <c r="B132" s="1154">
        <v>46541</v>
      </c>
      <c r="C132" s="1154">
        <v>46541</v>
      </c>
      <c r="D132" s="1007">
        <v>0</v>
      </c>
    </row>
    <row r="133" spans="1:4" x14ac:dyDescent="0.35">
      <c r="A133" s="997" t="s">
        <v>6505</v>
      </c>
      <c r="B133" s="1154">
        <v>156073</v>
      </c>
      <c r="C133" s="1154">
        <v>156073</v>
      </c>
      <c r="D133" s="1007">
        <v>0</v>
      </c>
    </row>
    <row r="134" spans="1:4" x14ac:dyDescent="0.35">
      <c r="A134" s="997" t="s">
        <v>7657</v>
      </c>
      <c r="B134" s="1154">
        <v>1303060</v>
      </c>
      <c r="C134" s="1154">
        <v>1303060</v>
      </c>
      <c r="D134" s="1007">
        <v>0</v>
      </c>
    </row>
    <row r="135" spans="1:4" x14ac:dyDescent="0.35">
      <c r="A135" s="997" t="s">
        <v>3733</v>
      </c>
      <c r="B135" s="1154">
        <v>633124</v>
      </c>
      <c r="C135" s="1154">
        <v>633124</v>
      </c>
      <c r="D135" s="1007">
        <v>0</v>
      </c>
    </row>
    <row r="136" spans="1:4" x14ac:dyDescent="0.35">
      <c r="A136" s="997" t="s">
        <v>6103</v>
      </c>
      <c r="B136" s="1154">
        <v>126398</v>
      </c>
      <c r="C136" s="1154">
        <v>126398</v>
      </c>
      <c r="D136" s="1007">
        <v>0</v>
      </c>
    </row>
    <row r="137" spans="1:4" x14ac:dyDescent="0.35">
      <c r="A137" s="997" t="s">
        <v>40</v>
      </c>
      <c r="B137" s="1154">
        <v>4932021</v>
      </c>
      <c r="C137" s="1154">
        <v>4949540</v>
      </c>
      <c r="D137" s="1007">
        <v>-17519</v>
      </c>
    </row>
    <row r="138" spans="1:4" ht="24" thickBot="1" x14ac:dyDescent="0.4">
      <c r="A138" s="997" t="s">
        <v>75</v>
      </c>
      <c r="B138" s="1154">
        <v>65754</v>
      </c>
      <c r="C138" s="1154">
        <v>3536297</v>
      </c>
      <c r="D138" s="1007">
        <v>-3470543</v>
      </c>
    </row>
    <row r="139" spans="1:4" ht="24" thickBot="1" x14ac:dyDescent="0.4">
      <c r="A139" s="1009" t="s">
        <v>45</v>
      </c>
      <c r="B139" s="1010">
        <v>239546473.5</v>
      </c>
      <c r="C139" s="1011">
        <v>232618216</v>
      </c>
      <c r="D139" s="1012">
        <v>6928257.5</v>
      </c>
    </row>
    <row r="140" spans="1:4" x14ac:dyDescent="0.35">
      <c r="A140"/>
      <c r="B140"/>
      <c r="C140"/>
      <c r="D140"/>
    </row>
    <row r="141" spans="1:4" x14ac:dyDescent="0.35">
      <c r="A141"/>
      <c r="B141"/>
      <c r="C141"/>
      <c r="D141"/>
    </row>
    <row r="142" spans="1:4" ht="24" thickBot="1" x14ac:dyDescent="0.4">
      <c r="A142"/>
      <c r="B142"/>
      <c r="C142"/>
      <c r="D142"/>
    </row>
    <row r="143" spans="1:4" x14ac:dyDescent="0.35">
      <c r="A143"/>
      <c r="B143"/>
      <c r="C143"/>
      <c r="D143"/>
    </row>
    <row r="144" spans="1:4" x14ac:dyDescent="0.35">
      <c r="A144"/>
      <c r="B144"/>
      <c r="C144"/>
      <c r="D144"/>
    </row>
    <row r="145" spans="1:4" ht="24" thickBot="1" x14ac:dyDescent="0.4">
      <c r="A145"/>
      <c r="B145"/>
      <c r="C145"/>
      <c r="D145"/>
    </row>
    <row r="146" spans="1:4" ht="24" thickBot="1" x14ac:dyDescent="0.4">
      <c r="A146"/>
      <c r="B146"/>
      <c r="C146"/>
      <c r="D146"/>
    </row>
    <row r="147" spans="1:4" x14ac:dyDescent="0.35">
      <c r="A147"/>
      <c r="B147"/>
      <c r="C147"/>
      <c r="D147"/>
    </row>
    <row r="148" spans="1:4" x14ac:dyDescent="0.35">
      <c r="A148"/>
      <c r="B148"/>
      <c r="C148"/>
      <c r="D148"/>
    </row>
    <row r="149" spans="1:4" x14ac:dyDescent="0.35">
      <c r="A149"/>
      <c r="B149"/>
      <c r="C149"/>
      <c r="D149"/>
    </row>
    <row r="150" spans="1:4" ht="24" thickBot="1" x14ac:dyDescent="0.4">
      <c r="A150"/>
      <c r="B150"/>
      <c r="C150"/>
      <c r="D150"/>
    </row>
    <row r="151" spans="1:4" ht="24" thickBot="1" x14ac:dyDescent="0.4">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ht="24" thickBot="1" x14ac:dyDescent="0.4">
      <c r="A160"/>
      <c r="B160"/>
      <c r="C160"/>
      <c r="D160"/>
    </row>
    <row r="161" spans="1:4" ht="24" thickBot="1" x14ac:dyDescent="0.4">
      <c r="A161"/>
      <c r="B161"/>
      <c r="C161"/>
      <c r="D161"/>
    </row>
    <row r="162" spans="1:4" x14ac:dyDescent="0.35">
      <c r="B162" s="999"/>
      <c r="C162" s="999"/>
      <c r="D162" s="999"/>
    </row>
    <row r="163" spans="1:4" x14ac:dyDescent="0.35">
      <c r="B163" s="999"/>
      <c r="C163" s="999"/>
      <c r="D163" s="999"/>
    </row>
    <row r="164" spans="1:4" x14ac:dyDescent="0.35">
      <c r="B164" s="999"/>
      <c r="C164" s="999"/>
      <c r="D164" s="999"/>
    </row>
    <row r="165" spans="1:4" x14ac:dyDescent="0.35">
      <c r="B165" s="999"/>
      <c r="C165" s="999"/>
      <c r="D165" s="999"/>
    </row>
    <row r="166" spans="1:4" x14ac:dyDescent="0.35">
      <c r="B166" s="999"/>
      <c r="C166" s="999"/>
      <c r="D166" s="999"/>
    </row>
    <row r="167" spans="1:4" x14ac:dyDescent="0.35">
      <c r="B167" s="999"/>
      <c r="C167" s="999"/>
      <c r="D167" s="999"/>
    </row>
    <row r="168" spans="1:4" x14ac:dyDescent="0.35">
      <c r="B168" s="999"/>
      <c r="C168" s="999"/>
      <c r="D168" s="999"/>
    </row>
    <row r="169" spans="1:4" x14ac:dyDescent="0.35">
      <c r="B169" s="999"/>
      <c r="C169" s="999"/>
      <c r="D169" s="999"/>
    </row>
    <row r="170" spans="1:4" x14ac:dyDescent="0.35">
      <c r="B170" s="999"/>
      <c r="C170" s="999"/>
      <c r="D170" s="999"/>
    </row>
    <row r="171" spans="1:4" x14ac:dyDescent="0.35">
      <c r="B171" s="999"/>
      <c r="C171" s="999"/>
      <c r="D171" s="999"/>
    </row>
    <row r="172" spans="1:4" x14ac:dyDescent="0.35">
      <c r="B172" s="999"/>
      <c r="C172" s="999"/>
      <c r="D172" s="999"/>
    </row>
    <row r="173" spans="1:4" x14ac:dyDescent="0.35">
      <c r="B173" s="999"/>
      <c r="C173" s="999"/>
      <c r="D173" s="999"/>
    </row>
    <row r="174" spans="1:4" x14ac:dyDescent="0.35">
      <c r="B174" s="999"/>
      <c r="C174" s="999"/>
      <c r="D174" s="999"/>
    </row>
    <row r="175" spans="1:4" x14ac:dyDescent="0.35">
      <c r="B175" s="999"/>
      <c r="C175" s="999"/>
      <c r="D175" s="999"/>
    </row>
    <row r="176" spans="1:4" x14ac:dyDescent="0.35">
      <c r="B176" s="999"/>
      <c r="C176" s="999"/>
      <c r="D176" s="999"/>
    </row>
    <row r="177" s="999" customFormat="1" x14ac:dyDescent="0.35"/>
    <row r="178" s="999" customFormat="1" x14ac:dyDescent="0.35"/>
    <row r="179" s="999" customFormat="1" x14ac:dyDescent="0.35"/>
    <row r="180" s="999" customFormat="1" x14ac:dyDescent="0.35"/>
    <row r="181" s="999" customFormat="1" x14ac:dyDescent="0.35"/>
    <row r="182" s="999" customFormat="1" x14ac:dyDescent="0.35"/>
    <row r="183" s="999" customFormat="1" x14ac:dyDescent="0.35"/>
    <row r="184" s="999" customFormat="1" x14ac:dyDescent="0.35"/>
    <row r="185" s="999" customFormat="1" x14ac:dyDescent="0.35"/>
    <row r="186" s="999" customFormat="1" x14ac:dyDescent="0.35"/>
    <row r="187" s="999" customFormat="1" x14ac:dyDescent="0.35"/>
    <row r="188" s="999" customFormat="1" x14ac:dyDescent="0.35"/>
    <row r="189" s="999" customFormat="1" x14ac:dyDescent="0.35"/>
    <row r="190" s="999" customFormat="1" x14ac:dyDescent="0.35"/>
    <row r="191" s="999" customFormat="1" x14ac:dyDescent="0.35"/>
    <row r="192" s="999" customFormat="1" x14ac:dyDescent="0.35"/>
    <row r="193" s="999" customFormat="1" x14ac:dyDescent="0.35"/>
    <row r="194" s="999" customFormat="1" x14ac:dyDescent="0.35"/>
    <row r="195" s="999" customFormat="1" x14ac:dyDescent="0.35"/>
    <row r="196" s="999" customFormat="1" x14ac:dyDescent="0.35"/>
    <row r="197" s="999" customFormat="1" x14ac:dyDescent="0.35"/>
    <row r="198" s="999" customFormat="1" x14ac:dyDescent="0.35"/>
    <row r="199" s="999" customFormat="1" x14ac:dyDescent="0.35"/>
    <row r="200" s="999" customFormat="1" x14ac:dyDescent="0.35"/>
    <row r="201" s="999" customFormat="1" x14ac:dyDescent="0.35"/>
    <row r="202" s="999" customFormat="1" x14ac:dyDescent="0.35"/>
    <row r="203" s="999" customFormat="1" x14ac:dyDescent="0.35"/>
    <row r="204" s="999" customFormat="1" x14ac:dyDescent="0.35"/>
    <row r="205" s="999" customFormat="1" x14ac:dyDescent="0.35"/>
    <row r="206" s="999" customFormat="1" x14ac:dyDescent="0.35"/>
    <row r="207" s="999" customFormat="1" x14ac:dyDescent="0.35"/>
    <row r="208" s="999" customFormat="1" x14ac:dyDescent="0.35"/>
    <row r="209" s="999" customFormat="1" x14ac:dyDescent="0.35"/>
    <row r="210" s="999" customFormat="1" x14ac:dyDescent="0.35"/>
    <row r="211" s="999" customFormat="1" x14ac:dyDescent="0.35"/>
    <row r="212" s="999" customFormat="1" x14ac:dyDescent="0.35"/>
    <row r="213" s="999" customFormat="1" x14ac:dyDescent="0.35"/>
    <row r="214" s="999" customFormat="1" x14ac:dyDescent="0.35"/>
    <row r="215" s="999" customFormat="1" x14ac:dyDescent="0.35"/>
    <row r="216" s="999" customFormat="1" x14ac:dyDescent="0.35"/>
    <row r="217" s="999" customFormat="1" x14ac:dyDescent="0.35"/>
    <row r="218" s="999" customFormat="1" x14ac:dyDescent="0.35"/>
    <row r="219" s="999" customFormat="1" x14ac:dyDescent="0.35"/>
    <row r="220" s="999" customFormat="1" x14ac:dyDescent="0.35"/>
    <row r="221" s="999" customFormat="1" x14ac:dyDescent="0.35"/>
    <row r="222" s="999" customFormat="1" x14ac:dyDescent="0.35"/>
    <row r="223" s="999" customFormat="1" x14ac:dyDescent="0.35"/>
    <row r="224" s="999" customFormat="1" x14ac:dyDescent="0.35"/>
    <row r="225" s="999" customFormat="1" x14ac:dyDescent="0.35"/>
    <row r="226" s="999" customFormat="1" x14ac:dyDescent="0.35"/>
    <row r="227" s="999" customFormat="1" x14ac:dyDescent="0.35"/>
    <row r="228" s="999" customFormat="1" x14ac:dyDescent="0.35"/>
    <row r="229" s="999" customFormat="1" x14ac:dyDescent="0.35"/>
    <row r="230" s="999" customFormat="1" x14ac:dyDescent="0.35"/>
    <row r="231" s="999" customFormat="1" x14ac:dyDescent="0.35"/>
    <row r="232" s="999" customFormat="1" x14ac:dyDescent="0.35"/>
    <row r="233" s="999" customFormat="1" x14ac:dyDescent="0.35"/>
    <row r="234" s="999" customFormat="1" x14ac:dyDescent="0.35"/>
    <row r="235" s="999" customFormat="1" x14ac:dyDescent="0.35"/>
    <row r="236" s="999" customFormat="1" x14ac:dyDescent="0.35"/>
    <row r="237" s="999" customFormat="1" x14ac:dyDescent="0.35"/>
    <row r="238" s="999" customFormat="1" x14ac:dyDescent="0.35"/>
    <row r="239" s="999" customFormat="1" x14ac:dyDescent="0.35"/>
    <row r="240" s="999" customFormat="1" x14ac:dyDescent="0.35"/>
    <row r="241" s="999" customFormat="1" x14ac:dyDescent="0.35"/>
    <row r="242" s="999" customFormat="1" x14ac:dyDescent="0.35"/>
    <row r="243" s="999" customFormat="1" x14ac:dyDescent="0.35"/>
    <row r="244" s="999" customFormat="1" x14ac:dyDescent="0.35"/>
    <row r="245" s="999" customFormat="1" x14ac:dyDescent="0.35"/>
    <row r="246" s="999" customFormat="1" x14ac:dyDescent="0.35"/>
    <row r="247" s="999" customFormat="1" x14ac:dyDescent="0.35"/>
    <row r="248" s="999" customFormat="1" x14ac:dyDescent="0.35"/>
    <row r="249" s="999" customFormat="1" x14ac:dyDescent="0.35"/>
    <row r="250" s="999" customFormat="1" x14ac:dyDescent="0.35"/>
    <row r="251" s="999" customFormat="1" x14ac:dyDescent="0.35"/>
    <row r="252" s="999" customFormat="1" x14ac:dyDescent="0.35"/>
    <row r="253" s="999" customFormat="1" x14ac:dyDescent="0.35"/>
    <row r="254" s="999" customFormat="1" x14ac:dyDescent="0.35"/>
    <row r="255" s="999" customFormat="1" x14ac:dyDescent="0.35"/>
    <row r="256" s="999" customFormat="1" x14ac:dyDescent="0.35"/>
    <row r="257" s="999" customFormat="1" x14ac:dyDescent="0.35"/>
    <row r="258" s="999" customFormat="1" x14ac:dyDescent="0.35"/>
    <row r="259" s="999" customFormat="1" ht="24" thickBot="1" x14ac:dyDescent="0.4"/>
    <row r="260" s="999" customFormat="1" ht="24" thickBot="1" x14ac:dyDescent="0.4"/>
    <row r="261" s="999" customFormat="1" x14ac:dyDescent="0.35"/>
    <row r="262" s="999" customFormat="1" x14ac:dyDescent="0.35"/>
    <row r="263" s="999" customFormat="1" x14ac:dyDescent="0.35"/>
    <row r="264" s="999" customFormat="1" x14ac:dyDescent="0.35"/>
    <row r="265" s="999" customFormat="1" x14ac:dyDescent="0.35"/>
    <row r="266" s="999" customFormat="1" x14ac:dyDescent="0.35"/>
    <row r="267" s="999" customFormat="1" x14ac:dyDescent="0.35"/>
    <row r="268" s="999" customFormat="1" x14ac:dyDescent="0.35"/>
    <row r="269" s="999" customFormat="1" x14ac:dyDescent="0.35"/>
    <row r="270" s="999" customFormat="1" x14ac:dyDescent="0.35"/>
    <row r="271" s="999" customFormat="1" x14ac:dyDescent="0.35"/>
    <row r="272" s="999" customFormat="1" ht="24" thickBot="1" x14ac:dyDescent="0.4"/>
    <row r="273" s="999" customFormat="1" ht="24" thickBot="1" x14ac:dyDescent="0.4"/>
    <row r="274" s="999" customFormat="1" x14ac:dyDescent="0.35"/>
    <row r="275" s="999" customFormat="1" x14ac:dyDescent="0.35"/>
    <row r="276" s="999" customFormat="1" x14ac:dyDescent="0.35"/>
    <row r="277" s="999" customFormat="1" x14ac:dyDescent="0.35"/>
    <row r="278" s="999" customFormat="1" x14ac:dyDescent="0.35"/>
    <row r="279" s="999" customFormat="1" ht="24" thickBot="1" x14ac:dyDescent="0.4"/>
    <row r="280" s="999" customFormat="1" ht="24" thickBot="1" x14ac:dyDescent="0.4"/>
    <row r="281" s="999" customFormat="1" x14ac:dyDescent="0.35"/>
    <row r="282" s="999" customFormat="1" x14ac:dyDescent="0.35"/>
    <row r="283" s="999" customFormat="1" x14ac:dyDescent="0.35"/>
    <row r="284" s="999" customFormat="1" x14ac:dyDescent="0.35"/>
    <row r="285" s="999" customFormat="1" ht="24" thickBot="1" x14ac:dyDescent="0.4"/>
    <row r="286" s="999" customFormat="1" ht="24" thickBot="1" x14ac:dyDescent="0.4"/>
    <row r="287" s="999" customFormat="1" x14ac:dyDescent="0.35"/>
    <row r="288" s="999" customFormat="1" x14ac:dyDescent="0.35"/>
    <row r="289" s="999" customFormat="1" x14ac:dyDescent="0.35"/>
    <row r="290" s="999" customFormat="1" x14ac:dyDescent="0.35"/>
    <row r="291" s="999" customFormat="1" x14ac:dyDescent="0.35"/>
    <row r="292" s="999" customFormat="1" x14ac:dyDescent="0.35"/>
    <row r="293" s="999" customFormat="1" x14ac:dyDescent="0.35"/>
    <row r="294" s="999" customFormat="1" x14ac:dyDescent="0.35"/>
    <row r="295" s="999" customFormat="1" x14ac:dyDescent="0.35"/>
    <row r="296" s="999" customFormat="1" x14ac:dyDescent="0.35"/>
    <row r="297" s="999" customFormat="1" x14ac:dyDescent="0.35"/>
    <row r="298" s="999" customFormat="1" x14ac:dyDescent="0.35"/>
    <row r="299" s="999" customFormat="1" x14ac:dyDescent="0.35"/>
    <row r="300" s="999" customFormat="1" x14ac:dyDescent="0.35"/>
    <row r="301" s="999" customFormat="1" x14ac:dyDescent="0.35"/>
    <row r="302" s="999" customFormat="1" x14ac:dyDescent="0.35"/>
    <row r="303" s="999" customFormat="1" x14ac:dyDescent="0.35"/>
    <row r="304" s="999" customFormat="1" x14ac:dyDescent="0.35"/>
    <row r="305" s="999" customFormat="1" ht="24" thickBot="1" x14ac:dyDescent="0.4"/>
    <row r="306" s="999" customFormat="1" ht="24" thickBot="1" x14ac:dyDescent="0.4"/>
    <row r="307" s="999" customFormat="1" x14ac:dyDescent="0.35"/>
    <row r="308" s="999" customFormat="1" x14ac:dyDescent="0.35"/>
    <row r="309" s="999" customFormat="1" x14ac:dyDescent="0.35"/>
    <row r="310" s="999" customFormat="1" x14ac:dyDescent="0.35"/>
    <row r="311" s="999" customFormat="1" x14ac:dyDescent="0.35"/>
    <row r="312" s="999" customFormat="1" x14ac:dyDescent="0.35"/>
    <row r="313" s="999" customFormat="1" x14ac:dyDescent="0.35"/>
    <row r="314" s="999" customFormat="1" x14ac:dyDescent="0.35"/>
    <row r="315" s="999" customFormat="1" x14ac:dyDescent="0.35"/>
    <row r="316" s="999" customFormat="1" x14ac:dyDescent="0.35"/>
    <row r="317" s="999" customFormat="1" ht="24" thickBot="1" x14ac:dyDescent="0.4"/>
    <row r="318" s="999" customFormat="1" ht="24" thickBot="1" x14ac:dyDescent="0.4"/>
    <row r="319" s="999" customFormat="1" x14ac:dyDescent="0.35"/>
    <row r="320" s="999" customFormat="1" x14ac:dyDescent="0.35"/>
    <row r="321" s="999" customFormat="1" x14ac:dyDescent="0.35"/>
    <row r="322" s="999" customFormat="1" x14ac:dyDescent="0.35"/>
    <row r="323" s="999" customFormat="1" x14ac:dyDescent="0.35"/>
    <row r="324" s="999" customFormat="1" x14ac:dyDescent="0.35"/>
    <row r="325" s="999" customFormat="1" x14ac:dyDescent="0.35"/>
    <row r="326" s="999" customFormat="1" x14ac:dyDescent="0.35"/>
    <row r="327" s="999" customFormat="1" x14ac:dyDescent="0.35"/>
    <row r="328" s="999" customFormat="1" x14ac:dyDescent="0.35"/>
    <row r="329" s="999" customFormat="1" ht="24" thickBot="1" x14ac:dyDescent="0.4"/>
    <row r="330" s="999" customFormat="1" ht="24" thickBot="1" x14ac:dyDescent="0.4"/>
    <row r="331" s="999" customFormat="1" x14ac:dyDescent="0.35"/>
    <row r="332" s="999" customFormat="1" x14ac:dyDescent="0.35"/>
    <row r="333" s="999" customFormat="1" x14ac:dyDescent="0.35"/>
    <row r="334" s="999" customFormat="1" x14ac:dyDescent="0.35"/>
    <row r="335" s="999" customFormat="1" x14ac:dyDescent="0.35"/>
    <row r="336" s="999" customFormat="1" x14ac:dyDescent="0.35"/>
    <row r="337" s="999" customFormat="1" ht="24" thickBot="1" x14ac:dyDescent="0.4"/>
    <row r="338" s="999" customFormat="1" ht="24" thickBot="1" x14ac:dyDescent="0.4"/>
    <row r="339" s="999" customFormat="1" x14ac:dyDescent="0.35"/>
    <row r="340" s="999" customFormat="1" ht="24" thickBot="1" x14ac:dyDescent="0.4"/>
    <row r="341" s="999" customFormat="1" x14ac:dyDescent="0.35"/>
    <row r="342" s="999" customFormat="1" x14ac:dyDescent="0.35"/>
    <row r="343" s="999" customFormat="1" x14ac:dyDescent="0.35"/>
    <row r="344" s="999" customFormat="1" x14ac:dyDescent="0.35"/>
    <row r="345" s="999" customFormat="1" x14ac:dyDescent="0.35"/>
    <row r="346" s="999" customFormat="1" x14ac:dyDescent="0.35"/>
    <row r="347" s="999" customFormat="1" x14ac:dyDescent="0.35"/>
    <row r="348" s="999" customFormat="1" x14ac:dyDescent="0.35"/>
    <row r="349" s="999" customFormat="1" x14ac:dyDescent="0.35"/>
    <row r="350" s="999" customFormat="1" x14ac:dyDescent="0.35"/>
    <row r="351" s="999" customFormat="1" x14ac:dyDescent="0.35"/>
    <row r="352" s="999" customFormat="1" x14ac:dyDescent="0.35"/>
    <row r="353" s="999" customFormat="1" x14ac:dyDescent="0.35"/>
    <row r="354" s="999" customFormat="1" x14ac:dyDescent="0.35"/>
    <row r="355" s="999" customFormat="1" x14ac:dyDescent="0.35"/>
    <row r="356" s="999" customFormat="1" x14ac:dyDescent="0.35"/>
    <row r="357" s="999" customFormat="1" x14ac:dyDescent="0.35"/>
    <row r="358" s="999" customFormat="1" ht="24" thickBot="1" x14ac:dyDescent="0.4"/>
    <row r="359" s="999" customFormat="1" ht="24" thickBot="1" x14ac:dyDescent="0.4"/>
    <row r="360" s="999" customFormat="1" x14ac:dyDescent="0.35"/>
    <row r="361" s="999" customFormat="1" x14ac:dyDescent="0.35"/>
    <row r="362" s="999" customFormat="1" x14ac:dyDescent="0.35"/>
    <row r="363" s="999" customFormat="1" x14ac:dyDescent="0.35"/>
    <row r="364" s="999" customFormat="1" x14ac:dyDescent="0.35"/>
    <row r="365" s="999" customFormat="1" x14ac:dyDescent="0.35"/>
    <row r="366" s="999" customFormat="1" ht="24" thickBot="1" x14ac:dyDescent="0.4"/>
    <row r="367" s="999"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C18" sqref="C18"/>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998" t="s">
        <v>1767</v>
      </c>
      <c r="E1" s="353"/>
      <c r="I1" s="353"/>
      <c r="AP1" s="98" t="s">
        <v>1767</v>
      </c>
    </row>
    <row r="3" spans="1:42" ht="15.75" thickBot="1" x14ac:dyDescent="0.3"/>
    <row r="4" spans="1:42" x14ac:dyDescent="0.25">
      <c r="A4" s="1262" t="s">
        <v>10314</v>
      </c>
      <c r="B4" s="1263"/>
      <c r="C4" s="1264"/>
      <c r="E4" s="1262" t="s">
        <v>8022</v>
      </c>
      <c r="F4" s="1263"/>
      <c r="G4" s="1264"/>
      <c r="I4" s="1262" t="s">
        <v>7088</v>
      </c>
      <c r="J4" s="1263"/>
      <c r="K4" s="1264"/>
      <c r="M4" s="1262" t="s">
        <v>6017</v>
      </c>
      <c r="N4" s="1263"/>
      <c r="O4" s="1264"/>
      <c r="Q4" s="1262" t="s">
        <v>5069</v>
      </c>
      <c r="R4" s="1263"/>
      <c r="S4" s="1264"/>
      <c r="U4" s="1262" t="s">
        <v>3663</v>
      </c>
      <c r="V4" s="1263"/>
      <c r="W4" s="1264"/>
      <c r="Y4" s="1262" t="s">
        <v>2640</v>
      </c>
      <c r="Z4" s="1263"/>
      <c r="AA4" s="1264"/>
      <c r="AC4" s="1290" t="s">
        <v>6019</v>
      </c>
      <c r="AD4" s="1291"/>
      <c r="AE4" s="1292"/>
      <c r="AG4" s="1281" t="s">
        <v>1085</v>
      </c>
      <c r="AH4" s="1282"/>
      <c r="AI4" s="1283"/>
    </row>
    <row r="5" spans="1:42" ht="21" customHeight="1" x14ac:dyDescent="0.25">
      <c r="A5" s="1265"/>
      <c r="B5" s="1266"/>
      <c r="C5" s="1267"/>
      <c r="E5" s="1265"/>
      <c r="F5" s="1266"/>
      <c r="G5" s="1267"/>
      <c r="I5" s="1265"/>
      <c r="J5" s="1266"/>
      <c r="K5" s="1267"/>
      <c r="M5" s="1265"/>
      <c r="N5" s="1266"/>
      <c r="O5" s="1267"/>
      <c r="Q5" s="1265"/>
      <c r="R5" s="1266"/>
      <c r="S5" s="1267"/>
      <c r="U5" s="1265"/>
      <c r="V5" s="1266"/>
      <c r="W5" s="1267"/>
      <c r="Y5" s="1265"/>
      <c r="Z5" s="1266"/>
      <c r="AA5" s="1267"/>
      <c r="AB5" s="3"/>
      <c r="AC5" s="1293"/>
      <c r="AD5" s="1294"/>
      <c r="AE5" s="1295"/>
      <c r="AG5" s="1281"/>
      <c r="AH5" s="1282"/>
      <c r="AI5" s="1283"/>
    </row>
    <row r="6" spans="1:42" ht="15" customHeight="1" x14ac:dyDescent="0.25">
      <c r="A6" s="199" t="s">
        <v>892</v>
      </c>
      <c r="B6" s="200" t="s">
        <v>3</v>
      </c>
      <c r="C6" s="201" t="s">
        <v>4</v>
      </c>
      <c r="E6" s="199" t="s">
        <v>892</v>
      </c>
      <c r="F6" s="200" t="s">
        <v>3</v>
      </c>
      <c r="G6" s="201" t="s">
        <v>4</v>
      </c>
      <c r="I6" s="199" t="s">
        <v>892</v>
      </c>
      <c r="J6" s="200" t="s">
        <v>3</v>
      </c>
      <c r="K6" s="201" t="s">
        <v>4</v>
      </c>
      <c r="M6" s="199" t="s">
        <v>892</v>
      </c>
      <c r="N6" s="200" t="s">
        <v>3</v>
      </c>
      <c r="O6" s="201" t="s">
        <v>4</v>
      </c>
      <c r="Q6" s="199" t="s">
        <v>892</v>
      </c>
      <c r="R6" s="200" t="s">
        <v>3</v>
      </c>
      <c r="S6" s="201" t="s">
        <v>4</v>
      </c>
      <c r="U6" s="199" t="s">
        <v>892</v>
      </c>
      <c r="V6" s="200" t="s">
        <v>3</v>
      </c>
      <c r="W6" s="201" t="s">
        <v>4</v>
      </c>
      <c r="Y6" s="199" t="s">
        <v>892</v>
      </c>
      <c r="Z6" s="200" t="s">
        <v>3</v>
      </c>
      <c r="AA6" s="201" t="s">
        <v>4</v>
      </c>
      <c r="AB6" s="1"/>
      <c r="AC6" s="213" t="s">
        <v>892</v>
      </c>
      <c r="AD6" s="213" t="s">
        <v>3</v>
      </c>
      <c r="AE6" s="213" t="s">
        <v>4</v>
      </c>
      <c r="AG6" s="34" t="s">
        <v>892</v>
      </c>
      <c r="AH6" s="34" t="s">
        <v>3</v>
      </c>
      <c r="AI6" s="34" t="s">
        <v>4</v>
      </c>
    </row>
    <row r="7" spans="1:42" ht="15" customHeight="1" x14ac:dyDescent="0.3">
      <c r="A7" s="275" t="s">
        <v>172</v>
      </c>
      <c r="B7" s="276">
        <f>SUM(Posting!E15655:E16074)</f>
        <v>15905041.467741936</v>
      </c>
      <c r="C7" s="276">
        <f>SUM(Posting!F15655:F16074)</f>
        <v>7112521</v>
      </c>
      <c r="E7" s="275" t="s">
        <v>172</v>
      </c>
      <c r="F7" s="276">
        <f>SUM(Posting!E12619:E12759)</f>
        <v>10069544.10483871</v>
      </c>
      <c r="G7" s="276">
        <f>SUM(Posting!F12619:F12759)</f>
        <v>7604394</v>
      </c>
      <c r="I7" s="275" t="s">
        <v>172</v>
      </c>
      <c r="J7" s="276">
        <f>SUM(Posting!E10978:E11179)</f>
        <v>8619964.9032258056</v>
      </c>
      <c r="K7" s="276">
        <f>SUM(Posting!F10978:F11179)</f>
        <v>14547623</v>
      </c>
      <c r="M7" s="275" t="s">
        <v>172</v>
      </c>
      <c r="N7" s="276">
        <v>3505535.3709677421</v>
      </c>
      <c r="O7" s="276">
        <v>3989948</v>
      </c>
      <c r="Q7" s="275" t="s">
        <v>172</v>
      </c>
      <c r="R7" s="276">
        <v>12074478.708333332</v>
      </c>
      <c r="S7" s="276">
        <v>13390902</v>
      </c>
      <c r="U7" s="275" t="s">
        <v>172</v>
      </c>
      <c r="V7" s="276">
        <v>11585095.958333334</v>
      </c>
      <c r="W7" s="276">
        <v>8140172</v>
      </c>
      <c r="Y7" s="206" t="s">
        <v>172</v>
      </c>
      <c r="Z7" s="203">
        <v>4464441.5</v>
      </c>
      <c r="AA7" s="207">
        <v>4737118</v>
      </c>
      <c r="AB7" s="3"/>
      <c r="AC7" s="205" t="s">
        <v>172</v>
      </c>
      <c r="AD7" s="205">
        <v>3390872</v>
      </c>
      <c r="AE7" s="205">
        <v>930884</v>
      </c>
      <c r="AG7" s="202" t="s">
        <v>172</v>
      </c>
      <c r="AH7" s="203">
        <v>6319382</v>
      </c>
      <c r="AI7" s="203">
        <v>10886159</v>
      </c>
    </row>
    <row r="8" spans="1:42" ht="18.75" x14ac:dyDescent="0.3">
      <c r="A8" s="275" t="s">
        <v>173</v>
      </c>
      <c r="B8" s="276">
        <f>SUM(Posting!E16075:E16525)</f>
        <v>29299739.548387095</v>
      </c>
      <c r="C8" s="276">
        <f>SUM(Posting!F16075:F16525)</f>
        <v>46632595</v>
      </c>
      <c r="E8" s="275" t="s">
        <v>173</v>
      </c>
      <c r="F8" s="276">
        <f>SUM(Posting!E12760:E12952)</f>
        <v>8932335.5322580636</v>
      </c>
      <c r="G8" s="276">
        <f>SUM(Posting!F12760:F12952)</f>
        <v>12831668</v>
      </c>
      <c r="I8" s="275" t="s">
        <v>173</v>
      </c>
      <c r="J8" s="276">
        <f>SUM(Posting!E11180:E11301)</f>
        <v>4050439</v>
      </c>
      <c r="K8" s="276">
        <f>SUM(Posting!F11180:F11301)</f>
        <v>1287961</v>
      </c>
      <c r="M8" s="275" t="s">
        <v>173</v>
      </c>
      <c r="N8" s="276">
        <v>2812628.0322580645</v>
      </c>
      <c r="O8" s="276">
        <v>10995829</v>
      </c>
      <c r="Q8" s="275" t="s">
        <v>173</v>
      </c>
      <c r="R8" s="276">
        <v>5513376.1532258065</v>
      </c>
      <c r="S8" s="276">
        <v>3135284</v>
      </c>
      <c r="U8" s="275" t="s">
        <v>173</v>
      </c>
      <c r="V8" s="276">
        <v>10605463.274193548</v>
      </c>
      <c r="W8" s="276">
        <v>7535395</v>
      </c>
      <c r="Y8" s="206" t="s">
        <v>173</v>
      </c>
      <c r="Z8" s="203">
        <v>7605137.2822580645</v>
      </c>
      <c r="AA8" s="207">
        <v>13741601</v>
      </c>
      <c r="AC8" s="205" t="s">
        <v>173</v>
      </c>
      <c r="AD8" s="205">
        <v>10437494</v>
      </c>
      <c r="AE8" s="205">
        <v>12050152</v>
      </c>
      <c r="AG8" s="202" t="s">
        <v>173</v>
      </c>
      <c r="AH8" s="203">
        <v>4051246</v>
      </c>
      <c r="AI8" s="203">
        <v>3151901</v>
      </c>
    </row>
    <row r="9" spans="1:42" ht="18.75" x14ac:dyDescent="0.3">
      <c r="A9" s="275" t="s">
        <v>188</v>
      </c>
      <c r="B9" s="276">
        <f>SUM(Posting!E16526:E16929)</f>
        <v>28255737</v>
      </c>
      <c r="C9" s="276">
        <f>SUM(Posting!F16526:F16929)</f>
        <v>22824913</v>
      </c>
      <c r="E9" s="275" t="s">
        <v>188</v>
      </c>
      <c r="F9" s="276">
        <f>SUM(Posting!E12953:E13190)</f>
        <v>7723502.166666667</v>
      </c>
      <c r="G9" s="276">
        <f>SUM(Posting!F12953:F13190)</f>
        <v>4128413</v>
      </c>
      <c r="I9" s="275" t="s">
        <v>188</v>
      </c>
      <c r="J9" s="276">
        <f>SUM(Posting!E11302:E11446)</f>
        <v>6460853.416666667</v>
      </c>
      <c r="K9" s="276">
        <f>SUM(Posting!F11302:F11446)</f>
        <v>2609000</v>
      </c>
      <c r="M9" s="275" t="s">
        <v>188</v>
      </c>
      <c r="N9" s="276">
        <v>4301012.458333334</v>
      </c>
      <c r="O9" s="276">
        <v>3377762</v>
      </c>
      <c r="Q9" s="275" t="s">
        <v>188</v>
      </c>
      <c r="R9" s="276">
        <v>12340648.217741936</v>
      </c>
      <c r="S9" s="276">
        <v>10330857</v>
      </c>
      <c r="U9" s="275" t="s">
        <v>188</v>
      </c>
      <c r="V9" s="276">
        <v>14119709.798387097</v>
      </c>
      <c r="W9" s="276">
        <v>12033866</v>
      </c>
      <c r="Y9" s="206" t="s">
        <v>188</v>
      </c>
      <c r="Z9" s="203">
        <v>3821110</v>
      </c>
      <c r="AA9" s="207">
        <v>4222504</v>
      </c>
      <c r="AC9" s="205" t="s">
        <v>188</v>
      </c>
      <c r="AD9" s="205">
        <v>4490836</v>
      </c>
      <c r="AE9" s="205">
        <v>10218535</v>
      </c>
      <c r="AG9" s="202" t="s">
        <v>188</v>
      </c>
      <c r="AH9" s="203">
        <v>3347966</v>
      </c>
      <c r="AI9" s="203">
        <v>4640638</v>
      </c>
    </row>
    <row r="10" spans="1:42" ht="18.75" x14ac:dyDescent="0.3">
      <c r="A10" s="275" t="s">
        <v>174</v>
      </c>
      <c r="B10" s="276">
        <f>SUM(Posting!E16930:E17329)</f>
        <v>19591386.36290323</v>
      </c>
      <c r="C10" s="276">
        <f>SUM(Posting!F16930:F17329)</f>
        <v>38831937</v>
      </c>
      <c r="E10" s="275" t="s">
        <v>174</v>
      </c>
      <c r="F10" s="276">
        <f>SUM(Posting!E13191:E13442)</f>
        <v>8910635.7741935477</v>
      </c>
      <c r="G10" s="276">
        <f>SUM(Posting!F13191:F13442)</f>
        <v>20065160</v>
      </c>
      <c r="I10" s="275" t="s">
        <v>174</v>
      </c>
      <c r="J10" s="276">
        <f>SUM(Posting!E11447:E11601)</f>
        <v>6410962.1612903224</v>
      </c>
      <c r="K10" s="276">
        <f>SUM(Posting!F11447:F11601)</f>
        <v>10098247</v>
      </c>
      <c r="M10" s="275" t="s">
        <v>174</v>
      </c>
      <c r="N10" s="276">
        <v>5048343.8951612897</v>
      </c>
      <c r="O10" s="276">
        <v>4508433</v>
      </c>
      <c r="Q10" s="275" t="s">
        <v>174</v>
      </c>
      <c r="R10" s="276">
        <v>6960054.5</v>
      </c>
      <c r="S10" s="276">
        <v>5073467</v>
      </c>
      <c r="U10" s="275" t="s">
        <v>174</v>
      </c>
      <c r="V10" s="276">
        <v>24423555.083333336</v>
      </c>
      <c r="W10" s="276">
        <v>43644081</v>
      </c>
      <c r="Y10" s="206" t="s">
        <v>174</v>
      </c>
      <c r="Z10" s="203">
        <v>7508275.4879032262</v>
      </c>
      <c r="AA10" s="207">
        <v>13941007</v>
      </c>
      <c r="AC10" s="205" t="s">
        <v>174</v>
      </c>
      <c r="AD10" s="205">
        <v>8474769.625</v>
      </c>
      <c r="AE10" s="205">
        <v>7172182</v>
      </c>
      <c r="AG10" s="202" t="s">
        <v>174</v>
      </c>
      <c r="AH10" s="203">
        <v>6959997</v>
      </c>
      <c r="AI10" s="203">
        <v>7093455</v>
      </c>
    </row>
    <row r="11" spans="1:42" ht="18.75" x14ac:dyDescent="0.3">
      <c r="A11" s="275" t="s">
        <v>175</v>
      </c>
      <c r="B11" s="276">
        <f>SUM(Posting!E17330:E17705)</f>
        <v>30315987.583333336</v>
      </c>
      <c r="C11" s="276">
        <f>SUM(Posting!F17330:F17705)</f>
        <v>17824961</v>
      </c>
      <c r="E11" s="275" t="s">
        <v>175</v>
      </c>
      <c r="F11" s="276">
        <f>SUM(Posting!E13443:E13719)</f>
        <v>10275522.5</v>
      </c>
      <c r="G11" s="276">
        <f>SUM(Posting!F13443:F13719)</f>
        <v>7122506</v>
      </c>
      <c r="I11" s="275" t="s">
        <v>175</v>
      </c>
      <c r="J11" s="276">
        <f>SUM(Posting!E11602:E11730)</f>
        <v>4628972.166666666</v>
      </c>
      <c r="K11" s="276">
        <f>SUM(Posting!F11602:F11730)</f>
        <v>4597125</v>
      </c>
      <c r="M11" s="275" t="s">
        <v>175</v>
      </c>
      <c r="N11" s="276">
        <v>3708902.9583333335</v>
      </c>
      <c r="O11" s="276">
        <v>2363266</v>
      </c>
      <c r="Q11" s="275" t="s">
        <v>175</v>
      </c>
      <c r="R11" s="276">
        <v>8543846.4193548374</v>
      </c>
      <c r="S11" s="276">
        <v>19830803</v>
      </c>
      <c r="U11" s="275" t="s">
        <v>175</v>
      </c>
      <c r="V11" s="276">
        <v>8767346.0282258056</v>
      </c>
      <c r="W11" s="276">
        <v>3300983</v>
      </c>
      <c r="Y11" s="206" t="s">
        <v>175</v>
      </c>
      <c r="Z11" s="203">
        <v>6732162.4879032262</v>
      </c>
      <c r="AA11" s="207">
        <v>3981402</v>
      </c>
      <c r="AC11" s="205" t="s">
        <v>175</v>
      </c>
      <c r="AD11" s="205">
        <v>10134652.677419355</v>
      </c>
      <c r="AE11" s="205">
        <v>10663268</v>
      </c>
      <c r="AG11" s="202" t="s">
        <v>175</v>
      </c>
      <c r="AH11" s="203">
        <v>11145974</v>
      </c>
      <c r="AI11" s="203">
        <v>14339435</v>
      </c>
    </row>
    <row r="12" spans="1:42" ht="18.75" x14ac:dyDescent="0.3">
      <c r="A12" s="275" t="s">
        <v>7</v>
      </c>
      <c r="B12" s="276">
        <f>SUM(Posting!E17706:E18076)</f>
        <v>26985834.387096774</v>
      </c>
      <c r="C12" s="276">
        <f>SUM(Posting!F17706:F18076)</f>
        <v>34985262</v>
      </c>
      <c r="E12" s="275" t="s">
        <v>7</v>
      </c>
      <c r="F12" s="276">
        <f>SUM(Posting!E13720:E14001)</f>
        <v>14120527.790322579</v>
      </c>
      <c r="G12" s="276">
        <f>SUM(Posting!F13720:F14001)</f>
        <v>19132617</v>
      </c>
      <c r="I12" s="275" t="s">
        <v>7</v>
      </c>
      <c r="J12" s="276">
        <f>SUM(Posting!E11731:E11884)</f>
        <v>5689458.4516129028</v>
      </c>
      <c r="K12" s="276">
        <f>SUM(Posting!F11731:F11884)</f>
        <v>13482937</v>
      </c>
      <c r="M12" s="275" t="s">
        <v>7</v>
      </c>
      <c r="N12" s="276">
        <v>3101360.4758064514</v>
      </c>
      <c r="O12" s="276">
        <v>3389016</v>
      </c>
      <c r="Q12" s="275" t="s">
        <v>7</v>
      </c>
      <c r="R12" s="276">
        <v>6155706.583333333</v>
      </c>
      <c r="S12" s="276">
        <v>8938494</v>
      </c>
      <c r="U12" s="275" t="s">
        <v>7</v>
      </c>
      <c r="V12" s="276">
        <v>8778730.4315476194</v>
      </c>
      <c r="W12" s="276">
        <v>5722705</v>
      </c>
      <c r="Y12" s="206" t="s">
        <v>7</v>
      </c>
      <c r="Z12" s="203">
        <v>9424994.208333334</v>
      </c>
      <c r="AA12" s="203">
        <v>5099835</v>
      </c>
      <c r="AC12" s="205" t="s">
        <v>7</v>
      </c>
      <c r="AD12" s="205">
        <v>7371638.583333334</v>
      </c>
      <c r="AE12" s="205">
        <v>8597521</v>
      </c>
      <c r="AG12" s="202" t="s">
        <v>7</v>
      </c>
      <c r="AH12" s="203">
        <v>6772478</v>
      </c>
      <c r="AI12" s="203">
        <v>8417057</v>
      </c>
    </row>
    <row r="13" spans="1:42" ht="18.75" x14ac:dyDescent="0.3">
      <c r="A13" s="275" t="s">
        <v>159</v>
      </c>
      <c r="B13" s="276">
        <f>SUM(Posting!E18077:E18476)</f>
        <v>36349280.209677421</v>
      </c>
      <c r="C13" s="276">
        <f>SUM(Posting!F18077:F18476)</f>
        <v>49786600</v>
      </c>
      <c r="E13" s="275" t="s">
        <v>159</v>
      </c>
      <c r="F13" s="276">
        <f>SUM(Posting!E14002:E14209)</f>
        <v>10001721.596774194</v>
      </c>
      <c r="G13" s="276">
        <f>SUM(Posting!F14002:F14209)</f>
        <v>5278233</v>
      </c>
      <c r="I13" s="275" t="s">
        <v>159</v>
      </c>
      <c r="J13" s="276">
        <f>SUM(Posting!E11885:E11962)</f>
        <v>2437803.9516129028</v>
      </c>
      <c r="K13" s="276">
        <f>SUM(Posting!F11885:F11962)</f>
        <v>6391594</v>
      </c>
      <c r="M13" s="275" t="s">
        <v>159</v>
      </c>
      <c r="N13" s="276">
        <v>3988720.8870967743</v>
      </c>
      <c r="O13" s="276">
        <v>5231754</v>
      </c>
      <c r="Q13" s="275" t="s">
        <v>159</v>
      </c>
      <c r="R13" s="276">
        <v>7524446.3588709673</v>
      </c>
      <c r="S13" s="276">
        <v>5483960</v>
      </c>
      <c r="U13" s="275" t="s">
        <v>159</v>
      </c>
      <c r="V13" s="276">
        <v>16562682.1140553</v>
      </c>
      <c r="W13" s="276">
        <v>45209520</v>
      </c>
      <c r="Y13" s="206" t="s">
        <v>159</v>
      </c>
      <c r="Z13" s="203">
        <v>11151323.512096774</v>
      </c>
      <c r="AA13" s="203">
        <v>19769426</v>
      </c>
      <c r="AC13" s="205" t="s">
        <v>159</v>
      </c>
      <c r="AD13" s="205">
        <v>6480201.1612903224</v>
      </c>
      <c r="AE13" s="205">
        <v>9000833</v>
      </c>
      <c r="AG13" s="204" t="s">
        <v>767</v>
      </c>
      <c r="AH13" s="205">
        <v>7988057</v>
      </c>
      <c r="AI13" s="205">
        <v>14116814</v>
      </c>
    </row>
    <row r="14" spans="1:42" ht="18.75" x14ac:dyDescent="0.3">
      <c r="A14" s="275" t="s">
        <v>176</v>
      </c>
      <c r="B14" s="276">
        <f>SUM(Posting!E18477:E18787)</f>
        <v>26183567.758620687</v>
      </c>
      <c r="C14" s="276">
        <f>SUM(Posting!F18477:F18787)</f>
        <v>15526246</v>
      </c>
      <c r="E14" s="275" t="s">
        <v>176</v>
      </c>
      <c r="F14" s="276">
        <f>SUM(Posting!E14210:E14381)</f>
        <v>10068051.410714285</v>
      </c>
      <c r="G14" s="276">
        <f>SUM(Posting!F14210:F14381)</f>
        <v>7039494</v>
      </c>
      <c r="I14" s="275" t="s">
        <v>176</v>
      </c>
      <c r="J14" s="276">
        <f>SUM(Posting!E11963:E12055)</f>
        <v>3431661</v>
      </c>
      <c r="K14" s="276">
        <f>SUM(Posting!F11963:F12055)</f>
        <v>3266903</v>
      </c>
      <c r="M14" s="275" t="s">
        <v>176</v>
      </c>
      <c r="N14" s="276">
        <v>7094281.1428571437</v>
      </c>
      <c r="O14" s="276">
        <v>7816219</v>
      </c>
      <c r="Q14" s="275" t="s">
        <v>176</v>
      </c>
      <c r="R14" s="276">
        <v>6198746.3629032262</v>
      </c>
      <c r="S14" s="276">
        <v>5835536</v>
      </c>
      <c r="U14" s="275" t="s">
        <v>176</v>
      </c>
      <c r="V14" s="276">
        <v>12565859.5</v>
      </c>
      <c r="W14" s="276">
        <v>13227203</v>
      </c>
      <c r="Y14" s="206" t="s">
        <v>176</v>
      </c>
      <c r="Z14" s="203">
        <v>6761574.4193548383</v>
      </c>
      <c r="AA14" s="203">
        <v>10702740</v>
      </c>
      <c r="AC14" s="205" t="s">
        <v>176</v>
      </c>
      <c r="AD14" s="205">
        <v>7185442.314516129</v>
      </c>
      <c r="AE14" s="205">
        <v>12186775</v>
      </c>
      <c r="AG14" s="204" t="s">
        <v>176</v>
      </c>
      <c r="AH14" s="205">
        <v>12599931</v>
      </c>
      <c r="AI14" s="205">
        <v>13179463</v>
      </c>
      <c r="AJ14" s="3"/>
    </row>
    <row r="15" spans="1:42" ht="18.75" x14ac:dyDescent="0.3">
      <c r="A15" s="275" t="s">
        <v>190</v>
      </c>
      <c r="B15" s="276">
        <f>SUM(Posting!E18788:E19009)</f>
        <v>15289495</v>
      </c>
      <c r="C15" s="276">
        <f>SUM(Posting!F18788:F19009)</f>
        <v>41048432</v>
      </c>
      <c r="E15" s="275" t="s">
        <v>190</v>
      </c>
      <c r="F15" s="276">
        <f>SUM(Posting!E14382:E14638)</f>
        <v>10364870.080645161</v>
      </c>
      <c r="G15" s="276">
        <f>SUM(Posting!F14382:F14638)</f>
        <v>10909284</v>
      </c>
      <c r="I15" s="275" t="s">
        <v>190</v>
      </c>
      <c r="J15" s="276">
        <f>SUM(Posting!E12056:E12195)</f>
        <v>4465394.7096774187</v>
      </c>
      <c r="K15" s="276">
        <f>SUM(Posting!F12056:F12195)</f>
        <v>2871774</v>
      </c>
      <c r="M15" s="275" t="s">
        <v>190</v>
      </c>
      <c r="N15" s="276">
        <v>11781562.217741936</v>
      </c>
      <c r="O15" s="276">
        <v>11734979</v>
      </c>
      <c r="Q15" s="275" t="s">
        <v>190</v>
      </c>
      <c r="R15" s="276">
        <v>5154955.6491240272</v>
      </c>
      <c r="S15" s="276">
        <v>3299682</v>
      </c>
      <c r="U15" s="275" t="s">
        <v>190</v>
      </c>
      <c r="V15" s="276">
        <v>8123788.5267857146</v>
      </c>
      <c r="W15" s="276">
        <v>4449398</v>
      </c>
      <c r="Y15" s="206" t="s">
        <v>190</v>
      </c>
      <c r="Z15" s="203">
        <v>14648153.632015307</v>
      </c>
      <c r="AA15" s="203">
        <v>19564689</v>
      </c>
      <c r="AC15" s="205" t="s">
        <v>190</v>
      </c>
      <c r="AD15" s="205">
        <v>5814137.1875</v>
      </c>
      <c r="AE15" s="205">
        <v>3101714</v>
      </c>
      <c r="AG15" s="204" t="s">
        <v>190</v>
      </c>
      <c r="AH15" s="205">
        <v>9916303</v>
      </c>
      <c r="AI15" s="205">
        <v>19481043</v>
      </c>
      <c r="AJ15" s="3"/>
    </row>
    <row r="16" spans="1:42" ht="18.75" x14ac:dyDescent="0.3">
      <c r="A16" s="275" t="s">
        <v>191</v>
      </c>
      <c r="B16" s="276">
        <f>SUM(Posting!E19010:E19267)</f>
        <v>16644648.951612903</v>
      </c>
      <c r="C16" s="276">
        <f>SUM(Posting!F19010:F19267)</f>
        <v>41257672</v>
      </c>
      <c r="E16" s="275" t="s">
        <v>191</v>
      </c>
      <c r="F16" s="276">
        <f>SUM(Posting!E14639:E14885)</f>
        <v>10861164.416666668</v>
      </c>
      <c r="G16" s="276">
        <f>SUM(Posting!F14639:F14885)</f>
        <v>26008750</v>
      </c>
      <c r="I16" s="275" t="s">
        <v>191</v>
      </c>
      <c r="J16" s="276">
        <f>SUM(Posting!E12196:E12350)</f>
        <v>3925956.75</v>
      </c>
      <c r="K16" s="276">
        <f>SUM(Posting!F12196:F12350)</f>
        <v>11223586.51</v>
      </c>
      <c r="M16" s="275" t="s">
        <v>191</v>
      </c>
      <c r="N16" s="276">
        <v>6466459.333333333</v>
      </c>
      <c r="O16" s="276">
        <v>9434917</v>
      </c>
      <c r="Q16" s="275" t="s">
        <v>191</v>
      </c>
      <c r="R16" s="276">
        <v>2662157.9166666665</v>
      </c>
      <c r="S16" s="276">
        <v>12732028</v>
      </c>
      <c r="U16" s="275" t="s">
        <v>191</v>
      </c>
      <c r="V16" s="276">
        <v>9086848.6774193551</v>
      </c>
      <c r="W16" s="276">
        <v>16709312</v>
      </c>
      <c r="Y16" s="206" t="s">
        <v>191</v>
      </c>
      <c r="Z16" s="203">
        <v>13417363.834677421</v>
      </c>
      <c r="AA16" s="203">
        <v>9614299</v>
      </c>
      <c r="AC16" s="205" t="s">
        <v>191</v>
      </c>
      <c r="AD16" s="205">
        <v>8477907.685483871</v>
      </c>
      <c r="AE16" s="205">
        <v>13667999</v>
      </c>
      <c r="AG16" s="204" t="s">
        <v>191</v>
      </c>
      <c r="AH16" s="205">
        <v>9189987</v>
      </c>
      <c r="AI16" s="205">
        <v>15112089</v>
      </c>
    </row>
    <row r="17" spans="1:37" ht="18.75" x14ac:dyDescent="0.3">
      <c r="A17" s="275" t="s">
        <v>189</v>
      </c>
      <c r="B17" s="276">
        <f>SUM(Posting!E19268:E39288)</f>
        <v>3040101</v>
      </c>
      <c r="C17" s="276">
        <f>SUM(Posting!F19268:F39288)</f>
        <v>3824000</v>
      </c>
      <c r="E17" s="275" t="s">
        <v>189</v>
      </c>
      <c r="F17" s="276">
        <f>SUM(Posting!E14886:E15266)</f>
        <v>28573472.564516127</v>
      </c>
      <c r="G17" s="276">
        <f>SUM(Posting!F14886:F15266)</f>
        <v>29699936</v>
      </c>
      <c r="I17" s="275" t="s">
        <v>189</v>
      </c>
      <c r="J17" s="276">
        <f>SUM(Posting!E12351:E12459)</f>
        <v>3713258.8225806449</v>
      </c>
      <c r="K17" s="276">
        <f>SUM(Posting!F12351:F12459)</f>
        <v>4570830</v>
      </c>
      <c r="M17" s="275" t="s">
        <v>189</v>
      </c>
      <c r="N17" s="276">
        <v>5961124.6774193542</v>
      </c>
      <c r="O17" s="276">
        <v>7946421</v>
      </c>
      <c r="Q17" s="275" t="s">
        <v>189</v>
      </c>
      <c r="R17" s="276">
        <v>4312077</v>
      </c>
      <c r="S17" s="276">
        <v>8062945</v>
      </c>
      <c r="U17" s="275" t="s">
        <v>189</v>
      </c>
      <c r="V17" s="276">
        <v>9858609.583333334</v>
      </c>
      <c r="W17" s="276">
        <v>10256802</v>
      </c>
      <c r="Y17" s="206" t="s">
        <v>189</v>
      </c>
      <c r="Z17" s="203">
        <v>14629962.729166666</v>
      </c>
      <c r="AA17" s="203">
        <v>19931717</v>
      </c>
      <c r="AC17" s="205" t="s">
        <v>189</v>
      </c>
      <c r="AD17" s="205">
        <v>8378178.125</v>
      </c>
      <c r="AE17" s="205">
        <v>7044419</v>
      </c>
      <c r="AG17" s="204" t="s">
        <v>189</v>
      </c>
      <c r="AH17" s="205">
        <v>6534758</v>
      </c>
      <c r="AI17" s="205">
        <v>13291481</v>
      </c>
    </row>
    <row r="18" spans="1:37" ht="18.75" x14ac:dyDescent="0.3">
      <c r="A18" s="275" t="s">
        <v>187</v>
      </c>
      <c r="B18" s="276"/>
      <c r="C18" s="276">
        <f>SUM(Posting!B15267:B23041)</f>
        <v>0</v>
      </c>
      <c r="E18" s="275" t="s">
        <v>187</v>
      </c>
      <c r="F18" s="276">
        <f>SUM(Posting!E15267:E15654)</f>
        <v>22393607.666666664</v>
      </c>
      <c r="G18" s="276">
        <f>SUM(Posting!F15267:F15654)</f>
        <v>49275042.420000002</v>
      </c>
      <c r="I18" s="275" t="s">
        <v>187</v>
      </c>
      <c r="J18" s="276">
        <f>SUM(Posting!E12460:E12618)</f>
        <v>12677561.145833332</v>
      </c>
      <c r="K18" s="276">
        <f>SUM(Posting!F12460:F12618)</f>
        <v>7267814</v>
      </c>
      <c r="M18" s="275" t="s">
        <v>187</v>
      </c>
      <c r="N18" s="276">
        <v>7875554.166666666</v>
      </c>
      <c r="O18" s="276">
        <v>7265365</v>
      </c>
      <c r="Q18" s="275" t="s">
        <v>187</v>
      </c>
      <c r="R18" s="276">
        <v>4196014.166666667</v>
      </c>
      <c r="S18" s="276">
        <v>5822267</v>
      </c>
      <c r="U18" s="275" t="s">
        <v>187</v>
      </c>
      <c r="V18" s="276">
        <v>4145261.1350806453</v>
      </c>
      <c r="W18" s="276">
        <v>4719327</v>
      </c>
      <c r="Y18" s="206" t="s">
        <v>187</v>
      </c>
      <c r="Z18" s="203">
        <v>12848041.810483871</v>
      </c>
      <c r="AA18" s="203">
        <v>39046914</v>
      </c>
      <c r="AC18" s="205" t="s">
        <v>187</v>
      </c>
      <c r="AD18" s="205">
        <v>5224536.8467741935</v>
      </c>
      <c r="AE18" s="205">
        <v>25779231</v>
      </c>
      <c r="AG18" s="204" t="s">
        <v>187</v>
      </c>
      <c r="AH18" s="205">
        <v>6799809</v>
      </c>
      <c r="AI18" s="205">
        <v>6979072</v>
      </c>
    </row>
    <row r="19" spans="1:37" ht="19.5" thickBot="1" x14ac:dyDescent="0.35">
      <c r="A19" s="277" t="s">
        <v>766</v>
      </c>
      <c r="B19" s="278">
        <f>SUM(B7:B18)</f>
        <v>247860819.26937336</v>
      </c>
      <c r="C19" s="279">
        <f>SUM(C7:C18)</f>
        <v>319655139</v>
      </c>
      <c r="E19" s="277" t="s">
        <v>766</v>
      </c>
      <c r="F19" s="278">
        <f>SUM(F7:F18)</f>
        <v>152294955.60426268</v>
      </c>
      <c r="G19" s="279">
        <f>SUM(G7:G18)</f>
        <v>199095497.42000002</v>
      </c>
      <c r="I19" s="277" t="s">
        <v>766</v>
      </c>
      <c r="J19" s="278">
        <f>SUM(J7:J18)</f>
        <v>66512286.479166672</v>
      </c>
      <c r="K19" s="279">
        <f>SUM(K7:K18)</f>
        <v>82215394.510000005</v>
      </c>
      <c r="M19" s="277" t="s">
        <v>766</v>
      </c>
      <c r="N19" s="278">
        <f>SUM(N7:N18)</f>
        <v>65645485.615975425</v>
      </c>
      <c r="O19" s="279">
        <f>SUM(O7:O18)</f>
        <v>78053909</v>
      </c>
      <c r="Q19" s="277" t="s">
        <v>766</v>
      </c>
      <c r="R19" s="278">
        <f>SUM(R7:R18)</f>
        <v>81636508.036220819</v>
      </c>
      <c r="S19" s="279">
        <f>SUM(S7:S18)</f>
        <v>101936225</v>
      </c>
      <c r="U19" s="277" t="s">
        <v>766</v>
      </c>
      <c r="V19" s="278">
        <f>SUM(V7:V18)</f>
        <v>138622950.11069509</v>
      </c>
      <c r="W19" s="279">
        <f>SUM(W7:W18)</f>
        <v>174948764</v>
      </c>
      <c r="Y19" s="208" t="s">
        <v>766</v>
      </c>
      <c r="Z19" s="209">
        <f>SUM(Z7:Z18)</f>
        <v>113012540.90419273</v>
      </c>
      <c r="AA19" s="210">
        <f>SUM(AA7:AA18)</f>
        <v>164353252</v>
      </c>
      <c r="AC19" s="205" t="s">
        <v>766</v>
      </c>
      <c r="AD19" s="205">
        <f>SUM(AD7:AD18)</f>
        <v>85860666.206317201</v>
      </c>
      <c r="AE19" s="205">
        <f>SUM(AE7:AE18)</f>
        <v>120413513</v>
      </c>
      <c r="AG19" s="204" t="s">
        <v>766</v>
      </c>
      <c r="AH19" s="205">
        <f>SUM(AH7:AH18)</f>
        <v>91625888</v>
      </c>
      <c r="AI19" s="205">
        <f>SUM(AI7:AI18)</f>
        <v>130688607</v>
      </c>
      <c r="AJ19" s="3"/>
      <c r="AK19" s="1"/>
    </row>
    <row r="21" spans="1:37" ht="15.75" x14ac:dyDescent="0.25">
      <c r="C21" s="699">
        <f>C19-B19</f>
        <v>71794319.730626643</v>
      </c>
      <c r="G21" s="699">
        <f>G19-F19</f>
        <v>46800541.815737337</v>
      </c>
      <c r="K21" s="699">
        <f>K19-J19</f>
        <v>15703108.030833334</v>
      </c>
      <c r="O21" s="3">
        <f>O19-N19</f>
        <v>12408423.384024575</v>
      </c>
      <c r="Z21" s="3"/>
    </row>
    <row r="22" spans="1:37" ht="15.75" x14ac:dyDescent="0.25">
      <c r="A22" s="1268"/>
      <c r="B22" s="1268"/>
      <c r="C22" s="1"/>
      <c r="G22" s="699"/>
      <c r="I22" s="1268" t="s">
        <v>7707</v>
      </c>
      <c r="J22" s="1268"/>
      <c r="K22" s="1">
        <v>2831635</v>
      </c>
      <c r="Q22" s="3">
        <f>O19-N19</f>
        <v>12408423.384024575</v>
      </c>
      <c r="U22" s="3"/>
      <c r="V22" s="3"/>
      <c r="Y22" s="3"/>
      <c r="AC22" s="3"/>
      <c r="AG22" s="3"/>
    </row>
    <row r="23" spans="1:37" ht="15.75" customHeight="1" x14ac:dyDescent="0.3">
      <c r="A23" s="1268"/>
      <c r="B23" s="1268"/>
      <c r="C23" s="1"/>
      <c r="E23" s="1269" t="s">
        <v>11407</v>
      </c>
      <c r="F23" s="1269"/>
      <c r="G23" s="1269"/>
      <c r="I23" s="1268" t="s">
        <v>7708</v>
      </c>
      <c r="J23" s="1268"/>
      <c r="K23" s="1">
        <v>476160</v>
      </c>
      <c r="Q23" s="1">
        <v>12408423</v>
      </c>
      <c r="S23" s="3"/>
      <c r="U23" s="1"/>
      <c r="Y23" s="1"/>
      <c r="AC23" s="1"/>
      <c r="AG23" s="1"/>
    </row>
    <row r="24" spans="1:37" ht="21" x14ac:dyDescent="0.25">
      <c r="A24" s="1268"/>
      <c r="B24" s="1268"/>
      <c r="C24" s="1"/>
      <c r="E24" s="1057" t="s">
        <v>892</v>
      </c>
      <c r="F24" s="1057" t="s">
        <v>3</v>
      </c>
      <c r="G24" s="1057" t="s">
        <v>4</v>
      </c>
      <c r="I24" s="1268" t="s">
        <v>8180</v>
      </c>
      <c r="J24" s="1268"/>
      <c r="K24" s="1">
        <v>2434251</v>
      </c>
    </row>
    <row r="25" spans="1:37" ht="18.75" x14ac:dyDescent="0.25">
      <c r="C25" s="3"/>
      <c r="E25" s="2" t="s">
        <v>11409</v>
      </c>
      <c r="F25" s="1022">
        <f ca="1">SUMIF(Posting!$B:$E,"Meezan Bank Head Office",Posting!$E:$E)</f>
        <v>28989875</v>
      </c>
      <c r="G25" s="1022">
        <f ca="1">SUMIF(Posting!$B:$F,"Meezan Bank Head Office",Posting!$F:$F)</f>
        <v>23295000</v>
      </c>
      <c r="K25" s="3">
        <f>K21-K22-K23-K24</f>
        <v>9961062.0308333337</v>
      </c>
    </row>
    <row r="26" spans="1:37" ht="18.75" x14ac:dyDescent="0.25">
      <c r="E26" s="2" t="s">
        <v>11408</v>
      </c>
      <c r="F26" s="1022">
        <f ca="1">SUMIF(Posting!$B:$E,"Saifee Hospital",Posting!$E:$E)</f>
        <v>3264240</v>
      </c>
      <c r="G26" s="1022">
        <f ca="1">SUMIF(Posting!$B:$F,"Saifee Hospital",Posting!$F:$F)</f>
        <v>6158251</v>
      </c>
    </row>
    <row r="27" spans="1:37" x14ac:dyDescent="0.25">
      <c r="B27" s="1"/>
      <c r="C27" s="3"/>
      <c r="G27" s="3"/>
      <c r="J27" s="1"/>
      <c r="K27" s="3">
        <f>K25+G21</f>
        <v>56761603.846570671</v>
      </c>
    </row>
    <row r="28" spans="1:37" ht="19.5" thickBot="1" x14ac:dyDescent="0.35">
      <c r="C28" s="3"/>
      <c r="E28" s="277" t="s">
        <v>11410</v>
      </c>
      <c r="F28" s="278">
        <f ca="1">F19-F25-F26</f>
        <v>120040840.60426268</v>
      </c>
      <c r="G28" s="279">
        <f ca="1">G19-G25-G26</f>
        <v>169642246.42000002</v>
      </c>
      <c r="K28" s="3"/>
    </row>
    <row r="29" spans="1:37" x14ac:dyDescent="0.25">
      <c r="F29" s="1"/>
      <c r="G29" s="3"/>
    </row>
    <row r="30" spans="1:37" ht="15.75" x14ac:dyDescent="0.25">
      <c r="B30" s="3"/>
      <c r="G30" s="699">
        <f ca="1">G28-F28</f>
        <v>49601405.815737337</v>
      </c>
    </row>
    <row r="32" spans="1:37" x14ac:dyDescent="0.25">
      <c r="F32" s="3"/>
    </row>
    <row r="37" spans="32:42" ht="15.75" thickBot="1" x14ac:dyDescent="0.3"/>
    <row r="38" spans="32:42" ht="15" customHeight="1" x14ac:dyDescent="0.25">
      <c r="AF38" s="1272" t="s">
        <v>2641</v>
      </c>
      <c r="AG38" s="1273"/>
      <c r="AH38" s="1273"/>
      <c r="AI38" s="1273"/>
      <c r="AJ38" s="1273"/>
      <c r="AK38" s="1273"/>
      <c r="AL38" s="1273"/>
      <c r="AM38" s="1273"/>
      <c r="AN38" s="1273"/>
      <c r="AO38" s="1273"/>
      <c r="AP38" s="1274"/>
    </row>
    <row r="39" spans="32:42" ht="15" customHeight="1" x14ac:dyDescent="0.25">
      <c r="AF39" s="1275"/>
      <c r="AG39" s="1276"/>
      <c r="AH39" s="1276"/>
      <c r="AI39" s="1276"/>
      <c r="AJ39" s="1276"/>
      <c r="AK39" s="1276"/>
      <c r="AL39" s="1276"/>
      <c r="AM39" s="1276"/>
      <c r="AN39" s="1276"/>
      <c r="AO39" s="1276"/>
      <c r="AP39" s="1277"/>
    </row>
    <row r="40" spans="32:42" ht="15.75" thickBot="1" x14ac:dyDescent="0.3">
      <c r="AF40" s="1278"/>
      <c r="AG40" s="1279"/>
      <c r="AH40" s="1279"/>
      <c r="AI40" s="1279"/>
      <c r="AJ40" s="1279"/>
      <c r="AK40" s="1279"/>
      <c r="AL40" s="1279"/>
      <c r="AM40" s="1279"/>
      <c r="AN40" s="1279"/>
      <c r="AO40" s="1279"/>
      <c r="AP40" s="1280"/>
    </row>
    <row r="41" spans="32:42" ht="14.45" customHeight="1" x14ac:dyDescent="0.25">
      <c r="AN41" s="1270" t="s">
        <v>2640</v>
      </c>
      <c r="AO41" s="1270"/>
      <c r="AP41" s="1270"/>
    </row>
    <row r="42" spans="32:42" ht="26.25" customHeight="1" x14ac:dyDescent="0.25">
      <c r="AN42" s="1271"/>
      <c r="AO42" s="1271"/>
      <c r="AP42" s="1271"/>
    </row>
    <row r="43" spans="32:42" ht="18.75" x14ac:dyDescent="0.25">
      <c r="AN43" s="213" t="s">
        <v>892</v>
      </c>
      <c r="AO43" s="213" t="s">
        <v>3</v>
      </c>
      <c r="AP43" s="213" t="s">
        <v>4</v>
      </c>
    </row>
    <row r="44" spans="32:42" ht="24.95" customHeight="1" x14ac:dyDescent="0.3">
      <c r="AI44" s="211"/>
      <c r="AM44" s="212"/>
      <c r="AN44" s="205" t="s">
        <v>172</v>
      </c>
      <c r="AO44" s="205">
        <f t="shared" ref="AO44:AO55" si="0">Z7</f>
        <v>4464441.5</v>
      </c>
      <c r="AP44" s="205">
        <f t="shared" ref="AP44:AP55" si="1">AA7</f>
        <v>4737118</v>
      </c>
    </row>
    <row r="45" spans="32:42" ht="24.95" customHeight="1" x14ac:dyDescent="0.3">
      <c r="AI45" s="211"/>
      <c r="AM45" s="212"/>
      <c r="AN45" s="205" t="s">
        <v>173</v>
      </c>
      <c r="AO45" s="205">
        <f t="shared" si="0"/>
        <v>7605137.2822580645</v>
      </c>
      <c r="AP45" s="205">
        <f t="shared" si="1"/>
        <v>13741601</v>
      </c>
    </row>
    <row r="46" spans="32:42" ht="24.95" customHeight="1" x14ac:dyDescent="0.3">
      <c r="AI46" s="211"/>
      <c r="AM46" s="212"/>
      <c r="AN46" s="205" t="s">
        <v>188</v>
      </c>
      <c r="AO46" s="205">
        <f t="shared" si="0"/>
        <v>3821110</v>
      </c>
      <c r="AP46" s="205">
        <f t="shared" si="1"/>
        <v>4222504</v>
      </c>
    </row>
    <row r="47" spans="32:42" ht="24.95" customHeight="1" x14ac:dyDescent="0.3">
      <c r="AI47" s="211"/>
      <c r="AM47" s="212"/>
      <c r="AN47" s="205" t="s">
        <v>174</v>
      </c>
      <c r="AO47" s="205">
        <f t="shared" si="0"/>
        <v>7508275.4879032262</v>
      </c>
      <c r="AP47" s="205">
        <f t="shared" si="1"/>
        <v>13941007</v>
      </c>
    </row>
    <row r="48" spans="32:42" ht="24.95" customHeight="1" x14ac:dyDescent="0.3">
      <c r="AI48" s="211"/>
      <c r="AM48" s="212"/>
      <c r="AN48" s="205" t="s">
        <v>175</v>
      </c>
      <c r="AO48" s="205">
        <f t="shared" si="0"/>
        <v>6732162.4879032262</v>
      </c>
      <c r="AP48" s="205">
        <f t="shared" si="1"/>
        <v>3981402</v>
      </c>
    </row>
    <row r="49" spans="32:42" ht="24.95" customHeight="1" x14ac:dyDescent="0.3">
      <c r="AI49" s="211"/>
      <c r="AM49" s="212"/>
      <c r="AN49" s="205" t="s">
        <v>7</v>
      </c>
      <c r="AO49" s="205">
        <f t="shared" si="0"/>
        <v>9424994.208333334</v>
      </c>
      <c r="AP49" s="205">
        <f t="shared" si="1"/>
        <v>5099835</v>
      </c>
    </row>
    <row r="50" spans="32:42" ht="24.95" customHeight="1" x14ac:dyDescent="0.3">
      <c r="AI50" s="211"/>
      <c r="AM50" s="212"/>
      <c r="AN50" s="205" t="s">
        <v>159</v>
      </c>
      <c r="AO50" s="205">
        <f t="shared" si="0"/>
        <v>11151323.512096774</v>
      </c>
      <c r="AP50" s="205">
        <f t="shared" si="1"/>
        <v>19769426</v>
      </c>
    </row>
    <row r="51" spans="32:42" ht="24.95" customHeight="1" x14ac:dyDescent="0.3">
      <c r="AI51" s="211"/>
      <c r="AM51" s="212"/>
      <c r="AN51" s="205" t="s">
        <v>176</v>
      </c>
      <c r="AO51" s="205">
        <f t="shared" si="0"/>
        <v>6761574.4193548383</v>
      </c>
      <c r="AP51" s="205">
        <f t="shared" si="1"/>
        <v>10702740</v>
      </c>
    </row>
    <row r="52" spans="32:42" ht="24.95" customHeight="1" x14ac:dyDescent="0.3">
      <c r="AI52" s="211"/>
      <c r="AM52" s="212"/>
      <c r="AN52" s="205" t="s">
        <v>190</v>
      </c>
      <c r="AO52" s="205">
        <f t="shared" si="0"/>
        <v>14648153.632015307</v>
      </c>
      <c r="AP52" s="205">
        <f t="shared" si="1"/>
        <v>19564689</v>
      </c>
    </row>
    <row r="53" spans="32:42" ht="24.95" customHeight="1" x14ac:dyDescent="0.3">
      <c r="AI53" s="211"/>
      <c r="AM53" s="212"/>
      <c r="AN53" s="205" t="s">
        <v>191</v>
      </c>
      <c r="AO53" s="205">
        <f t="shared" si="0"/>
        <v>13417363.834677421</v>
      </c>
      <c r="AP53" s="205">
        <f t="shared" si="1"/>
        <v>9614299</v>
      </c>
    </row>
    <row r="54" spans="32:42" ht="24.95" customHeight="1" x14ac:dyDescent="0.3">
      <c r="AI54" s="211"/>
      <c r="AM54" s="212"/>
      <c r="AN54" s="205" t="s">
        <v>189</v>
      </c>
      <c r="AO54" s="205">
        <f t="shared" si="0"/>
        <v>14629962.729166666</v>
      </c>
      <c r="AP54" s="205">
        <f t="shared" si="1"/>
        <v>19931717</v>
      </c>
    </row>
    <row r="55" spans="32:42" ht="24.95" customHeight="1" x14ac:dyDescent="0.3">
      <c r="AI55" s="211"/>
      <c r="AM55" s="212"/>
      <c r="AN55" s="205" t="s">
        <v>187</v>
      </c>
      <c r="AO55" s="205">
        <f t="shared" si="0"/>
        <v>12848041.810483871</v>
      </c>
      <c r="AP55" s="205">
        <f t="shared" si="1"/>
        <v>39046914</v>
      </c>
    </row>
    <row r="56" spans="32:42" ht="24.95" customHeight="1" x14ac:dyDescent="0.3">
      <c r="AI56" s="211"/>
      <c r="AM56" s="212"/>
      <c r="AN56" s="205" t="s">
        <v>766</v>
      </c>
      <c r="AO56" s="253">
        <f>SUM(AO44:AO55)</f>
        <v>113012540.90419273</v>
      </c>
      <c r="AP56" s="253">
        <f>SUM(AP44:AP55)</f>
        <v>164353252</v>
      </c>
    </row>
    <row r="57" spans="32:42" x14ac:dyDescent="0.25">
      <c r="AG57" s="1"/>
      <c r="AH57" s="1"/>
    </row>
    <row r="58" spans="32:42" ht="15" hidden="1" customHeight="1" x14ac:dyDescent="0.25">
      <c r="AF58" s="1284" t="s">
        <v>1201</v>
      </c>
      <c r="AG58" s="1285"/>
      <c r="AH58" s="1286"/>
    </row>
    <row r="59" spans="32:42" ht="15" hidden="1" customHeight="1" x14ac:dyDescent="0.25">
      <c r="AF59" s="1287"/>
      <c r="AG59" s="1288"/>
      <c r="AH59" s="1289"/>
    </row>
    <row r="60" spans="32:42" ht="18.75" hidden="1" x14ac:dyDescent="0.25">
      <c r="AF60" s="34" t="s">
        <v>892</v>
      </c>
      <c r="AG60" s="34" t="s">
        <v>3</v>
      </c>
      <c r="AH60" s="34" t="s">
        <v>4</v>
      </c>
      <c r="AJ60" s="3"/>
      <c r="AK60" s="3"/>
      <c r="AL60" s="3"/>
    </row>
    <row r="61" spans="32:42" ht="18.75" hidden="1" x14ac:dyDescent="0.25">
      <c r="AF61" s="202" t="s">
        <v>172</v>
      </c>
      <c r="AG61" s="203">
        <f>SUM(Posting!E1237:E1375)</f>
        <v>1887336</v>
      </c>
      <c r="AH61" s="203">
        <f>SUM(Posting!F1237:F1375)</f>
        <v>0</v>
      </c>
    </row>
    <row r="62" spans="32:42" ht="18.75" hidden="1" x14ac:dyDescent="0.25">
      <c r="AF62" s="202" t="s">
        <v>173</v>
      </c>
      <c r="AG62" s="203">
        <f>SUM(Posting!E1376:E1611)</f>
        <v>4263108</v>
      </c>
      <c r="AH62" s="203">
        <f>SUM(Posting!F1376:F1611)</f>
        <v>3085260</v>
      </c>
    </row>
    <row r="63" spans="32:42" ht="18.75" hidden="1" x14ac:dyDescent="0.25">
      <c r="AF63" s="202" t="s">
        <v>188</v>
      </c>
      <c r="AG63" s="203">
        <f>SUM(Posting!E1612:E1772)</f>
        <v>2283336</v>
      </c>
      <c r="AH63" s="203">
        <f>SUM(Posting!F1612:F1772)</f>
        <v>5226019</v>
      </c>
    </row>
    <row r="64" spans="32:42" ht="18.75" hidden="1" x14ac:dyDescent="0.25">
      <c r="AF64" s="202" t="s">
        <v>174</v>
      </c>
      <c r="AG64" s="203">
        <f>SUM(Posting!E1773:E1952)</f>
        <v>2923030.0416666665</v>
      </c>
      <c r="AH64" s="203">
        <f>SUM(Posting!F1953:F1955)</f>
        <v>2039280</v>
      </c>
    </row>
    <row r="65" spans="32:42" ht="18.75" hidden="1" x14ac:dyDescent="0.25">
      <c r="AF65" s="202" t="s">
        <v>175</v>
      </c>
      <c r="AG65" s="203">
        <f>SUM(Posting!E1956:E2160)</f>
        <v>3435501.9677419355</v>
      </c>
      <c r="AH65" s="203">
        <f>SUM(Posting!F2156:F2160)</f>
        <v>3336923</v>
      </c>
    </row>
    <row r="66" spans="32:42" ht="18.75" hidden="1" x14ac:dyDescent="0.25">
      <c r="AF66" s="202" t="s">
        <v>7</v>
      </c>
      <c r="AG66" s="203">
        <f>SUM(Posting!E2161:E2350)</f>
        <v>2346048.25</v>
      </c>
      <c r="AH66" s="203">
        <f>SUM(Posting!F2351:F2354)</f>
        <v>1361043</v>
      </c>
    </row>
    <row r="67" spans="32:42" ht="18.75" hidden="1" x14ac:dyDescent="0.25">
      <c r="AF67" s="202" t="s">
        <v>159</v>
      </c>
      <c r="AG67" s="203">
        <f>SUM(Posting!E2355:E2496)</f>
        <v>2025220.0967741937</v>
      </c>
      <c r="AH67" s="203">
        <f>SUM(Posting!F2497:F2502)</f>
        <v>2684280</v>
      </c>
    </row>
    <row r="68" spans="32:42" ht="18.75" hidden="1" x14ac:dyDescent="0.25">
      <c r="AF68" s="202" t="s">
        <v>176</v>
      </c>
      <c r="AG68" s="203">
        <f>SUM(Posting!E2503:E2627)</f>
        <v>2030002.25</v>
      </c>
      <c r="AH68" s="203">
        <f>SUM(Posting!F2628:F2633)</f>
        <v>3782429</v>
      </c>
    </row>
    <row r="69" spans="32:42" ht="18.75" hidden="1" x14ac:dyDescent="0.25">
      <c r="AF69" s="202" t="s">
        <v>190</v>
      </c>
      <c r="AG69" s="203">
        <f>SUM(Posting!E2634:E2759)</f>
        <v>1720488.6964285714</v>
      </c>
      <c r="AH69" s="203">
        <f>SUM(Posting!F2760:F2761)</f>
        <v>421694</v>
      </c>
    </row>
    <row r="70" spans="32:42" ht="18.75" hidden="1" x14ac:dyDescent="0.25">
      <c r="AF70" s="202" t="s">
        <v>191</v>
      </c>
      <c r="AG70" s="203">
        <f>SUM(Posting!E2762:E2901)</f>
        <v>3362963.2338709678</v>
      </c>
      <c r="AH70" s="203">
        <f>SUM(Posting!F2902:F2906)</f>
        <v>3334805</v>
      </c>
    </row>
    <row r="71" spans="32:42" ht="18.75" hidden="1" x14ac:dyDescent="0.25">
      <c r="AF71" s="202" t="s">
        <v>189</v>
      </c>
      <c r="AG71" s="203">
        <f>SUM(Posting!E2907:E3058)</f>
        <v>2975184.958333333</v>
      </c>
      <c r="AH71" s="203">
        <f>SUM(Posting!F3059:F3061)</f>
        <v>2838043</v>
      </c>
    </row>
    <row r="72" spans="32:42" ht="18.75" hidden="1" x14ac:dyDescent="0.25">
      <c r="AF72" s="202" t="s">
        <v>187</v>
      </c>
      <c r="AG72" s="203">
        <f>SUM(Posting!E3059:E3191)</f>
        <v>2435934.5080645159</v>
      </c>
      <c r="AH72" s="203">
        <f>SUM(Posting!F3183:F3191)</f>
        <v>9055000</v>
      </c>
      <c r="AO72" s="3"/>
    </row>
    <row r="73" spans="32:42" ht="18.75" hidden="1" x14ac:dyDescent="0.3">
      <c r="AF73" s="204" t="s">
        <v>766</v>
      </c>
      <c r="AG73" s="205">
        <f>SUM(AG61:AG72)</f>
        <v>31688154.002880182</v>
      </c>
      <c r="AH73" s="205">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2127</v>
      </c>
      <c r="AI82" s="1">
        <v>4000000</v>
      </c>
      <c r="AJ82" t="s">
        <v>269</v>
      </c>
    </row>
    <row r="83" spans="32:36" x14ac:dyDescent="0.25">
      <c r="AF83" s="3"/>
      <c r="AI83" s="1"/>
    </row>
    <row r="84" spans="32:36" x14ac:dyDescent="0.25">
      <c r="AF84" t="s">
        <v>2428</v>
      </c>
      <c r="AI84" s="1">
        <v>2475000</v>
      </c>
      <c r="AJ84" t="s">
        <v>2547</v>
      </c>
    </row>
    <row r="85" spans="32:36" x14ac:dyDescent="0.25">
      <c r="AF85" t="s">
        <v>2457</v>
      </c>
      <c r="AI85" s="1">
        <v>300000</v>
      </c>
    </row>
    <row r="86" spans="32:36" x14ac:dyDescent="0.25">
      <c r="AF86" t="s">
        <v>2458</v>
      </c>
      <c r="AI86" s="1">
        <v>100000</v>
      </c>
    </row>
    <row r="87" spans="32:36" x14ac:dyDescent="0.25">
      <c r="AF87" t="s">
        <v>2459</v>
      </c>
      <c r="AI87" s="1">
        <v>215000</v>
      </c>
    </row>
    <row r="88" spans="32:36" x14ac:dyDescent="0.25">
      <c r="AF88" t="s">
        <v>2546</v>
      </c>
      <c r="AI88" s="1">
        <v>2000000</v>
      </c>
    </row>
    <row r="89" spans="32:36" x14ac:dyDescent="0.25">
      <c r="AF89" t="s">
        <v>2610</v>
      </c>
      <c r="AI89" s="1">
        <v>1000000</v>
      </c>
      <c r="AJ89" t="s">
        <v>2609</v>
      </c>
    </row>
    <row r="90" spans="32:36" x14ac:dyDescent="0.25">
      <c r="AI90" s="3">
        <f>SUM(AI84:AI89)</f>
        <v>6090000</v>
      </c>
    </row>
    <row r="172" spans="32:34" x14ac:dyDescent="0.25">
      <c r="AF172" t="s">
        <v>592</v>
      </c>
      <c r="AG172" s="1">
        <f>SUMIF(Posting!B105:B318,"Miqdad Residence",Posting!E105:E318)</f>
        <v>0</v>
      </c>
      <c r="AH172" s="1">
        <f ca="1">SUMIF(Posting!B2:B742,"Miqdad Residence",Posting!E2:E628)</f>
        <v>0</v>
      </c>
    </row>
    <row r="173" spans="32:34" x14ac:dyDescent="0.25">
      <c r="AF173" t="s">
        <v>593</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595</v>
      </c>
      <c r="AG176" s="1">
        <f>SUMIF(Posting!B105:B318,"Ocean Mall ",Posting!E105:E318)</f>
        <v>0</v>
      </c>
    </row>
    <row r="177" spans="32:33" x14ac:dyDescent="0.25">
      <c r="AF177" t="s">
        <v>36</v>
      </c>
      <c r="AG177" s="1">
        <f>SUMIF(Posting!B105:B318,"Movenpick",Posting!E105:E318)</f>
        <v>0</v>
      </c>
    </row>
    <row r="178" spans="32:33" x14ac:dyDescent="0.25">
      <c r="AF178" t="s">
        <v>596</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F58:AH59"/>
    <mergeCell ref="Y4:AA5"/>
    <mergeCell ref="U4:W5"/>
    <mergeCell ref="Q4:S5"/>
    <mergeCell ref="AC4:AE5"/>
    <mergeCell ref="I4:K5"/>
    <mergeCell ref="M4:O5"/>
    <mergeCell ref="AN41:AP42"/>
    <mergeCell ref="AF38:AP40"/>
    <mergeCell ref="AG4:AI5"/>
    <mergeCell ref="I22:J22"/>
    <mergeCell ref="I23:J23"/>
    <mergeCell ref="I24:J24"/>
    <mergeCell ref="A4:C5"/>
    <mergeCell ref="A22:B22"/>
    <mergeCell ref="A23:B23"/>
    <mergeCell ref="A24:B24"/>
    <mergeCell ref="E4:G5"/>
    <mergeCell ref="E23:G23"/>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8" workbookViewId="0">
      <selection activeCell="C133" sqref="C133"/>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3" customWidth="1"/>
    <col min="6" max="6" width="10.28515625" customWidth="1"/>
    <col min="7" max="7" width="47.42578125" customWidth="1"/>
    <col min="8" max="8" width="12.28515625" customWidth="1"/>
    <col min="9" max="9" width="16.7109375" style="1" customWidth="1"/>
    <col min="10" max="10" width="1.42578125" style="474" customWidth="1"/>
    <col min="11" max="11" width="11.28515625" customWidth="1"/>
    <col min="12" max="12" width="34.7109375" customWidth="1"/>
    <col min="13" max="13" width="12.140625" bestFit="1" customWidth="1"/>
    <col min="14" max="14" width="14.28515625" customWidth="1"/>
  </cols>
  <sheetData>
    <row r="1" spans="1:14" ht="14.45" customHeight="1" x14ac:dyDescent="0.25">
      <c r="A1" s="1318" t="s">
        <v>1767</v>
      </c>
      <c r="B1" s="1318"/>
      <c r="C1" s="1318"/>
      <c r="D1" s="1318"/>
      <c r="E1" s="1318"/>
      <c r="F1" s="1318"/>
      <c r="G1" s="1318"/>
      <c r="H1" s="1318"/>
      <c r="I1" s="1318"/>
      <c r="J1" s="1318"/>
      <c r="K1" s="1318"/>
      <c r="L1" s="1318"/>
      <c r="M1" s="1318"/>
      <c r="N1" s="1318"/>
    </row>
    <row r="2" spans="1:14" ht="14.45" customHeight="1" x14ac:dyDescent="0.25">
      <c r="A2" s="1318"/>
      <c r="B2" s="1318"/>
      <c r="C2" s="1318"/>
      <c r="D2" s="1318"/>
      <c r="E2" s="1318"/>
      <c r="F2" s="1318"/>
      <c r="G2" s="1318"/>
      <c r="H2" s="1318"/>
      <c r="I2" s="1318"/>
      <c r="J2" s="1318"/>
      <c r="K2" s="1318"/>
      <c r="L2" s="1318"/>
      <c r="M2" s="1318"/>
      <c r="N2" s="1318"/>
    </row>
    <row r="3" spans="1:14" ht="14.45" customHeight="1" x14ac:dyDescent="0.25">
      <c r="A3" s="1319" t="s">
        <v>4713</v>
      </c>
      <c r="B3" s="1319"/>
      <c r="C3" s="1319"/>
      <c r="D3" s="1319"/>
      <c r="E3" s="1319"/>
      <c r="F3" s="1319"/>
      <c r="G3" s="1319"/>
      <c r="H3" s="1319"/>
      <c r="I3" s="1319"/>
      <c r="J3" s="1319"/>
      <c r="K3" s="1319"/>
      <c r="L3" s="1319"/>
      <c r="M3" s="1319"/>
      <c r="N3" s="1319"/>
    </row>
    <row r="4" spans="1:14" ht="14.45" customHeight="1" x14ac:dyDescent="0.25">
      <c r="A4" s="1319"/>
      <c r="B4" s="1319"/>
      <c r="C4" s="1319"/>
      <c r="D4" s="1319"/>
      <c r="E4" s="1319"/>
      <c r="F4" s="1319"/>
      <c r="G4" s="1319"/>
      <c r="H4" s="1319"/>
      <c r="I4" s="1319"/>
      <c r="J4" s="1319"/>
      <c r="K4" s="1319"/>
      <c r="L4" s="1319"/>
      <c r="M4" s="1319"/>
      <c r="N4" s="1319"/>
    </row>
    <row r="6" spans="1:14" x14ac:dyDescent="0.25">
      <c r="A6" s="1316" t="s">
        <v>5990</v>
      </c>
      <c r="B6" s="1316"/>
      <c r="C6" s="1316"/>
      <c r="D6" s="1316"/>
      <c r="E6" s="1316"/>
      <c r="F6" s="1316"/>
      <c r="G6" s="1316"/>
      <c r="H6" s="1316"/>
      <c r="I6" s="1316"/>
      <c r="J6" s="1316"/>
      <c r="K6" s="1316"/>
      <c r="L6" s="1316"/>
      <c r="M6" s="1316"/>
      <c r="N6" s="1316"/>
    </row>
    <row r="7" spans="1:14" x14ac:dyDescent="0.25">
      <c r="A7" s="1316"/>
      <c r="B7" s="1316"/>
      <c r="C7" s="1316"/>
      <c r="D7" s="1316"/>
      <c r="E7" s="1316"/>
      <c r="F7" s="1316"/>
      <c r="G7" s="1316"/>
      <c r="H7" s="1316"/>
      <c r="I7" s="1316"/>
      <c r="J7" s="1316"/>
      <c r="K7" s="1316"/>
      <c r="L7" s="1316"/>
      <c r="M7" s="1316"/>
      <c r="N7" s="1316"/>
    </row>
    <row r="8" spans="1:14" x14ac:dyDescent="0.25">
      <c r="A8" s="1317" t="s">
        <v>6021</v>
      </c>
      <c r="B8" s="1317"/>
      <c r="C8" s="1317"/>
      <c r="D8" s="1317"/>
      <c r="E8" s="1317"/>
      <c r="F8" s="1317"/>
      <c r="G8" s="1317"/>
      <c r="H8" s="1317"/>
      <c r="I8" s="1317"/>
      <c r="J8" s="1317"/>
      <c r="K8" s="1317"/>
      <c r="L8" s="1317"/>
      <c r="M8" s="1317"/>
      <c r="N8" s="1317"/>
    </row>
    <row r="9" spans="1:14" x14ac:dyDescent="0.25">
      <c r="A9" s="1317"/>
      <c r="B9" s="1317"/>
      <c r="C9" s="1317"/>
      <c r="D9" s="1317"/>
      <c r="E9" s="1317"/>
      <c r="F9" s="1317"/>
      <c r="G9" s="1317"/>
      <c r="H9" s="1317"/>
      <c r="I9" s="1317"/>
      <c r="J9" s="1317"/>
      <c r="K9" s="1317"/>
      <c r="L9" s="1317"/>
      <c r="M9" s="1317"/>
      <c r="N9" s="1317"/>
    </row>
    <row r="10" spans="1:14" ht="14.45" customHeight="1" x14ac:dyDescent="0.25">
      <c r="A10" s="1305" t="s">
        <v>1894</v>
      </c>
      <c r="B10" s="1306"/>
      <c r="C10" s="1306"/>
      <c r="D10" s="1307"/>
      <c r="E10" s="463"/>
      <c r="F10" s="1314" t="s">
        <v>4751</v>
      </c>
      <c r="G10" s="1314"/>
      <c r="H10" s="1314"/>
      <c r="I10" s="1314"/>
      <c r="K10" s="1315" t="s">
        <v>1202</v>
      </c>
      <c r="L10" s="1315"/>
      <c r="M10" s="1315"/>
      <c r="N10" s="1315"/>
    </row>
    <row r="11" spans="1:14" ht="14.45" customHeight="1" x14ac:dyDescent="0.25">
      <c r="A11" s="1308"/>
      <c r="B11" s="1309"/>
      <c r="C11" s="1309"/>
      <c r="D11" s="1310"/>
      <c r="E11" s="464"/>
      <c r="F11" s="1314"/>
      <c r="G11" s="1314"/>
      <c r="H11" s="1314"/>
      <c r="I11" s="1314"/>
      <c r="K11" s="1315"/>
      <c r="L11" s="1315"/>
      <c r="M11" s="1315"/>
      <c r="N11" s="1315"/>
    </row>
    <row r="12" spans="1:14" ht="14.45" customHeight="1" x14ac:dyDescent="0.25">
      <c r="A12" s="1311"/>
      <c r="B12" s="1312"/>
      <c r="C12" s="1312"/>
      <c r="D12" s="1313"/>
      <c r="E12" s="465"/>
      <c r="F12" s="1314"/>
      <c r="G12" s="1314"/>
      <c r="H12" s="1314"/>
      <c r="I12" s="1314"/>
      <c r="K12" s="1315"/>
      <c r="L12" s="1315"/>
      <c r="M12" s="1315"/>
      <c r="N12" s="1315"/>
    </row>
    <row r="13" spans="1:14" ht="27" thickBot="1" x14ac:dyDescent="0.3">
      <c r="A13" s="1296" t="s">
        <v>4590</v>
      </c>
      <c r="B13" s="1297"/>
      <c r="C13" s="1297"/>
      <c r="D13" s="1298"/>
      <c r="E13" s="466"/>
      <c r="F13" s="1299" t="s">
        <v>4590</v>
      </c>
      <c r="G13" s="1300"/>
      <c r="H13" s="1300"/>
      <c r="I13" s="1301"/>
      <c r="K13" s="1299" t="s">
        <v>4590</v>
      </c>
      <c r="L13" s="1300"/>
      <c r="M13" s="1300"/>
      <c r="N13" s="1301"/>
    </row>
    <row r="14" spans="1:14" ht="21" x14ac:dyDescent="0.25">
      <c r="A14" s="309" t="s">
        <v>0</v>
      </c>
      <c r="B14" s="308" t="s">
        <v>2</v>
      </c>
      <c r="C14" s="308" t="s">
        <v>3952</v>
      </c>
      <c r="D14" s="310" t="s">
        <v>4591</v>
      </c>
      <c r="E14" s="467"/>
      <c r="F14" s="309" t="s">
        <v>0</v>
      </c>
      <c r="G14" s="308" t="s">
        <v>2</v>
      </c>
      <c r="H14" s="308" t="s">
        <v>3952</v>
      </c>
      <c r="I14" s="310" t="s">
        <v>4591</v>
      </c>
      <c r="K14" s="309" t="s">
        <v>0</v>
      </c>
      <c r="L14" s="308" t="s">
        <v>2</v>
      </c>
      <c r="M14" s="308" t="s">
        <v>3952</v>
      </c>
      <c r="N14" s="310" t="s">
        <v>4591</v>
      </c>
    </row>
    <row r="15" spans="1:14" ht="45" x14ac:dyDescent="0.25">
      <c r="A15" s="342">
        <v>44056</v>
      </c>
      <c r="B15" s="99" t="s">
        <v>6110</v>
      </c>
      <c r="C15" s="305" t="s">
        <v>4593</v>
      </c>
      <c r="D15" s="15">
        <v>500000</v>
      </c>
      <c r="E15" s="468"/>
      <c r="F15" s="342">
        <v>44001</v>
      </c>
      <c r="G15" s="99" t="s">
        <v>6020</v>
      </c>
      <c r="H15" s="305"/>
      <c r="I15" s="15">
        <v>156523</v>
      </c>
      <c r="K15" s="342">
        <v>44061</v>
      </c>
      <c r="L15" s="99" t="s">
        <v>6112</v>
      </c>
      <c r="M15" s="328"/>
      <c r="N15" s="15">
        <v>1000000</v>
      </c>
    </row>
    <row r="16" spans="1:14" ht="45" x14ac:dyDescent="0.25">
      <c r="A16" s="342">
        <v>44060</v>
      </c>
      <c r="B16" s="99" t="s">
        <v>6111</v>
      </c>
      <c r="C16" s="305" t="s">
        <v>2458</v>
      </c>
      <c r="D16" s="15">
        <v>900000</v>
      </c>
      <c r="E16" s="469"/>
      <c r="F16" s="342">
        <v>44001</v>
      </c>
      <c r="G16" s="99" t="s">
        <v>5964</v>
      </c>
      <c r="H16" s="305"/>
      <c r="I16" s="15">
        <v>500000</v>
      </c>
      <c r="K16" s="342">
        <v>44061</v>
      </c>
      <c r="L16" s="99" t="s">
        <v>6112</v>
      </c>
      <c r="M16" s="328"/>
      <c r="N16" s="15">
        <v>1000000</v>
      </c>
    </row>
    <row r="17" spans="1:14" ht="30" x14ac:dyDescent="0.25">
      <c r="A17" s="342">
        <v>44022</v>
      </c>
      <c r="B17" s="99" t="s">
        <v>6113</v>
      </c>
      <c r="C17" s="305"/>
      <c r="D17" s="15">
        <v>20000</v>
      </c>
      <c r="E17" s="469"/>
      <c r="F17" s="342">
        <v>44003</v>
      </c>
      <c r="G17" s="99" t="s">
        <v>6067</v>
      </c>
      <c r="H17" s="328" t="s">
        <v>6068</v>
      </c>
      <c r="I17" s="15">
        <v>500000</v>
      </c>
      <c r="K17" s="342">
        <v>44074</v>
      </c>
      <c r="L17" s="537" t="s">
        <v>6115</v>
      </c>
      <c r="M17" s="328"/>
      <c r="N17" s="312">
        <v>4374135</v>
      </c>
    </row>
    <row r="18" spans="1:14" ht="30" x14ac:dyDescent="0.25">
      <c r="A18" s="342">
        <v>44053</v>
      </c>
      <c r="B18" s="99" t="s">
        <v>6113</v>
      </c>
      <c r="C18" s="305"/>
      <c r="D18" s="15">
        <v>20000</v>
      </c>
      <c r="E18" s="469"/>
      <c r="F18" s="342">
        <v>44003</v>
      </c>
      <c r="G18" s="99" t="s">
        <v>7090</v>
      </c>
      <c r="H18" s="328" t="s">
        <v>6069</v>
      </c>
      <c r="I18" s="312">
        <v>20000</v>
      </c>
      <c r="K18" s="342"/>
      <c r="L18" s="99"/>
      <c r="M18" s="328"/>
      <c r="N18" s="312"/>
    </row>
    <row r="19" spans="1:14" ht="30" x14ac:dyDescent="0.25">
      <c r="A19" s="342">
        <v>44084</v>
      </c>
      <c r="B19" s="99" t="s">
        <v>6113</v>
      </c>
      <c r="C19" s="305"/>
      <c r="D19" s="15">
        <v>20000</v>
      </c>
      <c r="E19" s="469"/>
      <c r="F19" s="342">
        <v>44003</v>
      </c>
      <c r="G19" s="99" t="s">
        <v>6275</v>
      </c>
      <c r="H19" s="328"/>
      <c r="I19" s="312">
        <v>-1000000</v>
      </c>
      <c r="K19" s="358"/>
      <c r="L19" s="99"/>
      <c r="M19" s="328"/>
      <c r="N19" s="312"/>
    </row>
    <row r="20" spans="1:14" ht="30" x14ac:dyDescent="0.25">
      <c r="A20" s="342">
        <v>44114</v>
      </c>
      <c r="B20" s="99" t="s">
        <v>6113</v>
      </c>
      <c r="C20" s="305"/>
      <c r="D20" s="15">
        <v>20000</v>
      </c>
      <c r="E20" s="469"/>
      <c r="F20" s="342">
        <v>44133</v>
      </c>
      <c r="G20" s="2" t="s">
        <v>6298</v>
      </c>
      <c r="H20" s="328" t="s">
        <v>6297</v>
      </c>
      <c r="I20" s="312">
        <v>500000</v>
      </c>
      <c r="K20" s="358"/>
      <c r="L20" s="2"/>
      <c r="M20" s="305"/>
      <c r="N20" s="312"/>
    </row>
    <row r="21" spans="1:14" ht="30" x14ac:dyDescent="0.25">
      <c r="A21" s="342">
        <v>44145</v>
      </c>
      <c r="B21" s="99" t="s">
        <v>6113</v>
      </c>
      <c r="C21" s="305"/>
      <c r="D21" s="15">
        <v>20000</v>
      </c>
      <c r="E21" s="469"/>
      <c r="F21" s="342">
        <v>44133</v>
      </c>
      <c r="G21" s="2" t="s">
        <v>6298</v>
      </c>
      <c r="H21" s="328" t="s">
        <v>6299</v>
      </c>
      <c r="I21" s="312">
        <v>500000</v>
      </c>
      <c r="K21" s="358"/>
      <c r="L21" s="2"/>
      <c r="M21" s="305"/>
      <c r="N21" s="312"/>
    </row>
    <row r="22" spans="1:14" ht="30" x14ac:dyDescent="0.25">
      <c r="A22" s="342">
        <v>44175</v>
      </c>
      <c r="B22" s="99" t="s">
        <v>6113</v>
      </c>
      <c r="C22" s="305"/>
      <c r="D22" s="15">
        <v>20000</v>
      </c>
      <c r="E22" s="469"/>
      <c r="F22" s="342">
        <v>44133</v>
      </c>
      <c r="G22" s="2" t="s">
        <v>6298</v>
      </c>
      <c r="H22" s="328" t="s">
        <v>6300</v>
      </c>
      <c r="I22" s="312">
        <v>500000</v>
      </c>
      <c r="K22" s="358"/>
      <c r="L22" s="99"/>
      <c r="M22" s="328"/>
      <c r="N22" s="312"/>
    </row>
    <row r="23" spans="1:14" s="302" customFormat="1" ht="30" x14ac:dyDescent="0.25">
      <c r="A23" s="342">
        <v>44206</v>
      </c>
      <c r="B23" s="99" t="s">
        <v>6113</v>
      </c>
      <c r="C23" s="305"/>
      <c r="D23" s="15">
        <v>20000</v>
      </c>
      <c r="E23" s="470"/>
      <c r="F23" s="342">
        <v>44133</v>
      </c>
      <c r="G23" s="2" t="s">
        <v>6298</v>
      </c>
      <c r="H23" s="328" t="s">
        <v>6301</v>
      </c>
      <c r="I23" s="312">
        <v>500000</v>
      </c>
      <c r="J23" s="475"/>
      <c r="K23" s="430"/>
      <c r="L23" s="99"/>
      <c r="M23" s="431"/>
      <c r="N23" s="367"/>
    </row>
    <row r="24" spans="1:14" ht="30" x14ac:dyDescent="0.25">
      <c r="A24" s="342">
        <v>44687</v>
      </c>
      <c r="B24" s="714" t="s">
        <v>7868</v>
      </c>
      <c r="C24" s="715"/>
      <c r="D24" s="715">
        <v>500000</v>
      </c>
      <c r="E24" s="471"/>
      <c r="F24" s="342">
        <v>44133</v>
      </c>
      <c r="G24" s="2" t="s">
        <v>6298</v>
      </c>
      <c r="H24" s="328" t="s">
        <v>6302</v>
      </c>
      <c r="I24" s="312">
        <v>500000</v>
      </c>
      <c r="K24" s="430"/>
      <c r="L24" s="99"/>
      <c r="M24" s="328"/>
      <c r="N24" s="367"/>
    </row>
    <row r="25" spans="1:14" ht="30" x14ac:dyDescent="0.25">
      <c r="A25" s="342">
        <v>44237</v>
      </c>
      <c r="B25" s="99" t="s">
        <v>6113</v>
      </c>
      <c r="C25" s="305"/>
      <c r="D25" s="15">
        <v>20000</v>
      </c>
      <c r="E25" s="471"/>
      <c r="F25" s="342">
        <v>44133</v>
      </c>
      <c r="G25" s="2" t="s">
        <v>6298</v>
      </c>
      <c r="H25" s="328" t="s">
        <v>6303</v>
      </c>
      <c r="I25" s="312">
        <v>500000</v>
      </c>
      <c r="K25" s="430"/>
      <c r="L25" s="99"/>
      <c r="M25" s="328"/>
      <c r="N25" s="367"/>
    </row>
    <row r="26" spans="1:14" ht="30" x14ac:dyDescent="0.25">
      <c r="A26" s="342">
        <v>44687</v>
      </c>
      <c r="B26" s="714" t="s">
        <v>7869</v>
      </c>
      <c r="C26" s="715"/>
      <c r="D26" s="715">
        <v>500000</v>
      </c>
      <c r="E26" s="471"/>
      <c r="F26" s="342">
        <v>44133</v>
      </c>
      <c r="G26" s="2" t="s">
        <v>6298</v>
      </c>
      <c r="H26" s="328" t="s">
        <v>6304</v>
      </c>
      <c r="I26" s="312">
        <v>500000</v>
      </c>
      <c r="K26" s="342"/>
      <c r="L26" s="99"/>
      <c r="M26" s="305"/>
      <c r="N26" s="15"/>
    </row>
    <row r="27" spans="1:14" ht="30" x14ac:dyDescent="0.25">
      <c r="A27" s="342">
        <v>44687</v>
      </c>
      <c r="B27" s="714" t="s">
        <v>7870</v>
      </c>
      <c r="C27" s="715"/>
      <c r="D27" s="715">
        <v>500000</v>
      </c>
      <c r="E27" s="471"/>
      <c r="F27" s="342">
        <v>44133</v>
      </c>
      <c r="G27" s="2" t="s">
        <v>6298</v>
      </c>
      <c r="H27" s="328" t="s">
        <v>6305</v>
      </c>
      <c r="I27" s="312">
        <v>500000</v>
      </c>
      <c r="K27" s="342"/>
      <c r="L27" s="99"/>
      <c r="M27" s="305"/>
      <c r="N27" s="15"/>
    </row>
    <row r="28" spans="1:14" ht="30" x14ac:dyDescent="0.25">
      <c r="A28" s="342">
        <v>44687</v>
      </c>
      <c r="B28" s="714" t="s">
        <v>7871</v>
      </c>
      <c r="C28" s="715"/>
      <c r="D28" s="715">
        <v>500000</v>
      </c>
      <c r="E28" s="471"/>
      <c r="F28" s="342">
        <v>44133</v>
      </c>
      <c r="G28" s="2" t="s">
        <v>6298</v>
      </c>
      <c r="H28" s="328" t="s">
        <v>6306</v>
      </c>
      <c r="I28" s="312">
        <v>500000</v>
      </c>
      <c r="K28" s="342"/>
      <c r="L28" s="99"/>
      <c r="M28" s="305"/>
      <c r="N28" s="15"/>
    </row>
    <row r="29" spans="1:14" x14ac:dyDescent="0.25">
      <c r="A29" s="342">
        <v>44687</v>
      </c>
      <c r="B29" s="714" t="s">
        <v>7872</v>
      </c>
      <c r="C29" s="715"/>
      <c r="D29" s="715">
        <v>500000</v>
      </c>
      <c r="E29" s="471"/>
      <c r="F29" s="342">
        <v>44133</v>
      </c>
      <c r="G29" s="99" t="s">
        <v>6307</v>
      </c>
      <c r="H29" s="305" t="s">
        <v>4593</v>
      </c>
      <c r="I29" s="15">
        <v>197612</v>
      </c>
      <c r="K29" s="342"/>
      <c r="L29" s="99"/>
      <c r="M29" s="305"/>
      <c r="N29" s="15"/>
    </row>
    <row r="30" spans="1:14" x14ac:dyDescent="0.25">
      <c r="A30" s="342">
        <v>44687</v>
      </c>
      <c r="B30" s="714" t="s">
        <v>7873</v>
      </c>
      <c r="C30" s="715"/>
      <c r="D30" s="715">
        <v>500000</v>
      </c>
      <c r="E30" s="471"/>
      <c r="F30" s="342">
        <v>44165</v>
      </c>
      <c r="G30" s="99" t="s">
        <v>6383</v>
      </c>
      <c r="H30" s="305" t="s">
        <v>4593</v>
      </c>
      <c r="I30" s="15">
        <v>1000000</v>
      </c>
      <c r="K30" s="342"/>
      <c r="L30" s="99"/>
      <c r="M30" s="305"/>
      <c r="N30" s="15"/>
    </row>
    <row r="31" spans="1:14" x14ac:dyDescent="0.25">
      <c r="A31" s="342">
        <v>44687</v>
      </c>
      <c r="B31" s="714" t="s">
        <v>7874</v>
      </c>
      <c r="C31" s="715"/>
      <c r="D31" s="715">
        <v>500000</v>
      </c>
      <c r="E31" s="471"/>
      <c r="F31" s="342">
        <v>44183</v>
      </c>
      <c r="G31" s="99" t="s">
        <v>6433</v>
      </c>
      <c r="H31" s="305" t="s">
        <v>3952</v>
      </c>
      <c r="I31" s="15">
        <v>500000</v>
      </c>
      <c r="K31" s="342"/>
      <c r="L31" s="99"/>
      <c r="M31" s="305"/>
      <c r="N31" s="15"/>
    </row>
    <row r="32" spans="1:14" x14ac:dyDescent="0.25">
      <c r="A32" s="342">
        <v>44687</v>
      </c>
      <c r="B32" s="714" t="s">
        <v>7881</v>
      </c>
      <c r="C32" s="715"/>
      <c r="D32" s="715">
        <v>500000</v>
      </c>
      <c r="E32" s="471"/>
      <c r="F32" s="342"/>
      <c r="G32" s="99"/>
      <c r="H32" s="305"/>
      <c r="I32" s="15"/>
      <c r="K32" s="342"/>
      <c r="L32" s="99"/>
      <c r="M32" s="305"/>
      <c r="N32" s="15"/>
    </row>
    <row r="33" spans="1:14" x14ac:dyDescent="0.25">
      <c r="A33" s="342">
        <v>44687</v>
      </c>
      <c r="B33" s="714" t="s">
        <v>7882</v>
      </c>
      <c r="C33" s="715"/>
      <c r="D33" s="715">
        <v>500000</v>
      </c>
      <c r="E33" s="471"/>
      <c r="F33" s="342"/>
      <c r="G33" s="99"/>
      <c r="H33" s="305"/>
      <c r="I33" s="15"/>
      <c r="K33" s="342"/>
      <c r="L33" s="99"/>
      <c r="M33" s="305"/>
      <c r="N33" s="15"/>
    </row>
    <row r="34" spans="1:14" x14ac:dyDescent="0.25">
      <c r="A34" s="342">
        <v>44687</v>
      </c>
      <c r="B34" s="714" t="s">
        <v>7875</v>
      </c>
      <c r="C34" s="715"/>
      <c r="D34" s="715">
        <v>500000</v>
      </c>
      <c r="E34" s="471"/>
      <c r="F34" s="342"/>
      <c r="G34" s="99"/>
      <c r="H34" s="305"/>
      <c r="I34" s="15"/>
      <c r="K34" s="342"/>
      <c r="L34" s="99"/>
      <c r="M34" s="305"/>
      <c r="N34" s="15"/>
    </row>
    <row r="35" spans="1:14" x14ac:dyDescent="0.25">
      <c r="A35" s="342">
        <v>44687</v>
      </c>
      <c r="B35" s="99" t="s">
        <v>7876</v>
      </c>
      <c r="C35" s="15"/>
      <c r="D35" s="15">
        <v>7291</v>
      </c>
      <c r="E35" s="471"/>
      <c r="F35" s="342"/>
      <c r="G35" s="99"/>
      <c r="H35" s="305"/>
      <c r="I35" s="15"/>
      <c r="K35" s="342"/>
      <c r="L35" s="99"/>
      <c r="M35" s="305"/>
      <c r="N35" s="15"/>
    </row>
    <row r="36" spans="1:14" x14ac:dyDescent="0.25">
      <c r="A36" s="342"/>
      <c r="B36" s="99"/>
      <c r="C36" s="15"/>
      <c r="D36" s="15"/>
      <c r="E36" s="471"/>
      <c r="F36" s="342"/>
      <c r="G36" s="99"/>
      <c r="H36" s="305"/>
      <c r="I36" s="15"/>
      <c r="K36" s="342"/>
      <c r="L36" s="99"/>
      <c r="M36" s="305"/>
      <c r="N36" s="15"/>
    </row>
    <row r="37" spans="1:14" x14ac:dyDescent="0.25">
      <c r="A37" s="342"/>
      <c r="B37" s="99"/>
      <c r="C37" s="15"/>
      <c r="D37" s="15"/>
      <c r="E37" s="471"/>
      <c r="F37" s="342"/>
      <c r="G37" s="99"/>
      <c r="H37" s="305"/>
      <c r="I37" s="15"/>
      <c r="K37" s="342"/>
      <c r="L37" s="99"/>
      <c r="M37" s="305"/>
      <c r="N37" s="15"/>
    </row>
    <row r="38" spans="1:14" x14ac:dyDescent="0.25">
      <c r="A38" s="342"/>
      <c r="B38" s="99"/>
      <c r="C38" s="15"/>
      <c r="D38" s="15"/>
      <c r="E38" s="471"/>
      <c r="F38" s="342"/>
      <c r="G38" s="99"/>
      <c r="H38" s="305"/>
      <c r="I38" s="15"/>
      <c r="K38" s="342"/>
      <c r="L38" s="99"/>
      <c r="M38" s="305"/>
      <c r="N38" s="15"/>
    </row>
    <row r="39" spans="1:14" ht="19.5" thickBot="1" x14ac:dyDescent="0.35">
      <c r="A39" s="1302" t="s">
        <v>4596</v>
      </c>
      <c r="B39" s="1302"/>
      <c r="C39" s="1302"/>
      <c r="D39" s="205">
        <f>SUM(D15:D38)</f>
        <v>6567291</v>
      </c>
      <c r="E39" s="472"/>
      <c r="F39" s="1303" t="s">
        <v>4596</v>
      </c>
      <c r="G39" s="1303"/>
      <c r="H39" s="1304"/>
      <c r="I39" s="429">
        <f>SUM(I15:I38)</f>
        <v>6374135</v>
      </c>
      <c r="K39" s="1303" t="s">
        <v>4596</v>
      </c>
      <c r="L39" s="1303"/>
      <c r="M39" s="1304"/>
      <c r="N39" s="429">
        <f>SUM(N15:N38)</f>
        <v>6374135</v>
      </c>
    </row>
    <row r="40" spans="1:14" x14ac:dyDescent="0.25">
      <c r="D40" s="50"/>
      <c r="E40" s="472"/>
      <c r="I40" s="50"/>
    </row>
    <row r="41" spans="1:14" x14ac:dyDescent="0.25">
      <c r="D41" s="50"/>
      <c r="E41" s="472"/>
      <c r="I41" s="50"/>
    </row>
    <row r="42" spans="1:14" x14ac:dyDescent="0.25">
      <c r="A42" s="1316" t="s">
        <v>6137</v>
      </c>
      <c r="B42" s="1316"/>
      <c r="C42" s="1316"/>
      <c r="D42" s="1316"/>
      <c r="E42" s="1316"/>
      <c r="F42" s="1316"/>
      <c r="G42" s="1316"/>
      <c r="H42" s="1316"/>
      <c r="I42" s="1316"/>
      <c r="J42" s="1316"/>
      <c r="K42" s="1316"/>
      <c r="L42" s="1316"/>
      <c r="M42" s="1316"/>
      <c r="N42" s="1316"/>
    </row>
    <row r="43" spans="1:14" x14ac:dyDescent="0.25">
      <c r="A43" s="1316"/>
      <c r="B43" s="1316"/>
      <c r="C43" s="1316"/>
      <c r="D43" s="1316"/>
      <c r="E43" s="1316"/>
      <c r="F43" s="1316"/>
      <c r="G43" s="1316"/>
      <c r="H43" s="1316"/>
      <c r="I43" s="1316"/>
      <c r="J43" s="1316"/>
      <c r="K43" s="1316"/>
      <c r="L43" s="1316"/>
      <c r="M43" s="1316"/>
      <c r="N43" s="1316"/>
    </row>
    <row r="44" spans="1:14" x14ac:dyDescent="0.25">
      <c r="A44" s="1317" t="s">
        <v>6138</v>
      </c>
      <c r="B44" s="1317"/>
      <c r="C44" s="1317"/>
      <c r="D44" s="1317"/>
      <c r="E44" s="1317"/>
      <c r="F44" s="1317"/>
      <c r="G44" s="1317"/>
      <c r="H44" s="1317"/>
      <c r="I44" s="1317"/>
      <c r="J44" s="1317"/>
      <c r="K44" s="1317"/>
      <c r="L44" s="1317"/>
      <c r="M44" s="1317"/>
      <c r="N44" s="1317"/>
    </row>
    <row r="45" spans="1:14" x14ac:dyDescent="0.25">
      <c r="A45" s="1317"/>
      <c r="B45" s="1317"/>
      <c r="C45" s="1317"/>
      <c r="D45" s="1317"/>
      <c r="E45" s="1317"/>
      <c r="F45" s="1317"/>
      <c r="G45" s="1317"/>
      <c r="H45" s="1317"/>
      <c r="I45" s="1317"/>
      <c r="J45" s="1317"/>
      <c r="K45" s="1317"/>
      <c r="L45" s="1317"/>
      <c r="M45" s="1317"/>
      <c r="N45" s="1317"/>
    </row>
    <row r="46" spans="1:14" ht="14.45" customHeight="1" x14ac:dyDescent="0.25">
      <c r="A46" s="1305" t="s">
        <v>1894</v>
      </c>
      <c r="B46" s="1306"/>
      <c r="C46" s="1306"/>
      <c r="D46" s="1307"/>
      <c r="E46" s="463"/>
      <c r="F46" s="1314" t="s">
        <v>4751</v>
      </c>
      <c r="G46" s="1314"/>
      <c r="H46" s="1314"/>
      <c r="I46" s="1314"/>
      <c r="K46" s="1315" t="s">
        <v>1202</v>
      </c>
      <c r="L46" s="1315"/>
      <c r="M46" s="1315"/>
      <c r="N46" s="1315"/>
    </row>
    <row r="47" spans="1:14" ht="14.45" customHeight="1" x14ac:dyDescent="0.25">
      <c r="A47" s="1308"/>
      <c r="B47" s="1309"/>
      <c r="C47" s="1309"/>
      <c r="D47" s="1310"/>
      <c r="E47" s="464"/>
      <c r="F47" s="1314"/>
      <c r="G47" s="1314"/>
      <c r="H47" s="1314"/>
      <c r="I47" s="1314"/>
      <c r="K47" s="1315"/>
      <c r="L47" s="1315"/>
      <c r="M47" s="1315"/>
      <c r="N47" s="1315"/>
    </row>
    <row r="48" spans="1:14" ht="14.45" customHeight="1" x14ac:dyDescent="0.25">
      <c r="A48" s="1311"/>
      <c r="B48" s="1312"/>
      <c r="C48" s="1312"/>
      <c r="D48" s="1313"/>
      <c r="E48" s="465"/>
      <c r="F48" s="1314"/>
      <c r="G48" s="1314"/>
      <c r="H48" s="1314"/>
      <c r="I48" s="1314"/>
      <c r="K48" s="1315"/>
      <c r="L48" s="1315"/>
      <c r="M48" s="1315"/>
      <c r="N48" s="1315"/>
    </row>
    <row r="49" spans="1:14" ht="27" thickBot="1" x14ac:dyDescent="0.3">
      <c r="A49" s="1296" t="s">
        <v>4590</v>
      </c>
      <c r="B49" s="1297"/>
      <c r="C49" s="1297"/>
      <c r="D49" s="1298"/>
      <c r="E49" s="466"/>
      <c r="F49" s="1299" t="s">
        <v>4590</v>
      </c>
      <c r="G49" s="1300"/>
      <c r="H49" s="1300"/>
      <c r="I49" s="1301"/>
      <c r="K49" s="1299" t="s">
        <v>4590</v>
      </c>
      <c r="L49" s="1300"/>
      <c r="M49" s="1300"/>
      <c r="N49" s="1301"/>
    </row>
    <row r="50" spans="1:14" ht="21" x14ac:dyDescent="0.25">
      <c r="A50" s="309" t="s">
        <v>0</v>
      </c>
      <c r="B50" s="308" t="s">
        <v>2</v>
      </c>
      <c r="C50" s="308" t="s">
        <v>3952</v>
      </c>
      <c r="D50" s="310" t="s">
        <v>4591</v>
      </c>
      <c r="E50" s="467"/>
      <c r="F50" s="309" t="s">
        <v>0</v>
      </c>
      <c r="G50" s="308" t="s">
        <v>2</v>
      </c>
      <c r="H50" s="308" t="s">
        <v>3952</v>
      </c>
      <c r="I50" s="310" t="s">
        <v>4591</v>
      </c>
      <c r="K50" s="309" t="s">
        <v>0</v>
      </c>
      <c r="L50" s="308" t="s">
        <v>2</v>
      </c>
      <c r="M50" s="308" t="s">
        <v>3952</v>
      </c>
      <c r="N50" s="310" t="s">
        <v>4591</v>
      </c>
    </row>
    <row r="51" spans="1:14" ht="45" x14ac:dyDescent="0.25">
      <c r="A51" s="342">
        <v>44214</v>
      </c>
      <c r="B51" s="2" t="s">
        <v>6509</v>
      </c>
      <c r="C51" s="305"/>
      <c r="D51" s="15">
        <v>50000</v>
      </c>
      <c r="E51" s="468"/>
      <c r="F51" s="342">
        <v>44075</v>
      </c>
      <c r="G51" s="99" t="s">
        <v>6116</v>
      </c>
      <c r="H51" s="328" t="s">
        <v>4937</v>
      </c>
      <c r="I51" s="312">
        <v>103200</v>
      </c>
      <c r="K51" s="342">
        <v>44083</v>
      </c>
      <c r="L51" s="99" t="s">
        <v>6136</v>
      </c>
      <c r="M51" s="328"/>
      <c r="N51" s="312">
        <v>11607</v>
      </c>
    </row>
    <row r="52" spans="1:14" ht="30" x14ac:dyDescent="0.25">
      <c r="A52" s="342">
        <v>44265</v>
      </c>
      <c r="B52" s="99" t="s">
        <v>6113</v>
      </c>
      <c r="C52" s="305"/>
      <c r="D52" s="15">
        <v>20000</v>
      </c>
      <c r="E52" s="469"/>
      <c r="F52" s="342">
        <v>44312</v>
      </c>
      <c r="G52" s="99" t="s">
        <v>6896</v>
      </c>
      <c r="H52" s="328" t="s">
        <v>4937</v>
      </c>
      <c r="I52" s="15">
        <v>200000</v>
      </c>
      <c r="K52" s="342">
        <v>44382</v>
      </c>
      <c r="L52" s="667" t="s">
        <v>7098</v>
      </c>
      <c r="M52" s="328"/>
      <c r="N52" s="312">
        <v>1000000</v>
      </c>
    </row>
    <row r="53" spans="1:14" x14ac:dyDescent="0.25">
      <c r="A53" s="342">
        <v>44296</v>
      </c>
      <c r="B53" s="99" t="s">
        <v>6113</v>
      </c>
      <c r="C53" s="305"/>
      <c r="D53" s="15">
        <v>20000</v>
      </c>
      <c r="E53" s="469"/>
      <c r="F53" s="342">
        <v>44312</v>
      </c>
      <c r="G53" s="99" t="s">
        <v>6897</v>
      </c>
      <c r="H53" s="328" t="s">
        <v>4937</v>
      </c>
      <c r="I53" s="15">
        <v>300000</v>
      </c>
      <c r="K53" s="342">
        <v>44396</v>
      </c>
      <c r="L53" s="667" t="s">
        <v>7163</v>
      </c>
      <c r="M53" s="328">
        <v>1806422928</v>
      </c>
      <c r="N53" s="312">
        <v>300000</v>
      </c>
    </row>
    <row r="54" spans="1:14" x14ac:dyDescent="0.25">
      <c r="A54" s="342">
        <v>44326</v>
      </c>
      <c r="B54" s="99" t="s">
        <v>6113</v>
      </c>
      <c r="C54" s="305"/>
      <c r="D54" s="15">
        <v>20000</v>
      </c>
      <c r="E54" s="469"/>
      <c r="F54" s="342">
        <v>44323</v>
      </c>
      <c r="G54" s="99" t="s">
        <v>6927</v>
      </c>
      <c r="H54" s="328" t="s">
        <v>4937</v>
      </c>
      <c r="I54" s="312">
        <v>250000</v>
      </c>
      <c r="K54" s="342">
        <v>44522</v>
      </c>
      <c r="L54" s="99" t="s">
        <v>7495</v>
      </c>
      <c r="M54" s="328"/>
      <c r="N54" s="312">
        <v>2700673</v>
      </c>
    </row>
    <row r="55" spans="1:14" ht="30" x14ac:dyDescent="0.25">
      <c r="A55" s="342">
        <v>44343</v>
      </c>
      <c r="B55" s="99" t="s">
        <v>7432</v>
      </c>
      <c r="C55" s="328"/>
      <c r="D55" s="15">
        <v>200000</v>
      </c>
      <c r="E55" s="469"/>
      <c r="F55" s="342">
        <v>44327</v>
      </c>
      <c r="G55" s="99" t="s">
        <v>6896</v>
      </c>
      <c r="H55" s="328" t="s">
        <v>4937</v>
      </c>
      <c r="I55" s="312">
        <v>100000</v>
      </c>
      <c r="K55" s="358"/>
      <c r="L55" s="99"/>
      <c r="M55" s="328"/>
      <c r="N55" s="312"/>
    </row>
    <row r="56" spans="1:14" x14ac:dyDescent="0.25">
      <c r="A56" s="342">
        <v>44357</v>
      </c>
      <c r="B56" s="99" t="s">
        <v>6113</v>
      </c>
      <c r="C56" s="305"/>
      <c r="D56" s="15">
        <v>20000</v>
      </c>
      <c r="E56" s="469"/>
      <c r="F56" s="342">
        <v>44393</v>
      </c>
      <c r="G56" s="2" t="s">
        <v>7145</v>
      </c>
      <c r="H56" s="305"/>
      <c r="I56" s="312">
        <v>200000</v>
      </c>
      <c r="K56" s="358"/>
      <c r="L56" s="2"/>
      <c r="M56" s="305"/>
      <c r="N56" s="312"/>
    </row>
    <row r="57" spans="1:14" ht="30" x14ac:dyDescent="0.25">
      <c r="A57" s="342">
        <v>44368</v>
      </c>
      <c r="B57" s="99" t="s">
        <v>6509</v>
      </c>
      <c r="C57" s="305"/>
      <c r="D57" s="15">
        <v>50000</v>
      </c>
      <c r="E57" s="469"/>
      <c r="F57" s="342">
        <v>44460</v>
      </c>
      <c r="G57" s="99" t="s">
        <v>7315</v>
      </c>
      <c r="H57" s="305"/>
      <c r="I57" s="312">
        <v>250000</v>
      </c>
      <c r="K57" s="358"/>
      <c r="L57" s="2"/>
      <c r="M57" s="305"/>
      <c r="N57" s="312"/>
    </row>
    <row r="58" spans="1:14" ht="30" x14ac:dyDescent="0.25">
      <c r="A58" s="342">
        <v>44404</v>
      </c>
      <c r="B58" s="99" t="s">
        <v>6113</v>
      </c>
      <c r="C58" s="305"/>
      <c r="D58" s="15">
        <v>20000</v>
      </c>
      <c r="E58" s="469"/>
      <c r="F58" s="342">
        <v>44460</v>
      </c>
      <c r="G58" s="99" t="s">
        <v>7316</v>
      </c>
      <c r="H58" s="328"/>
      <c r="I58" s="312">
        <v>174000</v>
      </c>
      <c r="K58" s="358"/>
      <c r="L58" s="99"/>
      <c r="M58" s="328"/>
      <c r="N58" s="312"/>
    </row>
    <row r="59" spans="1:14" s="302" customFormat="1" ht="45" x14ac:dyDescent="0.25">
      <c r="A59" s="342">
        <v>44425</v>
      </c>
      <c r="B59" s="99" t="s">
        <v>6113</v>
      </c>
      <c r="C59" s="305"/>
      <c r="D59" s="15">
        <v>20000</v>
      </c>
      <c r="E59" s="470"/>
      <c r="F59" s="342">
        <v>44511</v>
      </c>
      <c r="G59" s="99" t="s">
        <v>7465</v>
      </c>
      <c r="H59" s="431"/>
      <c r="I59" s="367">
        <v>220000</v>
      </c>
      <c r="J59" s="475"/>
      <c r="K59" s="430"/>
      <c r="L59" s="99"/>
      <c r="M59" s="431"/>
      <c r="N59" s="367"/>
    </row>
    <row r="60" spans="1:14" x14ac:dyDescent="0.25">
      <c r="A60" s="342">
        <v>44463</v>
      </c>
      <c r="B60" s="99" t="s">
        <v>6113</v>
      </c>
      <c r="C60" s="305"/>
      <c r="D60" s="15">
        <v>20000</v>
      </c>
      <c r="E60" s="471"/>
      <c r="F60" s="342">
        <v>44513</v>
      </c>
      <c r="G60" s="99" t="s">
        <v>7492</v>
      </c>
      <c r="H60" s="683" t="s">
        <v>7491</v>
      </c>
      <c r="I60" s="367">
        <v>140000</v>
      </c>
      <c r="K60" s="430"/>
      <c r="L60" s="99"/>
      <c r="M60" s="328"/>
      <c r="N60" s="367"/>
    </row>
    <row r="61" spans="1:14" ht="21" customHeight="1" x14ac:dyDescent="0.25">
      <c r="A61" s="342">
        <v>44493</v>
      </c>
      <c r="B61" s="99" t="s">
        <v>6113</v>
      </c>
      <c r="C61" s="305"/>
      <c r="D61" s="15">
        <v>20000</v>
      </c>
      <c r="E61" s="471"/>
      <c r="F61" s="342">
        <v>44513</v>
      </c>
      <c r="G61" s="99" t="s">
        <v>7493</v>
      </c>
      <c r="H61" s="328">
        <v>1669777562</v>
      </c>
      <c r="I61" s="367">
        <v>250000</v>
      </c>
      <c r="K61" s="430"/>
      <c r="L61" s="99"/>
      <c r="M61" s="328"/>
      <c r="N61" s="367"/>
    </row>
    <row r="62" spans="1:14" ht="30" x14ac:dyDescent="0.25">
      <c r="A62" s="342">
        <v>44565</v>
      </c>
      <c r="B62" s="99" t="s">
        <v>7619</v>
      </c>
      <c r="C62" s="305"/>
      <c r="D62" s="15">
        <v>40000</v>
      </c>
      <c r="E62" s="471"/>
      <c r="F62" s="342">
        <v>44513</v>
      </c>
      <c r="G62" s="99" t="s">
        <v>7493</v>
      </c>
      <c r="H62" s="305">
        <v>1669777563</v>
      </c>
      <c r="I62" s="367">
        <v>250000</v>
      </c>
      <c r="K62" s="342"/>
      <c r="L62" s="99"/>
      <c r="M62" s="305"/>
      <c r="N62" s="15"/>
    </row>
    <row r="63" spans="1:14" ht="45" x14ac:dyDescent="0.25">
      <c r="A63" s="342" t="s">
        <v>7725</v>
      </c>
      <c r="B63" s="711" t="s">
        <v>7787</v>
      </c>
      <c r="C63" s="712"/>
      <c r="D63" s="712">
        <v>500000</v>
      </c>
      <c r="E63" s="471"/>
      <c r="F63" s="342">
        <v>44522</v>
      </c>
      <c r="G63" s="99" t="s">
        <v>7568</v>
      </c>
      <c r="H63" s="305">
        <v>1815879090</v>
      </c>
      <c r="I63" s="15">
        <v>0</v>
      </c>
      <c r="K63" s="342"/>
      <c r="L63" s="99"/>
      <c r="M63" s="305"/>
      <c r="N63" s="15"/>
    </row>
    <row r="64" spans="1:14" ht="30" x14ac:dyDescent="0.25">
      <c r="A64" s="342">
        <v>44634</v>
      </c>
      <c r="B64" s="711" t="s">
        <v>7842</v>
      </c>
      <c r="C64" s="712"/>
      <c r="D64" s="712">
        <v>500000</v>
      </c>
      <c r="E64" s="471"/>
      <c r="F64" s="342">
        <v>44522</v>
      </c>
      <c r="G64" s="99" t="s">
        <v>7569</v>
      </c>
      <c r="H64" s="305">
        <v>1815879091</v>
      </c>
      <c r="I64" s="15">
        <v>0</v>
      </c>
      <c r="K64" s="342"/>
      <c r="L64" s="99"/>
      <c r="M64" s="305"/>
      <c r="N64" s="15"/>
    </row>
    <row r="65" spans="1:14" ht="60" x14ac:dyDescent="0.25">
      <c r="A65" s="342">
        <v>44634</v>
      </c>
      <c r="B65" s="711" t="s">
        <v>7727</v>
      </c>
      <c r="C65" s="712"/>
      <c r="D65" s="712">
        <v>250000</v>
      </c>
      <c r="E65" s="471"/>
      <c r="F65" s="342">
        <v>44522</v>
      </c>
      <c r="G65" s="99" t="s">
        <v>7517</v>
      </c>
      <c r="H65" s="305"/>
      <c r="I65" s="15">
        <v>600000</v>
      </c>
      <c r="K65" s="342"/>
      <c r="L65" s="99"/>
      <c r="M65" s="305"/>
      <c r="N65" s="15"/>
    </row>
    <row r="66" spans="1:14" ht="60" x14ac:dyDescent="0.25">
      <c r="A66" s="342">
        <v>44634</v>
      </c>
      <c r="B66" s="711" t="s">
        <v>7728</v>
      </c>
      <c r="C66" s="712"/>
      <c r="D66" s="712">
        <v>250000</v>
      </c>
      <c r="E66" s="471"/>
      <c r="F66" s="342">
        <v>44579</v>
      </c>
      <c r="G66" s="99" t="s">
        <v>7621</v>
      </c>
      <c r="H66" s="305">
        <v>1830075538</v>
      </c>
      <c r="I66" s="15">
        <v>250000</v>
      </c>
      <c r="K66" s="342"/>
      <c r="L66" s="99"/>
      <c r="M66" s="305"/>
      <c r="N66" s="15"/>
    </row>
    <row r="67" spans="1:14" ht="30" x14ac:dyDescent="0.25">
      <c r="A67" s="342">
        <v>44634</v>
      </c>
      <c r="B67" s="711" t="s">
        <v>7726</v>
      </c>
      <c r="C67" s="712"/>
      <c r="D67" s="712">
        <v>500000</v>
      </c>
      <c r="E67" s="471"/>
      <c r="F67" s="342">
        <v>44579</v>
      </c>
      <c r="G67" s="99" t="s">
        <v>7621</v>
      </c>
      <c r="H67" s="305">
        <v>1830075539</v>
      </c>
      <c r="I67" s="15">
        <v>250000</v>
      </c>
      <c r="K67" s="342"/>
      <c r="L67" s="99"/>
      <c r="M67" s="305"/>
      <c r="N67" s="15"/>
    </row>
    <row r="68" spans="1:14" x14ac:dyDescent="0.25">
      <c r="A68" s="342">
        <v>44662</v>
      </c>
      <c r="B68" s="2" t="s">
        <v>7801</v>
      </c>
      <c r="C68" s="305"/>
      <c r="D68" s="15">
        <v>200000</v>
      </c>
      <c r="E68" s="471"/>
      <c r="F68" s="342">
        <v>44579</v>
      </c>
      <c r="G68" s="99" t="s">
        <v>7621</v>
      </c>
      <c r="H68" s="305">
        <v>1830075540</v>
      </c>
      <c r="I68" s="15">
        <v>250000</v>
      </c>
      <c r="K68" s="342"/>
      <c r="L68" s="99"/>
      <c r="M68" s="305"/>
      <c r="N68" s="15"/>
    </row>
    <row r="69" spans="1:14" ht="30" x14ac:dyDescent="0.25">
      <c r="A69" s="342">
        <v>44669</v>
      </c>
      <c r="B69" s="711" t="s">
        <v>7808</v>
      </c>
      <c r="C69" s="712"/>
      <c r="D69" s="712">
        <v>300000</v>
      </c>
      <c r="E69" s="471"/>
      <c r="F69" s="342">
        <v>44579</v>
      </c>
      <c r="G69" s="99" t="s">
        <v>7621</v>
      </c>
      <c r="H69" s="305">
        <v>1830075541</v>
      </c>
      <c r="I69" s="15">
        <v>250000</v>
      </c>
      <c r="K69" s="342"/>
      <c r="L69" s="99"/>
      <c r="M69" s="305"/>
      <c r="N69" s="15"/>
    </row>
    <row r="70" spans="1:14" ht="28.9" customHeight="1" x14ac:dyDescent="0.25">
      <c r="A70" s="342">
        <v>44579</v>
      </c>
      <c r="B70" s="99" t="s">
        <v>7821</v>
      </c>
      <c r="C70" s="305"/>
      <c r="D70" s="15">
        <v>20000</v>
      </c>
      <c r="E70" s="471"/>
      <c r="F70" s="342">
        <v>44522</v>
      </c>
      <c r="G70" s="99" t="s">
        <v>7518</v>
      </c>
      <c r="H70" s="305"/>
      <c r="I70" s="15">
        <v>-24920</v>
      </c>
      <c r="K70" s="342"/>
      <c r="L70" s="99"/>
      <c r="M70" s="305"/>
      <c r="N70" s="15"/>
    </row>
    <row r="71" spans="1:14" ht="28.9" customHeight="1" x14ac:dyDescent="0.25">
      <c r="A71" s="342">
        <v>44610</v>
      </c>
      <c r="B71" s="99" t="s">
        <v>7822</v>
      </c>
      <c r="C71" s="96"/>
      <c r="D71" s="15">
        <v>20000</v>
      </c>
      <c r="E71" s="471"/>
      <c r="F71" s="688"/>
      <c r="G71" s="255"/>
      <c r="H71" s="359"/>
      <c r="I71" s="689"/>
      <c r="K71" s="342"/>
      <c r="L71" s="99"/>
      <c r="M71" s="305"/>
      <c r="N71" s="15"/>
    </row>
    <row r="72" spans="1:14" ht="28.9" customHeight="1" x14ac:dyDescent="0.25">
      <c r="A72" s="342">
        <v>44638</v>
      </c>
      <c r="B72" s="99" t="s">
        <v>7823</v>
      </c>
      <c r="C72" s="96"/>
      <c r="D72" s="15">
        <v>20000</v>
      </c>
      <c r="E72" s="471"/>
      <c r="F72" s="688"/>
      <c r="G72" s="255"/>
      <c r="H72" s="359"/>
      <c r="I72" s="689"/>
      <c r="K72" s="342"/>
      <c r="L72" s="99"/>
      <c r="M72" s="305"/>
      <c r="N72" s="15"/>
    </row>
    <row r="73" spans="1:14" ht="28.9" customHeight="1" x14ac:dyDescent="0.25">
      <c r="A73" s="342">
        <v>44681</v>
      </c>
      <c r="B73" s="99" t="s">
        <v>7867</v>
      </c>
      <c r="C73" s="15"/>
      <c r="D73" s="15">
        <v>20000</v>
      </c>
      <c r="E73" s="471"/>
      <c r="F73" s="688"/>
      <c r="G73" s="255"/>
      <c r="H73" s="359"/>
      <c r="I73" s="689"/>
      <c r="K73" s="342"/>
      <c r="L73" s="99"/>
      <c r="M73" s="305"/>
      <c r="N73" s="15"/>
    </row>
    <row r="74" spans="1:14" ht="29.25" customHeight="1" x14ac:dyDescent="0.25">
      <c r="A74" s="342">
        <v>44687</v>
      </c>
      <c r="B74" s="714" t="s">
        <v>7883</v>
      </c>
      <c r="C74" s="715"/>
      <c r="D74" s="715">
        <v>900000</v>
      </c>
      <c r="E74" s="471"/>
      <c r="F74" s="688"/>
      <c r="G74" s="255"/>
      <c r="H74" s="359"/>
      <c r="I74" s="689"/>
      <c r="K74" s="342"/>
      <c r="L74" s="99"/>
      <c r="M74" s="305"/>
      <c r="N74" s="15"/>
    </row>
    <row r="75" spans="1:14" ht="29.25" customHeight="1" x14ac:dyDescent="0.25">
      <c r="A75" s="342">
        <v>44728</v>
      </c>
      <c r="B75" s="99" t="s">
        <v>7966</v>
      </c>
      <c r="C75" s="96"/>
      <c r="D75" s="96">
        <v>40000</v>
      </c>
      <c r="E75" s="472"/>
      <c r="F75" s="688"/>
      <c r="G75" s="255"/>
      <c r="H75" s="359"/>
      <c r="I75" s="689"/>
      <c r="K75" s="688"/>
      <c r="L75" s="255"/>
      <c r="M75" s="359"/>
      <c r="N75" s="689"/>
    </row>
    <row r="76" spans="1:14" ht="29.25" customHeight="1" x14ac:dyDescent="0.25">
      <c r="A76" s="342">
        <v>44742</v>
      </c>
      <c r="B76" s="99" t="s">
        <v>8010</v>
      </c>
      <c r="C76" s="96"/>
      <c r="D76" s="96">
        <v>35000</v>
      </c>
      <c r="E76" s="472"/>
      <c r="F76" s="688"/>
      <c r="G76" s="255"/>
      <c r="H76" s="359"/>
      <c r="I76" s="689"/>
      <c r="K76" s="688"/>
      <c r="L76" s="255"/>
      <c r="M76" s="359"/>
      <c r="N76" s="689"/>
    </row>
    <row r="77" spans="1:14" ht="29.25" customHeight="1" x14ac:dyDescent="0.25">
      <c r="A77" s="342">
        <v>44790</v>
      </c>
      <c r="B77" s="99" t="s">
        <v>8146</v>
      </c>
      <c r="C77" s="96"/>
      <c r="D77" s="96">
        <v>40000</v>
      </c>
      <c r="E77" s="472"/>
      <c r="F77" s="688"/>
      <c r="G77" s="255"/>
      <c r="H77" s="359"/>
      <c r="I77" s="689"/>
      <c r="K77" s="688"/>
      <c r="L77" s="255"/>
      <c r="M77" s="359"/>
      <c r="N77" s="689"/>
    </row>
    <row r="78" spans="1:14" ht="29.25" customHeight="1" x14ac:dyDescent="0.25">
      <c r="A78" s="342">
        <v>44838</v>
      </c>
      <c r="B78" s="99" t="s">
        <v>8402</v>
      </c>
      <c r="C78" s="96"/>
      <c r="D78" s="96">
        <v>40000</v>
      </c>
      <c r="E78" s="472"/>
      <c r="F78" s="688"/>
      <c r="G78" s="255"/>
      <c r="H78" s="359"/>
      <c r="I78" s="689"/>
      <c r="K78" s="688"/>
      <c r="L78" s="255"/>
      <c r="M78" s="359"/>
      <c r="N78" s="689"/>
    </row>
    <row r="79" spans="1:14" ht="19.5" thickBot="1" x14ac:dyDescent="0.35">
      <c r="A79" s="1302" t="s">
        <v>4596</v>
      </c>
      <c r="B79" s="1302"/>
      <c r="C79" s="1302"/>
      <c r="D79" s="205">
        <f>SUM(D51:D78)</f>
        <v>4135000</v>
      </c>
      <c r="E79" s="472"/>
      <c r="F79" s="1303" t="s">
        <v>4596</v>
      </c>
      <c r="G79" s="1303"/>
      <c r="H79" s="1304"/>
      <c r="I79" s="205">
        <f>SUM(I51:I78)</f>
        <v>4012280</v>
      </c>
      <c r="K79" s="1303" t="s">
        <v>4596</v>
      </c>
      <c r="L79" s="1303"/>
      <c r="M79" s="1304"/>
      <c r="N79" s="205">
        <f>SUM(N51:N78)</f>
        <v>4012280</v>
      </c>
    </row>
    <row r="82" spans="1:14" ht="27.75" customHeight="1" x14ac:dyDescent="0.25">
      <c r="A82" s="1316" t="s">
        <v>7091</v>
      </c>
      <c r="B82" s="1316"/>
      <c r="C82" s="1316"/>
      <c r="D82" s="1316"/>
      <c r="E82" s="1316"/>
      <c r="F82" s="1316"/>
      <c r="G82" s="1316"/>
      <c r="H82" s="1316"/>
      <c r="I82" s="1316"/>
      <c r="J82" s="1316"/>
      <c r="K82" s="1316"/>
      <c r="L82" s="1316"/>
      <c r="M82" s="1316"/>
      <c r="N82" s="1316"/>
    </row>
    <row r="83" spans="1:14" ht="15" customHeight="1" x14ac:dyDescent="0.25">
      <c r="A83" s="1317" t="s">
        <v>7092</v>
      </c>
      <c r="B83" s="1317"/>
      <c r="C83" s="1317"/>
      <c r="D83" s="1317"/>
      <c r="E83" s="1317"/>
      <c r="F83" s="1317"/>
      <c r="G83" s="1317"/>
      <c r="H83" s="1317"/>
      <c r="I83" s="1317"/>
      <c r="J83" s="1317"/>
      <c r="K83" s="1317"/>
      <c r="L83" s="1317"/>
      <c r="M83" s="1317"/>
      <c r="N83" s="1317"/>
    </row>
    <row r="84" spans="1:14" ht="15" customHeight="1" x14ac:dyDescent="0.25">
      <c r="A84" s="1317"/>
      <c r="B84" s="1317"/>
      <c r="C84" s="1317"/>
      <c r="D84" s="1317"/>
      <c r="E84" s="1317"/>
      <c r="F84" s="1317"/>
      <c r="G84" s="1317"/>
      <c r="H84" s="1317"/>
      <c r="I84" s="1317"/>
      <c r="J84" s="1317"/>
      <c r="K84" s="1317"/>
      <c r="L84" s="1317"/>
      <c r="M84" s="1317"/>
      <c r="N84" s="1317"/>
    </row>
    <row r="85" spans="1:14" ht="14.45" customHeight="1" x14ac:dyDescent="0.25">
      <c r="A85" s="1305" t="s">
        <v>1894</v>
      </c>
      <c r="B85" s="1306"/>
      <c r="C85" s="1306"/>
      <c r="D85" s="1307"/>
      <c r="E85" s="463"/>
      <c r="F85" s="1314" t="s">
        <v>4751</v>
      </c>
      <c r="G85" s="1314"/>
      <c r="H85" s="1314"/>
      <c r="I85" s="1314"/>
      <c r="K85" s="1315" t="s">
        <v>1202</v>
      </c>
      <c r="L85" s="1315"/>
      <c r="M85" s="1315"/>
      <c r="N85" s="1315"/>
    </row>
    <row r="86" spans="1:14" ht="14.45" customHeight="1" x14ac:dyDescent="0.25">
      <c r="A86" s="1308"/>
      <c r="B86" s="1309"/>
      <c r="C86" s="1309"/>
      <c r="D86" s="1310"/>
      <c r="E86" s="464"/>
      <c r="F86" s="1314"/>
      <c r="G86" s="1314"/>
      <c r="H86" s="1314"/>
      <c r="I86" s="1314"/>
      <c r="K86" s="1315"/>
      <c r="L86" s="1315"/>
      <c r="M86" s="1315"/>
      <c r="N86" s="1315"/>
    </row>
    <row r="87" spans="1:14" ht="14.45" customHeight="1" x14ac:dyDescent="0.25">
      <c r="A87" s="1311"/>
      <c r="B87" s="1312"/>
      <c r="C87" s="1312"/>
      <c r="D87" s="1313"/>
      <c r="E87" s="465"/>
      <c r="F87" s="1314"/>
      <c r="G87" s="1314"/>
      <c r="H87" s="1314"/>
      <c r="I87" s="1314"/>
      <c r="K87" s="1315"/>
      <c r="L87" s="1315"/>
      <c r="M87" s="1315"/>
      <c r="N87" s="1315"/>
    </row>
    <row r="88" spans="1:14" ht="27" thickBot="1" x14ac:dyDescent="0.3">
      <c r="A88" s="1296" t="s">
        <v>4590</v>
      </c>
      <c r="B88" s="1297"/>
      <c r="C88" s="1297"/>
      <c r="D88" s="1298"/>
      <c r="E88" s="466"/>
      <c r="F88" s="1299" t="s">
        <v>4590</v>
      </c>
      <c r="G88" s="1300"/>
      <c r="H88" s="1300"/>
      <c r="I88" s="1301"/>
      <c r="K88" s="1299" t="s">
        <v>4590</v>
      </c>
      <c r="L88" s="1300"/>
      <c r="M88" s="1300"/>
      <c r="N88" s="1301"/>
    </row>
    <row r="89" spans="1:14" ht="21" x14ac:dyDescent="0.25">
      <c r="A89" s="309" t="s">
        <v>0</v>
      </c>
      <c r="B89" s="308" t="s">
        <v>2</v>
      </c>
      <c r="C89" s="308" t="s">
        <v>3952</v>
      </c>
      <c r="D89" s="310" t="s">
        <v>4591</v>
      </c>
      <c r="E89" s="467"/>
      <c r="F89" s="309" t="s">
        <v>0</v>
      </c>
      <c r="G89" s="308" t="s">
        <v>2</v>
      </c>
      <c r="H89" s="308" t="s">
        <v>3952</v>
      </c>
      <c r="I89" s="310" t="s">
        <v>4591</v>
      </c>
      <c r="K89" s="309" t="s">
        <v>0</v>
      </c>
      <c r="L89" s="308" t="s">
        <v>2</v>
      </c>
      <c r="M89" s="308" t="s">
        <v>3952</v>
      </c>
      <c r="N89" s="310" t="s">
        <v>4591</v>
      </c>
    </row>
    <row r="90" spans="1:14" x14ac:dyDescent="0.25">
      <c r="A90" s="342">
        <v>44837</v>
      </c>
      <c r="B90" s="99" t="s">
        <v>8434</v>
      </c>
      <c r="C90" s="305"/>
      <c r="D90" s="15">
        <v>125000</v>
      </c>
      <c r="E90" s="468"/>
      <c r="F90" s="342">
        <v>44523</v>
      </c>
      <c r="G90" s="99" t="s">
        <v>7519</v>
      </c>
      <c r="H90" s="328"/>
      <c r="I90" s="312">
        <v>24920</v>
      </c>
      <c r="K90" s="430">
        <v>45022</v>
      </c>
      <c r="L90" s="713" t="s">
        <v>9600</v>
      </c>
      <c r="M90" s="950">
        <v>1940090971</v>
      </c>
      <c r="N90" s="120">
        <v>500000</v>
      </c>
    </row>
    <row r="91" spans="1:14" x14ac:dyDescent="0.25">
      <c r="A91" s="342">
        <v>44899</v>
      </c>
      <c r="B91" s="99" t="s">
        <v>8829</v>
      </c>
      <c r="C91" s="305"/>
      <c r="D91" s="15">
        <v>40000</v>
      </c>
      <c r="E91" s="469"/>
      <c r="F91" s="342">
        <v>44677</v>
      </c>
      <c r="G91" s="99" t="s">
        <v>7848</v>
      </c>
      <c r="H91" s="328"/>
      <c r="I91" s="15">
        <v>500000</v>
      </c>
      <c r="K91" s="430">
        <v>44991</v>
      </c>
      <c r="L91" s="713" t="s">
        <v>9644</v>
      </c>
      <c r="M91" s="328">
        <v>1669777568</v>
      </c>
      <c r="N91" s="15">
        <v>1500000</v>
      </c>
    </row>
    <row r="92" spans="1:14" ht="30" x14ac:dyDescent="0.25">
      <c r="A92" s="342">
        <v>44974</v>
      </c>
      <c r="B92" s="99" t="s">
        <v>9352</v>
      </c>
      <c r="C92" s="305"/>
      <c r="D92" s="15">
        <v>100000</v>
      </c>
      <c r="E92" s="469"/>
      <c r="F92" s="342">
        <v>44762</v>
      </c>
      <c r="G92" s="99" t="s">
        <v>8166</v>
      </c>
      <c r="H92" s="328"/>
      <c r="I92" s="15">
        <v>500000</v>
      </c>
      <c r="K92" s="430">
        <v>45034</v>
      </c>
      <c r="L92" s="99" t="s">
        <v>9681</v>
      </c>
      <c r="M92" s="328"/>
      <c r="N92" s="312">
        <v>500000</v>
      </c>
    </row>
    <row r="93" spans="1:14" x14ac:dyDescent="0.25">
      <c r="A93" s="342">
        <v>44965</v>
      </c>
      <c r="B93" s="99" t="s">
        <v>9385</v>
      </c>
      <c r="C93" s="305"/>
      <c r="D93" s="15">
        <v>40000</v>
      </c>
      <c r="E93" s="469"/>
      <c r="F93" s="342">
        <v>44895</v>
      </c>
      <c r="G93" s="99" t="s">
        <v>6927</v>
      </c>
      <c r="H93" s="328"/>
      <c r="I93" s="312">
        <v>250000</v>
      </c>
      <c r="K93" s="430">
        <v>45069</v>
      </c>
      <c r="L93" s="99" t="s">
        <v>9944</v>
      </c>
      <c r="M93" s="328"/>
      <c r="N93" s="312">
        <v>2031779</v>
      </c>
    </row>
    <row r="94" spans="1:14" ht="45" x14ac:dyDescent="0.25">
      <c r="A94" s="342">
        <v>45024</v>
      </c>
      <c r="B94" s="99" t="s">
        <v>9801</v>
      </c>
      <c r="C94" s="305"/>
      <c r="D94" s="15">
        <v>40000</v>
      </c>
      <c r="E94" s="469"/>
      <c r="F94" s="430">
        <v>44937</v>
      </c>
      <c r="G94" s="713" t="s">
        <v>9014</v>
      </c>
      <c r="H94" s="758"/>
      <c r="I94" s="782">
        <v>725080</v>
      </c>
      <c r="K94" s="358"/>
      <c r="L94" s="99"/>
      <c r="M94" s="328"/>
      <c r="N94" s="312"/>
    </row>
    <row r="95" spans="1:14" x14ac:dyDescent="0.25">
      <c r="A95" s="342">
        <v>44990</v>
      </c>
      <c r="B95" s="99" t="s">
        <v>8434</v>
      </c>
      <c r="C95" s="305"/>
      <c r="D95" s="15">
        <v>65000</v>
      </c>
      <c r="E95" s="469"/>
      <c r="F95" s="430">
        <v>44967</v>
      </c>
      <c r="G95" s="2" t="s">
        <v>9316</v>
      </c>
      <c r="H95" s="305"/>
      <c r="I95" s="312">
        <v>102000</v>
      </c>
      <c r="K95" s="358"/>
      <c r="L95" s="2"/>
      <c r="M95" s="305"/>
      <c r="N95" s="312"/>
    </row>
    <row r="96" spans="1:14" x14ac:dyDescent="0.25">
      <c r="A96" s="342">
        <v>45011</v>
      </c>
      <c r="B96" s="2" t="s">
        <v>9948</v>
      </c>
      <c r="C96" s="305"/>
      <c r="D96" s="15">
        <v>100000</v>
      </c>
      <c r="E96" s="469"/>
      <c r="F96" s="430">
        <v>44981</v>
      </c>
      <c r="G96" s="2" t="s">
        <v>9541</v>
      </c>
      <c r="H96" s="305"/>
      <c r="I96" s="312">
        <v>100000</v>
      </c>
      <c r="K96" s="358"/>
      <c r="L96" s="2"/>
      <c r="M96" s="305"/>
      <c r="N96" s="312"/>
    </row>
    <row r="97" spans="1:14" x14ac:dyDescent="0.25">
      <c r="A97" s="342">
        <v>45009</v>
      </c>
      <c r="B97" s="99" t="s">
        <v>10285</v>
      </c>
      <c r="C97" s="305"/>
      <c r="D97" s="15">
        <v>40000</v>
      </c>
      <c r="E97" s="469"/>
      <c r="F97" s="430">
        <v>45007</v>
      </c>
      <c r="G97" s="2" t="s">
        <v>9542</v>
      </c>
      <c r="H97" s="328"/>
      <c r="I97" s="312">
        <v>500000</v>
      </c>
      <c r="K97" s="358"/>
      <c r="L97" s="99"/>
      <c r="M97" s="328"/>
      <c r="N97" s="312"/>
    </row>
    <row r="98" spans="1:14" s="1060" customFormat="1" ht="45" x14ac:dyDescent="0.25">
      <c r="A98" s="342">
        <v>45137</v>
      </c>
      <c r="B98" s="99" t="s">
        <v>10595</v>
      </c>
      <c r="C98" s="96"/>
      <c r="D98" s="96">
        <v>100000</v>
      </c>
      <c r="E98" s="1058"/>
      <c r="F98" s="430">
        <v>45030</v>
      </c>
      <c r="G98" s="119" t="s">
        <v>9542</v>
      </c>
      <c r="H98" s="431"/>
      <c r="I98" s="367">
        <v>100000</v>
      </c>
      <c r="J98" s="1059"/>
      <c r="K98" s="430"/>
      <c r="L98" s="713"/>
      <c r="M98" s="431"/>
      <c r="N98" s="367"/>
    </row>
    <row r="99" spans="1:14" ht="45" x14ac:dyDescent="0.25">
      <c r="A99" s="430">
        <v>45146</v>
      </c>
      <c r="B99" s="713" t="s">
        <v>10595</v>
      </c>
      <c r="C99" s="305"/>
      <c r="D99" s="15">
        <v>50000</v>
      </c>
      <c r="E99" s="470"/>
      <c r="F99" s="430">
        <v>45033</v>
      </c>
      <c r="G99" s="99" t="s">
        <v>9680</v>
      </c>
      <c r="H99" s="328"/>
      <c r="I99" s="367">
        <v>490000</v>
      </c>
      <c r="K99" s="430"/>
      <c r="L99" s="99"/>
      <c r="M99" s="328"/>
      <c r="N99" s="367"/>
    </row>
    <row r="100" spans="1:14" ht="45" x14ac:dyDescent="0.25">
      <c r="A100" s="430">
        <v>45225</v>
      </c>
      <c r="B100" s="713" t="s">
        <v>11454</v>
      </c>
      <c r="C100" s="431"/>
      <c r="D100" s="367">
        <v>2352000</v>
      </c>
      <c r="E100" s="471"/>
      <c r="F100" s="430">
        <v>45034</v>
      </c>
      <c r="G100" s="99" t="s">
        <v>10774</v>
      </c>
      <c r="H100" s="328"/>
      <c r="I100" s="367">
        <v>500000</v>
      </c>
      <c r="K100" s="430"/>
      <c r="L100" s="99"/>
      <c r="M100" s="328"/>
      <c r="N100" s="367"/>
    </row>
    <row r="101" spans="1:14" ht="30" x14ac:dyDescent="0.25">
      <c r="A101" s="430">
        <v>45244</v>
      </c>
      <c r="B101" s="99" t="s">
        <v>11660</v>
      </c>
      <c r="C101" s="328"/>
      <c r="D101" s="782">
        <v>100000</v>
      </c>
      <c r="E101" s="471"/>
      <c r="F101" s="430">
        <v>45084</v>
      </c>
      <c r="G101" s="2" t="s">
        <v>9542</v>
      </c>
      <c r="H101" s="305"/>
      <c r="I101" s="15">
        <v>100000</v>
      </c>
      <c r="K101" s="342"/>
      <c r="L101" s="99"/>
      <c r="M101" s="305"/>
      <c r="N101" s="15"/>
    </row>
    <row r="102" spans="1:14" ht="30" x14ac:dyDescent="0.25">
      <c r="A102" s="430">
        <v>45277</v>
      </c>
      <c r="B102" s="99" t="s">
        <v>11703</v>
      </c>
      <c r="C102" s="15"/>
      <c r="D102" s="15">
        <v>1500000</v>
      </c>
      <c r="E102" s="471"/>
      <c r="F102" s="430">
        <v>45090</v>
      </c>
      <c r="G102" s="2" t="s">
        <v>9542</v>
      </c>
      <c r="H102" s="305"/>
      <c r="I102" s="15">
        <v>39000</v>
      </c>
      <c r="K102" s="342"/>
      <c r="L102" s="99"/>
      <c r="M102" s="305"/>
      <c r="N102" s="15"/>
    </row>
    <row r="103" spans="1:14" ht="45" x14ac:dyDescent="0.25">
      <c r="A103" s="430">
        <v>45322</v>
      </c>
      <c r="B103" s="99" t="s">
        <v>12379</v>
      </c>
      <c r="C103" s="328"/>
      <c r="D103" s="782">
        <v>25000</v>
      </c>
      <c r="E103" s="471"/>
      <c r="F103" s="430">
        <v>45096</v>
      </c>
      <c r="G103" s="2" t="s">
        <v>9542</v>
      </c>
      <c r="H103" s="305"/>
      <c r="I103" s="15">
        <v>150000</v>
      </c>
      <c r="K103" s="342"/>
      <c r="L103" s="99"/>
      <c r="M103" s="305"/>
      <c r="N103" s="15"/>
    </row>
    <row r="104" spans="1:14" x14ac:dyDescent="0.25">
      <c r="A104" s="430"/>
      <c r="B104" s="99"/>
      <c r="C104" s="15"/>
      <c r="D104" s="15"/>
      <c r="E104" s="471"/>
      <c r="F104" s="430">
        <v>45101</v>
      </c>
      <c r="G104" s="2" t="s">
        <v>9542</v>
      </c>
      <c r="H104" s="305"/>
      <c r="I104" s="15">
        <v>450000</v>
      </c>
      <c r="K104" s="342"/>
      <c r="L104" s="99"/>
      <c r="M104" s="305"/>
      <c r="N104" s="15"/>
    </row>
    <row r="105" spans="1:14" x14ac:dyDescent="0.25">
      <c r="A105" s="342"/>
      <c r="B105" s="99"/>
      <c r="C105" s="15"/>
      <c r="D105" s="15"/>
      <c r="E105" s="471"/>
      <c r="F105" s="342"/>
      <c r="G105" s="99"/>
      <c r="H105" s="305"/>
      <c r="I105" s="15"/>
      <c r="K105" s="342"/>
      <c r="L105" s="99"/>
      <c r="M105" s="305"/>
      <c r="N105" s="15"/>
    </row>
    <row r="106" spans="1:14" x14ac:dyDescent="0.25">
      <c r="A106" s="342"/>
      <c r="B106" s="99"/>
      <c r="C106" s="15"/>
      <c r="D106" s="15"/>
      <c r="E106" s="471"/>
      <c r="F106" s="342"/>
      <c r="G106" s="99"/>
      <c r="H106" s="305"/>
      <c r="I106" s="15"/>
      <c r="K106" s="342"/>
      <c r="L106" s="99"/>
      <c r="M106" s="305"/>
      <c r="N106" s="15"/>
    </row>
    <row r="107" spans="1:14" ht="28.9" customHeight="1" x14ac:dyDescent="0.25">
      <c r="A107" s="342"/>
      <c r="B107" s="99"/>
      <c r="C107" s="15"/>
      <c r="D107" s="15"/>
      <c r="E107" s="471"/>
      <c r="F107" s="342"/>
      <c r="G107" s="99"/>
      <c r="H107" s="305"/>
      <c r="I107" s="15"/>
      <c r="K107" s="342"/>
      <c r="L107" s="99"/>
      <c r="M107" s="305"/>
      <c r="N107" s="15"/>
    </row>
    <row r="108" spans="1:14" x14ac:dyDescent="0.25">
      <c r="A108" s="342"/>
      <c r="B108" s="99"/>
      <c r="C108" s="15"/>
      <c r="D108" s="15"/>
      <c r="E108" s="471"/>
      <c r="F108" s="342"/>
      <c r="G108" s="99"/>
      <c r="H108" s="305"/>
      <c r="I108" s="15"/>
      <c r="K108" s="342"/>
      <c r="L108" s="99"/>
      <c r="M108" s="305"/>
      <c r="N108" s="15"/>
    </row>
    <row r="109" spans="1:14" ht="19.5" thickBot="1" x14ac:dyDescent="0.35">
      <c r="A109" s="1302" t="s">
        <v>4596</v>
      </c>
      <c r="B109" s="1302"/>
      <c r="C109" s="1302"/>
      <c r="D109" s="205">
        <f>SUM(D90:D108)</f>
        <v>4677000</v>
      </c>
      <c r="E109" s="472"/>
      <c r="F109" s="1303" t="s">
        <v>4596</v>
      </c>
      <c r="G109" s="1303"/>
      <c r="H109" s="1304"/>
      <c r="I109" s="429">
        <f>SUM(I90:I107)</f>
        <v>4531000</v>
      </c>
      <c r="K109" s="1303" t="s">
        <v>4596</v>
      </c>
      <c r="L109" s="1303"/>
      <c r="M109" s="1304"/>
      <c r="N109" s="429">
        <f>SUM(N90:N107)</f>
        <v>4531779</v>
      </c>
    </row>
    <row r="112" spans="1:14" ht="27.75" customHeight="1" x14ac:dyDescent="0.25">
      <c r="A112" s="1316" t="s">
        <v>10437</v>
      </c>
      <c r="B112" s="1316"/>
      <c r="C112" s="1316"/>
      <c r="D112" s="1316"/>
      <c r="E112" s="1316"/>
      <c r="F112" s="1316"/>
      <c r="G112" s="1316"/>
      <c r="H112" s="1316"/>
      <c r="I112" s="1316"/>
      <c r="J112" s="1316"/>
      <c r="K112" s="1316"/>
      <c r="L112" s="1316"/>
      <c r="M112" s="1316"/>
      <c r="N112" s="1316"/>
    </row>
    <row r="113" spans="1:14" ht="15" customHeight="1" x14ac:dyDescent="0.25">
      <c r="A113" s="1317" t="s">
        <v>10438</v>
      </c>
      <c r="B113" s="1317"/>
      <c r="C113" s="1317"/>
      <c r="D113" s="1317"/>
      <c r="E113" s="1317"/>
      <c r="F113" s="1317"/>
      <c r="G113" s="1317"/>
      <c r="H113" s="1317"/>
      <c r="I113" s="1317"/>
      <c r="J113" s="1317"/>
      <c r="K113" s="1317"/>
      <c r="L113" s="1317"/>
      <c r="M113" s="1317"/>
      <c r="N113" s="1317"/>
    </row>
    <row r="114" spans="1:14" ht="15" customHeight="1" x14ac:dyDescent="0.25">
      <c r="A114" s="1317"/>
      <c r="B114" s="1317"/>
      <c r="C114" s="1317"/>
      <c r="D114" s="1317"/>
      <c r="E114" s="1317"/>
      <c r="F114" s="1317"/>
      <c r="G114" s="1317"/>
      <c r="H114" s="1317"/>
      <c r="I114" s="1317"/>
      <c r="J114" s="1317"/>
      <c r="K114" s="1317"/>
      <c r="L114" s="1317"/>
      <c r="M114" s="1317"/>
      <c r="N114" s="1317"/>
    </row>
    <row r="115" spans="1:14" ht="14.45" customHeight="1" x14ac:dyDescent="0.25">
      <c r="A115" s="1305" t="s">
        <v>1894</v>
      </c>
      <c r="B115" s="1306"/>
      <c r="C115" s="1306"/>
      <c r="D115" s="1307"/>
      <c r="E115" s="463"/>
      <c r="F115" s="1314" t="s">
        <v>4751</v>
      </c>
      <c r="G115" s="1314"/>
      <c r="H115" s="1314"/>
      <c r="I115" s="1314"/>
      <c r="K115" s="1315" t="s">
        <v>1202</v>
      </c>
      <c r="L115" s="1315"/>
      <c r="M115" s="1315"/>
      <c r="N115" s="1315"/>
    </row>
    <row r="116" spans="1:14" ht="14.45" customHeight="1" x14ac:dyDescent="0.25">
      <c r="A116" s="1308"/>
      <c r="B116" s="1309"/>
      <c r="C116" s="1309"/>
      <c r="D116" s="1310"/>
      <c r="E116" s="464"/>
      <c r="F116" s="1314"/>
      <c r="G116" s="1314"/>
      <c r="H116" s="1314"/>
      <c r="I116" s="1314"/>
      <c r="K116" s="1315"/>
      <c r="L116" s="1315"/>
      <c r="M116" s="1315"/>
      <c r="N116" s="1315"/>
    </row>
    <row r="117" spans="1:14" ht="14.45" customHeight="1" x14ac:dyDescent="0.25">
      <c r="A117" s="1311"/>
      <c r="B117" s="1312"/>
      <c r="C117" s="1312"/>
      <c r="D117" s="1313"/>
      <c r="E117" s="465"/>
      <c r="F117" s="1314"/>
      <c r="G117" s="1314"/>
      <c r="H117" s="1314"/>
      <c r="I117" s="1314"/>
      <c r="K117" s="1315"/>
      <c r="L117" s="1315"/>
      <c r="M117" s="1315"/>
      <c r="N117" s="1315"/>
    </row>
    <row r="118" spans="1:14" ht="27" thickBot="1" x14ac:dyDescent="0.3">
      <c r="A118" s="1296" t="s">
        <v>4590</v>
      </c>
      <c r="B118" s="1297"/>
      <c r="C118" s="1297"/>
      <c r="D118" s="1298"/>
      <c r="E118" s="466"/>
      <c r="F118" s="1299" t="s">
        <v>4590</v>
      </c>
      <c r="G118" s="1300"/>
      <c r="H118" s="1300"/>
      <c r="I118" s="1301"/>
      <c r="K118" s="1299" t="s">
        <v>4590</v>
      </c>
      <c r="L118" s="1300"/>
      <c r="M118" s="1300"/>
      <c r="N118" s="1301"/>
    </row>
    <row r="119" spans="1:14" ht="21" x14ac:dyDescent="0.25">
      <c r="A119" s="309" t="s">
        <v>0</v>
      </c>
      <c r="B119" s="308" t="s">
        <v>2</v>
      </c>
      <c r="C119" s="308" t="s">
        <v>3952</v>
      </c>
      <c r="D119" s="310" t="s">
        <v>4591</v>
      </c>
      <c r="E119" s="467"/>
      <c r="F119" s="309" t="s">
        <v>0</v>
      </c>
      <c r="G119" s="308" t="s">
        <v>2</v>
      </c>
      <c r="H119" s="308" t="s">
        <v>3952</v>
      </c>
      <c r="I119" s="310" t="s">
        <v>4591</v>
      </c>
      <c r="K119" s="309" t="s">
        <v>0</v>
      </c>
      <c r="L119" s="308" t="s">
        <v>2</v>
      </c>
      <c r="M119" s="308" t="s">
        <v>3952</v>
      </c>
      <c r="N119" s="310" t="s">
        <v>4591</v>
      </c>
    </row>
    <row r="120" spans="1:14" ht="30" x14ac:dyDescent="0.25">
      <c r="A120" s="342">
        <v>45150</v>
      </c>
      <c r="B120" s="99" t="s">
        <v>10745</v>
      </c>
      <c r="C120" s="305"/>
      <c r="D120" s="15">
        <v>40000</v>
      </c>
      <c r="E120" s="468"/>
      <c r="F120" s="342">
        <v>45121</v>
      </c>
      <c r="G120" s="99" t="s">
        <v>10439</v>
      </c>
      <c r="H120" s="328"/>
      <c r="I120" s="312">
        <v>575000</v>
      </c>
      <c r="K120" s="430">
        <v>45167</v>
      </c>
      <c r="L120" s="713" t="s">
        <v>10861</v>
      </c>
      <c r="M120" s="950"/>
      <c r="N120" s="120">
        <v>3500000</v>
      </c>
    </row>
    <row r="121" spans="1:14" ht="37.5" customHeight="1" x14ac:dyDescent="0.25">
      <c r="A121" s="342">
        <v>45219</v>
      </c>
      <c r="B121" s="99" t="s">
        <v>11448</v>
      </c>
      <c r="C121" s="305"/>
      <c r="D121" s="15">
        <v>40000</v>
      </c>
      <c r="E121" s="469"/>
      <c r="F121" s="342">
        <v>45127</v>
      </c>
      <c r="G121" s="99" t="s">
        <v>10523</v>
      </c>
      <c r="H121" s="328"/>
      <c r="I121" s="15">
        <v>722500</v>
      </c>
      <c r="K121" s="430">
        <v>45167</v>
      </c>
      <c r="L121" s="713" t="s">
        <v>10926</v>
      </c>
      <c r="M121" s="328"/>
      <c r="N121" s="367">
        <v>500000</v>
      </c>
    </row>
    <row r="122" spans="1:14" x14ac:dyDescent="0.25">
      <c r="A122" s="342">
        <v>45276</v>
      </c>
      <c r="B122" s="99" t="s">
        <v>11947</v>
      </c>
      <c r="C122" s="305"/>
      <c r="D122" s="15">
        <v>40000</v>
      </c>
      <c r="E122" s="469"/>
      <c r="F122" s="430">
        <v>45033</v>
      </c>
      <c r="G122" s="99" t="s">
        <v>10775</v>
      </c>
      <c r="H122" s="328"/>
      <c r="I122" s="15">
        <v>2500</v>
      </c>
      <c r="K122" s="430">
        <v>45217</v>
      </c>
      <c r="L122" s="713" t="s">
        <v>11477</v>
      </c>
      <c r="M122" s="328"/>
      <c r="N122" s="312">
        <v>1500000</v>
      </c>
    </row>
    <row r="123" spans="1:14" ht="30" x14ac:dyDescent="0.25">
      <c r="A123" s="342">
        <v>45279</v>
      </c>
      <c r="B123" s="99" t="s">
        <v>11966</v>
      </c>
      <c r="C123" s="305"/>
      <c r="D123" s="15">
        <v>100000</v>
      </c>
      <c r="E123" s="469"/>
      <c r="F123" s="430">
        <v>45156</v>
      </c>
      <c r="G123" s="99" t="s">
        <v>10774</v>
      </c>
      <c r="H123" s="328"/>
      <c r="I123" s="367">
        <v>500000</v>
      </c>
      <c r="K123" s="430">
        <v>45254</v>
      </c>
      <c r="L123" s="99" t="s">
        <v>9944</v>
      </c>
      <c r="M123" s="328"/>
      <c r="N123" s="782">
        <v>4000000</v>
      </c>
    </row>
    <row r="124" spans="1:14" ht="30" x14ac:dyDescent="0.25">
      <c r="A124" s="342">
        <v>45279</v>
      </c>
      <c r="B124" s="99" t="s">
        <v>11966</v>
      </c>
      <c r="C124" s="305"/>
      <c r="D124" s="15">
        <v>150000</v>
      </c>
      <c r="E124" s="469"/>
      <c r="F124" s="430">
        <v>45161</v>
      </c>
      <c r="G124" s="99" t="s">
        <v>10523</v>
      </c>
      <c r="H124" s="758"/>
      <c r="I124" s="782">
        <v>400000</v>
      </c>
      <c r="K124" s="358"/>
      <c r="L124" s="99"/>
      <c r="M124" s="328"/>
      <c r="N124" s="312"/>
    </row>
    <row r="125" spans="1:14" ht="30" x14ac:dyDescent="0.25">
      <c r="A125" s="342">
        <v>45279</v>
      </c>
      <c r="B125" s="99" t="s">
        <v>11967</v>
      </c>
      <c r="C125" s="305"/>
      <c r="D125" s="15">
        <v>250000</v>
      </c>
      <c r="E125" s="469"/>
      <c r="F125" s="430">
        <v>45175</v>
      </c>
      <c r="G125" s="2" t="s">
        <v>11048</v>
      </c>
      <c r="H125" s="305"/>
      <c r="I125" s="312">
        <v>2000000</v>
      </c>
      <c r="K125" s="358"/>
      <c r="L125" s="2"/>
      <c r="M125" s="305"/>
      <c r="N125" s="312"/>
    </row>
    <row r="126" spans="1:14" ht="30" x14ac:dyDescent="0.25">
      <c r="A126" s="342">
        <v>45280</v>
      </c>
      <c r="B126" s="99" t="s">
        <v>11967</v>
      </c>
      <c r="C126" s="305"/>
      <c r="D126" s="15">
        <v>250000</v>
      </c>
      <c r="E126" s="469"/>
      <c r="F126" s="430">
        <v>45177</v>
      </c>
      <c r="G126" s="2" t="s">
        <v>11114</v>
      </c>
      <c r="H126" s="305"/>
      <c r="I126" s="312">
        <v>400000</v>
      </c>
      <c r="K126" s="358"/>
      <c r="L126" s="2"/>
      <c r="M126" s="305"/>
      <c r="N126" s="312"/>
    </row>
    <row r="127" spans="1:14" ht="30" x14ac:dyDescent="0.25">
      <c r="A127" s="342">
        <v>45280</v>
      </c>
      <c r="B127" s="99" t="s">
        <v>11967</v>
      </c>
      <c r="C127" s="305"/>
      <c r="D127" s="15">
        <v>1500000</v>
      </c>
      <c r="E127" s="469"/>
      <c r="F127" s="430">
        <v>45178</v>
      </c>
      <c r="G127" s="2" t="s">
        <v>11048</v>
      </c>
      <c r="H127" s="305"/>
      <c r="I127" s="312">
        <v>1000000</v>
      </c>
      <c r="K127" s="358"/>
      <c r="L127" s="99"/>
      <c r="M127" s="328"/>
      <c r="N127" s="312"/>
    </row>
    <row r="128" spans="1:14" s="302" customFormat="1" x14ac:dyDescent="0.25">
      <c r="A128" s="342">
        <v>45281</v>
      </c>
      <c r="B128" s="99" t="s">
        <v>11984</v>
      </c>
      <c r="C128" s="305"/>
      <c r="D128" s="15">
        <v>700000</v>
      </c>
      <c r="E128" s="470"/>
      <c r="F128" s="430">
        <v>45194</v>
      </c>
      <c r="G128" s="99" t="s">
        <v>10523</v>
      </c>
      <c r="H128" s="328"/>
      <c r="I128" s="15">
        <v>500000</v>
      </c>
      <c r="J128" s="475"/>
      <c r="K128" s="430"/>
      <c r="L128" s="99"/>
      <c r="M128" s="431"/>
      <c r="N128" s="367"/>
    </row>
    <row r="129" spans="1:14" x14ac:dyDescent="0.25">
      <c r="A129" s="342">
        <v>45281</v>
      </c>
      <c r="B129" s="99" t="s">
        <v>11984</v>
      </c>
      <c r="C129" s="305"/>
      <c r="D129" s="15">
        <v>700000</v>
      </c>
      <c r="E129" s="470"/>
      <c r="F129" s="430">
        <v>45217</v>
      </c>
      <c r="G129" s="2" t="s">
        <v>11114</v>
      </c>
      <c r="H129" s="305"/>
      <c r="I129" s="312">
        <v>500000</v>
      </c>
      <c r="K129" s="430"/>
      <c r="L129" s="99"/>
      <c r="M129" s="328"/>
      <c r="N129" s="367"/>
    </row>
    <row r="130" spans="1:14" ht="45" x14ac:dyDescent="0.25">
      <c r="A130" s="342">
        <v>45324</v>
      </c>
      <c r="B130" s="99" t="s">
        <v>12379</v>
      </c>
      <c r="C130" s="328"/>
      <c r="D130" s="782">
        <v>25000</v>
      </c>
      <c r="E130" s="471"/>
      <c r="F130" s="430">
        <v>45244</v>
      </c>
      <c r="G130" s="99" t="s">
        <v>11676</v>
      </c>
      <c r="H130" s="328"/>
      <c r="I130" s="367">
        <v>300000</v>
      </c>
      <c r="K130" s="430"/>
      <c r="L130" s="99"/>
      <c r="M130" s="328"/>
      <c r="N130" s="367"/>
    </row>
    <row r="131" spans="1:14" ht="30" x14ac:dyDescent="0.25">
      <c r="A131" s="342">
        <v>45325</v>
      </c>
      <c r="B131" s="99" t="s">
        <v>12460</v>
      </c>
      <c r="C131" s="15"/>
      <c r="D131" s="15">
        <v>50000</v>
      </c>
      <c r="E131" s="471"/>
      <c r="F131" s="430">
        <v>45257</v>
      </c>
      <c r="G131" s="99" t="s">
        <v>11802</v>
      </c>
      <c r="H131" s="328"/>
      <c r="I131" s="367">
        <v>500000</v>
      </c>
      <c r="K131" s="342"/>
      <c r="L131" s="99"/>
      <c r="M131" s="305"/>
      <c r="N131" s="15"/>
    </row>
    <row r="132" spans="1:14" x14ac:dyDescent="0.25">
      <c r="A132" s="342">
        <v>45341</v>
      </c>
      <c r="B132" s="99" t="s">
        <v>12601</v>
      </c>
      <c r="C132" s="305"/>
      <c r="D132" s="15">
        <v>40000</v>
      </c>
      <c r="E132" s="471"/>
      <c r="F132" s="430">
        <v>45258</v>
      </c>
      <c r="G132" s="99" t="s">
        <v>11803</v>
      </c>
      <c r="H132" s="328"/>
      <c r="I132" s="367">
        <v>830000</v>
      </c>
      <c r="K132" s="342"/>
      <c r="L132" s="99"/>
      <c r="M132" s="305"/>
      <c r="N132" s="15"/>
    </row>
    <row r="133" spans="1:14" x14ac:dyDescent="0.25">
      <c r="A133" s="342">
        <v>45340</v>
      </c>
      <c r="B133" s="99" t="s">
        <v>12908</v>
      </c>
      <c r="C133" s="305"/>
      <c r="D133" s="15">
        <v>40000</v>
      </c>
      <c r="E133" s="471"/>
      <c r="F133" s="430">
        <v>45258</v>
      </c>
      <c r="G133" s="99" t="s">
        <v>11803</v>
      </c>
      <c r="H133" s="305"/>
      <c r="I133" s="367">
        <v>840000</v>
      </c>
      <c r="K133" s="342"/>
      <c r="L133" s="99"/>
      <c r="M133" s="305"/>
      <c r="N133" s="15"/>
    </row>
    <row r="134" spans="1:14" x14ac:dyDescent="0.25">
      <c r="A134" s="342"/>
      <c r="B134" s="99"/>
      <c r="C134" s="15"/>
      <c r="D134" s="15"/>
      <c r="E134" s="471"/>
      <c r="F134" s="430">
        <v>45258</v>
      </c>
      <c r="G134" s="99" t="s">
        <v>11803</v>
      </c>
      <c r="H134" s="305"/>
      <c r="I134" s="15">
        <v>850000</v>
      </c>
      <c r="K134" s="342"/>
      <c r="L134" s="99"/>
      <c r="M134" s="305"/>
      <c r="N134" s="15"/>
    </row>
    <row r="135" spans="1:14" x14ac:dyDescent="0.25">
      <c r="A135" s="342"/>
      <c r="B135" s="99"/>
      <c r="C135" s="15"/>
      <c r="D135" s="15"/>
      <c r="E135" s="471"/>
      <c r="F135" s="430">
        <v>45258</v>
      </c>
      <c r="G135" s="99" t="s">
        <v>11803</v>
      </c>
      <c r="H135" s="305"/>
      <c r="I135" s="15">
        <v>800000</v>
      </c>
      <c r="K135" s="342"/>
      <c r="L135" s="99"/>
      <c r="M135" s="305"/>
      <c r="N135" s="15"/>
    </row>
    <row r="136" spans="1:14" x14ac:dyDescent="0.25">
      <c r="A136" s="342"/>
      <c r="B136" s="99"/>
      <c r="C136" s="15"/>
      <c r="D136" s="15"/>
      <c r="E136" s="471"/>
      <c r="F136" s="430">
        <v>45258</v>
      </c>
      <c r="G136" s="99" t="s">
        <v>11803</v>
      </c>
      <c r="H136" s="305"/>
      <c r="I136" s="15">
        <v>830000</v>
      </c>
      <c r="K136" s="342"/>
      <c r="L136" s="99"/>
      <c r="M136" s="305"/>
      <c r="N136" s="15"/>
    </row>
    <row r="137" spans="1:14" x14ac:dyDescent="0.25">
      <c r="A137" s="342"/>
      <c r="B137" s="99"/>
      <c r="C137" s="15"/>
      <c r="D137" s="15"/>
      <c r="E137" s="471"/>
      <c r="F137" s="430">
        <v>45258</v>
      </c>
      <c r="G137" s="713" t="s">
        <v>9944</v>
      </c>
      <c r="H137" s="431"/>
      <c r="I137" s="367">
        <v>59683</v>
      </c>
      <c r="K137" s="342"/>
      <c r="L137" s="99"/>
      <c r="M137" s="305"/>
      <c r="N137" s="15"/>
    </row>
    <row r="138" spans="1:14" x14ac:dyDescent="0.25">
      <c r="A138" s="342"/>
      <c r="B138" s="99"/>
      <c r="C138" s="15"/>
      <c r="D138" s="15"/>
      <c r="E138" s="471"/>
      <c r="F138" s="342"/>
      <c r="G138" s="99"/>
      <c r="H138" s="305"/>
      <c r="I138" s="15"/>
      <c r="K138" s="342"/>
      <c r="L138" s="99"/>
      <c r="M138" s="305"/>
      <c r="N138" s="15"/>
    </row>
    <row r="139" spans="1:14" ht="19.5" thickBot="1" x14ac:dyDescent="0.35">
      <c r="A139" s="1302" t="s">
        <v>4596</v>
      </c>
      <c r="B139" s="1302"/>
      <c r="C139" s="1302"/>
      <c r="D139" s="205">
        <f>SUM(D120:D138)</f>
        <v>3925000</v>
      </c>
      <c r="E139" s="472"/>
      <c r="F139" s="1303" t="s">
        <v>4596</v>
      </c>
      <c r="G139" s="1303"/>
      <c r="H139" s="1304"/>
      <c r="I139" s="429">
        <f>SUM(I120:I137)</f>
        <v>11609683</v>
      </c>
      <c r="K139" s="1303" t="s">
        <v>4596</v>
      </c>
      <c r="L139" s="1303"/>
      <c r="M139" s="1304"/>
      <c r="N139" s="429">
        <f>SUM(N120:N137)</f>
        <v>9500000</v>
      </c>
    </row>
  </sheetData>
  <mergeCells count="46">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C29"/>
  <sheetViews>
    <sheetView workbookViewId="0">
      <selection activeCell="B17" sqref="B17:D17"/>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6.85546875" customWidth="1"/>
    <col min="8" max="8" width="7.7109375" customWidth="1"/>
    <col min="9" max="9" width="6.7109375" customWidth="1"/>
    <col min="10" max="10" width="6" customWidth="1"/>
    <col min="11" max="11" width="17.140625" customWidth="1"/>
    <col min="12" max="12" width="6.85546875" customWidth="1"/>
    <col min="13" max="13" width="1.5703125" customWidth="1"/>
    <col min="14" max="14" width="7.7109375" customWidth="1"/>
    <col min="15" max="15" width="6.7109375" customWidth="1"/>
    <col min="16" max="16" width="6" customWidth="1"/>
    <col min="17" max="17" width="16" customWidth="1"/>
    <col min="18" max="18" width="2.5703125" customWidth="1"/>
    <col min="19" max="19" width="21.7109375" customWidth="1"/>
    <col min="20" max="21" width="15.85546875" bestFit="1" customWidth="1"/>
    <col min="22" max="22" width="19.7109375" bestFit="1" customWidth="1"/>
    <col min="23" max="23" width="6.28515625" customWidth="1"/>
    <col min="24" max="24" width="7.85546875" customWidth="1"/>
    <col min="25" max="25" width="15" customWidth="1"/>
    <col min="26" max="26" width="20.140625" customWidth="1"/>
    <col min="27" max="28" width="15.85546875" bestFit="1" customWidth="1"/>
    <col min="29" max="29" width="19.140625" bestFit="1" customWidth="1"/>
  </cols>
  <sheetData>
    <row r="1" spans="2:29" ht="27" thickBot="1" x14ac:dyDescent="0.45">
      <c r="B1" s="1339" t="s">
        <v>9502</v>
      </c>
      <c r="C1" s="1340"/>
      <c r="D1" s="1340"/>
      <c r="E1" s="1341"/>
      <c r="H1" s="1326" t="s">
        <v>11403</v>
      </c>
      <c r="I1" s="1327"/>
      <c r="J1" s="1327"/>
      <c r="K1" s="1328"/>
      <c r="N1" s="1326" t="s">
        <v>11403</v>
      </c>
      <c r="O1" s="1327"/>
      <c r="P1" s="1327"/>
      <c r="Q1" s="1328"/>
      <c r="S1" s="1347" t="s">
        <v>9502</v>
      </c>
      <c r="T1" s="1348"/>
      <c r="U1" s="1348"/>
      <c r="V1" s="1349"/>
      <c r="Z1" s="1339" t="s">
        <v>9502</v>
      </c>
      <c r="AA1" s="1340"/>
      <c r="AB1" s="1340"/>
      <c r="AC1" s="1341"/>
    </row>
    <row r="2" spans="2:29" ht="21" x14ac:dyDescent="0.35">
      <c r="B2" s="1342" t="s">
        <v>10401</v>
      </c>
      <c r="C2" s="1343"/>
      <c r="D2" s="1343"/>
      <c r="E2" s="1344"/>
      <c r="H2" s="1326" t="s">
        <v>11402</v>
      </c>
      <c r="I2" s="1327"/>
      <c r="J2" s="1327"/>
      <c r="K2" s="1328"/>
      <c r="N2" s="1326" t="s">
        <v>11402</v>
      </c>
      <c r="O2" s="1327"/>
      <c r="P2" s="1327"/>
      <c r="Q2" s="1328"/>
      <c r="S2" s="1342" t="s">
        <v>8164</v>
      </c>
      <c r="T2" s="1343"/>
      <c r="U2" s="1343"/>
      <c r="V2" s="1344"/>
      <c r="Z2" s="1342" t="s">
        <v>7170</v>
      </c>
      <c r="AA2" s="1343"/>
      <c r="AB2" s="1343"/>
      <c r="AC2" s="1344"/>
    </row>
    <row r="3" spans="2:29" ht="19.5" thickBot="1" x14ac:dyDescent="0.35">
      <c r="B3" s="931"/>
      <c r="C3" s="4"/>
      <c r="D3" s="4"/>
      <c r="E3" s="932"/>
      <c r="H3" s="931"/>
      <c r="I3" s="4"/>
      <c r="J3" s="4"/>
      <c r="K3" s="932"/>
      <c r="N3" s="931"/>
      <c r="O3" s="4"/>
      <c r="P3" s="4"/>
      <c r="Q3" s="932"/>
      <c r="S3" s="931"/>
      <c r="T3" s="4"/>
      <c r="U3" s="4"/>
      <c r="V3" s="932"/>
      <c r="Z3" s="931"/>
      <c r="AA3" s="4"/>
      <c r="AB3" s="4"/>
      <c r="AC3" s="932"/>
    </row>
    <row r="4" spans="2:29" ht="21.75" thickBot="1" x14ac:dyDescent="0.4">
      <c r="B4" s="1320" t="s">
        <v>9495</v>
      </c>
      <c r="C4" s="1321"/>
      <c r="D4" s="1321"/>
      <c r="E4" s="933">
        <f ca="1">'Main Summary'!B19-K5-K10</f>
        <v>230232959.26937336</v>
      </c>
      <c r="H4" s="1326" t="s">
        <v>11404</v>
      </c>
      <c r="I4" s="1327"/>
      <c r="J4" s="1327"/>
      <c r="K4" s="1328"/>
      <c r="N4" s="1326" t="s">
        <v>11404</v>
      </c>
      <c r="O4" s="1327"/>
      <c r="P4" s="1327"/>
      <c r="Q4" s="1328"/>
      <c r="S4" s="1320" t="s">
        <v>9495</v>
      </c>
      <c r="T4" s="1321"/>
      <c r="U4" s="1321"/>
      <c r="V4" s="933">
        <f ca="1">'Main Summary'!F19-Q5-Q10</f>
        <v>137668700.60426268</v>
      </c>
      <c r="Z4" s="1320" t="s">
        <v>9495</v>
      </c>
      <c r="AA4" s="1321"/>
      <c r="AB4" s="1321"/>
      <c r="AC4" s="933">
        <f>'Main Summary'!J19</f>
        <v>66512286.479166672</v>
      </c>
    </row>
    <row r="5" spans="2:29" ht="19.5" thickBot="1" x14ac:dyDescent="0.35">
      <c r="B5" s="1320" t="s">
        <v>9496</v>
      </c>
      <c r="C5" s="1321"/>
      <c r="D5" s="1321"/>
      <c r="E5" s="933">
        <f ca="1">'Main Summary'!C19-K6-K11</f>
        <v>312466139</v>
      </c>
      <c r="H5" s="1320" t="s">
        <v>9495</v>
      </c>
      <c r="I5" s="1321"/>
      <c r="J5" s="1321"/>
      <c r="K5" s="1035">
        <f ca="1">SUMIF(Posting!$B17317:$E28098,"Meezan Bank Head Office",Posting!$E17317:$E28098)</f>
        <v>15954950</v>
      </c>
      <c r="N5" s="1320" t="s">
        <v>9495</v>
      </c>
      <c r="O5" s="1321"/>
      <c r="P5" s="1321"/>
      <c r="Q5" s="1035">
        <f ca="1">SUMIF(Posting!$B1:$E17316,"Meezan Bank Head Office",Posting!$E1:$E17316)</f>
        <v>13034925</v>
      </c>
      <c r="S5" s="1320" t="s">
        <v>9496</v>
      </c>
      <c r="T5" s="1321"/>
      <c r="U5" s="1321"/>
      <c r="V5" s="933">
        <f ca="1">'Main Summary'!G19-Q6-Q11</f>
        <v>176831246.42000002</v>
      </c>
      <c r="Z5" s="1320" t="s">
        <v>9496</v>
      </c>
      <c r="AA5" s="1321"/>
      <c r="AB5" s="1321"/>
      <c r="AC5" s="933">
        <f>'Main Summary'!K19</f>
        <v>82215394.510000005</v>
      </c>
    </row>
    <row r="6" spans="2:29" ht="18.75" x14ac:dyDescent="0.3">
      <c r="B6" s="1320" t="s">
        <v>2613</v>
      </c>
      <c r="C6" s="1321"/>
      <c r="D6" s="1321"/>
      <c r="E6" s="933">
        <f ca="1">E5-E4</f>
        <v>82233179.730626643</v>
      </c>
      <c r="H6" s="1320" t="s">
        <v>9496</v>
      </c>
      <c r="I6" s="1321"/>
      <c r="J6" s="1321"/>
      <c r="K6" s="1020">
        <f ca="1">SUMIF(Posting!$B17317:$F28098,"Meezan Bank Head Office",Posting!$F17317:$F28098)</f>
        <v>3465000</v>
      </c>
      <c r="N6" s="1320" t="s">
        <v>9496</v>
      </c>
      <c r="O6" s="1321"/>
      <c r="P6" s="1321"/>
      <c r="Q6" s="1020">
        <f ca="1">SUMIF(Posting!$B1:$F17316,"Meezan Bank Head Office",Posting!$F1:$F17316)</f>
        <v>19830000</v>
      </c>
      <c r="S6" s="1320" t="s">
        <v>2613</v>
      </c>
      <c r="T6" s="1321"/>
      <c r="U6" s="1321"/>
      <c r="V6" s="933">
        <f ca="1">V5-V4</f>
        <v>39162545.815737337</v>
      </c>
      <c r="Z6" s="1320" t="s">
        <v>2613</v>
      </c>
      <c r="AA6" s="1321"/>
      <c r="AB6" s="1321"/>
      <c r="AC6" s="933">
        <f>AC5-AC4</f>
        <v>15703108.030833334</v>
      </c>
    </row>
    <row r="7" spans="2:29" ht="18.75" x14ac:dyDescent="0.3">
      <c r="B7" s="1320"/>
      <c r="C7" s="1321"/>
      <c r="D7" s="1321"/>
      <c r="E7" s="933"/>
      <c r="H7" s="1320" t="s">
        <v>2613</v>
      </c>
      <c r="I7" s="1321"/>
      <c r="J7" s="1321"/>
      <c r="K7" s="933">
        <f ca="1">K6-K5</f>
        <v>-12489950</v>
      </c>
      <c r="N7" s="1320" t="s">
        <v>2613</v>
      </c>
      <c r="O7" s="1321"/>
      <c r="P7" s="1321"/>
      <c r="Q7" s="933">
        <f ca="1">Q6-Q5</f>
        <v>6795075</v>
      </c>
      <c r="S7" s="1320"/>
      <c r="T7" s="1321"/>
      <c r="U7" s="1321"/>
      <c r="V7" s="933"/>
      <c r="Z7" s="1320"/>
      <c r="AA7" s="1321"/>
      <c r="AB7" s="1321"/>
      <c r="AC7" s="933"/>
    </row>
    <row r="8" spans="2:29" ht="19.5" thickBot="1" x14ac:dyDescent="0.35">
      <c r="B8" s="1322" t="s">
        <v>11050</v>
      </c>
      <c r="C8" s="1302"/>
      <c r="D8" s="1302"/>
      <c r="E8" s="933"/>
      <c r="H8" s="1320"/>
      <c r="I8" s="1321"/>
      <c r="J8" s="1321"/>
      <c r="K8" s="933"/>
      <c r="N8" s="1320"/>
      <c r="O8" s="1321"/>
      <c r="P8" s="1321"/>
      <c r="Q8" s="933"/>
      <c r="S8" s="1322" t="s">
        <v>11050</v>
      </c>
      <c r="T8" s="1302"/>
      <c r="U8" s="1302"/>
      <c r="V8" s="933"/>
      <c r="Z8" s="1320" t="s">
        <v>9497</v>
      </c>
      <c r="AA8" s="1321"/>
      <c r="AB8" s="1321"/>
      <c r="AC8" s="933">
        <v>300000</v>
      </c>
    </row>
    <row r="9" spans="2:29" ht="21.75" thickBot="1" x14ac:dyDescent="0.4">
      <c r="B9" s="1320" t="s">
        <v>9499</v>
      </c>
      <c r="C9" s="1321"/>
      <c r="D9" s="1321"/>
      <c r="E9" s="934">
        <v>500000</v>
      </c>
      <c r="H9" s="1326" t="s">
        <v>11405</v>
      </c>
      <c r="I9" s="1327"/>
      <c r="J9" s="1327"/>
      <c r="K9" s="1328"/>
      <c r="N9" s="1326" t="s">
        <v>11405</v>
      </c>
      <c r="O9" s="1327"/>
      <c r="P9" s="1327"/>
      <c r="Q9" s="1328"/>
      <c r="S9" s="1320" t="s">
        <v>9499</v>
      </c>
      <c r="T9" s="1321"/>
      <c r="U9" s="1321"/>
      <c r="V9" s="934">
        <v>526260</v>
      </c>
      <c r="Z9" s="1320" t="s">
        <v>9498</v>
      </c>
      <c r="AA9" s="1321"/>
      <c r="AB9" s="1321"/>
      <c r="AC9" s="933">
        <v>526260</v>
      </c>
    </row>
    <row r="10" spans="2:29" s="930" customFormat="1" ht="19.5" thickBot="1" x14ac:dyDescent="0.35">
      <c r="B10" s="1320"/>
      <c r="C10" s="1321"/>
      <c r="D10" s="1321"/>
      <c r="E10" s="934"/>
      <c r="H10" s="1320" t="s">
        <v>9495</v>
      </c>
      <c r="I10" s="1321"/>
      <c r="J10" s="1321"/>
      <c r="K10" s="1035">
        <f ca="1">SUMIF(Posting!$B17317:$E28098,"Saifee Hospital",Posting!$E17317:$E28098)</f>
        <v>1672910</v>
      </c>
      <c r="N10" s="1320" t="s">
        <v>9495</v>
      </c>
      <c r="O10" s="1321"/>
      <c r="P10" s="1321"/>
      <c r="Q10" s="1035">
        <f ca="1">SUMIF(Posting!$B1:$E17316,"Saifee Hospital",Posting!$E1:$E17316)</f>
        <v>1591330</v>
      </c>
      <c r="S10" s="1320"/>
      <c r="T10" s="1321"/>
      <c r="U10" s="1321"/>
      <c r="V10" s="934"/>
      <c r="Z10" s="1320" t="s">
        <v>9499</v>
      </c>
      <c r="AA10" s="1321"/>
      <c r="AB10" s="1321"/>
      <c r="AC10" s="934">
        <v>1314656</v>
      </c>
    </row>
    <row r="11" spans="2:29" ht="18.75" x14ac:dyDescent="0.3">
      <c r="B11" s="1322" t="s">
        <v>2613</v>
      </c>
      <c r="C11" s="1302"/>
      <c r="D11" s="1302"/>
      <c r="E11" s="933">
        <f ca="1">E9+E6</f>
        <v>82733179.730626643</v>
      </c>
      <c r="H11" s="1320" t="s">
        <v>9496</v>
      </c>
      <c r="I11" s="1321"/>
      <c r="J11" s="1321"/>
      <c r="K11" s="1020">
        <f ca="1">SUMIF(Posting!$B17317:$F28098,"Saifee Hospital",Posting!$F17317:$F28098)</f>
        <v>3724000</v>
      </c>
      <c r="N11" s="1320" t="s">
        <v>9496</v>
      </c>
      <c r="O11" s="1321"/>
      <c r="P11" s="1321"/>
      <c r="Q11" s="1020">
        <f ca="1">SUMIF(Posting!$B1:$F17316,"Saifee Hospital",Posting!$F1:$F17316)</f>
        <v>2434251</v>
      </c>
      <c r="S11" s="1322" t="s">
        <v>2613</v>
      </c>
      <c r="T11" s="1302"/>
      <c r="U11" s="1302"/>
      <c r="V11" s="933">
        <f ca="1">V9+V6</f>
        <v>39688805.815737337</v>
      </c>
      <c r="Z11" s="1320" t="s">
        <v>2615</v>
      </c>
      <c r="AA11" s="1321"/>
      <c r="AB11" s="1321"/>
      <c r="AC11" s="933">
        <f>AC6-AC8-AC9+AC10</f>
        <v>16191504.030833334</v>
      </c>
    </row>
    <row r="12" spans="2:29" ht="21" x14ac:dyDescent="0.35">
      <c r="B12" s="1323"/>
      <c r="C12" s="1324"/>
      <c r="D12" s="1325"/>
      <c r="E12" s="933"/>
      <c r="H12" s="1320" t="s">
        <v>2613</v>
      </c>
      <c r="I12" s="1321"/>
      <c r="J12" s="1321"/>
      <c r="K12" s="933">
        <f ca="1">K11-K10</f>
        <v>2051090</v>
      </c>
      <c r="N12" s="1320" t="s">
        <v>2613</v>
      </c>
      <c r="O12" s="1321"/>
      <c r="P12" s="1321"/>
      <c r="Q12" s="933">
        <f ca="1">Q11-Q10</f>
        <v>842921</v>
      </c>
      <c r="S12" s="1323"/>
      <c r="T12" s="1324"/>
      <c r="U12" s="1325"/>
      <c r="V12" s="933"/>
      <c r="Z12" s="1345" t="s">
        <v>9500</v>
      </c>
      <c r="AA12" s="1346"/>
      <c r="AB12" s="1346"/>
      <c r="AC12" s="937">
        <v>2434251</v>
      </c>
    </row>
    <row r="13" spans="2:29" s="970" customFormat="1" ht="21.75" thickBot="1" x14ac:dyDescent="0.4">
      <c r="B13" s="1336" t="s">
        <v>11049</v>
      </c>
      <c r="C13" s="1337"/>
      <c r="D13" s="1338"/>
      <c r="E13" s="933"/>
      <c r="H13" s="1322"/>
      <c r="I13" s="1302"/>
      <c r="J13" s="1302"/>
      <c r="K13" s="933"/>
      <c r="N13" s="1322"/>
      <c r="O13" s="1302"/>
      <c r="P13" s="1302"/>
      <c r="Q13" s="933"/>
      <c r="S13" s="1336" t="s">
        <v>11049</v>
      </c>
      <c r="T13" s="1337"/>
      <c r="U13" s="1338"/>
      <c r="V13" s="933"/>
      <c r="Z13" s="1329" t="s">
        <v>2615</v>
      </c>
      <c r="AA13" s="1330"/>
      <c r="AB13" s="1330"/>
      <c r="AC13" s="969">
        <f>AC11-AC12</f>
        <v>13757253.030833334</v>
      </c>
    </row>
    <row r="14" spans="2:29" ht="18.75" x14ac:dyDescent="0.3">
      <c r="B14" s="1323" t="s">
        <v>9497</v>
      </c>
      <c r="C14" s="1324"/>
      <c r="D14" s="1325"/>
      <c r="E14" s="933">
        <v>300000</v>
      </c>
      <c r="H14" s="1323"/>
      <c r="I14" s="1324"/>
      <c r="J14" s="1325"/>
      <c r="K14" s="933"/>
      <c r="N14" s="1323"/>
      <c r="O14" s="1324"/>
      <c r="P14" s="1325"/>
      <c r="Q14" s="933"/>
      <c r="S14" s="1323" t="s">
        <v>9497</v>
      </c>
      <c r="T14" s="1324"/>
      <c r="U14" s="1325"/>
      <c r="V14" s="933">
        <v>300000</v>
      </c>
      <c r="Z14" s="935"/>
      <c r="AA14" s="935"/>
      <c r="AB14" s="935"/>
      <c r="AC14" s="936"/>
    </row>
    <row r="15" spans="2:29" ht="18.75" x14ac:dyDescent="0.3">
      <c r="B15" s="1323" t="s">
        <v>9498</v>
      </c>
      <c r="C15" s="1324"/>
      <c r="D15" s="1325"/>
      <c r="E15" s="933">
        <v>500000</v>
      </c>
      <c r="F15" s="302"/>
      <c r="G15" s="302"/>
      <c r="L15" s="302"/>
      <c r="M15" s="302"/>
      <c r="R15" s="302"/>
      <c r="S15" s="1323" t="s">
        <v>9498</v>
      </c>
      <c r="T15" s="1324"/>
      <c r="U15" s="1325"/>
      <c r="V15" s="933">
        <v>500000</v>
      </c>
      <c r="W15" s="302"/>
      <c r="X15" s="302"/>
      <c r="Y15" s="302"/>
      <c r="Z15" s="935"/>
      <c r="AA15" s="935"/>
      <c r="AB15" s="935"/>
      <c r="AC15" s="936"/>
    </row>
    <row r="16" spans="2:29" ht="18.75" x14ac:dyDescent="0.3">
      <c r="B16" s="1323" t="s">
        <v>12746</v>
      </c>
      <c r="C16" s="1324"/>
      <c r="D16" s="1325"/>
      <c r="E16" s="933"/>
      <c r="F16" s="302"/>
      <c r="G16" s="302"/>
      <c r="L16" s="302"/>
      <c r="M16" s="302"/>
      <c r="R16" s="302"/>
      <c r="S16" s="1323" t="s">
        <v>11052</v>
      </c>
      <c r="T16" s="1324"/>
      <c r="U16" s="1325"/>
      <c r="V16" s="1098">
        <v>0</v>
      </c>
      <c r="W16" s="302"/>
      <c r="X16" s="302"/>
      <c r="Y16" s="302"/>
      <c r="Z16" s="935"/>
      <c r="AA16" s="935"/>
      <c r="AB16" s="935"/>
      <c r="AC16" s="936"/>
    </row>
    <row r="17" spans="2:29" ht="21" x14ac:dyDescent="0.35">
      <c r="B17" s="1334"/>
      <c r="C17" s="1335"/>
      <c r="D17" s="1335"/>
      <c r="E17" s="1047"/>
      <c r="F17" s="302"/>
      <c r="G17" s="302"/>
      <c r="K17" s="3">
        <f ca="1">K12+K7</f>
        <v>-10438860</v>
      </c>
      <c r="L17" s="302"/>
      <c r="M17" s="302"/>
      <c r="Q17" s="3">
        <f ca="1">Q12+Q7</f>
        <v>7637996</v>
      </c>
      <c r="R17" s="302"/>
      <c r="S17" s="1334" t="s">
        <v>11406</v>
      </c>
      <c r="T17" s="1335"/>
      <c r="U17" s="1335"/>
      <c r="V17" s="1047">
        <v>3707947</v>
      </c>
      <c r="W17" s="302"/>
      <c r="X17" s="302"/>
      <c r="Y17" s="302"/>
      <c r="Z17" s="935"/>
      <c r="AA17" s="935"/>
      <c r="AB17" s="935"/>
      <c r="AC17" s="936"/>
    </row>
    <row r="18" spans="2:29" ht="21" x14ac:dyDescent="0.35">
      <c r="B18" s="1334"/>
      <c r="C18" s="1335"/>
      <c r="D18" s="1335"/>
      <c r="E18" s="1047"/>
      <c r="F18" s="302"/>
      <c r="G18" s="302"/>
      <c r="K18" s="3"/>
      <c r="L18" s="302"/>
      <c r="M18" s="302"/>
      <c r="R18" s="302"/>
      <c r="S18" s="1334"/>
      <c r="T18" s="1335"/>
      <c r="U18" s="1335"/>
      <c r="V18" s="1047"/>
      <c r="W18" s="302"/>
      <c r="X18" s="302"/>
      <c r="Y18" s="302"/>
      <c r="Z18" s="935"/>
      <c r="AA18" s="935"/>
      <c r="AB18" s="935"/>
      <c r="AC18" s="936"/>
    </row>
    <row r="19" spans="2:29" ht="19.5" thickBot="1" x14ac:dyDescent="0.35">
      <c r="B19" s="1322"/>
      <c r="C19" s="1302"/>
      <c r="D19" s="1302"/>
      <c r="E19" s="1048"/>
      <c r="F19" s="302"/>
      <c r="G19" s="302"/>
      <c r="K19" s="3"/>
      <c r="L19" s="302"/>
      <c r="M19" s="302"/>
      <c r="R19" s="302"/>
      <c r="S19" s="1322"/>
      <c r="T19" s="1302"/>
      <c r="U19" s="1302"/>
      <c r="V19" s="1048"/>
      <c r="W19" s="302"/>
      <c r="X19" s="302"/>
      <c r="Y19" s="302"/>
      <c r="Z19" s="935"/>
      <c r="AA19" s="935"/>
      <c r="AB19" s="935"/>
      <c r="AC19" s="936"/>
    </row>
    <row r="20" spans="2:29" ht="21" x14ac:dyDescent="0.35">
      <c r="B20" s="1322" t="s">
        <v>11051</v>
      </c>
      <c r="C20" s="1302"/>
      <c r="D20" s="1302"/>
      <c r="E20" s="1047">
        <f>SUM(E14:E19)</f>
        <v>800000</v>
      </c>
      <c r="K20" s="3"/>
      <c r="S20" s="1322" t="s">
        <v>11051</v>
      </c>
      <c r="T20" s="1302"/>
      <c r="U20" s="1302"/>
      <c r="V20" s="1047">
        <f>SUM(V14:V19)</f>
        <v>4507947</v>
      </c>
      <c r="Z20" s="1331" t="s">
        <v>9501</v>
      </c>
      <c r="AA20" s="1332"/>
      <c r="AB20" s="1332"/>
      <c r="AC20" s="1333"/>
    </row>
    <row r="21" spans="2:29" s="930" customFormat="1" ht="21" x14ac:dyDescent="0.35">
      <c r="B21" s="1334"/>
      <c r="C21" s="1335"/>
      <c r="D21" s="1335"/>
      <c r="E21" s="1047"/>
      <c r="H21"/>
      <c r="I21"/>
      <c r="J21"/>
      <c r="K21"/>
      <c r="N21"/>
      <c r="O21"/>
      <c r="P21"/>
      <c r="Q21"/>
      <c r="S21" s="1334"/>
      <c r="T21" s="1335"/>
      <c r="U21" s="1335"/>
      <c r="V21" s="1047"/>
      <c r="Z21" s="971" t="s">
        <v>9503</v>
      </c>
      <c r="AA21" s="967" t="s">
        <v>4751</v>
      </c>
      <c r="AB21" s="967" t="s">
        <v>1202</v>
      </c>
      <c r="AC21" s="973" t="s">
        <v>1894</v>
      </c>
    </row>
    <row r="22" spans="2:29" s="930" customFormat="1" ht="21.75" thickBot="1" x14ac:dyDescent="0.4">
      <c r="B22" s="1329" t="s">
        <v>2615</v>
      </c>
      <c r="C22" s="1330"/>
      <c r="D22" s="1330"/>
      <c r="E22" s="969">
        <f ca="1">E11-E20</f>
        <v>81933179.730626643</v>
      </c>
      <c r="H22"/>
      <c r="I22"/>
      <c r="J22"/>
      <c r="K22"/>
      <c r="N22"/>
      <c r="O22"/>
      <c r="P22"/>
      <c r="Q22"/>
      <c r="S22" s="1329" t="s">
        <v>2615</v>
      </c>
      <c r="T22" s="1330"/>
      <c r="U22" s="1330"/>
      <c r="V22" s="969">
        <f ca="1">V11-V20</f>
        <v>35180858.815737337</v>
      </c>
      <c r="Z22" s="940" t="s">
        <v>9504</v>
      </c>
      <c r="AA22" s="946">
        <v>0.33</v>
      </c>
      <c r="AB22" s="946">
        <v>0.33</v>
      </c>
      <c r="AC22" s="947">
        <v>0.34</v>
      </c>
    </row>
    <row r="23" spans="2:29" s="929" customFormat="1" ht="29.25" customHeight="1" thickBot="1" x14ac:dyDescent="0.35">
      <c r="B23" s="935"/>
      <c r="C23" s="935"/>
      <c r="D23" s="935"/>
      <c r="E23" s="936"/>
      <c r="H23"/>
      <c r="I23"/>
      <c r="J23"/>
      <c r="K23"/>
      <c r="N23"/>
      <c r="O23"/>
      <c r="P23"/>
      <c r="Q23"/>
      <c r="S23" s="935"/>
      <c r="T23" s="935"/>
      <c r="U23" s="935"/>
      <c r="V23" s="936"/>
      <c r="Z23" s="940" t="s">
        <v>4591</v>
      </c>
      <c r="AA23" s="941">
        <f>AA22*AC13</f>
        <v>4539893.5001750002</v>
      </c>
      <c r="AB23" s="941">
        <f>AB22*AC13</f>
        <v>4539893.5001750002</v>
      </c>
      <c r="AC23" s="934">
        <f>AC22*AC13</f>
        <v>4677466.0304833334</v>
      </c>
    </row>
    <row r="24" spans="2:29" s="930" customFormat="1" ht="37.5" x14ac:dyDescent="0.3">
      <c r="B24" s="1331" t="s">
        <v>9501</v>
      </c>
      <c r="C24" s="1332"/>
      <c r="D24" s="1332"/>
      <c r="E24" s="1333"/>
      <c r="H24"/>
      <c r="I24"/>
      <c r="J24"/>
      <c r="K24"/>
      <c r="N24"/>
      <c r="O24"/>
      <c r="P24"/>
      <c r="Q24"/>
      <c r="S24" s="1331" t="s">
        <v>9501</v>
      </c>
      <c r="T24" s="1332"/>
      <c r="U24" s="1332"/>
      <c r="V24" s="1333"/>
      <c r="Z24" s="938" t="s">
        <v>9505</v>
      </c>
      <c r="AA24" s="942">
        <f>Receiving!I109</f>
        <v>4531000</v>
      </c>
      <c r="AB24" s="942">
        <f>Receiving!N109</f>
        <v>4531779</v>
      </c>
      <c r="AC24" s="943">
        <f>Receiving!D109</f>
        <v>4677000</v>
      </c>
    </row>
    <row r="25" spans="2:29" ht="38.25" thickBot="1" x14ac:dyDescent="0.3">
      <c r="B25" s="971" t="s">
        <v>9503</v>
      </c>
      <c r="C25" s="749" t="s">
        <v>4751</v>
      </c>
      <c r="D25" s="749" t="s">
        <v>1202</v>
      </c>
      <c r="E25" s="972" t="s">
        <v>1894</v>
      </c>
      <c r="S25" s="971" t="s">
        <v>9503</v>
      </c>
      <c r="T25" s="967" t="s">
        <v>4751</v>
      </c>
      <c r="U25" s="967" t="s">
        <v>1202</v>
      </c>
      <c r="V25" s="973" t="s">
        <v>1894</v>
      </c>
      <c r="Z25" s="939" t="s">
        <v>9506</v>
      </c>
      <c r="AA25" s="1061" t="s">
        <v>2623</v>
      </c>
      <c r="AB25" s="1061" t="s">
        <v>2623</v>
      </c>
      <c r="AC25" s="1062">
        <f t="shared" ref="AC25" si="0">AC23-AC24</f>
        <v>466.03048333339393</v>
      </c>
    </row>
    <row r="26" spans="2:29" ht="18.75" x14ac:dyDescent="0.25">
      <c r="B26" s="940" t="s">
        <v>9504</v>
      </c>
      <c r="C26" s="946">
        <v>0.33</v>
      </c>
      <c r="D26" s="946">
        <v>0.33</v>
      </c>
      <c r="E26" s="947">
        <v>0.34</v>
      </c>
      <c r="S26" s="971" t="s">
        <v>9504</v>
      </c>
      <c r="T26" s="1049">
        <v>0.33</v>
      </c>
      <c r="U26" s="1049">
        <v>0.33</v>
      </c>
      <c r="V26" s="1050">
        <v>0.34</v>
      </c>
    </row>
    <row r="27" spans="2:29" ht="18.75" x14ac:dyDescent="0.25">
      <c r="B27" s="940" t="s">
        <v>4591</v>
      </c>
      <c r="C27" s="941">
        <f ca="1">C26*E22</f>
        <v>27037949.311106794</v>
      </c>
      <c r="D27" s="941">
        <f ca="1">D26*E22</f>
        <v>27037949.311106794</v>
      </c>
      <c r="E27" s="934">
        <f ca="1">E26*E22</f>
        <v>27857281.108413059</v>
      </c>
      <c r="S27" s="940" t="s">
        <v>4591</v>
      </c>
      <c r="T27" s="941">
        <f ca="1">T26*V22</f>
        <v>11609683.409193322</v>
      </c>
      <c r="U27" s="941">
        <f ca="1">U26*V22</f>
        <v>11609683.409193322</v>
      </c>
      <c r="V27" s="934">
        <f ca="1">V26*V22</f>
        <v>11961491.997350695</v>
      </c>
    </row>
    <row r="28" spans="2:29" ht="37.5" x14ac:dyDescent="0.25">
      <c r="B28" s="938" t="s">
        <v>9505</v>
      </c>
      <c r="C28" s="942"/>
      <c r="D28" s="942"/>
      <c r="E28" s="943"/>
      <c r="S28" s="938" t="s">
        <v>9505</v>
      </c>
      <c r="T28" s="942">
        <f>Receiving!I139</f>
        <v>11609683</v>
      </c>
      <c r="U28" s="942">
        <f>Receiving!N139</f>
        <v>9500000</v>
      </c>
      <c r="V28" s="943">
        <f>Receiving!D139</f>
        <v>3925000</v>
      </c>
    </row>
    <row r="29" spans="2:29" ht="38.25" thickBot="1" x14ac:dyDescent="0.3">
      <c r="B29" s="939" t="s">
        <v>9506</v>
      </c>
      <c r="C29" s="944">
        <f ca="1">C27-C28</f>
        <v>27037949.311106794</v>
      </c>
      <c r="D29" s="944">
        <f t="shared" ref="D29:E29" ca="1" si="1">D27-D28</f>
        <v>27037949.311106794</v>
      </c>
      <c r="E29" s="945">
        <f t="shared" ca="1" si="1"/>
        <v>27857281.108413059</v>
      </c>
      <c r="S29" s="939" t="s">
        <v>9506</v>
      </c>
      <c r="T29" s="944">
        <f ca="1">T27-T28</f>
        <v>0.40919332206249237</v>
      </c>
      <c r="U29" s="944">
        <f t="shared" ref="U29" ca="1" si="2">U27-U28</f>
        <v>2109683.4091933221</v>
      </c>
      <c r="V29" s="945">
        <f t="shared" ref="V29" ca="1" si="3">V27-V28</f>
        <v>8036491.9973506946</v>
      </c>
    </row>
  </sheetData>
  <mergeCells count="83">
    <mergeCell ref="S10:U10"/>
    <mergeCell ref="B8:D8"/>
    <mergeCell ref="B9:D9"/>
    <mergeCell ref="B10:D10"/>
    <mergeCell ref="B11:D11"/>
    <mergeCell ref="N9:Q9"/>
    <mergeCell ref="S20:U20"/>
    <mergeCell ref="S22:U22"/>
    <mergeCell ref="S24:V24"/>
    <mergeCell ref="S7:U7"/>
    <mergeCell ref="S15:U15"/>
    <mergeCell ref="S17:U17"/>
    <mergeCell ref="S18:U18"/>
    <mergeCell ref="S19:U19"/>
    <mergeCell ref="S21:U21"/>
    <mergeCell ref="S14:U14"/>
    <mergeCell ref="S8:U8"/>
    <mergeCell ref="S9:U9"/>
    <mergeCell ref="S13:U13"/>
    <mergeCell ref="S11:U11"/>
    <mergeCell ref="S12:U12"/>
    <mergeCell ref="S16:U16"/>
    <mergeCell ref="S1:V1"/>
    <mergeCell ref="S2:V2"/>
    <mergeCell ref="S4:U4"/>
    <mergeCell ref="S5:U5"/>
    <mergeCell ref="S6:U6"/>
    <mergeCell ref="Z1:AC1"/>
    <mergeCell ref="Z2:AC2"/>
    <mergeCell ref="Z20:AC20"/>
    <mergeCell ref="Z4:AB4"/>
    <mergeCell ref="Z5:AB5"/>
    <mergeCell ref="Z6:AB6"/>
    <mergeCell ref="Z7:AB7"/>
    <mergeCell ref="Z8:AB8"/>
    <mergeCell ref="Z9:AB9"/>
    <mergeCell ref="Z10:AB10"/>
    <mergeCell ref="Z11:AB11"/>
    <mergeCell ref="Z12:AB12"/>
    <mergeCell ref="Z13:AB13"/>
    <mergeCell ref="B1:E1"/>
    <mergeCell ref="B2:E2"/>
    <mergeCell ref="B4:D4"/>
    <mergeCell ref="B5:D5"/>
    <mergeCell ref="B6:D6"/>
    <mergeCell ref="B22:D22"/>
    <mergeCell ref="B24:E24"/>
    <mergeCell ref="B7:D7"/>
    <mergeCell ref="B18:D18"/>
    <mergeCell ref="B19:D19"/>
    <mergeCell ref="B20:D20"/>
    <mergeCell ref="B21:D21"/>
    <mergeCell ref="B17:D17"/>
    <mergeCell ref="B12:D12"/>
    <mergeCell ref="B13:D13"/>
    <mergeCell ref="B14:D14"/>
    <mergeCell ref="B15:D15"/>
    <mergeCell ref="B16:D16"/>
    <mergeCell ref="N1:Q1"/>
    <mergeCell ref="N2:Q2"/>
    <mergeCell ref="N5:P5"/>
    <mergeCell ref="N6:P6"/>
    <mergeCell ref="N7:P7"/>
    <mergeCell ref="N4:Q4"/>
    <mergeCell ref="N14:P14"/>
    <mergeCell ref="N8:P8"/>
    <mergeCell ref="N10:P10"/>
    <mergeCell ref="N11:P11"/>
    <mergeCell ref="N12:P12"/>
    <mergeCell ref="N13:P13"/>
    <mergeCell ref="H1:K1"/>
    <mergeCell ref="H2:K2"/>
    <mergeCell ref="H4:K4"/>
    <mergeCell ref="H5:J5"/>
    <mergeCell ref="H6:J6"/>
    <mergeCell ref="H12:J12"/>
    <mergeCell ref="H13:J13"/>
    <mergeCell ref="H14:J14"/>
    <mergeCell ref="H7:J7"/>
    <mergeCell ref="H8:J8"/>
    <mergeCell ref="H9:K9"/>
    <mergeCell ref="H10:J10"/>
    <mergeCell ref="H11:J11"/>
  </mergeCell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61" workbookViewId="0">
      <selection activeCell="L68" sqref="L68"/>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359" t="s">
        <v>5474</v>
      </c>
      <c r="B1" s="1359"/>
      <c r="C1" s="1359"/>
      <c r="D1" s="1359"/>
      <c r="E1" s="1359"/>
      <c r="F1" s="1359"/>
      <c r="G1" s="1359"/>
      <c r="H1" s="1359"/>
      <c r="I1" s="1359"/>
      <c r="J1" s="1359"/>
    </row>
    <row r="2" spans="1:11" x14ac:dyDescent="0.25">
      <c r="A2" s="1359"/>
      <c r="B2" s="1359"/>
      <c r="C2" s="1359"/>
      <c r="D2" s="1359"/>
      <c r="E2" s="1359"/>
      <c r="F2" s="1359"/>
      <c r="G2" s="1359"/>
      <c r="H2" s="1359"/>
      <c r="I2" s="1359"/>
      <c r="J2" s="1359"/>
    </row>
    <row r="3" spans="1:11" ht="45" x14ac:dyDescent="0.25">
      <c r="A3" s="361" t="s">
        <v>5158</v>
      </c>
      <c r="B3" s="361" t="s">
        <v>3</v>
      </c>
      <c r="C3" s="361" t="s">
        <v>559</v>
      </c>
      <c r="D3" s="361" t="s">
        <v>5475</v>
      </c>
      <c r="E3" s="361" t="s">
        <v>1694</v>
      </c>
      <c r="F3" s="362" t="s">
        <v>5476</v>
      </c>
      <c r="G3" s="362" t="s">
        <v>2615</v>
      </c>
      <c r="H3" s="363" t="s">
        <v>5477</v>
      </c>
      <c r="I3" s="363" t="s">
        <v>5478</v>
      </c>
      <c r="J3" s="363" t="s">
        <v>5479</v>
      </c>
    </row>
    <row r="4" spans="1:11" x14ac:dyDescent="0.25">
      <c r="A4" s="2" t="s">
        <v>5159</v>
      </c>
      <c r="B4" s="15">
        <v>85860666.206317201</v>
      </c>
      <c r="C4" s="15">
        <v>120413513</v>
      </c>
      <c r="D4" s="15">
        <f>C4-B4</f>
        <v>34552846.793682799</v>
      </c>
      <c r="E4" s="15">
        <v>300000</v>
      </c>
      <c r="F4" s="364"/>
      <c r="G4" s="284">
        <f>D4-E4</f>
        <v>34252846.793682799</v>
      </c>
      <c r="H4" s="15">
        <f>G4*33%</f>
        <v>11303439.441915324</v>
      </c>
      <c r="I4" s="15">
        <f>G4*33%</f>
        <v>11303439.441915324</v>
      </c>
      <c r="J4" s="15">
        <f>G4*34%</f>
        <v>11645967.909852153</v>
      </c>
    </row>
    <row r="5" spans="1:11" x14ac:dyDescent="0.25">
      <c r="A5" s="2" t="s">
        <v>5160</v>
      </c>
      <c r="B5" s="15">
        <v>113012540.90419273</v>
      </c>
      <c r="C5" s="15">
        <v>164353252</v>
      </c>
      <c r="D5" s="15">
        <f t="shared" ref="D5:D6" si="0">C5-B5</f>
        <v>51340711.095807269</v>
      </c>
      <c r="E5" s="15">
        <v>500000</v>
      </c>
      <c r="F5" s="364"/>
      <c r="G5" s="284">
        <f>D5-E5</f>
        <v>50840711.095807269</v>
      </c>
      <c r="H5" s="15">
        <f>G5*33%</f>
        <v>16777434.6616164</v>
      </c>
      <c r="I5" s="15">
        <f>G5*33%</f>
        <v>16777434.6616164</v>
      </c>
      <c r="J5" s="15">
        <f>G5*34%</f>
        <v>17285841.772574473</v>
      </c>
    </row>
    <row r="6" spans="1:11" x14ac:dyDescent="0.25">
      <c r="A6" s="2" t="s">
        <v>5161</v>
      </c>
      <c r="B6" s="15">
        <v>138622950.11069509</v>
      </c>
      <c r="C6" s="15">
        <v>174948764</v>
      </c>
      <c r="D6" s="15">
        <f t="shared" si="0"/>
        <v>36325813.889304906</v>
      </c>
      <c r="E6" s="15">
        <v>500000</v>
      </c>
      <c r="F6" s="285">
        <v>768000</v>
      </c>
      <c r="G6" s="284">
        <f>D6-E6-F6</f>
        <v>35057813.889304906</v>
      </c>
      <c r="H6" s="15">
        <f>G6*33%</f>
        <v>11569078.58347062</v>
      </c>
      <c r="I6" s="15">
        <f>G6*33%</f>
        <v>11569078.58347062</v>
      </c>
      <c r="J6" s="15">
        <f>G6*34%</f>
        <v>11919656.722363669</v>
      </c>
    </row>
    <row r="7" spans="1:11" ht="30" x14ac:dyDescent="0.25">
      <c r="B7" s="365"/>
      <c r="C7" s="365"/>
      <c r="D7" s="365"/>
      <c r="E7" s="50"/>
      <c r="F7" s="50"/>
      <c r="G7" s="366" t="s">
        <v>5480</v>
      </c>
      <c r="H7" s="367">
        <f>SUM(H4:H6)</f>
        <v>39649952.687002346</v>
      </c>
      <c r="I7" s="367">
        <f t="shared" ref="I7:J7" si="1">SUM(I4:I6)</f>
        <v>39649952.687002346</v>
      </c>
      <c r="J7" s="367">
        <f t="shared" si="1"/>
        <v>40851466.404790297</v>
      </c>
      <c r="K7" s="3"/>
    </row>
    <row r="8" spans="1:11" ht="60" x14ac:dyDescent="0.25">
      <c r="G8" s="368" t="s">
        <v>5481</v>
      </c>
      <c r="H8" s="284">
        <f>B16</f>
        <v>37808439</v>
      </c>
      <c r="I8" s="284">
        <f>C16</f>
        <v>37530222</v>
      </c>
      <c r="J8" s="15">
        <f>D16</f>
        <v>35154272</v>
      </c>
    </row>
    <row r="9" spans="1:11" x14ac:dyDescent="0.25">
      <c r="G9" s="369" t="s">
        <v>5482</v>
      </c>
      <c r="H9" s="284">
        <f>H7-H8</f>
        <v>1841513.6870023459</v>
      </c>
      <c r="I9" s="284">
        <f t="shared" ref="I9:J9" si="2">I7-I8</f>
        <v>2119730.6870023459</v>
      </c>
      <c r="J9" s="284">
        <f t="shared" si="2"/>
        <v>5697194.4047902972</v>
      </c>
    </row>
    <row r="10" spans="1:11" x14ac:dyDescent="0.25">
      <c r="G10" s="370"/>
      <c r="H10" s="3"/>
    </row>
    <row r="11" spans="1:11" x14ac:dyDescent="0.25">
      <c r="A11" s="1358" t="s">
        <v>5483</v>
      </c>
      <c r="B11" s="1358"/>
      <c r="C11" s="1358"/>
      <c r="D11" s="1358"/>
    </row>
    <row r="12" spans="1:11" x14ac:dyDescent="0.25">
      <c r="A12" s="361" t="s">
        <v>5158</v>
      </c>
      <c r="B12" s="361" t="s">
        <v>939</v>
      </c>
      <c r="C12" s="361" t="s">
        <v>1202</v>
      </c>
      <c r="D12" s="361" t="s">
        <v>1894</v>
      </c>
      <c r="E12" s="3"/>
      <c r="G12" s="1360" t="s">
        <v>5484</v>
      </c>
      <c r="H12" s="1361"/>
      <c r="I12" s="1362"/>
      <c r="J12" s="371">
        <f>H9+I9+J9</f>
        <v>9658438.778794989</v>
      </c>
    </row>
    <row r="13" spans="1:11" x14ac:dyDescent="0.25">
      <c r="A13" s="2" t="s">
        <v>5159</v>
      </c>
      <c r="B13" s="15">
        <v>9323439</v>
      </c>
      <c r="C13" s="15">
        <v>9323439</v>
      </c>
      <c r="D13" s="15">
        <v>9605968</v>
      </c>
      <c r="G13" s="1360" t="s">
        <v>5485</v>
      </c>
      <c r="H13" s="1361"/>
      <c r="I13" s="1362"/>
      <c r="J13" s="371">
        <f>J31</f>
        <v>5549996</v>
      </c>
    </row>
    <row r="14" spans="1:11" x14ac:dyDescent="0.25">
      <c r="A14" s="2" t="s">
        <v>5160</v>
      </c>
      <c r="B14" s="15">
        <v>7575873</v>
      </c>
      <c r="C14" s="15">
        <v>7575873</v>
      </c>
      <c r="D14" s="15">
        <v>7805445</v>
      </c>
      <c r="G14" s="1360" t="s">
        <v>5486</v>
      </c>
      <c r="H14" s="1361"/>
      <c r="I14" s="1362"/>
      <c r="J14" s="371">
        <f>J12-J13</f>
        <v>4108442.778794989</v>
      </c>
    </row>
    <row r="15" spans="1:11" x14ac:dyDescent="0.25">
      <c r="A15" s="2" t="s">
        <v>5161</v>
      </c>
      <c r="B15" s="15">
        <f>'old Sharing details'!$H$30</f>
        <v>20909127</v>
      </c>
      <c r="C15" s="15">
        <f>'old Sharing details'!$H$65</f>
        <v>20630910</v>
      </c>
      <c r="D15" s="15">
        <f>'old Sharing details'!$D$125</f>
        <v>17742859</v>
      </c>
      <c r="G15" s="1"/>
      <c r="H15" s="1"/>
    </row>
    <row r="16" spans="1:11" x14ac:dyDescent="0.25">
      <c r="A16" s="361" t="s">
        <v>5163</v>
      </c>
      <c r="B16" s="372">
        <f>SUM(B13:B15)</f>
        <v>37808439</v>
      </c>
      <c r="C16" s="372">
        <f>SUM(C13:C15)</f>
        <v>37530222</v>
      </c>
      <c r="D16" s="372">
        <f>SUM(D13:D15)</f>
        <v>35154272</v>
      </c>
      <c r="G16" s="1"/>
      <c r="H16" s="1"/>
      <c r="J16" s="373"/>
    </row>
    <row r="17" spans="1:13" x14ac:dyDescent="0.25">
      <c r="H17" s="1"/>
      <c r="I17" t="s">
        <v>766</v>
      </c>
      <c r="J17" s="3">
        <f>J9+I9+H9</f>
        <v>9658438.778794989</v>
      </c>
      <c r="K17" s="3"/>
    </row>
    <row r="18" spans="1:13" ht="15.75" x14ac:dyDescent="0.25">
      <c r="F18" s="1363" t="s">
        <v>5487</v>
      </c>
      <c r="G18" s="1363"/>
      <c r="I18" t="s">
        <v>5854</v>
      </c>
      <c r="J18" s="3">
        <f>J31</f>
        <v>5549996</v>
      </c>
      <c r="K18" s="3"/>
    </row>
    <row r="19" spans="1:13" x14ac:dyDescent="0.25">
      <c r="F19" s="2" t="s">
        <v>5488</v>
      </c>
      <c r="G19" s="15">
        <v>8000000</v>
      </c>
      <c r="I19" t="s">
        <v>5489</v>
      </c>
      <c r="J19" s="3">
        <f>J17-J18</f>
        <v>4108442.778794989</v>
      </c>
      <c r="K19" s="3"/>
      <c r="L19" s="3"/>
    </row>
    <row r="20" spans="1:13" x14ac:dyDescent="0.25">
      <c r="F20" s="2" t="s">
        <v>5490</v>
      </c>
      <c r="G20" s="15">
        <v>2500000</v>
      </c>
      <c r="K20" s="3"/>
    </row>
    <row r="21" spans="1:13" x14ac:dyDescent="0.25">
      <c r="F21" s="2" t="s">
        <v>5870</v>
      </c>
      <c r="G21" s="433">
        <v>5500000</v>
      </c>
      <c r="K21" s="3"/>
      <c r="L21" s="3"/>
    </row>
    <row r="22" spans="1:13" x14ac:dyDescent="0.25">
      <c r="F22" s="2" t="s">
        <v>5492</v>
      </c>
      <c r="G22" s="15"/>
      <c r="I22" s="1358" t="s">
        <v>5491</v>
      </c>
      <c r="J22" s="1358"/>
      <c r="M22" s="3">
        <f>F6+G43</f>
        <v>1314656</v>
      </c>
    </row>
    <row r="23" spans="1:13" x14ac:dyDescent="0.25">
      <c r="F23" s="2" t="s">
        <v>5855</v>
      </c>
      <c r="G23" s="15"/>
      <c r="I23" s="2" t="s">
        <v>2264</v>
      </c>
      <c r="J23" s="15">
        <v>2000000</v>
      </c>
      <c r="K23" s="3"/>
    </row>
    <row r="24" spans="1:13" x14ac:dyDescent="0.25">
      <c r="F24" s="2" t="s">
        <v>5870</v>
      </c>
      <c r="G24" s="433"/>
      <c r="I24" s="2" t="s">
        <v>5493</v>
      </c>
      <c r="J24" s="15">
        <v>1272082</v>
      </c>
      <c r="K24" s="3"/>
    </row>
    <row r="25" spans="1:13" x14ac:dyDescent="0.25">
      <c r="F25" s="2" t="s">
        <v>5856</v>
      </c>
      <c r="G25" s="15">
        <v>43000</v>
      </c>
      <c r="I25" s="2" t="s">
        <v>5537</v>
      </c>
      <c r="J25" s="15">
        <v>1000000</v>
      </c>
      <c r="L25" s="1"/>
    </row>
    <row r="26" spans="1:13" x14ac:dyDescent="0.25">
      <c r="F26" s="2" t="s">
        <v>5857</v>
      </c>
      <c r="G26" s="15">
        <v>156523</v>
      </c>
      <c r="I26" s="2" t="s">
        <v>5495</v>
      </c>
      <c r="J26" s="15">
        <v>500000</v>
      </c>
      <c r="L26" s="3"/>
    </row>
    <row r="27" spans="1:13" x14ac:dyDescent="0.25">
      <c r="F27" s="2" t="s">
        <v>5494</v>
      </c>
      <c r="G27" s="374">
        <f>SUM(G19:G26)</f>
        <v>16199523</v>
      </c>
      <c r="I27" s="2" t="s">
        <v>5496</v>
      </c>
      <c r="J27" s="15">
        <v>400000</v>
      </c>
      <c r="L27" s="3"/>
    </row>
    <row r="28" spans="1:13" x14ac:dyDescent="0.25">
      <c r="A28" t="s">
        <v>6071</v>
      </c>
      <c r="B28" s="1">
        <v>1050000</v>
      </c>
      <c r="I28" s="2" t="s">
        <v>5498</v>
      </c>
      <c r="J28" s="15">
        <v>100000</v>
      </c>
    </row>
    <row r="29" spans="1:13" x14ac:dyDescent="0.25">
      <c r="A29" t="s">
        <v>6072</v>
      </c>
      <c r="B29" s="1">
        <v>450000</v>
      </c>
      <c r="H29" s="3"/>
      <c r="I29" s="2" t="s">
        <v>5500</v>
      </c>
      <c r="J29" s="15">
        <v>211914</v>
      </c>
    </row>
    <row r="30" spans="1:13" x14ac:dyDescent="0.25">
      <c r="B30" s="1"/>
      <c r="F30" t="s">
        <v>5497</v>
      </c>
      <c r="G30" s="3">
        <f>J9-J32</f>
        <v>3847195.7381236302</v>
      </c>
      <c r="H30" s="3"/>
      <c r="I30" s="2" t="s">
        <v>5502</v>
      </c>
      <c r="J30" s="15">
        <v>66000</v>
      </c>
      <c r="L30" s="3"/>
    </row>
    <row r="31" spans="1:13" x14ac:dyDescent="0.25">
      <c r="A31" t="s">
        <v>6073</v>
      </c>
      <c r="B31" s="1">
        <v>500000</v>
      </c>
      <c r="F31" t="s">
        <v>5499</v>
      </c>
      <c r="G31" s="3">
        <f>I9-J32</f>
        <v>269732.02033567918</v>
      </c>
      <c r="H31" s="3"/>
      <c r="I31" s="2" t="s">
        <v>766</v>
      </c>
      <c r="J31" s="284">
        <f>SUM(J23:J30)</f>
        <v>5549996</v>
      </c>
    </row>
    <row r="32" spans="1:13" ht="15.75" x14ac:dyDescent="0.25">
      <c r="F32" t="s">
        <v>5501</v>
      </c>
      <c r="G32" s="3">
        <f>H9-J32</f>
        <v>-8484.9796643208247</v>
      </c>
      <c r="H32" s="3"/>
      <c r="I32" s="2" t="s">
        <v>5503</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2470</v>
      </c>
    </row>
    <row r="38" spans="1:12" x14ac:dyDescent="0.25">
      <c r="K38" t="s">
        <v>5625</v>
      </c>
      <c r="L38" s="1">
        <v>1050000</v>
      </c>
    </row>
    <row r="39" spans="1:12" ht="15.75" thickBot="1" x14ac:dyDescent="0.3">
      <c r="L39" s="1"/>
    </row>
    <row r="40" spans="1:12" x14ac:dyDescent="0.25">
      <c r="A40" s="1272" t="s">
        <v>7877</v>
      </c>
      <c r="B40" s="1273"/>
      <c r="C40" s="1273"/>
      <c r="D40" s="1273"/>
      <c r="E40" s="1273"/>
      <c r="F40" s="1273"/>
      <c r="G40" s="1273"/>
      <c r="H40" s="1273"/>
      <c r="I40" s="1273"/>
      <c r="J40" s="1273"/>
      <c r="K40" s="1274"/>
    </row>
    <row r="41" spans="1:12" ht="15.75" thickBot="1" x14ac:dyDescent="0.3">
      <c r="A41" s="1278"/>
      <c r="B41" s="1279"/>
      <c r="C41" s="1279"/>
      <c r="D41" s="1279"/>
      <c r="E41" s="1279"/>
      <c r="F41" s="1279"/>
      <c r="G41" s="1279"/>
      <c r="H41" s="1279"/>
      <c r="I41" s="1279"/>
      <c r="J41" s="1279"/>
      <c r="K41" s="1280"/>
    </row>
    <row r="42" spans="1:12" ht="30" x14ac:dyDescent="0.25">
      <c r="A42" s="361" t="s">
        <v>5158</v>
      </c>
      <c r="B42" s="361" t="s">
        <v>3</v>
      </c>
      <c r="C42" s="361" t="s">
        <v>559</v>
      </c>
      <c r="D42" s="361" t="s">
        <v>5475</v>
      </c>
      <c r="E42" s="362" t="s">
        <v>6070</v>
      </c>
      <c r="F42" s="361" t="s">
        <v>1694</v>
      </c>
      <c r="G42" s="362" t="s">
        <v>5476</v>
      </c>
      <c r="H42" s="362" t="s">
        <v>2615</v>
      </c>
      <c r="I42" s="363" t="s">
        <v>5477</v>
      </c>
      <c r="J42" s="363" t="s">
        <v>5478</v>
      </c>
      <c r="K42" s="363" t="s">
        <v>5479</v>
      </c>
    </row>
    <row r="43" spans="1:12" ht="22.15" customHeight="1" x14ac:dyDescent="0.25">
      <c r="A43" s="119" t="s">
        <v>5988</v>
      </c>
      <c r="B43" s="367">
        <v>81636508.036220819</v>
      </c>
      <c r="C43" s="367">
        <v>101936225</v>
      </c>
      <c r="D43" s="367">
        <f>C43-B43</f>
        <v>20299716.963779181</v>
      </c>
      <c r="E43" s="367">
        <v>0</v>
      </c>
      <c r="F43" s="367">
        <v>437500</v>
      </c>
      <c r="G43" s="511">
        <v>546656</v>
      </c>
      <c r="H43" s="512">
        <f>D43-F43-G43-E43</f>
        <v>19315560.963779181</v>
      </c>
      <c r="I43" s="367">
        <f>H43*33%</f>
        <v>6374135.1180471303</v>
      </c>
      <c r="J43" s="367">
        <f>H43*33%</f>
        <v>6374135.1180471303</v>
      </c>
      <c r="K43" s="367">
        <f>H43*34%</f>
        <v>6567290.7276849225</v>
      </c>
    </row>
    <row r="44" spans="1:12" ht="30" x14ac:dyDescent="0.25">
      <c r="H44" s="368" t="s">
        <v>5989</v>
      </c>
      <c r="I44" s="284">
        <f>Receiving!I39</f>
        <v>6374135</v>
      </c>
      <c r="J44" s="284">
        <f>Receiving!N39</f>
        <v>6374135</v>
      </c>
      <c r="K44" s="15">
        <f>Receiving!D39</f>
        <v>6567291</v>
      </c>
    </row>
    <row r="45" spans="1:12" x14ac:dyDescent="0.25">
      <c r="H45" s="369" t="s">
        <v>5482</v>
      </c>
      <c r="I45" s="284">
        <f>I43-I44</f>
        <v>0.11804713029414415</v>
      </c>
      <c r="J45" s="284">
        <f t="shared" ref="J45:K45" si="3">J43-J44</f>
        <v>0.11804713029414415</v>
      </c>
      <c r="K45" s="284">
        <f t="shared" si="3"/>
        <v>-0.27231507748365402</v>
      </c>
    </row>
    <row r="46" spans="1:12" x14ac:dyDescent="0.25">
      <c r="H46" s="370" t="s">
        <v>6099</v>
      </c>
      <c r="I46" s="1">
        <f>1000000/3</f>
        <v>333333.33333333331</v>
      </c>
      <c r="J46" s="1"/>
      <c r="K46" s="1"/>
    </row>
    <row r="47" spans="1:12" x14ac:dyDescent="0.25">
      <c r="H47" s="370" t="s">
        <v>1691</v>
      </c>
      <c r="I47" s="1">
        <v>500000</v>
      </c>
    </row>
    <row r="48" spans="1:12" x14ac:dyDescent="0.25">
      <c r="I48" s="1">
        <f>I45+I47+I46</f>
        <v>833333.45138046355</v>
      </c>
    </row>
    <row r="50" spans="1:14" ht="15.75" thickBot="1" x14ac:dyDescent="0.3"/>
    <row r="51" spans="1:14" x14ac:dyDescent="0.25">
      <c r="A51" s="1272" t="s">
        <v>7169</v>
      </c>
      <c r="B51" s="1273"/>
      <c r="C51" s="1273"/>
      <c r="D51" s="1273"/>
      <c r="E51" s="1273"/>
      <c r="F51" s="1273"/>
      <c r="G51" s="1273"/>
      <c r="H51" s="1273"/>
      <c r="I51" s="1273"/>
      <c r="J51" s="1273"/>
      <c r="K51" s="1274"/>
    </row>
    <row r="52" spans="1:14" ht="15.75" thickBot="1" x14ac:dyDescent="0.3">
      <c r="A52" s="1278"/>
      <c r="B52" s="1279"/>
      <c r="C52" s="1279"/>
      <c r="D52" s="1279"/>
      <c r="E52" s="1279"/>
      <c r="F52" s="1279"/>
      <c r="G52" s="1279"/>
      <c r="H52" s="1279"/>
      <c r="I52" s="1279"/>
      <c r="J52" s="1279"/>
      <c r="K52" s="1280"/>
    </row>
    <row r="53" spans="1:14" ht="30" x14ac:dyDescent="0.25">
      <c r="A53" s="303" t="s">
        <v>5158</v>
      </c>
      <c r="B53" s="303" t="s">
        <v>3</v>
      </c>
      <c r="C53" s="303" t="s">
        <v>559</v>
      </c>
      <c r="D53" s="303" t="s">
        <v>5475</v>
      </c>
      <c r="E53" s="668" t="s">
        <v>6070</v>
      </c>
      <c r="F53" s="303" t="s">
        <v>1694</v>
      </c>
      <c r="G53" s="668" t="s">
        <v>5476</v>
      </c>
      <c r="H53" s="668" t="s">
        <v>2615</v>
      </c>
      <c r="I53" s="669" t="s">
        <v>5477</v>
      </c>
      <c r="J53" s="669" t="s">
        <v>5478</v>
      </c>
      <c r="K53" s="669" t="s">
        <v>5479</v>
      </c>
    </row>
    <row r="54" spans="1:14" x14ac:dyDescent="0.25">
      <c r="A54" s="119" t="s">
        <v>6283</v>
      </c>
      <c r="B54" s="367">
        <v>65645485.615975425</v>
      </c>
      <c r="C54" s="367">
        <v>78053909</v>
      </c>
      <c r="D54" s="367">
        <f>C54-B54</f>
        <v>12408423.384024575</v>
      </c>
      <c r="E54" s="367">
        <v>0</v>
      </c>
      <c r="F54" s="367">
        <v>250000</v>
      </c>
      <c r="G54" s="511"/>
      <c r="H54" s="512">
        <f>D54-F54-G54-E54</f>
        <v>12158423.384024575</v>
      </c>
      <c r="I54" s="367">
        <f>H54*33%</f>
        <v>4012279.7167281099</v>
      </c>
      <c r="J54" s="367">
        <f>H54*33%</f>
        <v>4012279.7167281099</v>
      </c>
      <c r="K54" s="367">
        <f>H54*34%</f>
        <v>4133863.9505683561</v>
      </c>
    </row>
    <row r="55" spans="1:14" ht="30" x14ac:dyDescent="0.25">
      <c r="H55" s="368" t="s">
        <v>5989</v>
      </c>
      <c r="I55" s="284">
        <f>Receiving!I79</f>
        <v>4012280</v>
      </c>
      <c r="J55" s="284">
        <f>Receiving!N79</f>
        <v>4012280</v>
      </c>
      <c r="K55" s="15">
        <f>Receiving!D79</f>
        <v>4135000</v>
      </c>
    </row>
    <row r="56" spans="1:14" x14ac:dyDescent="0.25">
      <c r="H56" s="369" t="s">
        <v>5482</v>
      </c>
      <c r="I56" s="284">
        <f>I54-I55</f>
        <v>-0.28327189013361931</v>
      </c>
      <c r="J56" s="284">
        <f t="shared" ref="J56:K56" si="4">J54-J55</f>
        <v>-0.28327189013361931</v>
      </c>
      <c r="K56" s="284">
        <f t="shared" si="4"/>
        <v>-1136.0494316439144</v>
      </c>
    </row>
    <row r="59" spans="1:14" ht="15" customHeight="1" x14ac:dyDescent="0.25">
      <c r="A59" s="1275" t="s">
        <v>7170</v>
      </c>
      <c r="B59" s="1276"/>
      <c r="C59" s="1276"/>
      <c r="D59" s="1276"/>
      <c r="E59" s="1276"/>
      <c r="F59" s="1276"/>
      <c r="G59" s="1276"/>
      <c r="H59" s="1276"/>
      <c r="I59" s="1276"/>
      <c r="J59" s="1276"/>
      <c r="K59" s="1276"/>
      <c r="L59" s="966"/>
      <c r="M59" s="966"/>
    </row>
    <row r="60" spans="1:14" ht="15.75" customHeight="1" x14ac:dyDescent="0.25">
      <c r="A60" s="1356"/>
      <c r="B60" s="1357"/>
      <c r="C60" s="1357"/>
      <c r="D60" s="1357"/>
      <c r="E60" s="1357"/>
      <c r="F60" s="1357"/>
      <c r="G60" s="1357"/>
      <c r="H60" s="1357"/>
      <c r="I60" s="1357"/>
      <c r="J60" s="1357"/>
      <c r="K60" s="1357"/>
      <c r="L60" s="966"/>
      <c r="M60" s="966"/>
    </row>
    <row r="61" spans="1:14" ht="45" x14ac:dyDescent="0.25">
      <c r="A61" s="361" t="s">
        <v>5158</v>
      </c>
      <c r="B61" s="361" t="s">
        <v>3</v>
      </c>
      <c r="C61" s="361" t="s">
        <v>559</v>
      </c>
      <c r="D61" s="361" t="s">
        <v>5475</v>
      </c>
      <c r="E61" s="361" t="s">
        <v>1694</v>
      </c>
      <c r="F61" s="362" t="s">
        <v>8725</v>
      </c>
      <c r="G61" s="362" t="s">
        <v>5476</v>
      </c>
      <c r="H61" s="362" t="s">
        <v>2615</v>
      </c>
      <c r="I61" s="363" t="s">
        <v>5477</v>
      </c>
      <c r="J61" s="363" t="s">
        <v>5478</v>
      </c>
      <c r="K61" s="363" t="s">
        <v>5479</v>
      </c>
      <c r="N61" s="1015" t="s">
        <v>1767</v>
      </c>
    </row>
    <row r="62" spans="1:14" ht="41.25" customHeight="1" x14ac:dyDescent="0.25">
      <c r="A62" s="758" t="s">
        <v>7089</v>
      </c>
      <c r="B62" s="367">
        <f>'Main Summary'!J19</f>
        <v>66512286.479166672</v>
      </c>
      <c r="C62" s="367">
        <f>'Main Summary'!K19</f>
        <v>82215394.510000005</v>
      </c>
      <c r="D62" s="367">
        <f>C62-B62</f>
        <v>15703108.030833334</v>
      </c>
      <c r="E62" s="367">
        <v>300000</v>
      </c>
      <c r="F62" s="511">
        <v>1314656</v>
      </c>
      <c r="G62" s="511">
        <v>526260</v>
      </c>
      <c r="H62" s="512">
        <f>D62-E62+F62-G62</f>
        <v>16191504.030833334</v>
      </c>
      <c r="I62" s="367">
        <f>H62*33%</f>
        <v>5343196.3301750002</v>
      </c>
      <c r="J62" s="367">
        <f>H62*33%</f>
        <v>5343196.3301750002</v>
      </c>
      <c r="K62" s="367">
        <f>H62*34%</f>
        <v>5505111.3704833342</v>
      </c>
    </row>
    <row r="63" spans="1:14" ht="30" x14ac:dyDescent="0.25">
      <c r="H63" s="368" t="s">
        <v>5989</v>
      </c>
      <c r="I63" s="284">
        <f>Receiving!I109</f>
        <v>4531000</v>
      </c>
      <c r="J63" s="284">
        <f>Receiving!N109</f>
        <v>4531779</v>
      </c>
      <c r="K63" s="15">
        <f>Receiving!D109</f>
        <v>4677000</v>
      </c>
    </row>
    <row r="64" spans="1:14" x14ac:dyDescent="0.25">
      <c r="H64" s="369" t="s">
        <v>5482</v>
      </c>
      <c r="I64" s="284">
        <f>I62-I63</f>
        <v>812196.33017500024</v>
      </c>
      <c r="J64" s="284">
        <f>J62-J63</f>
        <v>811417.33017500024</v>
      </c>
      <c r="K64" s="284">
        <f>K62-K63</f>
        <v>828111.37048333418</v>
      </c>
      <c r="M64" s="3"/>
      <c r="N64" s="3"/>
    </row>
    <row r="65" spans="1:20" ht="15.75" thickBot="1" x14ac:dyDescent="0.3">
      <c r="L65" s="3"/>
      <c r="M65" s="3"/>
    </row>
    <row r="66" spans="1:20" ht="15.75" thickBot="1" x14ac:dyDescent="0.3">
      <c r="E66" s="1353" t="s">
        <v>10399</v>
      </c>
      <c r="F66" s="1354"/>
      <c r="G66" s="1355"/>
      <c r="H66" s="369"/>
      <c r="I66" s="284">
        <v>811417</v>
      </c>
      <c r="J66" s="284">
        <v>811417</v>
      </c>
      <c r="K66" s="284">
        <v>811417</v>
      </c>
      <c r="L66" s="3"/>
      <c r="M66" s="3"/>
    </row>
    <row r="67" spans="1:20" x14ac:dyDescent="0.25">
      <c r="L67" s="3"/>
    </row>
    <row r="68" spans="1:20" s="930" customFormat="1" ht="21.75" customHeight="1" x14ac:dyDescent="0.25">
      <c r="G68" s="948"/>
      <c r="H68" s="963" t="s">
        <v>10400</v>
      </c>
      <c r="I68" s="965" t="s">
        <v>2623</v>
      </c>
      <c r="J68" s="965" t="s">
        <v>2623</v>
      </c>
      <c r="K68" s="965" t="s">
        <v>2623</v>
      </c>
      <c r="L68" s="949">
        <f>K64-K66</f>
        <v>16694.370483334176</v>
      </c>
      <c r="M68" s="949"/>
      <c r="N68" s="948"/>
      <c r="O68" s="948"/>
      <c r="P68" s="948"/>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72" t="s">
        <v>8164</v>
      </c>
      <c r="B74" s="1273"/>
      <c r="C74" s="1273"/>
      <c r="D74" s="1273"/>
      <c r="E74" s="1273"/>
      <c r="F74" s="1273"/>
      <c r="G74" s="1273"/>
      <c r="H74" s="1273"/>
      <c r="I74" s="1273"/>
      <c r="J74" s="1273"/>
      <c r="K74" s="1273"/>
      <c r="L74" s="1274"/>
    </row>
    <row r="75" spans="1:20" ht="15.75" customHeight="1" thickBot="1" x14ac:dyDescent="0.3">
      <c r="A75" s="1278"/>
      <c r="B75" s="1279"/>
      <c r="C75" s="1279"/>
      <c r="D75" s="1279"/>
      <c r="E75" s="1279"/>
      <c r="F75" s="1279"/>
      <c r="G75" s="1279"/>
      <c r="H75" s="1279"/>
      <c r="I75" s="1279"/>
      <c r="J75" s="1279"/>
      <c r="K75" s="1279"/>
      <c r="L75" s="1280"/>
      <c r="M75" s="3"/>
    </row>
    <row r="76" spans="1:20" ht="45" x14ac:dyDescent="0.25">
      <c r="A76" s="303" t="s">
        <v>5158</v>
      </c>
      <c r="B76" s="303" t="s">
        <v>3</v>
      </c>
      <c r="C76" s="303" t="s">
        <v>559</v>
      </c>
      <c r="D76" s="303" t="s">
        <v>5475</v>
      </c>
      <c r="E76" s="668" t="s">
        <v>10535</v>
      </c>
      <c r="F76" s="303" t="s">
        <v>1694</v>
      </c>
      <c r="G76" s="668" t="s">
        <v>8725</v>
      </c>
      <c r="H76" s="668" t="s">
        <v>5476</v>
      </c>
      <c r="I76" s="668" t="s">
        <v>2615</v>
      </c>
      <c r="J76" s="669" t="s">
        <v>5477</v>
      </c>
      <c r="K76" s="669" t="s">
        <v>5478</v>
      </c>
      <c r="L76" s="669" t="s">
        <v>5479</v>
      </c>
    </row>
    <row r="77" spans="1:20" ht="33" customHeight="1" x14ac:dyDescent="0.25">
      <c r="A77" s="119" t="s">
        <v>8165</v>
      </c>
      <c r="B77" s="367">
        <f>'Main Summary'!F19</f>
        <v>152294955.60426268</v>
      </c>
      <c r="C77" s="367">
        <f>'Main Summary'!G19</f>
        <v>199095497.42000002</v>
      </c>
      <c r="D77" s="367">
        <f>C77-B77</f>
        <v>46800541.815737337</v>
      </c>
      <c r="E77" s="367">
        <v>6000000</v>
      </c>
      <c r="F77" s="367">
        <v>300000</v>
      </c>
      <c r="G77" s="367">
        <v>526260</v>
      </c>
      <c r="H77" s="511">
        <v>725922</v>
      </c>
      <c r="I77" s="512">
        <f>D77-F77+G77-H77-E77</f>
        <v>40300879.815737337</v>
      </c>
      <c r="J77" s="367">
        <f>I77*33%</f>
        <v>13299290.339193322</v>
      </c>
      <c r="K77" s="367">
        <f>I77*33%</f>
        <v>13299290.339193322</v>
      </c>
      <c r="L77" s="367">
        <f>I77*34%</f>
        <v>13702299.137350695</v>
      </c>
    </row>
    <row r="78" spans="1:20" s="930" customFormat="1" ht="30" x14ac:dyDescent="0.25">
      <c r="I78" s="964" t="s">
        <v>5989</v>
      </c>
      <c r="J78" s="512">
        <f>Receiving!I139</f>
        <v>11609683</v>
      </c>
      <c r="K78" s="512">
        <f>Receiving!N139</f>
        <v>9500000</v>
      </c>
      <c r="L78" s="367">
        <f>Receiving!D139</f>
        <v>3925000</v>
      </c>
    </row>
    <row r="79" spans="1:20" s="930" customFormat="1" ht="30" x14ac:dyDescent="0.25">
      <c r="I79" s="964" t="s">
        <v>5482</v>
      </c>
      <c r="J79" s="512">
        <f>J77-J78</f>
        <v>1689607.3391933218</v>
      </c>
      <c r="K79" s="512">
        <f>K77-K78</f>
        <v>3799290.3391933218</v>
      </c>
      <c r="L79" s="512">
        <f>L77-L78</f>
        <v>9777299.1373506952</v>
      </c>
      <c r="O79" s="948"/>
      <c r="P79" s="948"/>
      <c r="Q79" s="948"/>
      <c r="T79" s="949"/>
    </row>
    <row r="80" spans="1:20" x14ac:dyDescent="0.25">
      <c r="N80" s="1"/>
      <c r="O80" s="1"/>
      <c r="P80" s="1"/>
    </row>
    <row r="81" spans="1:17" x14ac:dyDescent="0.25">
      <c r="N81" s="1"/>
      <c r="O81" s="1"/>
      <c r="P81" s="1"/>
    </row>
    <row r="82" spans="1:17" s="930" customFormat="1" ht="26.25" customHeight="1" x14ac:dyDescent="0.25">
      <c r="C82" s="1350" t="s">
        <v>10498</v>
      </c>
      <c r="D82" s="1351"/>
      <c r="E82" s="1351"/>
      <c r="F82" s="1351"/>
      <c r="G82" s="1351"/>
      <c r="H82" s="1352"/>
      <c r="I82" s="977"/>
      <c r="J82" s="977">
        <f>19830000/3</f>
        <v>6610000</v>
      </c>
      <c r="K82" s="977">
        <f>19830000/3</f>
        <v>6610000</v>
      </c>
      <c r="L82" s="977">
        <f>19830000/3</f>
        <v>6610000</v>
      </c>
      <c r="M82" s="949"/>
    </row>
    <row r="83" spans="1:17" x14ac:dyDescent="0.25">
      <c r="M83" s="3"/>
    </row>
    <row r="84" spans="1:17" s="930" customFormat="1" ht="26.25" customHeight="1" x14ac:dyDescent="0.25">
      <c r="C84" s="1350" t="s">
        <v>10536</v>
      </c>
      <c r="D84" s="1351"/>
      <c r="E84" s="1351"/>
      <c r="F84" s="1351"/>
      <c r="G84" s="1351"/>
      <c r="H84" s="1352"/>
      <c r="I84" s="968"/>
      <c r="J84" s="512">
        <f>3221500/3</f>
        <v>1073833.3333333333</v>
      </c>
      <c r="K84" s="512">
        <f>3221500/3</f>
        <v>1073833.3333333333</v>
      </c>
      <c r="L84" s="512">
        <f>3221500/3</f>
        <v>1073833.3333333333</v>
      </c>
      <c r="M84" s="949"/>
    </row>
    <row r="85" spans="1:17" x14ac:dyDescent="0.25">
      <c r="M85" s="3"/>
    </row>
    <row r="86" spans="1:17" s="930" customFormat="1" ht="21.75" customHeight="1" x14ac:dyDescent="0.25">
      <c r="G86" s="948"/>
      <c r="H86" s="948"/>
      <c r="I86" s="963" t="s">
        <v>10400</v>
      </c>
      <c r="J86" s="965">
        <f>J79-J82-J84</f>
        <v>-5994225.9941400113</v>
      </c>
      <c r="K86" s="965">
        <f>K79-K82-K84</f>
        <v>-3884542.9941400113</v>
      </c>
      <c r="L86" s="965">
        <f>L79-L82-L84</f>
        <v>2093465.804017362</v>
      </c>
      <c r="N86" s="974">
        <f>L86+K86+J86</f>
        <v>-7785303.1842626603</v>
      </c>
      <c r="O86" s="948"/>
      <c r="P86" s="948"/>
      <c r="Q86" s="948"/>
    </row>
    <row r="87" spans="1:17" x14ac:dyDescent="0.25">
      <c r="N87" s="1"/>
      <c r="O87" s="1"/>
      <c r="P87" s="1"/>
    </row>
    <row r="88" spans="1:17" ht="15.75" thickBot="1" x14ac:dyDescent="0.3">
      <c r="N88" s="1"/>
      <c r="O88" s="1"/>
      <c r="P88" s="1"/>
    </row>
    <row r="89" spans="1:17" x14ac:dyDescent="0.25">
      <c r="A89" s="1272" t="s">
        <v>10401</v>
      </c>
      <c r="B89" s="1273"/>
      <c r="C89" s="1273"/>
      <c r="D89" s="1273"/>
      <c r="E89" s="1273"/>
      <c r="F89" s="1273"/>
      <c r="G89" s="1273"/>
      <c r="H89" s="1273"/>
      <c r="I89" s="1273"/>
      <c r="J89" s="1273"/>
      <c r="K89" s="1274"/>
      <c r="L89" s="3"/>
      <c r="M89" s="3"/>
    </row>
    <row r="90" spans="1:17" ht="15.75" thickBot="1" x14ac:dyDescent="0.3">
      <c r="A90" s="1278"/>
      <c r="B90" s="1279"/>
      <c r="C90" s="1279"/>
      <c r="D90" s="1279"/>
      <c r="E90" s="1279"/>
      <c r="F90" s="1279"/>
      <c r="G90" s="1279"/>
      <c r="H90" s="1279"/>
      <c r="I90" s="1279"/>
      <c r="J90" s="1279"/>
      <c r="K90" s="1280"/>
      <c r="O90" s="3"/>
    </row>
    <row r="91" spans="1:17" ht="45" x14ac:dyDescent="0.25">
      <c r="A91" s="361" t="s">
        <v>5158</v>
      </c>
      <c r="B91" s="361" t="s">
        <v>3</v>
      </c>
      <c r="C91" s="361" t="s">
        <v>559</v>
      </c>
      <c r="D91" s="361" t="s">
        <v>5475</v>
      </c>
      <c r="E91" s="361" t="s">
        <v>1694</v>
      </c>
      <c r="F91" s="362" t="s">
        <v>8725</v>
      </c>
      <c r="G91" s="362" t="s">
        <v>5476</v>
      </c>
      <c r="H91" s="362" t="s">
        <v>2615</v>
      </c>
      <c r="I91" s="363" t="s">
        <v>5477</v>
      </c>
      <c r="J91" s="363" t="s">
        <v>5478</v>
      </c>
      <c r="K91" s="363" t="s">
        <v>5479</v>
      </c>
    </row>
    <row r="92" spans="1:17" ht="31.5" customHeight="1" x14ac:dyDescent="0.25">
      <c r="A92" s="119" t="s">
        <v>10402</v>
      </c>
      <c r="B92" s="367">
        <f>'Main Summary'!B19</f>
        <v>247860819.26937336</v>
      </c>
      <c r="C92" s="367">
        <f>'Main Summary'!C19</f>
        <v>319655139</v>
      </c>
      <c r="D92" s="367">
        <f>C92-B92</f>
        <v>71794319.730626643</v>
      </c>
      <c r="E92" s="367"/>
      <c r="F92" s="367"/>
      <c r="G92" s="511"/>
      <c r="H92" s="512">
        <f>D92-E92+F92-G92</f>
        <v>71794319.730626643</v>
      </c>
      <c r="I92" s="367">
        <f>H92*33%</f>
        <v>23692125.511106793</v>
      </c>
      <c r="J92" s="367">
        <f>H92*33%</f>
        <v>23692125.511106793</v>
      </c>
      <c r="K92" s="367">
        <f>H92*34%</f>
        <v>24410068.708413061</v>
      </c>
      <c r="L92" s="3"/>
      <c r="Q92" s="3"/>
    </row>
    <row r="93" spans="1:17" ht="30" x14ac:dyDescent="0.25">
      <c r="H93" s="368" t="s">
        <v>5989</v>
      </c>
      <c r="I93" s="284">
        <f>Receiving!I125</f>
        <v>2000000</v>
      </c>
      <c r="J93" s="284">
        <f>Receiving!N125</f>
        <v>0</v>
      </c>
      <c r="K93" s="15">
        <f>Receiving!D125</f>
        <v>250000</v>
      </c>
    </row>
    <row r="94" spans="1:17" ht="30" x14ac:dyDescent="0.25">
      <c r="H94" s="368" t="s">
        <v>5482</v>
      </c>
      <c r="I94" s="284">
        <f>I92-I93</f>
        <v>21692125.511106793</v>
      </c>
      <c r="J94" s="284">
        <f t="shared" ref="J94:K94" si="5">J92-J93</f>
        <v>23692125.511106793</v>
      </c>
      <c r="K94" s="284">
        <f t="shared" si="5"/>
        <v>24160068.708413061</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74" t="s">
        <v>2611</v>
      </c>
      <c r="B2" s="1374"/>
      <c r="C2" s="1374"/>
      <c r="D2" s="1374"/>
      <c r="E2" s="1374"/>
      <c r="F2" s="1374"/>
      <c r="G2" s="1374"/>
      <c r="H2" s="1374"/>
      <c r="I2" s="1374"/>
      <c r="J2" s="1374"/>
      <c r="K2" s="1374"/>
    </row>
    <row r="3" spans="1:11" ht="63" x14ac:dyDescent="0.25">
      <c r="A3" s="185" t="s">
        <v>2612</v>
      </c>
      <c r="B3" s="185" t="s">
        <v>4</v>
      </c>
      <c r="C3" s="185" t="s">
        <v>2613</v>
      </c>
      <c r="D3" s="186" t="s">
        <v>2614</v>
      </c>
      <c r="E3" s="186"/>
      <c r="F3" s="186"/>
      <c r="G3" s="186"/>
      <c r="H3" s="185" t="s">
        <v>2615</v>
      </c>
      <c r="I3" s="186" t="s">
        <v>2616</v>
      </c>
      <c r="J3" s="186" t="s">
        <v>2617</v>
      </c>
      <c r="K3" s="186" t="s">
        <v>2618</v>
      </c>
    </row>
    <row r="4" spans="1:11" ht="15" customHeight="1" x14ac:dyDescent="0.25">
      <c r="A4" s="1372">
        <v>28459027</v>
      </c>
      <c r="B4" s="1372">
        <v>35457479</v>
      </c>
      <c r="C4" s="1372">
        <f>B4-A4</f>
        <v>6998452</v>
      </c>
      <c r="D4" s="1372" t="s">
        <v>2619</v>
      </c>
      <c r="E4" s="226"/>
      <c r="F4" s="226"/>
      <c r="G4" s="226"/>
      <c r="H4" s="1372">
        <f>C4</f>
        <v>6998452</v>
      </c>
      <c r="I4" s="1372">
        <f>H4*25%</f>
        <v>1749613</v>
      </c>
      <c r="J4" s="1372">
        <f>H4*25%</f>
        <v>1749613</v>
      </c>
      <c r="K4" s="1372">
        <f>H4*50%</f>
        <v>3499226</v>
      </c>
    </row>
    <row r="5" spans="1:11" ht="21" customHeight="1" x14ac:dyDescent="0.25">
      <c r="A5" s="1372"/>
      <c r="B5" s="1372"/>
      <c r="C5" s="1372"/>
      <c r="D5" s="1372"/>
      <c r="E5" s="226"/>
      <c r="F5" s="226"/>
      <c r="G5" s="226"/>
      <c r="H5" s="1372"/>
      <c r="I5" s="1372"/>
      <c r="J5" s="1372"/>
      <c r="K5" s="1372"/>
    </row>
    <row r="6" spans="1:11" ht="15.75" x14ac:dyDescent="0.25">
      <c r="A6" s="1373" t="s">
        <v>2620</v>
      </c>
      <c r="B6" s="1373"/>
      <c r="C6" s="1373"/>
      <c r="D6" s="1373"/>
      <c r="E6" s="1373"/>
      <c r="F6" s="1373"/>
      <c r="G6" s="1373"/>
      <c r="H6" s="1373"/>
      <c r="I6" s="187" t="s">
        <v>158</v>
      </c>
      <c r="J6" s="187" t="s">
        <v>2621</v>
      </c>
      <c r="K6" s="187" t="s">
        <v>2621</v>
      </c>
    </row>
    <row r="7" spans="1:11" ht="15.75" x14ac:dyDescent="0.25">
      <c r="A7" s="1373" t="s">
        <v>2622</v>
      </c>
      <c r="B7" s="1373"/>
      <c r="C7" s="1373"/>
      <c r="D7" s="1373"/>
      <c r="E7" s="1373"/>
      <c r="F7" s="1373"/>
      <c r="G7" s="1373"/>
      <c r="H7" s="1373"/>
      <c r="I7" s="187" t="s">
        <v>2623</v>
      </c>
      <c r="J7" s="188">
        <f>J4</f>
        <v>1749613</v>
      </c>
      <c r="K7" s="188">
        <f>K4</f>
        <v>3499226</v>
      </c>
    </row>
    <row r="9" spans="1:11" ht="18" x14ac:dyDescent="0.25">
      <c r="A9" s="1374" t="s">
        <v>2624</v>
      </c>
      <c r="B9" s="1374"/>
      <c r="C9" s="1374"/>
      <c r="D9" s="1374"/>
      <c r="E9" s="1374"/>
      <c r="F9" s="1374"/>
      <c r="G9" s="1374"/>
      <c r="H9" s="1374"/>
      <c r="I9" s="1374"/>
      <c r="J9" s="1374"/>
      <c r="K9" s="1374"/>
    </row>
    <row r="10" spans="1:11" ht="63" x14ac:dyDescent="0.25">
      <c r="A10" s="185" t="s">
        <v>2612</v>
      </c>
      <c r="B10" s="185" t="s">
        <v>4</v>
      </c>
      <c r="C10" s="185" t="s">
        <v>2613</v>
      </c>
      <c r="D10" s="186" t="s">
        <v>2614</v>
      </c>
      <c r="E10" s="186"/>
      <c r="F10" s="186"/>
      <c r="G10" s="186"/>
      <c r="H10" s="185" t="s">
        <v>2615</v>
      </c>
      <c r="I10" s="186" t="s">
        <v>2616</v>
      </c>
      <c r="J10" s="186" t="s">
        <v>2617</v>
      </c>
      <c r="K10" s="186" t="s">
        <v>2618</v>
      </c>
    </row>
    <row r="11" spans="1:11" ht="12.75" customHeight="1" x14ac:dyDescent="0.25">
      <c r="A11" s="1372">
        <v>42596884</v>
      </c>
      <c r="B11" s="1372">
        <v>51367818</v>
      </c>
      <c r="C11" s="1372">
        <f>B11-A11</f>
        <v>8770934</v>
      </c>
      <c r="D11" s="1372" t="s">
        <v>2619</v>
      </c>
      <c r="E11" s="226"/>
      <c r="F11" s="226"/>
      <c r="G11" s="226"/>
      <c r="H11" s="1372">
        <f>C11</f>
        <v>8770934</v>
      </c>
      <c r="I11" s="1372">
        <f>H11*25%</f>
        <v>2192733.5</v>
      </c>
      <c r="J11" s="1372">
        <f>H11*25%</f>
        <v>2192733.5</v>
      </c>
      <c r="K11" s="1372">
        <f>H11*50%</f>
        <v>4385467</v>
      </c>
    </row>
    <row r="12" spans="1:11" ht="12.75" customHeight="1" x14ac:dyDescent="0.25">
      <c r="A12" s="1372"/>
      <c r="B12" s="1372"/>
      <c r="C12" s="1372"/>
      <c r="D12" s="1372"/>
      <c r="E12" s="226"/>
      <c r="F12" s="226"/>
      <c r="G12" s="226"/>
      <c r="H12" s="1372"/>
      <c r="I12" s="1372"/>
      <c r="J12" s="1372"/>
      <c r="K12" s="1372"/>
    </row>
    <row r="13" spans="1:11" ht="15.75" x14ac:dyDescent="0.25">
      <c r="A13" s="1373" t="s">
        <v>2625</v>
      </c>
      <c r="B13" s="1373"/>
      <c r="C13" s="1373"/>
      <c r="D13" s="1373"/>
      <c r="E13" s="1373"/>
      <c r="F13" s="1373"/>
      <c r="G13" s="1373"/>
      <c r="H13" s="1373"/>
      <c r="I13" s="187" t="s">
        <v>158</v>
      </c>
      <c r="J13" s="189">
        <v>84775</v>
      </c>
      <c r="K13" s="187" t="s">
        <v>2621</v>
      </c>
    </row>
    <row r="14" spans="1:11" ht="15.75" x14ac:dyDescent="0.25">
      <c r="A14" s="1373" t="s">
        <v>2622</v>
      </c>
      <c r="B14" s="1373"/>
      <c r="C14" s="1373"/>
      <c r="D14" s="1373"/>
      <c r="E14" s="1373"/>
      <c r="F14" s="1373"/>
      <c r="G14" s="1373"/>
      <c r="H14" s="1373"/>
      <c r="I14" s="187" t="s">
        <v>2623</v>
      </c>
      <c r="J14" s="188">
        <f>J11-J13</f>
        <v>2107958.5</v>
      </c>
      <c r="K14" s="188">
        <f>K11</f>
        <v>4385467</v>
      </c>
    </row>
    <row r="15" spans="1:11" ht="15.75" x14ac:dyDescent="0.25">
      <c r="A15" s="190"/>
      <c r="B15" s="190"/>
      <c r="C15" s="190"/>
      <c r="D15" s="190"/>
      <c r="E15" s="190"/>
      <c r="F15" s="190"/>
      <c r="G15" s="190"/>
      <c r="H15" s="190"/>
      <c r="I15" s="191"/>
      <c r="J15" s="192"/>
      <c r="K15" s="192"/>
    </row>
    <row r="16" spans="1:11" ht="15.75" x14ac:dyDescent="0.25">
      <c r="A16" s="190"/>
      <c r="B16" s="190"/>
      <c r="C16" s="190"/>
      <c r="D16" s="190"/>
      <c r="E16" s="190"/>
      <c r="F16" s="190"/>
      <c r="G16" s="190"/>
      <c r="H16" s="190"/>
      <c r="I16" s="191"/>
      <c r="J16" s="192"/>
      <c r="K16" s="192"/>
    </row>
    <row r="17" spans="1:11" ht="18" x14ac:dyDescent="0.25">
      <c r="A17" s="1374" t="s">
        <v>2626</v>
      </c>
      <c r="B17" s="1374"/>
      <c r="C17" s="1374"/>
      <c r="D17" s="1374"/>
      <c r="E17" s="1374"/>
      <c r="F17" s="1374"/>
      <c r="G17" s="1374"/>
      <c r="H17" s="1374"/>
      <c r="I17" s="1374"/>
      <c r="J17" s="1374"/>
      <c r="K17" s="1374"/>
    </row>
    <row r="18" spans="1:11" ht="63" x14ac:dyDescent="0.25">
      <c r="A18" s="185" t="s">
        <v>2612</v>
      </c>
      <c r="B18" s="185" t="s">
        <v>4</v>
      </c>
      <c r="C18" s="185" t="s">
        <v>2613</v>
      </c>
      <c r="D18" s="186" t="s">
        <v>2614</v>
      </c>
      <c r="E18" s="186"/>
      <c r="F18" s="186"/>
      <c r="G18" s="186"/>
      <c r="H18" s="185" t="s">
        <v>2615</v>
      </c>
      <c r="I18" s="186" t="s">
        <v>2616</v>
      </c>
      <c r="J18" s="186" t="s">
        <v>2617</v>
      </c>
      <c r="K18" s="186" t="s">
        <v>2618</v>
      </c>
    </row>
    <row r="19" spans="1:11" ht="12.75" customHeight="1" x14ac:dyDescent="0.25">
      <c r="A19" s="1372">
        <v>91625888</v>
      </c>
      <c r="B19" s="1372">
        <v>130688607</v>
      </c>
      <c r="C19" s="1372">
        <f>B19-A19</f>
        <v>39062719</v>
      </c>
      <c r="D19" s="1372">
        <v>7500000</v>
      </c>
      <c r="E19" s="226"/>
      <c r="F19" s="226"/>
      <c r="G19" s="226"/>
      <c r="H19" s="1372">
        <f>C19</f>
        <v>39062719</v>
      </c>
      <c r="I19" s="1372">
        <f>H19*25%</f>
        <v>9765679.75</v>
      </c>
      <c r="J19" s="1372">
        <f>H19*25%</f>
        <v>9765679.75</v>
      </c>
      <c r="K19" s="1372">
        <f>H19*50%</f>
        <v>19531359.5</v>
      </c>
    </row>
    <row r="20" spans="1:11" ht="12.75" customHeight="1" x14ac:dyDescent="0.25">
      <c r="A20" s="1372"/>
      <c r="B20" s="1372"/>
      <c r="C20" s="1372"/>
      <c r="D20" s="1372"/>
      <c r="E20" s="226"/>
      <c r="F20" s="226"/>
      <c r="G20" s="226"/>
      <c r="H20" s="1372"/>
      <c r="I20" s="1372"/>
      <c r="J20" s="1372"/>
      <c r="K20" s="1372"/>
    </row>
    <row r="21" spans="1:11" ht="15.75" x14ac:dyDescent="0.25">
      <c r="A21" s="1373" t="s">
        <v>2625</v>
      </c>
      <c r="B21" s="1373"/>
      <c r="C21" s="1373"/>
      <c r="D21" s="1373"/>
      <c r="E21" s="1373"/>
      <c r="F21" s="1373"/>
      <c r="G21" s="1373"/>
      <c r="H21" s="1373"/>
      <c r="I21" s="189">
        <v>13000000</v>
      </c>
      <c r="J21" s="187"/>
      <c r="K21" s="187"/>
    </row>
    <row r="22" spans="1:11" ht="15.75" x14ac:dyDescent="0.25">
      <c r="A22" s="1373" t="s">
        <v>2622</v>
      </c>
      <c r="B22" s="1373"/>
      <c r="C22" s="1373"/>
      <c r="D22" s="1373"/>
      <c r="E22" s="1373"/>
      <c r="F22" s="1373"/>
      <c r="G22" s="1373"/>
      <c r="H22" s="1373"/>
      <c r="I22" s="188">
        <f>I19-I21</f>
        <v>-3234320.25</v>
      </c>
      <c r="J22" s="188">
        <f>J19</f>
        <v>9765679.75</v>
      </c>
      <c r="K22" s="188">
        <f>K19</f>
        <v>19531359.5</v>
      </c>
    </row>
    <row r="23" spans="1:11" hidden="1" x14ac:dyDescent="0.25"/>
    <row r="24" spans="1:11" hidden="1" x14ac:dyDescent="0.25"/>
    <row r="25" spans="1:11" hidden="1" x14ac:dyDescent="0.25"/>
    <row r="26" spans="1:11" hidden="1" x14ac:dyDescent="0.25">
      <c r="C26" s="193" t="s">
        <v>2627</v>
      </c>
      <c r="D26" s="194" t="s">
        <v>2628</v>
      </c>
      <c r="E26" s="194"/>
      <c r="F26" s="194"/>
      <c r="G26" s="194"/>
      <c r="H26" s="193" t="s">
        <v>2629</v>
      </c>
      <c r="I26" s="193" t="s">
        <v>2630</v>
      </c>
    </row>
    <row r="27" spans="1:11" hidden="1" x14ac:dyDescent="0.25">
      <c r="C27" s="195" t="s">
        <v>2631</v>
      </c>
      <c r="D27" s="196" t="s">
        <v>158</v>
      </c>
      <c r="E27" s="196"/>
      <c r="F27" s="196"/>
      <c r="G27" s="196"/>
      <c r="H27" s="197">
        <f>J7</f>
        <v>1749613</v>
      </c>
      <c r="I27" s="197">
        <f>K7</f>
        <v>3499226</v>
      </c>
    </row>
    <row r="28" spans="1:11" hidden="1" x14ac:dyDescent="0.25">
      <c r="C28" s="195" t="s">
        <v>2632</v>
      </c>
      <c r="D28" s="196" t="s">
        <v>158</v>
      </c>
      <c r="E28" s="196"/>
      <c r="F28" s="196"/>
      <c r="G28" s="196"/>
      <c r="H28" s="197">
        <f>J14</f>
        <v>2107958.5</v>
      </c>
      <c r="I28" s="197">
        <f>K14</f>
        <v>4385467</v>
      </c>
    </row>
    <row r="29" spans="1:11" hidden="1" x14ac:dyDescent="0.25">
      <c r="C29" s="195" t="s">
        <v>2633</v>
      </c>
      <c r="D29" s="197">
        <f>I19</f>
        <v>9765679.75</v>
      </c>
      <c r="E29" s="197"/>
      <c r="F29" s="197"/>
      <c r="G29" s="197"/>
      <c r="H29" s="197">
        <f>J19</f>
        <v>9765679.75</v>
      </c>
      <c r="I29" s="197">
        <f>K19</f>
        <v>19531359.5</v>
      </c>
    </row>
    <row r="30" spans="1:11" ht="15.75" hidden="1" x14ac:dyDescent="0.25">
      <c r="C30" s="195" t="s">
        <v>2634</v>
      </c>
      <c r="D30" s="198">
        <f>D29</f>
        <v>9765679.75</v>
      </c>
      <c r="E30" s="198"/>
      <c r="F30" s="198"/>
      <c r="G30" s="198"/>
      <c r="H30" s="198">
        <f>SUM(H27:H29)</f>
        <v>13623251.25</v>
      </c>
      <c r="I30" s="198">
        <f>I29</f>
        <v>19531359.5</v>
      </c>
    </row>
    <row r="31" spans="1:11" hidden="1" x14ac:dyDescent="0.25">
      <c r="D31" s="1">
        <v>13000000</v>
      </c>
      <c r="E31" s="1"/>
      <c r="F31" s="1"/>
      <c r="G31" s="1"/>
    </row>
    <row r="32" spans="1:11" hidden="1" x14ac:dyDescent="0.25">
      <c r="D32" s="3">
        <f>D30-D31</f>
        <v>-3234320.25</v>
      </c>
      <c r="E32" s="3"/>
      <c r="F32" s="3"/>
      <c r="G32" s="3"/>
      <c r="H32" t="s">
        <v>2635</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67" t="s">
        <v>2636</v>
      </c>
      <c r="B36" s="1367"/>
      <c r="C36" s="1367"/>
      <c r="D36" s="1367"/>
      <c r="E36" s="1367"/>
      <c r="F36" s="1367"/>
      <c r="G36" s="1367"/>
      <c r="H36" s="1367"/>
      <c r="I36" s="1367"/>
      <c r="J36" s="1367"/>
      <c r="K36" s="1367"/>
    </row>
    <row r="37" spans="1:13" ht="64.5" customHeight="1" x14ac:dyDescent="0.25">
      <c r="A37" s="230" t="s">
        <v>2612</v>
      </c>
      <c r="B37" s="230" t="s">
        <v>4</v>
      </c>
      <c r="C37" s="230" t="s">
        <v>2613</v>
      </c>
      <c r="D37" s="231" t="s">
        <v>2614</v>
      </c>
      <c r="E37" s="231"/>
      <c r="F37" s="231"/>
      <c r="G37" s="231" t="s">
        <v>1694</v>
      </c>
      <c r="H37" s="230" t="s">
        <v>2615</v>
      </c>
      <c r="I37" s="231" t="s">
        <v>2765</v>
      </c>
      <c r="J37" s="231" t="s">
        <v>2766</v>
      </c>
      <c r="K37" s="231" t="s">
        <v>2767</v>
      </c>
    </row>
    <row r="38" spans="1:13" ht="16.899999999999999" customHeight="1" x14ac:dyDescent="0.25">
      <c r="A38" s="1376">
        <f>'Main Summary'!$AG$73</f>
        <v>31688154.002880182</v>
      </c>
      <c r="B38" s="1376">
        <f>'Main Summary'!$AH$73</f>
        <v>37164776</v>
      </c>
      <c r="C38" s="1376">
        <f>B38-A38</f>
        <v>5476621.9971198179</v>
      </c>
      <c r="D38" s="1376">
        <v>6000000</v>
      </c>
      <c r="E38" s="1379"/>
      <c r="F38" s="1379"/>
      <c r="G38" s="1376">
        <v>300000</v>
      </c>
      <c r="H38" s="1376">
        <f>C38-D38-G38</f>
        <v>-823378.00288018212</v>
      </c>
      <c r="I38" s="1376">
        <f>H38*33%</f>
        <v>-271714.74095046014</v>
      </c>
      <c r="J38" s="1376">
        <f>H38*33%</f>
        <v>-271714.74095046014</v>
      </c>
      <c r="K38" s="1376">
        <f>H38*34%</f>
        <v>-279948.52097926196</v>
      </c>
    </row>
    <row r="39" spans="1:13" ht="16.899999999999999" customHeight="1" x14ac:dyDescent="0.25">
      <c r="A39" s="1376"/>
      <c r="B39" s="1376"/>
      <c r="C39" s="1376"/>
      <c r="D39" s="1376"/>
      <c r="E39" s="1380"/>
      <c r="F39" s="1380"/>
      <c r="G39" s="1376"/>
      <c r="H39" s="1376"/>
      <c r="I39" s="1376"/>
      <c r="J39" s="1376"/>
      <c r="K39" s="1376"/>
    </row>
    <row r="40" spans="1:13" ht="16.5" x14ac:dyDescent="0.25">
      <c r="A40" s="1378" t="s">
        <v>2637</v>
      </c>
      <c r="B40" s="1378"/>
      <c r="C40" s="1378"/>
      <c r="D40" s="1378"/>
      <c r="E40" s="1378"/>
      <c r="F40" s="1378"/>
      <c r="G40" s="1378"/>
      <c r="H40" s="1378"/>
      <c r="I40" s="232">
        <v>3234320</v>
      </c>
      <c r="J40" s="232"/>
      <c r="K40" s="232"/>
    </row>
    <row r="41" spans="1:13" ht="16.5" x14ac:dyDescent="0.25">
      <c r="A41" s="1378" t="s">
        <v>2865</v>
      </c>
      <c r="B41" s="1378"/>
      <c r="C41" s="1378"/>
      <c r="D41" s="1378"/>
      <c r="E41" s="1378"/>
      <c r="F41" s="1378"/>
      <c r="G41" s="1378"/>
      <c r="H41" s="1378"/>
      <c r="I41" s="232"/>
      <c r="J41" s="232">
        <v>1676486</v>
      </c>
      <c r="K41" s="232">
        <v>6090000</v>
      </c>
    </row>
    <row r="42" spans="1:13" ht="16.5" x14ac:dyDescent="0.25">
      <c r="A42" s="1378" t="s">
        <v>2638</v>
      </c>
      <c r="B42" s="1378"/>
      <c r="C42" s="1378"/>
      <c r="D42" s="1378"/>
      <c r="E42" s="1378"/>
      <c r="F42" s="1378"/>
      <c r="G42" s="1378"/>
      <c r="H42" s="1378"/>
      <c r="I42" s="232">
        <v>1568356</v>
      </c>
      <c r="J42" s="232"/>
      <c r="K42" s="232"/>
    </row>
    <row r="43" spans="1:13" ht="16.5" x14ac:dyDescent="0.25">
      <c r="A43" s="1377" t="s">
        <v>2639</v>
      </c>
      <c r="B43" s="1377"/>
      <c r="C43" s="1377"/>
      <c r="D43" s="1377"/>
      <c r="E43" s="1377"/>
      <c r="F43" s="1377"/>
      <c r="G43" s="1377"/>
      <c r="H43" s="1377"/>
      <c r="I43" s="233">
        <f>I38-I40-I41-I42</f>
        <v>-5074390.7409504596</v>
      </c>
      <c r="J43" s="233">
        <f>J38-J40-J41-J42</f>
        <v>-1948200.7409504601</v>
      </c>
      <c r="K43" s="233">
        <f>K38-K40-K41-K42</f>
        <v>-6369948.520979262</v>
      </c>
    </row>
    <row r="44" spans="1:13" ht="16.5" x14ac:dyDescent="0.25">
      <c r="A44" s="254"/>
      <c r="B44" s="254"/>
      <c r="C44" s="254"/>
      <c r="D44" s="254"/>
      <c r="E44" s="254"/>
      <c r="F44" s="254"/>
      <c r="G44" s="254"/>
      <c r="H44" s="254"/>
      <c r="I44" s="233">
        <v>4401093</v>
      </c>
      <c r="J44" s="233">
        <v>7500000</v>
      </c>
      <c r="K44" s="233">
        <v>3500000</v>
      </c>
      <c r="M44" s="267"/>
    </row>
    <row r="45" spans="1:13" ht="26.25" x14ac:dyDescent="0.25">
      <c r="A45" s="1375" t="s">
        <v>2774</v>
      </c>
      <c r="B45" s="1375"/>
      <c r="C45" s="1375"/>
      <c r="D45" s="1375"/>
      <c r="E45" s="1375"/>
      <c r="F45" s="1375"/>
      <c r="G45" s="1375"/>
      <c r="H45" s="1375"/>
      <c r="I45" s="234" t="s">
        <v>158</v>
      </c>
      <c r="J45" s="234" t="s">
        <v>158</v>
      </c>
      <c r="K45" s="234" t="s">
        <v>158</v>
      </c>
    </row>
    <row r="46" spans="1:13" ht="18.75" x14ac:dyDescent="0.3">
      <c r="A46" s="2" t="s">
        <v>5158</v>
      </c>
      <c r="B46" s="2" t="s">
        <v>5159</v>
      </c>
      <c r="C46" s="15">
        <v>7500000</v>
      </c>
      <c r="D46" s="354">
        <v>0.33</v>
      </c>
      <c r="E46" s="284">
        <f>D46*C46</f>
        <v>2475000</v>
      </c>
      <c r="F46" s="4"/>
      <c r="G46" s="4"/>
      <c r="H46" s="4"/>
      <c r="I46" s="4"/>
      <c r="J46" s="4"/>
      <c r="K46" s="4"/>
    </row>
    <row r="47" spans="1:13" x14ac:dyDescent="0.25">
      <c r="A47" s="2" t="s">
        <v>5158</v>
      </c>
      <c r="B47" s="2" t="s">
        <v>5159</v>
      </c>
      <c r="C47" s="15">
        <v>6000000</v>
      </c>
      <c r="D47" s="354">
        <v>0.33</v>
      </c>
      <c r="E47" s="284">
        <f>D47*C47</f>
        <v>1980000</v>
      </c>
      <c r="K47" s="255"/>
    </row>
    <row r="48" spans="1:13" x14ac:dyDescent="0.25">
      <c r="K48" s="256"/>
    </row>
    <row r="49" spans="1:13" ht="16.5" x14ac:dyDescent="0.25">
      <c r="A49" s="1367" t="s">
        <v>3294</v>
      </c>
      <c r="B49" s="1367"/>
      <c r="C49" s="1367"/>
      <c r="D49" s="1367"/>
      <c r="E49" s="1367"/>
      <c r="F49" s="1367"/>
      <c r="G49" s="1367"/>
      <c r="H49" s="1367"/>
      <c r="I49" s="1367"/>
      <c r="J49" s="1367"/>
      <c r="K49" s="1367"/>
    </row>
    <row r="50" spans="1:13" ht="66" x14ac:dyDescent="0.25">
      <c r="A50" s="230" t="s">
        <v>2612</v>
      </c>
      <c r="B50" s="230" t="s">
        <v>4</v>
      </c>
      <c r="C50" s="230" t="s">
        <v>2613</v>
      </c>
      <c r="D50" s="231" t="s">
        <v>2614</v>
      </c>
      <c r="E50" s="231" t="s">
        <v>3559</v>
      </c>
      <c r="F50" s="231"/>
      <c r="G50" s="231" t="s">
        <v>1694</v>
      </c>
      <c r="H50" s="230" t="s">
        <v>2615</v>
      </c>
      <c r="I50" s="231" t="s">
        <v>2765</v>
      </c>
      <c r="J50" s="231" t="s">
        <v>2766</v>
      </c>
      <c r="K50" s="231" t="s">
        <v>2767</v>
      </c>
    </row>
    <row r="51" spans="1:13" ht="16.899999999999999" customHeight="1" x14ac:dyDescent="0.25">
      <c r="A51" s="1368">
        <f>'Main Summary'!Z19</f>
        <v>113012540.90419273</v>
      </c>
      <c r="B51" s="1368">
        <f>'Main Summary'!AA19</f>
        <v>164353252</v>
      </c>
      <c r="C51" s="1368">
        <f>B51-A51</f>
        <v>51340711.095807269</v>
      </c>
      <c r="D51" s="1368">
        <v>7000000</v>
      </c>
      <c r="E51" s="1370">
        <f>15000000+6000000</f>
        <v>21000000</v>
      </c>
      <c r="F51" s="345"/>
      <c r="G51" s="1368">
        <v>500000</v>
      </c>
      <c r="H51" s="1368">
        <f>C51-D51-G51-E51</f>
        <v>22840711.095807269</v>
      </c>
      <c r="I51" s="1368">
        <f>H51*33%</f>
        <v>7537434.661616399</v>
      </c>
      <c r="J51" s="1368">
        <f>H51*33%</f>
        <v>7537434.661616399</v>
      </c>
      <c r="K51" s="1368">
        <f>H51*34%</f>
        <v>7765841.7725744722</v>
      </c>
    </row>
    <row r="52" spans="1:13" ht="16.899999999999999" customHeight="1" x14ac:dyDescent="0.25">
      <c r="A52" s="1368"/>
      <c r="B52" s="1368"/>
      <c r="C52" s="1368"/>
      <c r="D52" s="1368"/>
      <c r="E52" s="1371"/>
      <c r="F52" s="346"/>
      <c r="G52" s="1368"/>
      <c r="H52" s="1368"/>
      <c r="I52" s="1368"/>
      <c r="J52" s="1368"/>
      <c r="K52" s="1368"/>
    </row>
    <row r="53" spans="1:13" ht="15.75" x14ac:dyDescent="0.25">
      <c r="A53" s="1369" t="s">
        <v>2637</v>
      </c>
      <c r="B53" s="1369"/>
      <c r="C53" s="1369"/>
      <c r="D53" s="1369"/>
      <c r="E53" s="1369"/>
      <c r="F53" s="1369"/>
      <c r="G53" s="1369"/>
      <c r="H53" s="1369"/>
      <c r="I53" s="226"/>
      <c r="J53" s="226"/>
      <c r="K53" s="226"/>
      <c r="M53" s="1">
        <v>1682985</v>
      </c>
    </row>
    <row r="54" spans="1:13" ht="15.75" x14ac:dyDescent="0.25">
      <c r="A54" s="1369" t="s">
        <v>2865</v>
      </c>
      <c r="B54" s="1369"/>
      <c r="C54" s="1369"/>
      <c r="D54" s="1369"/>
      <c r="E54" s="1369"/>
      <c r="F54" s="1369"/>
      <c r="G54" s="1369"/>
      <c r="H54" s="1369"/>
      <c r="I54" s="226">
        <f>450000+3000000+1300000+200000+6000000</f>
        <v>10950000</v>
      </c>
      <c r="J54" s="226">
        <f>3800000+300000+1500000+89000+1000000+1300000</f>
        <v>7989000</v>
      </c>
      <c r="K54" s="226">
        <f>150000+500000+500000+5000000</f>
        <v>6150000</v>
      </c>
      <c r="M54" s="1">
        <v>26656</v>
      </c>
    </row>
    <row r="55" spans="1:13" ht="15.75" x14ac:dyDescent="0.25">
      <c r="A55" s="1369" t="s">
        <v>4275</v>
      </c>
      <c r="B55" s="1369"/>
      <c r="C55" s="1369"/>
      <c r="D55" s="1369"/>
      <c r="E55" s="1369"/>
      <c r="F55" s="1369"/>
      <c r="G55" s="1369"/>
      <c r="H55" s="1369"/>
      <c r="I55" s="226"/>
      <c r="J55" s="226">
        <v>493250</v>
      </c>
      <c r="K55" s="226"/>
      <c r="M55" s="1">
        <v>7143</v>
      </c>
    </row>
    <row r="56" spans="1:13" ht="15.75" x14ac:dyDescent="0.25">
      <c r="A56" s="1365" t="s">
        <v>2639</v>
      </c>
      <c r="B56" s="1365"/>
      <c r="C56" s="1365"/>
      <c r="D56" s="1365"/>
      <c r="E56" s="1365"/>
      <c r="F56" s="1365"/>
      <c r="G56" s="1365"/>
      <c r="H56" s="1365"/>
      <c r="I56" s="264">
        <f>I51-I53-I54-I55</f>
        <v>-3412565.338383601</v>
      </c>
      <c r="J56" s="264">
        <f>J51+J55-J54</f>
        <v>41684.661616398953</v>
      </c>
      <c r="K56" s="264">
        <f>K51-K53-K54-K55</f>
        <v>1615841.7725744722</v>
      </c>
      <c r="M56" s="1">
        <v>7257</v>
      </c>
    </row>
    <row r="57" spans="1:13" ht="15.75" x14ac:dyDescent="0.25">
      <c r="A57" s="1366" t="s">
        <v>2774</v>
      </c>
      <c r="B57" s="1366"/>
      <c r="C57" s="1366"/>
      <c r="D57" s="1366"/>
      <c r="E57" s="1366"/>
      <c r="F57" s="1366"/>
      <c r="G57" s="1366"/>
      <c r="H57" s="1366"/>
      <c r="I57" s="265" t="s">
        <v>158</v>
      </c>
      <c r="J57" s="265" t="s">
        <v>158</v>
      </c>
      <c r="K57" s="268" t="s">
        <v>158</v>
      </c>
      <c r="M57" s="1">
        <f>SUM(M53:M56)</f>
        <v>1724041</v>
      </c>
    </row>
    <row r="58" spans="1:13" x14ac:dyDescent="0.25">
      <c r="A58" s="2" t="s">
        <v>5158</v>
      </c>
      <c r="B58" s="2" t="s">
        <v>5160</v>
      </c>
      <c r="C58" s="15">
        <f>7000000+21000000</f>
        <v>28000000</v>
      </c>
      <c r="D58" s="354">
        <v>0.33</v>
      </c>
      <c r="E58" s="284">
        <f>D58*C58</f>
        <v>9240000</v>
      </c>
    </row>
    <row r="59" spans="1:13" x14ac:dyDescent="0.25">
      <c r="C59" s="3"/>
      <c r="I59" s="3">
        <f>I54-I51</f>
        <v>3412565.338383601</v>
      </c>
    </row>
    <row r="61" spans="1:13" ht="16.5" x14ac:dyDescent="0.25">
      <c r="A61" s="1367" t="s">
        <v>3670</v>
      </c>
      <c r="B61" s="1367"/>
      <c r="C61" s="1367"/>
      <c r="D61" s="1367"/>
      <c r="E61" s="1367"/>
      <c r="F61" s="1367"/>
      <c r="G61" s="1367"/>
      <c r="H61" s="1367"/>
      <c r="I61" s="1367"/>
      <c r="J61" s="1367"/>
      <c r="K61" s="1367"/>
    </row>
    <row r="62" spans="1:13" ht="66" x14ac:dyDescent="0.25">
      <c r="A62" s="230" t="s">
        <v>2612</v>
      </c>
      <c r="B62" s="230" t="s">
        <v>4</v>
      </c>
      <c r="C62" s="230" t="s">
        <v>2613</v>
      </c>
      <c r="D62" s="231" t="s">
        <v>5174</v>
      </c>
      <c r="E62" s="231" t="s">
        <v>5127</v>
      </c>
      <c r="F62" s="231" t="s">
        <v>4989</v>
      </c>
      <c r="G62" s="231" t="s">
        <v>1694</v>
      </c>
      <c r="H62" s="230" t="s">
        <v>2615</v>
      </c>
      <c r="I62" s="231" t="s">
        <v>2765</v>
      </c>
      <c r="J62" s="231" t="s">
        <v>2766</v>
      </c>
      <c r="K62" s="231" t="s">
        <v>2767</v>
      </c>
    </row>
    <row r="63" spans="1:13" ht="15" customHeight="1" x14ac:dyDescent="0.25">
      <c r="A63" s="1368">
        <f>'Main Summary'!V19</f>
        <v>138622950.11069509</v>
      </c>
      <c r="B63" s="1368">
        <f>'Main Summary'!W19</f>
        <v>174948764</v>
      </c>
      <c r="C63" s="1368">
        <f>B63-A63</f>
        <v>36325813.889304906</v>
      </c>
      <c r="D63" s="1368">
        <v>2000000</v>
      </c>
      <c r="E63" s="1370">
        <v>4500000</v>
      </c>
      <c r="F63" s="1370">
        <v>889800</v>
      </c>
      <c r="G63" s="1368">
        <v>500000</v>
      </c>
      <c r="H63" s="1368">
        <f>C63-D63-G63-E63-F63</f>
        <v>28436013.889304906</v>
      </c>
      <c r="I63" s="1368">
        <f>H63*33%</f>
        <v>9383884.5834706202</v>
      </c>
      <c r="J63" s="1368">
        <f>H63*33%</f>
        <v>9383884.5834706202</v>
      </c>
      <c r="K63" s="1368">
        <f>H63*34%</f>
        <v>9668244.7223636694</v>
      </c>
    </row>
    <row r="64" spans="1:13" ht="15" customHeight="1" x14ac:dyDescent="0.25">
      <c r="A64" s="1368"/>
      <c r="B64" s="1368"/>
      <c r="C64" s="1368"/>
      <c r="D64" s="1368"/>
      <c r="E64" s="1371"/>
      <c r="F64" s="1371"/>
      <c r="G64" s="1368"/>
      <c r="H64" s="1368"/>
      <c r="I64" s="1368"/>
      <c r="J64" s="1368"/>
      <c r="K64" s="1368"/>
    </row>
    <row r="65" spans="1:18" ht="27" customHeight="1" x14ac:dyDescent="0.25">
      <c r="A65" s="1369" t="s">
        <v>2865</v>
      </c>
      <c r="B65" s="1369"/>
      <c r="C65" s="1369"/>
      <c r="D65" s="1369"/>
      <c r="E65" s="1369"/>
      <c r="F65" s="1369"/>
      <c r="G65" s="1369"/>
      <c r="H65" s="1369"/>
      <c r="I65" s="226">
        <f>'old Sharing details'!H30</f>
        <v>20909127</v>
      </c>
      <c r="J65" s="226">
        <f>'old Sharing details'!H65</f>
        <v>20630910</v>
      </c>
      <c r="K65" s="226">
        <f>'old Sharing details'!D125</f>
        <v>17742859</v>
      </c>
    </row>
    <row r="66" spans="1:18" ht="27" customHeight="1" x14ac:dyDescent="0.25">
      <c r="A66" s="1365" t="s">
        <v>2639</v>
      </c>
      <c r="B66" s="1365"/>
      <c r="C66" s="1365"/>
      <c r="D66" s="1365"/>
      <c r="E66" s="1365"/>
      <c r="F66" s="1365"/>
      <c r="G66" s="1365"/>
      <c r="H66" s="1365"/>
      <c r="I66" s="264">
        <f>I63-I65</f>
        <v>-11525242.41652938</v>
      </c>
      <c r="J66" s="264">
        <f t="shared" ref="J66:K66" si="0">J63-J65</f>
        <v>-11247025.41652938</v>
      </c>
      <c r="K66" s="264">
        <f t="shared" si="0"/>
        <v>-8074614.2776363306</v>
      </c>
    </row>
    <row r="67" spans="1:18" ht="15.75" x14ac:dyDescent="0.25">
      <c r="A67" s="1366" t="s">
        <v>2774</v>
      </c>
      <c r="B67" s="1366"/>
      <c r="C67" s="1366"/>
      <c r="D67" s="1366"/>
      <c r="E67" s="1366"/>
      <c r="F67" s="1366"/>
      <c r="G67" s="1366"/>
      <c r="H67" s="1366"/>
      <c r="I67" s="265" t="s">
        <v>2621</v>
      </c>
      <c r="J67" s="265" t="s">
        <v>2621</v>
      </c>
      <c r="K67" s="265" t="s">
        <v>2621</v>
      </c>
    </row>
    <row r="68" spans="1:18" x14ac:dyDescent="0.25">
      <c r="A68" s="2" t="s">
        <v>5158</v>
      </c>
      <c r="B68" s="2" t="s">
        <v>5161</v>
      </c>
      <c r="C68" s="15">
        <v>4500000</v>
      </c>
      <c r="D68" s="354">
        <v>0.33</v>
      </c>
      <c r="E68" s="284">
        <f>D68*C68</f>
        <v>1485000</v>
      </c>
      <c r="M68"/>
      <c r="N68" s="1"/>
    </row>
    <row r="69" spans="1:18" x14ac:dyDescent="0.25">
      <c r="A69" s="1381" t="s">
        <v>5164</v>
      </c>
      <c r="B69" s="1381"/>
      <c r="C69" s="1381"/>
      <c r="D69" s="1381"/>
      <c r="E69" s="284">
        <v>3118282</v>
      </c>
      <c r="M69"/>
      <c r="N69" s="1">
        <v>4629646</v>
      </c>
      <c r="O69" s="1">
        <v>7330193</v>
      </c>
      <c r="P69" s="1">
        <v>1850440</v>
      </c>
      <c r="R69" s="1"/>
    </row>
    <row r="70" spans="1:18" x14ac:dyDescent="0.25">
      <c r="A70" s="1381" t="s">
        <v>5162</v>
      </c>
      <c r="B70" s="1381"/>
      <c r="C70" s="1381"/>
      <c r="D70" s="1381"/>
      <c r="E70" s="15">
        <v>1000000</v>
      </c>
      <c r="M70"/>
      <c r="N70" s="3"/>
      <c r="R70" s="1"/>
    </row>
    <row r="71" spans="1:18" ht="26.25" x14ac:dyDescent="0.25">
      <c r="A71" s="1381" t="s">
        <v>5163</v>
      </c>
      <c r="B71" s="1381"/>
      <c r="C71" s="1381"/>
      <c r="D71" s="1381"/>
      <c r="E71" s="284">
        <f>E46+E47+E58+E68+E69+E70</f>
        <v>19298282</v>
      </c>
      <c r="M71"/>
      <c r="N71" s="3"/>
      <c r="P71" s="353" t="s">
        <v>1767</v>
      </c>
      <c r="Q71" s="353"/>
      <c r="R71" s="353"/>
    </row>
    <row r="72" spans="1:18" ht="26.25" x14ac:dyDescent="0.25">
      <c r="B72" s="1"/>
      <c r="C72" s="1"/>
      <c r="M72"/>
      <c r="O72" s="353"/>
      <c r="P72" s="353"/>
      <c r="Q72" s="353"/>
    </row>
    <row r="73" spans="1:18" x14ac:dyDescent="0.25">
      <c r="B73" s="1"/>
      <c r="C73" s="1"/>
      <c r="M73"/>
      <c r="N73" s="1364" t="s">
        <v>4712</v>
      </c>
      <c r="O73" s="1364"/>
      <c r="P73" s="1364"/>
    </row>
    <row r="74" spans="1:18" x14ac:dyDescent="0.25">
      <c r="A74">
        <f>139220029+2000000</f>
        <v>141220029</v>
      </c>
      <c r="B74" s="3">
        <f>B63-A74</f>
        <v>33728735</v>
      </c>
      <c r="M74"/>
      <c r="N74" s="1364"/>
      <c r="O74" s="1364"/>
      <c r="P74" s="1364"/>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55" t="s">
        <v>1767</v>
      </c>
      <c r="D1" s="1155"/>
      <c r="E1" s="1155"/>
    </row>
    <row r="2" spans="1:8" x14ac:dyDescent="0.25">
      <c r="C2" s="1155"/>
      <c r="D2" s="1155"/>
      <c r="E2" s="1155"/>
    </row>
    <row r="3" spans="1:8" x14ac:dyDescent="0.25">
      <c r="C3" s="1319" t="s">
        <v>4713</v>
      </c>
      <c r="D3" s="1319"/>
      <c r="E3" s="1319"/>
    </row>
    <row r="4" spans="1:8" x14ac:dyDescent="0.25">
      <c r="C4" s="1319"/>
      <c r="D4" s="1319"/>
      <c r="E4" s="1319"/>
    </row>
    <row r="6" spans="1:8" ht="14.45" customHeight="1" x14ac:dyDescent="0.25">
      <c r="A6" s="1382" t="s">
        <v>1894</v>
      </c>
      <c r="B6" s="1383"/>
      <c r="C6" s="1383"/>
      <c r="D6" s="1384"/>
      <c r="E6" s="1391" t="s">
        <v>4751</v>
      </c>
      <c r="F6" s="1391"/>
      <c r="G6" s="1391"/>
      <c r="H6" s="1391"/>
    </row>
    <row r="7" spans="1:8" ht="14.45" customHeight="1" x14ac:dyDescent="0.25">
      <c r="A7" s="1385"/>
      <c r="B7" s="1386"/>
      <c r="C7" s="1386"/>
      <c r="D7" s="1387"/>
      <c r="E7" s="1391"/>
      <c r="F7" s="1391"/>
      <c r="G7" s="1391"/>
      <c r="H7" s="1391"/>
    </row>
    <row r="8" spans="1:8" ht="14.45" customHeight="1" x14ac:dyDescent="0.25">
      <c r="A8" s="1388"/>
      <c r="B8" s="1389"/>
      <c r="C8" s="1389"/>
      <c r="D8" s="1390"/>
      <c r="E8" s="1391"/>
      <c r="F8" s="1391"/>
      <c r="G8" s="1391"/>
      <c r="H8" s="1391"/>
    </row>
    <row r="9" spans="1:8" ht="27" thickBot="1" x14ac:dyDescent="0.3">
      <c r="A9" s="1296" t="s">
        <v>4590</v>
      </c>
      <c r="B9" s="1297"/>
      <c r="C9" s="1297"/>
      <c r="D9" s="1298"/>
      <c r="E9" s="1299" t="s">
        <v>4590</v>
      </c>
      <c r="F9" s="1300"/>
      <c r="G9" s="1300"/>
      <c r="H9" s="1301"/>
    </row>
    <row r="10" spans="1:8" ht="21" x14ac:dyDescent="0.25">
      <c r="A10" s="309" t="s">
        <v>0</v>
      </c>
      <c r="B10" s="308" t="s">
        <v>2</v>
      </c>
      <c r="C10" s="308" t="s">
        <v>3952</v>
      </c>
      <c r="D10" s="310" t="s">
        <v>4591</v>
      </c>
      <c r="E10" s="309" t="s">
        <v>0</v>
      </c>
      <c r="F10" s="308" t="s">
        <v>2</v>
      </c>
      <c r="G10" s="308" t="s">
        <v>3952</v>
      </c>
      <c r="H10" s="310" t="s">
        <v>4591</v>
      </c>
    </row>
    <row r="11" spans="1:8" ht="30" x14ac:dyDescent="0.25">
      <c r="A11" s="342">
        <v>43292</v>
      </c>
      <c r="B11" s="99" t="s">
        <v>4592</v>
      </c>
      <c r="C11" s="305" t="s">
        <v>4593</v>
      </c>
      <c r="D11" s="15">
        <v>95000</v>
      </c>
      <c r="E11" s="357"/>
      <c r="F11" s="343" t="s">
        <v>2637</v>
      </c>
      <c r="G11" s="308"/>
      <c r="H11" s="344">
        <v>3374127</v>
      </c>
    </row>
    <row r="12" spans="1:8" ht="30" x14ac:dyDescent="0.25">
      <c r="A12" s="2"/>
      <c r="B12" s="99" t="s">
        <v>4594</v>
      </c>
      <c r="C12" s="305" t="s">
        <v>4593</v>
      </c>
      <c r="D12" s="15">
        <v>900000</v>
      </c>
      <c r="E12" s="358">
        <v>43521</v>
      </c>
      <c r="F12" s="99" t="s">
        <v>370</v>
      </c>
      <c r="G12" s="328" t="s">
        <v>4711</v>
      </c>
      <c r="H12" s="312">
        <v>500000</v>
      </c>
    </row>
    <row r="13" spans="1:8" ht="30" x14ac:dyDescent="0.25">
      <c r="A13" s="2"/>
      <c r="B13" s="99" t="s">
        <v>4594</v>
      </c>
      <c r="C13" s="305" t="s">
        <v>4593</v>
      </c>
      <c r="D13" s="15">
        <v>100000</v>
      </c>
      <c r="E13" s="358">
        <v>43549</v>
      </c>
      <c r="F13" s="99" t="s">
        <v>4735</v>
      </c>
      <c r="G13" s="328" t="s">
        <v>4733</v>
      </c>
      <c r="H13" s="312">
        <v>900000</v>
      </c>
    </row>
    <row r="14" spans="1:8" ht="30" x14ac:dyDescent="0.25">
      <c r="A14" s="2"/>
      <c r="B14" s="99" t="s">
        <v>4595</v>
      </c>
      <c r="C14" s="305" t="s">
        <v>4593</v>
      </c>
      <c r="D14" s="15">
        <v>50000</v>
      </c>
      <c r="E14" s="358">
        <v>43549</v>
      </c>
      <c r="F14" s="99" t="s">
        <v>4735</v>
      </c>
      <c r="G14" s="328" t="s">
        <v>4734</v>
      </c>
      <c r="H14" s="312">
        <v>600000</v>
      </c>
    </row>
    <row r="15" spans="1:8" ht="30" x14ac:dyDescent="0.25">
      <c r="A15" s="342">
        <v>43539</v>
      </c>
      <c r="B15" s="99" t="s">
        <v>5723</v>
      </c>
      <c r="C15" s="305" t="s">
        <v>4593</v>
      </c>
      <c r="D15" s="15">
        <v>100000</v>
      </c>
      <c r="E15" s="358">
        <v>43591</v>
      </c>
      <c r="F15" s="99" t="s">
        <v>4857</v>
      </c>
      <c r="G15" s="328" t="s">
        <v>4858</v>
      </c>
      <c r="H15" s="312">
        <v>350000</v>
      </c>
    </row>
    <row r="16" spans="1:8" x14ac:dyDescent="0.25">
      <c r="A16" s="342">
        <v>43602</v>
      </c>
      <c r="B16" s="2" t="s">
        <v>4938</v>
      </c>
      <c r="C16" s="305" t="s">
        <v>4939</v>
      </c>
      <c r="D16" s="15">
        <v>100000</v>
      </c>
      <c r="E16" s="358">
        <v>43602</v>
      </c>
      <c r="F16" s="2" t="s">
        <v>4936</v>
      </c>
      <c r="G16" s="305" t="s">
        <v>4937</v>
      </c>
      <c r="H16" s="312">
        <v>40000</v>
      </c>
    </row>
    <row r="17" spans="1:8" x14ac:dyDescent="0.25">
      <c r="A17" s="342">
        <v>43603</v>
      </c>
      <c r="B17" s="2" t="s">
        <v>4940</v>
      </c>
      <c r="C17" s="305" t="s">
        <v>4593</v>
      </c>
      <c r="D17" s="15">
        <v>100000</v>
      </c>
      <c r="E17" s="358">
        <v>43602</v>
      </c>
      <c r="F17" s="2" t="s">
        <v>4936</v>
      </c>
      <c r="G17" s="305" t="s">
        <v>4937</v>
      </c>
      <c r="H17" s="312">
        <v>140000</v>
      </c>
    </row>
    <row r="18" spans="1:8" ht="45" x14ac:dyDescent="0.25">
      <c r="A18" s="342">
        <v>43605</v>
      </c>
      <c r="B18" s="2" t="s">
        <v>4944</v>
      </c>
      <c r="C18" s="305" t="s">
        <v>4943</v>
      </c>
      <c r="D18" s="15">
        <v>50000</v>
      </c>
      <c r="E18" s="358">
        <v>43609</v>
      </c>
      <c r="F18" s="99" t="s">
        <v>4971</v>
      </c>
      <c r="G18" s="328" t="s">
        <v>4970</v>
      </c>
      <c r="H18" s="312">
        <v>105000</v>
      </c>
    </row>
    <row r="19" spans="1:8" s="302" customFormat="1" ht="75" x14ac:dyDescent="0.25">
      <c r="A19" s="342">
        <v>43605</v>
      </c>
      <c r="B19" s="2" t="s">
        <v>4942</v>
      </c>
      <c r="C19" s="305" t="s">
        <v>4939</v>
      </c>
      <c r="D19" s="15">
        <v>200000</v>
      </c>
      <c r="E19" s="430">
        <v>43644</v>
      </c>
      <c r="F19" s="99" t="s">
        <v>5051</v>
      </c>
      <c r="G19" s="431" t="s">
        <v>4937</v>
      </c>
      <c r="H19" s="367">
        <v>400000</v>
      </c>
    </row>
    <row r="20" spans="1:8" ht="30" x14ac:dyDescent="0.25">
      <c r="A20" s="342">
        <v>43605</v>
      </c>
      <c r="B20" s="2" t="s">
        <v>4945</v>
      </c>
      <c r="C20" s="305"/>
      <c r="D20" s="285">
        <v>50000</v>
      </c>
      <c r="E20" s="430">
        <v>43686</v>
      </c>
      <c r="F20" s="99" t="s">
        <v>5178</v>
      </c>
      <c r="G20" s="328" t="s">
        <v>5179</v>
      </c>
      <c r="H20" s="367">
        <v>500000</v>
      </c>
    </row>
    <row r="21" spans="1:8" ht="45" x14ac:dyDescent="0.25">
      <c r="A21" s="342">
        <v>43615</v>
      </c>
      <c r="B21" s="2" t="s">
        <v>4990</v>
      </c>
      <c r="C21" s="305" t="s">
        <v>4997</v>
      </c>
      <c r="D21" s="285">
        <v>50000</v>
      </c>
      <c r="E21" s="430">
        <v>43698</v>
      </c>
      <c r="F21" s="99" t="s">
        <v>5203</v>
      </c>
      <c r="G21" s="328" t="s">
        <v>4937</v>
      </c>
      <c r="H21" s="367">
        <v>500000</v>
      </c>
    </row>
    <row r="22" spans="1:8" ht="30" x14ac:dyDescent="0.25">
      <c r="A22" s="342">
        <v>43615</v>
      </c>
      <c r="B22" s="2" t="s">
        <v>4991</v>
      </c>
      <c r="C22" s="305" t="s">
        <v>5003</v>
      </c>
      <c r="D22" s="285">
        <v>50000</v>
      </c>
      <c r="E22" s="342">
        <v>43732</v>
      </c>
      <c r="F22" s="99" t="s">
        <v>5311</v>
      </c>
      <c r="G22" s="305"/>
      <c r="H22" s="15">
        <v>6150000</v>
      </c>
    </row>
    <row r="23" spans="1:8" ht="30" x14ac:dyDescent="0.25">
      <c r="A23" s="342">
        <v>43615</v>
      </c>
      <c r="B23" s="2" t="s">
        <v>4992</v>
      </c>
      <c r="C23" s="305" t="s">
        <v>4998</v>
      </c>
      <c r="D23" s="285">
        <v>50000</v>
      </c>
      <c r="E23" s="342">
        <v>43784</v>
      </c>
      <c r="F23" s="99" t="s">
        <v>5534</v>
      </c>
      <c r="G23" s="305" t="s">
        <v>4937</v>
      </c>
      <c r="H23" s="15">
        <v>1000000</v>
      </c>
    </row>
    <row r="24" spans="1:8" x14ac:dyDescent="0.25">
      <c r="A24" s="342">
        <v>43615</v>
      </c>
      <c r="B24" s="2" t="s">
        <v>4993</v>
      </c>
      <c r="C24" s="305" t="s">
        <v>4999</v>
      </c>
      <c r="D24" s="285">
        <v>50000</v>
      </c>
      <c r="E24" s="342">
        <v>43816</v>
      </c>
      <c r="F24" s="99" t="s">
        <v>5587</v>
      </c>
      <c r="G24" s="305" t="s">
        <v>5660</v>
      </c>
      <c r="H24" s="15">
        <f>6000000-195000-350000-105000</f>
        <v>5350000</v>
      </c>
    </row>
    <row r="25" spans="1:8" x14ac:dyDescent="0.25">
      <c r="A25" s="342">
        <v>43615</v>
      </c>
      <c r="B25" s="2" t="s">
        <v>4994</v>
      </c>
      <c r="C25" s="305" t="s">
        <v>5000</v>
      </c>
      <c r="D25" s="285">
        <v>50000</v>
      </c>
      <c r="E25" s="342">
        <v>43841</v>
      </c>
      <c r="F25" s="99" t="s">
        <v>5658</v>
      </c>
      <c r="G25" s="305" t="s">
        <v>5659</v>
      </c>
      <c r="H25" s="15">
        <v>1000000</v>
      </c>
    </row>
    <row r="26" spans="1:8" x14ac:dyDescent="0.25">
      <c r="A26" s="342">
        <v>43615</v>
      </c>
      <c r="B26" s="2" t="s">
        <v>4995</v>
      </c>
      <c r="C26" s="305" t="s">
        <v>5001</v>
      </c>
      <c r="D26" s="285">
        <v>50000</v>
      </c>
      <c r="E26" s="342"/>
      <c r="F26" s="99"/>
      <c r="G26" s="305"/>
      <c r="H26" s="15"/>
    </row>
    <row r="27" spans="1:8" x14ac:dyDescent="0.25">
      <c r="A27" s="342">
        <v>43615</v>
      </c>
      <c r="B27" s="2" t="s">
        <v>4996</v>
      </c>
      <c r="C27" s="305" t="s">
        <v>5002</v>
      </c>
      <c r="D27" s="285">
        <v>150000</v>
      </c>
      <c r="E27" s="342"/>
      <c r="F27" s="99"/>
      <c r="G27" s="305"/>
      <c r="H27" s="15"/>
    </row>
    <row r="28" spans="1:8" ht="28.9" customHeight="1" x14ac:dyDescent="0.25">
      <c r="A28" s="342">
        <v>43644</v>
      </c>
      <c r="B28" s="99" t="s">
        <v>5048</v>
      </c>
      <c r="C28" s="15" t="s">
        <v>4593</v>
      </c>
      <c r="D28" s="285">
        <f>500000-318268</f>
        <v>181732</v>
      </c>
      <c r="E28" s="342"/>
      <c r="F28" s="99"/>
      <c r="G28" s="305"/>
      <c r="H28" s="15"/>
    </row>
    <row r="29" spans="1:8" ht="45" x14ac:dyDescent="0.25">
      <c r="A29" s="342">
        <v>43644</v>
      </c>
      <c r="B29" s="99" t="s">
        <v>5049</v>
      </c>
      <c r="C29" s="15" t="s">
        <v>5050</v>
      </c>
      <c r="D29" s="285">
        <v>100000</v>
      </c>
      <c r="E29" s="342"/>
      <c r="F29" s="99"/>
      <c r="G29" s="305"/>
      <c r="H29" s="15"/>
    </row>
    <row r="30" spans="1:8" ht="19.5" thickBot="1" x14ac:dyDescent="0.35">
      <c r="A30" s="342">
        <v>43694</v>
      </c>
      <c r="B30" s="99" t="s">
        <v>5196</v>
      </c>
      <c r="C30" s="15" t="s">
        <v>5197</v>
      </c>
      <c r="D30" s="285">
        <v>91150</v>
      </c>
      <c r="E30" s="1303" t="s">
        <v>4596</v>
      </c>
      <c r="F30" s="1303"/>
      <c r="G30" s="1304"/>
      <c r="H30" s="429">
        <f>SUM(H11:H28)</f>
        <v>20909127</v>
      </c>
    </row>
    <row r="31" spans="1:8" x14ac:dyDescent="0.25">
      <c r="A31" s="342">
        <v>43694</v>
      </c>
      <c r="B31" s="99" t="s">
        <v>725</v>
      </c>
      <c r="C31" s="15" t="s">
        <v>5198</v>
      </c>
      <c r="D31" s="15">
        <v>34500</v>
      </c>
      <c r="H31" s="50"/>
    </row>
    <row r="32" spans="1:8" x14ac:dyDescent="0.25">
      <c r="A32" s="342">
        <v>43663</v>
      </c>
      <c r="B32" s="99" t="s">
        <v>5205</v>
      </c>
      <c r="C32" s="15" t="s">
        <v>4593</v>
      </c>
      <c r="D32" s="15">
        <v>17000</v>
      </c>
      <c r="H32" s="50"/>
    </row>
    <row r="33" spans="1:9" x14ac:dyDescent="0.25">
      <c r="A33" s="342">
        <v>43664</v>
      </c>
      <c r="B33" s="99" t="s">
        <v>5208</v>
      </c>
      <c r="C33" s="15" t="s">
        <v>4593</v>
      </c>
      <c r="D33" s="15">
        <v>11987</v>
      </c>
      <c r="H33" s="50"/>
    </row>
    <row r="34" spans="1:9" x14ac:dyDescent="0.25">
      <c r="A34" s="342">
        <v>43683</v>
      </c>
      <c r="B34" s="99" t="s">
        <v>5224</v>
      </c>
      <c r="C34" s="15" t="s">
        <v>5223</v>
      </c>
      <c r="D34" s="15">
        <v>47800</v>
      </c>
      <c r="H34" s="50"/>
    </row>
    <row r="35" spans="1:9" x14ac:dyDescent="0.25">
      <c r="A35" s="342">
        <v>43699</v>
      </c>
      <c r="B35" s="99" t="s">
        <v>5292</v>
      </c>
      <c r="C35" s="15" t="s">
        <v>4593</v>
      </c>
      <c r="D35" s="15">
        <v>5970</v>
      </c>
      <c r="H35" s="50"/>
    </row>
    <row r="36" spans="1:9" x14ac:dyDescent="0.25">
      <c r="A36" s="342">
        <v>43721</v>
      </c>
      <c r="B36" s="99" t="s">
        <v>5293</v>
      </c>
      <c r="C36" s="15" t="s">
        <v>5294</v>
      </c>
      <c r="D36" s="15">
        <v>35000</v>
      </c>
    </row>
    <row r="37" spans="1:9" ht="30.75" thickBot="1" x14ac:dyDescent="0.3">
      <c r="A37" s="342">
        <v>43646</v>
      </c>
      <c r="B37" s="99" t="s">
        <v>5370</v>
      </c>
      <c r="C37" s="15"/>
      <c r="D37" s="15">
        <v>280000</v>
      </c>
      <c r="E37" s="1405" t="s">
        <v>4748</v>
      </c>
      <c r="F37" s="1300"/>
      <c r="G37" s="1300"/>
      <c r="H37" s="1301"/>
    </row>
    <row r="38" spans="1:9" ht="21" x14ac:dyDescent="0.25">
      <c r="A38" s="342">
        <v>43753</v>
      </c>
      <c r="B38" s="99" t="s">
        <v>5449</v>
      </c>
      <c r="C38" s="15"/>
      <c r="D38" s="15">
        <v>2225000</v>
      </c>
      <c r="E38" s="357" t="s">
        <v>0</v>
      </c>
      <c r="F38" s="308" t="s">
        <v>2</v>
      </c>
      <c r="G38" s="308" t="s">
        <v>3952</v>
      </c>
      <c r="H38" s="310" t="s">
        <v>4591</v>
      </c>
      <c r="I38" s="3"/>
    </row>
    <row r="39" spans="1:9" ht="30" x14ac:dyDescent="0.25">
      <c r="A39" s="342">
        <v>43777</v>
      </c>
      <c r="B39" s="99" t="s">
        <v>5511</v>
      </c>
      <c r="C39" s="15"/>
      <c r="D39" s="15">
        <v>100000</v>
      </c>
      <c r="E39" s="358">
        <v>43549</v>
      </c>
      <c r="F39" s="99" t="s">
        <v>4749</v>
      </c>
      <c r="G39" s="328"/>
      <c r="H39" s="312">
        <v>900000</v>
      </c>
    </row>
    <row r="40" spans="1:9" ht="30" x14ac:dyDescent="0.25">
      <c r="A40" s="342">
        <v>43777</v>
      </c>
      <c r="B40" s="99" t="s">
        <v>5511</v>
      </c>
      <c r="C40" s="15"/>
      <c r="D40" s="15">
        <v>100000</v>
      </c>
      <c r="E40" s="358">
        <v>43549</v>
      </c>
      <c r="F40" s="99" t="s">
        <v>4750</v>
      </c>
      <c r="G40" s="328"/>
      <c r="H40" s="312">
        <v>600000</v>
      </c>
    </row>
    <row r="41" spans="1:9" s="302" customFormat="1" x14ac:dyDescent="0.25">
      <c r="A41" s="342">
        <v>43777</v>
      </c>
      <c r="B41" s="99" t="s">
        <v>5511</v>
      </c>
      <c r="C41" s="15"/>
      <c r="D41" s="15">
        <v>20000</v>
      </c>
      <c r="E41" s="358">
        <v>43565</v>
      </c>
      <c r="F41" s="47" t="s">
        <v>4790</v>
      </c>
      <c r="G41" s="328"/>
      <c r="H41" s="312">
        <v>300000</v>
      </c>
    </row>
    <row r="42" spans="1:9" x14ac:dyDescent="0.25">
      <c r="A42" s="342">
        <v>43777</v>
      </c>
      <c r="B42" s="99" t="s">
        <v>5512</v>
      </c>
      <c r="C42" s="15"/>
      <c r="D42" s="15">
        <v>20000</v>
      </c>
      <c r="E42" s="358">
        <v>43570</v>
      </c>
      <c r="F42" s="47" t="s">
        <v>4791</v>
      </c>
      <c r="G42" s="305"/>
      <c r="H42" s="312">
        <v>200000</v>
      </c>
    </row>
    <row r="43" spans="1:9" x14ac:dyDescent="0.25">
      <c r="A43" s="342">
        <v>43777</v>
      </c>
      <c r="B43" s="99" t="s">
        <v>5517</v>
      </c>
      <c r="C43" s="15"/>
      <c r="D43" s="15">
        <v>17000</v>
      </c>
      <c r="E43" s="358">
        <v>43570</v>
      </c>
      <c r="F43" s="47" t="s">
        <v>4792</v>
      </c>
      <c r="G43" s="305"/>
      <c r="H43" s="15">
        <v>100000</v>
      </c>
    </row>
    <row r="44" spans="1:9" ht="26.25" x14ac:dyDescent="0.25">
      <c r="A44" s="342">
        <v>43782</v>
      </c>
      <c r="B44" s="99" t="s">
        <v>5517</v>
      </c>
      <c r="C44" s="15"/>
      <c r="D44" s="15">
        <v>33000</v>
      </c>
      <c r="E44" s="358">
        <v>43572</v>
      </c>
      <c r="F44" s="47" t="s">
        <v>4794</v>
      </c>
      <c r="G44" s="305"/>
      <c r="H44" s="15">
        <v>140000</v>
      </c>
    </row>
    <row r="45" spans="1:9" x14ac:dyDescent="0.25">
      <c r="A45" s="342">
        <v>43811</v>
      </c>
      <c r="B45" s="99" t="s">
        <v>5512</v>
      </c>
      <c r="C45" s="15"/>
      <c r="D45" s="15">
        <v>20000</v>
      </c>
      <c r="E45" s="342">
        <v>43578</v>
      </c>
      <c r="F45" s="2" t="s">
        <v>4827</v>
      </c>
      <c r="G45" s="305"/>
      <c r="H45" s="15">
        <v>500000</v>
      </c>
    </row>
    <row r="46" spans="1:9" x14ac:dyDescent="0.25">
      <c r="A46" s="342">
        <v>43844</v>
      </c>
      <c r="B46" s="99" t="s">
        <v>5512</v>
      </c>
      <c r="C46" s="15"/>
      <c r="D46" s="15">
        <v>20000</v>
      </c>
      <c r="E46" s="342">
        <v>43578</v>
      </c>
      <c r="F46" s="2" t="s">
        <v>4828</v>
      </c>
      <c r="G46" s="305"/>
      <c r="H46" s="15">
        <v>500000</v>
      </c>
    </row>
    <row r="47" spans="1:9" x14ac:dyDescent="0.25">
      <c r="A47" s="342">
        <v>43875</v>
      </c>
      <c r="B47" s="99" t="s">
        <v>5512</v>
      </c>
      <c r="C47" s="15"/>
      <c r="D47" s="15">
        <v>20000</v>
      </c>
      <c r="E47" s="342">
        <v>43580</v>
      </c>
      <c r="F47" s="2" t="s">
        <v>4840</v>
      </c>
      <c r="G47" s="305"/>
      <c r="H47" s="15">
        <v>13000</v>
      </c>
    </row>
    <row r="48" spans="1:9" x14ac:dyDescent="0.25">
      <c r="A48" s="342">
        <v>43900</v>
      </c>
      <c r="B48" s="99" t="s">
        <v>5512</v>
      </c>
      <c r="C48" s="15"/>
      <c r="D48" s="15">
        <v>20000</v>
      </c>
      <c r="E48" s="342">
        <v>43601</v>
      </c>
      <c r="F48" s="2" t="s">
        <v>4928</v>
      </c>
      <c r="G48" s="305"/>
      <c r="H48" s="15">
        <v>39000</v>
      </c>
    </row>
    <row r="49" spans="1:8" x14ac:dyDescent="0.25">
      <c r="A49" s="342">
        <v>43937</v>
      </c>
      <c r="B49" s="99" t="s">
        <v>5512</v>
      </c>
      <c r="C49" s="15"/>
      <c r="D49" s="15">
        <v>20000</v>
      </c>
      <c r="E49" s="342">
        <v>43601</v>
      </c>
      <c r="F49" s="2" t="s">
        <v>5263</v>
      </c>
      <c r="G49" s="305"/>
      <c r="H49" s="15">
        <v>16580</v>
      </c>
    </row>
    <row r="50" spans="1:8" x14ac:dyDescent="0.25">
      <c r="A50" s="342">
        <v>43966</v>
      </c>
      <c r="B50" s="99" t="s">
        <v>5512</v>
      </c>
      <c r="C50" s="15"/>
      <c r="D50" s="15">
        <v>20000</v>
      </c>
      <c r="E50" s="342">
        <v>43656</v>
      </c>
      <c r="F50" s="2" t="s">
        <v>5072</v>
      </c>
      <c r="G50" s="305"/>
      <c r="H50" s="15">
        <v>617319</v>
      </c>
    </row>
    <row r="51" spans="1:8" x14ac:dyDescent="0.25">
      <c r="A51" s="342">
        <v>43997</v>
      </c>
      <c r="B51" s="99" t="s">
        <v>5512</v>
      </c>
      <c r="C51" s="15"/>
      <c r="D51" s="15">
        <v>20000</v>
      </c>
      <c r="E51" s="342">
        <v>43694</v>
      </c>
      <c r="F51" s="2" t="s">
        <v>5194</v>
      </c>
      <c r="G51" s="305" t="s">
        <v>5195</v>
      </c>
      <c r="H51" s="15">
        <v>46500</v>
      </c>
    </row>
    <row r="52" spans="1:8" x14ac:dyDescent="0.25">
      <c r="A52" s="342">
        <v>44027</v>
      </c>
      <c r="B52" s="99" t="s">
        <v>5512</v>
      </c>
      <c r="C52" s="15"/>
      <c r="D52" s="15">
        <v>20000</v>
      </c>
      <c r="E52" s="342">
        <v>43705</v>
      </c>
      <c r="F52" s="2" t="s">
        <v>5264</v>
      </c>
      <c r="G52" s="305" t="s">
        <v>5265</v>
      </c>
      <c r="H52" s="15">
        <v>20230</v>
      </c>
    </row>
    <row r="53" spans="1:8" s="302" customFormat="1" ht="30" x14ac:dyDescent="0.25">
      <c r="A53" s="342">
        <v>44041</v>
      </c>
      <c r="B53" s="99" t="s">
        <v>6083</v>
      </c>
      <c r="C53" s="15"/>
      <c r="D53" s="15">
        <v>77000</v>
      </c>
      <c r="E53" s="342">
        <v>43728</v>
      </c>
      <c r="F53" s="2" t="s">
        <v>5301</v>
      </c>
      <c r="G53" s="305"/>
      <c r="H53" s="15">
        <v>8570700</v>
      </c>
    </row>
    <row r="54" spans="1:8" s="302" customFormat="1" ht="18.75" x14ac:dyDescent="0.3">
      <c r="A54" s="1302" t="s">
        <v>4596</v>
      </c>
      <c r="B54" s="1302"/>
      <c r="C54" s="1302"/>
      <c r="D54" s="205">
        <f>SUM(D11:D53)</f>
        <v>5752139</v>
      </c>
      <c r="E54" s="342">
        <v>43745</v>
      </c>
      <c r="F54" s="2" t="s">
        <v>5666</v>
      </c>
      <c r="G54" s="305"/>
      <c r="H54" s="15">
        <v>3000000</v>
      </c>
    </row>
    <row r="55" spans="1:8" x14ac:dyDescent="0.25">
      <c r="D55" s="50"/>
      <c r="E55" s="342">
        <v>43762</v>
      </c>
      <c r="F55" s="2" t="s">
        <v>5440</v>
      </c>
      <c r="G55" s="305"/>
      <c r="H55" s="15">
        <v>20000</v>
      </c>
    </row>
    <row r="56" spans="1:8" x14ac:dyDescent="0.25">
      <c r="D56" s="50"/>
      <c r="E56" s="342">
        <v>43787</v>
      </c>
      <c r="F56" s="2" t="s">
        <v>5301</v>
      </c>
      <c r="G56" s="305"/>
      <c r="H56" s="15">
        <v>2420000</v>
      </c>
    </row>
    <row r="57" spans="1:8" ht="15.75" thickBot="1" x14ac:dyDescent="0.3">
      <c r="D57" s="50"/>
      <c r="E57" s="342">
        <v>43841</v>
      </c>
      <c r="F57" s="2" t="s">
        <v>5667</v>
      </c>
      <c r="G57" s="305"/>
      <c r="H57" s="15">
        <v>400000</v>
      </c>
    </row>
    <row r="58" spans="1:8" ht="29.25" thickBot="1" x14ac:dyDescent="0.3">
      <c r="A58" s="1395" t="s">
        <v>4600</v>
      </c>
      <c r="B58" s="1396"/>
      <c r="C58" s="1396"/>
      <c r="D58" s="1396"/>
      <c r="E58" s="342">
        <v>43868</v>
      </c>
      <c r="F58" s="2" t="s">
        <v>5731</v>
      </c>
      <c r="G58" s="305"/>
      <c r="H58" s="15">
        <v>764666</v>
      </c>
    </row>
    <row r="59" spans="1:8" ht="45" x14ac:dyDescent="0.25">
      <c r="A59" s="315" t="s">
        <v>0</v>
      </c>
      <c r="B59" s="304" t="s">
        <v>2</v>
      </c>
      <c r="C59" s="304" t="s">
        <v>3952</v>
      </c>
      <c r="D59" s="355" t="s">
        <v>4591</v>
      </c>
      <c r="E59" s="342">
        <v>43868</v>
      </c>
      <c r="F59" s="99" t="s">
        <v>5732</v>
      </c>
      <c r="G59" s="305"/>
      <c r="H59" s="15">
        <v>28800</v>
      </c>
    </row>
    <row r="60" spans="1:8" ht="30" x14ac:dyDescent="0.25">
      <c r="A60" s="311"/>
      <c r="B60" s="99" t="s">
        <v>4598</v>
      </c>
      <c r="C60" s="99" t="s">
        <v>4599</v>
      </c>
      <c r="D60" s="340">
        <v>200000</v>
      </c>
      <c r="E60" s="342">
        <v>43959</v>
      </c>
      <c r="F60" s="99" t="s">
        <v>5900</v>
      </c>
      <c r="G60" s="305"/>
      <c r="H60" s="15">
        <v>1000000</v>
      </c>
    </row>
    <row r="61" spans="1:8" ht="30" x14ac:dyDescent="0.25">
      <c r="A61" s="317"/>
      <c r="B61" s="99" t="s">
        <v>4598</v>
      </c>
      <c r="C61" s="99" t="s">
        <v>4601</v>
      </c>
      <c r="D61" s="340">
        <v>100000</v>
      </c>
      <c r="E61" s="342">
        <v>44005</v>
      </c>
      <c r="F61" s="99" t="s">
        <v>5986</v>
      </c>
      <c r="G61" s="328" t="s">
        <v>5987</v>
      </c>
      <c r="H61" s="15">
        <v>300000</v>
      </c>
    </row>
    <row r="62" spans="1:8" ht="30" x14ac:dyDescent="0.25">
      <c r="A62" s="317"/>
      <c r="B62" s="99" t="s">
        <v>4598</v>
      </c>
      <c r="C62" s="99" t="s">
        <v>4602</v>
      </c>
      <c r="D62" s="340">
        <v>100000</v>
      </c>
      <c r="E62" s="342">
        <v>44011</v>
      </c>
      <c r="F62" s="99" t="s">
        <v>6023</v>
      </c>
      <c r="G62" s="328" t="s">
        <v>6022</v>
      </c>
      <c r="H62" s="15">
        <v>40000</v>
      </c>
    </row>
    <row r="63" spans="1:8" ht="30" x14ac:dyDescent="0.25">
      <c r="A63" s="317"/>
      <c r="B63" s="99" t="s">
        <v>4598</v>
      </c>
      <c r="C63" s="99" t="s">
        <v>4603</v>
      </c>
      <c r="D63" s="340">
        <v>100000</v>
      </c>
      <c r="E63" s="342">
        <v>44021</v>
      </c>
      <c r="F63" s="99" t="s">
        <v>6031</v>
      </c>
      <c r="G63" s="328" t="s">
        <v>6028</v>
      </c>
      <c r="H63" s="15">
        <v>54115</v>
      </c>
    </row>
    <row r="64" spans="1:8" ht="60" x14ac:dyDescent="0.25">
      <c r="A64" s="317"/>
      <c r="B64" s="99" t="s">
        <v>4604</v>
      </c>
      <c r="C64" s="99" t="s">
        <v>4605</v>
      </c>
      <c r="D64" s="340">
        <v>200000</v>
      </c>
      <c r="E64" s="342">
        <v>44021</v>
      </c>
      <c r="F64" s="99" t="s">
        <v>6030</v>
      </c>
      <c r="G64" s="328" t="s">
        <v>6029</v>
      </c>
      <c r="H64" s="15">
        <v>40000</v>
      </c>
    </row>
    <row r="65" spans="1:8" ht="75.75" x14ac:dyDescent="0.3">
      <c r="A65" s="318">
        <v>43502</v>
      </c>
      <c r="B65" s="99" t="s">
        <v>4606</v>
      </c>
      <c r="C65" s="99" t="s">
        <v>4607</v>
      </c>
      <c r="D65" s="340">
        <v>250000</v>
      </c>
      <c r="E65" s="1302" t="s">
        <v>4596</v>
      </c>
      <c r="F65" s="1302"/>
      <c r="G65" s="1302"/>
      <c r="H65" s="205">
        <f>SUM(H39:H64)</f>
        <v>20630910</v>
      </c>
    </row>
    <row r="66" spans="1:8" ht="45" x14ac:dyDescent="0.25">
      <c r="A66" s="318">
        <v>43510</v>
      </c>
      <c r="B66" s="99" t="s">
        <v>4608</v>
      </c>
      <c r="C66" s="99" t="s">
        <v>4609</v>
      </c>
      <c r="D66" s="340">
        <v>250000</v>
      </c>
    </row>
    <row r="67" spans="1:8" ht="90" x14ac:dyDescent="0.25">
      <c r="A67" s="322">
        <v>43518</v>
      </c>
      <c r="B67" s="99" t="s">
        <v>4610</v>
      </c>
      <c r="C67" s="99" t="s">
        <v>4611</v>
      </c>
      <c r="D67" s="340">
        <v>450000</v>
      </c>
    </row>
    <row r="68" spans="1:8" ht="30" x14ac:dyDescent="0.25">
      <c r="A68" s="322">
        <v>43521</v>
      </c>
      <c r="B68" s="99" t="s">
        <v>4620</v>
      </c>
      <c r="C68" s="99" t="s">
        <v>4618</v>
      </c>
      <c r="D68" s="340">
        <v>500000</v>
      </c>
    </row>
    <row r="69" spans="1:8" ht="30" x14ac:dyDescent="0.25">
      <c r="A69" s="322">
        <v>43521</v>
      </c>
      <c r="B69" s="99" t="s">
        <v>4620</v>
      </c>
      <c r="C69" s="99" t="s">
        <v>4619</v>
      </c>
      <c r="D69" s="340">
        <v>450000</v>
      </c>
    </row>
    <row r="70" spans="1:8" ht="30" x14ac:dyDescent="0.25">
      <c r="A70" s="322">
        <v>43531</v>
      </c>
      <c r="B70" s="99" t="s">
        <v>4648</v>
      </c>
      <c r="C70" s="99" t="s">
        <v>4647</v>
      </c>
      <c r="D70" s="341">
        <v>200000</v>
      </c>
    </row>
    <row r="71" spans="1:8" ht="30" x14ac:dyDescent="0.25">
      <c r="A71" s="322">
        <v>43545</v>
      </c>
      <c r="B71" s="99" t="s">
        <v>4714</v>
      </c>
      <c r="C71" s="329" t="s">
        <v>4715</v>
      </c>
      <c r="D71" s="327">
        <v>250000</v>
      </c>
    </row>
    <row r="72" spans="1:8" ht="30" x14ac:dyDescent="0.25">
      <c r="A72" s="322">
        <v>43551</v>
      </c>
      <c r="B72" s="99" t="s">
        <v>4714</v>
      </c>
      <c r="C72" s="99" t="s">
        <v>4752</v>
      </c>
      <c r="D72" s="327">
        <v>250000</v>
      </c>
    </row>
    <row r="73" spans="1:8" ht="30" x14ac:dyDescent="0.25">
      <c r="A73" s="322">
        <v>43574</v>
      </c>
      <c r="B73" s="99" t="s">
        <v>4714</v>
      </c>
      <c r="C73" s="329" t="s">
        <v>4826</v>
      </c>
      <c r="D73" s="327">
        <v>150000</v>
      </c>
      <c r="E73" s="1401" t="s">
        <v>4745</v>
      </c>
      <c r="F73" s="1401"/>
      <c r="G73" s="1401"/>
      <c r="H73" s="1401"/>
    </row>
    <row r="74" spans="1:8" ht="30" x14ac:dyDescent="0.25">
      <c r="A74" s="322">
        <v>43594</v>
      </c>
      <c r="B74" s="99" t="s">
        <v>4714</v>
      </c>
      <c r="C74" s="329" t="s">
        <v>4881</v>
      </c>
      <c r="D74" s="327">
        <v>200000</v>
      </c>
      <c r="E74" s="309" t="s">
        <v>0</v>
      </c>
      <c r="F74" s="308" t="s">
        <v>2</v>
      </c>
      <c r="G74" s="308" t="s">
        <v>3952</v>
      </c>
      <c r="H74" s="310" t="s">
        <v>4591</v>
      </c>
    </row>
    <row r="75" spans="1:8" ht="30" x14ac:dyDescent="0.25">
      <c r="A75" s="322">
        <v>43613</v>
      </c>
      <c r="B75" s="99" t="s">
        <v>4714</v>
      </c>
      <c r="C75" s="329" t="s">
        <v>4978</v>
      </c>
      <c r="D75" s="327">
        <v>150000</v>
      </c>
      <c r="E75" s="311"/>
      <c r="F75" s="99" t="s">
        <v>4747</v>
      </c>
      <c r="G75" s="328"/>
      <c r="H75" s="312">
        <v>15000000</v>
      </c>
    </row>
    <row r="76" spans="1:8" ht="30" x14ac:dyDescent="0.25">
      <c r="A76" s="322">
        <v>43613</v>
      </c>
      <c r="B76" s="99" t="s">
        <v>4714</v>
      </c>
      <c r="C76" s="329" t="s">
        <v>5030</v>
      </c>
      <c r="D76" s="327">
        <v>200000</v>
      </c>
      <c r="E76" s="311">
        <v>43542</v>
      </c>
      <c r="F76" s="47" t="s">
        <v>4746</v>
      </c>
      <c r="G76" s="328"/>
      <c r="H76" s="312">
        <v>1745000</v>
      </c>
    </row>
    <row r="77" spans="1:8" ht="30" x14ac:dyDescent="0.25">
      <c r="A77" s="322">
        <v>43618</v>
      </c>
      <c r="B77" s="256" t="s">
        <v>5041</v>
      </c>
      <c r="C77" s="329" t="s">
        <v>5042</v>
      </c>
      <c r="D77" s="327">
        <v>250000</v>
      </c>
      <c r="E77" s="311">
        <v>43542</v>
      </c>
      <c r="F77" s="47" t="s">
        <v>4746</v>
      </c>
      <c r="G77" s="328"/>
      <c r="H77" s="312">
        <v>1490500</v>
      </c>
    </row>
    <row r="78" spans="1:8" ht="30" x14ac:dyDescent="0.25">
      <c r="A78" s="322">
        <v>43669</v>
      </c>
      <c r="B78" s="256" t="s">
        <v>5122</v>
      </c>
      <c r="C78" s="329" t="s">
        <v>4593</v>
      </c>
      <c r="D78" s="327">
        <v>75000</v>
      </c>
      <c r="E78" s="311">
        <v>43542</v>
      </c>
      <c r="F78" s="47" t="s">
        <v>4746</v>
      </c>
      <c r="G78" s="305"/>
      <c r="H78" s="312">
        <v>1735200</v>
      </c>
    </row>
    <row r="79" spans="1:8" ht="45" x14ac:dyDescent="0.25">
      <c r="A79" s="322">
        <v>43678</v>
      </c>
      <c r="B79" s="99" t="s">
        <v>4714</v>
      </c>
      <c r="C79" s="329" t="s">
        <v>5154</v>
      </c>
      <c r="D79" s="327">
        <v>250000</v>
      </c>
      <c r="E79" s="311">
        <v>43710</v>
      </c>
      <c r="F79" s="99" t="s">
        <v>5259</v>
      </c>
      <c r="G79" s="305"/>
      <c r="H79" s="312">
        <v>-1000000</v>
      </c>
    </row>
    <row r="80" spans="1:8" ht="30" x14ac:dyDescent="0.25">
      <c r="A80" s="322">
        <v>43686</v>
      </c>
      <c r="B80" s="99" t="s">
        <v>4714</v>
      </c>
      <c r="C80" s="329" t="s">
        <v>5177</v>
      </c>
      <c r="D80" s="327">
        <v>200000</v>
      </c>
      <c r="E80" s="311">
        <v>43711</v>
      </c>
      <c r="F80" s="99" t="s">
        <v>5262</v>
      </c>
      <c r="G80" s="305"/>
      <c r="H80" s="312">
        <v>-400000</v>
      </c>
    </row>
    <row r="81" spans="1:8" ht="30" x14ac:dyDescent="0.25">
      <c r="A81" s="322">
        <v>43710</v>
      </c>
      <c r="B81" s="99" t="s">
        <v>4714</v>
      </c>
      <c r="C81" s="329" t="s">
        <v>5258</v>
      </c>
      <c r="D81" s="327">
        <v>250000</v>
      </c>
      <c r="E81" s="311">
        <v>43728</v>
      </c>
      <c r="F81" s="2" t="s">
        <v>5301</v>
      </c>
      <c r="G81" s="305"/>
      <c r="H81" s="312">
        <v>-8570700</v>
      </c>
    </row>
    <row r="82" spans="1:8" x14ac:dyDescent="0.25">
      <c r="A82" s="322">
        <v>43724</v>
      </c>
      <c r="B82" s="256" t="s">
        <v>5288</v>
      </c>
      <c r="C82" s="329" t="s">
        <v>4593</v>
      </c>
      <c r="D82" s="327"/>
      <c r="E82" s="311">
        <v>43732</v>
      </c>
      <c r="F82" s="2" t="s">
        <v>5311</v>
      </c>
      <c r="G82" s="306"/>
      <c r="H82" s="313">
        <v>-6150000</v>
      </c>
    </row>
    <row r="83" spans="1:8" ht="30" x14ac:dyDescent="0.25">
      <c r="A83" s="322">
        <v>43745</v>
      </c>
      <c r="B83" s="99" t="s">
        <v>4714</v>
      </c>
      <c r="C83" s="329" t="s">
        <v>5371</v>
      </c>
      <c r="D83" s="327">
        <v>200000</v>
      </c>
      <c r="E83" s="311">
        <v>43774</v>
      </c>
      <c r="F83" t="s">
        <v>5473</v>
      </c>
      <c r="G83" s="359"/>
      <c r="H83" s="360">
        <v>-800000</v>
      </c>
    </row>
    <row r="84" spans="1:8" ht="30" x14ac:dyDescent="0.25">
      <c r="A84" s="322">
        <v>43759</v>
      </c>
      <c r="B84" s="99" t="s">
        <v>4714</v>
      </c>
      <c r="C84" s="329" t="s">
        <v>5427</v>
      </c>
      <c r="D84" s="327">
        <v>200000</v>
      </c>
      <c r="E84" s="311">
        <v>43775</v>
      </c>
      <c r="F84" t="s">
        <v>5473</v>
      </c>
      <c r="G84" s="359"/>
      <c r="H84" s="360">
        <v>-300000</v>
      </c>
    </row>
    <row r="85" spans="1:8" ht="45" x14ac:dyDescent="0.25">
      <c r="A85" s="322">
        <v>43775</v>
      </c>
      <c r="B85" s="256" t="s">
        <v>5518</v>
      </c>
      <c r="C85" s="329"/>
      <c r="D85" s="327">
        <v>400000</v>
      </c>
      <c r="E85" s="311">
        <v>43777</v>
      </c>
      <c r="F85" t="s">
        <v>5473</v>
      </c>
      <c r="G85" s="359"/>
      <c r="H85" s="360">
        <v>-330000</v>
      </c>
    </row>
    <row r="86" spans="1:8" ht="30.75" thickBot="1" x14ac:dyDescent="0.3">
      <c r="A86" s="322">
        <v>43808</v>
      </c>
      <c r="B86" s="99" t="s">
        <v>5546</v>
      </c>
      <c r="C86" s="329" t="s">
        <v>4593</v>
      </c>
      <c r="D86" s="327">
        <v>250000</v>
      </c>
      <c r="E86" s="311">
        <v>43787</v>
      </c>
      <c r="F86" t="s">
        <v>5536</v>
      </c>
      <c r="G86" s="359"/>
      <c r="H86" s="360">
        <v>-2420000</v>
      </c>
    </row>
    <row r="87" spans="1:8" ht="31.5" thickBot="1" x14ac:dyDescent="0.35">
      <c r="A87" s="322">
        <v>43808</v>
      </c>
      <c r="B87" s="99" t="s">
        <v>5546</v>
      </c>
      <c r="C87" s="329" t="s">
        <v>4593</v>
      </c>
      <c r="D87" s="327">
        <v>400000</v>
      </c>
      <c r="E87" s="1402" t="s">
        <v>4596</v>
      </c>
      <c r="F87" s="1403"/>
      <c r="G87" s="1404"/>
      <c r="H87" s="307">
        <f>SUM(H75:H86)</f>
        <v>0</v>
      </c>
    </row>
    <row r="88" spans="1:8" ht="30" x14ac:dyDescent="0.25">
      <c r="A88" s="322">
        <v>43819</v>
      </c>
      <c r="B88" s="99" t="s">
        <v>4714</v>
      </c>
      <c r="C88" s="329" t="s">
        <v>5588</v>
      </c>
      <c r="D88" s="327">
        <v>100000</v>
      </c>
      <c r="H88" s="50"/>
    </row>
    <row r="89" spans="1:8" ht="30" x14ac:dyDescent="0.25">
      <c r="A89" s="322">
        <v>43845</v>
      </c>
      <c r="B89" s="99" t="s">
        <v>4714</v>
      </c>
      <c r="C89" s="329" t="s">
        <v>5676</v>
      </c>
      <c r="D89" s="327">
        <v>100000</v>
      </c>
      <c r="H89" s="50"/>
    </row>
    <row r="90" spans="1:8" ht="30" x14ac:dyDescent="0.25">
      <c r="A90" s="322">
        <v>43847</v>
      </c>
      <c r="B90" s="99" t="s">
        <v>5684</v>
      </c>
      <c r="C90" s="329" t="s">
        <v>4593</v>
      </c>
      <c r="D90" s="327">
        <v>99000</v>
      </c>
    </row>
    <row r="91" spans="1:8" ht="30" x14ac:dyDescent="0.25">
      <c r="A91" s="322">
        <v>43850</v>
      </c>
      <c r="B91" s="99" t="s">
        <v>5686</v>
      </c>
      <c r="C91" s="329" t="s">
        <v>5687</v>
      </c>
      <c r="D91" s="327">
        <v>200000</v>
      </c>
    </row>
    <row r="92" spans="1:8" ht="30" x14ac:dyDescent="0.25">
      <c r="A92" s="322">
        <v>43854</v>
      </c>
      <c r="B92" s="99" t="s">
        <v>5686</v>
      </c>
      <c r="C92" s="329" t="s">
        <v>5704</v>
      </c>
      <c r="D92" s="327">
        <v>100000</v>
      </c>
    </row>
    <row r="93" spans="1:8" ht="30" x14ac:dyDescent="0.25">
      <c r="A93" s="322">
        <v>43861</v>
      </c>
      <c r="B93" s="99" t="s">
        <v>5686</v>
      </c>
      <c r="C93" s="329" t="s">
        <v>5722</v>
      </c>
      <c r="D93" s="327">
        <v>200000</v>
      </c>
    </row>
    <row r="94" spans="1:8" ht="30" x14ac:dyDescent="0.25">
      <c r="A94" s="322">
        <v>43864</v>
      </c>
      <c r="B94" s="99" t="s">
        <v>5686</v>
      </c>
      <c r="C94" s="329" t="s">
        <v>5724</v>
      </c>
      <c r="D94" s="327">
        <v>200000</v>
      </c>
    </row>
    <row r="95" spans="1:8" ht="30" x14ac:dyDescent="0.25">
      <c r="A95" s="322">
        <v>43868</v>
      </c>
      <c r="B95" s="99" t="s">
        <v>5686</v>
      </c>
      <c r="C95" s="329" t="s">
        <v>5730</v>
      </c>
      <c r="D95" s="327">
        <v>150000</v>
      </c>
    </row>
    <row r="96" spans="1:8" ht="30" x14ac:dyDescent="0.25">
      <c r="A96" s="322">
        <v>43874</v>
      </c>
      <c r="B96" s="99" t="s">
        <v>5764</v>
      </c>
      <c r="C96" s="329" t="s">
        <v>4593</v>
      </c>
      <c r="D96" s="327">
        <v>200000</v>
      </c>
    </row>
    <row r="97" spans="1:4" x14ac:dyDescent="0.25">
      <c r="A97" s="322">
        <v>43882</v>
      </c>
      <c r="B97" s="333" t="s">
        <v>5790</v>
      </c>
      <c r="C97" s="329" t="s">
        <v>4593</v>
      </c>
      <c r="D97" s="327">
        <v>16000</v>
      </c>
    </row>
    <row r="98" spans="1:4" ht="30" x14ac:dyDescent="0.25">
      <c r="A98" s="322">
        <v>43886</v>
      </c>
      <c r="B98" s="99" t="s">
        <v>5686</v>
      </c>
      <c r="C98" s="329" t="s">
        <v>5791</v>
      </c>
      <c r="D98" s="327">
        <v>150000</v>
      </c>
    </row>
    <row r="99" spans="1:4" ht="30" x14ac:dyDescent="0.25">
      <c r="A99" s="322">
        <v>43892</v>
      </c>
      <c r="B99" s="99" t="s">
        <v>5686</v>
      </c>
      <c r="C99" s="329" t="s">
        <v>5813</v>
      </c>
      <c r="D99" s="327">
        <v>150000</v>
      </c>
    </row>
    <row r="100" spans="1:4" ht="30" x14ac:dyDescent="0.25">
      <c r="A100" s="322">
        <v>43909</v>
      </c>
      <c r="B100" s="99" t="s">
        <v>5686</v>
      </c>
      <c r="C100" s="329" t="s">
        <v>5867</v>
      </c>
      <c r="D100" s="327">
        <v>150000</v>
      </c>
    </row>
    <row r="101" spans="1:4" ht="30" x14ac:dyDescent="0.25">
      <c r="A101" s="322">
        <v>43948</v>
      </c>
      <c r="B101" s="99" t="s">
        <v>5686</v>
      </c>
      <c r="C101" s="329" t="s">
        <v>5887</v>
      </c>
      <c r="D101" s="327">
        <v>35000</v>
      </c>
    </row>
    <row r="102" spans="1:4" ht="18.75" x14ac:dyDescent="0.3">
      <c r="A102" s="1397" t="s">
        <v>4596</v>
      </c>
      <c r="B102" s="1337"/>
      <c r="C102" s="1338"/>
      <c r="D102" s="314">
        <f>SUM(D60:D101)</f>
        <v>8325000</v>
      </c>
    </row>
    <row r="104" spans="1:4" ht="15.75" thickBot="1" x14ac:dyDescent="0.3">
      <c r="D104" s="50"/>
    </row>
    <row r="105" spans="1:4" ht="21.75" thickBot="1" x14ac:dyDescent="0.3">
      <c r="A105" s="1398" t="s">
        <v>4597</v>
      </c>
      <c r="B105" s="1399"/>
      <c r="C105" s="1399"/>
      <c r="D105" s="1400"/>
    </row>
    <row r="106" spans="1:4" x14ac:dyDescent="0.25">
      <c r="A106" s="319" t="s">
        <v>0</v>
      </c>
      <c r="B106" s="303" t="s">
        <v>2</v>
      </c>
      <c r="C106" s="303" t="s">
        <v>3952</v>
      </c>
      <c r="D106" s="320" t="s">
        <v>4591</v>
      </c>
    </row>
    <row r="107" spans="1:4" ht="30" x14ac:dyDescent="0.25">
      <c r="A107" s="311">
        <v>43490</v>
      </c>
      <c r="B107" s="99" t="s">
        <v>4612</v>
      </c>
      <c r="C107" s="2" t="s">
        <v>4613</v>
      </c>
      <c r="D107" s="316">
        <v>55000</v>
      </c>
    </row>
    <row r="108" spans="1:4" ht="30" x14ac:dyDescent="0.25">
      <c r="A108" s="317"/>
      <c r="B108" s="99" t="s">
        <v>4614</v>
      </c>
      <c r="C108" s="2" t="s">
        <v>4593</v>
      </c>
      <c r="D108" s="316">
        <v>1000000</v>
      </c>
    </row>
    <row r="109" spans="1:4" ht="30" x14ac:dyDescent="0.25">
      <c r="A109" s="317"/>
      <c r="B109" s="99" t="s">
        <v>4615</v>
      </c>
      <c r="C109" s="2" t="s">
        <v>4593</v>
      </c>
      <c r="D109" s="316">
        <v>40000</v>
      </c>
    </row>
    <row r="110" spans="1:4" ht="30" x14ac:dyDescent="0.25">
      <c r="A110" s="317"/>
      <c r="B110" s="99" t="s">
        <v>4616</v>
      </c>
      <c r="C110" s="2" t="s">
        <v>4593</v>
      </c>
      <c r="D110" s="316">
        <v>50000</v>
      </c>
    </row>
    <row r="111" spans="1:4" x14ac:dyDescent="0.25">
      <c r="A111" s="311">
        <v>43525</v>
      </c>
      <c r="B111" s="99" t="s">
        <v>4633</v>
      </c>
      <c r="C111" s="2" t="s">
        <v>4593</v>
      </c>
      <c r="D111" s="316">
        <v>12500</v>
      </c>
    </row>
    <row r="112" spans="1:4" ht="30" x14ac:dyDescent="0.25">
      <c r="A112" s="311">
        <v>43549</v>
      </c>
      <c r="B112" s="333" t="s">
        <v>4744</v>
      </c>
      <c r="C112" s="2" t="s">
        <v>4593</v>
      </c>
      <c r="D112" s="316">
        <v>45000</v>
      </c>
    </row>
    <row r="113" spans="1:4" x14ac:dyDescent="0.25">
      <c r="A113" s="311">
        <v>43556</v>
      </c>
      <c r="B113" s="333" t="s">
        <v>4764</v>
      </c>
      <c r="C113" s="337" t="s">
        <v>4766</v>
      </c>
      <c r="D113" s="316">
        <v>500000</v>
      </c>
    </row>
    <row r="114" spans="1:4" x14ac:dyDescent="0.25">
      <c r="A114" s="311">
        <v>43556</v>
      </c>
      <c r="B114" s="333" t="s">
        <v>4765</v>
      </c>
      <c r="C114" s="337" t="s">
        <v>4767</v>
      </c>
      <c r="D114" s="316">
        <v>500000</v>
      </c>
    </row>
    <row r="115" spans="1:4" x14ac:dyDescent="0.25">
      <c r="A115" s="311">
        <v>43556</v>
      </c>
      <c r="B115" s="333" t="s">
        <v>4770</v>
      </c>
      <c r="C115" s="337" t="s">
        <v>4593</v>
      </c>
      <c r="D115" s="316">
        <v>21820</v>
      </c>
    </row>
    <row r="116" spans="1:4" x14ac:dyDescent="0.25">
      <c r="A116" s="311">
        <v>43556</v>
      </c>
      <c r="B116" s="333" t="s">
        <v>4769</v>
      </c>
      <c r="C116" s="337" t="s">
        <v>4593</v>
      </c>
      <c r="D116" s="316">
        <v>32400</v>
      </c>
    </row>
    <row r="117" spans="1:4" x14ac:dyDescent="0.25">
      <c r="A117" s="311">
        <v>43556</v>
      </c>
      <c r="B117" s="333" t="s">
        <v>4768</v>
      </c>
      <c r="C117" s="337" t="s">
        <v>4593</v>
      </c>
      <c r="D117" s="316">
        <v>62000</v>
      </c>
    </row>
    <row r="118" spans="1:4" ht="30" x14ac:dyDescent="0.25">
      <c r="A118" s="311">
        <v>43563</v>
      </c>
      <c r="B118" s="333" t="s">
        <v>4780</v>
      </c>
      <c r="C118" s="337" t="s">
        <v>4593</v>
      </c>
      <c r="D118" s="316">
        <v>465000</v>
      </c>
    </row>
    <row r="119" spans="1:4" ht="30" x14ac:dyDescent="0.25">
      <c r="A119" s="311">
        <v>43563</v>
      </c>
      <c r="B119" s="333" t="s">
        <v>4780</v>
      </c>
      <c r="C119" s="337" t="s">
        <v>4593</v>
      </c>
      <c r="D119" s="316">
        <v>400000</v>
      </c>
    </row>
    <row r="120" spans="1:4" ht="30" x14ac:dyDescent="0.25">
      <c r="A120" s="311">
        <v>43563</v>
      </c>
      <c r="B120" s="333" t="s">
        <v>4780</v>
      </c>
      <c r="C120" s="337" t="s">
        <v>4593</v>
      </c>
      <c r="D120" s="316">
        <v>285000</v>
      </c>
    </row>
    <row r="121" spans="1:4" ht="30" x14ac:dyDescent="0.25">
      <c r="A121" s="311">
        <v>43563</v>
      </c>
      <c r="B121" s="333" t="s">
        <v>4780</v>
      </c>
      <c r="C121" s="337" t="s">
        <v>4593</v>
      </c>
      <c r="D121" s="316">
        <v>120000</v>
      </c>
    </row>
    <row r="122" spans="1:4" x14ac:dyDescent="0.25">
      <c r="A122" s="311">
        <v>43563</v>
      </c>
      <c r="B122" s="333" t="s">
        <v>4781</v>
      </c>
      <c r="C122" s="337" t="s">
        <v>4593</v>
      </c>
      <c r="D122" s="316">
        <v>45000</v>
      </c>
    </row>
    <row r="123" spans="1:4" x14ac:dyDescent="0.25">
      <c r="A123" s="311">
        <v>43566</v>
      </c>
      <c r="B123" s="333" t="s">
        <v>4795</v>
      </c>
      <c r="C123" s="337" t="s">
        <v>4796</v>
      </c>
      <c r="D123" s="316">
        <v>32000</v>
      </c>
    </row>
    <row r="124" spans="1:4" ht="18.75" x14ac:dyDescent="0.3">
      <c r="A124" s="1336" t="s">
        <v>4596</v>
      </c>
      <c r="B124" s="1337"/>
      <c r="C124" s="1338"/>
      <c r="D124" s="321">
        <f>SUM(D107:D123)</f>
        <v>3665720</v>
      </c>
    </row>
    <row r="125" spans="1:4" ht="19.5" thickBot="1" x14ac:dyDescent="0.35">
      <c r="A125" s="1392" t="s">
        <v>4617</v>
      </c>
      <c r="B125" s="1393"/>
      <c r="C125" s="1394"/>
      <c r="D125" s="210">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12</vt:i4>
      </vt:variant>
    </vt:vector>
  </HeadingPairs>
  <TitlesOfParts>
    <vt:vector size="29" baseType="lpstr">
      <vt:lpstr>Main</vt:lpstr>
      <vt:lpstr>Posting</vt:lpstr>
      <vt:lpstr>Pro Summ</vt:lpstr>
      <vt:lpstr>Projects</vt:lpstr>
      <vt:lpstr>IK</vt:lpstr>
      <vt:lpstr>Supplier</vt:lpstr>
      <vt:lpstr>Glo</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2024-01-02T11:31:25Z</cp:lastPrinted>
  <dcterms:created xsi:type="dcterms:W3CDTF">2016-01-21T08:10:35Z</dcterms:created>
  <dcterms:modified xsi:type="dcterms:W3CDTF">2024-05-08T13:45:05Z</dcterms:modified>
</cp:coreProperties>
</file>